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drawings/drawing3.xml" ContentType="application/vnd.openxmlformats-officedocument.drawing+xml"/>
  <Override PartName="/xl/ctrlProps/ctrlProp5.xml" ContentType="application/vnd.ms-excel.controlproperties+xml"/>
  <Override PartName="/xl/drawings/drawing4.xml" ContentType="application/vnd.openxmlformats-officedocument.drawing+xml"/>
  <Override PartName="/xl/ctrlProps/ctrlProp6.xml" ContentType="application/vnd.ms-excel.controlproperties+xml"/>
  <Override PartName="/xl/drawings/drawing5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6.xml" ContentType="application/vnd.openxmlformats-officedocument.drawing+xml"/>
  <Override PartName="/xl/ctrlProps/ctrlProp11.xml" ContentType="application/vnd.ms-excel.controlproperties+xml"/>
  <Override PartName="/xl/drawings/drawing7.xml" ContentType="application/vnd.openxmlformats-officedocument.drawing+xml"/>
  <Override PartName="/xl/ctrlProps/ctrlProp12.xml" ContentType="application/vnd.ms-excel.controlproperties+xml"/>
  <Override PartName="/xl/drawings/drawing8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drawings/drawing9.xml" ContentType="application/vnd.openxmlformats-officedocument.drawing+xml"/>
  <Override PartName="/xl/ctrlProps/ctrlProp17.xml" ContentType="application/vnd.ms-excel.controlproperties+xml"/>
  <Override PartName="/xl/drawings/drawing10.xml" ContentType="application/vnd.openxmlformats-officedocument.drawing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drawings/drawing11.xml" ContentType="application/vnd.openxmlformats-officedocument.drawing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drawings/drawing12.xml" ContentType="application/vnd.openxmlformats-officedocument.drawing+xml"/>
  <Override PartName="/xl/ctrlProps/ctrlProp27.xml" ContentType="application/vnd.ms-excel.controlproperties+xml"/>
  <Override PartName="/xl/drawings/drawing13.xml" ContentType="application/vnd.openxmlformats-officedocument.drawing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drawings/drawing14.xml" ContentType="application/vnd.openxmlformats-officedocument.drawing+xml"/>
  <Override PartName="/xl/ctrlProps/ctrlProp31.xml" ContentType="application/vnd.ms-excel.controlproperties+xml"/>
  <Override PartName="/xl/drawings/drawing15.xml" ContentType="application/vnd.openxmlformats-officedocument.drawing+xml"/>
  <Override PartName="/xl/ctrlProps/ctrlProp32.xml" ContentType="application/vnd.ms-excel.controlproperties+xml"/>
  <Override PartName="/xl/drawings/drawing16.xml" ContentType="application/vnd.openxmlformats-officedocument.drawing+xml"/>
  <Override PartName="/xl/ctrlProps/ctrlProp33.xml" ContentType="application/vnd.ms-excel.controlproperties+xml"/>
  <Override PartName="/xl/drawings/drawing17.xml" ContentType="application/vnd.openxmlformats-officedocument.drawing+xml"/>
  <Override PartName="/xl/ctrlProps/ctrlProp34.xml" ContentType="application/vnd.ms-excel.controlproperties+xml"/>
  <Override PartName="/xl/drawings/drawing18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drawings/drawing19.xml" ContentType="application/vnd.openxmlformats-officedocument.drawing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20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drawings/drawing21.xml" ContentType="application/vnd.openxmlformats-officedocument.drawing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drawings/drawing22.xml" ContentType="application/vnd.openxmlformats-officedocument.drawing+xml"/>
  <Override PartName="/xl/ctrlProps/ctrlProp44.xml" ContentType="application/vnd.ms-excel.controlproperties+xml"/>
  <Override PartName="/xl/drawings/drawing23.xml" ContentType="application/vnd.openxmlformats-officedocument.drawing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drawings/drawing24.xml" ContentType="application/vnd.openxmlformats-officedocument.drawing+xml"/>
  <Override PartName="/xl/ctrlProps/ctrlProp48.xml" ContentType="application/vnd.ms-excel.controlproperties+xml"/>
  <Override PartName="/xl/ctrlProps/ctrlProp49.xml" ContentType="application/vnd.ms-excel.controlproperties+xml"/>
  <Override PartName="/xl/drawings/drawing25.xml" ContentType="application/vnd.openxmlformats-officedocument.drawing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drawings/drawing28.xml" ContentType="application/vnd.openxmlformats-officedocument.drawing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drawings/drawing29.xml" ContentType="application/vnd.openxmlformats-officedocument.drawing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9E84F606-ABAD-4846-B554-D36BD7A156B0}" xr6:coauthVersionLast="47" xr6:coauthVersionMax="47" xr10:uidLastSave="{00000000-0000-0000-0000-000000000000}"/>
  <bookViews>
    <workbookView xWindow="28680" yWindow="-120" windowWidth="29040" windowHeight="15840" tabRatio="870" xr2:uid="{00000000-000D-0000-FFFF-FFFF00000000}"/>
  </bookViews>
  <sheets>
    <sheet name="용역단가" sheetId="13" r:id="rId1"/>
    <sheet name="2.1_국토 및 지역계획" sheetId="57" r:id="rId2"/>
    <sheet name="3.1_광역도시계획" sheetId="59" r:id="rId3"/>
    <sheet name="3.2_도시·군기본계획" sheetId="60" r:id="rId4"/>
    <sheet name="3.3_도시·군관리계획(재정비)" sheetId="61" r:id="rId5"/>
    <sheet name="3.3_도시·군관리계획(변경)결정" sheetId="62" r:id="rId6"/>
    <sheet name="3.4_스마트도시계획" sheetId="124" r:id="rId7"/>
    <sheet name="3.4_스마트도시특화단지계획" sheetId="125" r:id="rId8"/>
    <sheet name="3.5_개발제한구역관리계획" sheetId="34" r:id="rId9"/>
    <sheet name="3,5_개발제한구역도시군관리계획변경" sheetId="127" r:id="rId10"/>
    <sheet name="3.6_성장관리계획구역의 지정" sheetId="68" r:id="rId11"/>
    <sheet name="3.6_성장관리계획 수립" sheetId="69" r:id="rId12"/>
    <sheet name="3.7_개발행위허가" sheetId="70" r:id="rId13"/>
    <sheet name="3.8_저탄소 녹색도시계획" sheetId="72" r:id="rId14"/>
    <sheet name="4.1_지구단위계획(지구지정)" sheetId="73" r:id="rId15"/>
    <sheet name="4.1_지구단위계획" sheetId="74" r:id="rId16"/>
    <sheet name="4.2 입체적 도시공간계획" sheetId="133" r:id="rId17"/>
    <sheet name="4.3 마을만들기" sheetId="75" r:id="rId18"/>
    <sheet name="5.1_도시개발구역지정" sheetId="76" r:id="rId19"/>
    <sheet name="5.2_주택단지 개발계획" sheetId="77" r:id="rId20"/>
    <sheet name="5.3_산업단지 개발계획" sheetId="78" r:id="rId21"/>
    <sheet name="5.4_물류(유통)단지 개발계획" sheetId="79" r:id="rId22"/>
    <sheet name="5.5_환지방식 개발계획" sheetId="36" r:id="rId23"/>
    <sheet name="6.1 도시재생전략계획" sheetId="81" r:id="rId24"/>
    <sheet name="6.1_도시재생활성화계획" sheetId="82" r:id="rId25"/>
    <sheet name="6.2_재정비촉진지구지정" sheetId="83" r:id="rId26"/>
    <sheet name="6.2_재정비촉진계획" sheetId="84" r:id="rId27"/>
    <sheet name="6.3_도시·주거환경정비 기본계획" sheetId="86" r:id="rId28"/>
    <sheet name="6.3_생활권계획" sheetId="128" r:id="rId29"/>
    <sheet name="6.3_구역지정(정비계획)-1" sheetId="85" r:id="rId30"/>
    <sheet name="6.3_주거환경개선사업" sheetId="88" r:id="rId31"/>
    <sheet name="6.3_구역해제 및 관리방안" sheetId="89" r:id="rId32"/>
    <sheet name="6.3_소규모주택정비사업" sheetId="90" r:id="rId33"/>
    <sheet name="6.3_사업시행계획" sheetId="91" r:id="rId34"/>
    <sheet name="6.3_관리처분계획" sheetId="92" r:id="rId35"/>
    <sheet name="6.4_공업지역 기본계획" sheetId="136" r:id="rId36"/>
    <sheet name="6.4_리모델링 기본계획" sheetId="95" r:id="rId37"/>
    <sheet name="7.1_도시경관계획" sheetId="96" r:id="rId38"/>
    <sheet name="7.2_(1)지구경관계획" sheetId="98" r:id="rId39"/>
    <sheet name="7.2_(2)농·산·어촌경관계획" sheetId="101" r:id="rId40"/>
    <sheet name="7.2_(3)경관기본설계" sheetId="102" r:id="rId41"/>
    <sheet name="7.3_사회기반시설사업 등의 경관심의" sheetId="103" r:id="rId42"/>
    <sheet name="8.1_국토계획평가" sheetId="105" r:id="rId43"/>
    <sheet name="8.2_토지적성평가" sheetId="106" r:id="rId44"/>
    <sheet name="8.3_재해취약성분석" sheetId="108" r:id="rId45"/>
    <sheet name="8.4_교육환경평가" sheetId="116" r:id="rId46"/>
    <sheet name="11.1 주제형 사업(1)" sheetId="137" r:id="rId47"/>
    <sheet name="11.1 주제형 사업(2)" sheetId="138" r:id="rId48"/>
    <sheet name="11.2 도시계획시설형 계획_1" sheetId="139" r:id="rId49"/>
    <sheet name="11.3 특화분야(1)" sheetId="140" r:id="rId50"/>
    <sheet name="11.3 특화분야(2)" sheetId="141" r:id="rId51"/>
    <sheet name="12.1_사업타당성 조사분석(시가지)" sheetId="118" r:id="rId52"/>
    <sheet name="12.1_사업타당성 조사분석(도시시설개발)" sheetId="142" r:id="rId53"/>
    <sheet name="12.1_사업타당성 조사분석(지역개발)" sheetId="143" r:id="rId54"/>
    <sheet name="12.2_관광레저조경분야 사업타당성" sheetId="144" r:id="rId55"/>
    <sheet name="12.3_(1)도시계획 기초조사" sheetId="49" r:id="rId56"/>
    <sheet name="12.3_(2)환경성 검토" sheetId="109" r:id="rId57"/>
    <sheet name="12.3_(4)경관성 검토" sheetId="111" r:id="rId58"/>
    <sheet name="12.4_도시계획퍼실리테이션" sheetId="123" r:id="rId59"/>
    <sheet name="12.5_단계별 집행계획" sheetId="66" r:id="rId60"/>
    <sheet name="12.6_(1)도시·군계획시설사업 실시계획인가" sheetId="129" r:id="rId61"/>
    <sheet name="12.6_(2)개발사업 실시계획인가" sheetId="145" r:id="rId62"/>
    <sheet name="12.7_사업인정의제 협의" sheetId="146" r:id="rId63"/>
    <sheet name="12.8_농지(초지)·산지 전용" sheetId="121" r:id="rId64"/>
    <sheet name="12.9_국공유지 무상귀속" sheetId="147" r:id="rId65"/>
    <sheet name="12.10_지형도면고시계획" sheetId="35" r:id="rId66"/>
    <sheet name="3.7_스마트도시시민리빙랩" sheetId="126" r:id="rId67"/>
    <sheet name="3.8_도시(지역)교통계획" sheetId="63" r:id="rId68"/>
    <sheet name="3.10_단위계획시설 집행계획" sheetId="80" r:id="rId69"/>
    <sheet name="0.1_재해영향평가(개발사업)" sheetId="132" r:id="rId70"/>
    <sheet name="0.0_재해영향성검토(행정계획)" sheetId="131" r:id="rId71"/>
    <sheet name="12.4_산지전용" sheetId="122" r:id="rId72"/>
    <sheet name="12.5_사업관리계획" sheetId="25" r:id="rId73"/>
  </sheets>
  <definedNames>
    <definedName name="_xlnm.Print_Area" localSheetId="70">'0.0_재해영향성검토(행정계획)'!$N$13:$Z$149</definedName>
    <definedName name="_xlnm.Print_Area" localSheetId="69">'0.1_재해영향평가(개발사업)'!$N$13:$Z$167</definedName>
    <definedName name="_xlnm.Print_Area" localSheetId="46">'11.1 주제형 사업(1)'!$N$12:$Z$150</definedName>
    <definedName name="_xlnm.Print_Area" localSheetId="47">'11.1 주제형 사업(2)'!$N$12:$Z$150</definedName>
    <definedName name="_xlnm.Print_Area" localSheetId="48">'11.2 도시계획시설형 계획_1'!$N$12:$Z$150</definedName>
    <definedName name="_xlnm.Print_Area" localSheetId="49">'11.3 특화분야(1)'!$N$12:$Z$148</definedName>
    <definedName name="_xlnm.Print_Area" localSheetId="50">'11.3 특화분야(2)'!$N$12:$Z$150</definedName>
    <definedName name="_xlnm.Print_Area" localSheetId="52">'12.1_사업타당성 조사분석(도시시설개발)'!$N$11:$Z$118</definedName>
    <definedName name="_xlnm.Print_Area" localSheetId="51">'12.1_사업타당성 조사분석(시가지)'!$N$11:$Z$118</definedName>
    <definedName name="_xlnm.Print_Area" localSheetId="53">'12.1_사업타당성 조사분석(지역개발)'!$N$11:$Z$120</definedName>
    <definedName name="_xlnm.Print_Area" localSheetId="65">'12.10_지형도면고시계획'!$A$1:$Z$66</definedName>
    <definedName name="_xlnm.Print_Area" localSheetId="54">'12.2_관광레저조경분야 사업타당성'!$N$14:$Z$123</definedName>
    <definedName name="_xlnm.Print_Area" localSheetId="55">'12.3_(1)도시계획 기초조사'!$N$9:$Z$140</definedName>
    <definedName name="_xlnm.Print_Area" localSheetId="56">'12.3_(2)환경성 검토'!$N$8:$Z$169</definedName>
    <definedName name="_xlnm.Print_Area" localSheetId="57">'12.3_(4)경관성 검토'!$N$10:$Z$129</definedName>
    <definedName name="_xlnm.Print_Area" localSheetId="58">'12.4_도시계획퍼실리테이션'!$N$11:$Z$130</definedName>
    <definedName name="_xlnm.Print_Area" localSheetId="71">'12.4_산지전용'!$N$8:$Z$134</definedName>
    <definedName name="_xlnm.Print_Area" localSheetId="59">'12.5_단계별 집행계획'!$N$12:$Z$123</definedName>
    <definedName name="_xlnm.Print_Area" localSheetId="72">'12.5_사업관리계획'!$N$11:$Z$140</definedName>
    <definedName name="_xlnm.Print_Area" localSheetId="60">'12.6_(1)도시·군계획시설사업 실시계획인가'!$N$9:$Z$70</definedName>
    <definedName name="_xlnm.Print_Area" localSheetId="61">'12.6_(2)개발사업 실시계획인가'!$N$9:$Z$61</definedName>
    <definedName name="_xlnm.Print_Area" localSheetId="62">'12.7_사업인정의제 협의'!$N$8:$Z$155</definedName>
    <definedName name="_xlnm.Print_Area" localSheetId="63">'12.8_농지(초지)·산지 전용'!$N$8:$Z$135</definedName>
    <definedName name="_xlnm.Print_Area" localSheetId="64">'12.9_국공유지 무상귀속'!$N$8:$Z$105</definedName>
    <definedName name="_xlnm.Print_Area" localSheetId="1">'2.1_국토 및 지역계획'!$N$9:$Z$159</definedName>
    <definedName name="_xlnm.Print_Area" localSheetId="9">'3,5_개발제한구역도시군관리계획변경'!$N$10:$Z$148</definedName>
    <definedName name="_xlnm.Print_Area" localSheetId="2">'3.1_광역도시계획'!$N$9:$Z$156</definedName>
    <definedName name="_xlnm.Print_Area" localSheetId="68">'3.10_단위계획시설 집행계획'!$N$11:$Z$122</definedName>
    <definedName name="_xlnm.Print_Area" localSheetId="3">'3.2_도시·군기본계획'!$N$9:$Z$146</definedName>
    <definedName name="_xlnm.Print_Area" localSheetId="5">'3.3_도시·군관리계획(변경)결정'!$N$9:$Z$140</definedName>
    <definedName name="_xlnm.Print_Area" localSheetId="4">'3.3_도시·군관리계획(재정비)'!$N$9:$Z$143</definedName>
    <definedName name="_xlnm.Print_Area" localSheetId="6">'3.4_스마트도시계획'!$N$10:$Z$164</definedName>
    <definedName name="_xlnm.Print_Area" localSheetId="7">'3.4_스마트도시특화단지계획'!$N$10:$Z$59</definedName>
    <definedName name="_xlnm.Print_Area" localSheetId="8">'3.5_개발제한구역관리계획'!$N$9:$Z$169</definedName>
    <definedName name="_xlnm.Print_Area" localSheetId="11">'3.6_성장관리계획 수립'!$N$9:$Z$150</definedName>
    <definedName name="_xlnm.Print_Area" localSheetId="10">'3.6_성장관리계획구역의 지정'!$N$9:$Z$141</definedName>
    <definedName name="_xlnm.Print_Area" localSheetId="12">'3.7_개발행위허가'!$N$9:$Z$163</definedName>
    <definedName name="_xlnm.Print_Area" localSheetId="66">'3.7_스마트도시시민리빙랩'!$N$10:$Z$68</definedName>
    <definedName name="_xlnm.Print_Area" localSheetId="67">'3.8_도시(지역)교통계획'!$N$9:$Z$155</definedName>
    <definedName name="_xlnm.Print_Area" localSheetId="13">'3.8_저탄소 녹색도시계획'!$N$9:$Z$123</definedName>
    <definedName name="_xlnm.Print_Area" localSheetId="15">'4.1_지구단위계획'!$N$11:$Z$166</definedName>
    <definedName name="_xlnm.Print_Area" localSheetId="14">'4.1_지구단위계획(지구지정)'!$N$11:$Z$161</definedName>
    <definedName name="_xlnm.Print_Area" localSheetId="16">'4.2 입체적 도시공간계획'!$N$9:$Z$119</definedName>
    <definedName name="_xlnm.Print_Area" localSheetId="17">'4.3 마을만들기'!$N$9:$Z$146</definedName>
    <definedName name="_xlnm.Print_Area" localSheetId="18">'5.1_도시개발구역지정'!$N$10:$Z$164</definedName>
    <definedName name="_xlnm.Print_Area" localSheetId="19">'5.2_주택단지 개발계획'!$N$11:$Z$168</definedName>
    <definedName name="_xlnm.Print_Area" localSheetId="20">'5.3_산업단지 개발계획'!$N$8:$Z$166</definedName>
    <definedName name="_xlnm.Print_Area" localSheetId="21">'5.4_물류(유통)단지 개발계획'!$N$13:$Z$168</definedName>
    <definedName name="_xlnm.Print_Area" localSheetId="22">'5.5_환지방식 개발계획'!$T$16:$AF$58</definedName>
    <definedName name="_xlnm.Print_Area" localSheetId="23">'6.1 도시재생전략계획'!$N$8:$Z$150</definedName>
    <definedName name="_xlnm.Print_Area" localSheetId="24">'6.1_도시재생활성화계획'!$N$15:$Z$158</definedName>
    <definedName name="_xlnm.Print_Area" localSheetId="26">'6.2_재정비촉진계획'!$N$13:$Z$161</definedName>
    <definedName name="_xlnm.Print_Area" localSheetId="25">'6.2_재정비촉진지구지정'!$N$13:$Z$151</definedName>
    <definedName name="_xlnm.Print_Area" localSheetId="34">'6.3_관리처분계획'!$N$14:$Z$171</definedName>
    <definedName name="_xlnm.Print_Area" localSheetId="29">'6.3_구역지정(정비계획)-1'!$N$11:$Z$158</definedName>
    <definedName name="_xlnm.Print_Area" localSheetId="31">'6.3_구역해제 및 관리방안'!$N$10:$Z$155</definedName>
    <definedName name="_xlnm.Print_Area" localSheetId="27">'6.3_도시·주거환경정비 기본계획'!$N$8:$Z$171</definedName>
    <definedName name="_xlnm.Print_Area" localSheetId="33">'6.3_사업시행계획'!$N$12:$Z$141</definedName>
    <definedName name="_xlnm.Print_Area" localSheetId="28">'6.3_생활권계획'!$X$9:$AJ$62</definedName>
    <definedName name="_xlnm.Print_Area" localSheetId="32">'6.3_소규모주택정비사업'!$N$10:$Z$148</definedName>
    <definedName name="_xlnm.Print_Area" localSheetId="30">'6.3_주거환경개선사업'!$N$10:$Z$163</definedName>
    <definedName name="_xlnm.Print_Area" localSheetId="35">'6.4_공업지역 기본계획'!$N$11:$Z$171</definedName>
    <definedName name="_xlnm.Print_Area" localSheetId="36">'6.4_리모델링 기본계획'!$N$11:$Z$163</definedName>
    <definedName name="_xlnm.Print_Area" localSheetId="37">'7.1_도시경관계획'!$N$10:$Z$166</definedName>
    <definedName name="_xlnm.Print_Area" localSheetId="38">'7.2_(1)지구경관계획'!$N$11:$Z$163</definedName>
    <definedName name="_xlnm.Print_Area" localSheetId="39">'7.2_(2)농·산·어촌경관계획'!$N$8:$Z$161</definedName>
    <definedName name="_xlnm.Print_Area" localSheetId="40">'7.2_(3)경관기본설계'!$N$13:$Z$156</definedName>
    <definedName name="_xlnm.Print_Area" localSheetId="41">'7.3_사회기반시설사업 등의 경관심의'!$N$13:$Z$149</definedName>
    <definedName name="_xlnm.Print_Area" localSheetId="42">'8.1_국토계획평가'!$N$8:$Z$147</definedName>
    <definedName name="_xlnm.Print_Area" localSheetId="43">'8.2_토지적성평가'!$N$11:$Z$118</definedName>
    <definedName name="_xlnm.Print_Area" localSheetId="44">'8.3_재해취약성분석'!$N$15:$Z$162</definedName>
    <definedName name="_xlnm.Print_Area" localSheetId="45">'8.4_교육환경평가'!$N$14:$Z$141</definedName>
    <definedName name="_xlnm.Print_Area" localSheetId="0">용역단가!$B$1:$I$4</definedName>
    <definedName name="고급">OFFSET(용역단가!$B$5,용역단가!$C$3,3)</definedName>
    <definedName name="기술사">OFFSET(용역단가!$B$5,용역단가!$C$3,1)</definedName>
    <definedName name="단가">OFFSET(용역단가!$B$5,용역단가!$C$3,1,1,6)</definedName>
    <definedName name="보조원">OFFSET(용역단가!$B$5,용역단가!$C$3,6)</definedName>
    <definedName name="중급">OFFSET(용역단가!$B$5,용역단가!$C$3,4)</definedName>
    <definedName name="초급">OFFSET(용역단가!$B$5,용역단가!$C$3,5)</definedName>
    <definedName name="특급">OFFSET(용역단가!$B$5,용역단가!$C$3,2)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2" i="25" l="1"/>
  <c r="Y31" i="25"/>
  <c r="Y30" i="25"/>
  <c r="Y29" i="25"/>
  <c r="Y28" i="25"/>
  <c r="Y27" i="25"/>
  <c r="Y26" i="25"/>
  <c r="Y25" i="25"/>
  <c r="Y24" i="25"/>
  <c r="Y23" i="25"/>
  <c r="Y22" i="25"/>
  <c r="Y21" i="25"/>
  <c r="Y20" i="25"/>
  <c r="Y19" i="25"/>
  <c r="Y18" i="25"/>
  <c r="Y17" i="25"/>
  <c r="N32" i="25"/>
  <c r="N31" i="25"/>
  <c r="N30" i="25"/>
  <c r="N29" i="25"/>
  <c r="N28" i="25"/>
  <c r="N27" i="25"/>
  <c r="N26" i="25"/>
  <c r="N25" i="25"/>
  <c r="N24" i="25"/>
  <c r="N23" i="25"/>
  <c r="N22" i="25"/>
  <c r="N21" i="25"/>
  <c r="N20" i="25"/>
  <c r="N19" i="25"/>
  <c r="N18" i="25"/>
  <c r="N17" i="25"/>
  <c r="N16" i="25"/>
  <c r="N15" i="25"/>
  <c r="B51" i="25"/>
  <c r="B50" i="25"/>
  <c r="B49" i="25"/>
  <c r="B48" i="25"/>
  <c r="B47" i="25"/>
  <c r="B46" i="25"/>
  <c r="B45" i="25"/>
  <c r="B44" i="25"/>
  <c r="B43" i="25"/>
  <c r="B42" i="25"/>
  <c r="B41" i="25"/>
  <c r="B40" i="25"/>
  <c r="B39" i="25"/>
  <c r="B38" i="25"/>
  <c r="B37" i="25"/>
  <c r="B36" i="25"/>
  <c r="B35" i="25"/>
  <c r="B34" i="25"/>
  <c r="I5" i="25" l="1"/>
  <c r="D48" i="25" s="1" a="1"/>
  <c r="E48" i="25" s="1"/>
  <c r="D5" i="25"/>
  <c r="D45" i="25" s="1" a="1"/>
  <c r="G46" i="25" s="1"/>
  <c r="N22" i="35"/>
  <c r="N21" i="35"/>
  <c r="N20" i="35"/>
  <c r="N19" i="35"/>
  <c r="N18" i="35"/>
  <c r="N17" i="35"/>
  <c r="N16" i="35"/>
  <c r="N15" i="35"/>
  <c r="B31" i="35"/>
  <c r="B30" i="35"/>
  <c r="B29" i="35"/>
  <c r="B28" i="35"/>
  <c r="B27" i="35"/>
  <c r="B26" i="35"/>
  <c r="B25" i="35"/>
  <c r="B24" i="35"/>
  <c r="N21" i="147"/>
  <c r="N20" i="147"/>
  <c r="N19" i="147"/>
  <c r="N18" i="147"/>
  <c r="N17" i="147"/>
  <c r="N16" i="147"/>
  <c r="N15" i="147"/>
  <c r="N14" i="147"/>
  <c r="N13" i="147"/>
  <c r="N12" i="147"/>
  <c r="B32" i="147"/>
  <c r="B31" i="147"/>
  <c r="B30" i="147"/>
  <c r="B29" i="147"/>
  <c r="B28" i="147"/>
  <c r="B27" i="147"/>
  <c r="B26" i="147"/>
  <c r="B25" i="147"/>
  <c r="B24" i="147"/>
  <c r="B23" i="147"/>
  <c r="D5" i="147"/>
  <c r="T104" i="147"/>
  <c r="R104" i="147" s="1"/>
  <c r="T103" i="147"/>
  <c r="R103" i="147" s="1"/>
  <c r="T102" i="147"/>
  <c r="R102" i="147" s="1"/>
  <c r="T101" i="147"/>
  <c r="R101" i="147" s="1"/>
  <c r="T100" i="147"/>
  <c r="R100" i="147" s="1"/>
  <c r="T99" i="147"/>
  <c r="R99" i="147" s="1"/>
  <c r="T96" i="147"/>
  <c r="R96" i="147" s="1"/>
  <c r="T95" i="147"/>
  <c r="R95" i="147" s="1"/>
  <c r="T94" i="147"/>
  <c r="R94" i="147" s="1"/>
  <c r="T93" i="147"/>
  <c r="R93" i="147" s="1"/>
  <c r="T92" i="147"/>
  <c r="R92" i="147" s="1"/>
  <c r="T91" i="147"/>
  <c r="R91" i="147" s="1"/>
  <c r="T88" i="147"/>
  <c r="R88" i="147" s="1"/>
  <c r="T87" i="147"/>
  <c r="R87" i="147" s="1"/>
  <c r="T86" i="147"/>
  <c r="R86" i="147" s="1"/>
  <c r="T85" i="147"/>
  <c r="R85" i="147" s="1"/>
  <c r="T84" i="147"/>
  <c r="R84" i="147" s="1"/>
  <c r="T83" i="147"/>
  <c r="R83" i="147" s="1"/>
  <c r="T80" i="147"/>
  <c r="R80" i="147" s="1"/>
  <c r="T79" i="147"/>
  <c r="R79" i="147" s="1"/>
  <c r="T78" i="147"/>
  <c r="R78" i="147" s="1"/>
  <c r="T77" i="147"/>
  <c r="R77" i="147" s="1"/>
  <c r="T76" i="147"/>
  <c r="R76" i="147" s="1"/>
  <c r="T75" i="147"/>
  <c r="R75" i="147" s="1"/>
  <c r="T72" i="147"/>
  <c r="R72" i="147" s="1"/>
  <c r="T71" i="147"/>
  <c r="R71" i="147" s="1"/>
  <c r="T70" i="147"/>
  <c r="R70" i="147" s="1"/>
  <c r="T69" i="147"/>
  <c r="R69" i="147" s="1"/>
  <c r="T68" i="147"/>
  <c r="R68" i="147" s="1"/>
  <c r="T67" i="147"/>
  <c r="R67" i="147" s="1"/>
  <c r="T64" i="147"/>
  <c r="R64" i="147" s="1"/>
  <c r="T63" i="147"/>
  <c r="R63" i="147" s="1"/>
  <c r="T62" i="147"/>
  <c r="R62" i="147" s="1"/>
  <c r="T61" i="147"/>
  <c r="R61" i="147" s="1"/>
  <c r="T60" i="147"/>
  <c r="R60" i="147" s="1"/>
  <c r="T59" i="147"/>
  <c r="R59" i="147" s="1"/>
  <c r="T56" i="147"/>
  <c r="R56" i="147" s="1"/>
  <c r="T55" i="147"/>
  <c r="R55" i="147" s="1"/>
  <c r="T54" i="147"/>
  <c r="R54" i="147" s="1"/>
  <c r="T53" i="147"/>
  <c r="R53" i="147" s="1"/>
  <c r="T52" i="147"/>
  <c r="R52" i="147" s="1"/>
  <c r="T51" i="147"/>
  <c r="R51" i="147" s="1"/>
  <c r="Z50" i="147"/>
  <c r="Z58" i="147" s="1"/>
  <c r="N58" i="147" s="1"/>
  <c r="T48" i="147"/>
  <c r="R48" i="147" s="1"/>
  <c r="T47" i="147"/>
  <c r="R47" i="147" s="1"/>
  <c r="T46" i="147"/>
  <c r="R46" i="147" s="1"/>
  <c r="T45" i="147"/>
  <c r="R45" i="147" s="1"/>
  <c r="T44" i="147"/>
  <c r="R44" i="147" s="1"/>
  <c r="T43" i="147"/>
  <c r="R43" i="147" s="1"/>
  <c r="N42" i="147"/>
  <c r="W24" i="147"/>
  <c r="W23" i="147" s="1"/>
  <c r="N24" i="147"/>
  <c r="Y21" i="147"/>
  <c r="Y20" i="147"/>
  <c r="Y19" i="147"/>
  <c r="Y18" i="147"/>
  <c r="Y17" i="147"/>
  <c r="Y16" i="147"/>
  <c r="I16" i="147"/>
  <c r="H16" i="147"/>
  <c r="G16" i="147"/>
  <c r="F16" i="147"/>
  <c r="E16" i="147"/>
  <c r="D16" i="147"/>
  <c r="Y15" i="147"/>
  <c r="Y14" i="147"/>
  <c r="Y13" i="147"/>
  <c r="Y12" i="147"/>
  <c r="I12" i="147"/>
  <c r="H12" i="147"/>
  <c r="G12" i="147"/>
  <c r="F12" i="147"/>
  <c r="E12" i="147"/>
  <c r="D12" i="147"/>
  <c r="D24" i="147" a="1"/>
  <c r="D41" i="121" a="1"/>
  <c r="D41" i="121" s="1"/>
  <c r="G41" i="121"/>
  <c r="D42" i="121"/>
  <c r="E42" i="121"/>
  <c r="I42" i="121"/>
  <c r="F43" i="121"/>
  <c r="G43" i="121"/>
  <c r="E44" i="121"/>
  <c r="H44" i="121"/>
  <c r="I44" i="121"/>
  <c r="I5" i="121"/>
  <c r="N27" i="121"/>
  <c r="N26" i="121"/>
  <c r="N25" i="121"/>
  <c r="N24" i="121"/>
  <c r="N23" i="121"/>
  <c r="N22" i="121"/>
  <c r="N21" i="121"/>
  <c r="N20" i="121"/>
  <c r="N19" i="121"/>
  <c r="N18" i="121"/>
  <c r="N17" i="121"/>
  <c r="N16" i="121"/>
  <c r="N15" i="121"/>
  <c r="N14" i="121"/>
  <c r="N13" i="121"/>
  <c r="N12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Y27" i="146"/>
  <c r="Y26" i="146"/>
  <c r="Y25" i="146"/>
  <c r="Y24" i="146"/>
  <c r="Y23" i="146"/>
  <c r="Y22" i="146"/>
  <c r="Y21" i="146"/>
  <c r="Y20" i="146"/>
  <c r="Y19" i="146"/>
  <c r="Y18" i="146"/>
  <c r="Y17" i="146"/>
  <c r="Y16" i="146"/>
  <c r="Y15" i="146"/>
  <c r="Y14" i="146"/>
  <c r="Y13" i="146"/>
  <c r="Y12" i="146"/>
  <c r="C44" i="146"/>
  <c r="C43" i="146"/>
  <c r="C42" i="146"/>
  <c r="C41" i="146"/>
  <c r="C40" i="146"/>
  <c r="C39" i="146"/>
  <c r="C38" i="146"/>
  <c r="C37" i="146"/>
  <c r="C36" i="146"/>
  <c r="C35" i="146"/>
  <c r="C34" i="146"/>
  <c r="C33" i="146"/>
  <c r="C31" i="146"/>
  <c r="C30" i="146"/>
  <c r="N60" i="146" s="1"/>
  <c r="B32" i="146"/>
  <c r="B29" i="146"/>
  <c r="N27" i="146"/>
  <c r="N26" i="146"/>
  <c r="N25" i="146"/>
  <c r="N24" i="146"/>
  <c r="N23" i="146"/>
  <c r="N22" i="146"/>
  <c r="N21" i="146"/>
  <c r="N20" i="146"/>
  <c r="N19" i="146"/>
  <c r="N18" i="146"/>
  <c r="N17" i="146"/>
  <c r="N16" i="146"/>
  <c r="N15" i="146"/>
  <c r="N14" i="146"/>
  <c r="N13" i="146"/>
  <c r="N12" i="146"/>
  <c r="D5" i="146"/>
  <c r="D30" i="146" s="1" a="1"/>
  <c r="T170" i="146"/>
  <c r="R170" i="146" s="1"/>
  <c r="T169" i="146"/>
  <c r="R169" i="146" s="1"/>
  <c r="T168" i="146"/>
  <c r="R168" i="146" s="1"/>
  <c r="T167" i="146"/>
  <c r="R167" i="146" s="1"/>
  <c r="T166" i="146"/>
  <c r="R166" i="146" s="1"/>
  <c r="T165" i="146"/>
  <c r="R165" i="146" s="1"/>
  <c r="T162" i="146"/>
  <c r="R162" i="146" s="1"/>
  <c r="T161" i="146"/>
  <c r="R161" i="146" s="1"/>
  <c r="T160" i="146"/>
  <c r="R160" i="146" s="1"/>
  <c r="T159" i="146"/>
  <c r="R159" i="146" s="1"/>
  <c r="T158" i="146"/>
  <c r="R158" i="146" s="1"/>
  <c r="T157" i="146"/>
  <c r="R157" i="146" s="1"/>
  <c r="T154" i="146"/>
  <c r="R154" i="146" s="1"/>
  <c r="T153" i="146"/>
  <c r="R153" i="146" s="1"/>
  <c r="T152" i="146"/>
  <c r="R152" i="146" s="1"/>
  <c r="T151" i="146"/>
  <c r="R151" i="146" s="1"/>
  <c r="T150" i="146"/>
  <c r="R150" i="146" s="1"/>
  <c r="T149" i="146"/>
  <c r="R149" i="146" s="1"/>
  <c r="T146" i="146"/>
  <c r="R146" i="146" s="1"/>
  <c r="T145" i="146"/>
  <c r="R145" i="146" s="1"/>
  <c r="T144" i="146"/>
  <c r="R144" i="146" s="1"/>
  <c r="T143" i="146"/>
  <c r="R143" i="146" s="1"/>
  <c r="T142" i="146"/>
  <c r="R142" i="146" s="1"/>
  <c r="T141" i="146"/>
  <c r="R141" i="146" s="1"/>
  <c r="T138" i="146"/>
  <c r="R138" i="146" s="1"/>
  <c r="T137" i="146"/>
  <c r="R137" i="146" s="1"/>
  <c r="T136" i="146"/>
  <c r="R136" i="146" s="1"/>
  <c r="T135" i="146"/>
  <c r="R135" i="146" s="1"/>
  <c r="T134" i="146"/>
  <c r="R134" i="146" s="1"/>
  <c r="T133" i="146"/>
  <c r="R133" i="146" s="1"/>
  <c r="T130" i="146"/>
  <c r="R130" i="146" s="1"/>
  <c r="T129" i="146"/>
  <c r="R129" i="146" s="1"/>
  <c r="T128" i="146"/>
  <c r="R128" i="146" s="1"/>
  <c r="T127" i="146"/>
  <c r="R127" i="146" s="1"/>
  <c r="T126" i="146"/>
  <c r="R126" i="146" s="1"/>
  <c r="T125" i="146"/>
  <c r="R125" i="146" s="1"/>
  <c r="T122" i="146"/>
  <c r="R122" i="146" s="1"/>
  <c r="T121" i="146"/>
  <c r="R121" i="146" s="1"/>
  <c r="T120" i="146"/>
  <c r="R120" i="146" s="1"/>
  <c r="T119" i="146"/>
  <c r="R119" i="146" s="1"/>
  <c r="T118" i="146"/>
  <c r="R118" i="146" s="1"/>
  <c r="T117" i="146"/>
  <c r="R117" i="146" s="1"/>
  <c r="T114" i="146"/>
  <c r="R114" i="146" s="1"/>
  <c r="T113" i="146"/>
  <c r="R113" i="146" s="1"/>
  <c r="T112" i="146"/>
  <c r="R112" i="146" s="1"/>
  <c r="T111" i="146"/>
  <c r="R111" i="146" s="1"/>
  <c r="T110" i="146"/>
  <c r="R110" i="146" s="1"/>
  <c r="T109" i="146"/>
  <c r="R109" i="146" s="1"/>
  <c r="T106" i="146"/>
  <c r="R106" i="146" s="1"/>
  <c r="T105" i="146"/>
  <c r="R105" i="146" s="1"/>
  <c r="T104" i="146"/>
  <c r="R104" i="146" s="1"/>
  <c r="T103" i="146"/>
  <c r="R103" i="146" s="1"/>
  <c r="T102" i="146"/>
  <c r="R102" i="146" s="1"/>
  <c r="T101" i="146"/>
  <c r="R101" i="146" s="1"/>
  <c r="T98" i="146"/>
  <c r="R98" i="146" s="1"/>
  <c r="T97" i="146"/>
  <c r="R97" i="146" s="1"/>
  <c r="T96" i="146"/>
  <c r="R96" i="146" s="1"/>
  <c r="T95" i="146"/>
  <c r="R95" i="146" s="1"/>
  <c r="T94" i="146"/>
  <c r="R94" i="146" s="1"/>
  <c r="T93" i="146"/>
  <c r="R93" i="146" s="1"/>
  <c r="T90" i="146"/>
  <c r="R90" i="146" s="1"/>
  <c r="T89" i="146"/>
  <c r="R89" i="146" s="1"/>
  <c r="T88" i="146"/>
  <c r="R88" i="146" s="1"/>
  <c r="T87" i="146"/>
  <c r="R87" i="146" s="1"/>
  <c r="T86" i="146"/>
  <c r="R86" i="146" s="1"/>
  <c r="T85" i="146"/>
  <c r="R85" i="146" s="1"/>
  <c r="T82" i="146"/>
  <c r="R82" i="146" s="1"/>
  <c r="T81" i="146"/>
  <c r="R81" i="146" s="1"/>
  <c r="T80" i="146"/>
  <c r="R80" i="146" s="1"/>
  <c r="T79" i="146"/>
  <c r="R79" i="146" s="1"/>
  <c r="T78" i="146"/>
  <c r="R78" i="146" s="1"/>
  <c r="T77" i="146"/>
  <c r="R77" i="146" s="1"/>
  <c r="T74" i="146"/>
  <c r="R74" i="146" s="1"/>
  <c r="T73" i="146"/>
  <c r="R73" i="146" s="1"/>
  <c r="T72" i="146"/>
  <c r="R72" i="146" s="1"/>
  <c r="T71" i="146"/>
  <c r="R71" i="146" s="1"/>
  <c r="T70" i="146"/>
  <c r="R70" i="146" s="1"/>
  <c r="T69" i="146"/>
  <c r="R69" i="146" s="1"/>
  <c r="Z68" i="146"/>
  <c r="T66" i="146"/>
  <c r="R66" i="146" s="1"/>
  <c r="T65" i="146"/>
  <c r="R65" i="146" s="1"/>
  <c r="T64" i="146"/>
  <c r="R64" i="146" s="1"/>
  <c r="T63" i="146"/>
  <c r="R63" i="146" s="1"/>
  <c r="T62" i="146"/>
  <c r="R62" i="146" s="1"/>
  <c r="T61" i="146"/>
  <c r="R61" i="146" s="1"/>
  <c r="W29" i="146"/>
  <c r="W28" i="146" s="1"/>
  <c r="N29" i="146"/>
  <c r="I12" i="146"/>
  <c r="H12" i="146"/>
  <c r="G12" i="146"/>
  <c r="F12" i="146"/>
  <c r="E12" i="146"/>
  <c r="D12" i="146"/>
  <c r="I15" i="146"/>
  <c r="H15" i="146"/>
  <c r="G15" i="146"/>
  <c r="F15" i="146"/>
  <c r="E15" i="146"/>
  <c r="D15" i="146"/>
  <c r="H4" i="146"/>
  <c r="D20" i="145" a="1"/>
  <c r="D5" i="145"/>
  <c r="T60" i="145"/>
  <c r="R60" i="145" s="1"/>
  <c r="T59" i="145"/>
  <c r="R59" i="145" s="1"/>
  <c r="T58" i="145"/>
  <c r="R58" i="145" s="1"/>
  <c r="T57" i="145"/>
  <c r="R57" i="145" s="1"/>
  <c r="T56" i="145"/>
  <c r="R56" i="145" s="1"/>
  <c r="T55" i="145"/>
  <c r="R55" i="145" s="1"/>
  <c r="T52" i="145"/>
  <c r="R52" i="145" s="1"/>
  <c r="T51" i="145"/>
  <c r="R51" i="145" s="1"/>
  <c r="T50" i="145"/>
  <c r="R50" i="145" s="1"/>
  <c r="T49" i="145"/>
  <c r="R49" i="145" s="1"/>
  <c r="T48" i="145"/>
  <c r="R48" i="145" s="1"/>
  <c r="T47" i="145"/>
  <c r="R47" i="145" s="1"/>
  <c r="T44" i="145"/>
  <c r="R44" i="145" s="1"/>
  <c r="T43" i="145"/>
  <c r="R43" i="145" s="1"/>
  <c r="T42" i="145"/>
  <c r="R42" i="145" s="1"/>
  <c r="T41" i="145"/>
  <c r="R41" i="145" s="1"/>
  <c r="T40" i="145"/>
  <c r="R40" i="145" s="1"/>
  <c r="T39" i="145"/>
  <c r="R39" i="145" s="1"/>
  <c r="Z38" i="145"/>
  <c r="Z46" i="145" s="1"/>
  <c r="T36" i="145"/>
  <c r="R36" i="145" s="1"/>
  <c r="T35" i="145"/>
  <c r="R35" i="145" s="1"/>
  <c r="T34" i="145"/>
  <c r="R34" i="145" s="1"/>
  <c r="T33" i="145"/>
  <c r="R33" i="145" s="1"/>
  <c r="T32" i="145"/>
  <c r="R32" i="145" s="1"/>
  <c r="T31" i="145"/>
  <c r="R31" i="145" s="1"/>
  <c r="B23" i="145"/>
  <c r="B22" i="145"/>
  <c r="B21" i="145"/>
  <c r="B20" i="145"/>
  <c r="N30" i="145" s="1"/>
  <c r="W19" i="145"/>
  <c r="W18" i="145" s="1"/>
  <c r="N19" i="145"/>
  <c r="B19" i="145"/>
  <c r="Y17" i="145"/>
  <c r="N17" i="145"/>
  <c r="Y16" i="145"/>
  <c r="N16" i="145"/>
  <c r="Y15" i="145"/>
  <c r="N15" i="145"/>
  <c r="Y14" i="145"/>
  <c r="N14" i="145"/>
  <c r="Y13" i="145"/>
  <c r="N13" i="145"/>
  <c r="I13" i="145"/>
  <c r="H13" i="145"/>
  <c r="G13" i="145"/>
  <c r="F13" i="145"/>
  <c r="E13" i="145"/>
  <c r="D13" i="145"/>
  <c r="F4" i="145"/>
  <c r="D24" i="129" a="1"/>
  <c r="D24" i="129" s="1"/>
  <c r="H49" i="25" l="1"/>
  <c r="D44" i="121"/>
  <c r="H42" i="121"/>
  <c r="F41" i="121"/>
  <c r="I45" i="25"/>
  <c r="G48" i="25"/>
  <c r="H46" i="25"/>
  <c r="E51" i="25"/>
  <c r="I50" i="25"/>
  <c r="F49" i="25"/>
  <c r="I48" i="25"/>
  <c r="G51" i="25"/>
  <c r="F50" i="25"/>
  <c r="E49" i="25"/>
  <c r="I51" i="25"/>
  <c r="D50" i="25"/>
  <c r="E45" i="25"/>
  <c r="D45" i="25"/>
  <c r="F46" i="25"/>
  <c r="G45" i="25"/>
  <c r="I46" i="25"/>
  <c r="H45" i="25"/>
  <c r="E46" i="25"/>
  <c r="F45" i="25"/>
  <c r="G49" i="25"/>
  <c r="F48" i="25"/>
  <c r="D51" i="25"/>
  <c r="I49" i="25"/>
  <c r="D48" i="25"/>
  <c r="H50" i="25"/>
  <c r="D46" i="25"/>
  <c r="W27" i="25" s="1" a="1"/>
  <c r="W27" i="25" s="1"/>
  <c r="E50" i="25"/>
  <c r="D49" i="25"/>
  <c r="H51" i="25"/>
  <c r="G50" i="25"/>
  <c r="H48" i="25"/>
  <c r="F51" i="25"/>
  <c r="D35" i="25" a="1"/>
  <c r="D35" i="25" s="1"/>
  <c r="D41" i="25" a="1"/>
  <c r="G24" i="147"/>
  <c r="P46" i="147" s="1"/>
  <c r="U46" i="147" s="1"/>
  <c r="S46" i="147" s="1"/>
  <c r="F26" i="147"/>
  <c r="F24" i="147"/>
  <c r="P45" i="147" s="1"/>
  <c r="U45" i="147" s="1"/>
  <c r="S45" i="147" s="1"/>
  <c r="I25" i="147"/>
  <c r="P56" i="147" s="1"/>
  <c r="U56" i="147" s="1"/>
  <c r="S56" i="147" s="1"/>
  <c r="H25" i="147"/>
  <c r="P55" i="147" s="1"/>
  <c r="U55" i="147" s="1"/>
  <c r="S55" i="147" s="1"/>
  <c r="N50" i="147"/>
  <c r="D28" i="147" a="1"/>
  <c r="G32" i="147" s="1"/>
  <c r="D25" i="147"/>
  <c r="P51" i="147" s="1"/>
  <c r="U51" i="147" s="1"/>
  <c r="S51" i="147" s="1"/>
  <c r="I26" i="147"/>
  <c r="P64" i="147" s="1"/>
  <c r="U64" i="147" s="1"/>
  <c r="S64" i="147" s="1"/>
  <c r="E26" i="147"/>
  <c r="P60" i="147" s="1"/>
  <c r="U60" i="147" s="1"/>
  <c r="S60" i="147" s="1"/>
  <c r="G25" i="147"/>
  <c r="P54" i="147" s="1"/>
  <c r="U54" i="147" s="1"/>
  <c r="S54" i="147" s="1"/>
  <c r="I24" i="147"/>
  <c r="E24" i="147"/>
  <c r="H26" i="147"/>
  <c r="P63" i="147" s="1"/>
  <c r="U63" i="147" s="1"/>
  <c r="S63" i="147" s="1"/>
  <c r="D26" i="147"/>
  <c r="P59" i="147" s="1"/>
  <c r="U59" i="147" s="1"/>
  <c r="F25" i="147"/>
  <c r="H24" i="147"/>
  <c r="D24" i="147"/>
  <c r="E25" i="147"/>
  <c r="P52" i="147" s="1"/>
  <c r="U52" i="147" s="1"/>
  <c r="S52" i="147" s="1"/>
  <c r="G26" i="147"/>
  <c r="P62" i="147" s="1"/>
  <c r="U62" i="147" s="1"/>
  <c r="S62" i="147" s="1"/>
  <c r="Z66" i="147"/>
  <c r="P61" i="147"/>
  <c r="U61" i="147" s="1"/>
  <c r="S61" i="147" s="1"/>
  <c r="G44" i="121"/>
  <c r="I43" i="121"/>
  <c r="E43" i="121"/>
  <c r="G42" i="121"/>
  <c r="I41" i="121"/>
  <c r="E41" i="121"/>
  <c r="F44" i="121"/>
  <c r="H43" i="121"/>
  <c r="D43" i="121"/>
  <c r="F42" i="121"/>
  <c r="H41" i="121"/>
  <c r="D33" i="146" a="1"/>
  <c r="G44" i="146" s="1"/>
  <c r="E43" i="146"/>
  <c r="G40" i="146"/>
  <c r="I39" i="146"/>
  <c r="I37" i="146"/>
  <c r="E35" i="146"/>
  <c r="G34" i="146"/>
  <c r="F44" i="146"/>
  <c r="H41" i="146"/>
  <c r="D41" i="146"/>
  <c r="D39" i="146"/>
  <c r="F36" i="146"/>
  <c r="H35" i="146"/>
  <c r="H33" i="146"/>
  <c r="D30" i="146"/>
  <c r="E31" i="146"/>
  <c r="F30" i="146"/>
  <c r="H31" i="146"/>
  <c r="G30" i="146"/>
  <c r="I31" i="146"/>
  <c r="D31" i="146"/>
  <c r="G31" i="146"/>
  <c r="I30" i="146"/>
  <c r="E30" i="146"/>
  <c r="F31" i="146"/>
  <c r="H30" i="146"/>
  <c r="N68" i="146"/>
  <c r="Z76" i="146"/>
  <c r="I20" i="145"/>
  <c r="I23" i="145"/>
  <c r="D23" i="145"/>
  <c r="E22" i="145"/>
  <c r="P48" i="145" s="1"/>
  <c r="U48" i="145" s="1"/>
  <c r="S48" i="145" s="1"/>
  <c r="E21" i="145"/>
  <c r="P40" i="145" s="1"/>
  <c r="U40" i="145" s="1"/>
  <c r="S40" i="145" s="1"/>
  <c r="F20" i="145"/>
  <c r="F22" i="145"/>
  <c r="H23" i="145"/>
  <c r="I22" i="145"/>
  <c r="I21" i="145"/>
  <c r="D21" i="145"/>
  <c r="E20" i="145"/>
  <c r="E23" i="145"/>
  <c r="G21" i="145"/>
  <c r="G20" i="145"/>
  <c r="G23" i="145"/>
  <c r="G22" i="145"/>
  <c r="H21" i="145"/>
  <c r="D20" i="145"/>
  <c r="F23" i="145"/>
  <c r="H22" i="145"/>
  <c r="P51" i="145" s="1"/>
  <c r="U51" i="145" s="1"/>
  <c r="S51" i="145" s="1"/>
  <c r="D22" i="145"/>
  <c r="F21" i="145"/>
  <c r="P41" i="145" s="1"/>
  <c r="U41" i="145" s="1"/>
  <c r="S41" i="145" s="1"/>
  <c r="H20" i="145"/>
  <c r="N38" i="145"/>
  <c r="P43" i="145"/>
  <c r="U43" i="145" s="1"/>
  <c r="S43" i="145" s="1"/>
  <c r="P39" i="145"/>
  <c r="U39" i="145" s="1"/>
  <c r="P42" i="145"/>
  <c r="U42" i="145" s="1"/>
  <c r="S42" i="145" s="1"/>
  <c r="P50" i="145"/>
  <c r="U50" i="145" s="1"/>
  <c r="S50" i="145" s="1"/>
  <c r="Z54" i="145"/>
  <c r="P49" i="145"/>
  <c r="U49" i="145" s="1"/>
  <c r="S49" i="145" s="1"/>
  <c r="N46" i="145"/>
  <c r="P52" i="145"/>
  <c r="U52" i="145" s="1"/>
  <c r="S52" i="145" s="1"/>
  <c r="P44" i="145"/>
  <c r="U44" i="145" s="1"/>
  <c r="S44" i="145" s="1"/>
  <c r="I25" i="129"/>
  <c r="E25" i="129"/>
  <c r="G24" i="129"/>
  <c r="H25" i="129"/>
  <c r="D25" i="129"/>
  <c r="F24" i="129"/>
  <c r="G25" i="129"/>
  <c r="I24" i="129"/>
  <c r="E24" i="129"/>
  <c r="F25" i="129"/>
  <c r="H24" i="129"/>
  <c r="Y30" i="66"/>
  <c r="Y29" i="66"/>
  <c r="Y28" i="66"/>
  <c r="Y27" i="66"/>
  <c r="Y26" i="66"/>
  <c r="Y25" i="66"/>
  <c r="Y24" i="66"/>
  <c r="Y23" i="66"/>
  <c r="Y22" i="66"/>
  <c r="Y21" i="66"/>
  <c r="Y20" i="66"/>
  <c r="Y19" i="66"/>
  <c r="Y18" i="66"/>
  <c r="N30" i="66"/>
  <c r="N29" i="66"/>
  <c r="N28" i="66"/>
  <c r="N27" i="66"/>
  <c r="N26" i="66"/>
  <c r="N25" i="66"/>
  <c r="N24" i="66"/>
  <c r="N23" i="66"/>
  <c r="N22" i="66"/>
  <c r="N21" i="66"/>
  <c r="N20" i="66"/>
  <c r="N19" i="66"/>
  <c r="N18" i="66"/>
  <c r="N17" i="66"/>
  <c r="N16" i="66"/>
  <c r="B46" i="66"/>
  <c r="B45" i="66"/>
  <c r="B44" i="66"/>
  <c r="B43" i="66"/>
  <c r="B42" i="66"/>
  <c r="B41" i="66"/>
  <c r="B40" i="66"/>
  <c r="B39" i="66"/>
  <c r="B38" i="66"/>
  <c r="B37" i="66"/>
  <c r="B36" i="66"/>
  <c r="B35" i="66"/>
  <c r="B34" i="66"/>
  <c r="B33" i="66"/>
  <c r="B32" i="66"/>
  <c r="D43" i="66" a="1"/>
  <c r="E43" i="66" s="1"/>
  <c r="G43" i="66"/>
  <c r="I44" i="66"/>
  <c r="E46" i="66"/>
  <c r="D33" i="66" a="1"/>
  <c r="B5" i="66"/>
  <c r="D3" i="66"/>
  <c r="D5" i="66" s="1"/>
  <c r="D36" i="66" s="1" a="1"/>
  <c r="I5" i="66"/>
  <c r="H45" i="66" l="1"/>
  <c r="F44" i="66"/>
  <c r="D43" i="66"/>
  <c r="F38" i="146"/>
  <c r="H43" i="146"/>
  <c r="E37" i="146"/>
  <c r="G42" i="146"/>
  <c r="H36" i="66"/>
  <c r="I46" i="66"/>
  <c r="G45" i="66"/>
  <c r="E44" i="66"/>
  <c r="W26" i="25" a="1"/>
  <c r="W26" i="25" s="1"/>
  <c r="F46" i="66"/>
  <c r="D45" i="66"/>
  <c r="H43" i="66"/>
  <c r="I35" i="25"/>
  <c r="D38" i="25"/>
  <c r="I38" i="25"/>
  <c r="D37" i="25"/>
  <c r="G36" i="25"/>
  <c r="W30" i="25" a="1"/>
  <c r="W30" i="25" s="1"/>
  <c r="W29" i="25" a="1"/>
  <c r="W29" i="25" s="1"/>
  <c r="I36" i="25"/>
  <c r="F38" i="25"/>
  <c r="F35" i="25"/>
  <c r="F37" i="25"/>
  <c r="E38" i="25"/>
  <c r="D39" i="25"/>
  <c r="W31" i="25" a="1"/>
  <c r="W31" i="25" s="1"/>
  <c r="D36" i="25"/>
  <c r="E36" i="25"/>
  <c r="H37" i="25"/>
  <c r="E37" i="25"/>
  <c r="E39" i="25"/>
  <c r="H38" i="25"/>
  <c r="H35" i="25"/>
  <c r="E35" i="25"/>
  <c r="I39" i="25"/>
  <c r="F39" i="25"/>
  <c r="W32" i="25" a="1"/>
  <c r="W32" i="25" s="1"/>
  <c r="G37" i="25"/>
  <c r="G38" i="25"/>
  <c r="G39" i="25"/>
  <c r="I37" i="25"/>
  <c r="G35" i="25"/>
  <c r="H39" i="25"/>
  <c r="H36" i="25"/>
  <c r="F36" i="25"/>
  <c r="D41" i="25"/>
  <c r="G43" i="25"/>
  <c r="F43" i="25"/>
  <c r="I43" i="25"/>
  <c r="E41" i="25"/>
  <c r="H41" i="25"/>
  <c r="G41" i="25"/>
  <c r="F41" i="25"/>
  <c r="I41" i="25"/>
  <c r="F42" i="25"/>
  <c r="I42" i="25"/>
  <c r="H42" i="25"/>
  <c r="E43" i="25"/>
  <c r="H43" i="25"/>
  <c r="E42" i="25"/>
  <c r="D42" i="25"/>
  <c r="G42" i="25"/>
  <c r="D43" i="25"/>
  <c r="W14" i="147" a="1"/>
  <c r="W14" i="147" s="1"/>
  <c r="E28" i="147"/>
  <c r="I30" i="147"/>
  <c r="F28" i="147"/>
  <c r="P69" i="147" s="1"/>
  <c r="U69" i="147" s="1"/>
  <c r="S69" i="147" s="1"/>
  <c r="D31" i="147"/>
  <c r="F31" i="147"/>
  <c r="G30" i="147"/>
  <c r="G29" i="147"/>
  <c r="E32" i="147"/>
  <c r="H29" i="147"/>
  <c r="F32" i="147"/>
  <c r="D30" i="147"/>
  <c r="I29" i="147"/>
  <c r="H30" i="147"/>
  <c r="F29" i="147"/>
  <c r="D32" i="147"/>
  <c r="G28" i="147"/>
  <c r="E31" i="147"/>
  <c r="D28" i="147"/>
  <c r="P67" i="147" s="1"/>
  <c r="U67" i="147" s="1"/>
  <c r="I31" i="147"/>
  <c r="I28" i="147"/>
  <c r="P72" i="147" s="1"/>
  <c r="U72" i="147" s="1"/>
  <c r="S72" i="147" s="1"/>
  <c r="G31" i="147"/>
  <c r="D29" i="147"/>
  <c r="H31" i="147"/>
  <c r="E29" i="147"/>
  <c r="E30" i="147"/>
  <c r="I32" i="147"/>
  <c r="F30" i="147"/>
  <c r="H28" i="147"/>
  <c r="P71" i="147" s="1"/>
  <c r="U71" i="147" s="1"/>
  <c r="S71" i="147" s="1"/>
  <c r="H32" i="147"/>
  <c r="G23" i="147"/>
  <c r="W13" i="147" a="1"/>
  <c r="W13" i="147" s="1"/>
  <c r="P43" i="147"/>
  <c r="U43" i="147" s="1"/>
  <c r="D23" i="147"/>
  <c r="P44" i="147"/>
  <c r="U44" i="147" s="1"/>
  <c r="S44" i="147" s="1"/>
  <c r="E23" i="147"/>
  <c r="P53" i="147"/>
  <c r="U53" i="147" s="1"/>
  <c r="S53" i="147" s="1"/>
  <c r="S57" i="147" s="1"/>
  <c r="F23" i="147"/>
  <c r="P48" i="147"/>
  <c r="U48" i="147" s="1"/>
  <c r="S48" i="147" s="1"/>
  <c r="I23" i="147"/>
  <c r="H23" i="147"/>
  <c r="P47" i="147"/>
  <c r="U47" i="147" s="1"/>
  <c r="S47" i="147" s="1"/>
  <c r="U65" i="147"/>
  <c r="S59" i="147"/>
  <c r="S65" i="147" s="1"/>
  <c r="P70" i="147"/>
  <c r="U70" i="147" s="1"/>
  <c r="S70" i="147" s="1"/>
  <c r="P68" i="147"/>
  <c r="U68" i="147" s="1"/>
  <c r="S68" i="147" s="1"/>
  <c r="Z74" i="147"/>
  <c r="N66" i="147"/>
  <c r="W15" i="147" a="1"/>
  <c r="W15" i="147" s="1"/>
  <c r="W14" i="146" a="1"/>
  <c r="W14" i="146" s="1"/>
  <c r="F34" i="146"/>
  <c r="D37" i="146"/>
  <c r="H39" i="146"/>
  <c r="F42" i="146"/>
  <c r="E33" i="146"/>
  <c r="I35" i="146"/>
  <c r="G38" i="146"/>
  <c r="E41" i="146"/>
  <c r="W24" i="146" s="1" a="1"/>
  <c r="W24" i="146" s="1"/>
  <c r="I43" i="146"/>
  <c r="D35" i="146"/>
  <c r="H37" i="146"/>
  <c r="F40" i="146"/>
  <c r="D43" i="146"/>
  <c r="I33" i="146"/>
  <c r="P82" i="146" s="1"/>
  <c r="U82" i="146" s="1"/>
  <c r="S82" i="146" s="1"/>
  <c r="G36" i="146"/>
  <c r="E39" i="146"/>
  <c r="I41" i="146"/>
  <c r="W13" i="146" a="1"/>
  <c r="W13" i="146" s="1"/>
  <c r="D33" i="146"/>
  <c r="G33" i="146"/>
  <c r="P80" i="146" s="1"/>
  <c r="U80" i="146" s="1"/>
  <c r="S80" i="146" s="1"/>
  <c r="I34" i="146"/>
  <c r="E36" i="146"/>
  <c r="G37" i="146"/>
  <c r="I38" i="146"/>
  <c r="E40" i="146"/>
  <c r="G41" i="146"/>
  <c r="I42" i="146"/>
  <c r="E44" i="146"/>
  <c r="G35" i="146"/>
  <c r="E38" i="146"/>
  <c r="I40" i="146"/>
  <c r="G43" i="146"/>
  <c r="H38" i="146"/>
  <c r="F41" i="146"/>
  <c r="D44" i="146"/>
  <c r="D34" i="146"/>
  <c r="F35" i="146"/>
  <c r="H36" i="146"/>
  <c r="D38" i="146"/>
  <c r="F39" i="146"/>
  <c r="H40" i="146"/>
  <c r="D42" i="146"/>
  <c r="F43" i="146"/>
  <c r="H44" i="146"/>
  <c r="E34" i="146"/>
  <c r="I36" i="146"/>
  <c r="G39" i="146"/>
  <c r="E42" i="146"/>
  <c r="I44" i="146"/>
  <c r="F33" i="146"/>
  <c r="H34" i="146"/>
  <c r="D36" i="146"/>
  <c r="W19" i="146" s="1" a="1"/>
  <c r="W19" i="146" s="1"/>
  <c r="F37" i="146"/>
  <c r="D40" i="146"/>
  <c r="H42" i="146"/>
  <c r="E32" i="146"/>
  <c r="Z84" i="146"/>
  <c r="N76" i="146"/>
  <c r="P81" i="146"/>
  <c r="U81" i="146" s="1"/>
  <c r="S81" i="146" s="1"/>
  <c r="P77" i="146"/>
  <c r="U77" i="146" s="1"/>
  <c r="P71" i="146"/>
  <c r="U71" i="146" s="1"/>
  <c r="S71" i="146" s="1"/>
  <c r="P74" i="146"/>
  <c r="U74" i="146" s="1"/>
  <c r="S74" i="146" s="1"/>
  <c r="P70" i="146"/>
  <c r="U70" i="146" s="1"/>
  <c r="S70" i="146" s="1"/>
  <c r="P79" i="146"/>
  <c r="U79" i="146" s="1"/>
  <c r="S79" i="146" s="1"/>
  <c r="P73" i="146"/>
  <c r="U73" i="146" s="1"/>
  <c r="S73" i="146" s="1"/>
  <c r="P78" i="146"/>
  <c r="U78" i="146" s="1"/>
  <c r="S78" i="146" s="1"/>
  <c r="P72" i="146"/>
  <c r="U72" i="146" s="1"/>
  <c r="S72" i="146" s="1"/>
  <c r="H32" i="146"/>
  <c r="W17" i="145" a="1"/>
  <c r="W17" i="145" s="1"/>
  <c r="H19" i="145"/>
  <c r="P35" i="145"/>
  <c r="U35" i="145" s="1"/>
  <c r="S35" i="145" s="1"/>
  <c r="P33" i="145"/>
  <c r="U33" i="145" s="1"/>
  <c r="S33" i="145" s="1"/>
  <c r="F19" i="145"/>
  <c r="U45" i="145"/>
  <c r="S39" i="145"/>
  <c r="S45" i="145" s="1"/>
  <c r="W15" i="145" a="1"/>
  <c r="W15" i="145" s="1"/>
  <c r="P32" i="145"/>
  <c r="U32" i="145" s="1"/>
  <c r="S32" i="145" s="1"/>
  <c r="E19" i="145"/>
  <c r="W16" i="145" a="1"/>
  <c r="W16" i="145" s="1"/>
  <c r="P47" i="145"/>
  <c r="U47" i="145" s="1"/>
  <c r="P60" i="145"/>
  <c r="U60" i="145" s="1"/>
  <c r="S60" i="145" s="1"/>
  <c r="P56" i="145"/>
  <c r="U56" i="145" s="1"/>
  <c r="S56" i="145" s="1"/>
  <c r="P59" i="145"/>
  <c r="U59" i="145" s="1"/>
  <c r="S59" i="145" s="1"/>
  <c r="P55" i="145"/>
  <c r="U55" i="145" s="1"/>
  <c r="P58" i="145"/>
  <c r="U58" i="145" s="1"/>
  <c r="S58" i="145" s="1"/>
  <c r="P57" i="145"/>
  <c r="U57" i="145" s="1"/>
  <c r="S57" i="145" s="1"/>
  <c r="N54" i="145"/>
  <c r="P34" i="145"/>
  <c r="U34" i="145" s="1"/>
  <c r="S34" i="145" s="1"/>
  <c r="G19" i="145"/>
  <c r="P36" i="145"/>
  <c r="U36" i="145" s="1"/>
  <c r="S36" i="145" s="1"/>
  <c r="I19" i="145"/>
  <c r="D19" i="145"/>
  <c r="W14" i="145" a="1"/>
  <c r="W14" i="145" s="1"/>
  <c r="P31" i="145"/>
  <c r="U31" i="145" s="1"/>
  <c r="G36" i="66"/>
  <c r="D36" i="66"/>
  <c r="D33" i="66"/>
  <c r="E36" i="66"/>
  <c r="H46" i="66"/>
  <c r="D46" i="66"/>
  <c r="F45" i="66"/>
  <c r="H44" i="66"/>
  <c r="D44" i="66"/>
  <c r="F43" i="66"/>
  <c r="G46" i="66"/>
  <c r="I45" i="66"/>
  <c r="E45" i="66"/>
  <c r="G44" i="66"/>
  <c r="I43" i="66"/>
  <c r="F36" i="66"/>
  <c r="I36" i="66"/>
  <c r="I34" i="66"/>
  <c r="E34" i="66"/>
  <c r="G33" i="66"/>
  <c r="H34" i="66"/>
  <c r="D34" i="66"/>
  <c r="F33" i="66"/>
  <c r="G34" i="66"/>
  <c r="I33" i="66"/>
  <c r="E33" i="66"/>
  <c r="F34" i="66"/>
  <c r="H33" i="66"/>
  <c r="Y38" i="123"/>
  <c r="Y29" i="123"/>
  <c r="Y24" i="123"/>
  <c r="Y20" i="123"/>
  <c r="Y18" i="123"/>
  <c r="A56" i="123"/>
  <c r="A57" i="123" s="1"/>
  <c r="A42" i="123"/>
  <c r="A43" i="123" s="1"/>
  <c r="A45" i="123" s="1"/>
  <c r="A47" i="123" s="1"/>
  <c r="A48" i="123" s="1"/>
  <c r="A49" i="123" s="1"/>
  <c r="A51" i="123" s="1"/>
  <c r="A52" i="123" s="1"/>
  <c r="A53" i="123" s="1"/>
  <c r="A54" i="123" s="1"/>
  <c r="A65" i="123" s="1"/>
  <c r="Y39" i="123" s="1"/>
  <c r="B65" i="123"/>
  <c r="B64" i="123"/>
  <c r="B63" i="123"/>
  <c r="B62" i="123"/>
  <c r="B61" i="123"/>
  <c r="B60" i="123"/>
  <c r="B59" i="123"/>
  <c r="B58" i="123"/>
  <c r="B57" i="123"/>
  <c r="B56" i="123"/>
  <c r="B55" i="123"/>
  <c r="B54" i="123"/>
  <c r="B53" i="123"/>
  <c r="B52" i="123"/>
  <c r="B51" i="123"/>
  <c r="B50" i="123"/>
  <c r="B49" i="123"/>
  <c r="B48" i="123"/>
  <c r="B47" i="123"/>
  <c r="B46" i="123"/>
  <c r="B45" i="123"/>
  <c r="B44" i="123"/>
  <c r="B43" i="123"/>
  <c r="B42" i="123"/>
  <c r="B41" i="123"/>
  <c r="N37" i="123"/>
  <c r="N36" i="123"/>
  <c r="N35" i="123"/>
  <c r="N34" i="123"/>
  <c r="N33" i="123"/>
  <c r="N32" i="123"/>
  <c r="N31" i="123"/>
  <c r="N30" i="123"/>
  <c r="N29" i="123"/>
  <c r="I29" i="123"/>
  <c r="H29" i="123"/>
  <c r="G29" i="123"/>
  <c r="F29" i="123"/>
  <c r="E29" i="123"/>
  <c r="D29" i="123"/>
  <c r="W18" i="25" l="1" a="1"/>
  <c r="W18" i="25" s="1"/>
  <c r="W22" i="146" a="1"/>
  <c r="W22" i="146" s="1"/>
  <c r="F32" i="146"/>
  <c r="W26" i="146" a="1"/>
  <c r="W26" i="146" s="1"/>
  <c r="W24" i="25" a="1"/>
  <c r="W24" i="25" s="1"/>
  <c r="W17" i="25" a="1"/>
  <c r="W17" i="25" s="1"/>
  <c r="W22" i="25" a="1"/>
  <c r="W22" i="25" s="1"/>
  <c r="W19" i="25" a="1"/>
  <c r="W19" i="25" s="1"/>
  <c r="W23" i="25" a="1"/>
  <c r="W23" i="25" s="1"/>
  <c r="W20" i="25" a="1"/>
  <c r="W20" i="25" s="1"/>
  <c r="H27" i="147"/>
  <c r="I27" i="147"/>
  <c r="W21" i="147" a="1"/>
  <c r="W21" i="147" s="1"/>
  <c r="G27" i="147"/>
  <c r="E27" i="147"/>
  <c r="D27" i="147"/>
  <c r="W19" i="147" a="1"/>
  <c r="W19" i="147" s="1"/>
  <c r="W18" i="147" a="1"/>
  <c r="W18" i="147" s="1"/>
  <c r="F27" i="147"/>
  <c r="W17" i="147" a="1"/>
  <c r="W17" i="147" s="1"/>
  <c r="W20" i="147" a="1"/>
  <c r="W20" i="147" s="1"/>
  <c r="Z82" i="147"/>
  <c r="P80" i="147"/>
  <c r="U80" i="147" s="1"/>
  <c r="S80" i="147" s="1"/>
  <c r="P76" i="147"/>
  <c r="U76" i="147" s="1"/>
  <c r="S76" i="147" s="1"/>
  <c r="P79" i="147"/>
  <c r="U79" i="147" s="1"/>
  <c r="S79" i="147" s="1"/>
  <c r="P75" i="147"/>
  <c r="U75" i="147" s="1"/>
  <c r="P78" i="147"/>
  <c r="U78" i="147" s="1"/>
  <c r="S78" i="147" s="1"/>
  <c r="P77" i="147"/>
  <c r="U77" i="147" s="1"/>
  <c r="S77" i="147" s="1"/>
  <c r="N74" i="147"/>
  <c r="U57" i="147"/>
  <c r="W12" i="147"/>
  <c r="S43" i="147"/>
  <c r="S49" i="147" s="1"/>
  <c r="U49" i="147"/>
  <c r="U73" i="147"/>
  <c r="S67" i="147"/>
  <c r="S73" i="147" s="1"/>
  <c r="W18" i="146" a="1"/>
  <c r="W18" i="146" s="1"/>
  <c r="I32" i="146"/>
  <c r="G32" i="146"/>
  <c r="W21" i="146" a="1"/>
  <c r="W21" i="146" s="1"/>
  <c r="W27" i="146" a="1"/>
  <c r="W27" i="146" s="1"/>
  <c r="W16" i="146" a="1"/>
  <c r="W16" i="146" s="1"/>
  <c r="W20" i="146" a="1"/>
  <c r="W20" i="146" s="1"/>
  <c r="W17" i="146" a="1"/>
  <c r="W17" i="146" s="1"/>
  <c r="W23" i="146" a="1"/>
  <c r="W23" i="146" s="1"/>
  <c r="W25" i="146" a="1"/>
  <c r="W25" i="146" s="1"/>
  <c r="D32" i="146"/>
  <c r="W12" i="146"/>
  <c r="U83" i="146"/>
  <c r="S77" i="146"/>
  <c r="S83" i="146" s="1"/>
  <c r="P64" i="146"/>
  <c r="U64" i="146" s="1"/>
  <c r="S64" i="146" s="1"/>
  <c r="G29" i="146"/>
  <c r="P61" i="146"/>
  <c r="U61" i="146" s="1"/>
  <c r="D29" i="146"/>
  <c r="P66" i="146"/>
  <c r="U66" i="146" s="1"/>
  <c r="S66" i="146" s="1"/>
  <c r="I29" i="146"/>
  <c r="P69" i="146"/>
  <c r="U69" i="146" s="1"/>
  <c r="P65" i="146"/>
  <c r="U65" i="146" s="1"/>
  <c r="S65" i="146" s="1"/>
  <c r="H29" i="146"/>
  <c r="P62" i="146"/>
  <c r="U62" i="146" s="1"/>
  <c r="S62" i="146" s="1"/>
  <c r="E29" i="146"/>
  <c r="P63" i="146"/>
  <c r="U63" i="146" s="1"/>
  <c r="S63" i="146" s="1"/>
  <c r="F29" i="146"/>
  <c r="P87" i="146"/>
  <c r="U87" i="146" s="1"/>
  <c r="S87" i="146" s="1"/>
  <c r="N84" i="146"/>
  <c r="Z92" i="146"/>
  <c r="P90" i="146"/>
  <c r="U90" i="146" s="1"/>
  <c r="S90" i="146" s="1"/>
  <c r="P86" i="146"/>
  <c r="U86" i="146" s="1"/>
  <c r="S86" i="146" s="1"/>
  <c r="P89" i="146"/>
  <c r="U89" i="146" s="1"/>
  <c r="S89" i="146" s="1"/>
  <c r="P88" i="146"/>
  <c r="U88" i="146" s="1"/>
  <c r="S88" i="146" s="1"/>
  <c r="P85" i="146"/>
  <c r="U85" i="146" s="1"/>
  <c r="U61" i="145"/>
  <c r="S55" i="145"/>
  <c r="S61" i="145" s="1"/>
  <c r="U37" i="145"/>
  <c r="S31" i="145"/>
  <c r="S37" i="145" s="1"/>
  <c r="U53" i="145"/>
  <c r="S47" i="145"/>
  <c r="S53" i="145" s="1"/>
  <c r="W13" i="145"/>
  <c r="W12" i="145" s="1"/>
  <c r="Y21" i="123"/>
  <c r="Y26" i="123"/>
  <c r="Y16" i="123"/>
  <c r="Y22" i="123"/>
  <c r="Y27" i="123"/>
  <c r="Y17" i="123"/>
  <c r="Y23" i="123"/>
  <c r="Y28" i="123"/>
  <c r="Y19" i="123"/>
  <c r="Y25" i="123"/>
  <c r="A58" i="123"/>
  <c r="Y31" i="123"/>
  <c r="Y30" i="123"/>
  <c r="Z1" i="123"/>
  <c r="D6" i="123"/>
  <c r="Z6" i="123"/>
  <c r="Z5" i="123"/>
  <c r="Z4" i="123"/>
  <c r="Z3" i="123"/>
  <c r="Z2" i="123"/>
  <c r="W16" i="147" l="1"/>
  <c r="W11" i="147" s="1"/>
  <c r="S75" i="147"/>
  <c r="S81" i="147" s="1"/>
  <c r="U81" i="147"/>
  <c r="P86" i="147"/>
  <c r="U86" i="147" s="1"/>
  <c r="S86" i="147" s="1"/>
  <c r="P85" i="147"/>
  <c r="U85" i="147" s="1"/>
  <c r="S85" i="147" s="1"/>
  <c r="N82" i="147"/>
  <c r="Z90" i="147"/>
  <c r="P88" i="147"/>
  <c r="U88" i="147" s="1"/>
  <c r="S88" i="147" s="1"/>
  <c r="P87" i="147"/>
  <c r="U87" i="147" s="1"/>
  <c r="S87" i="147" s="1"/>
  <c r="P84" i="147"/>
  <c r="U84" i="147" s="1"/>
  <c r="S84" i="147" s="1"/>
  <c r="P83" i="147"/>
  <c r="U83" i="147" s="1"/>
  <c r="S85" i="146"/>
  <c r="S91" i="146" s="1"/>
  <c r="U91" i="146"/>
  <c r="P97" i="146"/>
  <c r="U97" i="146" s="1"/>
  <c r="S97" i="146" s="1"/>
  <c r="P93" i="146"/>
  <c r="U93" i="146" s="1"/>
  <c r="P96" i="146"/>
  <c r="U96" i="146" s="1"/>
  <c r="S96" i="146" s="1"/>
  <c r="Z100" i="146"/>
  <c r="P98" i="146"/>
  <c r="U98" i="146" s="1"/>
  <c r="S98" i="146" s="1"/>
  <c r="P95" i="146"/>
  <c r="U95" i="146" s="1"/>
  <c r="S95" i="146" s="1"/>
  <c r="P94" i="146"/>
  <c r="U94" i="146" s="1"/>
  <c r="S94" i="146" s="1"/>
  <c r="N92" i="146"/>
  <c r="S69" i="146"/>
  <c r="S75" i="146" s="1"/>
  <c r="U75" i="146"/>
  <c r="W15" i="146"/>
  <c r="W11" i="146" s="1"/>
  <c r="U67" i="146"/>
  <c r="S61" i="146"/>
  <c r="W11" i="145"/>
  <c r="W23" i="145"/>
  <c r="A59" i="123"/>
  <c r="Y32" i="123"/>
  <c r="D5" i="123"/>
  <c r="D62" i="123" s="1" a="1"/>
  <c r="B64" i="111"/>
  <c r="B63" i="111"/>
  <c r="B62" i="111"/>
  <c r="B61" i="111"/>
  <c r="B60" i="111"/>
  <c r="B59" i="111"/>
  <c r="B58" i="111"/>
  <c r="B57" i="111"/>
  <c r="B56" i="111"/>
  <c r="B55" i="111"/>
  <c r="B54" i="111"/>
  <c r="B53" i="111"/>
  <c r="B52" i="111"/>
  <c r="B51" i="111"/>
  <c r="B50" i="111"/>
  <c r="B49" i="111"/>
  <c r="B48" i="111"/>
  <c r="B47" i="111"/>
  <c r="B46" i="111"/>
  <c r="B45" i="111"/>
  <c r="B44" i="111"/>
  <c r="B43" i="111"/>
  <c r="B42" i="111"/>
  <c r="B41" i="111"/>
  <c r="B40" i="111"/>
  <c r="N38" i="111"/>
  <c r="N37" i="111"/>
  <c r="N36" i="111"/>
  <c r="N35" i="111"/>
  <c r="N34" i="111"/>
  <c r="N33" i="111"/>
  <c r="N32" i="111"/>
  <c r="N31" i="111"/>
  <c r="N30" i="111"/>
  <c r="N29" i="111"/>
  <c r="N28" i="111"/>
  <c r="N27" i="111"/>
  <c r="N26" i="111"/>
  <c r="N25" i="111"/>
  <c r="N24" i="111"/>
  <c r="N23" i="111"/>
  <c r="N22" i="111"/>
  <c r="N21" i="111"/>
  <c r="N20" i="111"/>
  <c r="N19" i="111"/>
  <c r="N18" i="111"/>
  <c r="N17" i="111"/>
  <c r="N16" i="111"/>
  <c r="N15" i="111"/>
  <c r="N14" i="111"/>
  <c r="I5" i="111"/>
  <c r="D61" i="111" s="1" a="1"/>
  <c r="T256" i="109"/>
  <c r="R256" i="109" s="1"/>
  <c r="T255" i="109"/>
  <c r="R255" i="109" s="1"/>
  <c r="T254" i="109"/>
  <c r="R254" i="109" s="1"/>
  <c r="T253" i="109"/>
  <c r="R253" i="109" s="1"/>
  <c r="T252" i="109"/>
  <c r="R252" i="109" s="1"/>
  <c r="T251" i="109"/>
  <c r="R251" i="109" s="1"/>
  <c r="T248" i="109"/>
  <c r="R248" i="109" s="1"/>
  <c r="T247" i="109"/>
  <c r="R247" i="109" s="1"/>
  <c r="T246" i="109"/>
  <c r="R246" i="109" s="1"/>
  <c r="T245" i="109"/>
  <c r="R245" i="109" s="1"/>
  <c r="T244" i="109"/>
  <c r="R244" i="109" s="1"/>
  <c r="T243" i="109"/>
  <c r="R243" i="109" s="1"/>
  <c r="T240" i="109"/>
  <c r="R240" i="109" s="1"/>
  <c r="T239" i="109"/>
  <c r="R239" i="109" s="1"/>
  <c r="T238" i="109"/>
  <c r="R238" i="109" s="1"/>
  <c r="T237" i="109"/>
  <c r="R237" i="109" s="1"/>
  <c r="T236" i="109"/>
  <c r="R236" i="109" s="1"/>
  <c r="T235" i="109"/>
  <c r="R235" i="109" s="1"/>
  <c r="T232" i="109"/>
  <c r="R232" i="109" s="1"/>
  <c r="T231" i="109"/>
  <c r="R231" i="109" s="1"/>
  <c r="T230" i="109"/>
  <c r="R230" i="109" s="1"/>
  <c r="T229" i="109"/>
  <c r="R229" i="109" s="1"/>
  <c r="T228" i="109"/>
  <c r="R228" i="109" s="1"/>
  <c r="T227" i="109"/>
  <c r="R227" i="109" s="1"/>
  <c r="T224" i="109"/>
  <c r="R224" i="109" s="1"/>
  <c r="T223" i="109"/>
  <c r="R223" i="109" s="1"/>
  <c r="T222" i="109"/>
  <c r="R222" i="109" s="1"/>
  <c r="T221" i="109"/>
  <c r="R221" i="109" s="1"/>
  <c r="T220" i="109"/>
  <c r="R220" i="109" s="1"/>
  <c r="T219" i="109"/>
  <c r="R219" i="109" s="1"/>
  <c r="T216" i="109"/>
  <c r="R216" i="109" s="1"/>
  <c r="T215" i="109"/>
  <c r="R215" i="109" s="1"/>
  <c r="T214" i="109"/>
  <c r="R214" i="109" s="1"/>
  <c r="T213" i="109"/>
  <c r="R213" i="109" s="1"/>
  <c r="T212" i="109"/>
  <c r="R212" i="109" s="1"/>
  <c r="T211" i="109"/>
  <c r="R211" i="109" s="1"/>
  <c r="T208" i="109"/>
  <c r="R208" i="109" s="1"/>
  <c r="T207" i="109"/>
  <c r="R207" i="109" s="1"/>
  <c r="T206" i="109"/>
  <c r="R206" i="109" s="1"/>
  <c r="T205" i="109"/>
  <c r="R205" i="109" s="1"/>
  <c r="T204" i="109"/>
  <c r="R204" i="109" s="1"/>
  <c r="T203" i="109"/>
  <c r="R203" i="109" s="1"/>
  <c r="T200" i="109"/>
  <c r="R200" i="109" s="1"/>
  <c r="T199" i="109"/>
  <c r="R199" i="109" s="1"/>
  <c r="T198" i="109"/>
  <c r="R198" i="109" s="1"/>
  <c r="T197" i="109"/>
  <c r="R197" i="109" s="1"/>
  <c r="T196" i="109"/>
  <c r="R196" i="109" s="1"/>
  <c r="T195" i="109"/>
  <c r="R195" i="109" s="1"/>
  <c r="T192" i="109"/>
  <c r="R192" i="109" s="1"/>
  <c r="T191" i="109"/>
  <c r="R191" i="109" s="1"/>
  <c r="T190" i="109"/>
  <c r="R190" i="109" s="1"/>
  <c r="T189" i="109"/>
  <c r="R189" i="109" s="1"/>
  <c r="T188" i="109"/>
  <c r="R188" i="109" s="1"/>
  <c r="T187" i="109"/>
  <c r="R187" i="109" s="1"/>
  <c r="Y41" i="109"/>
  <c r="Y40" i="109"/>
  <c r="Y39" i="109"/>
  <c r="Y38" i="109"/>
  <c r="Y37" i="109"/>
  <c r="Y36" i="109"/>
  <c r="Y35" i="109"/>
  <c r="Y34" i="109"/>
  <c r="Y33" i="109"/>
  <c r="Y32" i="109"/>
  <c r="Y31" i="109"/>
  <c r="Y30" i="109"/>
  <c r="Y29" i="109"/>
  <c r="Y28" i="109"/>
  <c r="Y27" i="109"/>
  <c r="Y26" i="109"/>
  <c r="Y25" i="109"/>
  <c r="Y24" i="109"/>
  <c r="Y23" i="109"/>
  <c r="Y22" i="109"/>
  <c r="Y21" i="109"/>
  <c r="Y20" i="109"/>
  <c r="Y19" i="109"/>
  <c r="Y18" i="109"/>
  <c r="Y17" i="109"/>
  <c r="Y16" i="109"/>
  <c r="Y15" i="109"/>
  <c r="Y14" i="109"/>
  <c r="N41" i="109"/>
  <c r="N40" i="109"/>
  <c r="N39" i="109"/>
  <c r="N38" i="109"/>
  <c r="N37" i="109"/>
  <c r="N36" i="109"/>
  <c r="N35" i="109"/>
  <c r="N34" i="109"/>
  <c r="N33" i="109"/>
  <c r="N32" i="109"/>
  <c r="N31" i="109"/>
  <c r="N30" i="109"/>
  <c r="N29" i="109"/>
  <c r="N28" i="109"/>
  <c r="N27" i="109"/>
  <c r="N26" i="109"/>
  <c r="N25" i="109"/>
  <c r="N24" i="109"/>
  <c r="N23" i="109"/>
  <c r="N22" i="109"/>
  <c r="N21" i="109"/>
  <c r="N20" i="109"/>
  <c r="N19" i="109"/>
  <c r="N18" i="109"/>
  <c r="N17" i="109"/>
  <c r="N16" i="109"/>
  <c r="N15" i="109"/>
  <c r="N14" i="109"/>
  <c r="N13" i="109"/>
  <c r="N12" i="109"/>
  <c r="B72" i="109"/>
  <c r="B71" i="109"/>
  <c r="B70" i="109"/>
  <c r="B69" i="109"/>
  <c r="B68" i="109"/>
  <c r="B67" i="109"/>
  <c r="B66" i="109"/>
  <c r="B65" i="109"/>
  <c r="B64" i="109"/>
  <c r="B63" i="109"/>
  <c r="B62" i="109"/>
  <c r="B61" i="109"/>
  <c r="B60" i="109"/>
  <c r="B59" i="109"/>
  <c r="B58" i="109"/>
  <c r="B57" i="109"/>
  <c r="B56" i="109"/>
  <c r="B55" i="109"/>
  <c r="B54" i="109"/>
  <c r="B53" i="109"/>
  <c r="B52" i="109"/>
  <c r="B51" i="109"/>
  <c r="B50" i="109"/>
  <c r="B49" i="109"/>
  <c r="B48" i="109"/>
  <c r="B47" i="109"/>
  <c r="B46" i="109"/>
  <c r="B45" i="109"/>
  <c r="B44" i="109"/>
  <c r="B43" i="109"/>
  <c r="I5" i="109"/>
  <c r="D69" i="109" s="1" a="1"/>
  <c r="D69" i="109" s="1"/>
  <c r="I34" i="109"/>
  <c r="H34" i="109"/>
  <c r="G34" i="109"/>
  <c r="F34" i="109"/>
  <c r="E34" i="109"/>
  <c r="D34" i="109"/>
  <c r="B5" i="49"/>
  <c r="B4" i="49"/>
  <c r="B3" i="49"/>
  <c r="Y26" i="49"/>
  <c r="Y25" i="49"/>
  <c r="Y24" i="49"/>
  <c r="Y23" i="49"/>
  <c r="Y22" i="49"/>
  <c r="Y21" i="49"/>
  <c r="Y20" i="49"/>
  <c r="Y19" i="49"/>
  <c r="Y18" i="49"/>
  <c r="Y17" i="49"/>
  <c r="Y16" i="49"/>
  <c r="Y15" i="49"/>
  <c r="N26" i="49"/>
  <c r="N25" i="49"/>
  <c r="N24" i="49"/>
  <c r="N23" i="49"/>
  <c r="N22" i="49"/>
  <c r="N21" i="49"/>
  <c r="N20" i="49"/>
  <c r="N19" i="49"/>
  <c r="N18" i="49"/>
  <c r="N17" i="49"/>
  <c r="N16" i="49"/>
  <c r="N15" i="49"/>
  <c r="N14" i="49"/>
  <c r="N13" i="49"/>
  <c r="B41" i="49"/>
  <c r="B40" i="49"/>
  <c r="B39" i="49"/>
  <c r="B38" i="49"/>
  <c r="B37" i="49"/>
  <c r="B36" i="49"/>
  <c r="B35" i="49"/>
  <c r="B34" i="49"/>
  <c r="B33" i="49"/>
  <c r="B32" i="49"/>
  <c r="B31" i="49"/>
  <c r="B30" i="49"/>
  <c r="B29" i="49"/>
  <c r="B28" i="49"/>
  <c r="F20" i="49"/>
  <c r="I23" i="49"/>
  <c r="H23" i="49"/>
  <c r="G23" i="49"/>
  <c r="F23" i="49"/>
  <c r="E23" i="49"/>
  <c r="D23" i="49"/>
  <c r="H22" i="49"/>
  <c r="G22" i="49"/>
  <c r="H21" i="49"/>
  <c r="G21" i="49"/>
  <c r="I20" i="49"/>
  <c r="H20" i="49"/>
  <c r="G20" i="49"/>
  <c r="I19" i="49"/>
  <c r="H19" i="49"/>
  <c r="G19" i="49"/>
  <c r="F19" i="49"/>
  <c r="I18" i="49"/>
  <c r="H18" i="49"/>
  <c r="G18" i="49"/>
  <c r="F18" i="49"/>
  <c r="I17" i="49"/>
  <c r="H17" i="49"/>
  <c r="G17" i="49"/>
  <c r="F17" i="49"/>
  <c r="E17" i="49"/>
  <c r="D17" i="49"/>
  <c r="I16" i="49"/>
  <c r="H16" i="49"/>
  <c r="G16" i="49"/>
  <c r="F16" i="49"/>
  <c r="E16" i="49"/>
  <c r="D16" i="49"/>
  <c r="I15" i="49"/>
  <c r="G15" i="49"/>
  <c r="F15" i="49"/>
  <c r="I22" i="49"/>
  <c r="F22" i="49"/>
  <c r="E22" i="49"/>
  <c r="D22" i="49"/>
  <c r="I21" i="49"/>
  <c r="F21" i="49"/>
  <c r="E21" i="49"/>
  <c r="D21" i="49"/>
  <c r="E20" i="49"/>
  <c r="D20" i="49"/>
  <c r="E19" i="49"/>
  <c r="D19" i="49"/>
  <c r="E18" i="49"/>
  <c r="D18" i="49"/>
  <c r="H15" i="49"/>
  <c r="E15" i="49"/>
  <c r="D15" i="49"/>
  <c r="I14" i="49"/>
  <c r="H14" i="49"/>
  <c r="G14" i="49"/>
  <c r="F14" i="49"/>
  <c r="E14" i="49"/>
  <c r="D14" i="49"/>
  <c r="D29" i="49" s="1" a="1"/>
  <c r="D40" i="49" a="1"/>
  <c r="D3" i="49"/>
  <c r="D5" i="49" s="1"/>
  <c r="F3" i="49"/>
  <c r="F61" i="111" l="1"/>
  <c r="D62" i="111"/>
  <c r="H62" i="111"/>
  <c r="F63" i="111"/>
  <c r="D64" i="111"/>
  <c r="H64" i="111"/>
  <c r="G61" i="111"/>
  <c r="E62" i="111"/>
  <c r="I62" i="111"/>
  <c r="G63" i="111"/>
  <c r="E64" i="111"/>
  <c r="I64" i="111"/>
  <c r="E61" i="111"/>
  <c r="G64" i="111"/>
  <c r="D61" i="111"/>
  <c r="H61" i="111"/>
  <c r="F62" i="111"/>
  <c r="D63" i="111"/>
  <c r="H63" i="111"/>
  <c r="F64" i="111"/>
  <c r="I61" i="111"/>
  <c r="G62" i="111"/>
  <c r="E63" i="111"/>
  <c r="I63" i="111"/>
  <c r="U89" i="147"/>
  <c r="S83" i="147"/>
  <c r="S89" i="147" s="1"/>
  <c r="Z98" i="147"/>
  <c r="P96" i="147"/>
  <c r="U96" i="147" s="1"/>
  <c r="S96" i="147" s="1"/>
  <c r="P92" i="147"/>
  <c r="U92" i="147" s="1"/>
  <c r="S92" i="147" s="1"/>
  <c r="P95" i="147"/>
  <c r="U95" i="147" s="1"/>
  <c r="S95" i="147" s="1"/>
  <c r="P91" i="147"/>
  <c r="U91" i="147" s="1"/>
  <c r="P94" i="147"/>
  <c r="U94" i="147" s="1"/>
  <c r="S94" i="147" s="1"/>
  <c r="P93" i="147"/>
  <c r="U93" i="147" s="1"/>
  <c r="S93" i="147" s="1"/>
  <c r="N90" i="147"/>
  <c r="W28" i="147"/>
  <c r="W10" i="147"/>
  <c r="U99" i="146"/>
  <c r="S93" i="146"/>
  <c r="S99" i="146" s="1"/>
  <c r="S67" i="146"/>
  <c r="P103" i="146"/>
  <c r="U103" i="146" s="1"/>
  <c r="S103" i="146" s="1"/>
  <c r="N100" i="146"/>
  <c r="Z108" i="146"/>
  <c r="P106" i="146"/>
  <c r="U106" i="146" s="1"/>
  <c r="S106" i="146" s="1"/>
  <c r="P102" i="146"/>
  <c r="U102" i="146" s="1"/>
  <c r="S102" i="146" s="1"/>
  <c r="P105" i="146"/>
  <c r="U105" i="146" s="1"/>
  <c r="S105" i="146" s="1"/>
  <c r="P104" i="146"/>
  <c r="U104" i="146" s="1"/>
  <c r="S104" i="146" s="1"/>
  <c r="P101" i="146"/>
  <c r="U101" i="146" s="1"/>
  <c r="W10" i="146"/>
  <c r="W33" i="146"/>
  <c r="W34" i="146" s="1"/>
  <c r="W24" i="145"/>
  <c r="W22" i="145" s="1"/>
  <c r="W10" i="145" s="1"/>
  <c r="D62" i="123"/>
  <c r="G62" i="123"/>
  <c r="G63" i="123"/>
  <c r="H62" i="123"/>
  <c r="I62" i="123"/>
  <c r="E63" i="123"/>
  <c r="D63" i="123"/>
  <c r="H63" i="123"/>
  <c r="E62" i="123"/>
  <c r="I63" i="123"/>
  <c r="F62" i="123"/>
  <c r="F63" i="123"/>
  <c r="D56" i="123" a="1"/>
  <c r="H57" i="123" s="1"/>
  <c r="D60" i="123" a="1"/>
  <c r="G60" i="123" s="1"/>
  <c r="Y33" i="123"/>
  <c r="A60" i="123"/>
  <c r="F60" i="123"/>
  <c r="H61" i="123"/>
  <c r="D61" i="123"/>
  <c r="E61" i="123"/>
  <c r="E60" i="123"/>
  <c r="G61" i="123"/>
  <c r="I58" i="123"/>
  <c r="G59" i="123"/>
  <c r="D65" i="123" a="1"/>
  <c r="D45" i="123" a="1"/>
  <c r="D42" i="123" a="1"/>
  <c r="D42" i="123" s="1"/>
  <c r="D51" i="123" a="1"/>
  <c r="D47" i="123" a="1"/>
  <c r="D43" i="123"/>
  <c r="G42" i="123"/>
  <c r="I43" i="123"/>
  <c r="F43" i="123"/>
  <c r="E72" i="109"/>
  <c r="E70" i="109"/>
  <c r="D72" i="109"/>
  <c r="F69" i="109"/>
  <c r="G72" i="109"/>
  <c r="I71" i="109"/>
  <c r="E71" i="109"/>
  <c r="G70" i="109"/>
  <c r="I69" i="109"/>
  <c r="E69" i="109"/>
  <c r="W38" i="109" s="1" a="1"/>
  <c r="W38" i="109" s="1"/>
  <c r="I72" i="109"/>
  <c r="G71" i="109"/>
  <c r="I70" i="109"/>
  <c r="G69" i="109"/>
  <c r="H72" i="109"/>
  <c r="F71" i="109"/>
  <c r="H70" i="109"/>
  <c r="D70" i="109"/>
  <c r="W39" i="109" s="1" a="1"/>
  <c r="W39" i="109" s="1"/>
  <c r="F72" i="109"/>
  <c r="H71" i="109"/>
  <c r="D71" i="109"/>
  <c r="F70" i="109"/>
  <c r="H69" i="109"/>
  <c r="G29" i="49"/>
  <c r="D40" i="49"/>
  <c r="E41" i="49"/>
  <c r="I41" i="49"/>
  <c r="G40" i="49"/>
  <c r="H41" i="49"/>
  <c r="D41" i="49"/>
  <c r="F40" i="49"/>
  <c r="G41" i="49"/>
  <c r="I40" i="49"/>
  <c r="E40" i="49"/>
  <c r="F41" i="49"/>
  <c r="H40" i="49"/>
  <c r="H38" i="49"/>
  <c r="D38" i="49"/>
  <c r="F37" i="49"/>
  <c r="H36" i="49"/>
  <c r="D36" i="49"/>
  <c r="F35" i="49"/>
  <c r="H34" i="49"/>
  <c r="D34" i="49"/>
  <c r="F33" i="49"/>
  <c r="H32" i="49"/>
  <c r="D32" i="49"/>
  <c r="F31" i="49"/>
  <c r="H30" i="49"/>
  <c r="D30" i="49"/>
  <c r="F29" i="49"/>
  <c r="G38" i="49"/>
  <c r="I37" i="49"/>
  <c r="E37" i="49"/>
  <c r="G36" i="49"/>
  <c r="I35" i="49"/>
  <c r="E35" i="49"/>
  <c r="G34" i="49"/>
  <c r="I33" i="49"/>
  <c r="E33" i="49"/>
  <c r="G32" i="49"/>
  <c r="I31" i="49"/>
  <c r="E31" i="49"/>
  <c r="G30" i="49"/>
  <c r="I29" i="49"/>
  <c r="E29" i="49"/>
  <c r="I38" i="49"/>
  <c r="E38" i="49"/>
  <c r="F38" i="49"/>
  <c r="H37" i="49"/>
  <c r="D37" i="49"/>
  <c r="F36" i="49"/>
  <c r="H35" i="49"/>
  <c r="D35" i="49"/>
  <c r="F34" i="49"/>
  <c r="H33" i="49"/>
  <c r="D33" i="49"/>
  <c r="F32" i="49"/>
  <c r="H31" i="49"/>
  <c r="D31" i="49"/>
  <c r="F30" i="49"/>
  <c r="H29" i="49"/>
  <c r="D29" i="49"/>
  <c r="G37" i="49"/>
  <c r="I36" i="49"/>
  <c r="E36" i="49"/>
  <c r="G35" i="49"/>
  <c r="I34" i="49"/>
  <c r="E34" i="49"/>
  <c r="G33" i="49"/>
  <c r="I32" i="49"/>
  <c r="E32" i="49"/>
  <c r="G31" i="49"/>
  <c r="I30" i="49"/>
  <c r="E30" i="49"/>
  <c r="D48" i="144" a="1"/>
  <c r="F48" i="144" s="1"/>
  <c r="D46" i="144" a="1"/>
  <c r="D46" i="144" s="1"/>
  <c r="F46" i="144"/>
  <c r="G46" i="144"/>
  <c r="Y32" i="144"/>
  <c r="Y31" i="144"/>
  <c r="Y30" i="144"/>
  <c r="Y29" i="144"/>
  <c r="Y28" i="144"/>
  <c r="Y27" i="144"/>
  <c r="Y26" i="144"/>
  <c r="Y25" i="144"/>
  <c r="Y24" i="144"/>
  <c r="Y23" i="144"/>
  <c r="Y22" i="144"/>
  <c r="Y21" i="144"/>
  <c r="Y20" i="144"/>
  <c r="I26" i="144"/>
  <c r="H26" i="144"/>
  <c r="G26" i="144"/>
  <c r="F26" i="144"/>
  <c r="E26" i="144"/>
  <c r="D26" i="144"/>
  <c r="D43" i="144" a="1"/>
  <c r="D41" i="144" a="1"/>
  <c r="B43" i="144"/>
  <c r="D6" i="144"/>
  <c r="D7" i="144"/>
  <c r="N27" i="144"/>
  <c r="D5" i="144"/>
  <c r="T130" i="144"/>
  <c r="R130" i="144" s="1"/>
  <c r="T129" i="144"/>
  <c r="R129" i="144" s="1"/>
  <c r="T128" i="144"/>
  <c r="R128" i="144" s="1"/>
  <c r="T127" i="144"/>
  <c r="R127" i="144" s="1"/>
  <c r="T126" i="144"/>
  <c r="R126" i="144" s="1"/>
  <c r="T125" i="144"/>
  <c r="R125" i="144" s="1"/>
  <c r="T122" i="144"/>
  <c r="R122" i="144" s="1"/>
  <c r="T121" i="144"/>
  <c r="R121" i="144" s="1"/>
  <c r="T120" i="144"/>
  <c r="R120" i="144" s="1"/>
  <c r="T119" i="144"/>
  <c r="R119" i="144" s="1"/>
  <c r="T118" i="144"/>
  <c r="R118" i="144" s="1"/>
  <c r="T117" i="144"/>
  <c r="R117" i="144" s="1"/>
  <c r="T114" i="144"/>
  <c r="R114" i="144" s="1"/>
  <c r="T113" i="144"/>
  <c r="R113" i="144" s="1"/>
  <c r="T112" i="144"/>
  <c r="R112" i="144" s="1"/>
  <c r="T111" i="144"/>
  <c r="R111" i="144" s="1"/>
  <c r="T110" i="144"/>
  <c r="R110" i="144" s="1"/>
  <c r="T109" i="144"/>
  <c r="R109" i="144" s="1"/>
  <c r="T106" i="144"/>
  <c r="R106" i="144" s="1"/>
  <c r="T105" i="144"/>
  <c r="R105" i="144" s="1"/>
  <c r="T104" i="144"/>
  <c r="R104" i="144" s="1"/>
  <c r="T103" i="144"/>
  <c r="R103" i="144" s="1"/>
  <c r="T102" i="144"/>
  <c r="R102" i="144" s="1"/>
  <c r="T101" i="144"/>
  <c r="R101" i="144" s="1"/>
  <c r="T98" i="144"/>
  <c r="R98" i="144" s="1"/>
  <c r="T97" i="144"/>
  <c r="R97" i="144" s="1"/>
  <c r="T96" i="144"/>
  <c r="R96" i="144" s="1"/>
  <c r="T95" i="144"/>
  <c r="R95" i="144" s="1"/>
  <c r="T94" i="144"/>
  <c r="R94" i="144" s="1"/>
  <c r="T93" i="144"/>
  <c r="R93" i="144" s="1"/>
  <c r="T90" i="144"/>
  <c r="R90" i="144" s="1"/>
  <c r="T89" i="144"/>
  <c r="R89" i="144" s="1"/>
  <c r="T88" i="144"/>
  <c r="R88" i="144" s="1"/>
  <c r="T87" i="144"/>
  <c r="R87" i="144" s="1"/>
  <c r="T86" i="144"/>
  <c r="R86" i="144" s="1"/>
  <c r="T85" i="144"/>
  <c r="R85" i="144" s="1"/>
  <c r="T82" i="144"/>
  <c r="R82" i="144" s="1"/>
  <c r="T81" i="144"/>
  <c r="R81" i="144" s="1"/>
  <c r="T80" i="144"/>
  <c r="R80" i="144" s="1"/>
  <c r="T79" i="144"/>
  <c r="R79" i="144" s="1"/>
  <c r="T78" i="144"/>
  <c r="R78" i="144" s="1"/>
  <c r="T77" i="144"/>
  <c r="R77" i="144" s="1"/>
  <c r="T74" i="144"/>
  <c r="R74" i="144" s="1"/>
  <c r="T73" i="144"/>
  <c r="R73" i="144" s="1"/>
  <c r="T72" i="144"/>
  <c r="R72" i="144" s="1"/>
  <c r="T71" i="144"/>
  <c r="R71" i="144" s="1"/>
  <c r="T70" i="144"/>
  <c r="R70" i="144" s="1"/>
  <c r="T69" i="144"/>
  <c r="R69" i="144" s="1"/>
  <c r="T66" i="144"/>
  <c r="R66" i="144" s="1"/>
  <c r="T65" i="144"/>
  <c r="R65" i="144" s="1"/>
  <c r="T64" i="144"/>
  <c r="R64" i="144" s="1"/>
  <c r="T63" i="144"/>
  <c r="R63" i="144" s="1"/>
  <c r="T62" i="144"/>
  <c r="R62" i="144" s="1"/>
  <c r="T61" i="144"/>
  <c r="R61" i="144" s="1"/>
  <c r="Z60" i="144"/>
  <c r="T58" i="144"/>
  <c r="R58" i="144" s="1"/>
  <c r="T57" i="144"/>
  <c r="R57" i="144" s="1"/>
  <c r="T56" i="144"/>
  <c r="R56" i="144" s="1"/>
  <c r="T55" i="144"/>
  <c r="R55" i="144" s="1"/>
  <c r="T54" i="144"/>
  <c r="R54" i="144" s="1"/>
  <c r="T53" i="144"/>
  <c r="R53" i="144" s="1"/>
  <c r="B48" i="144"/>
  <c r="B47" i="144"/>
  <c r="B46" i="144"/>
  <c r="B45" i="144"/>
  <c r="B44" i="144"/>
  <c r="B42" i="144"/>
  <c r="B41" i="144"/>
  <c r="B40" i="144"/>
  <c r="B39" i="144"/>
  <c r="B38" i="144"/>
  <c r="B37" i="144"/>
  <c r="B36" i="144"/>
  <c r="W35" i="144"/>
  <c r="W34" i="144" s="1"/>
  <c r="N35" i="144"/>
  <c r="B35" i="144"/>
  <c r="N52" i="144" s="1"/>
  <c r="B34" i="144"/>
  <c r="Y33" i="144"/>
  <c r="N32" i="144"/>
  <c r="N31" i="144"/>
  <c r="N30" i="144"/>
  <c r="N29" i="144"/>
  <c r="I29" i="144"/>
  <c r="H29" i="144"/>
  <c r="G29" i="144"/>
  <c r="F29" i="144"/>
  <c r="E29" i="144"/>
  <c r="D29" i="144"/>
  <c r="N28" i="144"/>
  <c r="N26" i="144"/>
  <c r="N25" i="144"/>
  <c r="N24" i="144"/>
  <c r="I24" i="144"/>
  <c r="H24" i="144"/>
  <c r="G24" i="144"/>
  <c r="F24" i="144"/>
  <c r="E24" i="144"/>
  <c r="D24" i="144"/>
  <c r="N23" i="144"/>
  <c r="N22" i="144"/>
  <c r="N21" i="144"/>
  <c r="N20" i="144"/>
  <c r="I20" i="144"/>
  <c r="H20" i="144"/>
  <c r="G20" i="144"/>
  <c r="F20" i="144"/>
  <c r="E20" i="144"/>
  <c r="D20" i="144"/>
  <c r="Y19" i="144"/>
  <c r="N19" i="144"/>
  <c r="Y18" i="144"/>
  <c r="N18" i="144"/>
  <c r="I18" i="144"/>
  <c r="H18" i="144"/>
  <c r="G18" i="144"/>
  <c r="F18" i="144"/>
  <c r="E18" i="144"/>
  <c r="D18" i="144"/>
  <c r="I5" i="144"/>
  <c r="D47" i="144" s="1" a="1"/>
  <c r="D47" i="144" s="1"/>
  <c r="F4" i="144"/>
  <c r="T127" i="143"/>
  <c r="R127" i="143" s="1"/>
  <c r="T126" i="143"/>
  <c r="R126" i="143" s="1"/>
  <c r="T125" i="143"/>
  <c r="R125" i="143" s="1"/>
  <c r="T124" i="143"/>
  <c r="R124" i="143" s="1"/>
  <c r="T123" i="143"/>
  <c r="R123" i="143" s="1"/>
  <c r="T122" i="143"/>
  <c r="R122" i="143" s="1"/>
  <c r="D34" i="143" a="1"/>
  <c r="Y29" i="143"/>
  <c r="Y28" i="143"/>
  <c r="Y27" i="143"/>
  <c r="Y26" i="143"/>
  <c r="Y25" i="143"/>
  <c r="Y24" i="143"/>
  <c r="Y23" i="143"/>
  <c r="Y22" i="143"/>
  <c r="Y21" i="143"/>
  <c r="Y20" i="143"/>
  <c r="Y19" i="143"/>
  <c r="Y18" i="143"/>
  <c r="Y17" i="143"/>
  <c r="B38" i="143"/>
  <c r="B37" i="143"/>
  <c r="B36" i="143"/>
  <c r="B35" i="143"/>
  <c r="D33" i="142" a="1"/>
  <c r="G33" i="142"/>
  <c r="D33" i="118" a="1"/>
  <c r="D33" i="118" s="1"/>
  <c r="E33" i="118"/>
  <c r="F33" i="118"/>
  <c r="G33" i="118"/>
  <c r="I33" i="118"/>
  <c r="N22" i="143"/>
  <c r="N21" i="143"/>
  <c r="I21" i="143"/>
  <c r="H21" i="143"/>
  <c r="G21" i="143"/>
  <c r="F21" i="143"/>
  <c r="E21" i="143"/>
  <c r="D21" i="143"/>
  <c r="N19" i="143"/>
  <c r="D5" i="143"/>
  <c r="D38" i="143" s="1" a="1"/>
  <c r="T119" i="143"/>
  <c r="R119" i="143" s="1"/>
  <c r="T118" i="143"/>
  <c r="R118" i="143" s="1"/>
  <c r="T117" i="143"/>
  <c r="R117" i="143" s="1"/>
  <c r="T116" i="143"/>
  <c r="R116" i="143" s="1"/>
  <c r="T115" i="143"/>
  <c r="R115" i="143" s="1"/>
  <c r="T114" i="143"/>
  <c r="R114" i="143" s="1"/>
  <c r="T111" i="143"/>
  <c r="R111" i="143" s="1"/>
  <c r="T110" i="143"/>
  <c r="R110" i="143" s="1"/>
  <c r="T109" i="143"/>
  <c r="R109" i="143" s="1"/>
  <c r="T108" i="143"/>
  <c r="R108" i="143" s="1"/>
  <c r="T107" i="143"/>
  <c r="R107" i="143" s="1"/>
  <c r="T106" i="143"/>
  <c r="R106" i="143" s="1"/>
  <c r="T103" i="143"/>
  <c r="R103" i="143" s="1"/>
  <c r="T102" i="143"/>
  <c r="R102" i="143" s="1"/>
  <c r="T101" i="143"/>
  <c r="R101" i="143" s="1"/>
  <c r="T100" i="143"/>
  <c r="R100" i="143" s="1"/>
  <c r="T99" i="143"/>
  <c r="R99" i="143" s="1"/>
  <c r="T98" i="143"/>
  <c r="R98" i="143" s="1"/>
  <c r="T95" i="143"/>
  <c r="R95" i="143" s="1"/>
  <c r="T94" i="143"/>
  <c r="R94" i="143" s="1"/>
  <c r="T93" i="143"/>
  <c r="R93" i="143" s="1"/>
  <c r="T92" i="143"/>
  <c r="R92" i="143" s="1"/>
  <c r="T91" i="143"/>
  <c r="R91" i="143" s="1"/>
  <c r="T90" i="143"/>
  <c r="R90" i="143" s="1"/>
  <c r="T87" i="143"/>
  <c r="R87" i="143" s="1"/>
  <c r="T86" i="143"/>
  <c r="R86" i="143" s="1"/>
  <c r="T85" i="143"/>
  <c r="R85" i="143" s="1"/>
  <c r="T84" i="143"/>
  <c r="R84" i="143" s="1"/>
  <c r="T83" i="143"/>
  <c r="R83" i="143" s="1"/>
  <c r="T82" i="143"/>
  <c r="R82" i="143" s="1"/>
  <c r="T79" i="143"/>
  <c r="R79" i="143" s="1"/>
  <c r="T78" i="143"/>
  <c r="R78" i="143" s="1"/>
  <c r="T77" i="143"/>
  <c r="R77" i="143" s="1"/>
  <c r="T76" i="143"/>
  <c r="R76" i="143" s="1"/>
  <c r="T75" i="143"/>
  <c r="R75" i="143" s="1"/>
  <c r="T74" i="143"/>
  <c r="R74" i="143" s="1"/>
  <c r="T71" i="143"/>
  <c r="R71" i="143" s="1"/>
  <c r="T70" i="143"/>
  <c r="R70" i="143" s="1"/>
  <c r="T69" i="143"/>
  <c r="R69" i="143" s="1"/>
  <c r="T68" i="143"/>
  <c r="R68" i="143" s="1"/>
  <c r="T67" i="143"/>
  <c r="R67" i="143" s="1"/>
  <c r="T66" i="143"/>
  <c r="R66" i="143" s="1"/>
  <c r="T63" i="143"/>
  <c r="R63" i="143" s="1"/>
  <c r="T62" i="143"/>
  <c r="R62" i="143" s="1"/>
  <c r="T61" i="143"/>
  <c r="R61" i="143" s="1"/>
  <c r="T60" i="143"/>
  <c r="R60" i="143" s="1"/>
  <c r="T59" i="143"/>
  <c r="R59" i="143" s="1"/>
  <c r="T58" i="143"/>
  <c r="R58" i="143" s="1"/>
  <c r="Z57" i="143"/>
  <c r="Z65" i="143" s="1"/>
  <c r="T55" i="143"/>
  <c r="R55" i="143" s="1"/>
  <c r="T54" i="143"/>
  <c r="R54" i="143" s="1"/>
  <c r="T53" i="143"/>
  <c r="R53" i="143" s="1"/>
  <c r="T52" i="143"/>
  <c r="R52" i="143" s="1"/>
  <c r="T51" i="143"/>
  <c r="R51" i="143" s="1"/>
  <c r="T50" i="143"/>
  <c r="R50" i="143" s="1"/>
  <c r="B45" i="143"/>
  <c r="B44" i="143"/>
  <c r="B43" i="143"/>
  <c r="B42" i="143"/>
  <c r="B41" i="143"/>
  <c r="B40" i="143"/>
  <c r="B39" i="143"/>
  <c r="B34" i="143"/>
  <c r="N57" i="143" s="1"/>
  <c r="B33" i="143"/>
  <c r="W32" i="143"/>
  <c r="W31" i="143" s="1"/>
  <c r="N32" i="143"/>
  <c r="B32" i="143"/>
  <c r="N49" i="143" s="1"/>
  <c r="B31" i="143"/>
  <c r="Y30" i="143"/>
  <c r="N29" i="143"/>
  <c r="N28" i="143"/>
  <c r="N27" i="143"/>
  <c r="N26" i="143"/>
  <c r="N25" i="143"/>
  <c r="I25" i="143"/>
  <c r="H25" i="143"/>
  <c r="G25" i="143"/>
  <c r="F25" i="143"/>
  <c r="E25" i="143"/>
  <c r="D25" i="143"/>
  <c r="N24" i="143"/>
  <c r="N23" i="143"/>
  <c r="I23" i="143"/>
  <c r="H23" i="143"/>
  <c r="G23" i="143"/>
  <c r="F23" i="143"/>
  <c r="E23" i="143"/>
  <c r="D23" i="143"/>
  <c r="N20" i="143"/>
  <c r="N18" i="143"/>
  <c r="N17" i="143"/>
  <c r="I17" i="143"/>
  <c r="H17" i="143"/>
  <c r="G17" i="143"/>
  <c r="F17" i="143"/>
  <c r="E17" i="143"/>
  <c r="D17" i="143"/>
  <c r="Y16" i="143"/>
  <c r="N16" i="143"/>
  <c r="Y15" i="143"/>
  <c r="N15" i="143"/>
  <c r="I15" i="143"/>
  <c r="H15" i="143"/>
  <c r="G15" i="143"/>
  <c r="F15" i="143"/>
  <c r="E15" i="143"/>
  <c r="D15" i="143"/>
  <c r="D6" i="143"/>
  <c r="I5" i="143"/>
  <c r="D42" i="143" s="1" a="1"/>
  <c r="D44" i="143" s="1"/>
  <c r="F4" i="143"/>
  <c r="D5" i="142"/>
  <c r="D34" i="142" s="1" a="1"/>
  <c r="G34" i="142" s="1"/>
  <c r="T117" i="142"/>
  <c r="R117" i="142" s="1"/>
  <c r="T116" i="142"/>
  <c r="R116" i="142" s="1"/>
  <c r="T115" i="142"/>
  <c r="R115" i="142" s="1"/>
  <c r="T114" i="142"/>
  <c r="R114" i="142" s="1"/>
  <c r="T113" i="142"/>
  <c r="R113" i="142" s="1"/>
  <c r="T112" i="142"/>
  <c r="R112" i="142" s="1"/>
  <c r="T109" i="142"/>
  <c r="R109" i="142" s="1"/>
  <c r="T108" i="142"/>
  <c r="R108" i="142" s="1"/>
  <c r="T107" i="142"/>
  <c r="R107" i="142" s="1"/>
  <c r="T106" i="142"/>
  <c r="R106" i="142" s="1"/>
  <c r="T105" i="142"/>
  <c r="R105" i="142" s="1"/>
  <c r="T104" i="142"/>
  <c r="R104" i="142" s="1"/>
  <c r="T101" i="142"/>
  <c r="R101" i="142" s="1"/>
  <c r="T100" i="142"/>
  <c r="R100" i="142" s="1"/>
  <c r="T99" i="142"/>
  <c r="R99" i="142" s="1"/>
  <c r="T98" i="142"/>
  <c r="R98" i="142" s="1"/>
  <c r="T97" i="142"/>
  <c r="R97" i="142" s="1"/>
  <c r="T96" i="142"/>
  <c r="R96" i="142" s="1"/>
  <c r="T93" i="142"/>
  <c r="R93" i="142" s="1"/>
  <c r="T92" i="142"/>
  <c r="R92" i="142" s="1"/>
  <c r="T91" i="142"/>
  <c r="R91" i="142" s="1"/>
  <c r="T90" i="142"/>
  <c r="R90" i="142" s="1"/>
  <c r="T89" i="142"/>
  <c r="R89" i="142" s="1"/>
  <c r="T88" i="142"/>
  <c r="R88" i="142" s="1"/>
  <c r="T85" i="142"/>
  <c r="R85" i="142" s="1"/>
  <c r="T84" i="142"/>
  <c r="R84" i="142" s="1"/>
  <c r="T83" i="142"/>
  <c r="R83" i="142" s="1"/>
  <c r="T82" i="142"/>
  <c r="R82" i="142" s="1"/>
  <c r="T81" i="142"/>
  <c r="R81" i="142" s="1"/>
  <c r="T80" i="142"/>
  <c r="R80" i="142" s="1"/>
  <c r="T77" i="142"/>
  <c r="R77" i="142" s="1"/>
  <c r="T76" i="142"/>
  <c r="R76" i="142" s="1"/>
  <c r="T75" i="142"/>
  <c r="R75" i="142" s="1"/>
  <c r="T74" i="142"/>
  <c r="R74" i="142" s="1"/>
  <c r="T73" i="142"/>
  <c r="R73" i="142" s="1"/>
  <c r="T72" i="142"/>
  <c r="R72" i="142" s="1"/>
  <c r="T69" i="142"/>
  <c r="R69" i="142" s="1"/>
  <c r="T68" i="142"/>
  <c r="R68" i="142" s="1"/>
  <c r="T67" i="142"/>
  <c r="R67" i="142" s="1"/>
  <c r="T66" i="142"/>
  <c r="R66" i="142" s="1"/>
  <c r="T65" i="142"/>
  <c r="R65" i="142" s="1"/>
  <c r="T64" i="142"/>
  <c r="R64" i="142" s="1"/>
  <c r="T61" i="142"/>
  <c r="R61" i="142" s="1"/>
  <c r="T60" i="142"/>
  <c r="R60" i="142" s="1"/>
  <c r="T59" i="142"/>
  <c r="R59" i="142" s="1"/>
  <c r="T58" i="142"/>
  <c r="R58" i="142" s="1"/>
  <c r="T57" i="142"/>
  <c r="R57" i="142" s="1"/>
  <c r="T56" i="142"/>
  <c r="R56" i="142" s="1"/>
  <c r="Z55" i="142"/>
  <c r="Z63" i="142" s="1"/>
  <c r="T53" i="142"/>
  <c r="R53" i="142" s="1"/>
  <c r="T52" i="142"/>
  <c r="R52" i="142" s="1"/>
  <c r="T51" i="142"/>
  <c r="R51" i="142" s="1"/>
  <c r="T50" i="142"/>
  <c r="R50" i="142" s="1"/>
  <c r="T49" i="142"/>
  <c r="R49" i="142" s="1"/>
  <c r="T48" i="142"/>
  <c r="R48" i="142" s="1"/>
  <c r="B41" i="142"/>
  <c r="B40" i="142"/>
  <c r="B39" i="142"/>
  <c r="B38" i="142"/>
  <c r="B37" i="142"/>
  <c r="B36" i="142"/>
  <c r="B35" i="142"/>
  <c r="B34" i="142"/>
  <c r="B33" i="142"/>
  <c r="B32" i="142"/>
  <c r="B31" i="142"/>
  <c r="W30" i="142"/>
  <c r="N30" i="142"/>
  <c r="B30" i="142"/>
  <c r="N47" i="142" s="1"/>
  <c r="W29" i="142"/>
  <c r="B29" i="142"/>
  <c r="Y28" i="142"/>
  <c r="Y27" i="142"/>
  <c r="N27" i="142"/>
  <c r="Y26" i="142"/>
  <c r="N26" i="142"/>
  <c r="Y25" i="142"/>
  <c r="N25" i="142"/>
  <c r="Y24" i="142"/>
  <c r="N24" i="142"/>
  <c r="Y23" i="142"/>
  <c r="N23" i="142"/>
  <c r="I23" i="142"/>
  <c r="H23" i="142"/>
  <c r="G23" i="142"/>
  <c r="F23" i="142"/>
  <c r="E23" i="142"/>
  <c r="D23" i="142"/>
  <c r="Y22" i="142"/>
  <c r="N22" i="142"/>
  <c r="Y21" i="142"/>
  <c r="N21" i="142"/>
  <c r="I21" i="142"/>
  <c r="H21" i="142"/>
  <c r="G21" i="142"/>
  <c r="F21" i="142"/>
  <c r="E21" i="142"/>
  <c r="D21" i="142"/>
  <c r="Y20" i="142"/>
  <c r="N20" i="142"/>
  <c r="Y19" i="142"/>
  <c r="N19" i="142"/>
  <c r="Y18" i="142"/>
  <c r="N18" i="142"/>
  <c r="I18" i="142"/>
  <c r="H18" i="142"/>
  <c r="G18" i="142"/>
  <c r="F18" i="142"/>
  <c r="E18" i="142"/>
  <c r="D18" i="142"/>
  <c r="Y17" i="142"/>
  <c r="N17" i="142"/>
  <c r="Y16" i="142"/>
  <c r="N16" i="142"/>
  <c r="Y15" i="142"/>
  <c r="N15" i="142"/>
  <c r="I15" i="142"/>
  <c r="H15" i="142"/>
  <c r="G15" i="142"/>
  <c r="F15" i="142"/>
  <c r="E15" i="142"/>
  <c r="D15" i="142"/>
  <c r="D6" i="142"/>
  <c r="I5" i="142"/>
  <c r="D38" i="142" s="1" a="1"/>
  <c r="F4" i="142"/>
  <c r="F39" i="142" l="1"/>
  <c r="H38" i="142"/>
  <c r="D34" i="143"/>
  <c r="G34" i="143"/>
  <c r="G47" i="144"/>
  <c r="D33" i="142"/>
  <c r="E33" i="142"/>
  <c r="F33" i="142"/>
  <c r="E43" i="144"/>
  <c r="D34" i="142"/>
  <c r="F34" i="142"/>
  <c r="F47" i="144"/>
  <c r="H59" i="123"/>
  <c r="E57" i="123"/>
  <c r="D59" i="123"/>
  <c r="W33" i="123" s="1" a="1"/>
  <c r="W33" i="123" s="1"/>
  <c r="E56" i="123"/>
  <c r="E55" i="123" s="1"/>
  <c r="D58" i="123"/>
  <c r="D56" i="123"/>
  <c r="G58" i="123"/>
  <c r="G56" i="123"/>
  <c r="E58" i="123"/>
  <c r="F59" i="123"/>
  <c r="D57" i="123"/>
  <c r="I59" i="123"/>
  <c r="E59" i="123"/>
  <c r="H56" i="123"/>
  <c r="G57" i="123"/>
  <c r="F41" i="142"/>
  <c r="D36" i="142" a="1"/>
  <c r="I33" i="142"/>
  <c r="F34" i="143"/>
  <c r="D48" i="144"/>
  <c r="G48" i="144"/>
  <c r="W41" i="109" a="1"/>
  <c r="W41" i="109" s="1"/>
  <c r="F58" i="123"/>
  <c r="N55" i="142"/>
  <c r="H33" i="118"/>
  <c r="D35" i="143" a="1"/>
  <c r="D35" i="144" a="1"/>
  <c r="F35" i="144" s="1"/>
  <c r="W40" i="109" a="1"/>
  <c r="W40" i="109" s="1"/>
  <c r="W37" i="123" a="1"/>
  <c r="W37" i="123" s="1"/>
  <c r="D36" i="143" a="1"/>
  <c r="D37" i="144" a="1"/>
  <c r="I38" i="144" s="1"/>
  <c r="F42" i="123"/>
  <c r="I42" i="123"/>
  <c r="W29" i="147"/>
  <c r="W27" i="147" s="1"/>
  <c r="W9" i="147" s="1"/>
  <c r="S91" i="147"/>
  <c r="S97" i="147" s="1"/>
  <c r="U97" i="147"/>
  <c r="P102" i="147"/>
  <c r="U102" i="147" s="1"/>
  <c r="S102" i="147" s="1"/>
  <c r="P101" i="147"/>
  <c r="U101" i="147" s="1"/>
  <c r="S101" i="147" s="1"/>
  <c r="N98" i="147"/>
  <c r="P104" i="147"/>
  <c r="U104" i="147" s="1"/>
  <c r="S104" i="147" s="1"/>
  <c r="P103" i="147"/>
  <c r="U103" i="147" s="1"/>
  <c r="S103" i="147" s="1"/>
  <c r="P100" i="147"/>
  <c r="U100" i="147" s="1"/>
  <c r="S100" i="147" s="1"/>
  <c r="P99" i="147"/>
  <c r="U99" i="147" s="1"/>
  <c r="W32" i="146"/>
  <c r="W9" i="146" s="1"/>
  <c r="P113" i="146"/>
  <c r="U113" i="146" s="1"/>
  <c r="S113" i="146" s="1"/>
  <c r="P109" i="146"/>
  <c r="U109" i="146" s="1"/>
  <c r="P112" i="146"/>
  <c r="U112" i="146" s="1"/>
  <c r="S112" i="146" s="1"/>
  <c r="P111" i="146"/>
  <c r="U111" i="146" s="1"/>
  <c r="S111" i="146" s="1"/>
  <c r="P110" i="146"/>
  <c r="U110" i="146" s="1"/>
  <c r="S110" i="146" s="1"/>
  <c r="N108" i="146"/>
  <c r="Z116" i="146"/>
  <c r="P114" i="146"/>
  <c r="U114" i="146" s="1"/>
  <c r="S114" i="146" s="1"/>
  <c r="S101" i="146"/>
  <c r="U107" i="146"/>
  <c r="H55" i="123"/>
  <c r="G55" i="123"/>
  <c r="H60" i="123"/>
  <c r="I61" i="123"/>
  <c r="D60" i="123"/>
  <c r="D55" i="123" s="1"/>
  <c r="W36" i="123" a="1"/>
  <c r="W36" i="123" s="1"/>
  <c r="H58" i="123"/>
  <c r="I56" i="123"/>
  <c r="F57" i="123"/>
  <c r="F55" i="123" s="1"/>
  <c r="I57" i="123"/>
  <c r="F56" i="123"/>
  <c r="I60" i="123"/>
  <c r="F61" i="123"/>
  <c r="W35" i="123" s="1" a="1"/>
  <c r="W35" i="123" s="1"/>
  <c r="A61" i="123"/>
  <c r="Y34" i="123"/>
  <c r="G43" i="123"/>
  <c r="H42" i="123"/>
  <c r="H43" i="123"/>
  <c r="D51" i="123"/>
  <c r="I53" i="123"/>
  <c r="F52" i="123"/>
  <c r="I54" i="123"/>
  <c r="G51" i="123"/>
  <c r="H53" i="123"/>
  <c r="I52" i="123"/>
  <c r="H54" i="123"/>
  <c r="D52" i="123"/>
  <c r="E52" i="123"/>
  <c r="E51" i="123"/>
  <c r="F53" i="123"/>
  <c r="D54" i="123"/>
  <c r="E54" i="123"/>
  <c r="H52" i="123"/>
  <c r="E53" i="123"/>
  <c r="D53" i="123"/>
  <c r="G52" i="123"/>
  <c r="F54" i="123"/>
  <c r="H51" i="123"/>
  <c r="G54" i="123"/>
  <c r="G53" i="123"/>
  <c r="I51" i="123"/>
  <c r="F51" i="123"/>
  <c r="E42" i="123"/>
  <c r="E43" i="123"/>
  <c r="D45" i="123"/>
  <c r="G45" i="123"/>
  <c r="H45" i="123"/>
  <c r="F45" i="123"/>
  <c r="E45" i="123"/>
  <c r="I45" i="123"/>
  <c r="D47" i="123"/>
  <c r="F47" i="123"/>
  <c r="H48" i="123"/>
  <c r="G47" i="123"/>
  <c r="I48" i="123"/>
  <c r="E48" i="123"/>
  <c r="G49" i="123"/>
  <c r="D48" i="123"/>
  <c r="F49" i="123"/>
  <c r="E49" i="123"/>
  <c r="H49" i="123"/>
  <c r="G48" i="123"/>
  <c r="D49" i="123"/>
  <c r="I47" i="123"/>
  <c r="F48" i="123"/>
  <c r="I49" i="123"/>
  <c r="E47" i="123"/>
  <c r="H47" i="123"/>
  <c r="D65" i="123"/>
  <c r="G65" i="123"/>
  <c r="I65" i="123"/>
  <c r="E65" i="123"/>
  <c r="F65" i="123"/>
  <c r="H65" i="123"/>
  <c r="E38" i="144"/>
  <c r="E41" i="144"/>
  <c r="I43" i="144"/>
  <c r="G43" i="144"/>
  <c r="G42" i="144" s="1"/>
  <c r="H38" i="144"/>
  <c r="F41" i="144"/>
  <c r="G44" i="144"/>
  <c r="G39" i="144"/>
  <c r="D37" i="144"/>
  <c r="P61" i="144" s="1"/>
  <c r="U61" i="144" s="1"/>
  <c r="H44" i="144"/>
  <c r="D43" i="144"/>
  <c r="F39" i="144"/>
  <c r="D38" i="144"/>
  <c r="I41" i="144"/>
  <c r="D41" i="144"/>
  <c r="E44" i="144"/>
  <c r="F43" i="144"/>
  <c r="G41" i="144"/>
  <c r="I44" i="144"/>
  <c r="I42" i="144" s="1"/>
  <c r="D44" i="144"/>
  <c r="E42" i="144"/>
  <c r="I48" i="144"/>
  <c r="E48" i="144"/>
  <c r="H48" i="144"/>
  <c r="I47" i="144"/>
  <c r="E47" i="144"/>
  <c r="H47" i="144"/>
  <c r="I46" i="144"/>
  <c r="E46" i="144"/>
  <c r="H46" i="144"/>
  <c r="F44" i="144"/>
  <c r="H43" i="144"/>
  <c r="H42" i="144" s="1"/>
  <c r="H41" i="144"/>
  <c r="E39" i="144"/>
  <c r="G38" i="144"/>
  <c r="H39" i="144"/>
  <c r="D39" i="144"/>
  <c r="D35" i="144"/>
  <c r="G35" i="144"/>
  <c r="E35" i="144"/>
  <c r="H35" i="144"/>
  <c r="Z68" i="144"/>
  <c r="N60" i="144"/>
  <c r="I34" i="143"/>
  <c r="E34" i="143"/>
  <c r="H34" i="143"/>
  <c r="I35" i="143"/>
  <c r="E35" i="143"/>
  <c r="H35" i="143"/>
  <c r="I36" i="143"/>
  <c r="E36" i="143"/>
  <c r="H36" i="143"/>
  <c r="I38" i="143"/>
  <c r="I37" i="143" s="1"/>
  <c r="E38" i="143"/>
  <c r="E37" i="143" s="1"/>
  <c r="H38" i="143"/>
  <c r="H37" i="143" s="1"/>
  <c r="D38" i="143"/>
  <c r="D37" i="143" s="1"/>
  <c r="G38" i="143"/>
  <c r="G37" i="143" s="1"/>
  <c r="F38" i="143"/>
  <c r="F37" i="143" s="1"/>
  <c r="D32" i="143" a="1"/>
  <c r="D32" i="143" s="1"/>
  <c r="I32" i="143"/>
  <c r="I34" i="142"/>
  <c r="E34" i="142"/>
  <c r="H34" i="142"/>
  <c r="H33" i="142"/>
  <c r="H32" i="143"/>
  <c r="H42" i="143"/>
  <c r="F45" i="143"/>
  <c r="D40" i="143" a="1"/>
  <c r="F43" i="143"/>
  <c r="I45" i="143"/>
  <c r="E45" i="143"/>
  <c r="G44" i="143"/>
  <c r="I43" i="143"/>
  <c r="E43" i="143"/>
  <c r="G42" i="143"/>
  <c r="H45" i="143"/>
  <c r="D45" i="143"/>
  <c r="F44" i="143"/>
  <c r="H43" i="143"/>
  <c r="D43" i="143"/>
  <c r="F42" i="143"/>
  <c r="G45" i="143"/>
  <c r="I44" i="143"/>
  <c r="E44" i="143"/>
  <c r="G43" i="143"/>
  <c r="I42" i="143"/>
  <c r="E42" i="143"/>
  <c r="D42" i="143"/>
  <c r="H44" i="143"/>
  <c r="N65" i="143"/>
  <c r="Z73" i="143"/>
  <c r="F36" i="142"/>
  <c r="F35" i="142" s="1"/>
  <c r="I36" i="142"/>
  <c r="I35" i="142" s="1"/>
  <c r="E36" i="142"/>
  <c r="E35" i="142" s="1"/>
  <c r="H36" i="142"/>
  <c r="H35" i="142" s="1"/>
  <c r="D36" i="142"/>
  <c r="G36" i="142"/>
  <c r="G35" i="142" s="1"/>
  <c r="H37" i="142"/>
  <c r="I41" i="142"/>
  <c r="E41" i="142"/>
  <c r="G40" i="142"/>
  <c r="I39" i="142"/>
  <c r="E39" i="142"/>
  <c r="G38" i="142"/>
  <c r="H41" i="142"/>
  <c r="D41" i="142"/>
  <c r="F40" i="142"/>
  <c r="H39" i="142"/>
  <c r="D39" i="142"/>
  <c r="F38" i="142"/>
  <c r="F37" i="142" s="1"/>
  <c r="G41" i="142"/>
  <c r="I40" i="142"/>
  <c r="E40" i="142"/>
  <c r="G39" i="142"/>
  <c r="I38" i="142"/>
  <c r="E38" i="142"/>
  <c r="D40" i="142"/>
  <c r="W26" i="142" s="1" a="1"/>
  <c r="W26" i="142" s="1"/>
  <c r="D30" i="142" a="1"/>
  <c r="D38" i="142"/>
  <c r="H40" i="142"/>
  <c r="N63" i="142"/>
  <c r="Z71" i="142"/>
  <c r="Y27" i="118"/>
  <c r="Y26" i="118"/>
  <c r="Y25" i="118"/>
  <c r="Y24" i="118"/>
  <c r="Y23" i="118"/>
  <c r="Y22" i="118"/>
  <c r="Y21" i="118"/>
  <c r="Y20" i="118"/>
  <c r="Y19" i="118"/>
  <c r="Y18" i="118"/>
  <c r="Y17" i="118"/>
  <c r="N27" i="118"/>
  <c r="N26" i="118"/>
  <c r="N25" i="118"/>
  <c r="N24" i="118"/>
  <c r="N23" i="118"/>
  <c r="N22" i="118"/>
  <c r="N21" i="118"/>
  <c r="N20" i="118"/>
  <c r="N19" i="118"/>
  <c r="N18" i="118"/>
  <c r="N17" i="118"/>
  <c r="N16" i="118"/>
  <c r="N15" i="118"/>
  <c r="B41" i="118"/>
  <c r="B40" i="118"/>
  <c r="B39" i="118"/>
  <c r="B38" i="118"/>
  <c r="B37" i="118"/>
  <c r="B36" i="118"/>
  <c r="B35" i="118"/>
  <c r="B34" i="118"/>
  <c r="B33" i="118"/>
  <c r="B32" i="118"/>
  <c r="B31" i="118"/>
  <c r="B30" i="118"/>
  <c r="B29" i="118"/>
  <c r="D6" i="118"/>
  <c r="I5" i="118"/>
  <c r="D38" i="118" s="1" a="1"/>
  <c r="D38" i="118" s="1"/>
  <c r="W25" i="142" l="1" a="1"/>
  <c r="W25" i="142" s="1"/>
  <c r="F42" i="144"/>
  <c r="W16" i="123" a="1"/>
  <c r="W16" i="123" s="1"/>
  <c r="W27" i="123" a="1"/>
  <c r="W27" i="123" s="1"/>
  <c r="I35" i="144"/>
  <c r="H37" i="144"/>
  <c r="E37" i="144"/>
  <c r="P62" i="144" s="1"/>
  <c r="U62" i="144" s="1"/>
  <c r="S62" i="144" s="1"/>
  <c r="I39" i="144"/>
  <c r="G37" i="144"/>
  <c r="P64" i="144" s="1"/>
  <c r="U64" i="144" s="1"/>
  <c r="S64" i="144" s="1"/>
  <c r="F37" i="144"/>
  <c r="P63" i="144" s="1"/>
  <c r="U63" i="144" s="1"/>
  <c r="S63" i="144" s="1"/>
  <c r="W17" i="123" a="1"/>
  <c r="W17" i="123" s="1"/>
  <c r="W32" i="123" a="1"/>
  <c r="W32" i="123" s="1"/>
  <c r="D36" i="143"/>
  <c r="F36" i="143"/>
  <c r="G36" i="143"/>
  <c r="W19" i="143" s="1" a="1"/>
  <c r="W19" i="143" s="1"/>
  <c r="D35" i="143"/>
  <c r="F35" i="143"/>
  <c r="G35" i="143"/>
  <c r="W23" i="123" a="1"/>
  <c r="W23" i="123" s="1"/>
  <c r="W26" i="123" a="1"/>
  <c r="W26" i="123" s="1"/>
  <c r="I55" i="123"/>
  <c r="F38" i="144"/>
  <c r="I37" i="144"/>
  <c r="I36" i="144" s="1"/>
  <c r="U105" i="147"/>
  <c r="S99" i="147"/>
  <c r="S105" i="147" s="1"/>
  <c r="P119" i="146"/>
  <c r="U119" i="146" s="1"/>
  <c r="S119" i="146" s="1"/>
  <c r="N116" i="146"/>
  <c r="Z124" i="146"/>
  <c r="P122" i="146"/>
  <c r="U122" i="146" s="1"/>
  <c r="S122" i="146" s="1"/>
  <c r="P118" i="146"/>
  <c r="U118" i="146" s="1"/>
  <c r="S118" i="146" s="1"/>
  <c r="P121" i="146"/>
  <c r="U121" i="146" s="1"/>
  <c r="S121" i="146" s="1"/>
  <c r="P120" i="146"/>
  <c r="U120" i="146" s="1"/>
  <c r="S120" i="146" s="1"/>
  <c r="P117" i="146"/>
  <c r="U117" i="146" s="1"/>
  <c r="U115" i="146"/>
  <c r="S109" i="146"/>
  <c r="S115" i="146" s="1"/>
  <c r="S107" i="146"/>
  <c r="W21" i="123" a="1"/>
  <c r="W21" i="123" s="1"/>
  <c r="W22" i="123" a="1"/>
  <c r="W22" i="123" s="1"/>
  <c r="W34" i="123" a="1"/>
  <c r="W34" i="123" s="1"/>
  <c r="W31" i="123" a="1"/>
  <c r="W31" i="123" s="1"/>
  <c r="W39" i="123" a="1"/>
  <c r="W39" i="123" s="1"/>
  <c r="W19" i="123" a="1"/>
  <c r="W19" i="123" s="1"/>
  <c r="W30" i="123" a="1"/>
  <c r="W30" i="123" s="1"/>
  <c r="W25" i="123" a="1"/>
  <c r="W25" i="123" s="1"/>
  <c r="W28" i="123" a="1"/>
  <c r="W28" i="123" s="1"/>
  <c r="A62" i="123"/>
  <c r="Y35" i="123"/>
  <c r="W27" i="144" a="1"/>
  <c r="W27" i="144" s="1"/>
  <c r="W28" i="144" a="1"/>
  <c r="W28" i="144" s="1"/>
  <c r="W22" i="144" a="1"/>
  <c r="W22" i="144" s="1"/>
  <c r="D42" i="144"/>
  <c r="W25" i="144" a="1"/>
  <c r="W25" i="144" s="1"/>
  <c r="H45" i="144"/>
  <c r="P56" i="144"/>
  <c r="U56" i="144" s="1"/>
  <c r="S56" i="144" s="1"/>
  <c r="G34" i="144"/>
  <c r="P65" i="144"/>
  <c r="U65" i="144" s="1"/>
  <c r="S65" i="144" s="1"/>
  <c r="G45" i="144"/>
  <c r="E45" i="144"/>
  <c r="P54" i="144"/>
  <c r="U54" i="144" s="1"/>
  <c r="S54" i="144" s="1"/>
  <c r="E34" i="144"/>
  <c r="P53" i="144"/>
  <c r="U53" i="144" s="1"/>
  <c r="D34" i="144"/>
  <c r="W19" i="144" a="1"/>
  <c r="W19" i="144" s="1"/>
  <c r="W18" i="144" s="1"/>
  <c r="Z76" i="144"/>
  <c r="P74" i="144"/>
  <c r="U74" i="144" s="1"/>
  <c r="S74" i="144" s="1"/>
  <c r="P70" i="144"/>
  <c r="U70" i="144" s="1"/>
  <c r="S70" i="144" s="1"/>
  <c r="P73" i="144"/>
  <c r="U73" i="144" s="1"/>
  <c r="S73" i="144" s="1"/>
  <c r="P69" i="144"/>
  <c r="U69" i="144" s="1"/>
  <c r="P72" i="144"/>
  <c r="U72" i="144" s="1"/>
  <c r="S72" i="144" s="1"/>
  <c r="P71" i="144"/>
  <c r="U71" i="144" s="1"/>
  <c r="S71" i="144" s="1"/>
  <c r="N68" i="144"/>
  <c r="S61" i="144"/>
  <c r="G40" i="144"/>
  <c r="H40" i="144"/>
  <c r="D40" i="144"/>
  <c r="F40" i="144"/>
  <c r="E40" i="144"/>
  <c r="I40" i="144"/>
  <c r="W31" i="144" a="1"/>
  <c r="W31" i="144" s="1"/>
  <c r="I45" i="144"/>
  <c r="H36" i="144"/>
  <c r="D36" i="144"/>
  <c r="G36" i="144"/>
  <c r="F36" i="144"/>
  <c r="P58" i="144"/>
  <c r="U58" i="144" s="1"/>
  <c r="S58" i="144" s="1"/>
  <c r="I34" i="144"/>
  <c r="P57" i="144"/>
  <c r="U57" i="144" s="1"/>
  <c r="S57" i="144" s="1"/>
  <c r="H34" i="144"/>
  <c r="F45" i="144"/>
  <c r="W32" i="144" a="1"/>
  <c r="W32" i="144" s="1"/>
  <c r="D45" i="144"/>
  <c r="W30" i="144" a="1"/>
  <c r="W30" i="144" s="1"/>
  <c r="P55" i="144"/>
  <c r="U55" i="144" s="1"/>
  <c r="S55" i="144" s="1"/>
  <c r="F34" i="144"/>
  <c r="E32" i="143"/>
  <c r="F32" i="143"/>
  <c r="G32" i="143"/>
  <c r="W28" i="143" a="1"/>
  <c r="W28" i="143" s="1"/>
  <c r="E41" i="143"/>
  <c r="G41" i="143"/>
  <c r="F40" i="143"/>
  <c r="F39" i="143" s="1"/>
  <c r="I40" i="143"/>
  <c r="I39" i="143" s="1"/>
  <c r="E40" i="143"/>
  <c r="E39" i="143" s="1"/>
  <c r="H40" i="143"/>
  <c r="H39" i="143" s="1"/>
  <c r="D40" i="143"/>
  <c r="G40" i="143"/>
  <c r="G39" i="143" s="1"/>
  <c r="I41" i="143"/>
  <c r="P63" i="143"/>
  <c r="U63" i="143" s="1"/>
  <c r="S63" i="143" s="1"/>
  <c r="P59" i="143"/>
  <c r="U59" i="143" s="1"/>
  <c r="S59" i="143" s="1"/>
  <c r="P62" i="143"/>
  <c r="U62" i="143" s="1"/>
  <c r="S62" i="143" s="1"/>
  <c r="P61" i="143"/>
  <c r="U61" i="143" s="1"/>
  <c r="S61" i="143" s="1"/>
  <c r="P60" i="143"/>
  <c r="U60" i="143" s="1"/>
  <c r="S60" i="143" s="1"/>
  <c r="H41" i="143"/>
  <c r="Z81" i="143"/>
  <c r="N73" i="143"/>
  <c r="F41" i="143"/>
  <c r="W29" i="143" a="1"/>
  <c r="W29" i="143" s="1"/>
  <c r="D41" i="143"/>
  <c r="W26" i="143" a="1"/>
  <c r="W26" i="143" s="1"/>
  <c r="W27" i="143" a="1"/>
  <c r="W27" i="143" s="1"/>
  <c r="P77" i="143"/>
  <c r="U77" i="143" s="1"/>
  <c r="S77" i="143" s="1"/>
  <c r="P79" i="143"/>
  <c r="U79" i="143" s="1"/>
  <c r="S79" i="143" s="1"/>
  <c r="P75" i="143"/>
  <c r="U75" i="143" s="1"/>
  <c r="S75" i="143" s="1"/>
  <c r="P78" i="143"/>
  <c r="U78" i="143" s="1"/>
  <c r="S78" i="143" s="1"/>
  <c r="I31" i="142"/>
  <c r="P61" i="142" s="1"/>
  <c r="U61" i="142" s="1"/>
  <c r="S61" i="142" s="1"/>
  <c r="E31" i="142"/>
  <c r="P57" i="142" s="1"/>
  <c r="U57" i="142" s="1"/>
  <c r="S57" i="142" s="1"/>
  <c r="G30" i="142"/>
  <c r="H31" i="142"/>
  <c r="P60" i="142" s="1"/>
  <c r="U60" i="142" s="1"/>
  <c r="S60" i="142" s="1"/>
  <c r="D31" i="142"/>
  <c r="F30" i="142"/>
  <c r="F31" i="142"/>
  <c r="P58" i="142" s="1"/>
  <c r="U58" i="142" s="1"/>
  <c r="S58" i="142" s="1"/>
  <c r="D30" i="142"/>
  <c r="H30" i="142"/>
  <c r="G31" i="142"/>
  <c r="P59" i="142" s="1"/>
  <c r="U59" i="142" s="1"/>
  <c r="S59" i="142" s="1"/>
  <c r="E30" i="142"/>
  <c r="I30" i="142"/>
  <c r="E37" i="142"/>
  <c r="G37" i="142"/>
  <c r="W24" i="142" a="1"/>
  <c r="W24" i="142" s="1"/>
  <c r="D37" i="142"/>
  <c r="I37" i="142"/>
  <c r="Z79" i="142"/>
  <c r="N71" i="142"/>
  <c r="P75" i="142"/>
  <c r="U75" i="142" s="1"/>
  <c r="S75" i="142" s="1"/>
  <c r="P74" i="142"/>
  <c r="U74" i="142" s="1"/>
  <c r="S74" i="142" s="1"/>
  <c r="P77" i="142"/>
  <c r="U77" i="142" s="1"/>
  <c r="S77" i="142" s="1"/>
  <c r="P73" i="142"/>
  <c r="U73" i="142" s="1"/>
  <c r="S73" i="142" s="1"/>
  <c r="P76" i="142"/>
  <c r="U76" i="142" s="1"/>
  <c r="S76" i="142" s="1"/>
  <c r="W27" i="142" a="1"/>
  <c r="W27" i="142" s="1"/>
  <c r="D35" i="142"/>
  <c r="W22" i="142" a="1"/>
  <c r="W22" i="142" s="1"/>
  <c r="W21" i="142" s="1"/>
  <c r="I41" i="118"/>
  <c r="G40" i="118"/>
  <c r="E39" i="118"/>
  <c r="D41" i="118"/>
  <c r="D39" i="118"/>
  <c r="I38" i="118"/>
  <c r="E41" i="118"/>
  <c r="I39" i="118"/>
  <c r="G38" i="118"/>
  <c r="H41" i="118"/>
  <c r="F40" i="118"/>
  <c r="H39" i="118"/>
  <c r="F38" i="118"/>
  <c r="G41" i="118"/>
  <c r="I40" i="118"/>
  <c r="E40" i="118"/>
  <c r="G39" i="118"/>
  <c r="E38" i="118"/>
  <c r="F41" i="118"/>
  <c r="H40" i="118"/>
  <c r="D40" i="118"/>
  <c r="F39" i="118"/>
  <c r="H38" i="118"/>
  <c r="Y41" i="141"/>
  <c r="Y40" i="141"/>
  <c r="Y39" i="141"/>
  <c r="Y38" i="141"/>
  <c r="Y37" i="141"/>
  <c r="Y36" i="141"/>
  <c r="Y35" i="141"/>
  <c r="Y34" i="141"/>
  <c r="Y33" i="141"/>
  <c r="Y32" i="141"/>
  <c r="Y31" i="141"/>
  <c r="Y30" i="141"/>
  <c r="Y29" i="141"/>
  <c r="Y28" i="141"/>
  <c r="Y27" i="141"/>
  <c r="Y26" i="141"/>
  <c r="Y25" i="141"/>
  <c r="Y24" i="141"/>
  <c r="Y23" i="141"/>
  <c r="Y22" i="141"/>
  <c r="Y21" i="141"/>
  <c r="Y20" i="141"/>
  <c r="Y19" i="141"/>
  <c r="Y18" i="141"/>
  <c r="D5" i="141"/>
  <c r="D44" i="141" s="1" a="1"/>
  <c r="N25" i="141"/>
  <c r="N24" i="141"/>
  <c r="N19" i="141"/>
  <c r="T213" i="141"/>
  <c r="R213" i="141" s="1"/>
  <c r="T212" i="141"/>
  <c r="R212" i="141" s="1"/>
  <c r="T211" i="141"/>
  <c r="R211" i="141" s="1"/>
  <c r="T210" i="141"/>
  <c r="R210" i="141" s="1"/>
  <c r="T209" i="141"/>
  <c r="R209" i="141" s="1"/>
  <c r="T208" i="141"/>
  <c r="R208" i="141" s="1"/>
  <c r="T205" i="141"/>
  <c r="R205" i="141" s="1"/>
  <c r="T204" i="141"/>
  <c r="R204" i="141" s="1"/>
  <c r="T203" i="141"/>
  <c r="R203" i="141" s="1"/>
  <c r="T202" i="141"/>
  <c r="R202" i="141" s="1"/>
  <c r="T201" i="141"/>
  <c r="R201" i="141" s="1"/>
  <c r="T200" i="141"/>
  <c r="R200" i="141" s="1"/>
  <c r="T197" i="141"/>
  <c r="R197" i="141" s="1"/>
  <c r="T196" i="141"/>
  <c r="R196" i="141" s="1"/>
  <c r="T195" i="141"/>
  <c r="R195" i="141" s="1"/>
  <c r="T194" i="141"/>
  <c r="R194" i="141" s="1"/>
  <c r="T193" i="141"/>
  <c r="R193" i="141" s="1"/>
  <c r="T192" i="141"/>
  <c r="R192" i="141" s="1"/>
  <c r="T189" i="141"/>
  <c r="R189" i="141" s="1"/>
  <c r="T188" i="141"/>
  <c r="R188" i="141" s="1"/>
  <c r="T187" i="141"/>
  <c r="R187" i="141" s="1"/>
  <c r="T186" i="141"/>
  <c r="R186" i="141" s="1"/>
  <c r="T185" i="141"/>
  <c r="R185" i="141" s="1"/>
  <c r="T184" i="141"/>
  <c r="R184" i="141" s="1"/>
  <c r="T181" i="141"/>
  <c r="R181" i="141" s="1"/>
  <c r="T180" i="141"/>
  <c r="R180" i="141" s="1"/>
  <c r="T179" i="141"/>
  <c r="R179" i="141" s="1"/>
  <c r="T178" i="141"/>
  <c r="R178" i="141" s="1"/>
  <c r="T177" i="141"/>
  <c r="R177" i="141" s="1"/>
  <c r="T176" i="141"/>
  <c r="R176" i="141" s="1"/>
  <c r="T173" i="141"/>
  <c r="R173" i="141" s="1"/>
  <c r="T172" i="141"/>
  <c r="R172" i="141" s="1"/>
  <c r="T171" i="141"/>
  <c r="R171" i="141" s="1"/>
  <c r="T170" i="141"/>
  <c r="R170" i="141" s="1"/>
  <c r="T169" i="141"/>
  <c r="R169" i="141" s="1"/>
  <c r="T168" i="141"/>
  <c r="R168" i="141" s="1"/>
  <c r="T165" i="141"/>
  <c r="R165" i="141" s="1"/>
  <c r="T164" i="141"/>
  <c r="R164" i="141" s="1"/>
  <c r="T163" i="141"/>
  <c r="R163" i="141" s="1"/>
  <c r="T162" i="141"/>
  <c r="R162" i="141" s="1"/>
  <c r="T161" i="141"/>
  <c r="R161" i="141" s="1"/>
  <c r="T160" i="141"/>
  <c r="R160" i="141" s="1"/>
  <c r="T157" i="141"/>
  <c r="R157" i="141" s="1"/>
  <c r="T156" i="141"/>
  <c r="R156" i="141" s="1"/>
  <c r="T155" i="141"/>
  <c r="R155" i="141" s="1"/>
  <c r="T154" i="141"/>
  <c r="R154" i="141" s="1"/>
  <c r="T153" i="141"/>
  <c r="R153" i="141" s="1"/>
  <c r="T152" i="141"/>
  <c r="R152" i="141" s="1"/>
  <c r="T149" i="141"/>
  <c r="R149" i="141" s="1"/>
  <c r="T148" i="141"/>
  <c r="R148" i="141" s="1"/>
  <c r="T147" i="141"/>
  <c r="R147" i="141" s="1"/>
  <c r="T146" i="141"/>
  <c r="R146" i="141" s="1"/>
  <c r="T145" i="141"/>
  <c r="R145" i="141" s="1"/>
  <c r="T144" i="141"/>
  <c r="R144" i="141" s="1"/>
  <c r="T141" i="141"/>
  <c r="R141" i="141" s="1"/>
  <c r="T140" i="141"/>
  <c r="R140" i="141" s="1"/>
  <c r="T139" i="141"/>
  <c r="R139" i="141" s="1"/>
  <c r="T138" i="141"/>
  <c r="R138" i="141" s="1"/>
  <c r="T137" i="141"/>
  <c r="R137" i="141" s="1"/>
  <c r="T136" i="141"/>
  <c r="R136" i="141" s="1"/>
  <c r="T133" i="141"/>
  <c r="R133" i="141" s="1"/>
  <c r="T132" i="141"/>
  <c r="R132" i="141" s="1"/>
  <c r="T131" i="141"/>
  <c r="R131" i="141" s="1"/>
  <c r="T130" i="141"/>
  <c r="R130" i="141" s="1"/>
  <c r="T129" i="141"/>
  <c r="R129" i="141" s="1"/>
  <c r="T128" i="141"/>
  <c r="R128" i="141" s="1"/>
  <c r="T125" i="141"/>
  <c r="R125" i="141" s="1"/>
  <c r="T124" i="141"/>
  <c r="R124" i="141" s="1"/>
  <c r="T123" i="141"/>
  <c r="R123" i="141" s="1"/>
  <c r="T122" i="141"/>
  <c r="R122" i="141" s="1"/>
  <c r="T121" i="141"/>
  <c r="R121" i="141" s="1"/>
  <c r="T120" i="141"/>
  <c r="R120" i="141" s="1"/>
  <c r="T117" i="141"/>
  <c r="R117" i="141" s="1"/>
  <c r="T116" i="141"/>
  <c r="R116" i="141" s="1"/>
  <c r="T115" i="141"/>
  <c r="R115" i="141" s="1"/>
  <c r="T114" i="141"/>
  <c r="R114" i="141" s="1"/>
  <c r="T113" i="141"/>
  <c r="R113" i="141" s="1"/>
  <c r="T112" i="141"/>
  <c r="R112" i="141" s="1"/>
  <c r="T109" i="141"/>
  <c r="R109" i="141" s="1"/>
  <c r="T108" i="141"/>
  <c r="R108" i="141" s="1"/>
  <c r="T107" i="141"/>
  <c r="R107" i="141" s="1"/>
  <c r="T106" i="141"/>
  <c r="R106" i="141" s="1"/>
  <c r="T105" i="141"/>
  <c r="R105" i="141" s="1"/>
  <c r="T104" i="141"/>
  <c r="R104" i="141" s="1"/>
  <c r="T101" i="141"/>
  <c r="R101" i="141" s="1"/>
  <c r="T100" i="141"/>
  <c r="R100" i="141" s="1"/>
  <c r="T99" i="141"/>
  <c r="R99" i="141" s="1"/>
  <c r="T98" i="141"/>
  <c r="R98" i="141" s="1"/>
  <c r="T97" i="141"/>
  <c r="R97" i="141" s="1"/>
  <c r="T96" i="141"/>
  <c r="R96" i="141" s="1"/>
  <c r="T93" i="141"/>
  <c r="R93" i="141" s="1"/>
  <c r="T92" i="141"/>
  <c r="R92" i="141" s="1"/>
  <c r="T91" i="141"/>
  <c r="R91" i="141" s="1"/>
  <c r="T90" i="141"/>
  <c r="R90" i="141" s="1"/>
  <c r="T89" i="141"/>
  <c r="R89" i="141" s="1"/>
  <c r="T88" i="141"/>
  <c r="R88" i="141" s="1"/>
  <c r="T85" i="141"/>
  <c r="R85" i="141" s="1"/>
  <c r="T84" i="141"/>
  <c r="R84" i="141" s="1"/>
  <c r="T83" i="141"/>
  <c r="R83" i="141" s="1"/>
  <c r="T82" i="141"/>
  <c r="R82" i="141" s="1"/>
  <c r="T81" i="141"/>
  <c r="R81" i="141" s="1"/>
  <c r="T80" i="141"/>
  <c r="R80" i="141" s="1"/>
  <c r="T77" i="141"/>
  <c r="R77" i="141" s="1"/>
  <c r="T76" i="141"/>
  <c r="R76" i="141" s="1"/>
  <c r="T75" i="141"/>
  <c r="R75" i="141" s="1"/>
  <c r="T74" i="141"/>
  <c r="R74" i="141" s="1"/>
  <c r="T73" i="141"/>
  <c r="R73" i="141" s="1"/>
  <c r="T72" i="141"/>
  <c r="R72" i="141" s="1"/>
  <c r="T69" i="141"/>
  <c r="R69" i="141" s="1"/>
  <c r="T68" i="141"/>
  <c r="R68" i="141" s="1"/>
  <c r="T67" i="141"/>
  <c r="R67" i="141" s="1"/>
  <c r="T66" i="141"/>
  <c r="R66" i="141" s="1"/>
  <c r="D68" i="141" a="1"/>
  <c r="I68" i="141" s="1"/>
  <c r="T65" i="141"/>
  <c r="R65" i="141" s="1"/>
  <c r="T64" i="141"/>
  <c r="R64" i="141" s="1"/>
  <c r="D66" i="141" a="1"/>
  <c r="F66" i="141" s="1"/>
  <c r="Z63" i="141"/>
  <c r="T61" i="141"/>
  <c r="R61" i="141" s="1"/>
  <c r="T60" i="141"/>
  <c r="R60" i="141" s="1"/>
  <c r="T59" i="141"/>
  <c r="R59" i="141" s="1"/>
  <c r="T58" i="141"/>
  <c r="R58" i="141" s="1"/>
  <c r="T57" i="141"/>
  <c r="R57" i="141" s="1"/>
  <c r="T56" i="141"/>
  <c r="R56" i="141" s="1"/>
  <c r="N55" i="141"/>
  <c r="W44" i="141"/>
  <c r="W43" i="141" s="1"/>
  <c r="N44" i="141"/>
  <c r="N41" i="141"/>
  <c r="N40" i="141"/>
  <c r="N39" i="141"/>
  <c r="N38" i="141"/>
  <c r="I38" i="141"/>
  <c r="H38" i="141"/>
  <c r="G38" i="141"/>
  <c r="F38" i="141"/>
  <c r="E38" i="141"/>
  <c r="D38" i="141"/>
  <c r="N37" i="141"/>
  <c r="N36" i="141"/>
  <c r="N35" i="141"/>
  <c r="I35" i="141"/>
  <c r="H35" i="141"/>
  <c r="G35" i="141"/>
  <c r="F35" i="141"/>
  <c r="E35" i="141"/>
  <c r="D35" i="141"/>
  <c r="N34" i="141"/>
  <c r="N33" i="141"/>
  <c r="N32" i="141"/>
  <c r="I32" i="141"/>
  <c r="H32" i="141"/>
  <c r="G32" i="141"/>
  <c r="F32" i="141"/>
  <c r="E32" i="141"/>
  <c r="D32" i="141"/>
  <c r="N31" i="141"/>
  <c r="N30" i="141"/>
  <c r="N29" i="141"/>
  <c r="N28" i="141"/>
  <c r="N27" i="141"/>
  <c r="I27" i="141"/>
  <c r="H27" i="141"/>
  <c r="G27" i="141"/>
  <c r="F27" i="141"/>
  <c r="E27" i="141"/>
  <c r="D27" i="141"/>
  <c r="N26" i="141"/>
  <c r="N23" i="141"/>
  <c r="N22" i="141"/>
  <c r="N21" i="141"/>
  <c r="I21" i="141"/>
  <c r="H21" i="141"/>
  <c r="G21" i="141"/>
  <c r="F21" i="141"/>
  <c r="E21" i="141"/>
  <c r="D21" i="141"/>
  <c r="N20" i="141"/>
  <c r="N18" i="141"/>
  <c r="Y17" i="141"/>
  <c r="N17" i="141"/>
  <c r="N16" i="141"/>
  <c r="I16" i="141"/>
  <c r="H16" i="141"/>
  <c r="G16" i="141"/>
  <c r="F16" i="141"/>
  <c r="E16" i="141"/>
  <c r="D16" i="141"/>
  <c r="I5" i="141"/>
  <c r="D67" i="141" s="1" a="1"/>
  <c r="F4" i="141"/>
  <c r="D6" i="140"/>
  <c r="D46" i="140" a="1"/>
  <c r="D46" i="140" s="1"/>
  <c r="I46" i="140"/>
  <c r="E20" i="140"/>
  <c r="T211" i="140"/>
  <c r="R211" i="140" s="1"/>
  <c r="T210" i="140"/>
  <c r="R210" i="140" s="1"/>
  <c r="T209" i="140"/>
  <c r="R209" i="140" s="1"/>
  <c r="T208" i="140"/>
  <c r="R208" i="140" s="1"/>
  <c r="T207" i="140"/>
  <c r="R207" i="140" s="1"/>
  <c r="T206" i="140"/>
  <c r="R206" i="140" s="1"/>
  <c r="T203" i="140"/>
  <c r="R203" i="140" s="1"/>
  <c r="T202" i="140"/>
  <c r="R202" i="140" s="1"/>
  <c r="T201" i="140"/>
  <c r="R201" i="140" s="1"/>
  <c r="T200" i="140"/>
  <c r="R200" i="140" s="1"/>
  <c r="T199" i="140"/>
  <c r="R199" i="140" s="1"/>
  <c r="T198" i="140"/>
  <c r="R198" i="140" s="1"/>
  <c r="T195" i="140"/>
  <c r="R195" i="140" s="1"/>
  <c r="T194" i="140"/>
  <c r="R194" i="140" s="1"/>
  <c r="T193" i="140"/>
  <c r="R193" i="140" s="1"/>
  <c r="T192" i="140"/>
  <c r="R192" i="140" s="1"/>
  <c r="T191" i="140"/>
  <c r="R191" i="140" s="1"/>
  <c r="T190" i="140"/>
  <c r="R190" i="140" s="1"/>
  <c r="T187" i="140"/>
  <c r="R187" i="140" s="1"/>
  <c r="T186" i="140"/>
  <c r="R186" i="140" s="1"/>
  <c r="T185" i="140"/>
  <c r="R185" i="140" s="1"/>
  <c r="T184" i="140"/>
  <c r="R184" i="140" s="1"/>
  <c r="T183" i="140"/>
  <c r="R183" i="140" s="1"/>
  <c r="T182" i="140"/>
  <c r="R182" i="140" s="1"/>
  <c r="T179" i="140"/>
  <c r="R179" i="140" s="1"/>
  <c r="T178" i="140"/>
  <c r="R178" i="140" s="1"/>
  <c r="T177" i="140"/>
  <c r="R177" i="140" s="1"/>
  <c r="T176" i="140"/>
  <c r="R176" i="140" s="1"/>
  <c r="T175" i="140"/>
  <c r="R175" i="140" s="1"/>
  <c r="T174" i="140"/>
  <c r="R174" i="140" s="1"/>
  <c r="T171" i="140"/>
  <c r="R171" i="140" s="1"/>
  <c r="T170" i="140"/>
  <c r="R170" i="140" s="1"/>
  <c r="T169" i="140"/>
  <c r="R169" i="140" s="1"/>
  <c r="T168" i="140"/>
  <c r="R168" i="140" s="1"/>
  <c r="T167" i="140"/>
  <c r="R167" i="140" s="1"/>
  <c r="T166" i="140"/>
  <c r="R166" i="140" s="1"/>
  <c r="T163" i="140"/>
  <c r="R163" i="140" s="1"/>
  <c r="T162" i="140"/>
  <c r="R162" i="140" s="1"/>
  <c r="T161" i="140"/>
  <c r="R161" i="140" s="1"/>
  <c r="T160" i="140"/>
  <c r="R160" i="140" s="1"/>
  <c r="T159" i="140"/>
  <c r="R159" i="140" s="1"/>
  <c r="T158" i="140"/>
  <c r="R158" i="140" s="1"/>
  <c r="T155" i="140"/>
  <c r="R155" i="140" s="1"/>
  <c r="T154" i="140"/>
  <c r="R154" i="140" s="1"/>
  <c r="T153" i="140"/>
  <c r="R153" i="140" s="1"/>
  <c r="T152" i="140"/>
  <c r="R152" i="140" s="1"/>
  <c r="T151" i="140"/>
  <c r="R151" i="140" s="1"/>
  <c r="T150" i="140"/>
  <c r="R150" i="140" s="1"/>
  <c r="T147" i="140"/>
  <c r="R147" i="140" s="1"/>
  <c r="T146" i="140"/>
  <c r="R146" i="140" s="1"/>
  <c r="T145" i="140"/>
  <c r="R145" i="140" s="1"/>
  <c r="T144" i="140"/>
  <c r="R144" i="140" s="1"/>
  <c r="T143" i="140"/>
  <c r="R143" i="140" s="1"/>
  <c r="T142" i="140"/>
  <c r="R142" i="140" s="1"/>
  <c r="T139" i="140"/>
  <c r="R139" i="140" s="1"/>
  <c r="T138" i="140"/>
  <c r="R138" i="140" s="1"/>
  <c r="T137" i="140"/>
  <c r="R137" i="140" s="1"/>
  <c r="T136" i="140"/>
  <c r="R136" i="140" s="1"/>
  <c r="T135" i="140"/>
  <c r="R135" i="140" s="1"/>
  <c r="T134" i="140"/>
  <c r="R134" i="140" s="1"/>
  <c r="T131" i="140"/>
  <c r="R131" i="140" s="1"/>
  <c r="T130" i="140"/>
  <c r="R130" i="140" s="1"/>
  <c r="T129" i="140"/>
  <c r="R129" i="140" s="1"/>
  <c r="T128" i="140"/>
  <c r="R128" i="140" s="1"/>
  <c r="T127" i="140"/>
  <c r="R127" i="140" s="1"/>
  <c r="T126" i="140"/>
  <c r="R126" i="140" s="1"/>
  <c r="T123" i="140"/>
  <c r="R123" i="140" s="1"/>
  <c r="T122" i="140"/>
  <c r="R122" i="140" s="1"/>
  <c r="T121" i="140"/>
  <c r="R121" i="140" s="1"/>
  <c r="T120" i="140"/>
  <c r="R120" i="140" s="1"/>
  <c r="T119" i="140"/>
  <c r="R119" i="140" s="1"/>
  <c r="T118" i="140"/>
  <c r="R118" i="140" s="1"/>
  <c r="T115" i="140"/>
  <c r="R115" i="140" s="1"/>
  <c r="T114" i="140"/>
  <c r="R114" i="140" s="1"/>
  <c r="T113" i="140"/>
  <c r="R113" i="140" s="1"/>
  <c r="T112" i="140"/>
  <c r="R112" i="140" s="1"/>
  <c r="T111" i="140"/>
  <c r="R111" i="140" s="1"/>
  <c r="T110" i="140"/>
  <c r="R110" i="140" s="1"/>
  <c r="T107" i="140"/>
  <c r="R107" i="140" s="1"/>
  <c r="T106" i="140"/>
  <c r="R106" i="140" s="1"/>
  <c r="T105" i="140"/>
  <c r="R105" i="140" s="1"/>
  <c r="T104" i="140"/>
  <c r="R104" i="140" s="1"/>
  <c r="T103" i="140"/>
  <c r="R103" i="140" s="1"/>
  <c r="T102" i="140"/>
  <c r="R102" i="140" s="1"/>
  <c r="T99" i="140"/>
  <c r="R99" i="140" s="1"/>
  <c r="T98" i="140"/>
  <c r="R98" i="140" s="1"/>
  <c r="T97" i="140"/>
  <c r="R97" i="140" s="1"/>
  <c r="T96" i="140"/>
  <c r="R96" i="140" s="1"/>
  <c r="T95" i="140"/>
  <c r="R95" i="140" s="1"/>
  <c r="T94" i="140"/>
  <c r="R94" i="140" s="1"/>
  <c r="T91" i="140"/>
  <c r="R91" i="140" s="1"/>
  <c r="T90" i="140"/>
  <c r="R90" i="140" s="1"/>
  <c r="T89" i="140"/>
  <c r="R89" i="140" s="1"/>
  <c r="T88" i="140"/>
  <c r="R88" i="140" s="1"/>
  <c r="T87" i="140"/>
  <c r="R87" i="140" s="1"/>
  <c r="T86" i="140"/>
  <c r="R86" i="140" s="1"/>
  <c r="T83" i="140"/>
  <c r="R83" i="140" s="1"/>
  <c r="T82" i="140"/>
  <c r="R82" i="140" s="1"/>
  <c r="T81" i="140"/>
  <c r="R81" i="140" s="1"/>
  <c r="T80" i="140"/>
  <c r="R80" i="140" s="1"/>
  <c r="T79" i="140"/>
  <c r="R79" i="140" s="1"/>
  <c r="T78" i="140"/>
  <c r="R78" i="140" s="1"/>
  <c r="T75" i="140"/>
  <c r="R75" i="140" s="1"/>
  <c r="T74" i="140"/>
  <c r="R74" i="140" s="1"/>
  <c r="T73" i="140"/>
  <c r="R73" i="140" s="1"/>
  <c r="T72" i="140"/>
  <c r="R72" i="140" s="1"/>
  <c r="T71" i="140"/>
  <c r="R71" i="140" s="1"/>
  <c r="T70" i="140"/>
  <c r="R70" i="140" s="1"/>
  <c r="T67" i="140"/>
  <c r="R67" i="140" s="1"/>
  <c r="T66" i="140"/>
  <c r="R66" i="140" s="1"/>
  <c r="D64" i="140" a="1"/>
  <c r="H64" i="140" s="1"/>
  <c r="T65" i="140"/>
  <c r="R65" i="140" s="1"/>
  <c r="T64" i="140"/>
  <c r="R64" i="140" s="1"/>
  <c r="D62" i="140" a="1"/>
  <c r="T63" i="140"/>
  <c r="R63" i="140" s="1"/>
  <c r="T62" i="140"/>
  <c r="R62" i="140" s="1"/>
  <c r="Z61" i="140"/>
  <c r="Z69" i="140" s="1"/>
  <c r="T59" i="140"/>
  <c r="R59" i="140" s="1"/>
  <c r="T58" i="140"/>
  <c r="R58" i="140" s="1"/>
  <c r="T57" i="140"/>
  <c r="R57" i="140" s="1"/>
  <c r="T56" i="140"/>
  <c r="R56" i="140" s="1"/>
  <c r="T55" i="140"/>
  <c r="R55" i="140" s="1"/>
  <c r="T54" i="140"/>
  <c r="R54" i="140" s="1"/>
  <c r="N53" i="140"/>
  <c r="W42" i="140"/>
  <c r="W41" i="140" s="1"/>
  <c r="N42" i="140"/>
  <c r="Y39" i="140"/>
  <c r="N39" i="140"/>
  <c r="Y38" i="140"/>
  <c r="N38" i="140"/>
  <c r="Y37" i="140"/>
  <c r="N37" i="140"/>
  <c r="Y36" i="140"/>
  <c r="N36" i="140"/>
  <c r="I36" i="140"/>
  <c r="H36" i="140"/>
  <c r="G36" i="140"/>
  <c r="F36" i="140"/>
  <c r="E36" i="140"/>
  <c r="D36" i="140"/>
  <c r="Y35" i="140"/>
  <c r="N35" i="140"/>
  <c r="Y34" i="140"/>
  <c r="N34" i="140"/>
  <c r="Y33" i="140"/>
  <c r="N33" i="140"/>
  <c r="I33" i="140"/>
  <c r="H33" i="140"/>
  <c r="G33" i="140"/>
  <c r="F33" i="140"/>
  <c r="E33" i="140"/>
  <c r="D33" i="140"/>
  <c r="Y32" i="140"/>
  <c r="N32" i="140"/>
  <c r="Y31" i="140"/>
  <c r="N31" i="140"/>
  <c r="Y30" i="140"/>
  <c r="N30" i="140"/>
  <c r="I30" i="140"/>
  <c r="H30" i="140"/>
  <c r="G30" i="140"/>
  <c r="F30" i="140"/>
  <c r="E30" i="140"/>
  <c r="D30" i="140"/>
  <c r="Y29" i="140"/>
  <c r="N29" i="140"/>
  <c r="Y28" i="140"/>
  <c r="N28" i="140"/>
  <c r="Y27" i="140"/>
  <c r="N27" i="140"/>
  <c r="Y26" i="140"/>
  <c r="N26" i="140"/>
  <c r="Y25" i="140"/>
  <c r="N25" i="140"/>
  <c r="Y24" i="140"/>
  <c r="N24" i="140"/>
  <c r="I24" i="140"/>
  <c r="H24" i="140"/>
  <c r="G24" i="140"/>
  <c r="F24" i="140"/>
  <c r="E24" i="140"/>
  <c r="D24" i="140"/>
  <c r="Y23" i="140"/>
  <c r="N23" i="140"/>
  <c r="Y22" i="140"/>
  <c r="N22" i="140"/>
  <c r="Y21" i="140"/>
  <c r="N21" i="140"/>
  <c r="Y20" i="140"/>
  <c r="N20" i="140"/>
  <c r="I20" i="140"/>
  <c r="H20" i="140"/>
  <c r="G20" i="140"/>
  <c r="F20" i="140"/>
  <c r="D20" i="140"/>
  <c r="Y19" i="140"/>
  <c r="N19" i="140"/>
  <c r="Y18" i="140"/>
  <c r="N18" i="140"/>
  <c r="Y17" i="140"/>
  <c r="N17" i="140"/>
  <c r="N16" i="140"/>
  <c r="I16" i="140"/>
  <c r="H16" i="140"/>
  <c r="G16" i="140"/>
  <c r="F16" i="140"/>
  <c r="E16" i="140"/>
  <c r="D16" i="140"/>
  <c r="I5" i="140"/>
  <c r="D63" i="140" s="1" a="1"/>
  <c r="D5" i="140"/>
  <c r="F4" i="140"/>
  <c r="D6" i="139"/>
  <c r="T213" i="139"/>
  <c r="R213" i="139" s="1"/>
  <c r="T212" i="139"/>
  <c r="R212" i="139" s="1"/>
  <c r="T211" i="139"/>
  <c r="R211" i="139" s="1"/>
  <c r="T210" i="139"/>
  <c r="R210" i="139" s="1"/>
  <c r="T209" i="139"/>
  <c r="R209" i="139" s="1"/>
  <c r="T208" i="139"/>
  <c r="R208" i="139" s="1"/>
  <c r="T205" i="139"/>
  <c r="R205" i="139" s="1"/>
  <c r="T204" i="139"/>
  <c r="R204" i="139" s="1"/>
  <c r="T203" i="139"/>
  <c r="R203" i="139" s="1"/>
  <c r="T202" i="139"/>
  <c r="R202" i="139" s="1"/>
  <c r="T201" i="139"/>
  <c r="R201" i="139" s="1"/>
  <c r="T200" i="139"/>
  <c r="R200" i="139" s="1"/>
  <c r="T197" i="139"/>
  <c r="R197" i="139" s="1"/>
  <c r="T196" i="139"/>
  <c r="R196" i="139" s="1"/>
  <c r="T195" i="139"/>
  <c r="R195" i="139" s="1"/>
  <c r="T194" i="139"/>
  <c r="R194" i="139" s="1"/>
  <c r="T193" i="139"/>
  <c r="R193" i="139" s="1"/>
  <c r="T192" i="139"/>
  <c r="R192" i="139" s="1"/>
  <c r="T189" i="139"/>
  <c r="R189" i="139" s="1"/>
  <c r="T188" i="139"/>
  <c r="R188" i="139" s="1"/>
  <c r="T187" i="139"/>
  <c r="R187" i="139" s="1"/>
  <c r="T186" i="139"/>
  <c r="R186" i="139" s="1"/>
  <c r="T185" i="139"/>
  <c r="R185" i="139" s="1"/>
  <c r="T184" i="139"/>
  <c r="R184" i="139" s="1"/>
  <c r="T181" i="139"/>
  <c r="R181" i="139" s="1"/>
  <c r="T180" i="139"/>
  <c r="R180" i="139" s="1"/>
  <c r="T179" i="139"/>
  <c r="R179" i="139" s="1"/>
  <c r="T178" i="139"/>
  <c r="R178" i="139" s="1"/>
  <c r="T177" i="139"/>
  <c r="R177" i="139" s="1"/>
  <c r="T176" i="139"/>
  <c r="R176" i="139" s="1"/>
  <c r="T173" i="139"/>
  <c r="R173" i="139" s="1"/>
  <c r="T172" i="139"/>
  <c r="R172" i="139" s="1"/>
  <c r="T171" i="139"/>
  <c r="R171" i="139" s="1"/>
  <c r="T170" i="139"/>
  <c r="R170" i="139" s="1"/>
  <c r="T169" i="139"/>
  <c r="R169" i="139" s="1"/>
  <c r="T168" i="139"/>
  <c r="R168" i="139" s="1"/>
  <c r="T165" i="139"/>
  <c r="R165" i="139" s="1"/>
  <c r="T164" i="139"/>
  <c r="R164" i="139" s="1"/>
  <c r="T163" i="139"/>
  <c r="R163" i="139" s="1"/>
  <c r="T162" i="139"/>
  <c r="R162" i="139" s="1"/>
  <c r="T161" i="139"/>
  <c r="R161" i="139" s="1"/>
  <c r="T160" i="139"/>
  <c r="R160" i="139" s="1"/>
  <c r="T157" i="139"/>
  <c r="R157" i="139" s="1"/>
  <c r="T156" i="139"/>
  <c r="R156" i="139" s="1"/>
  <c r="T155" i="139"/>
  <c r="R155" i="139" s="1"/>
  <c r="T154" i="139"/>
  <c r="R154" i="139" s="1"/>
  <c r="T153" i="139"/>
  <c r="R153" i="139" s="1"/>
  <c r="T152" i="139"/>
  <c r="R152" i="139" s="1"/>
  <c r="T149" i="139"/>
  <c r="R149" i="139" s="1"/>
  <c r="T148" i="139"/>
  <c r="R148" i="139" s="1"/>
  <c r="T147" i="139"/>
  <c r="R147" i="139" s="1"/>
  <c r="T146" i="139"/>
  <c r="R146" i="139" s="1"/>
  <c r="T145" i="139"/>
  <c r="R145" i="139" s="1"/>
  <c r="T144" i="139"/>
  <c r="R144" i="139" s="1"/>
  <c r="T141" i="139"/>
  <c r="R141" i="139" s="1"/>
  <c r="T140" i="139"/>
  <c r="R140" i="139" s="1"/>
  <c r="T139" i="139"/>
  <c r="R139" i="139" s="1"/>
  <c r="T138" i="139"/>
  <c r="R138" i="139" s="1"/>
  <c r="T137" i="139"/>
  <c r="R137" i="139" s="1"/>
  <c r="T136" i="139"/>
  <c r="R136" i="139" s="1"/>
  <c r="T133" i="139"/>
  <c r="R133" i="139" s="1"/>
  <c r="T132" i="139"/>
  <c r="R132" i="139" s="1"/>
  <c r="T131" i="139"/>
  <c r="R131" i="139" s="1"/>
  <c r="T130" i="139"/>
  <c r="R130" i="139" s="1"/>
  <c r="T129" i="139"/>
  <c r="R129" i="139" s="1"/>
  <c r="T128" i="139"/>
  <c r="R128" i="139" s="1"/>
  <c r="T125" i="139"/>
  <c r="R125" i="139" s="1"/>
  <c r="T124" i="139"/>
  <c r="R124" i="139" s="1"/>
  <c r="T123" i="139"/>
  <c r="R123" i="139" s="1"/>
  <c r="T122" i="139"/>
  <c r="R122" i="139" s="1"/>
  <c r="T121" i="139"/>
  <c r="R121" i="139" s="1"/>
  <c r="T120" i="139"/>
  <c r="R120" i="139" s="1"/>
  <c r="T117" i="139"/>
  <c r="R117" i="139" s="1"/>
  <c r="T116" i="139"/>
  <c r="R116" i="139" s="1"/>
  <c r="T115" i="139"/>
  <c r="R115" i="139" s="1"/>
  <c r="T114" i="139"/>
  <c r="R114" i="139" s="1"/>
  <c r="T113" i="139"/>
  <c r="R113" i="139" s="1"/>
  <c r="T112" i="139"/>
  <c r="R112" i="139" s="1"/>
  <c r="T109" i="139"/>
  <c r="R109" i="139" s="1"/>
  <c r="T108" i="139"/>
  <c r="R108" i="139" s="1"/>
  <c r="T107" i="139"/>
  <c r="R107" i="139" s="1"/>
  <c r="T106" i="139"/>
  <c r="R106" i="139" s="1"/>
  <c r="T105" i="139"/>
  <c r="R105" i="139" s="1"/>
  <c r="T104" i="139"/>
  <c r="R104" i="139" s="1"/>
  <c r="T101" i="139"/>
  <c r="R101" i="139" s="1"/>
  <c r="T100" i="139"/>
  <c r="R100" i="139" s="1"/>
  <c r="T99" i="139"/>
  <c r="R99" i="139" s="1"/>
  <c r="T98" i="139"/>
  <c r="R98" i="139" s="1"/>
  <c r="T97" i="139"/>
  <c r="R97" i="139" s="1"/>
  <c r="T96" i="139"/>
  <c r="R96" i="139" s="1"/>
  <c r="T93" i="139"/>
  <c r="R93" i="139" s="1"/>
  <c r="T92" i="139"/>
  <c r="R92" i="139" s="1"/>
  <c r="T91" i="139"/>
  <c r="R91" i="139" s="1"/>
  <c r="T90" i="139"/>
  <c r="R90" i="139" s="1"/>
  <c r="T89" i="139"/>
  <c r="R89" i="139" s="1"/>
  <c r="T88" i="139"/>
  <c r="R88" i="139" s="1"/>
  <c r="T85" i="139"/>
  <c r="R85" i="139" s="1"/>
  <c r="T84" i="139"/>
  <c r="R84" i="139" s="1"/>
  <c r="T83" i="139"/>
  <c r="R83" i="139" s="1"/>
  <c r="T82" i="139"/>
  <c r="R82" i="139" s="1"/>
  <c r="T81" i="139"/>
  <c r="R81" i="139" s="1"/>
  <c r="T80" i="139"/>
  <c r="R80" i="139" s="1"/>
  <c r="T77" i="139"/>
  <c r="R77" i="139" s="1"/>
  <c r="T76" i="139"/>
  <c r="R76" i="139" s="1"/>
  <c r="T75" i="139"/>
  <c r="R75" i="139" s="1"/>
  <c r="T74" i="139"/>
  <c r="R74" i="139" s="1"/>
  <c r="T73" i="139"/>
  <c r="R73" i="139" s="1"/>
  <c r="T72" i="139"/>
  <c r="R72" i="139" s="1"/>
  <c r="T69" i="139"/>
  <c r="R69" i="139" s="1"/>
  <c r="T68" i="139"/>
  <c r="R68" i="139" s="1"/>
  <c r="D68" i="139" a="1"/>
  <c r="G68" i="139" s="1"/>
  <c r="T67" i="139"/>
  <c r="R67" i="139" s="1"/>
  <c r="T66" i="139"/>
  <c r="R66" i="139" s="1"/>
  <c r="H66" i="139"/>
  <c r="E66" i="139"/>
  <c r="D66" i="139"/>
  <c r="D66" i="139" a="1"/>
  <c r="G66" i="139" s="1"/>
  <c r="T65" i="139"/>
  <c r="R65" i="139" s="1"/>
  <c r="T64" i="139"/>
  <c r="R64" i="139" s="1"/>
  <c r="Z63" i="139"/>
  <c r="Z71" i="139" s="1"/>
  <c r="Z79" i="139" s="1"/>
  <c r="T61" i="139"/>
  <c r="R61" i="139" s="1"/>
  <c r="T60" i="139"/>
  <c r="R60" i="139" s="1"/>
  <c r="T59" i="139"/>
  <c r="R59" i="139" s="1"/>
  <c r="T58" i="139"/>
  <c r="R58" i="139" s="1"/>
  <c r="T57" i="139"/>
  <c r="R57" i="139" s="1"/>
  <c r="T56" i="139"/>
  <c r="R56" i="139" s="1"/>
  <c r="N55" i="139"/>
  <c r="W44" i="139"/>
  <c r="W43" i="139" s="1"/>
  <c r="N44" i="139"/>
  <c r="D44" i="139" a="1"/>
  <c r="Y41" i="139"/>
  <c r="N41" i="139"/>
  <c r="Y40" i="139"/>
  <c r="N40" i="139"/>
  <c r="Y39" i="139"/>
  <c r="N39" i="139"/>
  <c r="Y38" i="139"/>
  <c r="N38" i="139"/>
  <c r="I38" i="139"/>
  <c r="H38" i="139"/>
  <c r="G38" i="139"/>
  <c r="F38" i="139"/>
  <c r="E38" i="139"/>
  <c r="D38" i="139"/>
  <c r="Y37" i="139"/>
  <c r="N37" i="139"/>
  <c r="Y36" i="139"/>
  <c r="N36" i="139"/>
  <c r="Y35" i="139"/>
  <c r="N35" i="139"/>
  <c r="I35" i="139"/>
  <c r="H35" i="139"/>
  <c r="G35" i="139"/>
  <c r="F35" i="139"/>
  <c r="E35" i="139"/>
  <c r="D35" i="139"/>
  <c r="Y34" i="139"/>
  <c r="N34" i="139"/>
  <c r="Y33" i="139"/>
  <c r="N33" i="139"/>
  <c r="Y32" i="139"/>
  <c r="N32" i="139"/>
  <c r="I32" i="139"/>
  <c r="H32" i="139"/>
  <c r="G32" i="139"/>
  <c r="F32" i="139"/>
  <c r="E32" i="139"/>
  <c r="D32" i="139"/>
  <c r="Y31" i="139"/>
  <c r="N31" i="139"/>
  <c r="Y30" i="139"/>
  <c r="N30" i="139"/>
  <c r="Y29" i="139"/>
  <c r="N29" i="139"/>
  <c r="Y28" i="139"/>
  <c r="N28" i="139"/>
  <c r="Y27" i="139"/>
  <c r="N27" i="139"/>
  <c r="Y26" i="139"/>
  <c r="N26" i="139"/>
  <c r="I26" i="139"/>
  <c r="H26" i="139"/>
  <c r="G26" i="139"/>
  <c r="F26" i="139"/>
  <c r="E26" i="139"/>
  <c r="D26" i="139"/>
  <c r="Y25" i="139"/>
  <c r="N25" i="139"/>
  <c r="Y24" i="139"/>
  <c r="N24" i="139"/>
  <c r="Y23" i="139"/>
  <c r="N23" i="139"/>
  <c r="Y22" i="139"/>
  <c r="N22" i="139"/>
  <c r="Y21" i="139"/>
  <c r="N21" i="139"/>
  <c r="Y20" i="139"/>
  <c r="N20" i="139"/>
  <c r="I20" i="139"/>
  <c r="H20" i="139"/>
  <c r="G20" i="139"/>
  <c r="F20" i="139"/>
  <c r="E20" i="139"/>
  <c r="D20" i="139"/>
  <c r="Y19" i="139"/>
  <c r="N19" i="139"/>
  <c r="Y18" i="139"/>
  <c r="N18" i="139"/>
  <c r="Y17" i="139"/>
  <c r="N17" i="139"/>
  <c r="N16" i="139"/>
  <c r="I16" i="139"/>
  <c r="H16" i="139"/>
  <c r="G16" i="139"/>
  <c r="F16" i="139"/>
  <c r="E16" i="139"/>
  <c r="D16" i="139"/>
  <c r="I5" i="139"/>
  <c r="D67" i="139" s="1" a="1"/>
  <c r="D67" i="139" s="1"/>
  <c r="D5" i="139"/>
  <c r="D48" i="139" s="1" a="1"/>
  <c r="I51" i="139" s="1"/>
  <c r="F4" i="139"/>
  <c r="T213" i="138"/>
  <c r="R213" i="138" s="1"/>
  <c r="T212" i="138"/>
  <c r="R212" i="138" s="1"/>
  <c r="T211" i="138"/>
  <c r="R211" i="138" s="1"/>
  <c r="T210" i="138"/>
  <c r="R210" i="138" s="1"/>
  <c r="T209" i="138"/>
  <c r="R209" i="138" s="1"/>
  <c r="T208" i="138"/>
  <c r="R208" i="138" s="1"/>
  <c r="T205" i="138"/>
  <c r="R205" i="138" s="1"/>
  <c r="T204" i="138"/>
  <c r="R204" i="138" s="1"/>
  <c r="T203" i="138"/>
  <c r="R203" i="138" s="1"/>
  <c r="T202" i="138"/>
  <c r="R202" i="138" s="1"/>
  <c r="T201" i="138"/>
  <c r="R201" i="138" s="1"/>
  <c r="T200" i="138"/>
  <c r="R200" i="138" s="1"/>
  <c r="T197" i="138"/>
  <c r="R197" i="138" s="1"/>
  <c r="T196" i="138"/>
  <c r="R196" i="138" s="1"/>
  <c r="T195" i="138"/>
  <c r="R195" i="138" s="1"/>
  <c r="T194" i="138"/>
  <c r="R194" i="138" s="1"/>
  <c r="T193" i="138"/>
  <c r="R193" i="138" s="1"/>
  <c r="T192" i="138"/>
  <c r="R192" i="138" s="1"/>
  <c r="T189" i="138"/>
  <c r="R189" i="138" s="1"/>
  <c r="T188" i="138"/>
  <c r="R188" i="138" s="1"/>
  <c r="T187" i="138"/>
  <c r="R187" i="138" s="1"/>
  <c r="T186" i="138"/>
  <c r="R186" i="138" s="1"/>
  <c r="T185" i="138"/>
  <c r="R185" i="138" s="1"/>
  <c r="T184" i="138"/>
  <c r="R184" i="138" s="1"/>
  <c r="T181" i="138"/>
  <c r="R181" i="138" s="1"/>
  <c r="T180" i="138"/>
  <c r="R180" i="138" s="1"/>
  <c r="T179" i="138"/>
  <c r="R179" i="138" s="1"/>
  <c r="T178" i="138"/>
  <c r="R178" i="138" s="1"/>
  <c r="T177" i="138"/>
  <c r="R177" i="138" s="1"/>
  <c r="T176" i="138"/>
  <c r="R176" i="138" s="1"/>
  <c r="T173" i="138"/>
  <c r="R173" i="138" s="1"/>
  <c r="T172" i="138"/>
  <c r="R172" i="138" s="1"/>
  <c r="T171" i="138"/>
  <c r="R171" i="138" s="1"/>
  <c r="T170" i="138"/>
  <c r="R170" i="138" s="1"/>
  <c r="T169" i="138"/>
  <c r="R169" i="138" s="1"/>
  <c r="T168" i="138"/>
  <c r="R168" i="138" s="1"/>
  <c r="T165" i="138"/>
  <c r="R165" i="138" s="1"/>
  <c r="T164" i="138"/>
  <c r="R164" i="138" s="1"/>
  <c r="T163" i="138"/>
  <c r="R163" i="138" s="1"/>
  <c r="T162" i="138"/>
  <c r="R162" i="138" s="1"/>
  <c r="T161" i="138"/>
  <c r="R161" i="138" s="1"/>
  <c r="T160" i="138"/>
  <c r="R160" i="138" s="1"/>
  <c r="T157" i="138"/>
  <c r="R157" i="138" s="1"/>
  <c r="T156" i="138"/>
  <c r="R156" i="138" s="1"/>
  <c r="T155" i="138"/>
  <c r="R155" i="138" s="1"/>
  <c r="T154" i="138"/>
  <c r="R154" i="138" s="1"/>
  <c r="T153" i="138"/>
  <c r="R153" i="138" s="1"/>
  <c r="T152" i="138"/>
  <c r="R152" i="138" s="1"/>
  <c r="T149" i="138"/>
  <c r="R149" i="138" s="1"/>
  <c r="T148" i="138"/>
  <c r="R148" i="138" s="1"/>
  <c r="T147" i="138"/>
  <c r="R147" i="138" s="1"/>
  <c r="T146" i="138"/>
  <c r="R146" i="138" s="1"/>
  <c r="T145" i="138"/>
  <c r="R145" i="138" s="1"/>
  <c r="T144" i="138"/>
  <c r="R144" i="138" s="1"/>
  <c r="T141" i="138"/>
  <c r="R141" i="138" s="1"/>
  <c r="T140" i="138"/>
  <c r="R140" i="138" s="1"/>
  <c r="T139" i="138"/>
  <c r="R139" i="138" s="1"/>
  <c r="T138" i="138"/>
  <c r="R138" i="138" s="1"/>
  <c r="T137" i="138"/>
  <c r="R137" i="138" s="1"/>
  <c r="T136" i="138"/>
  <c r="R136" i="138" s="1"/>
  <c r="T133" i="138"/>
  <c r="R133" i="138" s="1"/>
  <c r="T132" i="138"/>
  <c r="R132" i="138" s="1"/>
  <c r="T131" i="138"/>
  <c r="R131" i="138" s="1"/>
  <c r="T130" i="138"/>
  <c r="R130" i="138" s="1"/>
  <c r="T129" i="138"/>
  <c r="R129" i="138" s="1"/>
  <c r="T128" i="138"/>
  <c r="R128" i="138" s="1"/>
  <c r="T125" i="138"/>
  <c r="R125" i="138" s="1"/>
  <c r="T124" i="138"/>
  <c r="R124" i="138" s="1"/>
  <c r="T123" i="138"/>
  <c r="R123" i="138" s="1"/>
  <c r="T122" i="138"/>
  <c r="R122" i="138" s="1"/>
  <c r="T121" i="138"/>
  <c r="R121" i="138" s="1"/>
  <c r="T120" i="138"/>
  <c r="R120" i="138" s="1"/>
  <c r="T117" i="138"/>
  <c r="R117" i="138" s="1"/>
  <c r="T116" i="138"/>
  <c r="R116" i="138" s="1"/>
  <c r="T115" i="138"/>
  <c r="R115" i="138" s="1"/>
  <c r="T114" i="138"/>
  <c r="R114" i="138" s="1"/>
  <c r="T113" i="138"/>
  <c r="R113" i="138" s="1"/>
  <c r="T112" i="138"/>
  <c r="R112" i="138" s="1"/>
  <c r="T109" i="138"/>
  <c r="R109" i="138" s="1"/>
  <c r="T108" i="138"/>
  <c r="R108" i="138" s="1"/>
  <c r="T107" i="138"/>
  <c r="R107" i="138" s="1"/>
  <c r="T106" i="138"/>
  <c r="R106" i="138" s="1"/>
  <c r="T105" i="138"/>
  <c r="R105" i="138" s="1"/>
  <c r="T104" i="138"/>
  <c r="R104" i="138" s="1"/>
  <c r="T101" i="138"/>
  <c r="R101" i="138" s="1"/>
  <c r="T100" i="138"/>
  <c r="R100" i="138" s="1"/>
  <c r="T99" i="138"/>
  <c r="R99" i="138" s="1"/>
  <c r="T98" i="138"/>
  <c r="R98" i="138" s="1"/>
  <c r="T97" i="138"/>
  <c r="R97" i="138" s="1"/>
  <c r="T96" i="138"/>
  <c r="R96" i="138" s="1"/>
  <c r="T93" i="138"/>
  <c r="R93" i="138" s="1"/>
  <c r="T92" i="138"/>
  <c r="R92" i="138" s="1"/>
  <c r="T91" i="138"/>
  <c r="R91" i="138" s="1"/>
  <c r="T90" i="138"/>
  <c r="R90" i="138" s="1"/>
  <c r="T89" i="138"/>
  <c r="R89" i="138" s="1"/>
  <c r="T88" i="138"/>
  <c r="R88" i="138" s="1"/>
  <c r="T85" i="138"/>
  <c r="R85" i="138" s="1"/>
  <c r="T84" i="138"/>
  <c r="R84" i="138" s="1"/>
  <c r="T83" i="138"/>
  <c r="R83" i="138" s="1"/>
  <c r="T82" i="138"/>
  <c r="R82" i="138" s="1"/>
  <c r="T81" i="138"/>
  <c r="R81" i="138" s="1"/>
  <c r="T80" i="138"/>
  <c r="R80" i="138" s="1"/>
  <c r="T77" i="138"/>
  <c r="R77" i="138" s="1"/>
  <c r="T76" i="138"/>
  <c r="R76" i="138" s="1"/>
  <c r="T75" i="138"/>
  <c r="R75" i="138" s="1"/>
  <c r="T74" i="138"/>
  <c r="R74" i="138" s="1"/>
  <c r="T73" i="138"/>
  <c r="R73" i="138" s="1"/>
  <c r="T72" i="138"/>
  <c r="R72" i="138" s="1"/>
  <c r="T69" i="138"/>
  <c r="R69" i="138" s="1"/>
  <c r="T68" i="138"/>
  <c r="R68" i="138" s="1"/>
  <c r="D68" i="138" a="1"/>
  <c r="I68" i="138" s="1"/>
  <c r="T67" i="138"/>
  <c r="R67" i="138" s="1"/>
  <c r="T66" i="138"/>
  <c r="R66" i="138" s="1"/>
  <c r="D66" i="138" a="1"/>
  <c r="I66" i="138" s="1"/>
  <c r="T65" i="138"/>
  <c r="R65" i="138" s="1"/>
  <c r="T64" i="138"/>
  <c r="R64" i="138" s="1"/>
  <c r="Z63" i="138"/>
  <c r="T61" i="138"/>
  <c r="R61" i="138" s="1"/>
  <c r="T60" i="138"/>
  <c r="R60" i="138" s="1"/>
  <c r="T59" i="138"/>
  <c r="R59" i="138" s="1"/>
  <c r="T58" i="138"/>
  <c r="R58" i="138" s="1"/>
  <c r="T57" i="138"/>
  <c r="R57" i="138" s="1"/>
  <c r="T56" i="138"/>
  <c r="R56" i="138" s="1"/>
  <c r="N55" i="138"/>
  <c r="W44" i="138"/>
  <c r="N44" i="138"/>
  <c r="W43" i="138"/>
  <c r="Y41" i="138"/>
  <c r="N41" i="138"/>
  <c r="Y40" i="138"/>
  <c r="N40" i="138"/>
  <c r="Y39" i="138"/>
  <c r="N39" i="138"/>
  <c r="Y38" i="138"/>
  <c r="N38" i="138"/>
  <c r="I38" i="138"/>
  <c r="H38" i="138"/>
  <c r="G38" i="138"/>
  <c r="F38" i="138"/>
  <c r="E38" i="138"/>
  <c r="D38" i="138"/>
  <c r="Y37" i="138"/>
  <c r="N37" i="138"/>
  <c r="Y36" i="138"/>
  <c r="N36" i="138"/>
  <c r="Y35" i="138"/>
  <c r="N35" i="138"/>
  <c r="I35" i="138"/>
  <c r="H35" i="138"/>
  <c r="G35" i="138"/>
  <c r="F35" i="138"/>
  <c r="E35" i="138"/>
  <c r="D35" i="138"/>
  <c r="Y34" i="138"/>
  <c r="N34" i="138"/>
  <c r="Y33" i="138"/>
  <c r="N33" i="138"/>
  <c r="Y32" i="138"/>
  <c r="N32" i="138"/>
  <c r="I32" i="138"/>
  <c r="H32" i="138"/>
  <c r="G32" i="138"/>
  <c r="F32" i="138"/>
  <c r="E32" i="138"/>
  <c r="D32" i="138"/>
  <c r="Y31" i="138"/>
  <c r="N31" i="138"/>
  <c r="Y30" i="138"/>
  <c r="N30" i="138"/>
  <c r="Y29" i="138"/>
  <c r="N29" i="138"/>
  <c r="Y28" i="138"/>
  <c r="N28" i="138"/>
  <c r="Y27" i="138"/>
  <c r="N27" i="138"/>
  <c r="Y26" i="138"/>
  <c r="N26" i="138"/>
  <c r="I26" i="138"/>
  <c r="H26" i="138"/>
  <c r="G26" i="138"/>
  <c r="F26" i="138"/>
  <c r="E26" i="138"/>
  <c r="D26" i="138"/>
  <c r="Y25" i="138"/>
  <c r="N25" i="138"/>
  <c r="Y24" i="138"/>
  <c r="N24" i="138"/>
  <c r="Y23" i="138"/>
  <c r="N23" i="138"/>
  <c r="Y22" i="138"/>
  <c r="N22" i="138"/>
  <c r="Y21" i="138"/>
  <c r="N21" i="138"/>
  <c r="Y20" i="138"/>
  <c r="N20" i="138"/>
  <c r="I20" i="138"/>
  <c r="H20" i="138"/>
  <c r="G20" i="138"/>
  <c r="F20" i="138"/>
  <c r="E20" i="138"/>
  <c r="D20" i="138"/>
  <c r="Y19" i="138"/>
  <c r="N19" i="138"/>
  <c r="Y18" i="138"/>
  <c r="N18" i="138"/>
  <c r="Y17" i="138"/>
  <c r="N17" i="138"/>
  <c r="N16" i="138"/>
  <c r="I16" i="138"/>
  <c r="H16" i="138"/>
  <c r="G16" i="138"/>
  <c r="F16" i="138"/>
  <c r="E16" i="138"/>
  <c r="D16" i="138"/>
  <c r="D6" i="138"/>
  <c r="I5" i="138"/>
  <c r="D67" i="138" s="1" a="1"/>
  <c r="D5" i="138"/>
  <c r="F4" i="138"/>
  <c r="Y41" i="137"/>
  <c r="Y40" i="137"/>
  <c r="Y39" i="137"/>
  <c r="Y38" i="137"/>
  <c r="Y37" i="137"/>
  <c r="Y36" i="137"/>
  <c r="Y35" i="137"/>
  <c r="Y34" i="137"/>
  <c r="Y33" i="137"/>
  <c r="Y32" i="137"/>
  <c r="Y31" i="137"/>
  <c r="Y30" i="137"/>
  <c r="Y29" i="137"/>
  <c r="Y28" i="137"/>
  <c r="Y27" i="137"/>
  <c r="Y26" i="137"/>
  <c r="Y25" i="137"/>
  <c r="Y24" i="137"/>
  <c r="Y23" i="137"/>
  <c r="Y22" i="137"/>
  <c r="Y21" i="137"/>
  <c r="Y20" i="137"/>
  <c r="Y19" i="137"/>
  <c r="Y18" i="137"/>
  <c r="N41" i="137"/>
  <c r="N40" i="137"/>
  <c r="N39" i="137"/>
  <c r="N38" i="137"/>
  <c r="N37" i="137"/>
  <c r="N36" i="137"/>
  <c r="N35" i="137"/>
  <c r="N34" i="137"/>
  <c r="N33" i="137"/>
  <c r="N32" i="137"/>
  <c r="N31" i="137"/>
  <c r="N30" i="137"/>
  <c r="N29" i="137"/>
  <c r="N28" i="137"/>
  <c r="N27" i="137"/>
  <c r="N26" i="137"/>
  <c r="N25" i="137"/>
  <c r="N24" i="137"/>
  <c r="N23" i="137"/>
  <c r="N22" i="137"/>
  <c r="N21" i="137"/>
  <c r="N20" i="137"/>
  <c r="N19" i="137"/>
  <c r="N18" i="137"/>
  <c r="N17" i="137"/>
  <c r="N16" i="137"/>
  <c r="D68" i="137" a="1"/>
  <c r="D68" i="137" s="1"/>
  <c r="F68" i="137"/>
  <c r="G68" i="137"/>
  <c r="D66" i="137" a="1"/>
  <c r="D66" i="137" s="1"/>
  <c r="I5" i="137"/>
  <c r="D67" i="137" s="1" a="1"/>
  <c r="D6" i="137"/>
  <c r="D5" i="137"/>
  <c r="D54" i="137" s="1" a="1"/>
  <c r="T213" i="137"/>
  <c r="R213" i="137" s="1"/>
  <c r="T212" i="137"/>
  <c r="R212" i="137" s="1"/>
  <c r="T211" i="137"/>
  <c r="R211" i="137" s="1"/>
  <c r="T210" i="137"/>
  <c r="R210" i="137" s="1"/>
  <c r="T209" i="137"/>
  <c r="R209" i="137" s="1"/>
  <c r="T208" i="137"/>
  <c r="R208" i="137" s="1"/>
  <c r="T205" i="137"/>
  <c r="R205" i="137" s="1"/>
  <c r="T204" i="137"/>
  <c r="R204" i="137" s="1"/>
  <c r="T203" i="137"/>
  <c r="R203" i="137" s="1"/>
  <c r="T202" i="137"/>
  <c r="R202" i="137" s="1"/>
  <c r="T201" i="137"/>
  <c r="R201" i="137" s="1"/>
  <c r="T200" i="137"/>
  <c r="R200" i="137" s="1"/>
  <c r="T197" i="137"/>
  <c r="R197" i="137" s="1"/>
  <c r="T196" i="137"/>
  <c r="R196" i="137" s="1"/>
  <c r="T195" i="137"/>
  <c r="R195" i="137" s="1"/>
  <c r="T194" i="137"/>
  <c r="R194" i="137" s="1"/>
  <c r="T193" i="137"/>
  <c r="R193" i="137" s="1"/>
  <c r="T192" i="137"/>
  <c r="R192" i="137" s="1"/>
  <c r="T189" i="137"/>
  <c r="R189" i="137" s="1"/>
  <c r="T188" i="137"/>
  <c r="R188" i="137" s="1"/>
  <c r="T187" i="137"/>
  <c r="R187" i="137" s="1"/>
  <c r="T186" i="137"/>
  <c r="R186" i="137" s="1"/>
  <c r="T185" i="137"/>
  <c r="R185" i="137" s="1"/>
  <c r="T184" i="137"/>
  <c r="R184" i="137" s="1"/>
  <c r="T181" i="137"/>
  <c r="R181" i="137" s="1"/>
  <c r="T180" i="137"/>
  <c r="R180" i="137" s="1"/>
  <c r="T179" i="137"/>
  <c r="R179" i="137" s="1"/>
  <c r="T178" i="137"/>
  <c r="R178" i="137" s="1"/>
  <c r="T177" i="137"/>
  <c r="R177" i="137" s="1"/>
  <c r="T176" i="137"/>
  <c r="R176" i="137" s="1"/>
  <c r="T173" i="137"/>
  <c r="R173" i="137" s="1"/>
  <c r="T172" i="137"/>
  <c r="R172" i="137" s="1"/>
  <c r="T171" i="137"/>
  <c r="R171" i="137" s="1"/>
  <c r="T170" i="137"/>
  <c r="R170" i="137" s="1"/>
  <c r="T169" i="137"/>
  <c r="R169" i="137" s="1"/>
  <c r="T168" i="137"/>
  <c r="R168" i="137" s="1"/>
  <c r="T165" i="137"/>
  <c r="R165" i="137" s="1"/>
  <c r="T164" i="137"/>
  <c r="R164" i="137" s="1"/>
  <c r="T163" i="137"/>
  <c r="R163" i="137" s="1"/>
  <c r="T162" i="137"/>
  <c r="R162" i="137" s="1"/>
  <c r="T161" i="137"/>
  <c r="R161" i="137" s="1"/>
  <c r="T160" i="137"/>
  <c r="R160" i="137" s="1"/>
  <c r="T157" i="137"/>
  <c r="R157" i="137" s="1"/>
  <c r="T156" i="137"/>
  <c r="R156" i="137" s="1"/>
  <c r="T155" i="137"/>
  <c r="R155" i="137" s="1"/>
  <c r="T154" i="137"/>
  <c r="R154" i="137" s="1"/>
  <c r="T153" i="137"/>
  <c r="R153" i="137" s="1"/>
  <c r="T152" i="137"/>
  <c r="R152" i="137" s="1"/>
  <c r="T149" i="137"/>
  <c r="R149" i="137" s="1"/>
  <c r="T148" i="137"/>
  <c r="R148" i="137" s="1"/>
  <c r="T147" i="137"/>
  <c r="R147" i="137" s="1"/>
  <c r="T146" i="137"/>
  <c r="R146" i="137" s="1"/>
  <c r="T145" i="137"/>
  <c r="R145" i="137" s="1"/>
  <c r="T144" i="137"/>
  <c r="R144" i="137" s="1"/>
  <c r="T141" i="137"/>
  <c r="R141" i="137" s="1"/>
  <c r="T140" i="137"/>
  <c r="R140" i="137" s="1"/>
  <c r="T139" i="137"/>
  <c r="R139" i="137" s="1"/>
  <c r="T138" i="137"/>
  <c r="R138" i="137" s="1"/>
  <c r="T137" i="137"/>
  <c r="R137" i="137" s="1"/>
  <c r="T136" i="137"/>
  <c r="R136" i="137" s="1"/>
  <c r="T133" i="137"/>
  <c r="R133" i="137" s="1"/>
  <c r="T132" i="137"/>
  <c r="R132" i="137" s="1"/>
  <c r="T131" i="137"/>
  <c r="R131" i="137" s="1"/>
  <c r="T130" i="137"/>
  <c r="R130" i="137" s="1"/>
  <c r="T129" i="137"/>
  <c r="R129" i="137" s="1"/>
  <c r="T128" i="137"/>
  <c r="R128" i="137" s="1"/>
  <c r="T125" i="137"/>
  <c r="R125" i="137" s="1"/>
  <c r="T124" i="137"/>
  <c r="R124" i="137" s="1"/>
  <c r="T123" i="137"/>
  <c r="R123" i="137" s="1"/>
  <c r="T122" i="137"/>
  <c r="R122" i="137" s="1"/>
  <c r="T121" i="137"/>
  <c r="R121" i="137" s="1"/>
  <c r="T120" i="137"/>
  <c r="R120" i="137" s="1"/>
  <c r="T117" i="137"/>
  <c r="R117" i="137" s="1"/>
  <c r="T116" i="137"/>
  <c r="R116" i="137" s="1"/>
  <c r="T115" i="137"/>
  <c r="R115" i="137" s="1"/>
  <c r="T114" i="137"/>
  <c r="R114" i="137" s="1"/>
  <c r="T113" i="137"/>
  <c r="R113" i="137" s="1"/>
  <c r="T112" i="137"/>
  <c r="R112" i="137" s="1"/>
  <c r="T109" i="137"/>
  <c r="R109" i="137" s="1"/>
  <c r="T108" i="137"/>
  <c r="R108" i="137" s="1"/>
  <c r="T107" i="137"/>
  <c r="R107" i="137" s="1"/>
  <c r="T106" i="137"/>
  <c r="R106" i="137" s="1"/>
  <c r="T105" i="137"/>
  <c r="R105" i="137" s="1"/>
  <c r="T104" i="137"/>
  <c r="R104" i="137" s="1"/>
  <c r="T101" i="137"/>
  <c r="R101" i="137" s="1"/>
  <c r="T100" i="137"/>
  <c r="R100" i="137" s="1"/>
  <c r="T99" i="137"/>
  <c r="R99" i="137" s="1"/>
  <c r="T98" i="137"/>
  <c r="R98" i="137" s="1"/>
  <c r="T97" i="137"/>
  <c r="R97" i="137" s="1"/>
  <c r="T96" i="137"/>
  <c r="R96" i="137" s="1"/>
  <c r="T93" i="137"/>
  <c r="R93" i="137" s="1"/>
  <c r="T92" i="137"/>
  <c r="R92" i="137" s="1"/>
  <c r="T91" i="137"/>
  <c r="R91" i="137" s="1"/>
  <c r="T90" i="137"/>
  <c r="R90" i="137" s="1"/>
  <c r="T89" i="137"/>
  <c r="R89" i="137" s="1"/>
  <c r="T88" i="137"/>
  <c r="R88" i="137" s="1"/>
  <c r="T85" i="137"/>
  <c r="R85" i="137" s="1"/>
  <c r="T84" i="137"/>
  <c r="R84" i="137" s="1"/>
  <c r="T83" i="137"/>
  <c r="R83" i="137" s="1"/>
  <c r="T82" i="137"/>
  <c r="R82" i="137" s="1"/>
  <c r="T81" i="137"/>
  <c r="R81" i="137" s="1"/>
  <c r="T80" i="137"/>
  <c r="R80" i="137" s="1"/>
  <c r="T77" i="137"/>
  <c r="R77" i="137" s="1"/>
  <c r="T76" i="137"/>
  <c r="R76" i="137" s="1"/>
  <c r="T75" i="137"/>
  <c r="R75" i="137" s="1"/>
  <c r="T74" i="137"/>
  <c r="R74" i="137" s="1"/>
  <c r="T73" i="137"/>
  <c r="R73" i="137" s="1"/>
  <c r="T72" i="137"/>
  <c r="R72" i="137" s="1"/>
  <c r="T69" i="137"/>
  <c r="R69" i="137" s="1"/>
  <c r="T68" i="137"/>
  <c r="R68" i="137" s="1"/>
  <c r="T67" i="137"/>
  <c r="R67" i="137" s="1"/>
  <c r="T66" i="137"/>
  <c r="R66" i="137" s="1"/>
  <c r="T65" i="137"/>
  <c r="R65" i="137" s="1"/>
  <c r="T64" i="137"/>
  <c r="R64" i="137" s="1"/>
  <c r="Z63" i="137"/>
  <c r="T61" i="137"/>
  <c r="R61" i="137" s="1"/>
  <c r="T60" i="137"/>
  <c r="R60" i="137" s="1"/>
  <c r="T59" i="137"/>
  <c r="R59" i="137" s="1"/>
  <c r="T58" i="137"/>
  <c r="R58" i="137" s="1"/>
  <c r="T57" i="137"/>
  <c r="R57" i="137" s="1"/>
  <c r="T56" i="137"/>
  <c r="R56" i="137" s="1"/>
  <c r="N55" i="137"/>
  <c r="W44" i="137"/>
  <c r="W43" i="137" s="1"/>
  <c r="N44" i="137"/>
  <c r="I38" i="137"/>
  <c r="H38" i="137"/>
  <c r="G38" i="137"/>
  <c r="F38" i="137"/>
  <c r="E38" i="137"/>
  <c r="D38" i="137"/>
  <c r="I35" i="137"/>
  <c r="H35" i="137"/>
  <c r="G35" i="137"/>
  <c r="F35" i="137"/>
  <c r="E35" i="137"/>
  <c r="D35" i="137"/>
  <c r="I32" i="137"/>
  <c r="H32" i="137"/>
  <c r="G32" i="137"/>
  <c r="F32" i="137"/>
  <c r="E32" i="137"/>
  <c r="D32" i="137"/>
  <c r="I26" i="137"/>
  <c r="H26" i="137"/>
  <c r="G26" i="137"/>
  <c r="F26" i="137"/>
  <c r="E26" i="137"/>
  <c r="D26" i="137"/>
  <c r="I20" i="137"/>
  <c r="H20" i="137"/>
  <c r="G20" i="137"/>
  <c r="F20" i="137"/>
  <c r="E20" i="137"/>
  <c r="D20" i="137"/>
  <c r="Y17" i="137"/>
  <c r="I16" i="137"/>
  <c r="H16" i="137"/>
  <c r="G16" i="137"/>
  <c r="F16" i="137"/>
  <c r="E16" i="137"/>
  <c r="D16" i="137"/>
  <c r="F4" i="137"/>
  <c r="Y35" i="116"/>
  <c r="Y34" i="116"/>
  <c r="Y33" i="116"/>
  <c r="Y32" i="116"/>
  <c r="Y31" i="116"/>
  <c r="Y30" i="116"/>
  <c r="Y29" i="116"/>
  <c r="Y28" i="116"/>
  <c r="Y27" i="116"/>
  <c r="Y26" i="116"/>
  <c r="Y25" i="116"/>
  <c r="Y24" i="116"/>
  <c r="Y23" i="116"/>
  <c r="Y22" i="116"/>
  <c r="Y21" i="116"/>
  <c r="Y20" i="116"/>
  <c r="N34" i="116"/>
  <c r="N33" i="116"/>
  <c r="N32" i="116"/>
  <c r="N31" i="116"/>
  <c r="N30" i="116"/>
  <c r="N29" i="116"/>
  <c r="N28" i="116"/>
  <c r="N27" i="116"/>
  <c r="N26" i="116"/>
  <c r="N25" i="116"/>
  <c r="N24" i="116"/>
  <c r="N23" i="116"/>
  <c r="N22" i="116"/>
  <c r="N21" i="116"/>
  <c r="N20" i="116"/>
  <c r="N19" i="116"/>
  <c r="N18" i="116"/>
  <c r="I5" i="116"/>
  <c r="D52" i="116" s="1" a="1"/>
  <c r="D5" i="116"/>
  <c r="D39" i="116" s="1" a="1"/>
  <c r="D39" i="116" s="1"/>
  <c r="F4" i="116"/>
  <c r="Y49" i="108"/>
  <c r="Y48" i="108"/>
  <c r="Y47" i="108"/>
  <c r="Y46" i="108"/>
  <c r="Y45" i="108"/>
  <c r="Y44" i="108"/>
  <c r="Y43" i="108"/>
  <c r="Y42" i="108"/>
  <c r="Y41" i="108"/>
  <c r="Y40" i="108"/>
  <c r="Y39" i="108"/>
  <c r="Y38" i="108"/>
  <c r="Y37" i="108"/>
  <c r="Y36" i="108"/>
  <c r="Y35" i="108"/>
  <c r="Y34" i="108"/>
  <c r="Y33" i="108"/>
  <c r="Y32" i="108"/>
  <c r="Y31" i="108"/>
  <c r="Y30" i="108"/>
  <c r="Y29" i="108"/>
  <c r="Y28" i="108"/>
  <c r="Y27" i="108"/>
  <c r="Y26" i="108"/>
  <c r="Y25" i="108"/>
  <c r="Y24" i="108"/>
  <c r="Y23" i="108"/>
  <c r="Y22" i="108"/>
  <c r="Y21" i="108"/>
  <c r="N48" i="108"/>
  <c r="N47" i="108"/>
  <c r="N46" i="108"/>
  <c r="N45" i="108"/>
  <c r="N44" i="108"/>
  <c r="N43" i="108"/>
  <c r="N42" i="108"/>
  <c r="N41" i="108"/>
  <c r="N40" i="108"/>
  <c r="N39" i="108"/>
  <c r="N38" i="108"/>
  <c r="N37" i="108"/>
  <c r="N36" i="108"/>
  <c r="N35" i="108"/>
  <c r="N34" i="108"/>
  <c r="N33" i="108"/>
  <c r="N32" i="108"/>
  <c r="N31" i="108"/>
  <c r="N30" i="108"/>
  <c r="N29" i="108"/>
  <c r="N28" i="108"/>
  <c r="N27" i="108"/>
  <c r="N26" i="108"/>
  <c r="N25" i="108"/>
  <c r="N24" i="108"/>
  <c r="N23" i="108"/>
  <c r="N22" i="108"/>
  <c r="N21" i="108"/>
  <c r="N20" i="108"/>
  <c r="N19" i="108"/>
  <c r="M5" i="108"/>
  <c r="D78" i="108" s="1" a="1"/>
  <c r="G78" i="108" s="1"/>
  <c r="D5" i="108"/>
  <c r="D74" i="108" s="1" a="1"/>
  <c r="B5" i="108"/>
  <c r="F3" i="108"/>
  <c r="J6" i="108"/>
  <c r="N27" i="105"/>
  <c r="N26" i="105"/>
  <c r="N25" i="105"/>
  <c r="N24" i="105"/>
  <c r="N23" i="105"/>
  <c r="N22" i="105"/>
  <c r="N21" i="105"/>
  <c r="N20" i="105"/>
  <c r="N19" i="105"/>
  <c r="N18" i="105"/>
  <c r="N17" i="105"/>
  <c r="N16" i="105"/>
  <c r="N15" i="105"/>
  <c r="N14" i="105"/>
  <c r="N13" i="105"/>
  <c r="N12" i="105"/>
  <c r="N27" i="106"/>
  <c r="N26" i="106"/>
  <c r="N25" i="106"/>
  <c r="N24" i="106"/>
  <c r="N23" i="106"/>
  <c r="N22" i="106"/>
  <c r="N21" i="106"/>
  <c r="N20" i="106"/>
  <c r="N19" i="106"/>
  <c r="N18" i="106"/>
  <c r="N17" i="106"/>
  <c r="N16" i="106"/>
  <c r="N15" i="106"/>
  <c r="I5" i="106"/>
  <c r="D6" i="106"/>
  <c r="Y27" i="105"/>
  <c r="Y26" i="105"/>
  <c r="Y25" i="105"/>
  <c r="Y24" i="105"/>
  <c r="Y23" i="105"/>
  <c r="Y22" i="105"/>
  <c r="Y21" i="105"/>
  <c r="Y20" i="105"/>
  <c r="Y19" i="105"/>
  <c r="Y18" i="105"/>
  <c r="Y17" i="105"/>
  <c r="Y16" i="105"/>
  <c r="Y15" i="105"/>
  <c r="Y14" i="105"/>
  <c r="I25" i="105"/>
  <c r="H25" i="105"/>
  <c r="G25" i="105"/>
  <c r="F25" i="105"/>
  <c r="E25" i="105"/>
  <c r="D25" i="105"/>
  <c r="I5" i="105"/>
  <c r="D43" i="105" s="1" a="1"/>
  <c r="D43" i="105" s="1"/>
  <c r="D67" i="137" l="1"/>
  <c r="G67" i="137"/>
  <c r="F67" i="137"/>
  <c r="W21" i="140" a="1"/>
  <c r="W21" i="140" s="1"/>
  <c r="F56" i="137"/>
  <c r="D55" i="137"/>
  <c r="H57" i="137"/>
  <c r="D57" i="108" a="1"/>
  <c r="D76" i="108" a="1"/>
  <c r="D60" i="141" a="1"/>
  <c r="D60" i="108" a="1"/>
  <c r="G66" i="108" s="1"/>
  <c r="H67" i="139"/>
  <c r="H65" i="139" s="1"/>
  <c r="D68" i="139"/>
  <c r="D51" i="108" a="1"/>
  <c r="D69" i="108" a="1"/>
  <c r="G72" i="108" s="1"/>
  <c r="D41" i="116" a="1"/>
  <c r="D46" i="116" s="1"/>
  <c r="D60" i="137" a="1"/>
  <c r="G66" i="137"/>
  <c r="D48" i="138" a="1"/>
  <c r="E52" i="138" s="1"/>
  <c r="I67" i="139"/>
  <c r="E68" i="139"/>
  <c r="E46" i="140"/>
  <c r="G64" i="140"/>
  <c r="G48" i="140"/>
  <c r="E36" i="144"/>
  <c r="W21" i="144" a="1"/>
  <c r="W21" i="144" s="1"/>
  <c r="I68" i="139"/>
  <c r="E63" i="137"/>
  <c r="D44" i="137" a="1"/>
  <c r="D63" i="137" a="1"/>
  <c r="D55" i="141" a="1"/>
  <c r="D53" i="108" a="1"/>
  <c r="D50" i="116" a="1"/>
  <c r="E50" i="116" s="1"/>
  <c r="D48" i="137" a="1"/>
  <c r="F66" i="137"/>
  <c r="D54" i="138" a="1"/>
  <c r="F66" i="138"/>
  <c r="F68" i="138"/>
  <c r="N63" i="139"/>
  <c r="I66" i="139"/>
  <c r="I65" i="139" s="1"/>
  <c r="H68" i="139"/>
  <c r="H47" i="140"/>
  <c r="D63" i="141" a="1"/>
  <c r="I63" i="141" s="1"/>
  <c r="P66" i="144"/>
  <c r="U66" i="144" s="1"/>
  <c r="W22" i="143" a="1"/>
  <c r="W22" i="143" s="1"/>
  <c r="W21" i="143" s="1"/>
  <c r="S117" i="146"/>
  <c r="U123" i="146"/>
  <c r="P129" i="146"/>
  <c r="U129" i="146" s="1"/>
  <c r="S129" i="146" s="1"/>
  <c r="P125" i="146"/>
  <c r="U125" i="146" s="1"/>
  <c r="P128" i="146"/>
  <c r="U128" i="146" s="1"/>
  <c r="S128" i="146" s="1"/>
  <c r="P127" i="146"/>
  <c r="U127" i="146" s="1"/>
  <c r="S127" i="146" s="1"/>
  <c r="Z132" i="146"/>
  <c r="P130" i="146"/>
  <c r="U130" i="146" s="1"/>
  <c r="S130" i="146" s="1"/>
  <c r="P126" i="146"/>
  <c r="U126" i="146" s="1"/>
  <c r="S126" i="146" s="1"/>
  <c r="N124" i="146"/>
  <c r="W29" i="123"/>
  <c r="A63" i="123"/>
  <c r="Y37" i="123" s="1"/>
  <c r="Y36" i="123"/>
  <c r="W26" i="144"/>
  <c r="W29" i="144"/>
  <c r="U59" i="144"/>
  <c r="S53" i="144"/>
  <c r="S59" i="144" s="1"/>
  <c r="W24" i="144"/>
  <c r="W23" i="144" a="1"/>
  <c r="W23" i="144" s="1"/>
  <c r="U75" i="144"/>
  <c r="S69" i="144"/>
  <c r="S75" i="144" s="1"/>
  <c r="P80" i="144"/>
  <c r="U80" i="144" s="1"/>
  <c r="S80" i="144" s="1"/>
  <c r="P79" i="144"/>
  <c r="U79" i="144" s="1"/>
  <c r="S79" i="144" s="1"/>
  <c r="N76" i="144"/>
  <c r="Z84" i="144"/>
  <c r="P82" i="144"/>
  <c r="U82" i="144" s="1"/>
  <c r="S82" i="144" s="1"/>
  <c r="P78" i="144"/>
  <c r="U78" i="144" s="1"/>
  <c r="S78" i="144" s="1"/>
  <c r="P81" i="144"/>
  <c r="U81" i="144" s="1"/>
  <c r="S81" i="144" s="1"/>
  <c r="P77" i="144"/>
  <c r="U77" i="144" s="1"/>
  <c r="P76" i="143"/>
  <c r="U76" i="143" s="1"/>
  <c r="S76" i="143" s="1"/>
  <c r="W20" i="143" a="1"/>
  <c r="W20" i="143" s="1"/>
  <c r="W25" i="143"/>
  <c r="E33" i="143"/>
  <c r="P67" i="143"/>
  <c r="U67" i="143" s="1"/>
  <c r="S67" i="143" s="1"/>
  <c r="G33" i="143"/>
  <c r="P69" i="143"/>
  <c r="U69" i="143" s="1"/>
  <c r="S69" i="143" s="1"/>
  <c r="P58" i="143"/>
  <c r="U58" i="143" s="1"/>
  <c r="I33" i="143"/>
  <c r="P71" i="143"/>
  <c r="U71" i="143" s="1"/>
  <c r="S71" i="143" s="1"/>
  <c r="H33" i="143"/>
  <c r="P70" i="143"/>
  <c r="U70" i="143" s="1"/>
  <c r="S70" i="143" s="1"/>
  <c r="D31" i="143"/>
  <c r="W16" i="143" a="1"/>
  <c r="W16" i="143" s="1"/>
  <c r="P50" i="143"/>
  <c r="U50" i="143" s="1"/>
  <c r="H31" i="143"/>
  <c r="P54" i="143"/>
  <c r="U54" i="143" s="1"/>
  <c r="S54" i="143" s="1"/>
  <c r="W18" i="143" a="1"/>
  <c r="W18" i="143" s="1"/>
  <c r="D33" i="143"/>
  <c r="P66" i="143"/>
  <c r="U66" i="143" s="1"/>
  <c r="P55" i="143"/>
  <c r="U55" i="143" s="1"/>
  <c r="S55" i="143" s="1"/>
  <c r="I31" i="143"/>
  <c r="P53" i="143"/>
  <c r="U53" i="143" s="1"/>
  <c r="S53" i="143" s="1"/>
  <c r="G31" i="143"/>
  <c r="F33" i="143"/>
  <c r="P68" i="143"/>
  <c r="U68" i="143" s="1"/>
  <c r="S68" i="143" s="1"/>
  <c r="P74" i="143"/>
  <c r="U74" i="143" s="1"/>
  <c r="P85" i="143"/>
  <c r="U85" i="143" s="1"/>
  <c r="S85" i="143" s="1"/>
  <c r="P84" i="143"/>
  <c r="U84" i="143" s="1"/>
  <c r="S84" i="143" s="1"/>
  <c r="N81" i="143"/>
  <c r="Z89" i="143"/>
  <c r="P87" i="143"/>
  <c r="U87" i="143" s="1"/>
  <c r="S87" i="143" s="1"/>
  <c r="P83" i="143"/>
  <c r="U83" i="143" s="1"/>
  <c r="S83" i="143" s="1"/>
  <c r="P86" i="143"/>
  <c r="U86" i="143" s="1"/>
  <c r="S86" i="143" s="1"/>
  <c r="P82" i="143"/>
  <c r="U82" i="143" s="1"/>
  <c r="P51" i="143"/>
  <c r="U51" i="143" s="1"/>
  <c r="S51" i="143" s="1"/>
  <c r="E31" i="143"/>
  <c r="P52" i="143"/>
  <c r="U52" i="143" s="1"/>
  <c r="S52" i="143" s="1"/>
  <c r="F31" i="143"/>
  <c r="W24" i="143" a="1"/>
  <c r="W24" i="143" s="1"/>
  <c r="W23" i="143" s="1"/>
  <c r="D39" i="143"/>
  <c r="W20" i="142" a="1"/>
  <c r="W20" i="142" s="1"/>
  <c r="P72" i="142"/>
  <c r="U72" i="142" s="1"/>
  <c r="P83" i="142"/>
  <c r="U83" i="142" s="1"/>
  <c r="S83" i="142" s="1"/>
  <c r="P82" i="142"/>
  <c r="U82" i="142" s="1"/>
  <c r="S82" i="142" s="1"/>
  <c r="N79" i="142"/>
  <c r="Z87" i="142"/>
  <c r="P85" i="142"/>
  <c r="U85" i="142" s="1"/>
  <c r="S85" i="142" s="1"/>
  <c r="P81" i="142"/>
  <c r="U81" i="142" s="1"/>
  <c r="S81" i="142" s="1"/>
  <c r="P84" i="142"/>
  <c r="U84" i="142" s="1"/>
  <c r="S84" i="142" s="1"/>
  <c r="P80" i="142"/>
  <c r="U80" i="142" s="1"/>
  <c r="H32" i="142"/>
  <c r="P68" i="142"/>
  <c r="U68" i="142" s="1"/>
  <c r="S68" i="142" s="1"/>
  <c r="P53" i="142"/>
  <c r="U53" i="142" s="1"/>
  <c r="S53" i="142" s="1"/>
  <c r="I29" i="142"/>
  <c r="D29" i="142"/>
  <c r="W16" i="142" a="1"/>
  <c r="W16" i="142" s="1"/>
  <c r="P48" i="142"/>
  <c r="U48" i="142" s="1"/>
  <c r="E32" i="142"/>
  <c r="P65" i="142"/>
  <c r="U65" i="142" s="1"/>
  <c r="S65" i="142" s="1"/>
  <c r="W23" i="142"/>
  <c r="P49" i="142"/>
  <c r="U49" i="142" s="1"/>
  <c r="S49" i="142" s="1"/>
  <c r="E29" i="142"/>
  <c r="P51" i="142"/>
  <c r="U51" i="142" s="1"/>
  <c r="S51" i="142" s="1"/>
  <c r="G29" i="142"/>
  <c r="I32" i="142"/>
  <c r="P69" i="142"/>
  <c r="U69" i="142" s="1"/>
  <c r="S69" i="142" s="1"/>
  <c r="F32" i="142"/>
  <c r="P66" i="142"/>
  <c r="U66" i="142" s="1"/>
  <c r="S66" i="142" s="1"/>
  <c r="P50" i="142"/>
  <c r="U50" i="142" s="1"/>
  <c r="S50" i="142" s="1"/>
  <c r="F29" i="142"/>
  <c r="W19" i="142" a="1"/>
  <c r="W19" i="142" s="1"/>
  <c r="D32" i="142"/>
  <c r="P64" i="142"/>
  <c r="U64" i="142" s="1"/>
  <c r="G32" i="142"/>
  <c r="P67" i="142"/>
  <c r="U67" i="142" s="1"/>
  <c r="S67" i="142" s="1"/>
  <c r="H29" i="142"/>
  <c r="P52" i="142"/>
  <c r="U52" i="142" s="1"/>
  <c r="S52" i="142" s="1"/>
  <c r="W17" i="142" a="1"/>
  <c r="W17" i="142" s="1"/>
  <c r="P56" i="142"/>
  <c r="U56" i="142" s="1"/>
  <c r="E63" i="141"/>
  <c r="F64" i="141"/>
  <c r="G61" i="141"/>
  <c r="I60" i="141"/>
  <c r="E60" i="141"/>
  <c r="F61" i="141"/>
  <c r="H60" i="141"/>
  <c r="G58" i="141"/>
  <c r="I57" i="141"/>
  <c r="I55" i="141"/>
  <c r="E55" i="141"/>
  <c r="D57" i="141"/>
  <c r="F56" i="141"/>
  <c r="D49" i="141" a="1"/>
  <c r="H53" i="141" s="1"/>
  <c r="D53" i="141"/>
  <c r="F52" i="141"/>
  <c r="F50" i="141"/>
  <c r="H49" i="141"/>
  <c r="D44" i="141"/>
  <c r="G46" i="141"/>
  <c r="D45" i="141"/>
  <c r="H47" i="141"/>
  <c r="E45" i="141"/>
  <c r="P65" i="141" s="1"/>
  <c r="U65" i="141" s="1"/>
  <c r="S65" i="141" s="1"/>
  <c r="I47" i="141"/>
  <c r="F46" i="141"/>
  <c r="G66" i="141"/>
  <c r="F68" i="141"/>
  <c r="E47" i="141"/>
  <c r="I45" i="141"/>
  <c r="G44" i="141"/>
  <c r="D47" i="141"/>
  <c r="W20" i="141" s="1" a="1"/>
  <c r="W20" i="141" s="1"/>
  <c r="H45" i="141"/>
  <c r="F44" i="141"/>
  <c r="G47" i="141"/>
  <c r="I46" i="141"/>
  <c r="E46" i="141"/>
  <c r="G45" i="141"/>
  <c r="P67" i="141" s="1"/>
  <c r="U67" i="141" s="1"/>
  <c r="S67" i="141" s="1"/>
  <c r="I44" i="141"/>
  <c r="E44" i="141"/>
  <c r="F47" i="141"/>
  <c r="H46" i="141"/>
  <c r="D46" i="141"/>
  <c r="F45" i="141"/>
  <c r="H44" i="141"/>
  <c r="P64" i="141"/>
  <c r="U64" i="141" s="1"/>
  <c r="P66" i="141"/>
  <c r="U66" i="141" s="1"/>
  <c r="S66" i="141" s="1"/>
  <c r="I67" i="141"/>
  <c r="E67" i="141"/>
  <c r="H67" i="141"/>
  <c r="D67" i="141"/>
  <c r="W40" i="141" s="1" a="1"/>
  <c r="W40" i="141" s="1"/>
  <c r="F67" i="141"/>
  <c r="G67" i="141"/>
  <c r="Z71" i="141"/>
  <c r="N63" i="141"/>
  <c r="I66" i="141"/>
  <c r="E66" i="141"/>
  <c r="H66" i="141"/>
  <c r="D66" i="141"/>
  <c r="W39" i="141" s="1" a="1"/>
  <c r="W39" i="141" s="1"/>
  <c r="G68" i="141"/>
  <c r="D68" i="141"/>
  <c r="H68" i="141"/>
  <c r="E68" i="141"/>
  <c r="F48" i="140"/>
  <c r="G47" i="140"/>
  <c r="G46" i="140"/>
  <c r="E48" i="140"/>
  <c r="E47" i="140"/>
  <c r="F46" i="140"/>
  <c r="I48" i="140"/>
  <c r="I47" i="140"/>
  <c r="I45" i="140" s="1"/>
  <c r="D47" i="140"/>
  <c r="H48" i="140"/>
  <c r="D48" i="140"/>
  <c r="F47" i="140"/>
  <c r="H46" i="140"/>
  <c r="D64" i="140"/>
  <c r="F63" i="140"/>
  <c r="I63" i="140"/>
  <c r="E63" i="140"/>
  <c r="H63" i="140"/>
  <c r="D63" i="140"/>
  <c r="G63" i="140"/>
  <c r="D42" i="140" a="1"/>
  <c r="F62" i="140"/>
  <c r="I62" i="140"/>
  <c r="E62" i="140"/>
  <c r="D62" i="140"/>
  <c r="D56" i="140" a="1"/>
  <c r="D59" i="140" a="1"/>
  <c r="G62" i="140"/>
  <c r="F64" i="140"/>
  <c r="I64" i="140"/>
  <c r="E64" i="140"/>
  <c r="N69" i="140"/>
  <c r="Z77" i="140"/>
  <c r="D50" i="140" a="1"/>
  <c r="H62" i="140"/>
  <c r="N61" i="140"/>
  <c r="F46" i="139"/>
  <c r="H45" i="139"/>
  <c r="D45" i="139"/>
  <c r="F44" i="139"/>
  <c r="I46" i="139"/>
  <c r="P77" i="139" s="1"/>
  <c r="U77" i="139" s="1"/>
  <c r="S77" i="139" s="1"/>
  <c r="E46" i="139"/>
  <c r="P73" i="139" s="1"/>
  <c r="U73" i="139" s="1"/>
  <c r="S73" i="139" s="1"/>
  <c r="G45" i="139"/>
  <c r="P67" i="139" s="1"/>
  <c r="U67" i="139" s="1"/>
  <c r="S67" i="139" s="1"/>
  <c r="I44" i="139"/>
  <c r="E44" i="139"/>
  <c r="H46" i="139"/>
  <c r="P76" i="139" s="1"/>
  <c r="U76" i="139" s="1"/>
  <c r="S76" i="139" s="1"/>
  <c r="D46" i="139"/>
  <c r="F45" i="139"/>
  <c r="P66" i="139" s="1"/>
  <c r="U66" i="139" s="1"/>
  <c r="S66" i="139" s="1"/>
  <c r="H44" i="139"/>
  <c r="D44" i="139"/>
  <c r="G46" i="139"/>
  <c r="P75" i="139" s="1"/>
  <c r="U75" i="139" s="1"/>
  <c r="S75" i="139" s="1"/>
  <c r="E45" i="139"/>
  <c r="P65" i="139" s="1"/>
  <c r="U65" i="139" s="1"/>
  <c r="S65" i="139" s="1"/>
  <c r="E49" i="139"/>
  <c r="Z87" i="139"/>
  <c r="N79" i="139"/>
  <c r="F52" i="139"/>
  <c r="H51" i="139"/>
  <c r="D51" i="139"/>
  <c r="F50" i="139"/>
  <c r="H49" i="139"/>
  <c r="D49" i="139"/>
  <c r="F48" i="139"/>
  <c r="I52" i="139"/>
  <c r="E52" i="139"/>
  <c r="G51" i="139"/>
  <c r="I50" i="139"/>
  <c r="E50" i="139"/>
  <c r="G49" i="139"/>
  <c r="I48" i="139"/>
  <c r="E48" i="139"/>
  <c r="H52" i="139"/>
  <c r="D52" i="139"/>
  <c r="F51" i="139"/>
  <c r="H50" i="139"/>
  <c r="D50" i="139"/>
  <c r="F49" i="139"/>
  <c r="H48" i="139"/>
  <c r="D48" i="139"/>
  <c r="G50" i="139"/>
  <c r="G44" i="139"/>
  <c r="G48" i="139"/>
  <c r="E51" i="139"/>
  <c r="D54" i="139" a="1"/>
  <c r="I45" i="139"/>
  <c r="P69" i="139" s="1"/>
  <c r="U69" i="139" s="1"/>
  <c r="S69" i="139" s="1"/>
  <c r="I49" i="139"/>
  <c r="G52" i="139"/>
  <c r="D65" i="139"/>
  <c r="P74" i="139"/>
  <c r="U74" i="139" s="1"/>
  <c r="S74" i="139" s="1"/>
  <c r="N71" i="139"/>
  <c r="D60" i="139" a="1"/>
  <c r="D63" i="139" a="1"/>
  <c r="G67" i="139"/>
  <c r="G65" i="139" s="1"/>
  <c r="F67" i="139"/>
  <c r="E67" i="139"/>
  <c r="E65" i="139" s="1"/>
  <c r="F66" i="139"/>
  <c r="F68" i="139"/>
  <c r="P68" i="139"/>
  <c r="U68" i="139" s="1"/>
  <c r="S68" i="139" s="1"/>
  <c r="I52" i="138"/>
  <c r="I50" i="138"/>
  <c r="E50" i="138"/>
  <c r="E48" i="138"/>
  <c r="F48" i="138"/>
  <c r="F51" i="138"/>
  <c r="H50" i="138"/>
  <c r="H48" i="138"/>
  <c r="D48" i="138"/>
  <c r="E51" i="138"/>
  <c r="G50" i="138"/>
  <c r="G48" i="138"/>
  <c r="F52" i="138"/>
  <c r="F50" i="138"/>
  <c r="H49" i="138"/>
  <c r="I67" i="138"/>
  <c r="E67" i="138"/>
  <c r="H67" i="138"/>
  <c r="D67" i="138"/>
  <c r="G67" i="138"/>
  <c r="F67" i="138"/>
  <c r="F65" i="138" s="1"/>
  <c r="D44" i="138" a="1"/>
  <c r="E56" i="138"/>
  <c r="N63" i="138"/>
  <c r="Z71" i="138"/>
  <c r="F57" i="138"/>
  <c r="I65" i="138"/>
  <c r="D60" i="138" a="1"/>
  <c r="D63" i="138" a="1"/>
  <c r="H56" i="138"/>
  <c r="G66" i="138"/>
  <c r="G68" i="138"/>
  <c r="D66" i="138"/>
  <c r="H66" i="138"/>
  <c r="D68" i="138"/>
  <c r="H68" i="138"/>
  <c r="E66" i="138"/>
  <c r="E68" i="138"/>
  <c r="G46" i="137"/>
  <c r="E45" i="137"/>
  <c r="P65" i="137" s="1"/>
  <c r="U65" i="137" s="1"/>
  <c r="S65" i="137" s="1"/>
  <c r="D44" i="137"/>
  <c r="E52" i="137"/>
  <c r="E51" i="137"/>
  <c r="F50" i="137"/>
  <c r="G49" i="137"/>
  <c r="G48" i="137"/>
  <c r="G58" i="137"/>
  <c r="E57" i="137"/>
  <c r="I55" i="137"/>
  <c r="G54" i="137"/>
  <c r="H61" i="137"/>
  <c r="F60" i="137"/>
  <c r="G64" i="137"/>
  <c r="G63" i="137"/>
  <c r="F46" i="137"/>
  <c r="D45" i="137"/>
  <c r="I52" i="137"/>
  <c r="I51" i="137"/>
  <c r="D51" i="137"/>
  <c r="E50" i="137"/>
  <c r="E49" i="137"/>
  <c r="F48" i="137"/>
  <c r="F58" i="137"/>
  <c r="D57" i="137"/>
  <c r="H55" i="137"/>
  <c r="F54" i="137"/>
  <c r="E61" i="137"/>
  <c r="D60" i="137"/>
  <c r="E64" i="137"/>
  <c r="F63" i="137"/>
  <c r="I45" i="137"/>
  <c r="P69" i="137" s="1"/>
  <c r="U69" i="137" s="1"/>
  <c r="S69" i="137" s="1"/>
  <c r="G44" i="137"/>
  <c r="G52" i="137"/>
  <c r="H51" i="137"/>
  <c r="I50" i="137"/>
  <c r="I49" i="137"/>
  <c r="D49" i="137"/>
  <c r="E48" i="137"/>
  <c r="I57" i="137"/>
  <c r="G56" i="137"/>
  <c r="E55" i="137"/>
  <c r="D54" i="137"/>
  <c r="D61" i="137"/>
  <c r="I64" i="137"/>
  <c r="D64" i="137"/>
  <c r="I68" i="137"/>
  <c r="E68" i="137"/>
  <c r="H68" i="137"/>
  <c r="I67" i="137"/>
  <c r="E67" i="137"/>
  <c r="H67" i="137"/>
  <c r="I66" i="137"/>
  <c r="E66" i="137"/>
  <c r="H66" i="137"/>
  <c r="F64" i="137"/>
  <c r="H63" i="137"/>
  <c r="G61" i="137"/>
  <c r="I60" i="137"/>
  <c r="E60" i="137"/>
  <c r="F61" i="137"/>
  <c r="H60" i="137"/>
  <c r="I58" i="137"/>
  <c r="E58" i="137"/>
  <c r="G57" i="137"/>
  <c r="I56" i="137"/>
  <c r="E56" i="137"/>
  <c r="G55" i="137"/>
  <c r="I54" i="137"/>
  <c r="I53" i="137" s="1"/>
  <c r="E54" i="137"/>
  <c r="H58" i="137"/>
  <c r="D58" i="137"/>
  <c r="F57" i="137"/>
  <c r="H56" i="137"/>
  <c r="D56" i="137"/>
  <c r="F55" i="137"/>
  <c r="H54" i="137"/>
  <c r="H53" i="137" s="1"/>
  <c r="H52" i="137"/>
  <c r="D52" i="137"/>
  <c r="F51" i="137"/>
  <c r="H50" i="137"/>
  <c r="D50" i="137"/>
  <c r="F49" i="137"/>
  <c r="H48" i="137"/>
  <c r="I46" i="137"/>
  <c r="E46" i="137"/>
  <c r="G45" i="137"/>
  <c r="P67" i="137" s="1"/>
  <c r="U67" i="137" s="1"/>
  <c r="S67" i="137" s="1"/>
  <c r="I44" i="137"/>
  <c r="E44" i="137"/>
  <c r="H46" i="137"/>
  <c r="D46" i="137"/>
  <c r="F45" i="137"/>
  <c r="P66" i="137" s="1"/>
  <c r="U66" i="137" s="1"/>
  <c r="S66" i="137" s="1"/>
  <c r="H44" i="137"/>
  <c r="Z71" i="137"/>
  <c r="N63" i="137"/>
  <c r="H50" i="116"/>
  <c r="D50" i="116"/>
  <c r="D52" i="116"/>
  <c r="G52" i="116"/>
  <c r="D37" i="116" a="1"/>
  <c r="D48" i="116" a="1"/>
  <c r="F48" i="116" s="1"/>
  <c r="F50" i="116"/>
  <c r="G50" i="116"/>
  <c r="I50" i="116"/>
  <c r="F52" i="116"/>
  <c r="I52" i="116"/>
  <c r="E52" i="116"/>
  <c r="H52" i="116"/>
  <c r="G46" i="116"/>
  <c r="I44" i="116"/>
  <c r="D45" i="116"/>
  <c r="G39" i="116"/>
  <c r="F39" i="116"/>
  <c r="I39" i="116"/>
  <c r="E39" i="116"/>
  <c r="H39" i="116"/>
  <c r="I37" i="116"/>
  <c r="E71" i="108"/>
  <c r="G70" i="108"/>
  <c r="D76" i="108"/>
  <c r="I71" i="108"/>
  <c r="F72" i="108"/>
  <c r="H71" i="108"/>
  <c r="H69" i="108"/>
  <c r="D69" i="108"/>
  <c r="D51" i="108"/>
  <c r="E72" i="108"/>
  <c r="G71" i="108"/>
  <c r="G69" i="108"/>
  <c r="F71" i="108"/>
  <c r="H70" i="108"/>
  <c r="D74" i="108"/>
  <c r="H79" i="108"/>
  <c r="D79" i="108"/>
  <c r="F78" i="108"/>
  <c r="G79" i="108"/>
  <c r="I78" i="108"/>
  <c r="E78" i="108"/>
  <c r="F79" i="108"/>
  <c r="H78" i="108"/>
  <c r="D78" i="108"/>
  <c r="I79" i="108"/>
  <c r="E79" i="108"/>
  <c r="G76" i="108"/>
  <c r="F76" i="108"/>
  <c r="I76" i="108"/>
  <c r="E76" i="108"/>
  <c r="H76" i="108"/>
  <c r="F74" i="108"/>
  <c r="I74" i="108"/>
  <c r="E74" i="108"/>
  <c r="G74" i="108"/>
  <c r="H74" i="108"/>
  <c r="I67" i="108"/>
  <c r="I63" i="108"/>
  <c r="G62" i="108"/>
  <c r="H65" i="108"/>
  <c r="F64" i="108"/>
  <c r="F60" i="108"/>
  <c r="G67" i="108"/>
  <c r="G65" i="108"/>
  <c r="I64" i="108"/>
  <c r="I62" i="108"/>
  <c r="E62" i="108"/>
  <c r="E60" i="108"/>
  <c r="E67" i="108"/>
  <c r="E63" i="108"/>
  <c r="I61" i="108"/>
  <c r="F66" i="108"/>
  <c r="D65" i="108"/>
  <c r="D61" i="108"/>
  <c r="F67" i="108"/>
  <c r="F65" i="108"/>
  <c r="H64" i="108"/>
  <c r="H62" i="108"/>
  <c r="D62" i="108"/>
  <c r="D58" i="108"/>
  <c r="H54" i="108"/>
  <c r="H55" i="108"/>
  <c r="G51" i="108"/>
  <c r="F51" i="108"/>
  <c r="I51" i="108"/>
  <c r="E51" i="108"/>
  <c r="H51" i="108"/>
  <c r="I44" i="105"/>
  <c r="E44" i="105"/>
  <c r="G43" i="105"/>
  <c r="H44" i="105"/>
  <c r="D44" i="105"/>
  <c r="F43" i="105"/>
  <c r="G44" i="105"/>
  <c r="I43" i="105"/>
  <c r="E43" i="105"/>
  <c r="F44" i="105"/>
  <c r="H43" i="105"/>
  <c r="T188" i="103"/>
  <c r="R188" i="103" s="1"/>
  <c r="T187" i="103"/>
  <c r="R187" i="103" s="1"/>
  <c r="T186" i="103"/>
  <c r="R186" i="103" s="1"/>
  <c r="T185" i="103"/>
  <c r="R185" i="103" s="1"/>
  <c r="T184" i="103"/>
  <c r="R184" i="103" s="1"/>
  <c r="T183" i="103"/>
  <c r="R183" i="103" s="1"/>
  <c r="T180" i="103"/>
  <c r="R180" i="103" s="1"/>
  <c r="T179" i="103"/>
  <c r="R179" i="103" s="1"/>
  <c r="T178" i="103"/>
  <c r="R178" i="103" s="1"/>
  <c r="T177" i="103"/>
  <c r="R177" i="103" s="1"/>
  <c r="T176" i="103"/>
  <c r="R176" i="103" s="1"/>
  <c r="T175" i="103"/>
  <c r="R175" i="103" s="1"/>
  <c r="T172" i="103"/>
  <c r="R172" i="103" s="1"/>
  <c r="T171" i="103"/>
  <c r="R171" i="103" s="1"/>
  <c r="T170" i="103"/>
  <c r="R170" i="103" s="1"/>
  <c r="T169" i="103"/>
  <c r="R169" i="103" s="1"/>
  <c r="T168" i="103"/>
  <c r="R168" i="103" s="1"/>
  <c r="T167" i="103"/>
  <c r="R167" i="103" s="1"/>
  <c r="T164" i="103"/>
  <c r="R164" i="103" s="1"/>
  <c r="T163" i="103"/>
  <c r="R163" i="103" s="1"/>
  <c r="T162" i="103"/>
  <c r="R162" i="103" s="1"/>
  <c r="T161" i="103"/>
  <c r="R161" i="103" s="1"/>
  <c r="T160" i="103"/>
  <c r="R160" i="103" s="1"/>
  <c r="T159" i="103"/>
  <c r="R159" i="103" s="1"/>
  <c r="Y41" i="103"/>
  <c r="Y40" i="103"/>
  <c r="Y39" i="103"/>
  <c r="Y38" i="103"/>
  <c r="Y37" i="103"/>
  <c r="Y36" i="103"/>
  <c r="Y35" i="103"/>
  <c r="Y34" i="103"/>
  <c r="Y33" i="103"/>
  <c r="Y32" i="103"/>
  <c r="Y31" i="103"/>
  <c r="Y30" i="103"/>
  <c r="Y29" i="103"/>
  <c r="Y28" i="103"/>
  <c r="Y27" i="103"/>
  <c r="Y26" i="103"/>
  <c r="Y25" i="103"/>
  <c r="Y24" i="103"/>
  <c r="Y23" i="103"/>
  <c r="Y22" i="103"/>
  <c r="Y21" i="103"/>
  <c r="Y20" i="103"/>
  <c r="Y19" i="103"/>
  <c r="N41" i="103"/>
  <c r="N40" i="103"/>
  <c r="N39" i="103"/>
  <c r="N38" i="103"/>
  <c r="N37" i="103"/>
  <c r="N36" i="103"/>
  <c r="N35" i="103"/>
  <c r="N34" i="103"/>
  <c r="N33" i="103"/>
  <c r="N32" i="103"/>
  <c r="N31" i="103"/>
  <c r="N30" i="103"/>
  <c r="N29" i="103"/>
  <c r="N28" i="103"/>
  <c r="N27" i="103"/>
  <c r="N26" i="103"/>
  <c r="N25" i="103"/>
  <c r="N24" i="103"/>
  <c r="N23" i="103"/>
  <c r="N22" i="103"/>
  <c r="N21" i="103"/>
  <c r="N20" i="103"/>
  <c r="N19" i="103"/>
  <c r="N18" i="103"/>
  <c r="N17" i="103"/>
  <c r="I29" i="103"/>
  <c r="H29" i="103"/>
  <c r="G29" i="103"/>
  <c r="F29" i="103"/>
  <c r="E29" i="103"/>
  <c r="D29" i="103"/>
  <c r="I26" i="103"/>
  <c r="H26" i="103"/>
  <c r="G26" i="103"/>
  <c r="F26" i="103"/>
  <c r="E26" i="103"/>
  <c r="D26" i="103"/>
  <c r="I21" i="103"/>
  <c r="H21" i="103"/>
  <c r="G21" i="103"/>
  <c r="F21" i="103"/>
  <c r="E21" i="103"/>
  <c r="D21" i="103"/>
  <c r="I5" i="103"/>
  <c r="D66" i="103" s="1" a="1"/>
  <c r="D66" i="103" s="1"/>
  <c r="D7" i="103"/>
  <c r="D6" i="103"/>
  <c r="Y47" i="102"/>
  <c r="Y46" i="102"/>
  <c r="Y45" i="102"/>
  <c r="Y44" i="102"/>
  <c r="Y43" i="102"/>
  <c r="Y42" i="102"/>
  <c r="Y41" i="102"/>
  <c r="Y40" i="102"/>
  <c r="Y39" i="102"/>
  <c r="Y38" i="102"/>
  <c r="Y37" i="102"/>
  <c r="Y36" i="102"/>
  <c r="Y35" i="102"/>
  <c r="Y34" i="102"/>
  <c r="Y33" i="102"/>
  <c r="Y32" i="102"/>
  <c r="Y31" i="102"/>
  <c r="Y30" i="102"/>
  <c r="Y29" i="102"/>
  <c r="Y28" i="102"/>
  <c r="Y27" i="102"/>
  <c r="Y26" i="102"/>
  <c r="Y25" i="102"/>
  <c r="Y24" i="102"/>
  <c r="Y23" i="102"/>
  <c r="Y22" i="102"/>
  <c r="Y21" i="102"/>
  <c r="Y20" i="102"/>
  <c r="Y19" i="102"/>
  <c r="N47" i="102"/>
  <c r="N46" i="102"/>
  <c r="N45" i="102"/>
  <c r="N44" i="102"/>
  <c r="N43" i="102"/>
  <c r="N42" i="102"/>
  <c r="N41" i="102"/>
  <c r="N40" i="102"/>
  <c r="N39" i="102"/>
  <c r="N38" i="102"/>
  <c r="N37" i="102"/>
  <c r="N36" i="102"/>
  <c r="N35" i="102"/>
  <c r="N34" i="102"/>
  <c r="N33" i="102"/>
  <c r="N32" i="102"/>
  <c r="N31" i="102"/>
  <c r="N30" i="102"/>
  <c r="N29" i="102"/>
  <c r="N28" i="102"/>
  <c r="N27" i="102"/>
  <c r="N26" i="102"/>
  <c r="N25" i="102"/>
  <c r="N24" i="102"/>
  <c r="N23" i="102"/>
  <c r="N22" i="102"/>
  <c r="N21" i="102"/>
  <c r="N20" i="102"/>
  <c r="N19" i="102"/>
  <c r="N18" i="102"/>
  <c r="N17" i="102"/>
  <c r="G76" i="102"/>
  <c r="D78" i="102"/>
  <c r="E79" i="102"/>
  <c r="D6" i="102"/>
  <c r="I5" i="102"/>
  <c r="D76" i="102" s="1" a="1"/>
  <c r="I77" i="102" s="1"/>
  <c r="S66" i="144" l="1"/>
  <c r="S67" i="144" s="1"/>
  <c r="U67" i="144"/>
  <c r="D58" i="138"/>
  <c r="W29" i="138" s="1" a="1"/>
  <c r="W29" i="138" s="1"/>
  <c r="D56" i="138"/>
  <c r="F55" i="138"/>
  <c r="E58" i="138"/>
  <c r="G55" i="138"/>
  <c r="W25" i="138" s="1" a="1"/>
  <c r="W25" i="138" s="1"/>
  <c r="I54" i="138"/>
  <c r="F58" i="138"/>
  <c r="F54" i="138"/>
  <c r="F53" i="138" s="1"/>
  <c r="H57" i="138"/>
  <c r="I57" i="138"/>
  <c r="D54" i="138"/>
  <c r="E57" i="138"/>
  <c r="I55" i="138"/>
  <c r="D57" i="138"/>
  <c r="F56" i="138"/>
  <c r="G57" i="138"/>
  <c r="H55" i="138"/>
  <c r="D55" i="138"/>
  <c r="G58" i="138"/>
  <c r="G54" i="138"/>
  <c r="I56" i="138"/>
  <c r="W27" i="138" s="1" a="1"/>
  <c r="W27" i="138" s="1"/>
  <c r="G56" i="138"/>
  <c r="F53" i="108"/>
  <c r="I53" i="108"/>
  <c r="F54" i="108"/>
  <c r="I54" i="108"/>
  <c r="F55" i="108"/>
  <c r="I55" i="108"/>
  <c r="E53" i="108"/>
  <c r="H53" i="108"/>
  <c r="E54" i="108"/>
  <c r="G57" i="108"/>
  <c r="W26" i="108" s="1" a="1"/>
  <c r="W26" i="108" s="1"/>
  <c r="G58" i="108"/>
  <c r="H57" i="108"/>
  <c r="H58" i="108"/>
  <c r="I57" i="108"/>
  <c r="G55" i="108"/>
  <c r="G54" i="108"/>
  <c r="F58" i="108"/>
  <c r="E58" i="108"/>
  <c r="W48" i="108" a="1"/>
  <c r="W48" i="108" s="1"/>
  <c r="H45" i="116"/>
  <c r="G45" i="116"/>
  <c r="F43" i="116"/>
  <c r="E54" i="138"/>
  <c r="E53" i="138" s="1"/>
  <c r="I58" i="138"/>
  <c r="H58" i="138"/>
  <c r="D53" i="108"/>
  <c r="E55" i="108"/>
  <c r="E57" i="108"/>
  <c r="I58" i="108"/>
  <c r="W47" i="108" a="1"/>
  <c r="W47" i="108" s="1"/>
  <c r="G53" i="108"/>
  <c r="D57" i="108"/>
  <c r="F42" i="116"/>
  <c r="E42" i="116"/>
  <c r="W24" i="116" s="1" a="1"/>
  <c r="W24" i="116" s="1"/>
  <c r="E41" i="116"/>
  <c r="H54" i="138"/>
  <c r="E55" i="138"/>
  <c r="P80" i="139"/>
  <c r="U80" i="139" s="1"/>
  <c r="D47" i="139"/>
  <c r="P81" i="139"/>
  <c r="U81" i="139" s="1"/>
  <c r="S81" i="139" s="1"/>
  <c r="E47" i="139"/>
  <c r="P82" i="139"/>
  <c r="U82" i="139" s="1"/>
  <c r="S82" i="139" s="1"/>
  <c r="F47" i="139"/>
  <c r="D41" i="116"/>
  <c r="F45" i="116"/>
  <c r="H42" i="116"/>
  <c r="I45" i="116"/>
  <c r="E43" i="116"/>
  <c r="I46" i="116"/>
  <c r="E44" i="116"/>
  <c r="G41" i="116"/>
  <c r="F44" i="116"/>
  <c r="H41" i="116"/>
  <c r="H44" i="116"/>
  <c r="D42" i="116"/>
  <c r="E45" i="116"/>
  <c r="W27" i="116" s="1" a="1"/>
  <c r="W27" i="116" s="1"/>
  <c r="G42" i="116"/>
  <c r="E46" i="116"/>
  <c r="G43" i="116"/>
  <c r="F46" i="116"/>
  <c r="H43" i="116"/>
  <c r="H46" i="116"/>
  <c r="D44" i="116"/>
  <c r="F41" i="116"/>
  <c r="G44" i="116"/>
  <c r="I41" i="116"/>
  <c r="E76" i="102"/>
  <c r="E77" i="102"/>
  <c r="G78" i="102"/>
  <c r="I79" i="102"/>
  <c r="F77" i="102"/>
  <c r="D76" i="102"/>
  <c r="H78" i="102"/>
  <c r="F79" i="102"/>
  <c r="H76" i="102"/>
  <c r="D55" i="108"/>
  <c r="D54" i="108"/>
  <c r="F57" i="108"/>
  <c r="D43" i="116"/>
  <c r="I42" i="116"/>
  <c r="I43" i="116"/>
  <c r="D55" i="141"/>
  <c r="G55" i="141"/>
  <c r="I56" i="141"/>
  <c r="E58" i="141"/>
  <c r="F55" i="141"/>
  <c r="H56" i="141"/>
  <c r="D58" i="141"/>
  <c r="D56" i="141"/>
  <c r="F57" i="141"/>
  <c r="H58" i="141"/>
  <c r="E56" i="141"/>
  <c r="G57" i="141"/>
  <c r="I58" i="141"/>
  <c r="H60" i="108"/>
  <c r="F63" i="108"/>
  <c r="D66" i="108"/>
  <c r="F62" i="108"/>
  <c r="H67" i="108"/>
  <c r="G64" i="108"/>
  <c r="I60" i="108"/>
  <c r="G63" i="108"/>
  <c r="E66" i="108"/>
  <c r="W35" i="108" s="1" a="1"/>
  <c r="W35" i="108" s="1"/>
  <c r="H61" i="108"/>
  <c r="D67" i="108"/>
  <c r="E65" i="108"/>
  <c r="D72" i="108"/>
  <c r="W41" i="108" s="1" a="1"/>
  <c r="W41" i="108" s="1"/>
  <c r="E70" i="108"/>
  <c r="I72" i="108"/>
  <c r="F70" i="108"/>
  <c r="D60" i="108"/>
  <c r="W29" i="108" s="1" a="1"/>
  <c r="W29" i="108" s="1"/>
  <c r="I69" i="108"/>
  <c r="F69" i="108"/>
  <c r="D53" i="137"/>
  <c r="E47" i="137"/>
  <c r="F53" i="137"/>
  <c r="G53" i="137"/>
  <c r="G47" i="137"/>
  <c r="D51" i="138"/>
  <c r="E49" i="138"/>
  <c r="I51" i="138"/>
  <c r="F49" i="138"/>
  <c r="F47" i="138" s="1"/>
  <c r="D52" i="138"/>
  <c r="I48" i="138"/>
  <c r="G51" i="138"/>
  <c r="W41" i="139" a="1"/>
  <c r="W41" i="139" s="1"/>
  <c r="W41" i="141" a="1"/>
  <c r="W41" i="141" s="1"/>
  <c r="W18" i="141" a="1"/>
  <c r="W18" i="141" s="1"/>
  <c r="H57" i="141"/>
  <c r="G56" i="141"/>
  <c r="D48" i="137"/>
  <c r="D47" i="137" s="1"/>
  <c r="G51" i="137"/>
  <c r="H49" i="137"/>
  <c r="H47" i="137" s="1"/>
  <c r="I48" i="137"/>
  <c r="I47" i="137" s="1"/>
  <c r="F52" i="137"/>
  <c r="F47" i="137" s="1"/>
  <c r="G50" i="137"/>
  <c r="D63" i="137"/>
  <c r="H64" i="137"/>
  <c r="I63" i="137"/>
  <c r="D60" i="141"/>
  <c r="F60" i="141"/>
  <c r="H61" i="141"/>
  <c r="E61" i="141"/>
  <c r="G60" i="141"/>
  <c r="I61" i="141"/>
  <c r="D61" i="141"/>
  <c r="W34" i="141" s="1" a="1"/>
  <c r="W34" i="141" s="1"/>
  <c r="W41" i="138" a="1"/>
  <c r="W41" i="138" s="1"/>
  <c r="G65" i="138"/>
  <c r="G47" i="138"/>
  <c r="E47" i="138"/>
  <c r="P83" i="139"/>
  <c r="U83" i="139" s="1"/>
  <c r="S83" i="139" s="1"/>
  <c r="G47" i="139"/>
  <c r="P84" i="139"/>
  <c r="U84" i="139" s="1"/>
  <c r="S84" i="139" s="1"/>
  <c r="H47" i="139"/>
  <c r="P85" i="139"/>
  <c r="U85" i="139" s="1"/>
  <c r="S85" i="139" s="1"/>
  <c r="I47" i="139"/>
  <c r="G45" i="140"/>
  <c r="W19" i="141" a="1"/>
  <c r="W19" i="141" s="1"/>
  <c r="D63" i="141"/>
  <c r="E64" i="141"/>
  <c r="G63" i="141"/>
  <c r="I64" i="141"/>
  <c r="F63" i="141"/>
  <c r="F62" i="141" s="1"/>
  <c r="H64" i="141"/>
  <c r="D64" i="141"/>
  <c r="F61" i="108"/>
  <c r="W30" i="108" s="1" a="1"/>
  <c r="W30" i="108" s="1"/>
  <c r="D64" i="108"/>
  <c r="W33" i="108" s="1" a="1"/>
  <c r="W33" i="108" s="1"/>
  <c r="H66" i="108"/>
  <c r="H63" i="108"/>
  <c r="G60" i="108"/>
  <c r="I65" i="108"/>
  <c r="G61" i="108"/>
  <c r="E64" i="108"/>
  <c r="I66" i="108"/>
  <c r="D63" i="108"/>
  <c r="E61" i="108"/>
  <c r="D70" i="108"/>
  <c r="H72" i="108"/>
  <c r="I70" i="108"/>
  <c r="D71" i="108"/>
  <c r="E69" i="108"/>
  <c r="E53" i="137"/>
  <c r="D49" i="138"/>
  <c r="D47" i="138" s="1"/>
  <c r="H51" i="138"/>
  <c r="H47" i="138" s="1"/>
  <c r="I49" i="138"/>
  <c r="G52" i="138"/>
  <c r="D50" i="138"/>
  <c r="H52" i="138"/>
  <c r="G49" i="138"/>
  <c r="W22" i="140" a="1"/>
  <c r="W22" i="140" s="1"/>
  <c r="F65" i="141"/>
  <c r="H51" i="141"/>
  <c r="H55" i="141"/>
  <c r="F58" i="141"/>
  <c r="E57" i="141"/>
  <c r="W30" i="141" s="1" a="1"/>
  <c r="W30" i="141" s="1"/>
  <c r="H63" i="141"/>
  <c r="G64" i="141"/>
  <c r="H45" i="137"/>
  <c r="P68" i="137" s="1"/>
  <c r="U68" i="137" s="1"/>
  <c r="S68" i="137" s="1"/>
  <c r="F44" i="137"/>
  <c r="F43" i="137" s="1"/>
  <c r="G60" i="137"/>
  <c r="I61" i="137"/>
  <c r="U131" i="146"/>
  <c r="S125" i="146"/>
  <c r="S131" i="146" s="1"/>
  <c r="Z140" i="146"/>
  <c r="P135" i="146"/>
  <c r="U135" i="146" s="1"/>
  <c r="S135" i="146" s="1"/>
  <c r="N132" i="146"/>
  <c r="P138" i="146"/>
  <c r="U138" i="146" s="1"/>
  <c r="S138" i="146" s="1"/>
  <c r="P134" i="146"/>
  <c r="U134" i="146" s="1"/>
  <c r="S134" i="146" s="1"/>
  <c r="P137" i="146"/>
  <c r="U137" i="146" s="1"/>
  <c r="S137" i="146" s="1"/>
  <c r="P136" i="146"/>
  <c r="U136" i="146" s="1"/>
  <c r="S136" i="146" s="1"/>
  <c r="P133" i="146"/>
  <c r="U133" i="146" s="1"/>
  <c r="S123" i="146"/>
  <c r="W17" i="143"/>
  <c r="W20" i="144"/>
  <c r="W17" i="144" s="1"/>
  <c r="W16" i="144" s="1"/>
  <c r="U83" i="144"/>
  <c r="S77" i="144"/>
  <c r="S83" i="144" s="1"/>
  <c r="Z92" i="144"/>
  <c r="P90" i="144"/>
  <c r="U90" i="144" s="1"/>
  <c r="S90" i="144" s="1"/>
  <c r="P86" i="144"/>
  <c r="U86" i="144" s="1"/>
  <c r="S86" i="144" s="1"/>
  <c r="P89" i="144"/>
  <c r="U89" i="144" s="1"/>
  <c r="S89" i="144" s="1"/>
  <c r="P85" i="144"/>
  <c r="U85" i="144" s="1"/>
  <c r="P88" i="144"/>
  <c r="U88" i="144" s="1"/>
  <c r="S88" i="144" s="1"/>
  <c r="P87" i="144"/>
  <c r="U87" i="144" s="1"/>
  <c r="S87" i="144" s="1"/>
  <c r="N84" i="144"/>
  <c r="W15" i="143"/>
  <c r="U72" i="143"/>
  <c r="S66" i="143"/>
  <c r="S72" i="143" s="1"/>
  <c r="U64" i="143"/>
  <c r="S58" i="143"/>
  <c r="S64" i="143" s="1"/>
  <c r="U88" i="143"/>
  <c r="S82" i="143"/>
  <c r="S88" i="143" s="1"/>
  <c r="Z97" i="143"/>
  <c r="P95" i="143"/>
  <c r="U95" i="143" s="1"/>
  <c r="S95" i="143" s="1"/>
  <c r="P91" i="143"/>
  <c r="U91" i="143" s="1"/>
  <c r="S91" i="143" s="1"/>
  <c r="P94" i="143"/>
  <c r="U94" i="143" s="1"/>
  <c r="S94" i="143" s="1"/>
  <c r="P90" i="143"/>
  <c r="U90" i="143" s="1"/>
  <c r="P93" i="143"/>
  <c r="U93" i="143" s="1"/>
  <c r="S93" i="143" s="1"/>
  <c r="P92" i="143"/>
  <c r="U92" i="143" s="1"/>
  <c r="S92" i="143" s="1"/>
  <c r="N89" i="143"/>
  <c r="U80" i="143"/>
  <c r="S74" i="143"/>
  <c r="S80" i="143" s="1"/>
  <c r="U56" i="143"/>
  <c r="S50" i="143"/>
  <c r="S56" i="143" s="1"/>
  <c r="W18" i="142"/>
  <c r="U70" i="142"/>
  <c r="S64" i="142"/>
  <c r="S70" i="142" s="1"/>
  <c r="U54" i="142"/>
  <c r="S48" i="142"/>
  <c r="S54" i="142" s="1"/>
  <c r="W15" i="142"/>
  <c r="U62" i="142"/>
  <c r="S56" i="142"/>
  <c r="S62" i="142" s="1"/>
  <c r="U86" i="142"/>
  <c r="S80" i="142"/>
  <c r="S86" i="142" s="1"/>
  <c r="Z95" i="142"/>
  <c r="P93" i="142"/>
  <c r="U93" i="142" s="1"/>
  <c r="S93" i="142" s="1"/>
  <c r="P89" i="142"/>
  <c r="U89" i="142" s="1"/>
  <c r="S89" i="142" s="1"/>
  <c r="P92" i="142"/>
  <c r="U92" i="142" s="1"/>
  <c r="S92" i="142" s="1"/>
  <c r="P88" i="142"/>
  <c r="U88" i="142" s="1"/>
  <c r="P91" i="142"/>
  <c r="U91" i="142" s="1"/>
  <c r="S91" i="142" s="1"/>
  <c r="P90" i="142"/>
  <c r="U90" i="142" s="1"/>
  <c r="S90" i="142" s="1"/>
  <c r="N87" i="142"/>
  <c r="U78" i="142"/>
  <c r="S72" i="142"/>
  <c r="S78" i="142" s="1"/>
  <c r="D51" i="141"/>
  <c r="D49" i="141"/>
  <c r="I49" i="141"/>
  <c r="H50" i="141"/>
  <c r="G51" i="141"/>
  <c r="G52" i="141"/>
  <c r="F53" i="141"/>
  <c r="G50" i="141"/>
  <c r="E49" i="141"/>
  <c r="D50" i="141"/>
  <c r="I50" i="141"/>
  <c r="I51" i="141"/>
  <c r="H52" i="141"/>
  <c r="G53" i="141"/>
  <c r="G49" i="141"/>
  <c r="F51" i="141"/>
  <c r="F48" i="141" s="1"/>
  <c r="E52" i="141"/>
  <c r="E53" i="141"/>
  <c r="W26" i="141" s="1" a="1"/>
  <c r="W26" i="141" s="1"/>
  <c r="F49" i="141"/>
  <c r="E50" i="141"/>
  <c r="E51" i="141"/>
  <c r="D52" i="141"/>
  <c r="I52" i="141"/>
  <c r="I53" i="141"/>
  <c r="E65" i="141"/>
  <c r="I62" i="141"/>
  <c r="I65" i="141"/>
  <c r="P56" i="141"/>
  <c r="U56" i="141" s="1"/>
  <c r="P76" i="141"/>
  <c r="U76" i="141" s="1"/>
  <c r="S76" i="141" s="1"/>
  <c r="P73" i="141"/>
  <c r="U73" i="141" s="1"/>
  <c r="S73" i="141" s="1"/>
  <c r="P69" i="141"/>
  <c r="U69" i="141" s="1"/>
  <c r="S69" i="141" s="1"/>
  <c r="P68" i="141"/>
  <c r="U68" i="141" s="1"/>
  <c r="S68" i="141" s="1"/>
  <c r="P60" i="141"/>
  <c r="U60" i="141" s="1"/>
  <c r="S60" i="141" s="1"/>
  <c r="P77" i="141"/>
  <c r="U77" i="141" s="1"/>
  <c r="S77" i="141" s="1"/>
  <c r="G43" i="141"/>
  <c r="P74" i="141"/>
  <c r="U74" i="141" s="1"/>
  <c r="S74" i="141" s="1"/>
  <c r="N71" i="141"/>
  <c r="Z79" i="141"/>
  <c r="P72" i="141"/>
  <c r="U72" i="141" s="1"/>
  <c r="F43" i="141"/>
  <c r="P58" i="141"/>
  <c r="U58" i="141" s="1"/>
  <c r="S58" i="141" s="1"/>
  <c r="H62" i="141"/>
  <c r="P59" i="141"/>
  <c r="U59" i="141" s="1"/>
  <c r="S59" i="141" s="1"/>
  <c r="D65" i="141"/>
  <c r="G62" i="141"/>
  <c r="G65" i="141"/>
  <c r="D62" i="141"/>
  <c r="P61" i="141"/>
  <c r="U61" i="141" s="1"/>
  <c r="S61" i="141" s="1"/>
  <c r="H65" i="141"/>
  <c r="S64" i="141"/>
  <c r="E62" i="141"/>
  <c r="E43" i="141"/>
  <c r="H45" i="140"/>
  <c r="D45" i="140"/>
  <c r="E45" i="140"/>
  <c r="F45" i="140"/>
  <c r="H61" i="140"/>
  <c r="W39" i="140" a="1"/>
  <c r="W39" i="140" s="1"/>
  <c r="P82" i="140"/>
  <c r="U82" i="140" s="1"/>
  <c r="S82" i="140" s="1"/>
  <c r="P78" i="140"/>
  <c r="U78" i="140" s="1"/>
  <c r="P81" i="140"/>
  <c r="U81" i="140" s="1"/>
  <c r="S81" i="140" s="1"/>
  <c r="Z85" i="140"/>
  <c r="P83" i="140"/>
  <c r="U83" i="140" s="1"/>
  <c r="S83" i="140" s="1"/>
  <c r="P80" i="140"/>
  <c r="U80" i="140" s="1"/>
  <c r="S80" i="140" s="1"/>
  <c r="P79" i="140"/>
  <c r="U79" i="140" s="1"/>
  <c r="S79" i="140" s="1"/>
  <c r="N77" i="140"/>
  <c r="F57" i="140"/>
  <c r="H56" i="140"/>
  <c r="D56" i="140"/>
  <c r="I57" i="140"/>
  <c r="E57" i="140"/>
  <c r="G56" i="140"/>
  <c r="I56" i="140"/>
  <c r="H57" i="140"/>
  <c r="F56" i="140"/>
  <c r="F55" i="140" s="1"/>
  <c r="D57" i="140"/>
  <c r="G57" i="140"/>
  <c r="E56" i="140"/>
  <c r="I61" i="140"/>
  <c r="W38" i="140" a="1"/>
  <c r="W38" i="140" s="1"/>
  <c r="G60" i="140"/>
  <c r="I59" i="140"/>
  <c r="E59" i="140"/>
  <c r="F60" i="140"/>
  <c r="H59" i="140"/>
  <c r="D59" i="140"/>
  <c r="H60" i="140"/>
  <c r="F59" i="140"/>
  <c r="F58" i="140" s="1"/>
  <c r="E60" i="140"/>
  <c r="I60" i="140"/>
  <c r="G59" i="140"/>
  <c r="D60" i="140"/>
  <c r="E61" i="140"/>
  <c r="I54" i="140"/>
  <c r="G54" i="140"/>
  <c r="I53" i="140"/>
  <c r="E53" i="140"/>
  <c r="G52" i="140"/>
  <c r="I51" i="140"/>
  <c r="E51" i="140"/>
  <c r="G50" i="140"/>
  <c r="F54" i="140"/>
  <c r="H53" i="140"/>
  <c r="D53" i="140"/>
  <c r="F52" i="140"/>
  <c r="H51" i="140"/>
  <c r="D51" i="140"/>
  <c r="F50" i="140"/>
  <c r="H54" i="140"/>
  <c r="D54" i="140"/>
  <c r="F53" i="140"/>
  <c r="H52" i="140"/>
  <c r="D52" i="140"/>
  <c r="F51" i="140"/>
  <c r="H50" i="140"/>
  <c r="D50" i="140"/>
  <c r="E54" i="140"/>
  <c r="G53" i="140"/>
  <c r="I52" i="140"/>
  <c r="E52" i="140"/>
  <c r="G51" i="140"/>
  <c r="I50" i="140"/>
  <c r="E50" i="140"/>
  <c r="D61" i="140"/>
  <c r="W37" i="140" a="1"/>
  <c r="W37" i="140" s="1"/>
  <c r="F61" i="140"/>
  <c r="G61" i="140"/>
  <c r="F44" i="140"/>
  <c r="P72" i="140" s="1"/>
  <c r="U72" i="140" s="1"/>
  <c r="S72" i="140" s="1"/>
  <c r="H43" i="140"/>
  <c r="P66" i="140" s="1"/>
  <c r="U66" i="140" s="1"/>
  <c r="S66" i="140" s="1"/>
  <c r="D43" i="140"/>
  <c r="F42" i="140"/>
  <c r="I44" i="140"/>
  <c r="P75" i="140" s="1"/>
  <c r="U75" i="140" s="1"/>
  <c r="S75" i="140" s="1"/>
  <c r="E44" i="140"/>
  <c r="P71" i="140" s="1"/>
  <c r="U71" i="140" s="1"/>
  <c r="S71" i="140" s="1"/>
  <c r="G43" i="140"/>
  <c r="P65" i="140" s="1"/>
  <c r="U65" i="140" s="1"/>
  <c r="S65" i="140" s="1"/>
  <c r="I42" i="140"/>
  <c r="E42" i="140"/>
  <c r="H44" i="140"/>
  <c r="P74" i="140" s="1"/>
  <c r="U74" i="140" s="1"/>
  <c r="S74" i="140" s="1"/>
  <c r="D44" i="140"/>
  <c r="F43" i="140"/>
  <c r="P64" i="140" s="1"/>
  <c r="U64" i="140" s="1"/>
  <c r="S64" i="140" s="1"/>
  <c r="H42" i="140"/>
  <c r="D42" i="140"/>
  <c r="G44" i="140"/>
  <c r="P73" i="140" s="1"/>
  <c r="U73" i="140" s="1"/>
  <c r="S73" i="140" s="1"/>
  <c r="I43" i="140"/>
  <c r="P67" i="140" s="1"/>
  <c r="U67" i="140" s="1"/>
  <c r="S67" i="140" s="1"/>
  <c r="E43" i="140"/>
  <c r="P63" i="140" s="1"/>
  <c r="U63" i="140" s="1"/>
  <c r="S63" i="140" s="1"/>
  <c r="G42" i="140"/>
  <c r="F65" i="139"/>
  <c r="S80" i="139"/>
  <c r="W21" i="139" a="1"/>
  <c r="W21" i="139" s="1"/>
  <c r="P72" i="139"/>
  <c r="U72" i="139" s="1"/>
  <c r="W19" i="139" a="1"/>
  <c r="W19" i="139" s="1"/>
  <c r="P64" i="139"/>
  <c r="U64" i="139" s="1"/>
  <c r="W18" i="139" a="1"/>
  <c r="W18" i="139" s="1"/>
  <c r="G64" i="139"/>
  <c r="I63" i="139"/>
  <c r="E63" i="139"/>
  <c r="I64" i="139"/>
  <c r="D64" i="139"/>
  <c r="D63" i="139"/>
  <c r="H64" i="139"/>
  <c r="H63" i="139"/>
  <c r="F64" i="139"/>
  <c r="G63" i="139"/>
  <c r="E64" i="139"/>
  <c r="F63" i="139"/>
  <c r="F61" i="139"/>
  <c r="H60" i="139"/>
  <c r="D60" i="139"/>
  <c r="I61" i="139"/>
  <c r="D61" i="139"/>
  <c r="E60" i="139"/>
  <c r="H61" i="139"/>
  <c r="I60" i="139"/>
  <c r="I59" i="139" s="1"/>
  <c r="G61" i="139"/>
  <c r="G60" i="139"/>
  <c r="E61" i="139"/>
  <c r="F60" i="139"/>
  <c r="W39" i="139" a="1"/>
  <c r="W39" i="139" s="1"/>
  <c r="P59" i="139"/>
  <c r="U59" i="139" s="1"/>
  <c r="S59" i="139" s="1"/>
  <c r="G43" i="139"/>
  <c r="W22" i="139" a="1"/>
  <c r="W22" i="139" s="1"/>
  <c r="P60" i="139"/>
  <c r="U60" i="139" s="1"/>
  <c r="S60" i="139" s="1"/>
  <c r="H43" i="139"/>
  <c r="E43" i="139"/>
  <c r="P57" i="139"/>
  <c r="U57" i="139" s="1"/>
  <c r="S57" i="139" s="1"/>
  <c r="P56" i="139"/>
  <c r="U56" i="139" s="1"/>
  <c r="D43" i="139"/>
  <c r="W17" i="139" a="1"/>
  <c r="W17" i="139" s="1"/>
  <c r="G58" i="139"/>
  <c r="I57" i="139"/>
  <c r="E57" i="139"/>
  <c r="G56" i="139"/>
  <c r="I55" i="139"/>
  <c r="E55" i="139"/>
  <c r="G54" i="139"/>
  <c r="G53" i="139" s="1"/>
  <c r="F58" i="139"/>
  <c r="H57" i="139"/>
  <c r="D57" i="139"/>
  <c r="F56" i="139"/>
  <c r="H55" i="139"/>
  <c r="D55" i="139"/>
  <c r="F54" i="139"/>
  <c r="I58" i="139"/>
  <c r="E58" i="139"/>
  <c r="G57" i="139"/>
  <c r="I56" i="139"/>
  <c r="E56" i="139"/>
  <c r="G55" i="139"/>
  <c r="I54" i="139"/>
  <c r="E54" i="139"/>
  <c r="F57" i="139"/>
  <c r="H54" i="139"/>
  <c r="H58" i="139"/>
  <c r="D56" i="139"/>
  <c r="F55" i="139"/>
  <c r="H56" i="139"/>
  <c r="D54" i="139"/>
  <c r="D58" i="139"/>
  <c r="W40" i="139" a="1"/>
  <c r="W40" i="139" s="1"/>
  <c r="P91" i="139"/>
  <c r="U91" i="139" s="1"/>
  <c r="S91" i="139" s="1"/>
  <c r="P90" i="139"/>
  <c r="U90" i="139" s="1"/>
  <c r="S90" i="139" s="1"/>
  <c r="N87" i="139"/>
  <c r="P92" i="139"/>
  <c r="U92" i="139" s="1"/>
  <c r="S92" i="139" s="1"/>
  <c r="P88" i="139"/>
  <c r="U88" i="139" s="1"/>
  <c r="P93" i="139"/>
  <c r="U93" i="139" s="1"/>
  <c r="S93" i="139" s="1"/>
  <c r="P89" i="139"/>
  <c r="U89" i="139" s="1"/>
  <c r="S89" i="139" s="1"/>
  <c r="Z95" i="139"/>
  <c r="P61" i="139"/>
  <c r="U61" i="139" s="1"/>
  <c r="S61" i="139" s="1"/>
  <c r="I43" i="139"/>
  <c r="F43" i="139"/>
  <c r="P58" i="139"/>
  <c r="U58" i="139" s="1"/>
  <c r="S58" i="139" s="1"/>
  <c r="F64" i="138"/>
  <c r="H63" i="138"/>
  <c r="D63" i="138"/>
  <c r="I64" i="138"/>
  <c r="E64" i="138"/>
  <c r="G63" i="138"/>
  <c r="G62" i="138" s="1"/>
  <c r="H64" i="138"/>
  <c r="F63" i="138"/>
  <c r="G64" i="138"/>
  <c r="E63" i="138"/>
  <c r="E62" i="138" s="1"/>
  <c r="I63" i="138"/>
  <c r="D64" i="138"/>
  <c r="H65" i="138"/>
  <c r="I61" i="138"/>
  <c r="E61" i="138"/>
  <c r="G60" i="138"/>
  <c r="H61" i="138"/>
  <c r="D61" i="138"/>
  <c r="F60" i="138"/>
  <c r="H60" i="138"/>
  <c r="G61" i="138"/>
  <c r="E60" i="138"/>
  <c r="I60" i="138"/>
  <c r="F61" i="138"/>
  <c r="D60" i="138"/>
  <c r="I46" i="138"/>
  <c r="E46" i="138"/>
  <c r="G45" i="138"/>
  <c r="P67" i="138" s="1"/>
  <c r="U67" i="138" s="1"/>
  <c r="S67" i="138" s="1"/>
  <c r="I44" i="138"/>
  <c r="E44" i="138"/>
  <c r="H46" i="138"/>
  <c r="D46" i="138"/>
  <c r="P72" i="138" s="1"/>
  <c r="U72" i="138" s="1"/>
  <c r="F45" i="138"/>
  <c r="P66" i="138" s="1"/>
  <c r="U66" i="138" s="1"/>
  <c r="S66" i="138" s="1"/>
  <c r="H44" i="138"/>
  <c r="D44" i="138"/>
  <c r="G46" i="138"/>
  <c r="P75" i="138" s="1"/>
  <c r="U75" i="138" s="1"/>
  <c r="S75" i="138" s="1"/>
  <c r="I45" i="138"/>
  <c r="P69" i="138" s="1"/>
  <c r="U69" i="138" s="1"/>
  <c r="S69" i="138" s="1"/>
  <c r="E45" i="138"/>
  <c r="P65" i="138" s="1"/>
  <c r="U65" i="138" s="1"/>
  <c r="S65" i="138" s="1"/>
  <c r="G44" i="138"/>
  <c r="F46" i="138"/>
  <c r="H45" i="138"/>
  <c r="P68" i="138" s="1"/>
  <c r="U68" i="138" s="1"/>
  <c r="S68" i="138" s="1"/>
  <c r="D45" i="138"/>
  <c r="F44" i="138"/>
  <c r="W21" i="138" a="1"/>
  <c r="W21" i="138" s="1"/>
  <c r="E65" i="138"/>
  <c r="D65" i="138"/>
  <c r="W39" i="138" a="1"/>
  <c r="W39" i="138" s="1"/>
  <c r="W28" i="138" a="1"/>
  <c r="W28" i="138" s="1"/>
  <c r="Z79" i="138"/>
  <c r="P77" i="138"/>
  <c r="U77" i="138" s="1"/>
  <c r="S77" i="138" s="1"/>
  <c r="P73" i="138"/>
  <c r="U73" i="138" s="1"/>
  <c r="S73" i="138" s="1"/>
  <c r="P76" i="138"/>
  <c r="U76" i="138" s="1"/>
  <c r="S76" i="138" s="1"/>
  <c r="N71" i="138"/>
  <c r="P74" i="138"/>
  <c r="U74" i="138" s="1"/>
  <c r="S74" i="138" s="1"/>
  <c r="W40" i="138" a="1"/>
  <c r="W40" i="138" s="1"/>
  <c r="W41" i="137" a="1"/>
  <c r="W41" i="137" s="1"/>
  <c r="I65" i="137"/>
  <c r="P56" i="137"/>
  <c r="U56" i="137" s="1"/>
  <c r="D43" i="137"/>
  <c r="P58" i="137"/>
  <c r="U58" i="137" s="1"/>
  <c r="S58" i="137" s="1"/>
  <c r="I43" i="137"/>
  <c r="P61" i="137"/>
  <c r="U61" i="137" s="1"/>
  <c r="S61" i="137" s="1"/>
  <c r="Z79" i="137"/>
  <c r="P77" i="137"/>
  <c r="U77" i="137" s="1"/>
  <c r="S77" i="137" s="1"/>
  <c r="P73" i="137"/>
  <c r="U73" i="137" s="1"/>
  <c r="S73" i="137" s="1"/>
  <c r="P76" i="137"/>
  <c r="U76" i="137" s="1"/>
  <c r="S76" i="137" s="1"/>
  <c r="P72" i="137"/>
  <c r="U72" i="137" s="1"/>
  <c r="P75" i="137"/>
  <c r="U75" i="137" s="1"/>
  <c r="S75" i="137" s="1"/>
  <c r="P74" i="137"/>
  <c r="U74" i="137" s="1"/>
  <c r="S74" i="137" s="1"/>
  <c r="N71" i="137"/>
  <c r="P60" i="137"/>
  <c r="U60" i="137" s="1"/>
  <c r="S60" i="137" s="1"/>
  <c r="P64" i="137"/>
  <c r="U64" i="137" s="1"/>
  <c r="E65" i="137"/>
  <c r="H65" i="137"/>
  <c r="G65" i="137"/>
  <c r="W40" i="137" a="1"/>
  <c r="W40" i="137" s="1"/>
  <c r="P59" i="137"/>
  <c r="U59" i="137" s="1"/>
  <c r="S59" i="137" s="1"/>
  <c r="G43" i="137"/>
  <c r="W19" i="137" a="1"/>
  <c r="W19" i="137" s="1"/>
  <c r="D65" i="137"/>
  <c r="W39" i="137" a="1"/>
  <c r="W39" i="137" s="1"/>
  <c r="F65" i="137"/>
  <c r="P57" i="137"/>
  <c r="U57" i="137" s="1"/>
  <c r="S57" i="137" s="1"/>
  <c r="E43" i="137"/>
  <c r="W28" i="116" a="1"/>
  <c r="W28" i="116" s="1"/>
  <c r="I48" i="116"/>
  <c r="D37" i="116"/>
  <c r="G37" i="116"/>
  <c r="F37" i="116"/>
  <c r="D48" i="116"/>
  <c r="G48" i="116"/>
  <c r="H37" i="116"/>
  <c r="H48" i="116"/>
  <c r="E37" i="116"/>
  <c r="E48" i="116"/>
  <c r="W27" i="108" a="1"/>
  <c r="W27" i="108" s="1"/>
  <c r="W36" i="108" a="1"/>
  <c r="W36" i="108" s="1"/>
  <c r="W43" i="108" a="1"/>
  <c r="W43" i="108" s="1"/>
  <c r="W32" i="108" a="1"/>
  <c r="W32" i="108" s="1"/>
  <c r="W40" i="108" a="1"/>
  <c r="W40" i="108" s="1"/>
  <c r="W45" i="108" a="1"/>
  <c r="W45" i="108" s="1"/>
  <c r="W31" i="108" a="1"/>
  <c r="W31" i="108" s="1"/>
  <c r="W34" i="108" a="1"/>
  <c r="W34" i="108" s="1"/>
  <c r="W38" i="108" a="1"/>
  <c r="W38" i="108" s="1"/>
  <c r="E67" i="103"/>
  <c r="H67" i="103"/>
  <c r="F66" i="103"/>
  <c r="W40" i="103" s="1" a="1"/>
  <c r="W40" i="103" s="1"/>
  <c r="G67" i="103"/>
  <c r="I66" i="103"/>
  <c r="E66" i="103"/>
  <c r="I67" i="103"/>
  <c r="G66" i="103"/>
  <c r="D67" i="103"/>
  <c r="F67" i="103"/>
  <c r="H66" i="103"/>
  <c r="H79" i="102"/>
  <c r="D79" i="102"/>
  <c r="F78" i="102"/>
  <c r="H77" i="102"/>
  <c r="D77" i="102"/>
  <c r="F76" i="102"/>
  <c r="G79" i="102"/>
  <c r="I78" i="102"/>
  <c r="E78" i="102"/>
  <c r="G77" i="102"/>
  <c r="I76" i="102"/>
  <c r="Y14" i="101"/>
  <c r="Y15" i="101"/>
  <c r="Y16" i="101"/>
  <c r="Y17" i="101"/>
  <c r="Y18" i="101"/>
  <c r="Y19" i="101"/>
  <c r="Y20" i="101"/>
  <c r="Y21" i="101"/>
  <c r="Y22" i="101"/>
  <c r="Y23" i="101"/>
  <c r="Y24" i="101"/>
  <c r="Y25" i="101"/>
  <c r="Y26" i="101"/>
  <c r="Y27" i="101"/>
  <c r="Y28" i="101"/>
  <c r="Y29" i="101"/>
  <c r="Y30" i="101"/>
  <c r="Y31" i="101"/>
  <c r="Y32" i="101"/>
  <c r="Y33" i="101"/>
  <c r="N33" i="101"/>
  <c r="N32" i="101"/>
  <c r="N31" i="101"/>
  <c r="N30" i="101"/>
  <c r="N29" i="101"/>
  <c r="N28" i="101"/>
  <c r="N27" i="101"/>
  <c r="N26" i="101"/>
  <c r="N25" i="101"/>
  <c r="N24" i="101"/>
  <c r="N23" i="101"/>
  <c r="N22" i="101"/>
  <c r="N21" i="101"/>
  <c r="N20" i="101"/>
  <c r="N19" i="101"/>
  <c r="N18" i="101"/>
  <c r="N17" i="101"/>
  <c r="N16" i="101"/>
  <c r="N15" i="101"/>
  <c r="N14" i="101"/>
  <c r="N13" i="101"/>
  <c r="N12" i="101"/>
  <c r="D82" i="98" a="1"/>
  <c r="I85" i="98" s="1"/>
  <c r="E83" i="98"/>
  <c r="D54" i="101"/>
  <c r="F55" i="101"/>
  <c r="I5" i="101"/>
  <c r="D53" i="101" s="1" a="1"/>
  <c r="T283" i="98"/>
  <c r="R283" i="98" s="1"/>
  <c r="T282" i="98"/>
  <c r="R282" i="98" s="1"/>
  <c r="T281" i="98"/>
  <c r="R281" i="98" s="1"/>
  <c r="T280" i="98"/>
  <c r="R280" i="98" s="1"/>
  <c r="T279" i="98"/>
  <c r="R279" i="98" s="1"/>
  <c r="T278" i="98"/>
  <c r="R278" i="98" s="1"/>
  <c r="T275" i="98"/>
  <c r="R275" i="98" s="1"/>
  <c r="T274" i="98"/>
  <c r="R274" i="98" s="1"/>
  <c r="T273" i="98"/>
  <c r="R273" i="98" s="1"/>
  <c r="T272" i="98"/>
  <c r="R272" i="98" s="1"/>
  <c r="T271" i="98"/>
  <c r="R271" i="98" s="1"/>
  <c r="T270" i="98"/>
  <c r="R270" i="98" s="1"/>
  <c r="T267" i="98"/>
  <c r="R267" i="98" s="1"/>
  <c r="T266" i="98"/>
  <c r="R266" i="98" s="1"/>
  <c r="T265" i="98"/>
  <c r="R265" i="98" s="1"/>
  <c r="T264" i="98"/>
  <c r="R264" i="98" s="1"/>
  <c r="T263" i="98"/>
  <c r="R263" i="98" s="1"/>
  <c r="T262" i="98"/>
  <c r="R262" i="98" s="1"/>
  <c r="T259" i="98"/>
  <c r="R259" i="98" s="1"/>
  <c r="T258" i="98"/>
  <c r="R258" i="98" s="1"/>
  <c r="T257" i="98"/>
  <c r="R257" i="98" s="1"/>
  <c r="T256" i="98"/>
  <c r="R256" i="98" s="1"/>
  <c r="T255" i="98"/>
  <c r="R255" i="98" s="1"/>
  <c r="T254" i="98"/>
  <c r="R254" i="98" s="1"/>
  <c r="T251" i="98"/>
  <c r="R251" i="98" s="1"/>
  <c r="T250" i="98"/>
  <c r="R250" i="98" s="1"/>
  <c r="T249" i="98"/>
  <c r="R249" i="98" s="1"/>
  <c r="T248" i="98"/>
  <c r="R248" i="98" s="1"/>
  <c r="T247" i="98"/>
  <c r="R247" i="98" s="1"/>
  <c r="T246" i="98"/>
  <c r="R246" i="98" s="1"/>
  <c r="T243" i="98"/>
  <c r="R243" i="98" s="1"/>
  <c r="T242" i="98"/>
  <c r="R242" i="98" s="1"/>
  <c r="T241" i="98"/>
  <c r="R241" i="98" s="1"/>
  <c r="T240" i="98"/>
  <c r="R240" i="98" s="1"/>
  <c r="T239" i="98"/>
  <c r="R239" i="98" s="1"/>
  <c r="T238" i="98"/>
  <c r="R238" i="98" s="1"/>
  <c r="T235" i="98"/>
  <c r="R235" i="98" s="1"/>
  <c r="T234" i="98"/>
  <c r="R234" i="98" s="1"/>
  <c r="T233" i="98"/>
  <c r="R233" i="98" s="1"/>
  <c r="T232" i="98"/>
  <c r="R232" i="98" s="1"/>
  <c r="T231" i="98"/>
  <c r="R231" i="98" s="1"/>
  <c r="T230" i="98"/>
  <c r="R230" i="98" s="1"/>
  <c r="T227" i="98"/>
  <c r="R227" i="98" s="1"/>
  <c r="T226" i="98"/>
  <c r="R226" i="98" s="1"/>
  <c r="T225" i="98"/>
  <c r="R225" i="98" s="1"/>
  <c r="T224" i="98"/>
  <c r="R224" i="98" s="1"/>
  <c r="T223" i="98"/>
  <c r="R223" i="98" s="1"/>
  <c r="T222" i="98"/>
  <c r="R222" i="98" s="1"/>
  <c r="Y49" i="98"/>
  <c r="Y48" i="98"/>
  <c r="Y47" i="98"/>
  <c r="Y46" i="98"/>
  <c r="Y45" i="98"/>
  <c r="Y44" i="98"/>
  <c r="Y43" i="98"/>
  <c r="Y42" i="98"/>
  <c r="Y41" i="98"/>
  <c r="Y40" i="98"/>
  <c r="Y39" i="98"/>
  <c r="Y38" i="98"/>
  <c r="Y37" i="98"/>
  <c r="Y36" i="98"/>
  <c r="Y35" i="98"/>
  <c r="Y34" i="98"/>
  <c r="Y33" i="98"/>
  <c r="Y32" i="98"/>
  <c r="Y31" i="98"/>
  <c r="Y30" i="98"/>
  <c r="Y29" i="98"/>
  <c r="Y28" i="98"/>
  <c r="Y27" i="98"/>
  <c r="Y26" i="98"/>
  <c r="Y25" i="98"/>
  <c r="Y24" i="98"/>
  <c r="Y23" i="98"/>
  <c r="Y22" i="98"/>
  <c r="Y21" i="98"/>
  <c r="Y20" i="98"/>
  <c r="Y19" i="98"/>
  <c r="Y18" i="98"/>
  <c r="Y17" i="98"/>
  <c r="N49" i="98"/>
  <c r="N48" i="98"/>
  <c r="N47" i="98"/>
  <c r="N46" i="98"/>
  <c r="N45" i="98"/>
  <c r="N44" i="98"/>
  <c r="N43" i="98"/>
  <c r="N42" i="98"/>
  <c r="N41" i="98"/>
  <c r="N40" i="98"/>
  <c r="N39" i="98"/>
  <c r="N38" i="98"/>
  <c r="N37" i="98"/>
  <c r="N36" i="98"/>
  <c r="N35" i="98"/>
  <c r="N34" i="98"/>
  <c r="N33" i="98"/>
  <c r="N32" i="98"/>
  <c r="N31" i="98"/>
  <c r="N30" i="98"/>
  <c r="N29" i="98"/>
  <c r="N28" i="98"/>
  <c r="N27" i="98"/>
  <c r="N26" i="98"/>
  <c r="N25" i="98"/>
  <c r="N24" i="98"/>
  <c r="N23" i="98"/>
  <c r="N22" i="98"/>
  <c r="N21" i="98"/>
  <c r="N20" i="98"/>
  <c r="N19" i="98"/>
  <c r="N18" i="98"/>
  <c r="N17" i="98"/>
  <c r="N16" i="98"/>
  <c r="N15" i="98"/>
  <c r="I40" i="98"/>
  <c r="H40" i="98"/>
  <c r="G40" i="98"/>
  <c r="F40" i="98"/>
  <c r="E40" i="98"/>
  <c r="D40" i="98"/>
  <c r="I42" i="98"/>
  <c r="H42" i="98"/>
  <c r="G42" i="98"/>
  <c r="F42" i="98"/>
  <c r="E42" i="98"/>
  <c r="D42" i="98"/>
  <c r="B5" i="98"/>
  <c r="I5" i="98"/>
  <c r="D3" i="98"/>
  <c r="D5" i="98" s="1"/>
  <c r="D57" i="98" s="1" a="1"/>
  <c r="D57" i="98" s="1"/>
  <c r="U86" i="139" l="1"/>
  <c r="D82" i="98"/>
  <c r="F82" i="98"/>
  <c r="H83" i="98"/>
  <c r="D85" i="98"/>
  <c r="G82" i="98"/>
  <c r="I83" i="98"/>
  <c r="E85" i="98"/>
  <c r="D83" i="98"/>
  <c r="F84" i="98"/>
  <c r="H85" i="98"/>
  <c r="D53" i="101"/>
  <c r="E54" i="101"/>
  <c r="G55" i="101"/>
  <c r="I56" i="101"/>
  <c r="F53" i="101"/>
  <c r="H54" i="101"/>
  <c r="D56" i="101"/>
  <c r="G53" i="101"/>
  <c r="I54" i="101"/>
  <c r="E56" i="101"/>
  <c r="H56" i="101"/>
  <c r="G84" i="98"/>
  <c r="W36" i="141" a="1"/>
  <c r="W36" i="141" s="1"/>
  <c r="W23" i="116" a="1"/>
  <c r="W23" i="116" s="1"/>
  <c r="W24" i="138" a="1"/>
  <c r="W24" i="138" s="1"/>
  <c r="E53" i="139"/>
  <c r="W46" i="108"/>
  <c r="G53" i="138"/>
  <c r="W23" i="138" s="1" a="1"/>
  <c r="W23" i="138" s="1"/>
  <c r="W18" i="137" a="1"/>
  <c r="W18" i="137" s="1"/>
  <c r="W17" i="137" a="1"/>
  <c r="W17" i="137" s="1"/>
  <c r="W30" i="138" a="1"/>
  <c r="W30" i="138" s="1"/>
  <c r="D53" i="139"/>
  <c r="I53" i="139"/>
  <c r="W25" i="141" a="1"/>
  <c r="W25" i="141" s="1"/>
  <c r="W23" i="141" a="1"/>
  <c r="W23" i="141" s="1"/>
  <c r="W22" i="141" a="1"/>
  <c r="W22" i="141" s="1"/>
  <c r="W39" i="108" a="1"/>
  <c r="W39" i="108" s="1"/>
  <c r="W37" i="141" a="1"/>
  <c r="W37" i="141" s="1"/>
  <c r="W33" i="141" a="1"/>
  <c r="W33" i="141" s="1"/>
  <c r="I47" i="138"/>
  <c r="W29" i="141" a="1"/>
  <c r="W29" i="141" s="1"/>
  <c r="D53" i="138"/>
  <c r="F53" i="139"/>
  <c r="W28" i="141" a="1"/>
  <c r="W28" i="141" s="1"/>
  <c r="W41" i="103" a="1"/>
  <c r="W41" i="103" s="1"/>
  <c r="H43" i="137"/>
  <c r="H53" i="139"/>
  <c r="S86" i="139"/>
  <c r="W24" i="141" a="1"/>
  <c r="W24" i="141" s="1"/>
  <c r="W22" i="138" a="1"/>
  <c r="W22" i="138" s="1"/>
  <c r="W31" i="141" a="1"/>
  <c r="W31" i="141" s="1"/>
  <c r="H53" i="138"/>
  <c r="I53" i="138"/>
  <c r="W14" i="143"/>
  <c r="W36" i="143" s="1"/>
  <c r="W37" i="143" s="1"/>
  <c r="Z148" i="146"/>
  <c r="P146" i="146"/>
  <c r="U146" i="146" s="1"/>
  <c r="S146" i="146" s="1"/>
  <c r="P145" i="146"/>
  <c r="U145" i="146" s="1"/>
  <c r="S145" i="146" s="1"/>
  <c r="P141" i="146"/>
  <c r="U141" i="146" s="1"/>
  <c r="P144" i="146"/>
  <c r="U144" i="146" s="1"/>
  <c r="S144" i="146" s="1"/>
  <c r="P143" i="146"/>
  <c r="U143" i="146" s="1"/>
  <c r="S143" i="146" s="1"/>
  <c r="P142" i="146"/>
  <c r="U142" i="146" s="1"/>
  <c r="S142" i="146" s="1"/>
  <c r="N140" i="146"/>
  <c r="S133" i="146"/>
  <c r="U139" i="146"/>
  <c r="W39" i="144"/>
  <c r="W40" i="144" s="1"/>
  <c r="W38" i="144" s="1"/>
  <c r="W15" i="144" s="1"/>
  <c r="U91" i="144"/>
  <c r="S85" i="144"/>
  <c r="S91" i="144" s="1"/>
  <c r="P96" i="144"/>
  <c r="U96" i="144" s="1"/>
  <c r="S96" i="144" s="1"/>
  <c r="P95" i="144"/>
  <c r="U95" i="144" s="1"/>
  <c r="S95" i="144" s="1"/>
  <c r="N92" i="144"/>
  <c r="Z100" i="144"/>
  <c r="P98" i="144"/>
  <c r="U98" i="144" s="1"/>
  <c r="S98" i="144" s="1"/>
  <c r="P94" i="144"/>
  <c r="U94" i="144" s="1"/>
  <c r="S94" i="144" s="1"/>
  <c r="P97" i="144"/>
  <c r="U97" i="144" s="1"/>
  <c r="S97" i="144" s="1"/>
  <c r="P93" i="144"/>
  <c r="U93" i="144" s="1"/>
  <c r="U96" i="143"/>
  <c r="S90" i="143"/>
  <c r="S96" i="143" s="1"/>
  <c r="P101" i="143"/>
  <c r="U101" i="143" s="1"/>
  <c r="S101" i="143" s="1"/>
  <c r="P100" i="143"/>
  <c r="U100" i="143" s="1"/>
  <c r="S100" i="143" s="1"/>
  <c r="N97" i="143"/>
  <c r="Z105" i="143"/>
  <c r="P103" i="143"/>
  <c r="U103" i="143" s="1"/>
  <c r="S103" i="143" s="1"/>
  <c r="P99" i="143"/>
  <c r="U99" i="143" s="1"/>
  <c r="S99" i="143" s="1"/>
  <c r="P98" i="143"/>
  <c r="U98" i="143" s="1"/>
  <c r="P102" i="143"/>
  <c r="U102" i="143" s="1"/>
  <c r="S102" i="143" s="1"/>
  <c r="W14" i="142"/>
  <c r="W34" i="142" s="1"/>
  <c r="U94" i="142"/>
  <c r="S88" i="142"/>
  <c r="S94" i="142" s="1"/>
  <c r="P99" i="142"/>
  <c r="U99" i="142" s="1"/>
  <c r="S99" i="142" s="1"/>
  <c r="P98" i="142"/>
  <c r="U98" i="142" s="1"/>
  <c r="S98" i="142" s="1"/>
  <c r="N95" i="142"/>
  <c r="Z103" i="142"/>
  <c r="P101" i="142"/>
  <c r="U101" i="142" s="1"/>
  <c r="S101" i="142" s="1"/>
  <c r="P97" i="142"/>
  <c r="U97" i="142" s="1"/>
  <c r="S97" i="142" s="1"/>
  <c r="P100" i="142"/>
  <c r="U100" i="142" s="1"/>
  <c r="S100" i="142" s="1"/>
  <c r="P96" i="142"/>
  <c r="U96" i="142" s="1"/>
  <c r="P75" i="141"/>
  <c r="U75" i="141" s="1"/>
  <c r="S75" i="141" s="1"/>
  <c r="E54" i="141"/>
  <c r="I43" i="141"/>
  <c r="U70" i="141"/>
  <c r="S70" i="141"/>
  <c r="D43" i="141"/>
  <c r="H43" i="141"/>
  <c r="D54" i="141"/>
  <c r="W17" i="141" a="1"/>
  <c r="W17" i="141" s="1"/>
  <c r="P57" i="141"/>
  <c r="U57" i="141" s="1"/>
  <c r="S57" i="141" s="1"/>
  <c r="H59" i="141"/>
  <c r="F59" i="141"/>
  <c r="H48" i="141"/>
  <c r="E48" i="141"/>
  <c r="Z87" i="141"/>
  <c r="P85" i="141"/>
  <c r="U85" i="141" s="1"/>
  <c r="S85" i="141" s="1"/>
  <c r="P81" i="141"/>
  <c r="U81" i="141" s="1"/>
  <c r="S81" i="141" s="1"/>
  <c r="P84" i="141"/>
  <c r="U84" i="141" s="1"/>
  <c r="S84" i="141" s="1"/>
  <c r="P80" i="141"/>
  <c r="U80" i="141" s="1"/>
  <c r="P83" i="141"/>
  <c r="U83" i="141" s="1"/>
  <c r="S83" i="141" s="1"/>
  <c r="N79" i="141"/>
  <c r="P82" i="141"/>
  <c r="U82" i="141" s="1"/>
  <c r="S82" i="141" s="1"/>
  <c r="D48" i="141"/>
  <c r="G48" i="141"/>
  <c r="I48" i="141"/>
  <c r="I59" i="141"/>
  <c r="E59" i="141"/>
  <c r="W38" i="141"/>
  <c r="I54" i="141"/>
  <c r="H54" i="141"/>
  <c r="G54" i="141"/>
  <c r="S72" i="141"/>
  <c r="S56" i="141"/>
  <c r="D59" i="141"/>
  <c r="G59" i="141"/>
  <c r="F54" i="141"/>
  <c r="D49" i="140"/>
  <c r="G58" i="140"/>
  <c r="E58" i="140"/>
  <c r="W35" i="140" a="1"/>
  <c r="W35" i="140" s="1"/>
  <c r="E55" i="140"/>
  <c r="H49" i="140"/>
  <c r="E49" i="140"/>
  <c r="W26" i="140" a="1"/>
  <c r="W26" i="140" s="1"/>
  <c r="P70" i="140"/>
  <c r="U70" i="140" s="1"/>
  <c r="W19" i="140" a="1"/>
  <c r="W19" i="140" s="1"/>
  <c r="P57" i="140"/>
  <c r="U57" i="140" s="1"/>
  <c r="S57" i="140" s="1"/>
  <c r="G41" i="140"/>
  <c r="P54" i="140"/>
  <c r="U54" i="140" s="1"/>
  <c r="D41" i="140"/>
  <c r="W17" i="140" a="1"/>
  <c r="W17" i="140" s="1"/>
  <c r="I49" i="140"/>
  <c r="I55" i="140"/>
  <c r="D55" i="140"/>
  <c r="W31" i="140" a="1"/>
  <c r="W31" i="140" s="1"/>
  <c r="P62" i="140"/>
  <c r="U62" i="140" s="1"/>
  <c r="W18" i="140" a="1"/>
  <c r="W18" i="140" s="1"/>
  <c r="P88" i="140"/>
  <c r="U88" i="140" s="1"/>
  <c r="S88" i="140" s="1"/>
  <c r="N85" i="140"/>
  <c r="Z93" i="140"/>
  <c r="P91" i="140"/>
  <c r="U91" i="140" s="1"/>
  <c r="S91" i="140" s="1"/>
  <c r="P87" i="140"/>
  <c r="U87" i="140" s="1"/>
  <c r="S87" i="140" s="1"/>
  <c r="P90" i="140"/>
  <c r="U90" i="140" s="1"/>
  <c r="S90" i="140" s="1"/>
  <c r="P89" i="140"/>
  <c r="U89" i="140" s="1"/>
  <c r="S89" i="140" s="1"/>
  <c r="P86" i="140"/>
  <c r="U86" i="140" s="1"/>
  <c r="P58" i="140"/>
  <c r="U58" i="140" s="1"/>
  <c r="S58" i="140" s="1"/>
  <c r="H41" i="140"/>
  <c r="P55" i="140"/>
  <c r="U55" i="140" s="1"/>
  <c r="S55" i="140" s="1"/>
  <c r="E41" i="140"/>
  <c r="W28" i="140" a="1"/>
  <c r="W28" i="140" s="1"/>
  <c r="W27" i="140" a="1"/>
  <c r="W27" i="140" s="1"/>
  <c r="G49" i="140"/>
  <c r="D58" i="140"/>
  <c r="W34" i="140" a="1"/>
  <c r="W34" i="140" s="1"/>
  <c r="I58" i="140"/>
  <c r="W32" i="140" a="1"/>
  <c r="W32" i="140" s="1"/>
  <c r="G55" i="140"/>
  <c r="H55" i="140"/>
  <c r="U84" i="140"/>
  <c r="S78" i="140"/>
  <c r="S84" i="140" s="1"/>
  <c r="P59" i="140"/>
  <c r="U59" i="140" s="1"/>
  <c r="S59" i="140" s="1"/>
  <c r="I41" i="140"/>
  <c r="P56" i="140"/>
  <c r="U56" i="140" s="1"/>
  <c r="S56" i="140" s="1"/>
  <c r="F41" i="140"/>
  <c r="W36" i="140"/>
  <c r="W25" i="140" a="1"/>
  <c r="W25" i="140" s="1"/>
  <c r="F49" i="140"/>
  <c r="H58" i="140"/>
  <c r="G59" i="139"/>
  <c r="G62" i="139"/>
  <c r="F59" i="139"/>
  <c r="F62" i="139"/>
  <c r="H62" i="139"/>
  <c r="W16" i="139"/>
  <c r="U94" i="139"/>
  <c r="S88" i="139"/>
  <c r="S94" i="139" s="1"/>
  <c r="D59" i="139"/>
  <c r="W33" i="139" a="1"/>
  <c r="W33" i="139" s="1"/>
  <c r="E62" i="139"/>
  <c r="W30" i="139" a="1"/>
  <c r="W30" i="139" s="1"/>
  <c r="W29" i="139" a="1"/>
  <c r="W29" i="139" s="1"/>
  <c r="W27" i="139" a="1"/>
  <c r="W27" i="139" s="1"/>
  <c r="W28" i="139" a="1"/>
  <c r="W28" i="139" s="1"/>
  <c r="U62" i="139"/>
  <c r="S56" i="139"/>
  <c r="S62" i="139" s="1"/>
  <c r="E59" i="139"/>
  <c r="H59" i="139"/>
  <c r="W36" i="139" a="1"/>
  <c r="W36" i="139" s="1"/>
  <c r="D62" i="139"/>
  <c r="I62" i="139"/>
  <c r="Z103" i="139"/>
  <c r="P101" i="139"/>
  <c r="U101" i="139" s="1"/>
  <c r="S101" i="139" s="1"/>
  <c r="P97" i="139"/>
  <c r="U97" i="139" s="1"/>
  <c r="S97" i="139" s="1"/>
  <c r="P100" i="139"/>
  <c r="U100" i="139" s="1"/>
  <c r="S100" i="139" s="1"/>
  <c r="P96" i="139"/>
  <c r="U96" i="139" s="1"/>
  <c r="N95" i="139"/>
  <c r="P99" i="139"/>
  <c r="U99" i="139" s="1"/>
  <c r="S99" i="139" s="1"/>
  <c r="P98" i="139"/>
  <c r="U98" i="139" s="1"/>
  <c r="S98" i="139" s="1"/>
  <c r="U70" i="139"/>
  <c r="S64" i="139"/>
  <c r="S70" i="139" s="1"/>
  <c r="W24" i="139" a="1"/>
  <c r="W24" i="139" s="1"/>
  <c r="W25" i="139" a="1"/>
  <c r="W25" i="139" s="1"/>
  <c r="W38" i="139"/>
  <c r="W34" i="139" a="1"/>
  <c r="W34" i="139" s="1"/>
  <c r="W37" i="139" a="1"/>
  <c r="W37" i="139" s="1"/>
  <c r="U78" i="139"/>
  <c r="S72" i="139"/>
  <c r="S78" i="139" s="1"/>
  <c r="I59" i="138"/>
  <c r="F59" i="138"/>
  <c r="W37" i="138" a="1"/>
  <c r="W37" i="138" s="1"/>
  <c r="F62" i="138"/>
  <c r="H59" i="138"/>
  <c r="G59" i="138"/>
  <c r="W18" i="138" a="1"/>
  <c r="W18" i="138" s="1"/>
  <c r="P64" i="138"/>
  <c r="U64" i="138" s="1"/>
  <c r="P60" i="138"/>
  <c r="U60" i="138" s="1"/>
  <c r="S60" i="138" s="1"/>
  <c r="H43" i="138"/>
  <c r="P57" i="138"/>
  <c r="U57" i="138" s="1"/>
  <c r="S57" i="138" s="1"/>
  <c r="E43" i="138"/>
  <c r="U78" i="138"/>
  <c r="S72" i="138"/>
  <c r="S78" i="138" s="1"/>
  <c r="P83" i="138"/>
  <c r="U83" i="138" s="1"/>
  <c r="S83" i="138" s="1"/>
  <c r="P82" i="138"/>
  <c r="U82" i="138" s="1"/>
  <c r="S82" i="138" s="1"/>
  <c r="N79" i="138"/>
  <c r="Z87" i="138"/>
  <c r="P85" i="138"/>
  <c r="U85" i="138" s="1"/>
  <c r="S85" i="138" s="1"/>
  <c r="P81" i="138"/>
  <c r="U81" i="138" s="1"/>
  <c r="S81" i="138" s="1"/>
  <c r="P84" i="138"/>
  <c r="U84" i="138" s="1"/>
  <c r="S84" i="138" s="1"/>
  <c r="P80" i="138"/>
  <c r="U80" i="138" s="1"/>
  <c r="P61" i="138"/>
  <c r="U61" i="138" s="1"/>
  <c r="S61" i="138" s="1"/>
  <c r="I43" i="138"/>
  <c r="E59" i="138"/>
  <c r="W34" i="138" a="1"/>
  <c r="W34" i="138" s="1"/>
  <c r="I62" i="138"/>
  <c r="D62" i="138"/>
  <c r="W36" i="138" a="1"/>
  <c r="W36" i="138" s="1"/>
  <c r="W38" i="138"/>
  <c r="W19" i="138" a="1"/>
  <c r="W19" i="138" s="1"/>
  <c r="D59" i="138"/>
  <c r="W33" i="138" a="1"/>
  <c r="W33" i="138" s="1"/>
  <c r="H62" i="138"/>
  <c r="P58" i="138"/>
  <c r="U58" i="138" s="1"/>
  <c r="S58" i="138" s="1"/>
  <c r="F43" i="138"/>
  <c r="P59" i="138"/>
  <c r="U59" i="138" s="1"/>
  <c r="S59" i="138" s="1"/>
  <c r="G43" i="138"/>
  <c r="P56" i="138"/>
  <c r="U56" i="138" s="1"/>
  <c r="D43" i="138"/>
  <c r="W17" i="138" a="1"/>
  <c r="W17" i="138" s="1"/>
  <c r="I59" i="137"/>
  <c r="H62" i="137"/>
  <c r="W25" i="137" a="1"/>
  <c r="W25" i="137" s="1"/>
  <c r="W22" i="137" a="1"/>
  <c r="W22" i="137" s="1"/>
  <c r="E59" i="137"/>
  <c r="W28" i="137" a="1"/>
  <c r="W28" i="137" s="1"/>
  <c r="D62" i="137"/>
  <c r="W36" i="137" a="1"/>
  <c r="W36" i="137" s="1"/>
  <c r="F62" i="137"/>
  <c r="W38" i="137"/>
  <c r="G59" i="137"/>
  <c r="E62" i="137"/>
  <c r="W37" i="137" a="1"/>
  <c r="W37" i="137" s="1"/>
  <c r="W33" i="137" a="1"/>
  <c r="W33" i="137" s="1"/>
  <c r="D59" i="137"/>
  <c r="U70" i="137"/>
  <c r="S64" i="137"/>
  <c r="S70" i="137" s="1"/>
  <c r="W29" i="137" a="1"/>
  <c r="W29" i="137" s="1"/>
  <c r="W30" i="137" a="1"/>
  <c r="W30" i="137" s="1"/>
  <c r="U62" i="137"/>
  <c r="S56" i="137"/>
  <c r="S62" i="137" s="1"/>
  <c r="G62" i="137"/>
  <c r="I62" i="137"/>
  <c r="H59" i="137"/>
  <c r="F59" i="137"/>
  <c r="W27" i="137" a="1"/>
  <c r="W27" i="137" s="1"/>
  <c r="U78" i="137"/>
  <c r="S72" i="137"/>
  <c r="S78" i="137" s="1"/>
  <c r="P83" i="137"/>
  <c r="U83" i="137" s="1"/>
  <c r="S83" i="137" s="1"/>
  <c r="P82" i="137"/>
  <c r="U82" i="137" s="1"/>
  <c r="S82" i="137" s="1"/>
  <c r="N79" i="137"/>
  <c r="Z87" i="137"/>
  <c r="P85" i="137"/>
  <c r="U85" i="137" s="1"/>
  <c r="S85" i="137" s="1"/>
  <c r="P81" i="137"/>
  <c r="U81" i="137" s="1"/>
  <c r="S81" i="137" s="1"/>
  <c r="P84" i="137"/>
  <c r="U84" i="137" s="1"/>
  <c r="S84" i="137" s="1"/>
  <c r="P80" i="137"/>
  <c r="U80" i="137" s="1"/>
  <c r="W21" i="137" a="1"/>
  <c r="W21" i="137" s="1"/>
  <c r="W34" i="137" a="1"/>
  <c r="W34" i="137" s="1"/>
  <c r="W24" i="137" a="1"/>
  <c r="W24" i="137" s="1"/>
  <c r="G85" i="98"/>
  <c r="I84" i="98"/>
  <c r="E84" i="98"/>
  <c r="G83" i="98"/>
  <c r="I82" i="98"/>
  <c r="E82" i="98"/>
  <c r="F85" i="98"/>
  <c r="H84" i="98"/>
  <c r="D84" i="98"/>
  <c r="F83" i="98"/>
  <c r="H82" i="98"/>
  <c r="G56" i="101"/>
  <c r="I55" i="101"/>
  <c r="E55" i="101"/>
  <c r="G54" i="101"/>
  <c r="I53" i="101"/>
  <c r="E53" i="101"/>
  <c r="F56" i="101"/>
  <c r="H55" i="101"/>
  <c r="D55" i="101"/>
  <c r="F54" i="101"/>
  <c r="H53" i="101"/>
  <c r="D74" i="98" a="1"/>
  <c r="D74" i="98" s="1"/>
  <c r="D79" i="98" a="1"/>
  <c r="D79" i="98" s="1"/>
  <c r="D77" i="98" a="1"/>
  <c r="G77" i="98" s="1"/>
  <c r="G76" i="98" s="1"/>
  <c r="H80" i="98"/>
  <c r="I79" i="98"/>
  <c r="E75" i="98"/>
  <c r="H75" i="98"/>
  <c r="G75" i="98"/>
  <c r="I74" i="98"/>
  <c r="E74" i="98"/>
  <c r="G74" i="98"/>
  <c r="G73" i="98" s="1"/>
  <c r="D75" i="98"/>
  <c r="F75" i="98"/>
  <c r="D66" i="98" a="1"/>
  <c r="D66" i="98" s="1"/>
  <c r="E72" i="98"/>
  <c r="E68" i="98"/>
  <c r="D60" i="98" a="1"/>
  <c r="D60" i="98" s="1"/>
  <c r="D52" i="98" a="1"/>
  <c r="D52" i="98" s="1"/>
  <c r="I58" i="98"/>
  <c r="E58" i="98"/>
  <c r="G57" i="98"/>
  <c r="H58" i="98"/>
  <c r="D58" i="98"/>
  <c r="F57" i="98"/>
  <c r="G58" i="98"/>
  <c r="I57" i="98"/>
  <c r="E57" i="98"/>
  <c r="F58" i="98"/>
  <c r="H57" i="98"/>
  <c r="T326" i="96"/>
  <c r="R326" i="96" s="1"/>
  <c r="T325" i="96"/>
  <c r="R325" i="96" s="1"/>
  <c r="T324" i="96"/>
  <c r="R324" i="96" s="1"/>
  <c r="T323" i="96"/>
  <c r="R323" i="96" s="1"/>
  <c r="T322" i="96"/>
  <c r="R322" i="96" s="1"/>
  <c r="T321" i="96"/>
  <c r="R321" i="96" s="1"/>
  <c r="T318" i="96"/>
  <c r="R318" i="96" s="1"/>
  <c r="T317" i="96"/>
  <c r="R317" i="96" s="1"/>
  <c r="T316" i="96"/>
  <c r="R316" i="96" s="1"/>
  <c r="T315" i="96"/>
  <c r="R315" i="96" s="1"/>
  <c r="T314" i="96"/>
  <c r="R314" i="96" s="1"/>
  <c r="T313" i="96"/>
  <c r="R313" i="96" s="1"/>
  <c r="T310" i="96"/>
  <c r="R310" i="96" s="1"/>
  <c r="T309" i="96"/>
  <c r="R309" i="96" s="1"/>
  <c r="T308" i="96"/>
  <c r="R308" i="96" s="1"/>
  <c r="T307" i="96"/>
  <c r="R307" i="96" s="1"/>
  <c r="T306" i="96"/>
  <c r="R306" i="96" s="1"/>
  <c r="T305" i="96"/>
  <c r="R305" i="96" s="1"/>
  <c r="Y52" i="96"/>
  <c r="Y51" i="96"/>
  <c r="Y50" i="96"/>
  <c r="Y49" i="96"/>
  <c r="Y48" i="96"/>
  <c r="Y47" i="96"/>
  <c r="Y46" i="96"/>
  <c r="Y45" i="96"/>
  <c r="Y44" i="96"/>
  <c r="Y43" i="96"/>
  <c r="Y42" i="96"/>
  <c r="Y41" i="96"/>
  <c r="Y40" i="96"/>
  <c r="Y39" i="96"/>
  <c r="Y38" i="96"/>
  <c r="Y37" i="96"/>
  <c r="Y36" i="96"/>
  <c r="Y35" i="96"/>
  <c r="Y34" i="96"/>
  <c r="Y33" i="96"/>
  <c r="Y32" i="96"/>
  <c r="Y31" i="96"/>
  <c r="Y30" i="96"/>
  <c r="Y29" i="96"/>
  <c r="Y28" i="96"/>
  <c r="Y27" i="96"/>
  <c r="Y26" i="96"/>
  <c r="Y25" i="96"/>
  <c r="Y24" i="96"/>
  <c r="Y23" i="96"/>
  <c r="Y22" i="96"/>
  <c r="Y21" i="96"/>
  <c r="Y20" i="96"/>
  <c r="Y19" i="96"/>
  <c r="Y18" i="96"/>
  <c r="Y17" i="96"/>
  <c r="Y16" i="96"/>
  <c r="N52" i="96"/>
  <c r="N51" i="96"/>
  <c r="N50" i="96"/>
  <c r="N49" i="96"/>
  <c r="N48" i="96"/>
  <c r="N47" i="96"/>
  <c r="N46" i="96"/>
  <c r="N45" i="96"/>
  <c r="N44" i="96"/>
  <c r="N43" i="96"/>
  <c r="N42" i="96"/>
  <c r="N41" i="96"/>
  <c r="N40" i="96"/>
  <c r="N39" i="96"/>
  <c r="N38" i="96"/>
  <c r="N37" i="96"/>
  <c r="N36" i="96"/>
  <c r="N35" i="96"/>
  <c r="N34" i="96"/>
  <c r="N33" i="96"/>
  <c r="N32" i="96"/>
  <c r="N31" i="96"/>
  <c r="N30" i="96"/>
  <c r="N29" i="96"/>
  <c r="N28" i="96"/>
  <c r="N27" i="96"/>
  <c r="N26" i="96"/>
  <c r="N25" i="96"/>
  <c r="N24" i="96"/>
  <c r="N23" i="96"/>
  <c r="N22" i="96"/>
  <c r="N21" i="96"/>
  <c r="N20" i="96"/>
  <c r="N19" i="96"/>
  <c r="N18" i="96"/>
  <c r="N17" i="96"/>
  <c r="N16" i="96"/>
  <c r="N15" i="96"/>
  <c r="N14" i="96"/>
  <c r="D89" i="96" a="1"/>
  <c r="D89" i="96" s="1"/>
  <c r="I5" i="96"/>
  <c r="Y35" i="95"/>
  <c r="Y34" i="95"/>
  <c r="Y33" i="95"/>
  <c r="Y32" i="95"/>
  <c r="Y31" i="95"/>
  <c r="Y30" i="95"/>
  <c r="Y29" i="95"/>
  <c r="Y28" i="95"/>
  <c r="Y27" i="95"/>
  <c r="Y26" i="95"/>
  <c r="Y25" i="95"/>
  <c r="Y24" i="95"/>
  <c r="Y23" i="95"/>
  <c r="Y22" i="95"/>
  <c r="Y21" i="95"/>
  <c r="Y20" i="95"/>
  <c r="Y19" i="95"/>
  <c r="Y18" i="95"/>
  <c r="Y17" i="95"/>
  <c r="N35" i="95"/>
  <c r="N34" i="95"/>
  <c r="N33" i="95"/>
  <c r="N32" i="95"/>
  <c r="N31" i="95"/>
  <c r="N30" i="95"/>
  <c r="N29" i="95"/>
  <c r="N28" i="95"/>
  <c r="N27" i="95"/>
  <c r="N26" i="95"/>
  <c r="N25" i="95"/>
  <c r="N24" i="95"/>
  <c r="N23" i="95"/>
  <c r="N22" i="95"/>
  <c r="N21" i="95"/>
  <c r="N20" i="95"/>
  <c r="N19" i="95"/>
  <c r="N18" i="95"/>
  <c r="N17" i="95"/>
  <c r="N16" i="95"/>
  <c r="N15" i="95"/>
  <c r="I5" i="95"/>
  <c r="D54" i="95" s="1" a="1"/>
  <c r="D5" i="95"/>
  <c r="D51" i="95" s="1" a="1"/>
  <c r="T274" i="136"/>
  <c r="R274" i="136" s="1"/>
  <c r="T273" i="136"/>
  <c r="R273" i="136" s="1"/>
  <c r="T272" i="136"/>
  <c r="R272" i="136" s="1"/>
  <c r="T271" i="136"/>
  <c r="R271" i="136" s="1"/>
  <c r="T270" i="136"/>
  <c r="R270" i="136" s="1"/>
  <c r="T269" i="136"/>
  <c r="R269" i="136" s="1"/>
  <c r="T266" i="136"/>
  <c r="R266" i="136" s="1"/>
  <c r="T265" i="136"/>
  <c r="R265" i="136" s="1"/>
  <c r="T264" i="136"/>
  <c r="R264" i="136" s="1"/>
  <c r="T263" i="136"/>
  <c r="R263" i="136" s="1"/>
  <c r="T262" i="136"/>
  <c r="R262" i="136" s="1"/>
  <c r="T261" i="136"/>
  <c r="R261" i="136" s="1"/>
  <c r="T258" i="136"/>
  <c r="R258" i="136" s="1"/>
  <c r="T257" i="136"/>
  <c r="R257" i="136" s="1"/>
  <c r="T256" i="136"/>
  <c r="R256" i="136" s="1"/>
  <c r="T255" i="136"/>
  <c r="R255" i="136" s="1"/>
  <c r="T254" i="136"/>
  <c r="R254" i="136" s="1"/>
  <c r="T253" i="136"/>
  <c r="R253" i="136" s="1"/>
  <c r="T250" i="136"/>
  <c r="R250" i="136" s="1"/>
  <c r="T249" i="136"/>
  <c r="R249" i="136" s="1"/>
  <c r="T248" i="136"/>
  <c r="R248" i="136" s="1"/>
  <c r="T247" i="136"/>
  <c r="R247" i="136" s="1"/>
  <c r="T246" i="136"/>
  <c r="R246" i="136" s="1"/>
  <c r="T245" i="136"/>
  <c r="R245" i="136" s="1"/>
  <c r="T242" i="136"/>
  <c r="R242" i="136" s="1"/>
  <c r="T241" i="136"/>
  <c r="R241" i="136" s="1"/>
  <c r="T240" i="136"/>
  <c r="R240" i="136" s="1"/>
  <c r="T239" i="136"/>
  <c r="R239" i="136" s="1"/>
  <c r="T238" i="136"/>
  <c r="R238" i="136" s="1"/>
  <c r="T237" i="136"/>
  <c r="R237" i="136" s="1"/>
  <c r="T234" i="136"/>
  <c r="R234" i="136" s="1"/>
  <c r="T233" i="136"/>
  <c r="R233" i="136" s="1"/>
  <c r="T232" i="136"/>
  <c r="R232" i="136" s="1"/>
  <c r="T231" i="136"/>
  <c r="R231" i="136" s="1"/>
  <c r="T230" i="136"/>
  <c r="R230" i="136" s="1"/>
  <c r="T229" i="136"/>
  <c r="R229" i="136" s="1"/>
  <c r="T226" i="136"/>
  <c r="R226" i="136" s="1"/>
  <c r="T225" i="136"/>
  <c r="R225" i="136" s="1"/>
  <c r="T224" i="136"/>
  <c r="R224" i="136" s="1"/>
  <c r="T223" i="136"/>
  <c r="R223" i="136" s="1"/>
  <c r="T222" i="136"/>
  <c r="R222" i="136" s="1"/>
  <c r="T221" i="136"/>
  <c r="R221" i="136" s="1"/>
  <c r="Y43" i="136"/>
  <c r="Y42" i="136"/>
  <c r="Y41" i="136"/>
  <c r="Y40" i="136"/>
  <c r="Y39" i="136"/>
  <c r="Y38" i="136"/>
  <c r="Y37" i="136"/>
  <c r="Y36" i="136"/>
  <c r="Y35" i="136"/>
  <c r="Y34" i="136"/>
  <c r="Y33" i="136"/>
  <c r="Y32" i="136"/>
  <c r="Y31" i="136"/>
  <c r="Y30" i="136"/>
  <c r="Y29" i="136"/>
  <c r="Y28" i="136"/>
  <c r="Y27" i="136"/>
  <c r="Y26" i="136"/>
  <c r="Y25" i="136"/>
  <c r="Y24" i="136"/>
  <c r="Y23" i="136"/>
  <c r="Y22" i="136"/>
  <c r="Y21" i="136"/>
  <c r="Y20" i="136"/>
  <c r="Y19" i="136"/>
  <c r="Y18" i="136"/>
  <c r="Y17" i="136"/>
  <c r="N43" i="136"/>
  <c r="N42" i="136"/>
  <c r="N41" i="136"/>
  <c r="N40" i="136"/>
  <c r="N39" i="136"/>
  <c r="N38" i="136"/>
  <c r="N37" i="136"/>
  <c r="N36" i="136"/>
  <c r="N35" i="136"/>
  <c r="N34" i="136"/>
  <c r="N33" i="136"/>
  <c r="N32" i="136"/>
  <c r="N31" i="136"/>
  <c r="N30" i="136"/>
  <c r="N29" i="136"/>
  <c r="N28" i="136"/>
  <c r="N27" i="136"/>
  <c r="N26" i="136"/>
  <c r="N25" i="136"/>
  <c r="N24" i="136"/>
  <c r="N23" i="136"/>
  <c r="N22" i="136"/>
  <c r="N21" i="136"/>
  <c r="N20" i="136"/>
  <c r="N19" i="136"/>
  <c r="N18" i="136"/>
  <c r="N17" i="136"/>
  <c r="N16" i="136"/>
  <c r="N15" i="136"/>
  <c r="D5" i="136"/>
  <c r="D46" i="136" s="1" a="1"/>
  <c r="I5" i="136"/>
  <c r="D70" i="136" s="1" a="1"/>
  <c r="F4" i="136"/>
  <c r="T218" i="136"/>
  <c r="R218" i="136" s="1"/>
  <c r="T217" i="136"/>
  <c r="R217" i="136" s="1"/>
  <c r="T216" i="136"/>
  <c r="R216" i="136" s="1"/>
  <c r="T215" i="136"/>
  <c r="R215" i="136" s="1"/>
  <c r="T214" i="136"/>
  <c r="R214" i="136" s="1"/>
  <c r="T213" i="136"/>
  <c r="R213" i="136" s="1"/>
  <c r="T210" i="136"/>
  <c r="R210" i="136" s="1"/>
  <c r="T209" i="136"/>
  <c r="R209" i="136" s="1"/>
  <c r="T208" i="136"/>
  <c r="R208" i="136" s="1"/>
  <c r="T207" i="136"/>
  <c r="R207" i="136" s="1"/>
  <c r="T206" i="136"/>
  <c r="R206" i="136" s="1"/>
  <c r="T205" i="136"/>
  <c r="R205" i="136" s="1"/>
  <c r="T202" i="136"/>
  <c r="R202" i="136" s="1"/>
  <c r="T201" i="136"/>
  <c r="R201" i="136" s="1"/>
  <c r="T200" i="136"/>
  <c r="R200" i="136" s="1"/>
  <c r="T199" i="136"/>
  <c r="R199" i="136" s="1"/>
  <c r="T198" i="136"/>
  <c r="R198" i="136" s="1"/>
  <c r="T197" i="136"/>
  <c r="R197" i="136" s="1"/>
  <c r="T194" i="136"/>
  <c r="R194" i="136" s="1"/>
  <c r="T193" i="136"/>
  <c r="R193" i="136" s="1"/>
  <c r="T192" i="136"/>
  <c r="R192" i="136" s="1"/>
  <c r="T191" i="136"/>
  <c r="R191" i="136" s="1"/>
  <c r="T190" i="136"/>
  <c r="R190" i="136" s="1"/>
  <c r="T189" i="136"/>
  <c r="R189" i="136" s="1"/>
  <c r="T186" i="136"/>
  <c r="R186" i="136" s="1"/>
  <c r="T185" i="136"/>
  <c r="R185" i="136" s="1"/>
  <c r="T184" i="136"/>
  <c r="R184" i="136" s="1"/>
  <c r="T183" i="136"/>
  <c r="R183" i="136" s="1"/>
  <c r="T182" i="136"/>
  <c r="R182" i="136" s="1"/>
  <c r="T181" i="136"/>
  <c r="R181" i="136" s="1"/>
  <c r="T178" i="136"/>
  <c r="R178" i="136" s="1"/>
  <c r="T177" i="136"/>
  <c r="R177" i="136" s="1"/>
  <c r="T176" i="136"/>
  <c r="R176" i="136" s="1"/>
  <c r="T175" i="136"/>
  <c r="R175" i="136" s="1"/>
  <c r="T174" i="136"/>
  <c r="R174" i="136" s="1"/>
  <c r="T173" i="136"/>
  <c r="R173" i="136" s="1"/>
  <c r="T170" i="136"/>
  <c r="R170" i="136" s="1"/>
  <c r="T169" i="136"/>
  <c r="R169" i="136" s="1"/>
  <c r="T168" i="136"/>
  <c r="R168" i="136" s="1"/>
  <c r="T167" i="136"/>
  <c r="R167" i="136" s="1"/>
  <c r="T166" i="136"/>
  <c r="R166" i="136" s="1"/>
  <c r="T165" i="136"/>
  <c r="R165" i="136" s="1"/>
  <c r="T162" i="136"/>
  <c r="R162" i="136" s="1"/>
  <c r="T161" i="136"/>
  <c r="R161" i="136" s="1"/>
  <c r="T160" i="136"/>
  <c r="R160" i="136" s="1"/>
  <c r="T159" i="136"/>
  <c r="R159" i="136" s="1"/>
  <c r="T158" i="136"/>
  <c r="R158" i="136" s="1"/>
  <c r="T157" i="136"/>
  <c r="R157" i="136" s="1"/>
  <c r="T154" i="136"/>
  <c r="R154" i="136" s="1"/>
  <c r="T153" i="136"/>
  <c r="R153" i="136" s="1"/>
  <c r="T152" i="136"/>
  <c r="R152" i="136" s="1"/>
  <c r="T151" i="136"/>
  <c r="R151" i="136" s="1"/>
  <c r="T150" i="136"/>
  <c r="R150" i="136" s="1"/>
  <c r="T149" i="136"/>
  <c r="R149" i="136" s="1"/>
  <c r="T146" i="136"/>
  <c r="R146" i="136" s="1"/>
  <c r="T145" i="136"/>
  <c r="R145" i="136" s="1"/>
  <c r="T144" i="136"/>
  <c r="R144" i="136" s="1"/>
  <c r="T143" i="136"/>
  <c r="R143" i="136" s="1"/>
  <c r="T142" i="136"/>
  <c r="R142" i="136" s="1"/>
  <c r="T141" i="136"/>
  <c r="R141" i="136" s="1"/>
  <c r="T138" i="136"/>
  <c r="R138" i="136" s="1"/>
  <c r="T137" i="136"/>
  <c r="R137" i="136" s="1"/>
  <c r="T136" i="136"/>
  <c r="R136" i="136" s="1"/>
  <c r="T135" i="136"/>
  <c r="R135" i="136" s="1"/>
  <c r="T134" i="136"/>
  <c r="R134" i="136" s="1"/>
  <c r="T133" i="136"/>
  <c r="R133" i="136" s="1"/>
  <c r="T130" i="136"/>
  <c r="R130" i="136" s="1"/>
  <c r="T129" i="136"/>
  <c r="R129" i="136" s="1"/>
  <c r="T128" i="136"/>
  <c r="R128" i="136" s="1"/>
  <c r="T127" i="136"/>
  <c r="R127" i="136" s="1"/>
  <c r="T126" i="136"/>
  <c r="R126" i="136" s="1"/>
  <c r="T125" i="136"/>
  <c r="R125" i="136" s="1"/>
  <c r="T122" i="136"/>
  <c r="R122" i="136" s="1"/>
  <c r="T121" i="136"/>
  <c r="R121" i="136" s="1"/>
  <c r="T120" i="136"/>
  <c r="R120" i="136" s="1"/>
  <c r="T119" i="136"/>
  <c r="R119" i="136" s="1"/>
  <c r="T118" i="136"/>
  <c r="R118" i="136" s="1"/>
  <c r="T117" i="136"/>
  <c r="R117" i="136" s="1"/>
  <c r="T114" i="136"/>
  <c r="R114" i="136" s="1"/>
  <c r="T113" i="136"/>
  <c r="R113" i="136" s="1"/>
  <c r="T112" i="136"/>
  <c r="R112" i="136" s="1"/>
  <c r="T111" i="136"/>
  <c r="R111" i="136" s="1"/>
  <c r="T110" i="136"/>
  <c r="R110" i="136" s="1"/>
  <c r="T109" i="136"/>
  <c r="R109" i="136" s="1"/>
  <c r="T106" i="136"/>
  <c r="R106" i="136" s="1"/>
  <c r="T105" i="136"/>
  <c r="R105" i="136" s="1"/>
  <c r="T104" i="136"/>
  <c r="R104" i="136" s="1"/>
  <c r="T103" i="136"/>
  <c r="R103" i="136" s="1"/>
  <c r="T102" i="136"/>
  <c r="R102" i="136" s="1"/>
  <c r="T101" i="136"/>
  <c r="R101" i="136" s="1"/>
  <c r="T98" i="136"/>
  <c r="R98" i="136" s="1"/>
  <c r="T97" i="136"/>
  <c r="R97" i="136" s="1"/>
  <c r="T96" i="136"/>
  <c r="R96" i="136" s="1"/>
  <c r="T95" i="136"/>
  <c r="R95" i="136" s="1"/>
  <c r="T94" i="136"/>
  <c r="R94" i="136" s="1"/>
  <c r="T93" i="136"/>
  <c r="R93" i="136" s="1"/>
  <c r="T90" i="136"/>
  <c r="R90" i="136" s="1"/>
  <c r="T89" i="136"/>
  <c r="R89" i="136" s="1"/>
  <c r="T88" i="136"/>
  <c r="R88" i="136" s="1"/>
  <c r="T87" i="136"/>
  <c r="R87" i="136" s="1"/>
  <c r="T86" i="136"/>
  <c r="R86" i="136" s="1"/>
  <c r="T85" i="136"/>
  <c r="R85" i="136" s="1"/>
  <c r="Z84" i="136"/>
  <c r="Z92" i="136" s="1"/>
  <c r="T82" i="136"/>
  <c r="R82" i="136" s="1"/>
  <c r="T81" i="136"/>
  <c r="R81" i="136" s="1"/>
  <c r="T80" i="136"/>
  <c r="R80" i="136" s="1"/>
  <c r="T79" i="136"/>
  <c r="R79" i="136" s="1"/>
  <c r="T78" i="136"/>
  <c r="R78" i="136" s="1"/>
  <c r="T77" i="136"/>
  <c r="R77" i="136" s="1"/>
  <c r="N76" i="136"/>
  <c r="W45" i="136"/>
  <c r="W44" i="136" s="1"/>
  <c r="N45" i="136"/>
  <c r="I39" i="136"/>
  <c r="H39" i="136"/>
  <c r="G39" i="136"/>
  <c r="F39" i="136"/>
  <c r="E39" i="136"/>
  <c r="D39" i="136"/>
  <c r="I36" i="136"/>
  <c r="H36" i="136"/>
  <c r="G36" i="136"/>
  <c r="F36" i="136"/>
  <c r="E36" i="136"/>
  <c r="D36" i="136"/>
  <c r="I21" i="136"/>
  <c r="H21" i="136"/>
  <c r="G21" i="136"/>
  <c r="F21" i="136"/>
  <c r="E21" i="136"/>
  <c r="D21" i="136"/>
  <c r="Y16" i="136"/>
  <c r="Y15" i="136"/>
  <c r="I15" i="136"/>
  <c r="H15" i="136"/>
  <c r="G15" i="136"/>
  <c r="F15" i="136"/>
  <c r="E15" i="136"/>
  <c r="D15" i="136"/>
  <c r="T283" i="92"/>
  <c r="R283" i="92" s="1"/>
  <c r="T282" i="92"/>
  <c r="R282" i="92" s="1"/>
  <c r="T281" i="92"/>
  <c r="R281" i="92" s="1"/>
  <c r="T280" i="92"/>
  <c r="R280" i="92" s="1"/>
  <c r="T279" i="92"/>
  <c r="R279" i="92" s="1"/>
  <c r="T278" i="92"/>
  <c r="R278" i="92" s="1"/>
  <c r="Y39" i="92"/>
  <c r="Y53" i="92"/>
  <c r="Y51" i="92"/>
  <c r="Y49" i="92"/>
  <c r="Y29" i="92"/>
  <c r="Y28" i="92"/>
  <c r="Y27" i="92"/>
  <c r="Y26" i="92"/>
  <c r="Y25" i="92"/>
  <c r="Y24" i="92"/>
  <c r="Y23" i="92"/>
  <c r="Y22" i="92"/>
  <c r="Y21" i="92"/>
  <c r="Y20" i="92"/>
  <c r="Y33" i="92"/>
  <c r="Y42" i="92"/>
  <c r="N57" i="92"/>
  <c r="N56" i="92"/>
  <c r="N55" i="92"/>
  <c r="N54" i="92"/>
  <c r="N53" i="92"/>
  <c r="N52" i="92"/>
  <c r="N51" i="92"/>
  <c r="N50" i="92"/>
  <c r="N49" i="92"/>
  <c r="N48" i="92"/>
  <c r="N47" i="92"/>
  <c r="N46" i="92"/>
  <c r="N45" i="92"/>
  <c r="N44" i="92"/>
  <c r="N43" i="92"/>
  <c r="N42" i="92"/>
  <c r="N41" i="92"/>
  <c r="N40" i="92"/>
  <c r="N39" i="92"/>
  <c r="N38" i="92"/>
  <c r="N37" i="92"/>
  <c r="N36" i="92"/>
  <c r="N35" i="92"/>
  <c r="N34" i="92"/>
  <c r="N33" i="92"/>
  <c r="N32" i="92"/>
  <c r="N31" i="92"/>
  <c r="N30" i="92"/>
  <c r="N29" i="92"/>
  <c r="N28" i="92"/>
  <c r="N27" i="92"/>
  <c r="N26" i="92"/>
  <c r="N25" i="92"/>
  <c r="N24" i="92"/>
  <c r="N23" i="92"/>
  <c r="N22" i="92"/>
  <c r="N21" i="92"/>
  <c r="N20" i="92"/>
  <c r="N19" i="92"/>
  <c r="N18" i="92"/>
  <c r="A82" i="92"/>
  <c r="Y41" i="92" s="1"/>
  <c r="A81" i="92"/>
  <c r="Y40" i="92" s="1"/>
  <c r="A75" i="92"/>
  <c r="Y34" i="92" s="1"/>
  <c r="A71" i="92"/>
  <c r="Y30" i="92" s="1"/>
  <c r="W35" i="141" l="1"/>
  <c r="W16" i="137"/>
  <c r="W20" i="138"/>
  <c r="H79" i="98"/>
  <c r="G80" i="98"/>
  <c r="G79" i="98"/>
  <c r="W49" i="98" a="1"/>
  <c r="W49" i="98" s="1"/>
  <c r="H77" i="98"/>
  <c r="F80" i="98"/>
  <c r="F79" i="98"/>
  <c r="E80" i="98"/>
  <c r="I77" i="98"/>
  <c r="A72" i="92"/>
  <c r="A73" i="92" s="1"/>
  <c r="Y32" i="92" s="1"/>
  <c r="H68" i="98"/>
  <c r="H74" i="98"/>
  <c r="H73" i="98" s="1"/>
  <c r="I75" i="98"/>
  <c r="F74" i="98"/>
  <c r="F73" i="98" s="1"/>
  <c r="E77" i="98"/>
  <c r="E79" i="98"/>
  <c r="D80" i="98"/>
  <c r="I80" i="98"/>
  <c r="I78" i="98" s="1"/>
  <c r="W46" i="98" a="1"/>
  <c r="W46" i="98" s="1"/>
  <c r="W13" i="143"/>
  <c r="W35" i="143"/>
  <c r="U147" i="146"/>
  <c r="S141" i="146"/>
  <c r="S147" i="146" s="1"/>
  <c r="S139" i="146"/>
  <c r="P152" i="146"/>
  <c r="U152" i="146" s="1"/>
  <c r="S152" i="146" s="1"/>
  <c r="P151" i="146"/>
  <c r="U151" i="146" s="1"/>
  <c r="S151" i="146" s="1"/>
  <c r="N148" i="146"/>
  <c r="Z156" i="146"/>
  <c r="P154" i="146"/>
  <c r="U154" i="146" s="1"/>
  <c r="S154" i="146" s="1"/>
  <c r="P150" i="146"/>
  <c r="U150" i="146" s="1"/>
  <c r="S150" i="146" s="1"/>
  <c r="P153" i="146"/>
  <c r="U153" i="146" s="1"/>
  <c r="S153" i="146" s="1"/>
  <c r="P149" i="146"/>
  <c r="U149" i="146" s="1"/>
  <c r="U99" i="144"/>
  <c r="S93" i="144"/>
  <c r="S99" i="144" s="1"/>
  <c r="Z108" i="144"/>
  <c r="P106" i="144"/>
  <c r="U106" i="144" s="1"/>
  <c r="S106" i="144" s="1"/>
  <c r="P102" i="144"/>
  <c r="U102" i="144" s="1"/>
  <c r="S102" i="144" s="1"/>
  <c r="P105" i="144"/>
  <c r="U105" i="144" s="1"/>
  <c r="S105" i="144" s="1"/>
  <c r="P101" i="144"/>
  <c r="U101" i="144" s="1"/>
  <c r="P104" i="144"/>
  <c r="U104" i="144" s="1"/>
  <c r="S104" i="144" s="1"/>
  <c r="P103" i="144"/>
  <c r="U103" i="144" s="1"/>
  <c r="S103" i="144" s="1"/>
  <c r="N100" i="144"/>
  <c r="S78" i="141"/>
  <c r="W13" i="142"/>
  <c r="Z113" i="143"/>
  <c r="Z121" i="143" s="1"/>
  <c r="P111" i="143"/>
  <c r="U111" i="143" s="1"/>
  <c r="S111" i="143" s="1"/>
  <c r="P107" i="143"/>
  <c r="U107" i="143" s="1"/>
  <c r="S107" i="143" s="1"/>
  <c r="P110" i="143"/>
  <c r="U110" i="143" s="1"/>
  <c r="S110" i="143" s="1"/>
  <c r="P106" i="143"/>
  <c r="U106" i="143" s="1"/>
  <c r="P109" i="143"/>
  <c r="U109" i="143" s="1"/>
  <c r="S109" i="143" s="1"/>
  <c r="P108" i="143"/>
  <c r="U108" i="143" s="1"/>
  <c r="S108" i="143" s="1"/>
  <c r="N105" i="143"/>
  <c r="U104" i="143"/>
  <c r="S98" i="143"/>
  <c r="S104" i="143" s="1"/>
  <c r="W35" i="142"/>
  <c r="W33" i="142" s="1"/>
  <c r="U102" i="142"/>
  <c r="S96" i="142"/>
  <c r="S102" i="142" s="1"/>
  <c r="Z111" i="142"/>
  <c r="P109" i="142"/>
  <c r="U109" i="142" s="1"/>
  <c r="S109" i="142" s="1"/>
  <c r="P105" i="142"/>
  <c r="U105" i="142" s="1"/>
  <c r="S105" i="142" s="1"/>
  <c r="P108" i="142"/>
  <c r="U108" i="142" s="1"/>
  <c r="S108" i="142" s="1"/>
  <c r="P104" i="142"/>
  <c r="U104" i="142" s="1"/>
  <c r="P107" i="142"/>
  <c r="U107" i="142" s="1"/>
  <c r="S107" i="142" s="1"/>
  <c r="N103" i="142"/>
  <c r="P106" i="142"/>
  <c r="U106" i="142" s="1"/>
  <c r="S106" i="142" s="1"/>
  <c r="U78" i="141"/>
  <c r="S62" i="141"/>
  <c r="U62" i="141"/>
  <c r="W16" i="141"/>
  <c r="W32" i="141"/>
  <c r="P91" i="141"/>
  <c r="U91" i="141" s="1"/>
  <c r="S91" i="141" s="1"/>
  <c r="P90" i="141"/>
  <c r="U90" i="141" s="1"/>
  <c r="S90" i="141" s="1"/>
  <c r="N87" i="141"/>
  <c r="Z95" i="141"/>
  <c r="P93" i="141"/>
  <c r="U93" i="141" s="1"/>
  <c r="S93" i="141" s="1"/>
  <c r="P89" i="141"/>
  <c r="U89" i="141" s="1"/>
  <c r="S89" i="141" s="1"/>
  <c r="P92" i="141"/>
  <c r="U92" i="141" s="1"/>
  <c r="S92" i="141" s="1"/>
  <c r="P88" i="141"/>
  <c r="U88" i="141" s="1"/>
  <c r="W21" i="141"/>
  <c r="U86" i="141"/>
  <c r="S80" i="141"/>
  <c r="S86" i="141" s="1"/>
  <c r="W27" i="141"/>
  <c r="W33" i="140"/>
  <c r="S86" i="140"/>
  <c r="S92" i="140" s="1"/>
  <c r="U92" i="140"/>
  <c r="W16" i="140"/>
  <c r="W29" i="140" a="1"/>
  <c r="W29" i="140" s="1"/>
  <c r="W24" i="140" s="1"/>
  <c r="P98" i="140"/>
  <c r="U98" i="140" s="1"/>
  <c r="S98" i="140" s="1"/>
  <c r="P94" i="140"/>
  <c r="U94" i="140" s="1"/>
  <c r="P97" i="140"/>
  <c r="U97" i="140" s="1"/>
  <c r="S97" i="140" s="1"/>
  <c r="Z101" i="140"/>
  <c r="P99" i="140"/>
  <c r="U99" i="140" s="1"/>
  <c r="S99" i="140" s="1"/>
  <c r="P96" i="140"/>
  <c r="U96" i="140" s="1"/>
  <c r="S96" i="140" s="1"/>
  <c r="P95" i="140"/>
  <c r="U95" i="140" s="1"/>
  <c r="S95" i="140" s="1"/>
  <c r="N93" i="140"/>
  <c r="U68" i="140"/>
  <c r="S62" i="140"/>
  <c r="S68" i="140" s="1"/>
  <c r="W23" i="140" a="1"/>
  <c r="W23" i="140" s="1"/>
  <c r="W20" i="140" s="1"/>
  <c r="W30" i="140"/>
  <c r="S54" i="140"/>
  <c r="S60" i="140" s="1"/>
  <c r="U60" i="140"/>
  <c r="S70" i="140"/>
  <c r="S76" i="140" s="1"/>
  <c r="U76" i="140"/>
  <c r="W35" i="139"/>
  <c r="U102" i="139"/>
  <c r="S96" i="139"/>
  <c r="S102" i="139" s="1"/>
  <c r="P107" i="139"/>
  <c r="U107" i="139" s="1"/>
  <c r="S107" i="139" s="1"/>
  <c r="P106" i="139"/>
  <c r="U106" i="139" s="1"/>
  <c r="S106" i="139" s="1"/>
  <c r="N103" i="139"/>
  <c r="Z111" i="139"/>
  <c r="P108" i="139"/>
  <c r="U108" i="139" s="1"/>
  <c r="S108" i="139" s="1"/>
  <c r="P104" i="139"/>
  <c r="U104" i="139" s="1"/>
  <c r="P109" i="139"/>
  <c r="U109" i="139" s="1"/>
  <c r="S109" i="139" s="1"/>
  <c r="P105" i="139"/>
  <c r="U105" i="139" s="1"/>
  <c r="S105" i="139" s="1"/>
  <c r="W32" i="139"/>
  <c r="W31" i="139" a="1"/>
  <c r="W31" i="139" s="1"/>
  <c r="W26" i="139" s="1"/>
  <c r="W23" i="139" a="1"/>
  <c r="W23" i="139" s="1"/>
  <c r="W20" i="139" s="1"/>
  <c r="W32" i="138"/>
  <c r="W35" i="138"/>
  <c r="W31" i="138" a="1"/>
  <c r="W31" i="138" s="1"/>
  <c r="W26" i="138" s="1"/>
  <c r="W16" i="138"/>
  <c r="U86" i="138"/>
  <c r="S80" i="138"/>
  <c r="S86" i="138" s="1"/>
  <c r="Z95" i="138"/>
  <c r="P93" i="138"/>
  <c r="U93" i="138" s="1"/>
  <c r="S93" i="138" s="1"/>
  <c r="P89" i="138"/>
  <c r="U89" i="138" s="1"/>
  <c r="S89" i="138" s="1"/>
  <c r="P92" i="138"/>
  <c r="U92" i="138" s="1"/>
  <c r="S92" i="138" s="1"/>
  <c r="P88" i="138"/>
  <c r="U88" i="138" s="1"/>
  <c r="P91" i="138"/>
  <c r="U91" i="138" s="1"/>
  <c r="S91" i="138" s="1"/>
  <c r="N87" i="138"/>
  <c r="P90" i="138"/>
  <c r="U90" i="138" s="1"/>
  <c r="S90" i="138" s="1"/>
  <c r="S56" i="138"/>
  <c r="S62" i="138" s="1"/>
  <c r="U62" i="138"/>
  <c r="U70" i="138"/>
  <c r="S64" i="138"/>
  <c r="S70" i="138" s="1"/>
  <c r="W31" i="137" a="1"/>
  <c r="W31" i="137" s="1"/>
  <c r="W26" i="137" s="1"/>
  <c r="W32" i="137"/>
  <c r="U86" i="137"/>
  <c r="S80" i="137"/>
  <c r="S86" i="137" s="1"/>
  <c r="Z95" i="137"/>
  <c r="P93" i="137"/>
  <c r="U93" i="137" s="1"/>
  <c r="S93" i="137" s="1"/>
  <c r="P89" i="137"/>
  <c r="U89" i="137" s="1"/>
  <c r="S89" i="137" s="1"/>
  <c r="P92" i="137"/>
  <c r="U92" i="137" s="1"/>
  <c r="S92" i="137" s="1"/>
  <c r="P88" i="137"/>
  <c r="U88" i="137" s="1"/>
  <c r="P91" i="137"/>
  <c r="U91" i="137" s="1"/>
  <c r="S91" i="137" s="1"/>
  <c r="P90" i="137"/>
  <c r="U90" i="137" s="1"/>
  <c r="S90" i="137" s="1"/>
  <c r="N87" i="137"/>
  <c r="W23" i="137" a="1"/>
  <c r="W23" i="137" s="1"/>
  <c r="W20" i="137" s="1"/>
  <c r="W35" i="137"/>
  <c r="W48" i="98" a="1"/>
  <c r="W48" i="98" s="1"/>
  <c r="W47" i="98" a="1"/>
  <c r="W47" i="98" s="1"/>
  <c r="W21" i="98" a="1"/>
  <c r="W21" i="98" s="1"/>
  <c r="W22" i="98" a="1"/>
  <c r="W22" i="98" s="1"/>
  <c r="I76" i="98"/>
  <c r="D73" i="98"/>
  <c r="W39" i="98" a="1"/>
  <c r="W39" i="98" s="1"/>
  <c r="H78" i="98"/>
  <c r="W43" i="98" a="1"/>
  <c r="W43" i="98" s="1"/>
  <c r="E76" i="98"/>
  <c r="D78" i="98"/>
  <c r="H76" i="98"/>
  <c r="H72" i="98"/>
  <c r="H71" i="98"/>
  <c r="E73" i="98"/>
  <c r="D71" i="98"/>
  <c r="E69" i="98"/>
  <c r="G78" i="98"/>
  <c r="D77" i="98"/>
  <c r="F77" i="98"/>
  <c r="E78" i="98"/>
  <c r="F78" i="98"/>
  <c r="I73" i="98"/>
  <c r="D67" i="98"/>
  <c r="F72" i="98"/>
  <c r="G69" i="98"/>
  <c r="I72" i="98"/>
  <c r="G66" i="98"/>
  <c r="F67" i="98"/>
  <c r="H70" i="98"/>
  <c r="H67" i="98"/>
  <c r="I66" i="98"/>
  <c r="E70" i="98"/>
  <c r="F66" i="98"/>
  <c r="I67" i="98"/>
  <c r="E71" i="98"/>
  <c r="D70" i="98"/>
  <c r="G70" i="98"/>
  <c r="D68" i="98"/>
  <c r="F71" i="98"/>
  <c r="H69" i="98"/>
  <c r="G67" i="98"/>
  <c r="I70" i="98"/>
  <c r="F70" i="98"/>
  <c r="G68" i="98"/>
  <c r="I71" i="98"/>
  <c r="I64" i="98"/>
  <c r="H66" i="98"/>
  <c r="F69" i="98"/>
  <c r="D72" i="98"/>
  <c r="D69" i="98"/>
  <c r="E66" i="98"/>
  <c r="W30" i="98" s="1" a="1"/>
  <c r="W30" i="98" s="1"/>
  <c r="I68" i="98"/>
  <c r="G71" i="98"/>
  <c r="F68" i="98"/>
  <c r="E67" i="98"/>
  <c r="I69" i="98"/>
  <c r="G72" i="98"/>
  <c r="E64" i="98"/>
  <c r="D64" i="98"/>
  <c r="F64" i="98"/>
  <c r="H64" i="98"/>
  <c r="G60" i="98"/>
  <c r="E55" i="98"/>
  <c r="F61" i="98"/>
  <c r="G61" i="98"/>
  <c r="H61" i="98"/>
  <c r="G62" i="98"/>
  <c r="E54" i="98"/>
  <c r="D62" i="98"/>
  <c r="E62" i="98"/>
  <c r="F62" i="98"/>
  <c r="E63" i="98"/>
  <c r="F54" i="98"/>
  <c r="I55" i="98"/>
  <c r="H54" i="98"/>
  <c r="H53" i="98"/>
  <c r="H62" i="98"/>
  <c r="E60" i="98"/>
  <c r="I62" i="98"/>
  <c r="F60" i="98"/>
  <c r="D63" i="98"/>
  <c r="E61" i="98"/>
  <c r="I63" i="98"/>
  <c r="D54" i="98"/>
  <c r="E52" i="98"/>
  <c r="H60" i="98"/>
  <c r="F63" i="98"/>
  <c r="I60" i="98"/>
  <c r="G63" i="98"/>
  <c r="D61" i="98"/>
  <c r="H63" i="98"/>
  <c r="I61" i="98"/>
  <c r="G64" i="98"/>
  <c r="H52" i="98"/>
  <c r="F55" i="98"/>
  <c r="G52" i="98"/>
  <c r="I52" i="98"/>
  <c r="G55" i="98"/>
  <c r="E53" i="98"/>
  <c r="H55" i="98"/>
  <c r="I54" i="98"/>
  <c r="D55" i="98"/>
  <c r="F53" i="98"/>
  <c r="D53" i="98"/>
  <c r="I53" i="98"/>
  <c r="G53" i="98"/>
  <c r="F52" i="98"/>
  <c r="G54" i="98"/>
  <c r="E92" i="96"/>
  <c r="I90" i="96"/>
  <c r="G89" i="96"/>
  <c r="I92" i="96"/>
  <c r="G91" i="96"/>
  <c r="E90" i="96"/>
  <c r="H92" i="96"/>
  <c r="F91" i="96"/>
  <c r="D90" i="96"/>
  <c r="D92" i="96"/>
  <c r="H90" i="96"/>
  <c r="F89" i="96"/>
  <c r="G92" i="96"/>
  <c r="I91" i="96"/>
  <c r="E91" i="96"/>
  <c r="G90" i="96"/>
  <c r="I89" i="96"/>
  <c r="E89" i="96"/>
  <c r="F92" i="96"/>
  <c r="H91" i="96"/>
  <c r="D91" i="96"/>
  <c r="F90" i="96"/>
  <c r="H89" i="96"/>
  <c r="D51" i="95"/>
  <c r="I52" i="95"/>
  <c r="G51" i="95"/>
  <c r="E52" i="95"/>
  <c r="D38" i="95" a="1"/>
  <c r="F38" i="95" s="1"/>
  <c r="D43" i="95" a="1"/>
  <c r="G49" i="95" s="1"/>
  <c r="D54" i="95"/>
  <c r="E55" i="95"/>
  <c r="G56" i="95"/>
  <c r="I57" i="95"/>
  <c r="F54" i="95"/>
  <c r="H55" i="95"/>
  <c r="D57" i="95"/>
  <c r="G54" i="95"/>
  <c r="I55" i="95"/>
  <c r="E57" i="95"/>
  <c r="D55" i="95"/>
  <c r="F56" i="95"/>
  <c r="H57" i="95"/>
  <c r="E45" i="95"/>
  <c r="F43" i="95"/>
  <c r="H52" i="95"/>
  <c r="F51" i="95"/>
  <c r="I45" i="95"/>
  <c r="D44" i="95"/>
  <c r="D52" i="95"/>
  <c r="G57" i="95"/>
  <c r="I56" i="95"/>
  <c r="E56" i="95"/>
  <c r="G55" i="95"/>
  <c r="I54" i="95"/>
  <c r="E54" i="95"/>
  <c r="F57" i="95"/>
  <c r="H56" i="95"/>
  <c r="D56" i="95"/>
  <c r="F55" i="95"/>
  <c r="H54" i="95"/>
  <c r="G52" i="95"/>
  <c r="I51" i="95"/>
  <c r="E51" i="95"/>
  <c r="F52" i="95"/>
  <c r="H51" i="95"/>
  <c r="H47" i="95"/>
  <c r="F46" i="95"/>
  <c r="D46" i="136"/>
  <c r="E47" i="136"/>
  <c r="G48" i="136"/>
  <c r="P96" i="136" s="1"/>
  <c r="U96" i="136" s="1"/>
  <c r="S96" i="136" s="1"/>
  <c r="I49" i="136"/>
  <c r="F46" i="136"/>
  <c r="H47" i="136"/>
  <c r="P89" i="136" s="1"/>
  <c r="U89" i="136" s="1"/>
  <c r="S89" i="136" s="1"/>
  <c r="D49" i="136"/>
  <c r="F50" i="136"/>
  <c r="G46" i="136"/>
  <c r="I47" i="136"/>
  <c r="E49" i="136"/>
  <c r="G50" i="136"/>
  <c r="D47" i="136"/>
  <c r="F48" i="136"/>
  <c r="H49" i="136"/>
  <c r="D70" i="136"/>
  <c r="D71" i="136"/>
  <c r="F72" i="136"/>
  <c r="H73" i="136"/>
  <c r="E71" i="136"/>
  <c r="G72" i="136"/>
  <c r="I73" i="136"/>
  <c r="F70" i="136"/>
  <c r="H71" i="136"/>
  <c r="D73" i="136"/>
  <c r="G70" i="136"/>
  <c r="I71" i="136"/>
  <c r="E73" i="136"/>
  <c r="D67" i="136" a="1"/>
  <c r="G68" i="136" s="1"/>
  <c r="D52" i="136" a="1"/>
  <c r="G65" i="136" s="1"/>
  <c r="G73" i="136"/>
  <c r="I72" i="136"/>
  <c r="E72" i="136"/>
  <c r="G71" i="136"/>
  <c r="I70" i="136"/>
  <c r="E70" i="136"/>
  <c r="F73" i="136"/>
  <c r="H72" i="136"/>
  <c r="D72" i="136"/>
  <c r="F71" i="136"/>
  <c r="H70" i="136"/>
  <c r="E64" i="136"/>
  <c r="I60" i="136"/>
  <c r="I56" i="136"/>
  <c r="G53" i="136"/>
  <c r="D64" i="136"/>
  <c r="D60" i="136"/>
  <c r="H56" i="136"/>
  <c r="F53" i="136"/>
  <c r="I50" i="136"/>
  <c r="E50" i="136"/>
  <c r="G49" i="136"/>
  <c r="I48" i="136"/>
  <c r="E48" i="136"/>
  <c r="P94" i="136" s="1"/>
  <c r="U94" i="136" s="1"/>
  <c r="S94" i="136" s="1"/>
  <c r="G47" i="136"/>
  <c r="I46" i="136"/>
  <c r="E46" i="136"/>
  <c r="H50" i="136"/>
  <c r="D50" i="136"/>
  <c r="F49" i="136"/>
  <c r="H48" i="136"/>
  <c r="D48" i="136"/>
  <c r="P93" i="136" s="1"/>
  <c r="U93" i="136" s="1"/>
  <c r="F47" i="136"/>
  <c r="H46" i="136"/>
  <c r="P82" i="136"/>
  <c r="U82" i="136" s="1"/>
  <c r="S82" i="136" s="1"/>
  <c r="Z100" i="136"/>
  <c r="N92" i="136"/>
  <c r="P86" i="136"/>
  <c r="U86" i="136" s="1"/>
  <c r="S86" i="136" s="1"/>
  <c r="P95" i="136"/>
  <c r="U95" i="136" s="1"/>
  <c r="S95" i="136" s="1"/>
  <c r="P85" i="136"/>
  <c r="U85" i="136" s="1"/>
  <c r="P88" i="136"/>
  <c r="U88" i="136" s="1"/>
  <c r="S88" i="136" s="1"/>
  <c r="N84" i="136"/>
  <c r="A76" i="92"/>
  <c r="E96" i="92"/>
  <c r="E95" i="92"/>
  <c r="I98" i="92"/>
  <c r="I96" i="92"/>
  <c r="G95" i="92"/>
  <c r="H98" i="92"/>
  <c r="F97" i="92"/>
  <c r="H96" i="92"/>
  <c r="D96" i="92"/>
  <c r="G98" i="92"/>
  <c r="I97" i="92"/>
  <c r="E97" i="92"/>
  <c r="I95" i="92"/>
  <c r="F98" i="92"/>
  <c r="H97" i="92"/>
  <c r="F96" i="92"/>
  <c r="H95" i="92"/>
  <c r="F3" i="92"/>
  <c r="D5" i="92"/>
  <c r="D60" i="92" s="1" a="1"/>
  <c r="I5" i="92"/>
  <c r="D95" i="92" s="1" a="1"/>
  <c r="D95" i="92" s="1"/>
  <c r="Y34" i="91"/>
  <c r="Y33" i="91"/>
  <c r="Y32" i="91"/>
  <c r="Y31" i="91"/>
  <c r="Y30" i="91"/>
  <c r="Y29" i="91"/>
  <c r="Y28" i="91"/>
  <c r="Y27" i="91"/>
  <c r="Y26" i="91"/>
  <c r="Y25" i="91"/>
  <c r="Y24" i="91"/>
  <c r="Y23" i="91"/>
  <c r="Y22" i="91"/>
  <c r="Y21" i="91"/>
  <c r="Y20" i="91"/>
  <c r="Y19" i="91"/>
  <c r="Y18" i="91"/>
  <c r="N34" i="91"/>
  <c r="N33" i="91"/>
  <c r="N32" i="91"/>
  <c r="N31" i="91"/>
  <c r="N30" i="91"/>
  <c r="N29" i="91"/>
  <c r="N28" i="91"/>
  <c r="N27" i="91"/>
  <c r="N26" i="91"/>
  <c r="N25" i="91"/>
  <c r="N24" i="91"/>
  <c r="N23" i="91"/>
  <c r="N22" i="91"/>
  <c r="N21" i="91"/>
  <c r="N20" i="91"/>
  <c r="N19" i="91"/>
  <c r="N18" i="91"/>
  <c r="N17" i="91"/>
  <c r="N16" i="91"/>
  <c r="D51" i="91" a="1"/>
  <c r="D51" i="91" s="1"/>
  <c r="I5" i="91"/>
  <c r="F41" i="95" l="1"/>
  <c r="I40" i="95"/>
  <c r="D41" i="95"/>
  <c r="I39" i="95"/>
  <c r="Y31" i="92"/>
  <c r="D54" i="136"/>
  <c r="F57" i="136"/>
  <c r="F61" i="136"/>
  <c r="H64" i="136"/>
  <c r="E54" i="136"/>
  <c r="E58" i="136"/>
  <c r="W28" i="136" s="1" a="1"/>
  <c r="W28" i="136" s="1"/>
  <c r="G61" i="136"/>
  <c r="I64" i="136"/>
  <c r="H43" i="95"/>
  <c r="P125" i="143"/>
  <c r="U125" i="143" s="1"/>
  <c r="S125" i="143" s="1"/>
  <c r="P122" i="143"/>
  <c r="U122" i="143" s="1"/>
  <c r="P123" i="143"/>
  <c r="U123" i="143" s="1"/>
  <c r="S123" i="143" s="1"/>
  <c r="P126" i="143"/>
  <c r="U126" i="143" s="1"/>
  <c r="S126" i="143" s="1"/>
  <c r="P127" i="143"/>
  <c r="U127" i="143" s="1"/>
  <c r="S127" i="143" s="1"/>
  <c r="N121" i="143"/>
  <c r="P124" i="143"/>
  <c r="U124" i="143" s="1"/>
  <c r="S124" i="143" s="1"/>
  <c r="H38" i="95"/>
  <c r="E38" i="95"/>
  <c r="D49" i="95"/>
  <c r="G47" i="95"/>
  <c r="I46" i="95"/>
  <c r="E41" i="95"/>
  <c r="D97" i="92"/>
  <c r="G96" i="92"/>
  <c r="F95" i="92"/>
  <c r="D98" i="92"/>
  <c r="G97" i="92"/>
  <c r="E98" i="92"/>
  <c r="A84" i="92"/>
  <c r="H54" i="136"/>
  <c r="H58" i="136"/>
  <c r="D62" i="136"/>
  <c r="F65" i="136"/>
  <c r="G55" i="136"/>
  <c r="I58" i="136"/>
  <c r="E62" i="136"/>
  <c r="F39" i="95"/>
  <c r="G39" i="95"/>
  <c r="D45" i="95"/>
  <c r="F49" i="95"/>
  <c r="H48" i="95"/>
  <c r="W38" i="98" a="1"/>
  <c r="W38" i="98" s="1"/>
  <c r="W44" i="98" a="1"/>
  <c r="W44" i="98" s="1"/>
  <c r="I93" i="92"/>
  <c r="D91" i="92" a="1"/>
  <c r="F91" i="92" s="1"/>
  <c r="D93" i="92" a="1"/>
  <c r="D65" i="92" a="1"/>
  <c r="D56" i="136"/>
  <c r="F59" i="136"/>
  <c r="H62" i="136"/>
  <c r="I52" i="136"/>
  <c r="E56" i="136"/>
  <c r="G59" i="136"/>
  <c r="G63" i="136"/>
  <c r="H40" i="95"/>
  <c r="E40" i="95"/>
  <c r="H39" i="95"/>
  <c r="G38" i="95"/>
  <c r="W12" i="143"/>
  <c r="U155" i="146"/>
  <c r="S149" i="146"/>
  <c r="Z164" i="146"/>
  <c r="P162" i="146"/>
  <c r="U162" i="146" s="1"/>
  <c r="S162" i="146" s="1"/>
  <c r="P158" i="146"/>
  <c r="U158" i="146" s="1"/>
  <c r="S158" i="146" s="1"/>
  <c r="P161" i="146"/>
  <c r="U161" i="146" s="1"/>
  <c r="S161" i="146" s="1"/>
  <c r="P157" i="146"/>
  <c r="U157" i="146" s="1"/>
  <c r="P160" i="146"/>
  <c r="U160" i="146" s="1"/>
  <c r="S160" i="146" s="1"/>
  <c r="N156" i="146"/>
  <c r="P159" i="146"/>
  <c r="U159" i="146" s="1"/>
  <c r="S159" i="146" s="1"/>
  <c r="E93" i="92"/>
  <c r="D84" i="92" a="1"/>
  <c r="D85" i="92" a="1"/>
  <c r="D81" i="92" a="1"/>
  <c r="D75" i="92" a="1"/>
  <c r="D71" i="92" a="1"/>
  <c r="G91" i="92"/>
  <c r="F93" i="92"/>
  <c r="D93" i="92"/>
  <c r="H93" i="92"/>
  <c r="G93" i="92"/>
  <c r="U107" i="144"/>
  <c r="S101" i="144"/>
  <c r="S107" i="144" s="1"/>
  <c r="P112" i="144"/>
  <c r="U112" i="144" s="1"/>
  <c r="S112" i="144" s="1"/>
  <c r="P111" i="144"/>
  <c r="U111" i="144" s="1"/>
  <c r="S111" i="144" s="1"/>
  <c r="N108" i="144"/>
  <c r="Z116" i="144"/>
  <c r="P114" i="144"/>
  <c r="U114" i="144" s="1"/>
  <c r="S114" i="144" s="1"/>
  <c r="P110" i="144"/>
  <c r="U110" i="144" s="1"/>
  <c r="S110" i="144" s="1"/>
  <c r="P113" i="144"/>
  <c r="U113" i="144" s="1"/>
  <c r="S113" i="144" s="1"/>
  <c r="P109" i="144"/>
  <c r="U109" i="144" s="1"/>
  <c r="W12" i="142"/>
  <c r="U112" i="143"/>
  <c r="S106" i="143"/>
  <c r="S112" i="143" s="1"/>
  <c r="P117" i="143"/>
  <c r="U117" i="143" s="1"/>
  <c r="S117" i="143" s="1"/>
  <c r="P116" i="143"/>
  <c r="U116" i="143" s="1"/>
  <c r="S116" i="143" s="1"/>
  <c r="N113" i="143"/>
  <c r="P119" i="143"/>
  <c r="U119" i="143" s="1"/>
  <c r="S119" i="143" s="1"/>
  <c r="P115" i="143"/>
  <c r="U115" i="143" s="1"/>
  <c r="S115" i="143" s="1"/>
  <c r="P114" i="143"/>
  <c r="U114" i="143" s="1"/>
  <c r="P118" i="143"/>
  <c r="U118" i="143" s="1"/>
  <c r="S118" i="143" s="1"/>
  <c r="U110" i="142"/>
  <c r="S104" i="142"/>
  <c r="S110" i="142" s="1"/>
  <c r="P115" i="142"/>
  <c r="U115" i="142" s="1"/>
  <c r="S115" i="142" s="1"/>
  <c r="P114" i="142"/>
  <c r="U114" i="142" s="1"/>
  <c r="S114" i="142" s="1"/>
  <c r="N111" i="142"/>
  <c r="P117" i="142"/>
  <c r="U117" i="142" s="1"/>
  <c r="S117" i="142" s="1"/>
  <c r="P113" i="142"/>
  <c r="U113" i="142" s="1"/>
  <c r="S113" i="142" s="1"/>
  <c r="P112" i="142"/>
  <c r="U112" i="142" s="1"/>
  <c r="P116" i="142"/>
  <c r="U116" i="142" s="1"/>
  <c r="S116" i="142" s="1"/>
  <c r="W15" i="141"/>
  <c r="U94" i="141"/>
  <c r="S88" i="141"/>
  <c r="S94" i="141" s="1"/>
  <c r="Z103" i="141"/>
  <c r="P101" i="141"/>
  <c r="U101" i="141" s="1"/>
  <c r="S101" i="141" s="1"/>
  <c r="P97" i="141"/>
  <c r="U97" i="141" s="1"/>
  <c r="S97" i="141" s="1"/>
  <c r="P100" i="141"/>
  <c r="U100" i="141" s="1"/>
  <c r="S100" i="141" s="1"/>
  <c r="P96" i="141"/>
  <c r="U96" i="141" s="1"/>
  <c r="P99" i="141"/>
  <c r="U99" i="141" s="1"/>
  <c r="S99" i="141" s="1"/>
  <c r="N95" i="141"/>
  <c r="P98" i="141"/>
  <c r="U98" i="141" s="1"/>
  <c r="S98" i="141" s="1"/>
  <c r="P104" i="140"/>
  <c r="U104" i="140" s="1"/>
  <c r="S104" i="140" s="1"/>
  <c r="N101" i="140"/>
  <c r="Z109" i="140"/>
  <c r="P107" i="140"/>
  <c r="U107" i="140" s="1"/>
  <c r="S107" i="140" s="1"/>
  <c r="P103" i="140"/>
  <c r="U103" i="140" s="1"/>
  <c r="S103" i="140" s="1"/>
  <c r="P106" i="140"/>
  <c r="U106" i="140" s="1"/>
  <c r="S106" i="140" s="1"/>
  <c r="P105" i="140"/>
  <c r="U105" i="140" s="1"/>
  <c r="S105" i="140" s="1"/>
  <c r="P102" i="140"/>
  <c r="U102" i="140" s="1"/>
  <c r="W15" i="140"/>
  <c r="U100" i="140"/>
  <c r="S94" i="140"/>
  <c r="S100" i="140" s="1"/>
  <c r="U110" i="139"/>
  <c r="S104" i="139"/>
  <c r="S110" i="139" s="1"/>
  <c r="W15" i="139"/>
  <c r="P117" i="139"/>
  <c r="U117" i="139" s="1"/>
  <c r="S117" i="139" s="1"/>
  <c r="P113" i="139"/>
  <c r="U113" i="139" s="1"/>
  <c r="S113" i="139" s="1"/>
  <c r="P116" i="139"/>
  <c r="U116" i="139" s="1"/>
  <c r="S116" i="139" s="1"/>
  <c r="P112" i="139"/>
  <c r="U112" i="139" s="1"/>
  <c r="Z119" i="139"/>
  <c r="N111" i="139"/>
  <c r="P115" i="139"/>
  <c r="U115" i="139" s="1"/>
  <c r="S115" i="139" s="1"/>
  <c r="P114" i="139"/>
  <c r="U114" i="139" s="1"/>
  <c r="S114" i="139" s="1"/>
  <c r="W15" i="138"/>
  <c r="W14" i="138" s="1"/>
  <c r="U94" i="138"/>
  <c r="S88" i="138"/>
  <c r="S94" i="138" s="1"/>
  <c r="P99" i="138"/>
  <c r="U99" i="138" s="1"/>
  <c r="S99" i="138" s="1"/>
  <c r="P98" i="138"/>
  <c r="U98" i="138" s="1"/>
  <c r="S98" i="138" s="1"/>
  <c r="N95" i="138"/>
  <c r="Z103" i="138"/>
  <c r="P101" i="138"/>
  <c r="U101" i="138" s="1"/>
  <c r="S101" i="138" s="1"/>
  <c r="P97" i="138"/>
  <c r="U97" i="138" s="1"/>
  <c r="S97" i="138" s="1"/>
  <c r="P96" i="138"/>
  <c r="U96" i="138" s="1"/>
  <c r="P100" i="138"/>
  <c r="U100" i="138" s="1"/>
  <c r="S100" i="138" s="1"/>
  <c r="W15" i="137"/>
  <c r="W48" i="137" s="1"/>
  <c r="U94" i="137"/>
  <c r="S88" i="137"/>
  <c r="S94" i="137" s="1"/>
  <c r="P99" i="137"/>
  <c r="U99" i="137" s="1"/>
  <c r="S99" i="137" s="1"/>
  <c r="P98" i="137"/>
  <c r="U98" i="137" s="1"/>
  <c r="S98" i="137" s="1"/>
  <c r="N95" i="137"/>
  <c r="Z103" i="137"/>
  <c r="P101" i="137"/>
  <c r="U101" i="137" s="1"/>
  <c r="S101" i="137" s="1"/>
  <c r="P97" i="137"/>
  <c r="U97" i="137" s="1"/>
  <c r="S97" i="137" s="1"/>
  <c r="P100" i="137"/>
  <c r="U100" i="137" s="1"/>
  <c r="S100" i="137" s="1"/>
  <c r="P96" i="137"/>
  <c r="U96" i="137" s="1"/>
  <c r="W19" i="98" a="1"/>
  <c r="W19" i="98" s="1"/>
  <c r="W24" i="98" a="1"/>
  <c r="W24" i="98" s="1"/>
  <c r="W26" i="98" a="1"/>
  <c r="W26" i="98" s="1"/>
  <c r="D76" i="98"/>
  <c r="W41" i="98" a="1"/>
  <c r="W41" i="98" s="1"/>
  <c r="W40" i="98" s="1"/>
  <c r="W18" i="98" a="1"/>
  <c r="W18" i="98" s="1"/>
  <c r="W34" i="98" a="1"/>
  <c r="W34" i="98" s="1"/>
  <c r="W27" i="98" a="1"/>
  <c r="W27" i="98" s="1"/>
  <c r="W36" i="98" a="1"/>
  <c r="W36" i="98" s="1"/>
  <c r="W28" i="98" a="1"/>
  <c r="W28" i="98" s="1"/>
  <c r="W31" i="98" a="1"/>
  <c r="W31" i="98" s="1"/>
  <c r="W25" i="98" a="1"/>
  <c r="W25" i="98" s="1"/>
  <c r="W33" i="98" a="1"/>
  <c r="W33" i="98" s="1"/>
  <c r="W32" i="98" a="1"/>
  <c r="W32" i="98" s="1"/>
  <c r="F76" i="98"/>
  <c r="W35" i="98" a="1"/>
  <c r="W35" i="98" s="1"/>
  <c r="D40" i="95"/>
  <c r="I38" i="95"/>
  <c r="G41" i="95"/>
  <c r="H45" i="95"/>
  <c r="F48" i="95"/>
  <c r="E43" i="95"/>
  <c r="H46" i="95"/>
  <c r="D46" i="95"/>
  <c r="D43" i="95"/>
  <c r="H44" i="95"/>
  <c r="H42" i="95" s="1"/>
  <c r="G46" i="95"/>
  <c r="E48" i="95"/>
  <c r="G44" i="95"/>
  <c r="E46" i="95"/>
  <c r="D48" i="95"/>
  <c r="I49" i="95"/>
  <c r="G43" i="95"/>
  <c r="F45" i="95"/>
  <c r="E47" i="95"/>
  <c r="I48" i="95"/>
  <c r="I43" i="95"/>
  <c r="G45" i="95"/>
  <c r="F47" i="95"/>
  <c r="E49" i="95"/>
  <c r="F44" i="95"/>
  <c r="D47" i="95"/>
  <c r="H49" i="95"/>
  <c r="I44" i="95"/>
  <c r="G48" i="95"/>
  <c r="E44" i="95"/>
  <c r="I47" i="95"/>
  <c r="D38" i="95"/>
  <c r="G40" i="95"/>
  <c r="F40" i="95"/>
  <c r="D39" i="95"/>
  <c r="H41" i="95"/>
  <c r="E39" i="95"/>
  <c r="I41" i="95"/>
  <c r="F68" i="136"/>
  <c r="E67" i="136"/>
  <c r="H52" i="136"/>
  <c r="F55" i="136"/>
  <c r="D58" i="136"/>
  <c r="H60" i="136"/>
  <c r="F63" i="136"/>
  <c r="E52" i="136"/>
  <c r="I54" i="136"/>
  <c r="G57" i="136"/>
  <c r="E60" i="136"/>
  <c r="I62" i="136"/>
  <c r="I67" i="136"/>
  <c r="W34" i="136" a="1"/>
  <c r="W34" i="136" s="1"/>
  <c r="H67" i="136"/>
  <c r="D52" i="136"/>
  <c r="D53" i="136"/>
  <c r="F54" i="136"/>
  <c r="H55" i="136"/>
  <c r="D57" i="136"/>
  <c r="F58" i="136"/>
  <c r="H59" i="136"/>
  <c r="D61" i="136"/>
  <c r="F62" i="136"/>
  <c r="H63" i="136"/>
  <c r="D65" i="136"/>
  <c r="E53" i="136"/>
  <c r="G54" i="136"/>
  <c r="I55" i="136"/>
  <c r="E57" i="136"/>
  <c r="G58" i="136"/>
  <c r="I59" i="136"/>
  <c r="E61" i="136"/>
  <c r="G62" i="136"/>
  <c r="I63" i="136"/>
  <c r="E65" i="136"/>
  <c r="F52" i="136"/>
  <c r="H53" i="136"/>
  <c r="W23" i="136" s="1" a="1"/>
  <c r="W23" i="136" s="1"/>
  <c r="D55" i="136"/>
  <c r="F56" i="136"/>
  <c r="W26" i="136" s="1" a="1"/>
  <c r="W26" i="136" s="1"/>
  <c r="H57" i="136"/>
  <c r="D59" i="136"/>
  <c r="F60" i="136"/>
  <c r="H61" i="136"/>
  <c r="D63" i="136"/>
  <c r="F64" i="136"/>
  <c r="H65" i="136"/>
  <c r="G52" i="136"/>
  <c r="G51" i="136" s="1"/>
  <c r="I53" i="136"/>
  <c r="E55" i="136"/>
  <c r="G56" i="136"/>
  <c r="I57" i="136"/>
  <c r="E59" i="136"/>
  <c r="G60" i="136"/>
  <c r="I61" i="136"/>
  <c r="E63" i="136"/>
  <c r="G64" i="136"/>
  <c r="I65" i="136"/>
  <c r="D67" i="136"/>
  <c r="G67" i="136"/>
  <c r="I68" i="136"/>
  <c r="D68" i="136"/>
  <c r="W32" i="136" s="1" a="1"/>
  <c r="W32" i="136" s="1"/>
  <c r="E68" i="136"/>
  <c r="F67" i="136"/>
  <c r="H68" i="136"/>
  <c r="P90" i="136"/>
  <c r="U90" i="136" s="1"/>
  <c r="S90" i="136" s="1"/>
  <c r="P98" i="136"/>
  <c r="U98" i="136" s="1"/>
  <c r="S98" i="136" s="1"/>
  <c r="P87" i="136"/>
  <c r="U87" i="136" s="1"/>
  <c r="S87" i="136" s="1"/>
  <c r="P97" i="136"/>
  <c r="U97" i="136" s="1"/>
  <c r="S97" i="136" s="1"/>
  <c r="W41" i="136" a="1"/>
  <c r="W41" i="136" s="1"/>
  <c r="W43" i="136" a="1"/>
  <c r="W43" i="136" s="1"/>
  <c r="E69" i="136"/>
  <c r="G69" i="136"/>
  <c r="S93" i="136"/>
  <c r="P78" i="136"/>
  <c r="U78" i="136" s="1"/>
  <c r="S78" i="136" s="1"/>
  <c r="E45" i="136"/>
  <c r="P77" i="136"/>
  <c r="U77" i="136" s="1"/>
  <c r="W16" i="136" a="1"/>
  <c r="W16" i="136" s="1"/>
  <c r="D45" i="136"/>
  <c r="W42" i="136" a="1"/>
  <c r="W42" i="136" s="1"/>
  <c r="D69" i="136"/>
  <c r="W40" i="136" a="1"/>
  <c r="W40" i="136" s="1"/>
  <c r="I69" i="136"/>
  <c r="F45" i="136"/>
  <c r="P79" i="136"/>
  <c r="U79" i="136" s="1"/>
  <c r="S79" i="136" s="1"/>
  <c r="P81" i="136"/>
  <c r="U81" i="136" s="1"/>
  <c r="S81" i="136" s="1"/>
  <c r="P105" i="136"/>
  <c r="U105" i="136" s="1"/>
  <c r="S105" i="136" s="1"/>
  <c r="P101" i="136"/>
  <c r="U101" i="136" s="1"/>
  <c r="P104" i="136"/>
  <c r="U104" i="136" s="1"/>
  <c r="S104" i="136" s="1"/>
  <c r="P103" i="136"/>
  <c r="U103" i="136" s="1"/>
  <c r="S103" i="136" s="1"/>
  <c r="N100" i="136"/>
  <c r="Z108" i="136"/>
  <c r="P102" i="136"/>
  <c r="U102" i="136" s="1"/>
  <c r="S102" i="136" s="1"/>
  <c r="S85" i="136"/>
  <c r="F69" i="136"/>
  <c r="H69" i="136"/>
  <c r="G45" i="136"/>
  <c r="P80" i="136"/>
  <c r="U80" i="136" s="1"/>
  <c r="S80" i="136" s="1"/>
  <c r="Y35" i="92"/>
  <c r="A77" i="92"/>
  <c r="D60" i="92"/>
  <c r="G65" i="92"/>
  <c r="F69" i="92"/>
  <c r="H68" i="92"/>
  <c r="D68" i="92"/>
  <c r="F67" i="92"/>
  <c r="H66" i="92"/>
  <c r="D66" i="92"/>
  <c r="F65" i="92"/>
  <c r="I69" i="92"/>
  <c r="E69" i="92"/>
  <c r="G68" i="92"/>
  <c r="I67" i="92"/>
  <c r="E67" i="92"/>
  <c r="G66" i="92"/>
  <c r="I65" i="92"/>
  <c r="E65" i="92"/>
  <c r="H69" i="92"/>
  <c r="D69" i="92"/>
  <c r="F68" i="92"/>
  <c r="H67" i="92"/>
  <c r="D67" i="92"/>
  <c r="F66" i="92"/>
  <c r="H65" i="92"/>
  <c r="D65" i="92"/>
  <c r="G69" i="92"/>
  <c r="I68" i="92"/>
  <c r="E68" i="92"/>
  <c r="G67" i="92"/>
  <c r="I66" i="92"/>
  <c r="E66" i="92"/>
  <c r="E63" i="92"/>
  <c r="E61" i="92"/>
  <c r="D63" i="92"/>
  <c r="D61" i="92"/>
  <c r="G63" i="92"/>
  <c r="I62" i="92"/>
  <c r="E62" i="92"/>
  <c r="G61" i="92"/>
  <c r="I60" i="92"/>
  <c r="E60" i="92"/>
  <c r="I63" i="92"/>
  <c r="G62" i="92"/>
  <c r="I61" i="92"/>
  <c r="G60" i="92"/>
  <c r="H63" i="92"/>
  <c r="F62" i="92"/>
  <c r="H61" i="92"/>
  <c r="F60" i="92"/>
  <c r="F63" i="92"/>
  <c r="H62" i="92"/>
  <c r="D62" i="92"/>
  <c r="F61" i="92"/>
  <c r="H60" i="92"/>
  <c r="I54" i="91"/>
  <c r="E54" i="91"/>
  <c r="G53" i="91"/>
  <c r="I52" i="91"/>
  <c r="E52" i="91"/>
  <c r="G51" i="91"/>
  <c r="H54" i="91"/>
  <c r="D54" i="91"/>
  <c r="F53" i="91"/>
  <c r="H52" i="91"/>
  <c r="D52" i="91"/>
  <c r="F51" i="91"/>
  <c r="G54" i="91"/>
  <c r="I53" i="91"/>
  <c r="E53" i="91"/>
  <c r="G52" i="91"/>
  <c r="I51" i="91"/>
  <c r="E51" i="91"/>
  <c r="F54" i="91"/>
  <c r="H53" i="91"/>
  <c r="D53" i="91"/>
  <c r="F52" i="91"/>
  <c r="H51" i="91"/>
  <c r="Y34" i="90"/>
  <c r="Y33" i="90"/>
  <c r="Y32" i="90"/>
  <c r="Y31" i="90"/>
  <c r="Y30" i="90"/>
  <c r="Y29" i="90"/>
  <c r="Y28" i="90"/>
  <c r="Y27" i="90"/>
  <c r="Y26" i="90"/>
  <c r="Y25" i="90"/>
  <c r="Y24" i="90"/>
  <c r="Y23" i="90"/>
  <c r="Y22" i="90"/>
  <c r="Y21" i="90"/>
  <c r="Y20" i="90"/>
  <c r="Y19" i="90"/>
  <c r="Y18" i="90"/>
  <c r="Y17" i="90"/>
  <c r="Y16" i="90"/>
  <c r="N34" i="90"/>
  <c r="N33" i="90"/>
  <c r="N32" i="90"/>
  <c r="N31" i="90"/>
  <c r="N30" i="90"/>
  <c r="N29" i="90"/>
  <c r="N28" i="90"/>
  <c r="N27" i="90"/>
  <c r="N26" i="90"/>
  <c r="N25" i="90"/>
  <c r="N24" i="90"/>
  <c r="N23" i="90"/>
  <c r="N22" i="90"/>
  <c r="N21" i="90"/>
  <c r="N20" i="90"/>
  <c r="N19" i="90"/>
  <c r="N18" i="90"/>
  <c r="N17" i="90"/>
  <c r="N16" i="90"/>
  <c r="N15" i="90"/>
  <c r="N14" i="90"/>
  <c r="D50" i="90" a="1"/>
  <c r="D50" i="90" s="1"/>
  <c r="D37" i="90" a="1"/>
  <c r="D37" i="90" s="1"/>
  <c r="E5" i="90"/>
  <c r="D43" i="90" s="1" a="1"/>
  <c r="D43" i="90" s="1"/>
  <c r="I5" i="90"/>
  <c r="D53" i="90" s="1" a="1"/>
  <c r="D53" i="90" s="1"/>
  <c r="F4" i="90"/>
  <c r="Y41" i="89"/>
  <c r="Y40" i="89"/>
  <c r="Y39" i="89"/>
  <c r="Y38" i="89"/>
  <c r="Y37" i="89"/>
  <c r="Y36" i="89"/>
  <c r="Y35" i="89"/>
  <c r="Y34" i="89"/>
  <c r="Y33" i="89"/>
  <c r="Y32" i="89"/>
  <c r="Y31" i="89"/>
  <c r="Y30" i="89"/>
  <c r="Y29" i="89"/>
  <c r="Y28" i="89"/>
  <c r="Y27" i="89"/>
  <c r="Y26" i="89"/>
  <c r="Y25" i="89"/>
  <c r="Y24" i="89"/>
  <c r="Y23" i="89"/>
  <c r="Y22" i="89"/>
  <c r="Y21" i="89"/>
  <c r="Y20" i="89"/>
  <c r="Y19" i="89"/>
  <c r="Y18" i="89"/>
  <c r="Y17" i="89"/>
  <c r="Y16" i="89"/>
  <c r="N41" i="89"/>
  <c r="N40" i="89"/>
  <c r="N39" i="89"/>
  <c r="N38" i="89"/>
  <c r="N37" i="89"/>
  <c r="N36" i="89"/>
  <c r="N35" i="89"/>
  <c r="N34" i="89"/>
  <c r="N33" i="89"/>
  <c r="N32" i="89"/>
  <c r="N31" i="89"/>
  <c r="N30" i="89"/>
  <c r="N29" i="89"/>
  <c r="N28" i="89"/>
  <c r="N27" i="89"/>
  <c r="N26" i="89"/>
  <c r="N25" i="89"/>
  <c r="N24" i="89"/>
  <c r="N23" i="89"/>
  <c r="N22" i="89"/>
  <c r="N21" i="89"/>
  <c r="N20" i="89"/>
  <c r="N19" i="89"/>
  <c r="N18" i="89"/>
  <c r="N17" i="89"/>
  <c r="N16" i="89"/>
  <c r="N15" i="89"/>
  <c r="N14" i="89"/>
  <c r="D67" i="89" a="1"/>
  <c r="D67" i="89" s="1"/>
  <c r="D44" i="89" a="1"/>
  <c r="D44" i="89" s="1"/>
  <c r="I5" i="89"/>
  <c r="E5" i="89"/>
  <c r="D64" i="89" s="1" a="1"/>
  <c r="D64" i="89" s="1"/>
  <c r="F4" i="89"/>
  <c r="Y49" i="88"/>
  <c r="Y48" i="88"/>
  <c r="Y47" i="88"/>
  <c r="Y46" i="88"/>
  <c r="Y45" i="88"/>
  <c r="Y44" i="88"/>
  <c r="Y43" i="88"/>
  <c r="Y42" i="88"/>
  <c r="Y41" i="88"/>
  <c r="Y40" i="88"/>
  <c r="Y39" i="88"/>
  <c r="Y38" i="88"/>
  <c r="Y37" i="88"/>
  <c r="Y36" i="88"/>
  <c r="Y35" i="88"/>
  <c r="Y34" i="88"/>
  <c r="Y33" i="88"/>
  <c r="Y32" i="88"/>
  <c r="Y31" i="88"/>
  <c r="Y30" i="88"/>
  <c r="Y29" i="88"/>
  <c r="Y28" i="88"/>
  <c r="Y27" i="88"/>
  <c r="Y26" i="88"/>
  <c r="Y25" i="88"/>
  <c r="Y24" i="88"/>
  <c r="Y23" i="88"/>
  <c r="Y22" i="88"/>
  <c r="Y21" i="88"/>
  <c r="Y20" i="88"/>
  <c r="Y19" i="88"/>
  <c r="Y18" i="88"/>
  <c r="Y17" i="88"/>
  <c r="Y16" i="88"/>
  <c r="N49" i="88"/>
  <c r="N48" i="88"/>
  <c r="N47" i="88"/>
  <c r="N46" i="88"/>
  <c r="N45" i="88"/>
  <c r="N44" i="88"/>
  <c r="N43" i="88"/>
  <c r="N42" i="88"/>
  <c r="N41" i="88"/>
  <c r="N40" i="88"/>
  <c r="N39" i="88"/>
  <c r="N38" i="88"/>
  <c r="N37" i="88"/>
  <c r="N36" i="88"/>
  <c r="N35" i="88"/>
  <c r="N34" i="88"/>
  <c r="N33" i="88"/>
  <c r="N32" i="88"/>
  <c r="N31" i="88"/>
  <c r="N30" i="88"/>
  <c r="N29" i="88"/>
  <c r="N28" i="88"/>
  <c r="N27" i="88"/>
  <c r="N26" i="88"/>
  <c r="N25" i="88"/>
  <c r="N24" i="88"/>
  <c r="N23" i="88"/>
  <c r="N22" i="88"/>
  <c r="N21" i="88"/>
  <c r="N20" i="88"/>
  <c r="N19" i="88"/>
  <c r="N18" i="88"/>
  <c r="N17" i="88"/>
  <c r="N16" i="88"/>
  <c r="N15" i="88"/>
  <c r="N14" i="88"/>
  <c r="D52" i="88" a="1"/>
  <c r="G52" i="88" s="1"/>
  <c r="I5" i="88"/>
  <c r="D83" i="88" s="1" a="1"/>
  <c r="G83" i="88" s="1"/>
  <c r="E5" i="88"/>
  <c r="D65" i="88" s="1" a="1"/>
  <c r="D65" i="88" s="1"/>
  <c r="F4" i="88"/>
  <c r="Y44" i="85"/>
  <c r="Y43" i="85"/>
  <c r="Y42" i="85"/>
  <c r="Y41" i="85"/>
  <c r="Y40" i="85"/>
  <c r="Y39" i="85"/>
  <c r="Y38" i="85"/>
  <c r="Y37" i="85"/>
  <c r="Y36" i="85"/>
  <c r="Y35" i="85"/>
  <c r="Y34" i="85"/>
  <c r="Y33" i="85"/>
  <c r="Y32" i="85"/>
  <c r="Y31" i="85"/>
  <c r="Y30" i="85"/>
  <c r="Y29" i="85"/>
  <c r="Y28" i="85"/>
  <c r="Y27" i="85"/>
  <c r="Y26" i="85"/>
  <c r="Y25" i="85"/>
  <c r="Y24" i="85"/>
  <c r="Y23" i="85"/>
  <c r="Y22" i="85"/>
  <c r="Y21" i="85"/>
  <c r="Y20" i="85"/>
  <c r="Y19" i="85"/>
  <c r="Y18" i="85"/>
  <c r="Y17" i="85"/>
  <c r="E5" i="85"/>
  <c r="D69" i="85" s="1" a="1"/>
  <c r="D69" i="85" s="1"/>
  <c r="I5" i="85"/>
  <c r="D72" i="85" s="1" a="1"/>
  <c r="D72" i="85" s="1"/>
  <c r="F4" i="85"/>
  <c r="N44" i="85"/>
  <c r="N43" i="85"/>
  <c r="N42" i="85"/>
  <c r="N41" i="85"/>
  <c r="N40" i="85"/>
  <c r="N39" i="85"/>
  <c r="N38" i="85"/>
  <c r="N37" i="85"/>
  <c r="N36" i="85"/>
  <c r="N35" i="85"/>
  <c r="N34" i="85"/>
  <c r="N33" i="85"/>
  <c r="N32" i="85"/>
  <c r="N31" i="85"/>
  <c r="N30" i="85"/>
  <c r="N29" i="85"/>
  <c r="N28" i="85"/>
  <c r="N27" i="85"/>
  <c r="N26" i="85"/>
  <c r="N25" i="85"/>
  <c r="N24" i="85"/>
  <c r="N23" i="85"/>
  <c r="N22" i="85"/>
  <c r="N21" i="85"/>
  <c r="N20" i="85"/>
  <c r="N19" i="85"/>
  <c r="N18" i="85"/>
  <c r="N17" i="85"/>
  <c r="N16" i="85"/>
  <c r="N15" i="85"/>
  <c r="D52" i="89" l="1" a="1"/>
  <c r="G52" i="89" s="1"/>
  <c r="F42" i="95"/>
  <c r="I42" i="95"/>
  <c r="D42" i="95"/>
  <c r="E91" i="92"/>
  <c r="H91" i="92"/>
  <c r="I91" i="92"/>
  <c r="S122" i="143"/>
  <c r="S128" i="143" s="1"/>
  <c r="U128" i="143"/>
  <c r="D47" i="85" a="1"/>
  <c r="D47" i="85" s="1"/>
  <c r="D78" i="88" a="1"/>
  <c r="D78" i="88" s="1"/>
  <c r="D56" i="89" a="1"/>
  <c r="G56" i="89" s="1"/>
  <c r="I51" i="136"/>
  <c r="H51" i="136"/>
  <c r="W29" i="136" a="1"/>
  <c r="W29" i="136" s="1"/>
  <c r="W24" i="136" a="1"/>
  <c r="W24" i="136" s="1"/>
  <c r="W27" i="136" a="1"/>
  <c r="W27" i="136" s="1"/>
  <c r="D51" i="136"/>
  <c r="E51" i="136"/>
  <c r="W25" i="136" a="1"/>
  <c r="W25" i="136" s="1"/>
  <c r="D91" i="92"/>
  <c r="Y43" i="92"/>
  <c r="A85" i="92"/>
  <c r="Y44" i="92" s="1"/>
  <c r="U163" i="146"/>
  <c r="S157" i="146"/>
  <c r="S163" i="146" s="1"/>
  <c r="P168" i="146"/>
  <c r="U168" i="146" s="1"/>
  <c r="S168" i="146" s="1"/>
  <c r="P167" i="146"/>
  <c r="U167" i="146" s="1"/>
  <c r="S167" i="146" s="1"/>
  <c r="N164" i="146"/>
  <c r="P170" i="146"/>
  <c r="U170" i="146" s="1"/>
  <c r="S170" i="146" s="1"/>
  <c r="P166" i="146"/>
  <c r="U166" i="146" s="1"/>
  <c r="S166" i="146" s="1"/>
  <c r="P165" i="146"/>
  <c r="U165" i="146" s="1"/>
  <c r="P169" i="146"/>
  <c r="U169" i="146" s="1"/>
  <c r="S169" i="146" s="1"/>
  <c r="S155" i="146"/>
  <c r="G81" i="92"/>
  <c r="H82" i="92"/>
  <c r="I81" i="92"/>
  <c r="D81" i="92"/>
  <c r="G82" i="92"/>
  <c r="D82" i="92"/>
  <c r="E81" i="92"/>
  <c r="I82" i="92"/>
  <c r="F81" i="92"/>
  <c r="F82" i="92"/>
  <c r="E82" i="92"/>
  <c r="H81" i="92"/>
  <c r="D85" i="92"/>
  <c r="G89" i="92"/>
  <c r="E86" i="92"/>
  <c r="D88" i="92"/>
  <c r="F85" i="92"/>
  <c r="I87" i="92"/>
  <c r="H89" i="92"/>
  <c r="D87" i="92"/>
  <c r="G88" i="92"/>
  <c r="I88" i="92"/>
  <c r="G85" i="92"/>
  <c r="F87" i="92"/>
  <c r="I89" i="92"/>
  <c r="E87" i="92"/>
  <c r="D89" i="92"/>
  <c r="F86" i="92"/>
  <c r="E85" i="92"/>
  <c r="I86" i="92"/>
  <c r="H88" i="92"/>
  <c r="D86" i="92"/>
  <c r="H87" i="92"/>
  <c r="G87" i="92"/>
  <c r="E88" i="92"/>
  <c r="F89" i="92"/>
  <c r="H86" i="92"/>
  <c r="E89" i="92"/>
  <c r="G86" i="92"/>
  <c r="F88" i="92"/>
  <c r="H85" i="92"/>
  <c r="I85" i="92"/>
  <c r="D71" i="92"/>
  <c r="G73" i="92"/>
  <c r="F73" i="92"/>
  <c r="I73" i="92"/>
  <c r="E71" i="92"/>
  <c r="H71" i="92"/>
  <c r="F71" i="92"/>
  <c r="I72" i="92"/>
  <c r="H72" i="92"/>
  <c r="E73" i="92"/>
  <c r="H73" i="92"/>
  <c r="G71" i="92"/>
  <c r="F72" i="92"/>
  <c r="E72" i="92"/>
  <c r="D72" i="92"/>
  <c r="G72" i="92"/>
  <c r="D73" i="92"/>
  <c r="I71" i="92"/>
  <c r="D84" i="92"/>
  <c r="F84" i="92"/>
  <c r="I84" i="92"/>
  <c r="H84" i="92"/>
  <c r="E84" i="92"/>
  <c r="G84" i="92"/>
  <c r="D75" i="92"/>
  <c r="I78" i="92"/>
  <c r="E76" i="92"/>
  <c r="D78" i="92"/>
  <c r="F75" i="92"/>
  <c r="I77" i="92"/>
  <c r="E75" i="92"/>
  <c r="H77" i="92"/>
  <c r="I76" i="92"/>
  <c r="G78" i="92"/>
  <c r="H75" i="92"/>
  <c r="E78" i="92"/>
  <c r="G75" i="92"/>
  <c r="F77" i="92"/>
  <c r="I79" i="92"/>
  <c r="E77" i="92"/>
  <c r="H79" i="92"/>
  <c r="D77" i="92"/>
  <c r="G79" i="92"/>
  <c r="H78" i="92"/>
  <c r="F78" i="92"/>
  <c r="G77" i="92"/>
  <c r="F79" i="92"/>
  <c r="H76" i="92"/>
  <c r="E79" i="92"/>
  <c r="G76" i="92"/>
  <c r="D79" i="92"/>
  <c r="F76" i="92"/>
  <c r="I75" i="92"/>
  <c r="D76" i="92"/>
  <c r="U115" i="144"/>
  <c r="S109" i="144"/>
  <c r="S115" i="144" s="1"/>
  <c r="Z124" i="144"/>
  <c r="P122" i="144"/>
  <c r="U122" i="144" s="1"/>
  <c r="S122" i="144" s="1"/>
  <c r="P118" i="144"/>
  <c r="U118" i="144" s="1"/>
  <c r="S118" i="144" s="1"/>
  <c r="P121" i="144"/>
  <c r="U121" i="144" s="1"/>
  <c r="S121" i="144" s="1"/>
  <c r="P117" i="144"/>
  <c r="U117" i="144" s="1"/>
  <c r="P120" i="144"/>
  <c r="U120" i="144" s="1"/>
  <c r="S120" i="144" s="1"/>
  <c r="P119" i="144"/>
  <c r="U119" i="144" s="1"/>
  <c r="S119" i="144" s="1"/>
  <c r="N116" i="144"/>
  <c r="U120" i="143"/>
  <c r="S114" i="143"/>
  <c r="S120" i="143" s="1"/>
  <c r="U118" i="142"/>
  <c r="S112" i="142"/>
  <c r="S118" i="142" s="1"/>
  <c r="P107" i="141"/>
  <c r="U107" i="141" s="1"/>
  <c r="S107" i="141" s="1"/>
  <c r="P106" i="141"/>
  <c r="U106" i="141" s="1"/>
  <c r="S106" i="141" s="1"/>
  <c r="N103" i="141"/>
  <c r="Z111" i="141"/>
  <c r="P109" i="141"/>
  <c r="U109" i="141" s="1"/>
  <c r="S109" i="141" s="1"/>
  <c r="P105" i="141"/>
  <c r="U105" i="141" s="1"/>
  <c r="S105" i="141" s="1"/>
  <c r="P104" i="141"/>
  <c r="U104" i="141" s="1"/>
  <c r="P108" i="141"/>
  <c r="U108" i="141" s="1"/>
  <c r="S108" i="141" s="1"/>
  <c r="U102" i="141"/>
  <c r="S96" i="141"/>
  <c r="S102" i="141" s="1"/>
  <c r="W48" i="141"/>
  <c r="W49" i="141" s="1"/>
  <c r="W14" i="141"/>
  <c r="S102" i="140"/>
  <c r="S108" i="140" s="1"/>
  <c r="U108" i="140"/>
  <c r="Z117" i="140"/>
  <c r="P114" i="140"/>
  <c r="U114" i="140" s="1"/>
  <c r="S114" i="140" s="1"/>
  <c r="P110" i="140"/>
  <c r="U110" i="140" s="1"/>
  <c r="P113" i="140"/>
  <c r="U113" i="140" s="1"/>
  <c r="S113" i="140" s="1"/>
  <c r="P115" i="140"/>
  <c r="U115" i="140" s="1"/>
  <c r="S115" i="140" s="1"/>
  <c r="P112" i="140"/>
  <c r="U112" i="140" s="1"/>
  <c r="S112" i="140" s="1"/>
  <c r="P111" i="140"/>
  <c r="U111" i="140" s="1"/>
  <c r="S111" i="140" s="1"/>
  <c r="N109" i="140"/>
  <c r="W46" i="140"/>
  <c r="W14" i="140"/>
  <c r="U118" i="139"/>
  <c r="S112" i="139"/>
  <c r="S118" i="139" s="1"/>
  <c r="W48" i="139"/>
  <c r="W14" i="139"/>
  <c r="Z127" i="139"/>
  <c r="P125" i="139"/>
  <c r="U125" i="139" s="1"/>
  <c r="S125" i="139" s="1"/>
  <c r="P121" i="139"/>
  <c r="U121" i="139" s="1"/>
  <c r="S121" i="139" s="1"/>
  <c r="P124" i="139"/>
  <c r="U124" i="139" s="1"/>
  <c r="S124" i="139" s="1"/>
  <c r="P120" i="139"/>
  <c r="U120" i="139" s="1"/>
  <c r="P123" i="139"/>
  <c r="U123" i="139" s="1"/>
  <c r="S123" i="139" s="1"/>
  <c r="P122" i="139"/>
  <c r="U122" i="139" s="1"/>
  <c r="S122" i="139" s="1"/>
  <c r="N119" i="139"/>
  <c r="W48" i="138"/>
  <c r="W49" i="138" s="1"/>
  <c r="W47" i="138" s="1"/>
  <c r="W13" i="138" s="1"/>
  <c r="U102" i="138"/>
  <c r="S96" i="138"/>
  <c r="S102" i="138" s="1"/>
  <c r="Z111" i="138"/>
  <c r="P109" i="138"/>
  <c r="U109" i="138" s="1"/>
  <c r="S109" i="138" s="1"/>
  <c r="P105" i="138"/>
  <c r="U105" i="138" s="1"/>
  <c r="S105" i="138" s="1"/>
  <c r="P108" i="138"/>
  <c r="U108" i="138" s="1"/>
  <c r="S108" i="138" s="1"/>
  <c r="P104" i="138"/>
  <c r="U104" i="138" s="1"/>
  <c r="P107" i="138"/>
  <c r="U107" i="138" s="1"/>
  <c r="S107" i="138" s="1"/>
  <c r="P106" i="138"/>
  <c r="U106" i="138" s="1"/>
  <c r="S106" i="138" s="1"/>
  <c r="N103" i="138"/>
  <c r="W14" i="137"/>
  <c r="U102" i="137"/>
  <c r="S96" i="137"/>
  <c r="S102" i="137" s="1"/>
  <c r="Z111" i="137"/>
  <c r="P109" i="137"/>
  <c r="U109" i="137" s="1"/>
  <c r="S109" i="137" s="1"/>
  <c r="P105" i="137"/>
  <c r="U105" i="137" s="1"/>
  <c r="S105" i="137" s="1"/>
  <c r="P108" i="137"/>
  <c r="U108" i="137" s="1"/>
  <c r="S108" i="137" s="1"/>
  <c r="P104" i="137"/>
  <c r="U104" i="137" s="1"/>
  <c r="P107" i="137"/>
  <c r="U107" i="137" s="1"/>
  <c r="S107" i="137" s="1"/>
  <c r="P106" i="137"/>
  <c r="U106" i="137" s="1"/>
  <c r="S106" i="137" s="1"/>
  <c r="N103" i="137"/>
  <c r="W49" i="137"/>
  <c r="W47" i="137" s="1"/>
  <c r="G42" i="95"/>
  <c r="E42" i="95"/>
  <c r="W22" i="136" a="1"/>
  <c r="W22" i="136" s="1"/>
  <c r="W33" i="136" a="1"/>
  <c r="W33" i="136" s="1"/>
  <c r="F51" i="136"/>
  <c r="U91" i="136"/>
  <c r="I45" i="136"/>
  <c r="W17" i="136" a="1"/>
  <c r="W17" i="136" s="1"/>
  <c r="S91" i="136"/>
  <c r="W19" i="136" a="1"/>
  <c r="W19" i="136" s="1"/>
  <c r="U99" i="136"/>
  <c r="P106" i="136"/>
  <c r="U106" i="136" s="1"/>
  <c r="S106" i="136" s="1"/>
  <c r="W18" i="136" a="1"/>
  <c r="W18" i="136" s="1"/>
  <c r="H45" i="136"/>
  <c r="S99" i="136"/>
  <c r="W31" i="136" a="1"/>
  <c r="W31" i="136" s="1"/>
  <c r="W35" i="136" a="1"/>
  <c r="W35" i="136" s="1"/>
  <c r="W20" i="136" a="1"/>
  <c r="W20" i="136" s="1"/>
  <c r="H66" i="136"/>
  <c r="G66" i="136"/>
  <c r="W39" i="136"/>
  <c r="E66" i="136"/>
  <c r="P111" i="136"/>
  <c r="U111" i="136" s="1"/>
  <c r="S111" i="136" s="1"/>
  <c r="N108" i="136"/>
  <c r="Z116" i="136"/>
  <c r="P114" i="136"/>
  <c r="U114" i="136" s="1"/>
  <c r="S114" i="136" s="1"/>
  <c r="P110" i="136"/>
  <c r="U110" i="136" s="1"/>
  <c r="S110" i="136" s="1"/>
  <c r="P113" i="136"/>
  <c r="U113" i="136" s="1"/>
  <c r="S113" i="136" s="1"/>
  <c r="P109" i="136"/>
  <c r="U109" i="136" s="1"/>
  <c r="P112" i="136"/>
  <c r="U112" i="136" s="1"/>
  <c r="S112" i="136" s="1"/>
  <c r="W38" i="136" a="1"/>
  <c r="W38" i="136" s="1"/>
  <c r="D66" i="136"/>
  <c r="W37" i="136" a="1"/>
  <c r="W37" i="136" s="1"/>
  <c r="S101" i="136"/>
  <c r="U83" i="136"/>
  <c r="S77" i="136"/>
  <c r="I66" i="136"/>
  <c r="F66" i="136"/>
  <c r="Y36" i="92"/>
  <c r="A78" i="92"/>
  <c r="I56" i="90"/>
  <c r="G55" i="90"/>
  <c r="E54" i="90"/>
  <c r="D56" i="90"/>
  <c r="H54" i="90"/>
  <c r="F53" i="90"/>
  <c r="G56" i="90"/>
  <c r="I55" i="90"/>
  <c r="E55" i="90"/>
  <c r="G54" i="90"/>
  <c r="I53" i="90"/>
  <c r="E53" i="90"/>
  <c r="E56" i="90"/>
  <c r="I54" i="90"/>
  <c r="G53" i="90"/>
  <c r="H56" i="90"/>
  <c r="F55" i="90"/>
  <c r="D54" i="90"/>
  <c r="F56" i="90"/>
  <c r="H55" i="90"/>
  <c r="D55" i="90"/>
  <c r="F54" i="90"/>
  <c r="H53" i="90"/>
  <c r="E51" i="90"/>
  <c r="F50" i="90"/>
  <c r="G51" i="90"/>
  <c r="I50" i="90"/>
  <c r="E50" i="90"/>
  <c r="I51" i="90"/>
  <c r="G50" i="90"/>
  <c r="H51" i="90"/>
  <c r="D51" i="90"/>
  <c r="F51" i="90"/>
  <c r="H50" i="90"/>
  <c r="I48" i="90"/>
  <c r="G47" i="90"/>
  <c r="E46" i="90"/>
  <c r="E44" i="90"/>
  <c r="H48" i="90"/>
  <c r="F47" i="90"/>
  <c r="D46" i="90"/>
  <c r="F45" i="90"/>
  <c r="H44" i="90"/>
  <c r="F43" i="90"/>
  <c r="G48" i="90"/>
  <c r="I47" i="90"/>
  <c r="E47" i="90"/>
  <c r="G46" i="90"/>
  <c r="I45" i="90"/>
  <c r="E45" i="90"/>
  <c r="G44" i="90"/>
  <c r="I43" i="90"/>
  <c r="E43" i="90"/>
  <c r="E48" i="90"/>
  <c r="I46" i="90"/>
  <c r="G45" i="90"/>
  <c r="I44" i="90"/>
  <c r="G43" i="90"/>
  <c r="D48" i="90"/>
  <c r="H46" i="90"/>
  <c r="D44" i="90"/>
  <c r="F48" i="90"/>
  <c r="H47" i="90"/>
  <c r="D47" i="90"/>
  <c r="F46" i="90"/>
  <c r="H45" i="90"/>
  <c r="D45" i="90"/>
  <c r="F44" i="90"/>
  <c r="H43" i="90"/>
  <c r="G41" i="90"/>
  <c r="I40" i="90"/>
  <c r="G39" i="90"/>
  <c r="I38" i="90"/>
  <c r="G37" i="90"/>
  <c r="H40" i="90"/>
  <c r="F39" i="90"/>
  <c r="H38" i="90"/>
  <c r="D38" i="90"/>
  <c r="I41" i="90"/>
  <c r="E41" i="90"/>
  <c r="G40" i="90"/>
  <c r="I39" i="90"/>
  <c r="E39" i="90"/>
  <c r="G38" i="90"/>
  <c r="I37" i="90"/>
  <c r="E37" i="90"/>
  <c r="E40" i="90"/>
  <c r="E38" i="90"/>
  <c r="F41" i="90"/>
  <c r="D40" i="90"/>
  <c r="F37" i="90"/>
  <c r="H41" i="90"/>
  <c r="D41" i="90"/>
  <c r="F40" i="90"/>
  <c r="H39" i="90"/>
  <c r="D39" i="90"/>
  <c r="F38" i="90"/>
  <c r="H37" i="90"/>
  <c r="I70" i="89"/>
  <c r="G69" i="89"/>
  <c r="I68" i="89"/>
  <c r="E68" i="89"/>
  <c r="H70" i="89"/>
  <c r="D70" i="89"/>
  <c r="F69" i="89"/>
  <c r="H68" i="89"/>
  <c r="F67" i="89"/>
  <c r="G70" i="89"/>
  <c r="I69" i="89"/>
  <c r="E69" i="89"/>
  <c r="G68" i="89"/>
  <c r="I67" i="89"/>
  <c r="E67" i="89"/>
  <c r="E70" i="89"/>
  <c r="G67" i="89"/>
  <c r="D68" i="89"/>
  <c r="F70" i="89"/>
  <c r="H69" i="89"/>
  <c r="D69" i="89"/>
  <c r="F68" i="89"/>
  <c r="H67" i="89"/>
  <c r="I65" i="89"/>
  <c r="G64" i="89"/>
  <c r="H65" i="89"/>
  <c r="F64" i="89"/>
  <c r="G65" i="89"/>
  <c r="I64" i="89"/>
  <c r="E64" i="89"/>
  <c r="E65" i="89"/>
  <c r="D65" i="89"/>
  <c r="F65" i="89"/>
  <c r="H64" i="89"/>
  <c r="H61" i="89"/>
  <c r="D59" i="89"/>
  <c r="F56" i="89"/>
  <c r="I60" i="89"/>
  <c r="E58" i="89"/>
  <c r="H62" i="89"/>
  <c r="D60" i="89"/>
  <c r="F57" i="89"/>
  <c r="I61" i="89"/>
  <c r="E59" i="89"/>
  <c r="F54" i="89"/>
  <c r="H53" i="89"/>
  <c r="D53" i="89"/>
  <c r="F52" i="89"/>
  <c r="I54" i="89"/>
  <c r="E54" i="89"/>
  <c r="G53" i="89"/>
  <c r="I52" i="89"/>
  <c r="E52" i="89"/>
  <c r="H54" i="89"/>
  <c r="D54" i="89"/>
  <c r="F53" i="89"/>
  <c r="H52" i="89"/>
  <c r="D52" i="89"/>
  <c r="G54" i="89"/>
  <c r="I53" i="89"/>
  <c r="E53" i="89"/>
  <c r="G50" i="89"/>
  <c r="I49" i="89"/>
  <c r="E49" i="89"/>
  <c r="G48" i="89"/>
  <c r="I47" i="89"/>
  <c r="E47" i="89"/>
  <c r="G46" i="89"/>
  <c r="I45" i="89"/>
  <c r="E45" i="89"/>
  <c r="G44" i="89"/>
  <c r="H49" i="89"/>
  <c r="F48" i="89"/>
  <c r="D47" i="89"/>
  <c r="H45" i="89"/>
  <c r="F44" i="89"/>
  <c r="I50" i="89"/>
  <c r="E50" i="89"/>
  <c r="G49" i="89"/>
  <c r="I48" i="89"/>
  <c r="E48" i="89"/>
  <c r="G47" i="89"/>
  <c r="I46" i="89"/>
  <c r="E46" i="89"/>
  <c r="G45" i="89"/>
  <c r="I44" i="89"/>
  <c r="E44" i="89"/>
  <c r="F50" i="89"/>
  <c r="D49" i="89"/>
  <c r="H47" i="89"/>
  <c r="F46" i="89"/>
  <c r="D45" i="89"/>
  <c r="H50" i="89"/>
  <c r="D50" i="89"/>
  <c r="F49" i="89"/>
  <c r="H48" i="89"/>
  <c r="D48" i="89"/>
  <c r="F47" i="89"/>
  <c r="H46" i="89"/>
  <c r="D46" i="89"/>
  <c r="F45" i="89"/>
  <c r="H44" i="89"/>
  <c r="D62" i="88" a="1"/>
  <c r="D62" i="88" s="1"/>
  <c r="H86" i="88"/>
  <c r="D86" i="88"/>
  <c r="F85" i="88"/>
  <c r="H84" i="88"/>
  <c r="D84" i="88"/>
  <c r="F83" i="88"/>
  <c r="G86" i="88"/>
  <c r="I85" i="88"/>
  <c r="E85" i="88"/>
  <c r="G84" i="88"/>
  <c r="I83" i="88"/>
  <c r="E83" i="88"/>
  <c r="F86" i="88"/>
  <c r="H85" i="88"/>
  <c r="D85" i="88"/>
  <c r="F84" i="88"/>
  <c r="H83" i="88"/>
  <c r="D83" i="88"/>
  <c r="I86" i="88"/>
  <c r="E86" i="88"/>
  <c r="G85" i="88"/>
  <c r="I84" i="88"/>
  <c r="E84" i="88"/>
  <c r="I79" i="88"/>
  <c r="E79" i="88"/>
  <c r="H79" i="88"/>
  <c r="F78" i="88"/>
  <c r="G79" i="88"/>
  <c r="I78" i="88"/>
  <c r="E78" i="88"/>
  <c r="G78" i="88"/>
  <c r="D79" i="88"/>
  <c r="F79" i="88"/>
  <c r="H78" i="88"/>
  <c r="E76" i="88"/>
  <c r="I74" i="88"/>
  <c r="G73" i="88"/>
  <c r="E72" i="88"/>
  <c r="I70" i="88"/>
  <c r="G69" i="88"/>
  <c r="E68" i="88"/>
  <c r="E66" i="88"/>
  <c r="H76" i="88"/>
  <c r="F75" i="88"/>
  <c r="D74" i="88"/>
  <c r="H72" i="88"/>
  <c r="F71" i="88"/>
  <c r="D70" i="88"/>
  <c r="H68" i="88"/>
  <c r="F67" i="88"/>
  <c r="F65" i="88"/>
  <c r="G76" i="88"/>
  <c r="I75" i="88"/>
  <c r="E75" i="88"/>
  <c r="G74" i="88"/>
  <c r="I73" i="88"/>
  <c r="E73" i="88"/>
  <c r="G72" i="88"/>
  <c r="I71" i="88"/>
  <c r="E71" i="88"/>
  <c r="G70" i="88"/>
  <c r="I69" i="88"/>
  <c r="E69" i="88"/>
  <c r="G68" i="88"/>
  <c r="I67" i="88"/>
  <c r="E67" i="88"/>
  <c r="G66" i="88"/>
  <c r="I65" i="88"/>
  <c r="E65" i="88"/>
  <c r="I76" i="88"/>
  <c r="G75" i="88"/>
  <c r="E74" i="88"/>
  <c r="I72" i="88"/>
  <c r="G71" i="88"/>
  <c r="E70" i="88"/>
  <c r="I68" i="88"/>
  <c r="G67" i="88"/>
  <c r="I66" i="88"/>
  <c r="G65" i="88"/>
  <c r="D76" i="88"/>
  <c r="H74" i="88"/>
  <c r="F73" i="88"/>
  <c r="D72" i="88"/>
  <c r="H70" i="88"/>
  <c r="F69" i="88"/>
  <c r="D68" i="88"/>
  <c r="H66" i="88"/>
  <c r="D66" i="88"/>
  <c r="F76" i="88"/>
  <c r="H75" i="88"/>
  <c r="D75" i="88"/>
  <c r="F74" i="88"/>
  <c r="H73" i="88"/>
  <c r="D73" i="88"/>
  <c r="F72" i="88"/>
  <c r="H71" i="88"/>
  <c r="D71" i="88"/>
  <c r="F70" i="88"/>
  <c r="H69" i="88"/>
  <c r="D69" i="88"/>
  <c r="F68" i="88"/>
  <c r="H67" i="88"/>
  <c r="D67" i="88"/>
  <c r="F66" i="88"/>
  <c r="H65" i="88"/>
  <c r="I63" i="88"/>
  <c r="F62" i="88"/>
  <c r="E62" i="88"/>
  <c r="D63" i="88"/>
  <c r="H62" i="88"/>
  <c r="F60" i="88"/>
  <c r="H59" i="88"/>
  <c r="D59" i="88"/>
  <c r="F58" i="88"/>
  <c r="H57" i="88"/>
  <c r="D57" i="88"/>
  <c r="F56" i="88"/>
  <c r="H55" i="88"/>
  <c r="D55" i="88"/>
  <c r="F54" i="88"/>
  <c r="H53" i="88"/>
  <c r="D53" i="88"/>
  <c r="F52" i="88"/>
  <c r="I60" i="88"/>
  <c r="E60" i="88"/>
  <c r="G59" i="88"/>
  <c r="I58" i="88"/>
  <c r="E58" i="88"/>
  <c r="G57" i="88"/>
  <c r="I56" i="88"/>
  <c r="E56" i="88"/>
  <c r="G55" i="88"/>
  <c r="I54" i="88"/>
  <c r="E54" i="88"/>
  <c r="G53" i="88"/>
  <c r="I52" i="88"/>
  <c r="E52" i="88"/>
  <c r="H60" i="88"/>
  <c r="D60" i="88"/>
  <c r="F59" i="88"/>
  <c r="H58" i="88"/>
  <c r="D58" i="88"/>
  <c r="F57" i="88"/>
  <c r="H56" i="88"/>
  <c r="D56" i="88"/>
  <c r="F55" i="88"/>
  <c r="H54" i="88"/>
  <c r="D54" i="88"/>
  <c r="F53" i="88"/>
  <c r="H52" i="88"/>
  <c r="D52" i="88"/>
  <c r="G60" i="88"/>
  <c r="I59" i="88"/>
  <c r="E59" i="88"/>
  <c r="G58" i="88"/>
  <c r="I57" i="88"/>
  <c r="E57" i="88"/>
  <c r="G56" i="88"/>
  <c r="I55" i="88"/>
  <c r="E55" i="88"/>
  <c r="G54" i="88"/>
  <c r="I53" i="88"/>
  <c r="E53" i="88"/>
  <c r="D54" i="85" a="1"/>
  <c r="D54" i="85" s="1"/>
  <c r="E75" i="85"/>
  <c r="I73" i="85"/>
  <c r="E73" i="85"/>
  <c r="D75" i="85"/>
  <c r="H73" i="85"/>
  <c r="F72" i="85"/>
  <c r="G75" i="85"/>
  <c r="I74" i="85"/>
  <c r="E74" i="85"/>
  <c r="G73" i="85"/>
  <c r="I72" i="85"/>
  <c r="E72" i="85"/>
  <c r="I75" i="85"/>
  <c r="G74" i="85"/>
  <c r="G72" i="85"/>
  <c r="H75" i="85"/>
  <c r="F74" i="85"/>
  <c r="D73" i="85"/>
  <c r="F75" i="85"/>
  <c r="H74" i="85"/>
  <c r="D74" i="85"/>
  <c r="F73" i="85"/>
  <c r="H72" i="85"/>
  <c r="I70" i="85"/>
  <c r="E70" i="85"/>
  <c r="G69" i="85"/>
  <c r="H70" i="85"/>
  <c r="D70" i="85"/>
  <c r="F69" i="85"/>
  <c r="G70" i="85"/>
  <c r="I69" i="85"/>
  <c r="E69" i="85"/>
  <c r="F70" i="85"/>
  <c r="H69" i="85"/>
  <c r="E52" i="85"/>
  <c r="I50" i="85"/>
  <c r="G49" i="85"/>
  <c r="E48" i="85"/>
  <c r="F51" i="85"/>
  <c r="F49" i="85"/>
  <c r="I51" i="85"/>
  <c r="I49" i="85"/>
  <c r="E49" i="85"/>
  <c r="G48" i="85"/>
  <c r="I47" i="85"/>
  <c r="E47" i="85"/>
  <c r="I52" i="85"/>
  <c r="G51" i="85"/>
  <c r="E50" i="85"/>
  <c r="I48" i="85"/>
  <c r="G47" i="85"/>
  <c r="H52" i="85"/>
  <c r="D52" i="85"/>
  <c r="H50" i="85"/>
  <c r="D50" i="85"/>
  <c r="H48" i="85"/>
  <c r="D48" i="85"/>
  <c r="F47" i="85"/>
  <c r="G52" i="85"/>
  <c r="E51" i="85"/>
  <c r="G50" i="85"/>
  <c r="F52" i="85"/>
  <c r="H51" i="85"/>
  <c r="D51" i="85"/>
  <c r="F50" i="85"/>
  <c r="H49" i="85"/>
  <c r="D49" i="85"/>
  <c r="F48" i="85"/>
  <c r="H47" i="85"/>
  <c r="AI37" i="128"/>
  <c r="AI36" i="128"/>
  <c r="AI35" i="128"/>
  <c r="AI34" i="128"/>
  <c r="AI33" i="128"/>
  <c r="AI32" i="128"/>
  <c r="AI31" i="128"/>
  <c r="AI30" i="128"/>
  <c r="AI29" i="128"/>
  <c r="AI28" i="128"/>
  <c r="AI27" i="128"/>
  <c r="AI26" i="128"/>
  <c r="AI25" i="128"/>
  <c r="AI24" i="128"/>
  <c r="AI23" i="128"/>
  <c r="AI22" i="128"/>
  <c r="AI21" i="128"/>
  <c r="AI20" i="128"/>
  <c r="AI19" i="128"/>
  <c r="AI18" i="128"/>
  <c r="AI17" i="128"/>
  <c r="AI16" i="128"/>
  <c r="AI15" i="128"/>
  <c r="I5" i="128"/>
  <c r="E5" i="128"/>
  <c r="F4" i="128"/>
  <c r="Y43" i="86"/>
  <c r="Y42" i="86"/>
  <c r="Y41" i="86"/>
  <c r="Y40" i="86"/>
  <c r="Y39" i="86"/>
  <c r="Y38" i="86"/>
  <c r="Y37" i="86"/>
  <c r="Y36" i="86"/>
  <c r="Y35" i="86"/>
  <c r="Y34" i="86"/>
  <c r="Y33" i="86"/>
  <c r="Y32" i="86"/>
  <c r="Y31" i="86"/>
  <c r="Y30" i="86"/>
  <c r="Y29" i="86"/>
  <c r="Y28" i="86"/>
  <c r="Y27" i="86"/>
  <c r="Y26" i="86"/>
  <c r="Y25" i="86"/>
  <c r="Y24" i="86"/>
  <c r="Y23" i="86"/>
  <c r="Y22" i="86"/>
  <c r="Y21" i="86"/>
  <c r="Y20" i="86"/>
  <c r="Y19" i="86"/>
  <c r="Y18" i="86"/>
  <c r="Y17" i="86"/>
  <c r="Y16" i="86"/>
  <c r="Y15" i="86"/>
  <c r="Y14" i="86"/>
  <c r="N43" i="86"/>
  <c r="N42" i="86"/>
  <c r="N41" i="86"/>
  <c r="N40" i="86"/>
  <c r="N39" i="86"/>
  <c r="N38" i="86"/>
  <c r="N37" i="86"/>
  <c r="N36" i="86"/>
  <c r="N35" i="86"/>
  <c r="N34" i="86"/>
  <c r="N33" i="86"/>
  <c r="N32" i="86"/>
  <c r="N31" i="86"/>
  <c r="N30" i="86"/>
  <c r="N29" i="86"/>
  <c r="N28" i="86"/>
  <c r="N27" i="86"/>
  <c r="N26" i="86"/>
  <c r="N25" i="86"/>
  <c r="N24" i="86"/>
  <c r="N23" i="86"/>
  <c r="N22" i="86"/>
  <c r="N21" i="86"/>
  <c r="N20" i="86"/>
  <c r="N19" i="86"/>
  <c r="N18" i="86"/>
  <c r="N17" i="86"/>
  <c r="N16" i="86"/>
  <c r="N15" i="86"/>
  <c r="N14" i="86"/>
  <c r="N13" i="86"/>
  <c r="N12" i="86"/>
  <c r="D73" i="86" a="1"/>
  <c r="D73" i="86" s="1"/>
  <c r="I5" i="86"/>
  <c r="D70" i="86" a="1"/>
  <c r="D70" i="86" s="1"/>
  <c r="D52" i="86" a="1"/>
  <c r="G52" i="86" s="1"/>
  <c r="D46" i="86" a="1"/>
  <c r="D46" i="86" s="1"/>
  <c r="E5" i="86"/>
  <c r="D5" i="84"/>
  <c r="Y47" i="84"/>
  <c r="Y46" i="84"/>
  <c r="Y45" i="84"/>
  <c r="Y44" i="84"/>
  <c r="Y43" i="84"/>
  <c r="Y42" i="84"/>
  <c r="Y41" i="84"/>
  <c r="Y40" i="84"/>
  <c r="Y39" i="84"/>
  <c r="Y38" i="84"/>
  <c r="Y37" i="84"/>
  <c r="Y36" i="84"/>
  <c r="Y35" i="84"/>
  <c r="Y34" i="84"/>
  <c r="Y33" i="84"/>
  <c r="Y32" i="84"/>
  <c r="Y31" i="84"/>
  <c r="Y30" i="84"/>
  <c r="Y29" i="84"/>
  <c r="Y28" i="84"/>
  <c r="Y27" i="84"/>
  <c r="Y26" i="84"/>
  <c r="Y25" i="84"/>
  <c r="Y24" i="84"/>
  <c r="Y23" i="84"/>
  <c r="Y22" i="84"/>
  <c r="Y21" i="84"/>
  <c r="Y20" i="84"/>
  <c r="Y19" i="84"/>
  <c r="N47" i="84"/>
  <c r="N46" i="84"/>
  <c r="N45" i="84"/>
  <c r="N44" i="84"/>
  <c r="N43" i="84"/>
  <c r="N42" i="84"/>
  <c r="N41" i="84"/>
  <c r="N40" i="84"/>
  <c r="N39" i="84"/>
  <c r="N38" i="84"/>
  <c r="N37" i="84"/>
  <c r="N36" i="84"/>
  <c r="N35" i="84"/>
  <c r="N34" i="84"/>
  <c r="N33" i="84"/>
  <c r="N32" i="84"/>
  <c r="N31" i="84"/>
  <c r="N30" i="84"/>
  <c r="N29" i="84"/>
  <c r="N28" i="84"/>
  <c r="N27" i="84"/>
  <c r="N26" i="84"/>
  <c r="N25" i="84"/>
  <c r="N24" i="84"/>
  <c r="N23" i="84"/>
  <c r="N22" i="84"/>
  <c r="N21" i="84"/>
  <c r="N20" i="84"/>
  <c r="N19" i="84"/>
  <c r="N18" i="84"/>
  <c r="N17" i="84"/>
  <c r="F63" i="88" l="1"/>
  <c r="I62" i="88"/>
  <c r="E57" i="89"/>
  <c r="I59" i="89"/>
  <c r="G62" i="89"/>
  <c r="D58" i="89"/>
  <c r="H60" i="89"/>
  <c r="E56" i="89"/>
  <c r="I58" i="89"/>
  <c r="G61" i="89"/>
  <c r="D57" i="89"/>
  <c r="H59" i="89"/>
  <c r="F62" i="89"/>
  <c r="I57" i="89"/>
  <c r="G60" i="89"/>
  <c r="D56" i="89"/>
  <c r="H58" i="89"/>
  <c r="F61" i="89"/>
  <c r="I56" i="89"/>
  <c r="G59" i="89"/>
  <c r="E62" i="89"/>
  <c r="H57" i="89"/>
  <c r="F60" i="89"/>
  <c r="E63" i="88"/>
  <c r="H63" i="88"/>
  <c r="G58" i="89"/>
  <c r="E61" i="89"/>
  <c r="H56" i="89"/>
  <c r="F59" i="89"/>
  <c r="D62" i="89"/>
  <c r="G57" i="89"/>
  <c r="E60" i="89"/>
  <c r="I62" i="89"/>
  <c r="F58" i="89"/>
  <c r="D61" i="89"/>
  <c r="U171" i="146"/>
  <c r="S165" i="146"/>
  <c r="S171" i="146" s="1"/>
  <c r="U123" i="144"/>
  <c r="S117" i="144"/>
  <c r="S123" i="144" s="1"/>
  <c r="P128" i="144"/>
  <c r="U128" i="144" s="1"/>
  <c r="S128" i="144" s="1"/>
  <c r="P127" i="144"/>
  <c r="U127" i="144" s="1"/>
  <c r="S127" i="144" s="1"/>
  <c r="N124" i="144"/>
  <c r="P130" i="144"/>
  <c r="U130" i="144" s="1"/>
  <c r="S130" i="144" s="1"/>
  <c r="P126" i="144"/>
  <c r="U126" i="144" s="1"/>
  <c r="S126" i="144" s="1"/>
  <c r="P129" i="144"/>
  <c r="U129" i="144" s="1"/>
  <c r="S129" i="144" s="1"/>
  <c r="P125" i="144"/>
  <c r="U125" i="144" s="1"/>
  <c r="Z119" i="141"/>
  <c r="P117" i="141"/>
  <c r="U117" i="141" s="1"/>
  <c r="S117" i="141" s="1"/>
  <c r="P113" i="141"/>
  <c r="U113" i="141" s="1"/>
  <c r="S113" i="141" s="1"/>
  <c r="P116" i="141"/>
  <c r="U116" i="141" s="1"/>
  <c r="S116" i="141" s="1"/>
  <c r="P112" i="141"/>
  <c r="U112" i="141" s="1"/>
  <c r="P115" i="141"/>
  <c r="U115" i="141" s="1"/>
  <c r="S115" i="141" s="1"/>
  <c r="P114" i="141"/>
  <c r="U114" i="141" s="1"/>
  <c r="S114" i="141" s="1"/>
  <c r="N111" i="141"/>
  <c r="W47" i="141"/>
  <c r="W13" i="141" s="1"/>
  <c r="U110" i="141"/>
  <c r="S104" i="141"/>
  <c r="S110" i="141" s="1"/>
  <c r="Z125" i="140"/>
  <c r="P123" i="140"/>
  <c r="U123" i="140" s="1"/>
  <c r="S123" i="140" s="1"/>
  <c r="P119" i="140"/>
  <c r="U119" i="140" s="1"/>
  <c r="S119" i="140" s="1"/>
  <c r="P122" i="140"/>
  <c r="U122" i="140" s="1"/>
  <c r="S122" i="140" s="1"/>
  <c r="P118" i="140"/>
  <c r="U118" i="140" s="1"/>
  <c r="P121" i="140"/>
  <c r="U121" i="140" s="1"/>
  <c r="S121" i="140" s="1"/>
  <c r="N117" i="140"/>
  <c r="P120" i="140"/>
  <c r="U120" i="140" s="1"/>
  <c r="S120" i="140" s="1"/>
  <c r="W47" i="140"/>
  <c r="W45" i="140" s="1"/>
  <c r="W13" i="140" s="1"/>
  <c r="U116" i="140"/>
  <c r="S110" i="140"/>
  <c r="S116" i="140" s="1"/>
  <c r="S120" i="139"/>
  <c r="S126" i="139" s="1"/>
  <c r="U126" i="139"/>
  <c r="P131" i="139"/>
  <c r="U131" i="139" s="1"/>
  <c r="S131" i="139" s="1"/>
  <c r="P130" i="139"/>
  <c r="U130" i="139" s="1"/>
  <c r="S130" i="139" s="1"/>
  <c r="N127" i="139"/>
  <c r="P133" i="139"/>
  <c r="U133" i="139" s="1"/>
  <c r="S133" i="139" s="1"/>
  <c r="P132" i="139"/>
  <c r="U132" i="139" s="1"/>
  <c r="S132" i="139" s="1"/>
  <c r="Z135" i="139"/>
  <c r="P129" i="139"/>
  <c r="U129" i="139" s="1"/>
  <c r="S129" i="139" s="1"/>
  <c r="P128" i="139"/>
  <c r="U128" i="139" s="1"/>
  <c r="W49" i="139"/>
  <c r="W47" i="139" s="1"/>
  <c r="W13" i="139" s="1"/>
  <c r="U110" i="138"/>
  <c r="S104" i="138"/>
  <c r="S110" i="138" s="1"/>
  <c r="Z119" i="138"/>
  <c r="P117" i="138"/>
  <c r="U117" i="138" s="1"/>
  <c r="S117" i="138" s="1"/>
  <c r="P115" i="138"/>
  <c r="U115" i="138" s="1"/>
  <c r="S115" i="138" s="1"/>
  <c r="P114" i="138"/>
  <c r="U114" i="138" s="1"/>
  <c r="S114" i="138" s="1"/>
  <c r="N111" i="138"/>
  <c r="P113" i="138"/>
  <c r="U113" i="138" s="1"/>
  <c r="S113" i="138" s="1"/>
  <c r="P116" i="138"/>
  <c r="U116" i="138" s="1"/>
  <c r="S116" i="138" s="1"/>
  <c r="P112" i="138"/>
  <c r="U112" i="138" s="1"/>
  <c r="W13" i="137"/>
  <c r="U110" i="137"/>
  <c r="S104" i="137"/>
  <c r="S110" i="137" s="1"/>
  <c r="P115" i="137"/>
  <c r="U115" i="137" s="1"/>
  <c r="S115" i="137" s="1"/>
  <c r="P114" i="137"/>
  <c r="U114" i="137" s="1"/>
  <c r="S114" i="137" s="1"/>
  <c r="Z119" i="137"/>
  <c r="P117" i="137"/>
  <c r="U117" i="137" s="1"/>
  <c r="S117" i="137" s="1"/>
  <c r="P116" i="137"/>
  <c r="U116" i="137" s="1"/>
  <c r="S116" i="137" s="1"/>
  <c r="N111" i="137"/>
  <c r="P113" i="137"/>
  <c r="U113" i="137" s="1"/>
  <c r="S113" i="137" s="1"/>
  <c r="P112" i="137"/>
  <c r="U112" i="137" s="1"/>
  <c r="S107" i="136"/>
  <c r="W15" i="136"/>
  <c r="U107" i="136"/>
  <c r="W30" i="136" a="1"/>
  <c r="W30" i="136" s="1"/>
  <c r="W21" i="136" s="1"/>
  <c r="W36" i="136"/>
  <c r="S109" i="136"/>
  <c r="S115" i="136" s="1"/>
  <c r="U115" i="136"/>
  <c r="Z124" i="136"/>
  <c r="P121" i="136"/>
  <c r="U121" i="136" s="1"/>
  <c r="S121" i="136" s="1"/>
  <c r="P117" i="136"/>
  <c r="U117" i="136" s="1"/>
  <c r="P120" i="136"/>
  <c r="U120" i="136" s="1"/>
  <c r="S120" i="136" s="1"/>
  <c r="P119" i="136"/>
  <c r="U119" i="136" s="1"/>
  <c r="S119" i="136" s="1"/>
  <c r="N116" i="136"/>
  <c r="P118" i="136"/>
  <c r="U118" i="136" s="1"/>
  <c r="S118" i="136" s="1"/>
  <c r="P122" i="136"/>
  <c r="U122" i="136" s="1"/>
  <c r="S122" i="136" s="1"/>
  <c r="S83" i="136"/>
  <c r="Y37" i="92"/>
  <c r="A79" i="92"/>
  <c r="G62" i="88"/>
  <c r="G63" i="88"/>
  <c r="F55" i="85"/>
  <c r="H60" i="85"/>
  <c r="D66" i="85"/>
  <c r="D57" i="85"/>
  <c r="D67" i="85"/>
  <c r="E65" i="85"/>
  <c r="G57" i="85"/>
  <c r="I62" i="85"/>
  <c r="H59" i="85"/>
  <c r="I55" i="85"/>
  <c r="I65" i="85"/>
  <c r="D56" i="85"/>
  <c r="F61" i="85"/>
  <c r="H66" i="85"/>
  <c r="F54" i="85"/>
  <c r="D63" i="85"/>
  <c r="E61" i="85"/>
  <c r="G55" i="85"/>
  <c r="I60" i="85"/>
  <c r="I66" i="85"/>
  <c r="F66" i="85"/>
  <c r="I61" i="85"/>
  <c r="H56" i="85"/>
  <c r="F59" i="85"/>
  <c r="D62" i="85"/>
  <c r="H64" i="85"/>
  <c r="F67" i="85"/>
  <c r="D55" i="85"/>
  <c r="D59" i="85"/>
  <c r="F64" i="85"/>
  <c r="E57" i="85"/>
  <c r="G62" i="85"/>
  <c r="I67" i="85"/>
  <c r="E56" i="85"/>
  <c r="I58" i="85"/>
  <c r="G61" i="85"/>
  <c r="E64" i="85"/>
  <c r="H55" i="85"/>
  <c r="F62" i="85"/>
  <c r="H67" i="85"/>
  <c r="I57" i="85"/>
  <c r="E63" i="85"/>
  <c r="D58" i="85"/>
  <c r="F63" i="85"/>
  <c r="G67" i="85"/>
  <c r="H61" i="85"/>
  <c r="I59" i="85"/>
  <c r="I54" i="85"/>
  <c r="E60" i="85"/>
  <c r="G65" i="85"/>
  <c r="D65" i="85"/>
  <c r="G60" i="85"/>
  <c r="H58" i="85"/>
  <c r="D64" i="85"/>
  <c r="H57" i="85"/>
  <c r="E55" i="85"/>
  <c r="G66" i="85"/>
  <c r="E58" i="85"/>
  <c r="G63" i="85"/>
  <c r="D61" i="85"/>
  <c r="G56" i="85"/>
  <c r="E67" i="85"/>
  <c r="H54" i="85"/>
  <c r="F57" i="85"/>
  <c r="D60" i="85"/>
  <c r="H62" i="85"/>
  <c r="F65" i="85"/>
  <c r="E66" i="85"/>
  <c r="F56" i="85"/>
  <c r="F60" i="85"/>
  <c r="H65" i="85"/>
  <c r="G58" i="85"/>
  <c r="I63" i="85"/>
  <c r="E54" i="85"/>
  <c r="I56" i="85"/>
  <c r="G59" i="85"/>
  <c r="E62" i="85"/>
  <c r="I64" i="85"/>
  <c r="F58" i="85"/>
  <c r="H63" i="85"/>
  <c r="G54" i="85"/>
  <c r="E59" i="85"/>
  <c r="G64" i="85"/>
  <c r="E76" i="86"/>
  <c r="E74" i="86"/>
  <c r="I75" i="86"/>
  <c r="I76" i="86"/>
  <c r="G75" i="86"/>
  <c r="I74" i="86"/>
  <c r="G73" i="86"/>
  <c r="H76" i="86"/>
  <c r="D76" i="86"/>
  <c r="F75" i="86"/>
  <c r="H74" i="86"/>
  <c r="D74" i="86"/>
  <c r="F73" i="86"/>
  <c r="G76" i="86"/>
  <c r="E75" i="86"/>
  <c r="G74" i="86"/>
  <c r="I73" i="86"/>
  <c r="E73" i="86"/>
  <c r="F76" i="86"/>
  <c r="H75" i="86"/>
  <c r="D75" i="86"/>
  <c r="F74" i="86"/>
  <c r="H73" i="86"/>
  <c r="I71" i="86"/>
  <c r="G70" i="86"/>
  <c r="G71" i="86"/>
  <c r="I70" i="86"/>
  <c r="E70" i="86"/>
  <c r="E71" i="86"/>
  <c r="H71" i="86"/>
  <c r="D71" i="86"/>
  <c r="F70" i="86"/>
  <c r="F71" i="86"/>
  <c r="H70" i="86"/>
  <c r="F68" i="86"/>
  <c r="H67" i="86"/>
  <c r="D67" i="86"/>
  <c r="F66" i="86"/>
  <c r="H65" i="86"/>
  <c r="D65" i="86"/>
  <c r="F64" i="86"/>
  <c r="H63" i="86"/>
  <c r="D63" i="86"/>
  <c r="F62" i="86"/>
  <c r="H61" i="86"/>
  <c r="D61" i="86"/>
  <c r="F60" i="86"/>
  <c r="H59" i="86"/>
  <c r="D59" i="86"/>
  <c r="F58" i="86"/>
  <c r="H57" i="86"/>
  <c r="D57" i="86"/>
  <c r="F56" i="86"/>
  <c r="H55" i="86"/>
  <c r="D55" i="86"/>
  <c r="F54" i="86"/>
  <c r="H53" i="86"/>
  <c r="D53" i="86"/>
  <c r="F52" i="86"/>
  <c r="I68" i="86"/>
  <c r="E68" i="86"/>
  <c r="G67" i="86"/>
  <c r="I66" i="86"/>
  <c r="E66" i="86"/>
  <c r="G65" i="86"/>
  <c r="I64" i="86"/>
  <c r="E64" i="86"/>
  <c r="G63" i="86"/>
  <c r="I62" i="86"/>
  <c r="E62" i="86"/>
  <c r="G61" i="86"/>
  <c r="I60" i="86"/>
  <c r="E60" i="86"/>
  <c r="G59" i="86"/>
  <c r="I58" i="86"/>
  <c r="E58" i="86"/>
  <c r="G57" i="86"/>
  <c r="I56" i="86"/>
  <c r="E56" i="86"/>
  <c r="G55" i="86"/>
  <c r="I54" i="86"/>
  <c r="E54" i="86"/>
  <c r="G53" i="86"/>
  <c r="I52" i="86"/>
  <c r="E52" i="86"/>
  <c r="H68" i="86"/>
  <c r="D68" i="86"/>
  <c r="F67" i="86"/>
  <c r="H66" i="86"/>
  <c r="D66" i="86"/>
  <c r="F65" i="86"/>
  <c r="H64" i="86"/>
  <c r="D64" i="86"/>
  <c r="F63" i="86"/>
  <c r="H62" i="86"/>
  <c r="D62" i="86"/>
  <c r="F61" i="86"/>
  <c r="H60" i="86"/>
  <c r="D60" i="86"/>
  <c r="F59" i="86"/>
  <c r="H58" i="86"/>
  <c r="D58" i="86"/>
  <c r="F57" i="86"/>
  <c r="H56" i="86"/>
  <c r="D56" i="86"/>
  <c r="F55" i="86"/>
  <c r="H54" i="86"/>
  <c r="D54" i="86"/>
  <c r="F53" i="86"/>
  <c r="H52" i="86"/>
  <c r="D52" i="86"/>
  <c r="G68" i="86"/>
  <c r="I67" i="86"/>
  <c r="E67" i="86"/>
  <c r="G66" i="86"/>
  <c r="I65" i="86"/>
  <c r="E65" i="86"/>
  <c r="G64" i="86"/>
  <c r="I63" i="86"/>
  <c r="E63" i="86"/>
  <c r="G62" i="86"/>
  <c r="I61" i="86"/>
  <c r="E61" i="86"/>
  <c r="G60" i="86"/>
  <c r="I59" i="86"/>
  <c r="E59" i="86"/>
  <c r="G58" i="86"/>
  <c r="I57" i="86"/>
  <c r="E57" i="86"/>
  <c r="G56" i="86"/>
  <c r="I55" i="86"/>
  <c r="E55" i="86"/>
  <c r="G54" i="86"/>
  <c r="I53" i="86"/>
  <c r="E53" i="86"/>
  <c r="G50" i="86"/>
  <c r="I49" i="86"/>
  <c r="E49" i="86"/>
  <c r="G48" i="86"/>
  <c r="I47" i="86"/>
  <c r="E47" i="86"/>
  <c r="G46" i="86"/>
  <c r="F50" i="86"/>
  <c r="H49" i="86"/>
  <c r="D49" i="86"/>
  <c r="F48" i="86"/>
  <c r="H47" i="86"/>
  <c r="D47" i="86"/>
  <c r="F46" i="86"/>
  <c r="I50" i="86"/>
  <c r="E50" i="86"/>
  <c r="G49" i="86"/>
  <c r="I48" i="86"/>
  <c r="E48" i="86"/>
  <c r="G47" i="86"/>
  <c r="I46" i="86"/>
  <c r="E46" i="86"/>
  <c r="H50" i="86"/>
  <c r="D50" i="86"/>
  <c r="F49" i="86"/>
  <c r="H48" i="86"/>
  <c r="D48" i="86"/>
  <c r="F47" i="86"/>
  <c r="H46" i="86"/>
  <c r="E79" i="84"/>
  <c r="G78" i="84"/>
  <c r="D79" i="84"/>
  <c r="F76" i="84"/>
  <c r="G77" i="84"/>
  <c r="D78" i="84"/>
  <c r="D6" i="84"/>
  <c r="I5" i="84"/>
  <c r="D76" i="84" s="1" a="1"/>
  <c r="D76" i="84" s="1"/>
  <c r="F4" i="84"/>
  <c r="N37" i="83"/>
  <c r="N36" i="83"/>
  <c r="N35" i="83"/>
  <c r="N34" i="83"/>
  <c r="N33" i="83"/>
  <c r="N32" i="83"/>
  <c r="N31" i="83"/>
  <c r="N30" i="83"/>
  <c r="N29" i="83"/>
  <c r="N28" i="83"/>
  <c r="N27" i="83"/>
  <c r="N26" i="83"/>
  <c r="N25" i="83"/>
  <c r="N24" i="83"/>
  <c r="N23" i="83"/>
  <c r="N22" i="83"/>
  <c r="N21" i="83"/>
  <c r="N20" i="83"/>
  <c r="N19" i="83"/>
  <c r="N18" i="83"/>
  <c r="N17" i="83"/>
  <c r="D56" i="83" a="1"/>
  <c r="E56" i="83" s="1"/>
  <c r="D5" i="83"/>
  <c r="D53" i="83" s="1" a="1"/>
  <c r="D53" i="83" s="1"/>
  <c r="I5" i="83"/>
  <c r="F4" i="83"/>
  <c r="Y44" i="82"/>
  <c r="Y43" i="82"/>
  <c r="Y42" i="82"/>
  <c r="Y41" i="82"/>
  <c r="Y40" i="82"/>
  <c r="Y39" i="82"/>
  <c r="Y38" i="82"/>
  <c r="Y37" i="82"/>
  <c r="Y36" i="82"/>
  <c r="Y35" i="82"/>
  <c r="Y34" i="82"/>
  <c r="Y33" i="82"/>
  <c r="Y32" i="82"/>
  <c r="Y31" i="82"/>
  <c r="Y30" i="82"/>
  <c r="Y29" i="82"/>
  <c r="Y28" i="82"/>
  <c r="Y27" i="82"/>
  <c r="Y26" i="82"/>
  <c r="Y25" i="82"/>
  <c r="Y24" i="82"/>
  <c r="Y23" i="82"/>
  <c r="Y22" i="82"/>
  <c r="Y21" i="82"/>
  <c r="D40" i="83" l="1" a="1"/>
  <c r="D40" i="83" s="1"/>
  <c r="F59" i="83"/>
  <c r="D58" i="83"/>
  <c r="H56" i="83"/>
  <c r="H78" i="84"/>
  <c r="E78" i="84"/>
  <c r="D77" i="84"/>
  <c r="H79" i="84"/>
  <c r="I79" i="84"/>
  <c r="I59" i="83"/>
  <c r="G58" i="83"/>
  <c r="E57" i="83"/>
  <c r="D50" i="84" a="1"/>
  <c r="D46" i="83" a="1"/>
  <c r="G46" i="83" s="1"/>
  <c r="E59" i="83"/>
  <c r="I57" i="83"/>
  <c r="G56" i="83"/>
  <c r="H76" i="84"/>
  <c r="F79" i="84"/>
  <c r="I78" i="84"/>
  <c r="H77" i="84"/>
  <c r="G76" i="84"/>
  <c r="E76" i="84"/>
  <c r="D56" i="84" a="1"/>
  <c r="H58" i="83"/>
  <c r="F57" i="83"/>
  <c r="D56" i="83"/>
  <c r="F77" i="84"/>
  <c r="I76" i="84"/>
  <c r="G79" i="84"/>
  <c r="F78" i="84"/>
  <c r="I77" i="84"/>
  <c r="E77" i="84"/>
  <c r="D73" i="84" a="1"/>
  <c r="E74" i="84" s="1"/>
  <c r="U131" i="144"/>
  <c r="S125" i="144"/>
  <c r="S131" i="144" s="1"/>
  <c r="U118" i="141"/>
  <c r="S112" i="141"/>
  <c r="S118" i="141" s="1"/>
  <c r="Z127" i="141"/>
  <c r="P125" i="141"/>
  <c r="U125" i="141" s="1"/>
  <c r="S125" i="141" s="1"/>
  <c r="P121" i="141"/>
  <c r="U121" i="141" s="1"/>
  <c r="S121" i="141" s="1"/>
  <c r="P124" i="141"/>
  <c r="U124" i="141" s="1"/>
  <c r="S124" i="141" s="1"/>
  <c r="P120" i="141"/>
  <c r="U120" i="141" s="1"/>
  <c r="P123" i="141"/>
  <c r="U123" i="141" s="1"/>
  <c r="S123" i="141" s="1"/>
  <c r="P122" i="141"/>
  <c r="U122" i="141" s="1"/>
  <c r="S122" i="141" s="1"/>
  <c r="N119" i="141"/>
  <c r="U124" i="140"/>
  <c r="S118" i="140"/>
  <c r="S124" i="140" s="1"/>
  <c r="P129" i="140"/>
  <c r="U129" i="140" s="1"/>
  <c r="S129" i="140" s="1"/>
  <c r="P128" i="140"/>
  <c r="U128" i="140" s="1"/>
  <c r="S128" i="140" s="1"/>
  <c r="N125" i="140"/>
  <c r="Z133" i="140"/>
  <c r="P131" i="140"/>
  <c r="U131" i="140" s="1"/>
  <c r="S131" i="140" s="1"/>
  <c r="P127" i="140"/>
  <c r="U127" i="140" s="1"/>
  <c r="S127" i="140" s="1"/>
  <c r="P130" i="140"/>
  <c r="U130" i="140" s="1"/>
  <c r="S130" i="140" s="1"/>
  <c r="P126" i="140"/>
  <c r="U126" i="140" s="1"/>
  <c r="Z143" i="139"/>
  <c r="P141" i="139"/>
  <c r="U141" i="139" s="1"/>
  <c r="S141" i="139" s="1"/>
  <c r="P137" i="139"/>
  <c r="U137" i="139" s="1"/>
  <c r="S137" i="139" s="1"/>
  <c r="P140" i="139"/>
  <c r="U140" i="139" s="1"/>
  <c r="S140" i="139" s="1"/>
  <c r="P136" i="139"/>
  <c r="U136" i="139" s="1"/>
  <c r="P139" i="139"/>
  <c r="U139" i="139" s="1"/>
  <c r="S139" i="139" s="1"/>
  <c r="P138" i="139"/>
  <c r="U138" i="139" s="1"/>
  <c r="S138" i="139" s="1"/>
  <c r="N135" i="139"/>
  <c r="U134" i="139"/>
  <c r="S128" i="139"/>
  <c r="S134" i="139" s="1"/>
  <c r="Z127" i="138"/>
  <c r="P125" i="138"/>
  <c r="U125" i="138" s="1"/>
  <c r="S125" i="138" s="1"/>
  <c r="P121" i="138"/>
  <c r="U121" i="138" s="1"/>
  <c r="S121" i="138" s="1"/>
  <c r="P124" i="138"/>
  <c r="U124" i="138" s="1"/>
  <c r="S124" i="138" s="1"/>
  <c r="P120" i="138"/>
  <c r="U120" i="138" s="1"/>
  <c r="P123" i="138"/>
  <c r="U123" i="138" s="1"/>
  <c r="S123" i="138" s="1"/>
  <c r="N119" i="138"/>
  <c r="P122" i="138"/>
  <c r="U122" i="138" s="1"/>
  <c r="S122" i="138" s="1"/>
  <c r="U118" i="138"/>
  <c r="S112" i="138"/>
  <c r="S118" i="138" s="1"/>
  <c r="U118" i="137"/>
  <c r="S112" i="137"/>
  <c r="S118" i="137" s="1"/>
  <c r="Z127" i="137"/>
  <c r="P125" i="137"/>
  <c r="U125" i="137" s="1"/>
  <c r="S125" i="137" s="1"/>
  <c r="P121" i="137"/>
  <c r="U121" i="137" s="1"/>
  <c r="S121" i="137" s="1"/>
  <c r="P124" i="137"/>
  <c r="U124" i="137" s="1"/>
  <c r="S124" i="137" s="1"/>
  <c r="P120" i="137"/>
  <c r="U120" i="137" s="1"/>
  <c r="P123" i="137"/>
  <c r="U123" i="137" s="1"/>
  <c r="S123" i="137" s="1"/>
  <c r="P122" i="137"/>
  <c r="U122" i="137" s="1"/>
  <c r="S122" i="137" s="1"/>
  <c r="N119" i="137"/>
  <c r="W14" i="136"/>
  <c r="W49" i="136" s="1"/>
  <c r="W50" i="136" s="1"/>
  <c r="Z132" i="136"/>
  <c r="P130" i="136"/>
  <c r="U130" i="136" s="1"/>
  <c r="S130" i="136" s="1"/>
  <c r="P126" i="136"/>
  <c r="U126" i="136" s="1"/>
  <c r="S126" i="136" s="1"/>
  <c r="P129" i="136"/>
  <c r="U129" i="136" s="1"/>
  <c r="S129" i="136" s="1"/>
  <c r="P125" i="136"/>
  <c r="U125" i="136" s="1"/>
  <c r="P128" i="136"/>
  <c r="U128" i="136" s="1"/>
  <c r="S128" i="136" s="1"/>
  <c r="P127" i="136"/>
  <c r="U127" i="136" s="1"/>
  <c r="S127" i="136" s="1"/>
  <c r="N124" i="136"/>
  <c r="U123" i="136"/>
  <c r="S117" i="136"/>
  <c r="S123" i="136" s="1"/>
  <c r="Y38" i="92"/>
  <c r="F67" i="84"/>
  <c r="D54" i="84"/>
  <c r="F54" i="84"/>
  <c r="E62" i="84"/>
  <c r="G62" i="84"/>
  <c r="D57" i="84"/>
  <c r="H56" i="84"/>
  <c r="H67" i="84"/>
  <c r="G51" i="84"/>
  <c r="G52" i="84"/>
  <c r="E65" i="84"/>
  <c r="F59" i="84"/>
  <c r="D70" i="84"/>
  <c r="I64" i="84"/>
  <c r="H59" i="84"/>
  <c r="F70" i="84"/>
  <c r="E54" i="84"/>
  <c r="E57" i="84"/>
  <c r="I67" i="84"/>
  <c r="D62" i="84"/>
  <c r="I56" i="84"/>
  <c r="G67" i="84"/>
  <c r="F62" i="84"/>
  <c r="F74" i="84"/>
  <c r="F51" i="84"/>
  <c r="H51" i="84"/>
  <c r="I59" i="84"/>
  <c r="G70" i="84"/>
  <c r="H64" i="84"/>
  <c r="G59" i="84"/>
  <c r="E70" i="84"/>
  <c r="D65" i="84"/>
  <c r="F73" i="84"/>
  <c r="D52" i="84"/>
  <c r="H54" i="84"/>
  <c r="E52" i="84"/>
  <c r="I54" i="84"/>
  <c r="F52" i="84"/>
  <c r="G50" i="84"/>
  <c r="E53" i="84"/>
  <c r="I57" i="84"/>
  <c r="G60" i="84"/>
  <c r="E63" i="84"/>
  <c r="I65" i="84"/>
  <c r="G68" i="84"/>
  <c r="E71" i="84"/>
  <c r="F57" i="84"/>
  <c r="D60" i="84"/>
  <c r="H62" i="84"/>
  <c r="F65" i="84"/>
  <c r="D68" i="84"/>
  <c r="H70" i="84"/>
  <c r="G57" i="84"/>
  <c r="E60" i="84"/>
  <c r="I62" i="84"/>
  <c r="G65" i="84"/>
  <c r="E68" i="84"/>
  <c r="I70" i="84"/>
  <c r="H57" i="84"/>
  <c r="F60" i="84"/>
  <c r="D63" i="84"/>
  <c r="H65" i="84"/>
  <c r="F68" i="84"/>
  <c r="D71" i="84"/>
  <c r="E73" i="84"/>
  <c r="G56" i="84"/>
  <c r="H52" i="84"/>
  <c r="E50" i="84"/>
  <c r="I52" i="84"/>
  <c r="F50" i="84"/>
  <c r="D53" i="84"/>
  <c r="E51" i="84"/>
  <c r="I53" i="84"/>
  <c r="G58" i="84"/>
  <c r="E61" i="84"/>
  <c r="I63" i="84"/>
  <c r="G66" i="84"/>
  <c r="E69" i="84"/>
  <c r="I71" i="84"/>
  <c r="D58" i="84"/>
  <c r="H60" i="84"/>
  <c r="F63" i="84"/>
  <c r="D66" i="84"/>
  <c r="H68" i="84"/>
  <c r="F71" i="84"/>
  <c r="E58" i="84"/>
  <c r="I60" i="84"/>
  <c r="G63" i="84"/>
  <c r="E66" i="84"/>
  <c r="I68" i="84"/>
  <c r="G71" i="84"/>
  <c r="F58" i="84"/>
  <c r="D61" i="84"/>
  <c r="H63" i="84"/>
  <c r="F66" i="84"/>
  <c r="D69" i="84"/>
  <c r="H71" i="84"/>
  <c r="I73" i="84"/>
  <c r="H74" i="84"/>
  <c r="D50" i="84"/>
  <c r="H50" i="84"/>
  <c r="F53" i="84"/>
  <c r="I50" i="84"/>
  <c r="G53" i="84"/>
  <c r="D51" i="84"/>
  <c r="H53" i="84"/>
  <c r="I51" i="84"/>
  <c r="G54" i="84"/>
  <c r="E59" i="84"/>
  <c r="I61" i="84"/>
  <c r="G64" i="84"/>
  <c r="E67" i="84"/>
  <c r="I69" i="84"/>
  <c r="D56" i="84"/>
  <c r="H58" i="84"/>
  <c r="F61" i="84"/>
  <c r="D64" i="84"/>
  <c r="H66" i="84"/>
  <c r="F69" i="84"/>
  <c r="E56" i="84"/>
  <c r="I58" i="84"/>
  <c r="G61" i="84"/>
  <c r="E64" i="84"/>
  <c r="I66" i="84"/>
  <c r="G69" i="84"/>
  <c r="F56" i="84"/>
  <c r="D59" i="84"/>
  <c r="H61" i="84"/>
  <c r="F64" i="84"/>
  <c r="D67" i="84"/>
  <c r="H69" i="84"/>
  <c r="G73" i="84"/>
  <c r="H59" i="83"/>
  <c r="D59" i="83"/>
  <c r="F58" i="83"/>
  <c r="H57" i="83"/>
  <c r="D57" i="83"/>
  <c r="F56" i="83"/>
  <c r="G59" i="83"/>
  <c r="I58" i="83"/>
  <c r="E58" i="83"/>
  <c r="G57" i="83"/>
  <c r="I56" i="83"/>
  <c r="E54" i="83"/>
  <c r="G54" i="83"/>
  <c r="I53" i="83"/>
  <c r="E53" i="83"/>
  <c r="I54" i="83"/>
  <c r="G53" i="83"/>
  <c r="H54" i="83"/>
  <c r="D54" i="83"/>
  <c r="F53" i="83"/>
  <c r="F54" i="83"/>
  <c r="H53" i="83"/>
  <c r="D51" i="83"/>
  <c r="F50" i="83"/>
  <c r="F48" i="83"/>
  <c r="H47" i="83"/>
  <c r="G51" i="83"/>
  <c r="I50" i="83"/>
  <c r="I48" i="83"/>
  <c r="E48" i="83"/>
  <c r="E46" i="83"/>
  <c r="F51" i="83"/>
  <c r="F49" i="83"/>
  <c r="H48" i="83"/>
  <c r="H46" i="83"/>
  <c r="D46" i="83"/>
  <c r="G50" i="83"/>
  <c r="I49" i="83"/>
  <c r="I47" i="83"/>
  <c r="E47" i="83"/>
  <c r="G44" i="83"/>
  <c r="I43" i="83"/>
  <c r="E43" i="83"/>
  <c r="G42" i="83"/>
  <c r="I41" i="83"/>
  <c r="E41" i="83"/>
  <c r="G40" i="83"/>
  <c r="F44" i="83"/>
  <c r="H43" i="83"/>
  <c r="D43" i="83"/>
  <c r="F42" i="83"/>
  <c r="H41" i="83"/>
  <c r="D41" i="83"/>
  <c r="F40" i="83"/>
  <c r="I44" i="83"/>
  <c r="E44" i="83"/>
  <c r="G43" i="83"/>
  <c r="I42" i="83"/>
  <c r="E42" i="83"/>
  <c r="G41" i="83"/>
  <c r="I40" i="83"/>
  <c r="E40" i="83"/>
  <c r="H44" i="83"/>
  <c r="D44" i="83"/>
  <c r="F43" i="83"/>
  <c r="H42" i="83"/>
  <c r="D42" i="83"/>
  <c r="F41" i="83"/>
  <c r="H40" i="83"/>
  <c r="E68" i="82"/>
  <c r="G67" i="82"/>
  <c r="G65" i="82"/>
  <c r="H68" i="82"/>
  <c r="H66" i="82"/>
  <c r="D66" i="82"/>
  <c r="I67" i="82"/>
  <c r="E67" i="82"/>
  <c r="E65" i="82"/>
  <c r="F68" i="82"/>
  <c r="F66" i="82"/>
  <c r="H65" i="82"/>
  <c r="D6" i="82"/>
  <c r="I5" i="82"/>
  <c r="D65" i="82" s="1" a="1"/>
  <c r="D65" i="82" s="1"/>
  <c r="E66" i="82" l="1"/>
  <c r="G48" i="83"/>
  <c r="D67" i="82"/>
  <c r="I65" i="82"/>
  <c r="G68" i="82"/>
  <c r="F67" i="82"/>
  <c r="I68" i="82"/>
  <c r="E51" i="83"/>
  <c r="F47" i="83"/>
  <c r="D50" i="83"/>
  <c r="I46" i="83"/>
  <c r="G49" i="83"/>
  <c r="F46" i="83"/>
  <c r="D49" i="83"/>
  <c r="H51" i="83"/>
  <c r="G74" i="84"/>
  <c r="I74" i="84"/>
  <c r="H67" i="82"/>
  <c r="G66" i="82"/>
  <c r="F65" i="82"/>
  <c r="D68" i="82"/>
  <c r="I66" i="82"/>
  <c r="E49" i="83"/>
  <c r="I51" i="83"/>
  <c r="D48" i="83"/>
  <c r="H50" i="83"/>
  <c r="G47" i="83"/>
  <c r="E50" i="83"/>
  <c r="D47" i="83"/>
  <c r="H49" i="83"/>
  <c r="H73" i="84"/>
  <c r="D74" i="84"/>
  <c r="D73" i="84"/>
  <c r="U126" i="141"/>
  <c r="S120" i="141"/>
  <c r="S126" i="141" s="1"/>
  <c r="P131" i="141"/>
  <c r="U131" i="141" s="1"/>
  <c r="S131" i="141" s="1"/>
  <c r="P130" i="141"/>
  <c r="U130" i="141" s="1"/>
  <c r="S130" i="141" s="1"/>
  <c r="N127" i="141"/>
  <c r="Z135" i="141"/>
  <c r="P133" i="141"/>
  <c r="U133" i="141" s="1"/>
  <c r="S133" i="141" s="1"/>
  <c r="P129" i="141"/>
  <c r="U129" i="141" s="1"/>
  <c r="S129" i="141" s="1"/>
  <c r="P132" i="141"/>
  <c r="U132" i="141" s="1"/>
  <c r="S132" i="141" s="1"/>
  <c r="P128" i="141"/>
  <c r="U128" i="141" s="1"/>
  <c r="U132" i="140"/>
  <c r="S126" i="140"/>
  <c r="S132" i="140" s="1"/>
  <c r="Z141" i="140"/>
  <c r="P139" i="140"/>
  <c r="U139" i="140" s="1"/>
  <c r="S139" i="140" s="1"/>
  <c r="P135" i="140"/>
  <c r="U135" i="140" s="1"/>
  <c r="S135" i="140" s="1"/>
  <c r="P138" i="140"/>
  <c r="U138" i="140" s="1"/>
  <c r="S138" i="140" s="1"/>
  <c r="P134" i="140"/>
  <c r="U134" i="140" s="1"/>
  <c r="P137" i="140"/>
  <c r="U137" i="140" s="1"/>
  <c r="S137" i="140" s="1"/>
  <c r="N133" i="140"/>
  <c r="P136" i="140"/>
  <c r="U136" i="140" s="1"/>
  <c r="S136" i="140" s="1"/>
  <c r="S136" i="139"/>
  <c r="S142" i="139" s="1"/>
  <c r="U142" i="139"/>
  <c r="P147" i="139"/>
  <c r="U147" i="139" s="1"/>
  <c r="S147" i="139" s="1"/>
  <c r="P146" i="139"/>
  <c r="U146" i="139" s="1"/>
  <c r="S146" i="139" s="1"/>
  <c r="N143" i="139"/>
  <c r="P149" i="139"/>
  <c r="U149" i="139" s="1"/>
  <c r="S149" i="139" s="1"/>
  <c r="P148" i="139"/>
  <c r="U148" i="139" s="1"/>
  <c r="S148" i="139" s="1"/>
  <c r="Z151" i="139"/>
  <c r="P145" i="139"/>
  <c r="U145" i="139" s="1"/>
  <c r="S145" i="139" s="1"/>
  <c r="P144" i="139"/>
  <c r="U144" i="139" s="1"/>
  <c r="U126" i="138"/>
  <c r="S120" i="138"/>
  <c r="S126" i="138" s="1"/>
  <c r="P131" i="138"/>
  <c r="U131" i="138" s="1"/>
  <c r="S131" i="138" s="1"/>
  <c r="P130" i="138"/>
  <c r="U130" i="138" s="1"/>
  <c r="S130" i="138" s="1"/>
  <c r="N127" i="138"/>
  <c r="Z135" i="138"/>
  <c r="P133" i="138"/>
  <c r="U133" i="138" s="1"/>
  <c r="S133" i="138" s="1"/>
  <c r="P129" i="138"/>
  <c r="U129" i="138" s="1"/>
  <c r="S129" i="138" s="1"/>
  <c r="P132" i="138"/>
  <c r="U132" i="138" s="1"/>
  <c r="S132" i="138" s="1"/>
  <c r="P128" i="138"/>
  <c r="U128" i="138" s="1"/>
  <c r="U126" i="137"/>
  <c r="S120" i="137"/>
  <c r="S126" i="137" s="1"/>
  <c r="P131" i="137"/>
  <c r="U131" i="137" s="1"/>
  <c r="S131" i="137" s="1"/>
  <c r="P130" i="137"/>
  <c r="U130" i="137" s="1"/>
  <c r="S130" i="137" s="1"/>
  <c r="N127" i="137"/>
  <c r="Z135" i="137"/>
  <c r="P133" i="137"/>
  <c r="U133" i="137" s="1"/>
  <c r="S133" i="137" s="1"/>
  <c r="P129" i="137"/>
  <c r="U129" i="137" s="1"/>
  <c r="S129" i="137" s="1"/>
  <c r="P132" i="137"/>
  <c r="U132" i="137" s="1"/>
  <c r="S132" i="137" s="1"/>
  <c r="P128" i="137"/>
  <c r="U128" i="137" s="1"/>
  <c r="W13" i="136"/>
  <c r="W48" i="136"/>
  <c r="U131" i="136"/>
  <c r="S125" i="136"/>
  <c r="S131" i="136" s="1"/>
  <c r="P136" i="136"/>
  <c r="U136" i="136" s="1"/>
  <c r="S136" i="136" s="1"/>
  <c r="P135" i="136"/>
  <c r="U135" i="136" s="1"/>
  <c r="S135" i="136" s="1"/>
  <c r="N132" i="136"/>
  <c r="Z140" i="136"/>
  <c r="P138" i="136"/>
  <c r="U138" i="136" s="1"/>
  <c r="S138" i="136" s="1"/>
  <c r="P134" i="136"/>
  <c r="U134" i="136" s="1"/>
  <c r="S134" i="136" s="1"/>
  <c r="P133" i="136"/>
  <c r="U133" i="136" s="1"/>
  <c r="P137" i="136"/>
  <c r="U137" i="136" s="1"/>
  <c r="S137" i="136" s="1"/>
  <c r="Y36" i="81"/>
  <c r="Y35" i="81"/>
  <c r="Y34" i="81"/>
  <c r="Y33" i="81"/>
  <c r="Y32" i="81"/>
  <c r="Y31" i="81"/>
  <c r="Y30" i="81"/>
  <c r="Y29" i="81"/>
  <c r="Y28" i="81"/>
  <c r="Y27" i="81"/>
  <c r="Y26" i="81"/>
  <c r="Y25" i="81"/>
  <c r="Y24" i="81"/>
  <c r="Y23" i="81"/>
  <c r="Y22" i="81"/>
  <c r="Y21" i="81"/>
  <c r="Y20" i="81"/>
  <c r="Y19" i="81"/>
  <c r="Y18" i="81"/>
  <c r="Y17" i="81"/>
  <c r="Y16" i="81"/>
  <c r="Y15" i="81"/>
  <c r="Y14" i="81"/>
  <c r="N36" i="81"/>
  <c r="N35" i="81"/>
  <c r="N34" i="81"/>
  <c r="N33" i="81"/>
  <c r="N32" i="81"/>
  <c r="N31" i="81"/>
  <c r="N30" i="81"/>
  <c r="N29" i="81"/>
  <c r="N28" i="81"/>
  <c r="N27" i="81"/>
  <c r="N26" i="81"/>
  <c r="N25" i="81"/>
  <c r="N24" i="81"/>
  <c r="N23" i="81"/>
  <c r="N22" i="81"/>
  <c r="N21" i="81"/>
  <c r="N20" i="81"/>
  <c r="N19" i="81"/>
  <c r="N18" i="81"/>
  <c r="N17" i="81"/>
  <c r="N16" i="81"/>
  <c r="N15" i="81"/>
  <c r="N14" i="81"/>
  <c r="N13" i="81"/>
  <c r="N12" i="81"/>
  <c r="I5" i="81"/>
  <c r="D59" i="81" s="1" a="1"/>
  <c r="D59" i="81" s="1"/>
  <c r="AE47" i="36"/>
  <c r="AE45" i="36"/>
  <c r="AE44" i="36"/>
  <c r="AE43" i="36"/>
  <c r="AE42" i="36"/>
  <c r="AE41" i="36"/>
  <c r="AE40" i="36"/>
  <c r="AE39" i="36"/>
  <c r="AE38" i="36"/>
  <c r="AE37" i="36"/>
  <c r="AE36" i="36"/>
  <c r="AE32" i="36"/>
  <c r="AE31" i="36"/>
  <c r="AE30" i="36"/>
  <c r="AE29" i="36"/>
  <c r="AE28" i="36"/>
  <c r="AE27" i="36"/>
  <c r="AE26" i="36"/>
  <c r="AE25" i="36"/>
  <c r="AE24" i="36"/>
  <c r="AE23" i="36"/>
  <c r="AE22" i="36"/>
  <c r="T51" i="36"/>
  <c r="T50" i="36"/>
  <c r="T49" i="36"/>
  <c r="T48" i="36"/>
  <c r="T47" i="36"/>
  <c r="T46" i="36"/>
  <c r="T45" i="36"/>
  <c r="T44" i="36"/>
  <c r="T43" i="36"/>
  <c r="T42" i="36"/>
  <c r="T41" i="36"/>
  <c r="T40" i="36"/>
  <c r="T39" i="36"/>
  <c r="T38" i="36"/>
  <c r="T37" i="36"/>
  <c r="T36" i="36"/>
  <c r="T35" i="36"/>
  <c r="T34" i="36"/>
  <c r="T33" i="36"/>
  <c r="T32" i="36"/>
  <c r="T31" i="36"/>
  <c r="T30" i="36"/>
  <c r="T29" i="36"/>
  <c r="T28" i="36"/>
  <c r="T27" i="36"/>
  <c r="T26" i="36"/>
  <c r="T25" i="36"/>
  <c r="T24" i="36"/>
  <c r="T23" i="36"/>
  <c r="T22" i="36"/>
  <c r="T21" i="36"/>
  <c r="T20" i="36"/>
  <c r="K41" i="36"/>
  <c r="J41" i="36"/>
  <c r="I41" i="36"/>
  <c r="H41" i="36"/>
  <c r="G41" i="36"/>
  <c r="F41" i="36"/>
  <c r="K38" i="36"/>
  <c r="J38" i="36"/>
  <c r="I38" i="36"/>
  <c r="H38" i="36"/>
  <c r="G38" i="36"/>
  <c r="F38" i="36"/>
  <c r="B33" i="36"/>
  <c r="AE33" i="36" s="1"/>
  <c r="B35" i="36"/>
  <c r="AE35" i="36" s="1"/>
  <c r="B34" i="36"/>
  <c r="AE34" i="36" s="1"/>
  <c r="G9" i="36"/>
  <c r="G8" i="36"/>
  <c r="G11" i="36"/>
  <c r="L48" i="36" s="1" a="1"/>
  <c r="L48" i="36" s="1"/>
  <c r="U134" i="141" l="1"/>
  <c r="S128" i="141"/>
  <c r="S134" i="141" s="1"/>
  <c r="Z143" i="141"/>
  <c r="P141" i="141"/>
  <c r="U141" i="141" s="1"/>
  <c r="S141" i="141" s="1"/>
  <c r="P137" i="141"/>
  <c r="U137" i="141" s="1"/>
  <c r="S137" i="141" s="1"/>
  <c r="P140" i="141"/>
  <c r="U140" i="141" s="1"/>
  <c r="S140" i="141" s="1"/>
  <c r="P136" i="141"/>
  <c r="U136" i="141" s="1"/>
  <c r="P139" i="141"/>
  <c r="U139" i="141" s="1"/>
  <c r="S139" i="141" s="1"/>
  <c r="P138" i="141"/>
  <c r="U138" i="141" s="1"/>
  <c r="S138" i="141" s="1"/>
  <c r="N135" i="141"/>
  <c r="U140" i="140"/>
  <c r="S134" i="140"/>
  <c r="S140" i="140" s="1"/>
  <c r="P145" i="140"/>
  <c r="U145" i="140" s="1"/>
  <c r="S145" i="140" s="1"/>
  <c r="P144" i="140"/>
  <c r="U144" i="140" s="1"/>
  <c r="S144" i="140" s="1"/>
  <c r="N141" i="140"/>
  <c r="Z149" i="140"/>
  <c r="P147" i="140"/>
  <c r="U147" i="140" s="1"/>
  <c r="S147" i="140" s="1"/>
  <c r="P143" i="140"/>
  <c r="U143" i="140" s="1"/>
  <c r="S143" i="140" s="1"/>
  <c r="P146" i="140"/>
  <c r="U146" i="140" s="1"/>
  <c r="S146" i="140" s="1"/>
  <c r="P142" i="140"/>
  <c r="U142" i="140" s="1"/>
  <c r="Z159" i="139"/>
  <c r="P157" i="139"/>
  <c r="U157" i="139" s="1"/>
  <c r="S157" i="139" s="1"/>
  <c r="P153" i="139"/>
  <c r="U153" i="139" s="1"/>
  <c r="S153" i="139" s="1"/>
  <c r="P156" i="139"/>
  <c r="U156" i="139" s="1"/>
  <c r="S156" i="139" s="1"/>
  <c r="P152" i="139"/>
  <c r="U152" i="139" s="1"/>
  <c r="P155" i="139"/>
  <c r="U155" i="139" s="1"/>
  <c r="S155" i="139" s="1"/>
  <c r="P154" i="139"/>
  <c r="U154" i="139" s="1"/>
  <c r="S154" i="139" s="1"/>
  <c r="N151" i="139"/>
  <c r="U150" i="139"/>
  <c r="S144" i="139"/>
  <c r="S150" i="139" s="1"/>
  <c r="U134" i="138"/>
  <c r="S128" i="138"/>
  <c r="S134" i="138" s="1"/>
  <c r="Z143" i="138"/>
  <c r="P141" i="138"/>
  <c r="U141" i="138" s="1"/>
  <c r="S141" i="138" s="1"/>
  <c r="P137" i="138"/>
  <c r="U137" i="138" s="1"/>
  <c r="S137" i="138" s="1"/>
  <c r="P140" i="138"/>
  <c r="U140" i="138" s="1"/>
  <c r="S140" i="138" s="1"/>
  <c r="P136" i="138"/>
  <c r="U136" i="138" s="1"/>
  <c r="P139" i="138"/>
  <c r="U139" i="138" s="1"/>
  <c r="S139" i="138" s="1"/>
  <c r="P138" i="138"/>
  <c r="U138" i="138" s="1"/>
  <c r="S138" i="138" s="1"/>
  <c r="N135" i="138"/>
  <c r="U134" i="137"/>
  <c r="S128" i="137"/>
  <c r="S134" i="137" s="1"/>
  <c r="Z143" i="137"/>
  <c r="P141" i="137"/>
  <c r="U141" i="137" s="1"/>
  <c r="S141" i="137" s="1"/>
  <c r="P137" i="137"/>
  <c r="U137" i="137" s="1"/>
  <c r="S137" i="137" s="1"/>
  <c r="P140" i="137"/>
  <c r="U140" i="137" s="1"/>
  <c r="S140" i="137" s="1"/>
  <c r="P136" i="137"/>
  <c r="U136" i="137" s="1"/>
  <c r="P139" i="137"/>
  <c r="U139" i="137" s="1"/>
  <c r="S139" i="137" s="1"/>
  <c r="P138" i="137"/>
  <c r="U138" i="137" s="1"/>
  <c r="S138" i="137" s="1"/>
  <c r="N135" i="137"/>
  <c r="W12" i="136"/>
  <c r="Z148" i="136"/>
  <c r="P146" i="136"/>
  <c r="U146" i="136" s="1"/>
  <c r="S146" i="136" s="1"/>
  <c r="P142" i="136"/>
  <c r="U142" i="136" s="1"/>
  <c r="S142" i="136" s="1"/>
  <c r="P145" i="136"/>
  <c r="U145" i="136" s="1"/>
  <c r="S145" i="136" s="1"/>
  <c r="P141" i="136"/>
  <c r="U141" i="136" s="1"/>
  <c r="P144" i="136"/>
  <c r="U144" i="136" s="1"/>
  <c r="S144" i="136" s="1"/>
  <c r="P143" i="136"/>
  <c r="U143" i="136" s="1"/>
  <c r="S143" i="136" s="1"/>
  <c r="N140" i="136"/>
  <c r="U139" i="136"/>
  <c r="S133" i="136"/>
  <c r="S139" i="136" s="1"/>
  <c r="E62" i="81"/>
  <c r="E60" i="81"/>
  <c r="H62" i="81"/>
  <c r="D62" i="81"/>
  <c r="H60" i="81"/>
  <c r="F59" i="81"/>
  <c r="G62" i="81"/>
  <c r="I61" i="81"/>
  <c r="E61" i="81"/>
  <c r="G60" i="81"/>
  <c r="I59" i="81"/>
  <c r="E59" i="81"/>
  <c r="I62" i="81"/>
  <c r="G61" i="81"/>
  <c r="I60" i="81"/>
  <c r="G59" i="81"/>
  <c r="F61" i="81"/>
  <c r="D60" i="81"/>
  <c r="F62" i="81"/>
  <c r="H61" i="81"/>
  <c r="D61" i="81"/>
  <c r="F60" i="81"/>
  <c r="H59" i="81"/>
  <c r="Q51" i="36"/>
  <c r="M51" i="36"/>
  <c r="O50" i="36"/>
  <c r="Q49" i="36"/>
  <c r="M49" i="36"/>
  <c r="O48" i="36"/>
  <c r="P51" i="36"/>
  <c r="L51" i="36"/>
  <c r="N50" i="36"/>
  <c r="P49" i="36"/>
  <c r="L49" i="36"/>
  <c r="N48" i="36"/>
  <c r="O51" i="36"/>
  <c r="Q50" i="36"/>
  <c r="M50" i="36"/>
  <c r="O49" i="36"/>
  <c r="Q48" i="36"/>
  <c r="M48" i="36"/>
  <c r="N51" i="36"/>
  <c r="P50" i="36"/>
  <c r="L50" i="36"/>
  <c r="N49" i="36"/>
  <c r="P48" i="36"/>
  <c r="G7" i="36"/>
  <c r="Y40" i="79"/>
  <c r="Y39" i="79"/>
  <c r="Y38" i="79"/>
  <c r="Y37" i="79"/>
  <c r="Y36" i="79"/>
  <c r="Y35" i="79"/>
  <c r="Y34" i="79"/>
  <c r="Y33" i="79"/>
  <c r="Y32" i="79"/>
  <c r="Y31" i="79"/>
  <c r="Y30" i="79"/>
  <c r="Y29" i="79"/>
  <c r="Y28" i="79"/>
  <c r="Y27" i="79"/>
  <c r="Y26" i="79"/>
  <c r="Y25" i="79"/>
  <c r="Y24" i="79"/>
  <c r="Y23" i="79"/>
  <c r="Y22" i="79"/>
  <c r="Y21" i="79"/>
  <c r="Y20" i="79"/>
  <c r="Y19" i="79"/>
  <c r="N40" i="79"/>
  <c r="N39" i="79"/>
  <c r="N38" i="79"/>
  <c r="N37" i="79"/>
  <c r="N36" i="79"/>
  <c r="N35" i="79"/>
  <c r="N34" i="79"/>
  <c r="N33" i="79"/>
  <c r="N32" i="79"/>
  <c r="N31" i="79"/>
  <c r="N30" i="79"/>
  <c r="N29" i="79"/>
  <c r="N28" i="79"/>
  <c r="N27" i="79"/>
  <c r="N26" i="79"/>
  <c r="N25" i="79"/>
  <c r="N24" i="79"/>
  <c r="N23" i="79"/>
  <c r="N22" i="79"/>
  <c r="N21" i="79"/>
  <c r="N20" i="79"/>
  <c r="N19" i="79"/>
  <c r="N18" i="79"/>
  <c r="N17" i="79"/>
  <c r="D62" i="79" a="1"/>
  <c r="D62" i="79" s="1"/>
  <c r="D5" i="79"/>
  <c r="D43" i="79" s="1" a="1"/>
  <c r="I5" i="79"/>
  <c r="F4" i="79"/>
  <c r="Y38" i="78"/>
  <c r="Y37" i="78"/>
  <c r="Y36" i="78"/>
  <c r="Y35" i="78"/>
  <c r="Y34" i="78"/>
  <c r="Y33" i="78"/>
  <c r="Y32" i="78"/>
  <c r="Y31" i="78"/>
  <c r="Y30" i="78"/>
  <c r="Y29" i="78"/>
  <c r="Y28" i="78"/>
  <c r="Y27" i="78"/>
  <c r="Y26" i="78"/>
  <c r="Y25" i="78"/>
  <c r="Y24" i="78"/>
  <c r="Y23" i="78"/>
  <c r="Y22" i="78"/>
  <c r="Y21" i="78"/>
  <c r="Y20" i="78"/>
  <c r="Y19" i="78"/>
  <c r="Y18" i="78"/>
  <c r="Y17" i="78"/>
  <c r="Y16" i="78"/>
  <c r="Y15" i="78"/>
  <c r="Y14" i="78"/>
  <c r="N38" i="78"/>
  <c r="N37" i="78"/>
  <c r="N36" i="78"/>
  <c r="N35" i="78"/>
  <c r="N34" i="78"/>
  <c r="N33" i="78"/>
  <c r="N32" i="78"/>
  <c r="N31" i="78"/>
  <c r="N30" i="78"/>
  <c r="N29" i="78"/>
  <c r="N28" i="78"/>
  <c r="N27" i="78"/>
  <c r="N26" i="78"/>
  <c r="N25" i="78"/>
  <c r="N24" i="78"/>
  <c r="N23" i="78"/>
  <c r="N22" i="78"/>
  <c r="N21" i="78"/>
  <c r="N20" i="78"/>
  <c r="N19" i="78"/>
  <c r="N18" i="78"/>
  <c r="N17" i="78"/>
  <c r="N16" i="78"/>
  <c r="N15" i="78"/>
  <c r="N14" i="78"/>
  <c r="N13" i="78"/>
  <c r="N12" i="78"/>
  <c r="I5" i="78"/>
  <c r="D63" i="78" s="1" a="1"/>
  <c r="D5" i="78"/>
  <c r="D41" i="78" s="1" a="1"/>
  <c r="F4" i="78"/>
  <c r="Y40" i="77"/>
  <c r="Y39" i="77"/>
  <c r="Y38" i="77"/>
  <c r="Y37" i="77"/>
  <c r="Y36" i="77"/>
  <c r="Y35" i="77"/>
  <c r="Y34" i="77"/>
  <c r="Y33" i="77"/>
  <c r="Y32" i="77"/>
  <c r="Y31" i="77"/>
  <c r="Y30" i="77"/>
  <c r="Y29" i="77"/>
  <c r="Y28" i="77"/>
  <c r="Y27" i="77"/>
  <c r="Y26" i="77"/>
  <c r="Y25" i="77"/>
  <c r="Y24" i="77"/>
  <c r="Y23" i="77"/>
  <c r="Y22" i="77"/>
  <c r="Y21" i="77"/>
  <c r="Y20" i="77"/>
  <c r="Y19" i="77"/>
  <c r="Y18" i="77"/>
  <c r="Y17" i="77"/>
  <c r="N40" i="77"/>
  <c r="N39" i="77"/>
  <c r="N38" i="77"/>
  <c r="N37" i="77"/>
  <c r="N36" i="77"/>
  <c r="N35" i="77"/>
  <c r="N34" i="77"/>
  <c r="N33" i="77"/>
  <c r="N32" i="77"/>
  <c r="N31" i="77"/>
  <c r="N30" i="77"/>
  <c r="N29" i="77"/>
  <c r="N28" i="77"/>
  <c r="N27" i="77"/>
  <c r="N26" i="77"/>
  <c r="N25" i="77"/>
  <c r="N24" i="77"/>
  <c r="N23" i="77"/>
  <c r="N22" i="77"/>
  <c r="N21" i="77"/>
  <c r="N20" i="77"/>
  <c r="N19" i="77"/>
  <c r="N18" i="77"/>
  <c r="N17" i="77"/>
  <c r="N16" i="77"/>
  <c r="N15" i="77"/>
  <c r="D5" i="77"/>
  <c r="D43" i="77" s="1" a="1"/>
  <c r="I5" i="77"/>
  <c r="D64" i="77" s="1" a="1"/>
  <c r="F4" i="77"/>
  <c r="T211" i="76"/>
  <c r="R211" i="76" s="1"/>
  <c r="T210" i="76"/>
  <c r="R210" i="76" s="1"/>
  <c r="T209" i="76"/>
  <c r="R209" i="76" s="1"/>
  <c r="T208" i="76"/>
  <c r="R208" i="76" s="1"/>
  <c r="T207" i="76"/>
  <c r="R207" i="76" s="1"/>
  <c r="T206" i="76"/>
  <c r="R206" i="76" s="1"/>
  <c r="Y36" i="76"/>
  <c r="Y35" i="76"/>
  <c r="Y34" i="76"/>
  <c r="Y33" i="76"/>
  <c r="Y32" i="76"/>
  <c r="Y31" i="76"/>
  <c r="Y30" i="76"/>
  <c r="Y29" i="76"/>
  <c r="Y28" i="76"/>
  <c r="Y27" i="76"/>
  <c r="Y26" i="76"/>
  <c r="Y25" i="76"/>
  <c r="Y24" i="76"/>
  <c r="Y23" i="76"/>
  <c r="Y22" i="76"/>
  <c r="Y21" i="76"/>
  <c r="Y20" i="76"/>
  <c r="Y19" i="76"/>
  <c r="Y18" i="76"/>
  <c r="Y17" i="76"/>
  <c r="Y16" i="76"/>
  <c r="N36" i="76"/>
  <c r="N35" i="76"/>
  <c r="N34" i="76"/>
  <c r="N33" i="76"/>
  <c r="N32" i="76"/>
  <c r="N31" i="76"/>
  <c r="N30" i="76"/>
  <c r="N29" i="76"/>
  <c r="N28" i="76"/>
  <c r="N27" i="76"/>
  <c r="N26" i="76"/>
  <c r="N25" i="76"/>
  <c r="N24" i="76"/>
  <c r="N23" i="76"/>
  <c r="N22" i="76"/>
  <c r="N21" i="76"/>
  <c r="N20" i="76"/>
  <c r="N19" i="76"/>
  <c r="N18" i="76"/>
  <c r="N17" i="76"/>
  <c r="N16" i="76"/>
  <c r="N15" i="76"/>
  <c r="N14" i="76"/>
  <c r="D52" i="76" a="1"/>
  <c r="D52" i="76" s="1"/>
  <c r="I5" i="76"/>
  <c r="D57" i="76" s="1" a="1"/>
  <c r="I26" i="76"/>
  <c r="H26" i="76"/>
  <c r="G26" i="76"/>
  <c r="F26" i="76"/>
  <c r="E26" i="76"/>
  <c r="D26" i="76"/>
  <c r="D60" i="75" a="1"/>
  <c r="D60" i="75" s="1"/>
  <c r="I5" i="75"/>
  <c r="N37" i="75"/>
  <c r="N36" i="75"/>
  <c r="N35" i="75"/>
  <c r="N34" i="75"/>
  <c r="N33" i="75"/>
  <c r="N32" i="75"/>
  <c r="N31" i="75"/>
  <c r="N30" i="75"/>
  <c r="N29" i="75"/>
  <c r="N28" i="75"/>
  <c r="N27" i="75"/>
  <c r="N26" i="75"/>
  <c r="N25" i="75"/>
  <c r="N24" i="75"/>
  <c r="N23" i="75"/>
  <c r="N22" i="75"/>
  <c r="N21" i="75"/>
  <c r="N20" i="75"/>
  <c r="N19" i="75"/>
  <c r="N18" i="75"/>
  <c r="N17" i="75"/>
  <c r="N16" i="75"/>
  <c r="N15" i="75"/>
  <c r="N14" i="75"/>
  <c r="N13" i="75"/>
  <c r="Y26" i="133"/>
  <c r="Y25" i="133"/>
  <c r="Y24" i="133"/>
  <c r="Y23" i="133"/>
  <c r="Y22" i="133"/>
  <c r="Y21" i="133"/>
  <c r="Y20" i="133"/>
  <c r="Y19" i="133"/>
  <c r="Y18" i="133"/>
  <c r="Y17" i="133"/>
  <c r="Y16" i="133"/>
  <c r="Y15" i="133"/>
  <c r="N26" i="133"/>
  <c r="N25" i="133"/>
  <c r="N24" i="133"/>
  <c r="N23" i="133"/>
  <c r="N21" i="133"/>
  <c r="N19" i="133"/>
  <c r="N18" i="133"/>
  <c r="N17" i="133"/>
  <c r="N16" i="133"/>
  <c r="N14" i="133"/>
  <c r="N22" i="133"/>
  <c r="N20" i="133"/>
  <c r="N15" i="133"/>
  <c r="N13" i="133"/>
  <c r="I5" i="133"/>
  <c r="D38" i="133" s="1" a="1"/>
  <c r="D5" i="133"/>
  <c r="D29" i="133" s="1" a="1"/>
  <c r="T118" i="133"/>
  <c r="R118" i="133" s="1"/>
  <c r="T117" i="133"/>
  <c r="R117" i="133" s="1"/>
  <c r="T116" i="133"/>
  <c r="R116" i="133" s="1"/>
  <c r="T115" i="133"/>
  <c r="R115" i="133" s="1"/>
  <c r="T114" i="133"/>
  <c r="R114" i="133" s="1"/>
  <c r="T113" i="133"/>
  <c r="R113" i="133" s="1"/>
  <c r="T110" i="133"/>
  <c r="R110" i="133" s="1"/>
  <c r="T109" i="133"/>
  <c r="R109" i="133" s="1"/>
  <c r="T108" i="133"/>
  <c r="R108" i="133" s="1"/>
  <c r="T107" i="133"/>
  <c r="R107" i="133" s="1"/>
  <c r="T106" i="133"/>
  <c r="R106" i="133" s="1"/>
  <c r="T105" i="133"/>
  <c r="R105" i="133" s="1"/>
  <c r="T102" i="133"/>
  <c r="R102" i="133" s="1"/>
  <c r="T101" i="133"/>
  <c r="R101" i="133" s="1"/>
  <c r="T100" i="133"/>
  <c r="R100" i="133" s="1"/>
  <c r="T99" i="133"/>
  <c r="R99" i="133" s="1"/>
  <c r="T98" i="133"/>
  <c r="R98" i="133" s="1"/>
  <c r="T97" i="133"/>
  <c r="R97" i="133" s="1"/>
  <c r="T94" i="133"/>
  <c r="R94" i="133" s="1"/>
  <c r="T93" i="133"/>
  <c r="R93" i="133" s="1"/>
  <c r="T92" i="133"/>
  <c r="R92" i="133" s="1"/>
  <c r="T91" i="133"/>
  <c r="R91" i="133" s="1"/>
  <c r="T90" i="133"/>
  <c r="R90" i="133" s="1"/>
  <c r="T89" i="133"/>
  <c r="R89" i="133" s="1"/>
  <c r="T86" i="133"/>
  <c r="R86" i="133" s="1"/>
  <c r="T85" i="133"/>
  <c r="R85" i="133" s="1"/>
  <c r="T84" i="133"/>
  <c r="R84" i="133" s="1"/>
  <c r="T83" i="133"/>
  <c r="R83" i="133" s="1"/>
  <c r="T82" i="133"/>
  <c r="R82" i="133" s="1"/>
  <c r="T81" i="133"/>
  <c r="R81" i="133" s="1"/>
  <c r="T78" i="133"/>
  <c r="R78" i="133" s="1"/>
  <c r="T77" i="133"/>
  <c r="R77" i="133" s="1"/>
  <c r="T76" i="133"/>
  <c r="R76" i="133" s="1"/>
  <c r="T75" i="133"/>
  <c r="R75" i="133" s="1"/>
  <c r="T74" i="133"/>
  <c r="R74" i="133" s="1"/>
  <c r="T73" i="133"/>
  <c r="R73" i="133" s="1"/>
  <c r="T70" i="133"/>
  <c r="R70" i="133" s="1"/>
  <c r="T69" i="133"/>
  <c r="R69" i="133" s="1"/>
  <c r="T68" i="133"/>
  <c r="R68" i="133" s="1"/>
  <c r="T67" i="133"/>
  <c r="R67" i="133" s="1"/>
  <c r="T66" i="133"/>
  <c r="R66" i="133" s="1"/>
  <c r="T65" i="133"/>
  <c r="R65" i="133" s="1"/>
  <c r="T62" i="133"/>
  <c r="R62" i="133" s="1"/>
  <c r="T61" i="133"/>
  <c r="R61" i="133" s="1"/>
  <c r="T60" i="133"/>
  <c r="R60" i="133" s="1"/>
  <c r="T59" i="133"/>
  <c r="R59" i="133" s="1"/>
  <c r="T58" i="133"/>
  <c r="R58" i="133" s="1"/>
  <c r="T57" i="133"/>
  <c r="R57" i="133" s="1"/>
  <c r="T54" i="133"/>
  <c r="R54" i="133" s="1"/>
  <c r="T53" i="133"/>
  <c r="R53" i="133" s="1"/>
  <c r="T52" i="133"/>
  <c r="R52" i="133" s="1"/>
  <c r="T51" i="133"/>
  <c r="R51" i="133" s="1"/>
  <c r="T50" i="133"/>
  <c r="R50" i="133" s="1"/>
  <c r="T49" i="133"/>
  <c r="R49" i="133" s="1"/>
  <c r="Z48" i="133"/>
  <c r="N48" i="133" s="1"/>
  <c r="T46" i="133"/>
  <c r="R46" i="133" s="1"/>
  <c r="T45" i="133"/>
  <c r="R45" i="133" s="1"/>
  <c r="T44" i="133"/>
  <c r="R44" i="133" s="1"/>
  <c r="T43" i="133"/>
  <c r="R43" i="133" s="1"/>
  <c r="T42" i="133"/>
  <c r="R42" i="133" s="1"/>
  <c r="T41" i="133"/>
  <c r="R41" i="133" s="1"/>
  <c r="N40" i="133"/>
  <c r="W29" i="133"/>
  <c r="W28" i="133" s="1"/>
  <c r="N29" i="133"/>
  <c r="I22" i="133"/>
  <c r="H22" i="133"/>
  <c r="G22" i="133"/>
  <c r="F22" i="133"/>
  <c r="E22" i="133"/>
  <c r="D22" i="133"/>
  <c r="I20" i="133"/>
  <c r="H20" i="133"/>
  <c r="G20" i="133"/>
  <c r="F20" i="133"/>
  <c r="E20" i="133"/>
  <c r="D20" i="133"/>
  <c r="I15" i="133"/>
  <c r="H15" i="133"/>
  <c r="G15" i="133"/>
  <c r="F15" i="133"/>
  <c r="E15" i="133"/>
  <c r="D15" i="133"/>
  <c r="Y14" i="133"/>
  <c r="I13" i="133"/>
  <c r="H13" i="133"/>
  <c r="G13" i="133"/>
  <c r="F13" i="133"/>
  <c r="E13" i="133"/>
  <c r="D13" i="133"/>
  <c r="F4" i="133"/>
  <c r="N52" i="74"/>
  <c r="N51" i="74"/>
  <c r="N50" i="74"/>
  <c r="N49" i="74"/>
  <c r="N47" i="74"/>
  <c r="N46" i="74"/>
  <c r="N44" i="74"/>
  <c r="N43" i="74"/>
  <c r="N41" i="74"/>
  <c r="N40" i="74"/>
  <c r="N39" i="74"/>
  <c r="N38" i="74"/>
  <c r="N37" i="74"/>
  <c r="N36" i="74"/>
  <c r="N35" i="74"/>
  <c r="N34" i="74"/>
  <c r="N33" i="74"/>
  <c r="N32" i="74"/>
  <c r="N30" i="74"/>
  <c r="N29" i="74"/>
  <c r="N28" i="74"/>
  <c r="N27" i="74"/>
  <c r="N26" i="74"/>
  <c r="N24" i="74"/>
  <c r="N23" i="74"/>
  <c r="N22" i="74"/>
  <c r="N21" i="74"/>
  <c r="N20" i="74"/>
  <c r="N19" i="74"/>
  <c r="N18" i="74"/>
  <c r="N17" i="74"/>
  <c r="N16" i="74"/>
  <c r="N48" i="74"/>
  <c r="N45" i="74"/>
  <c r="N42" i="74"/>
  <c r="N31" i="74"/>
  <c r="N25" i="74"/>
  <c r="N15" i="74"/>
  <c r="Y52" i="74"/>
  <c r="Y51" i="74"/>
  <c r="Y50" i="74"/>
  <c r="Y49" i="74"/>
  <c r="Y48" i="74"/>
  <c r="Y47" i="74"/>
  <c r="Y46" i="74"/>
  <c r="Y45" i="74"/>
  <c r="Y44" i="74"/>
  <c r="Y43" i="74"/>
  <c r="Y42" i="74"/>
  <c r="Y41" i="74"/>
  <c r="Y40" i="74"/>
  <c r="Y39" i="74"/>
  <c r="Y38" i="74"/>
  <c r="Y37" i="74"/>
  <c r="Y36" i="74"/>
  <c r="Y35" i="74"/>
  <c r="Y34" i="74"/>
  <c r="Y33" i="74"/>
  <c r="Y32" i="74"/>
  <c r="Y31" i="74"/>
  <c r="Y30" i="74"/>
  <c r="Y29" i="74"/>
  <c r="Y28" i="74"/>
  <c r="Y27" i="74"/>
  <c r="Y26" i="74"/>
  <c r="Y25" i="74"/>
  <c r="Y24" i="74"/>
  <c r="Y23" i="74"/>
  <c r="Y22" i="74"/>
  <c r="Y21" i="74"/>
  <c r="Y20" i="74"/>
  <c r="Y19" i="74"/>
  <c r="Y18" i="74"/>
  <c r="Y17" i="74"/>
  <c r="I63" i="75" l="1"/>
  <c r="G62" i="75"/>
  <c r="E61" i="75"/>
  <c r="D61" i="75"/>
  <c r="E63" i="75"/>
  <c r="I61" i="75"/>
  <c r="G60" i="75"/>
  <c r="H63" i="75"/>
  <c r="F62" i="75"/>
  <c r="D63" i="75"/>
  <c r="H61" i="75"/>
  <c r="F60" i="75"/>
  <c r="U142" i="141"/>
  <c r="S136" i="141"/>
  <c r="S142" i="141" s="1"/>
  <c r="P147" i="141"/>
  <c r="U147" i="141" s="1"/>
  <c r="S147" i="141" s="1"/>
  <c r="P146" i="141"/>
  <c r="U146" i="141" s="1"/>
  <c r="S146" i="141" s="1"/>
  <c r="N143" i="141"/>
  <c r="Z151" i="141"/>
  <c r="P149" i="141"/>
  <c r="U149" i="141" s="1"/>
  <c r="S149" i="141" s="1"/>
  <c r="P145" i="141"/>
  <c r="U145" i="141" s="1"/>
  <c r="S145" i="141" s="1"/>
  <c r="P148" i="141"/>
  <c r="U148" i="141" s="1"/>
  <c r="S148" i="141" s="1"/>
  <c r="P144" i="141"/>
  <c r="U144" i="141" s="1"/>
  <c r="U148" i="140"/>
  <c r="S142" i="140"/>
  <c r="S148" i="140" s="1"/>
  <c r="Z157" i="140"/>
  <c r="P155" i="140"/>
  <c r="U155" i="140" s="1"/>
  <c r="S155" i="140" s="1"/>
  <c r="P151" i="140"/>
  <c r="U151" i="140" s="1"/>
  <c r="S151" i="140" s="1"/>
  <c r="P154" i="140"/>
  <c r="U154" i="140" s="1"/>
  <c r="S154" i="140" s="1"/>
  <c r="P150" i="140"/>
  <c r="U150" i="140" s="1"/>
  <c r="P153" i="140"/>
  <c r="U153" i="140" s="1"/>
  <c r="S153" i="140" s="1"/>
  <c r="P152" i="140"/>
  <c r="U152" i="140" s="1"/>
  <c r="S152" i="140" s="1"/>
  <c r="N149" i="140"/>
  <c r="S152" i="139"/>
  <c r="S158" i="139" s="1"/>
  <c r="U158" i="139"/>
  <c r="P163" i="139"/>
  <c r="U163" i="139" s="1"/>
  <c r="S163" i="139" s="1"/>
  <c r="P162" i="139"/>
  <c r="U162" i="139" s="1"/>
  <c r="S162" i="139" s="1"/>
  <c r="N159" i="139"/>
  <c r="P161" i="139"/>
  <c r="U161" i="139" s="1"/>
  <c r="S161" i="139" s="1"/>
  <c r="P160" i="139"/>
  <c r="U160" i="139" s="1"/>
  <c r="P165" i="139"/>
  <c r="U165" i="139" s="1"/>
  <c r="S165" i="139" s="1"/>
  <c r="P164" i="139"/>
  <c r="U164" i="139" s="1"/>
  <c r="S164" i="139" s="1"/>
  <c r="Z167" i="139"/>
  <c r="U142" i="138"/>
  <c r="S136" i="138"/>
  <c r="S142" i="138" s="1"/>
  <c r="P147" i="138"/>
  <c r="U147" i="138" s="1"/>
  <c r="S147" i="138" s="1"/>
  <c r="P146" i="138"/>
  <c r="U146" i="138" s="1"/>
  <c r="S146" i="138" s="1"/>
  <c r="N143" i="138"/>
  <c r="Z151" i="138"/>
  <c r="P149" i="138"/>
  <c r="U149" i="138" s="1"/>
  <c r="S149" i="138" s="1"/>
  <c r="P145" i="138"/>
  <c r="U145" i="138" s="1"/>
  <c r="S145" i="138" s="1"/>
  <c r="P148" i="138"/>
  <c r="U148" i="138" s="1"/>
  <c r="S148" i="138" s="1"/>
  <c r="P144" i="138"/>
  <c r="U144" i="138" s="1"/>
  <c r="U142" i="137"/>
  <c r="S136" i="137"/>
  <c r="S142" i="137" s="1"/>
  <c r="P147" i="137"/>
  <c r="U147" i="137" s="1"/>
  <c r="S147" i="137" s="1"/>
  <c r="P146" i="137"/>
  <c r="U146" i="137" s="1"/>
  <c r="S146" i="137" s="1"/>
  <c r="N143" i="137"/>
  <c r="Z151" i="137"/>
  <c r="P149" i="137"/>
  <c r="U149" i="137" s="1"/>
  <c r="S149" i="137" s="1"/>
  <c r="P145" i="137"/>
  <c r="U145" i="137" s="1"/>
  <c r="S145" i="137" s="1"/>
  <c r="P148" i="137"/>
  <c r="U148" i="137" s="1"/>
  <c r="S148" i="137" s="1"/>
  <c r="P144" i="137"/>
  <c r="U144" i="137" s="1"/>
  <c r="U147" i="136"/>
  <c r="S141" i="136"/>
  <c r="S147" i="136" s="1"/>
  <c r="P152" i="136"/>
  <c r="U152" i="136" s="1"/>
  <c r="S152" i="136" s="1"/>
  <c r="P151" i="136"/>
  <c r="U151" i="136" s="1"/>
  <c r="S151" i="136" s="1"/>
  <c r="N148" i="136"/>
  <c r="Z156" i="136"/>
  <c r="P154" i="136"/>
  <c r="U154" i="136" s="1"/>
  <c r="S154" i="136" s="1"/>
  <c r="P150" i="136"/>
  <c r="U150" i="136" s="1"/>
  <c r="S150" i="136" s="1"/>
  <c r="P153" i="136"/>
  <c r="U153" i="136" s="1"/>
  <c r="S153" i="136" s="1"/>
  <c r="P149" i="136"/>
  <c r="U149" i="136" s="1"/>
  <c r="L36" i="36" a="1"/>
  <c r="L30" i="36" a="1"/>
  <c r="L26" i="36" a="1"/>
  <c r="L42" i="36" a="1"/>
  <c r="L21" i="36" a="1"/>
  <c r="L28" i="36" a="1"/>
  <c r="L45" i="36" a="1"/>
  <c r="L39" i="36" a="1"/>
  <c r="L35" i="36" a="1"/>
  <c r="L34" i="36" a="1"/>
  <c r="L33" i="36" a="1"/>
  <c r="G43" i="79"/>
  <c r="E44" i="79"/>
  <c r="I44" i="79"/>
  <c r="G45" i="79"/>
  <c r="E46" i="79"/>
  <c r="I46" i="79"/>
  <c r="G47" i="79"/>
  <c r="E48" i="79"/>
  <c r="I48" i="79"/>
  <c r="G49" i="79"/>
  <c r="E50" i="79"/>
  <c r="I50" i="79"/>
  <c r="G51" i="79"/>
  <c r="E52" i="79"/>
  <c r="I52" i="79"/>
  <c r="G53" i="79"/>
  <c r="E54" i="79"/>
  <c r="I54" i="79"/>
  <c r="G55" i="79"/>
  <c r="E56" i="79"/>
  <c r="I56" i="79"/>
  <c r="D44" i="79"/>
  <c r="F45" i="79"/>
  <c r="H46" i="79"/>
  <c r="D48" i="79"/>
  <c r="F49" i="79"/>
  <c r="H50" i="79"/>
  <c r="D52" i="79"/>
  <c r="F53" i="79"/>
  <c r="H54" i="79"/>
  <c r="D56" i="79"/>
  <c r="D43" i="79"/>
  <c r="H43" i="79"/>
  <c r="F44" i="79"/>
  <c r="D45" i="79"/>
  <c r="H45" i="79"/>
  <c r="F46" i="79"/>
  <c r="D47" i="79"/>
  <c r="H47" i="79"/>
  <c r="F48" i="79"/>
  <c r="D49" i="79"/>
  <c r="H49" i="79"/>
  <c r="F50" i="79"/>
  <c r="D51" i="79"/>
  <c r="H51" i="79"/>
  <c r="F52" i="79"/>
  <c r="D53" i="79"/>
  <c r="H53" i="79"/>
  <c r="F54" i="79"/>
  <c r="D55" i="79"/>
  <c r="H55" i="79"/>
  <c r="F56" i="79"/>
  <c r="F43" i="79"/>
  <c r="H44" i="79"/>
  <c r="D46" i="79"/>
  <c r="F47" i="79"/>
  <c r="H48" i="79"/>
  <c r="D50" i="79"/>
  <c r="F51" i="79"/>
  <c r="H52" i="79"/>
  <c r="D54" i="79"/>
  <c r="F55" i="79"/>
  <c r="H56" i="79"/>
  <c r="E43" i="79"/>
  <c r="I43" i="79"/>
  <c r="G44" i="79"/>
  <c r="E45" i="79"/>
  <c r="I45" i="79"/>
  <c r="G46" i="79"/>
  <c r="E47" i="79"/>
  <c r="I47" i="79"/>
  <c r="G48" i="79"/>
  <c r="E49" i="79"/>
  <c r="I49" i="79"/>
  <c r="G50" i="79"/>
  <c r="E51" i="79"/>
  <c r="I51" i="79"/>
  <c r="G52" i="79"/>
  <c r="E53" i="79"/>
  <c r="I53" i="79"/>
  <c r="G54" i="79"/>
  <c r="E55" i="79"/>
  <c r="I55" i="79"/>
  <c r="G56" i="79"/>
  <c r="H65" i="79"/>
  <c r="F64" i="79"/>
  <c r="D63" i="79"/>
  <c r="G64" i="79"/>
  <c r="D59" i="79" a="1"/>
  <c r="I59" i="79" s="1"/>
  <c r="E65" i="79"/>
  <c r="I63" i="79"/>
  <c r="G62" i="79"/>
  <c r="I65" i="79"/>
  <c r="E63" i="79"/>
  <c r="D65" i="79"/>
  <c r="H63" i="79"/>
  <c r="F62" i="79"/>
  <c r="G65" i="79"/>
  <c r="I64" i="79"/>
  <c r="E64" i="79"/>
  <c r="G63" i="79"/>
  <c r="I62" i="79"/>
  <c r="E62" i="79"/>
  <c r="F65" i="79"/>
  <c r="H64" i="79"/>
  <c r="D64" i="79"/>
  <c r="F63" i="79"/>
  <c r="H62" i="79"/>
  <c r="D63" i="78"/>
  <c r="F63" i="78"/>
  <c r="H64" i="78"/>
  <c r="D66" i="78"/>
  <c r="G63" i="78"/>
  <c r="I64" i="78"/>
  <c r="E66" i="78"/>
  <c r="D64" i="78"/>
  <c r="F65" i="78"/>
  <c r="H66" i="78"/>
  <c r="E64" i="78"/>
  <c r="G65" i="78"/>
  <c r="I66" i="78"/>
  <c r="D60" i="78" a="1"/>
  <c r="I60" i="78" s="1"/>
  <c r="G66" i="78"/>
  <c r="I65" i="78"/>
  <c r="E65" i="78"/>
  <c r="G64" i="78"/>
  <c r="I63" i="78"/>
  <c r="E63" i="78"/>
  <c r="F66" i="78"/>
  <c r="H65" i="78"/>
  <c r="D65" i="78"/>
  <c r="F64" i="78"/>
  <c r="H63" i="78"/>
  <c r="G61" i="78"/>
  <c r="D41" i="78"/>
  <c r="G41" i="78"/>
  <c r="I42" i="78"/>
  <c r="E44" i="78"/>
  <c r="E46" i="78"/>
  <c r="I48" i="78"/>
  <c r="G51" i="78"/>
  <c r="E54" i="78"/>
  <c r="I56" i="78"/>
  <c r="D42" i="78"/>
  <c r="F43" i="78"/>
  <c r="H44" i="78"/>
  <c r="I46" i="78"/>
  <c r="G49" i="78"/>
  <c r="E52" i="78"/>
  <c r="I54" i="78"/>
  <c r="G57" i="78"/>
  <c r="E42" i="78"/>
  <c r="G43" i="78"/>
  <c r="I44" i="78"/>
  <c r="G47" i="78"/>
  <c r="E50" i="78"/>
  <c r="I52" i="78"/>
  <c r="G55" i="78"/>
  <c r="F41" i="78"/>
  <c r="H42" i="78"/>
  <c r="D44" i="78"/>
  <c r="G45" i="78"/>
  <c r="E48" i="78"/>
  <c r="I50" i="78"/>
  <c r="G53" i="78"/>
  <c r="E56" i="78"/>
  <c r="F57" i="78"/>
  <c r="H56" i="78"/>
  <c r="D56" i="78"/>
  <c r="F55" i="78"/>
  <c r="H54" i="78"/>
  <c r="D54" i="78"/>
  <c r="F53" i="78"/>
  <c r="H52" i="78"/>
  <c r="D52" i="78"/>
  <c r="F51" i="78"/>
  <c r="H50" i="78"/>
  <c r="D50" i="78"/>
  <c r="F49" i="78"/>
  <c r="H48" i="78"/>
  <c r="D48" i="78"/>
  <c r="F47" i="78"/>
  <c r="H46" i="78"/>
  <c r="D46" i="78"/>
  <c r="F45" i="78"/>
  <c r="I57" i="78"/>
  <c r="E57" i="78"/>
  <c r="G56" i="78"/>
  <c r="I55" i="78"/>
  <c r="E55" i="78"/>
  <c r="G54" i="78"/>
  <c r="I53" i="78"/>
  <c r="E53" i="78"/>
  <c r="G52" i="78"/>
  <c r="I51" i="78"/>
  <c r="E51" i="78"/>
  <c r="G50" i="78"/>
  <c r="I49" i="78"/>
  <c r="E49" i="78"/>
  <c r="G48" i="78"/>
  <c r="I47" i="78"/>
  <c r="E47" i="78"/>
  <c r="G46" i="78"/>
  <c r="I45" i="78"/>
  <c r="E45" i="78"/>
  <c r="G44" i="78"/>
  <c r="I43" i="78"/>
  <c r="E43" i="78"/>
  <c r="G42" i="78"/>
  <c r="I41" i="78"/>
  <c r="E41" i="78"/>
  <c r="H57" i="78"/>
  <c r="D57" i="78"/>
  <c r="F56" i="78"/>
  <c r="H55" i="78"/>
  <c r="D55" i="78"/>
  <c r="F54" i="78"/>
  <c r="H53" i="78"/>
  <c r="D53" i="78"/>
  <c r="F52" i="78"/>
  <c r="H51" i="78"/>
  <c r="D51" i="78"/>
  <c r="F50" i="78"/>
  <c r="H49" i="78"/>
  <c r="D49" i="78"/>
  <c r="F48" i="78"/>
  <c r="H47" i="78"/>
  <c r="D47" i="78"/>
  <c r="F46" i="78"/>
  <c r="H45" i="78"/>
  <c r="D45" i="78"/>
  <c r="F44" i="78"/>
  <c r="H43" i="78"/>
  <c r="D43" i="78"/>
  <c r="F42" i="78"/>
  <c r="H41" i="78"/>
  <c r="D61" i="77" a="1"/>
  <c r="I62" i="77" s="1"/>
  <c r="D43" i="77"/>
  <c r="G45" i="77"/>
  <c r="E48" i="77"/>
  <c r="I50" i="77"/>
  <c r="G53" i="77"/>
  <c r="E56" i="77"/>
  <c r="I58" i="77"/>
  <c r="E44" i="77"/>
  <c r="I46" i="77"/>
  <c r="G49" i="77"/>
  <c r="E52" i="77"/>
  <c r="I54" i="77"/>
  <c r="G57" i="77"/>
  <c r="G43" i="77"/>
  <c r="E46" i="77"/>
  <c r="I48" i="77"/>
  <c r="G51" i="77"/>
  <c r="E54" i="77"/>
  <c r="I56" i="77"/>
  <c r="I44" i="77"/>
  <c r="G47" i="77"/>
  <c r="E50" i="77"/>
  <c r="I52" i="77"/>
  <c r="G55" i="77"/>
  <c r="E58" i="77"/>
  <c r="D64" i="77"/>
  <c r="D65" i="77"/>
  <c r="F66" i="77"/>
  <c r="H67" i="77"/>
  <c r="F64" i="77"/>
  <c r="H65" i="77"/>
  <c r="D67" i="77"/>
  <c r="E65" i="77"/>
  <c r="G66" i="77"/>
  <c r="I67" i="77"/>
  <c r="G64" i="77"/>
  <c r="I65" i="77"/>
  <c r="E67" i="77"/>
  <c r="E62" i="77"/>
  <c r="D62" i="77"/>
  <c r="D58" i="77"/>
  <c r="H56" i="77"/>
  <c r="F55" i="77"/>
  <c r="D54" i="77"/>
  <c r="H52" i="77"/>
  <c r="F51" i="77"/>
  <c r="D50" i="77"/>
  <c r="H48" i="77"/>
  <c r="F47" i="77"/>
  <c r="D46" i="77"/>
  <c r="H44" i="77"/>
  <c r="F43" i="77"/>
  <c r="G58" i="77"/>
  <c r="I57" i="77"/>
  <c r="E57" i="77"/>
  <c r="G56" i="77"/>
  <c r="I55" i="77"/>
  <c r="E55" i="77"/>
  <c r="G54" i="77"/>
  <c r="I53" i="77"/>
  <c r="E53" i="77"/>
  <c r="G52" i="77"/>
  <c r="I51" i="77"/>
  <c r="E51" i="77"/>
  <c r="G50" i="77"/>
  <c r="I49" i="77"/>
  <c r="E49" i="77"/>
  <c r="G48" i="77"/>
  <c r="I47" i="77"/>
  <c r="E47" i="77"/>
  <c r="G46" i="77"/>
  <c r="I45" i="77"/>
  <c r="E45" i="77"/>
  <c r="G44" i="77"/>
  <c r="I43" i="77"/>
  <c r="E43" i="77"/>
  <c r="H58" i="77"/>
  <c r="F57" i="77"/>
  <c r="D56" i="77"/>
  <c r="H54" i="77"/>
  <c r="F53" i="77"/>
  <c r="D52" i="77"/>
  <c r="H50" i="77"/>
  <c r="F49" i="77"/>
  <c r="D48" i="77"/>
  <c r="H46" i="77"/>
  <c r="F45" i="77"/>
  <c r="D44" i="77"/>
  <c r="F58" i="77"/>
  <c r="H57" i="77"/>
  <c r="D57" i="77"/>
  <c r="F56" i="77"/>
  <c r="H55" i="77"/>
  <c r="D55" i="77"/>
  <c r="F54" i="77"/>
  <c r="H53" i="77"/>
  <c r="D53" i="77"/>
  <c r="F52" i="77"/>
  <c r="H51" i="77"/>
  <c r="D51" i="77"/>
  <c r="F50" i="77"/>
  <c r="H49" i="77"/>
  <c r="D49" i="77"/>
  <c r="F48" i="77"/>
  <c r="H47" i="77"/>
  <c r="D47" i="77"/>
  <c r="F46" i="77"/>
  <c r="H45" i="77"/>
  <c r="D45" i="77"/>
  <c r="F44" i="77"/>
  <c r="H43" i="77"/>
  <c r="G67" i="77"/>
  <c r="I66" i="77"/>
  <c r="E66" i="77"/>
  <c r="G65" i="77"/>
  <c r="I64" i="77"/>
  <c r="E64" i="77"/>
  <c r="F67" i="77"/>
  <c r="H66" i="77"/>
  <c r="D66" i="77"/>
  <c r="F65" i="77"/>
  <c r="H64" i="77"/>
  <c r="I61" i="77"/>
  <c r="D57" i="76"/>
  <c r="F57" i="76"/>
  <c r="E58" i="76"/>
  <c r="E59" i="76"/>
  <c r="D60" i="76"/>
  <c r="I60" i="76"/>
  <c r="G57" i="76"/>
  <c r="G58" i="76"/>
  <c r="F59" i="76"/>
  <c r="E60" i="76"/>
  <c r="E57" i="76"/>
  <c r="D58" i="76"/>
  <c r="I58" i="76"/>
  <c r="I59" i="76"/>
  <c r="H60" i="76"/>
  <c r="I57" i="76"/>
  <c r="H58" i="76"/>
  <c r="G59" i="76"/>
  <c r="G60" i="76"/>
  <c r="G52" i="76"/>
  <c r="F52" i="76"/>
  <c r="I52" i="76"/>
  <c r="E52" i="76"/>
  <c r="H52" i="76"/>
  <c r="F60" i="76"/>
  <c r="H59" i="76"/>
  <c r="D59" i="76"/>
  <c r="F58" i="76"/>
  <c r="H57" i="76"/>
  <c r="G63" i="75"/>
  <c r="I62" i="75"/>
  <c r="E62" i="75"/>
  <c r="G61" i="75"/>
  <c r="I60" i="75"/>
  <c r="E60" i="75"/>
  <c r="F63" i="75"/>
  <c r="H62" i="75"/>
  <c r="D62" i="75"/>
  <c r="F61" i="75"/>
  <c r="H60" i="75"/>
  <c r="D38" i="133"/>
  <c r="E39" i="133"/>
  <c r="G40" i="133"/>
  <c r="I41" i="133"/>
  <c r="F38" i="133"/>
  <c r="H39" i="133"/>
  <c r="D41" i="133"/>
  <c r="F40" i="133"/>
  <c r="G38" i="133"/>
  <c r="I39" i="133"/>
  <c r="E41" i="133"/>
  <c r="D39" i="133"/>
  <c r="H41" i="133"/>
  <c r="D36" i="133" a="1"/>
  <c r="I36" i="133" s="1"/>
  <c r="I35" i="133" s="1"/>
  <c r="D31" i="133" a="1"/>
  <c r="I33" i="133" s="1"/>
  <c r="G41" i="133"/>
  <c r="I40" i="133"/>
  <c r="E40" i="133"/>
  <c r="G39" i="133"/>
  <c r="I38" i="133"/>
  <c r="E38" i="133"/>
  <c r="F41" i="133"/>
  <c r="H40" i="133"/>
  <c r="D40" i="133"/>
  <c r="F39" i="133"/>
  <c r="H38" i="133"/>
  <c r="D29" i="133"/>
  <c r="F29" i="133"/>
  <c r="G29" i="133"/>
  <c r="I29" i="133"/>
  <c r="E29" i="133"/>
  <c r="H29" i="133"/>
  <c r="Z56" i="133"/>
  <c r="I6" i="74"/>
  <c r="D88" i="74" s="1" a="1"/>
  <c r="J3" i="74"/>
  <c r="D6" i="74" s="1"/>
  <c r="N47" i="73"/>
  <c r="N46" i="73"/>
  <c r="N45" i="73"/>
  <c r="N44" i="73"/>
  <c r="N42" i="73"/>
  <c r="N41" i="73"/>
  <c r="N39" i="73"/>
  <c r="N38" i="73"/>
  <c r="N37" i="73"/>
  <c r="N36" i="73"/>
  <c r="N35" i="73"/>
  <c r="N34" i="73"/>
  <c r="N33" i="73"/>
  <c r="N32" i="73"/>
  <c r="N30" i="73"/>
  <c r="N29" i="73"/>
  <c r="N28" i="73"/>
  <c r="N27" i="73"/>
  <c r="N26" i="73"/>
  <c r="N24" i="73"/>
  <c r="N23" i="73"/>
  <c r="N22" i="73"/>
  <c r="N21" i="73"/>
  <c r="N20" i="73"/>
  <c r="N19" i="73"/>
  <c r="N18" i="73"/>
  <c r="N17" i="73"/>
  <c r="N16" i="73"/>
  <c r="N43" i="73"/>
  <c r="N40" i="73"/>
  <c r="N31" i="73"/>
  <c r="N25" i="73"/>
  <c r="N15" i="73"/>
  <c r="I6" i="73"/>
  <c r="D78" i="73" s="1" a="1"/>
  <c r="J3" i="73"/>
  <c r="D6" i="73" s="1"/>
  <c r="Y30" i="72"/>
  <c r="Y29" i="72"/>
  <c r="Y28" i="72"/>
  <c r="Y27" i="72"/>
  <c r="Y26" i="72"/>
  <c r="Y25" i="72"/>
  <c r="Y24" i="72"/>
  <c r="Y23" i="72"/>
  <c r="Y22" i="72"/>
  <c r="Y21" i="72"/>
  <c r="Y20" i="72"/>
  <c r="Y19" i="72"/>
  <c r="Y18" i="72"/>
  <c r="Y17" i="72"/>
  <c r="Y16" i="72"/>
  <c r="Y15" i="72"/>
  <c r="N30" i="72"/>
  <c r="N29" i="72"/>
  <c r="N28" i="72"/>
  <c r="N27" i="72"/>
  <c r="N25" i="72"/>
  <c r="N24" i="72"/>
  <c r="N22" i="72"/>
  <c r="N20" i="72"/>
  <c r="N19" i="72"/>
  <c r="N17" i="72"/>
  <c r="N26" i="72"/>
  <c r="N23" i="72"/>
  <c r="N21" i="72"/>
  <c r="N18" i="72"/>
  <c r="N16" i="72"/>
  <c r="N15" i="72"/>
  <c r="N14" i="72"/>
  <c r="N13" i="72"/>
  <c r="I5" i="72"/>
  <c r="D46" i="72" s="1" a="1"/>
  <c r="E46" i="72" l="1"/>
  <c r="G46" i="72"/>
  <c r="I47" i="72"/>
  <c r="E49" i="72"/>
  <c r="E47" i="72"/>
  <c r="I49" i="72"/>
  <c r="F47" i="72"/>
  <c r="H46" i="72"/>
  <c r="D48" i="72"/>
  <c r="F49" i="72"/>
  <c r="D46" i="72"/>
  <c r="H48" i="72"/>
  <c r="G48" i="72"/>
  <c r="G78" i="73"/>
  <c r="E79" i="73"/>
  <c r="I79" i="73"/>
  <c r="G80" i="73"/>
  <c r="E81" i="73"/>
  <c r="I81" i="73"/>
  <c r="D78" i="73"/>
  <c r="H78" i="73"/>
  <c r="F79" i="73"/>
  <c r="D80" i="73"/>
  <c r="H80" i="73"/>
  <c r="F81" i="73"/>
  <c r="E78" i="73"/>
  <c r="I78" i="73"/>
  <c r="G79" i="73"/>
  <c r="E80" i="73"/>
  <c r="I80" i="73"/>
  <c r="G81" i="73"/>
  <c r="F78" i="73"/>
  <c r="D79" i="73"/>
  <c r="H79" i="73"/>
  <c r="F80" i="73"/>
  <c r="D81" i="73"/>
  <c r="H81" i="73"/>
  <c r="H60" i="78"/>
  <c r="E60" i="78"/>
  <c r="U150" i="141"/>
  <c r="S144" i="141"/>
  <c r="S150" i="141" s="1"/>
  <c r="Z159" i="141"/>
  <c r="P157" i="141"/>
  <c r="U157" i="141" s="1"/>
  <c r="S157" i="141" s="1"/>
  <c r="P153" i="141"/>
  <c r="U153" i="141" s="1"/>
  <c r="S153" i="141" s="1"/>
  <c r="P156" i="141"/>
  <c r="U156" i="141" s="1"/>
  <c r="S156" i="141" s="1"/>
  <c r="P152" i="141"/>
  <c r="U152" i="141" s="1"/>
  <c r="P155" i="141"/>
  <c r="U155" i="141" s="1"/>
  <c r="S155" i="141" s="1"/>
  <c r="P154" i="141"/>
  <c r="U154" i="141" s="1"/>
  <c r="S154" i="141" s="1"/>
  <c r="N151" i="141"/>
  <c r="U156" i="140"/>
  <c r="S150" i="140"/>
  <c r="S156" i="140" s="1"/>
  <c r="P161" i="140"/>
  <c r="U161" i="140" s="1"/>
  <c r="S161" i="140" s="1"/>
  <c r="P160" i="140"/>
  <c r="U160" i="140" s="1"/>
  <c r="S160" i="140" s="1"/>
  <c r="N157" i="140"/>
  <c r="Z165" i="140"/>
  <c r="P163" i="140"/>
  <c r="U163" i="140" s="1"/>
  <c r="S163" i="140" s="1"/>
  <c r="P159" i="140"/>
  <c r="U159" i="140" s="1"/>
  <c r="S159" i="140" s="1"/>
  <c r="P162" i="140"/>
  <c r="U162" i="140" s="1"/>
  <c r="S162" i="140" s="1"/>
  <c r="P158" i="140"/>
  <c r="U158" i="140" s="1"/>
  <c r="U166" i="139"/>
  <c r="S160" i="139"/>
  <c r="S166" i="139" s="1"/>
  <c r="Z175" i="139"/>
  <c r="P173" i="139"/>
  <c r="U173" i="139" s="1"/>
  <c r="S173" i="139" s="1"/>
  <c r="P169" i="139"/>
  <c r="U169" i="139" s="1"/>
  <c r="S169" i="139" s="1"/>
  <c r="P172" i="139"/>
  <c r="U172" i="139" s="1"/>
  <c r="S172" i="139" s="1"/>
  <c r="P168" i="139"/>
  <c r="U168" i="139" s="1"/>
  <c r="P171" i="139"/>
  <c r="U171" i="139" s="1"/>
  <c r="S171" i="139" s="1"/>
  <c r="P170" i="139"/>
  <c r="U170" i="139" s="1"/>
  <c r="S170" i="139" s="1"/>
  <c r="N167" i="139"/>
  <c r="U150" i="138"/>
  <c r="S144" i="138"/>
  <c r="S150" i="138" s="1"/>
  <c r="Z159" i="138"/>
  <c r="P157" i="138"/>
  <c r="U157" i="138" s="1"/>
  <c r="S157" i="138" s="1"/>
  <c r="P153" i="138"/>
  <c r="U153" i="138" s="1"/>
  <c r="S153" i="138" s="1"/>
  <c r="P156" i="138"/>
  <c r="U156" i="138" s="1"/>
  <c r="S156" i="138" s="1"/>
  <c r="P152" i="138"/>
  <c r="U152" i="138" s="1"/>
  <c r="P155" i="138"/>
  <c r="U155" i="138" s="1"/>
  <c r="S155" i="138" s="1"/>
  <c r="P154" i="138"/>
  <c r="U154" i="138" s="1"/>
  <c r="S154" i="138" s="1"/>
  <c r="N151" i="138"/>
  <c r="U150" i="137"/>
  <c r="S144" i="137"/>
  <c r="S150" i="137" s="1"/>
  <c r="Z159" i="137"/>
  <c r="P157" i="137"/>
  <c r="U157" i="137" s="1"/>
  <c r="S157" i="137" s="1"/>
  <c r="P153" i="137"/>
  <c r="U153" i="137" s="1"/>
  <c r="S153" i="137" s="1"/>
  <c r="P156" i="137"/>
  <c r="U156" i="137" s="1"/>
  <c r="S156" i="137" s="1"/>
  <c r="P152" i="137"/>
  <c r="U152" i="137" s="1"/>
  <c r="P155" i="137"/>
  <c r="U155" i="137" s="1"/>
  <c r="S155" i="137" s="1"/>
  <c r="P154" i="137"/>
  <c r="U154" i="137" s="1"/>
  <c r="S154" i="137" s="1"/>
  <c r="N151" i="137"/>
  <c r="U155" i="136"/>
  <c r="S149" i="136"/>
  <c r="S155" i="136" s="1"/>
  <c r="Z164" i="136"/>
  <c r="P162" i="136"/>
  <c r="U162" i="136" s="1"/>
  <c r="S162" i="136" s="1"/>
  <c r="P158" i="136"/>
  <c r="U158" i="136" s="1"/>
  <c r="S158" i="136" s="1"/>
  <c r="P161" i="136"/>
  <c r="U161" i="136" s="1"/>
  <c r="S161" i="136" s="1"/>
  <c r="P157" i="136"/>
  <c r="U157" i="136" s="1"/>
  <c r="P160" i="136"/>
  <c r="U160" i="136" s="1"/>
  <c r="S160" i="136" s="1"/>
  <c r="P159" i="136"/>
  <c r="U159" i="136" s="1"/>
  <c r="S159" i="136" s="1"/>
  <c r="N156" i="136"/>
  <c r="L42" i="36"/>
  <c r="P43" i="36"/>
  <c r="M42" i="36"/>
  <c r="P42" i="36"/>
  <c r="P41" i="36" s="1"/>
  <c r="N42" i="36"/>
  <c r="M43" i="36"/>
  <c r="O42" i="36"/>
  <c r="N43" i="36"/>
  <c r="Q43" i="36"/>
  <c r="O43" i="36"/>
  <c r="L43" i="36"/>
  <c r="Q42" i="36"/>
  <c r="Q41" i="36" s="1"/>
  <c r="L33" i="36"/>
  <c r="N33" i="36"/>
  <c r="Q33" i="36"/>
  <c r="M33" i="36"/>
  <c r="O33" i="36"/>
  <c r="P33" i="36"/>
  <c r="L45" i="36"/>
  <c r="P46" i="36"/>
  <c r="M45" i="36"/>
  <c r="N46" i="36"/>
  <c r="N45" i="36"/>
  <c r="Q46" i="36"/>
  <c r="P45" i="36"/>
  <c r="O45" i="36"/>
  <c r="L46" i="36"/>
  <c r="O46" i="36"/>
  <c r="M46" i="36"/>
  <c r="Q45" i="36"/>
  <c r="L26" i="36"/>
  <c r="Q26" i="36"/>
  <c r="M26" i="36"/>
  <c r="O26" i="36"/>
  <c r="P26" i="36"/>
  <c r="N26" i="36"/>
  <c r="M39" i="36"/>
  <c r="P39" i="36"/>
  <c r="Q40" i="36"/>
  <c r="M40" i="36"/>
  <c r="L39" i="36"/>
  <c r="N40" i="36"/>
  <c r="O39" i="36"/>
  <c r="P40" i="36"/>
  <c r="Q39" i="36"/>
  <c r="L40" i="36"/>
  <c r="N39" i="36"/>
  <c r="O40" i="36"/>
  <c r="M34" i="36"/>
  <c r="P34" i="36"/>
  <c r="N34" i="36"/>
  <c r="O34" i="36"/>
  <c r="Q34" i="36"/>
  <c r="L34" i="36"/>
  <c r="L28" i="36"/>
  <c r="M28" i="36"/>
  <c r="Q28" i="36"/>
  <c r="P28" i="36"/>
  <c r="O28" i="36"/>
  <c r="N28" i="36"/>
  <c r="M30" i="36"/>
  <c r="M31" i="36"/>
  <c r="O30" i="36"/>
  <c r="Q31" i="36"/>
  <c r="P30" i="36"/>
  <c r="L30" i="36"/>
  <c r="N31" i="36"/>
  <c r="P31" i="36"/>
  <c r="Q30" i="36"/>
  <c r="L31" i="36"/>
  <c r="N30" i="36"/>
  <c r="O31" i="36"/>
  <c r="L35" i="36"/>
  <c r="Q35" i="36"/>
  <c r="M35" i="36"/>
  <c r="N35" i="36"/>
  <c r="O35" i="36"/>
  <c r="P35" i="36"/>
  <c r="M21" i="36"/>
  <c r="O21" i="36"/>
  <c r="Q22" i="36"/>
  <c r="N22" i="36"/>
  <c r="P21" i="36"/>
  <c r="M22" i="36"/>
  <c r="L21" i="36"/>
  <c r="N21" i="36"/>
  <c r="O22" i="36"/>
  <c r="P22" i="36"/>
  <c r="Q21" i="36"/>
  <c r="L22" i="36"/>
  <c r="L36" i="36"/>
  <c r="P37" i="36"/>
  <c r="Q36" i="36"/>
  <c r="Q37" i="36"/>
  <c r="L37" i="36"/>
  <c r="M36" i="36"/>
  <c r="M37" i="36"/>
  <c r="N36" i="36"/>
  <c r="N37" i="36"/>
  <c r="O36" i="36"/>
  <c r="O37" i="36"/>
  <c r="P36" i="36"/>
  <c r="H59" i="79"/>
  <c r="F60" i="79"/>
  <c r="G60" i="79"/>
  <c r="E59" i="79"/>
  <c r="D59" i="79"/>
  <c r="D60" i="79"/>
  <c r="G59" i="79"/>
  <c r="E60" i="79"/>
  <c r="I60" i="79"/>
  <c r="F59" i="79"/>
  <c r="H60" i="79"/>
  <c r="D60" i="78"/>
  <c r="E61" i="78"/>
  <c r="F60" i="78"/>
  <c r="H61" i="78"/>
  <c r="G60" i="78"/>
  <c r="I61" i="78"/>
  <c r="D61" i="78"/>
  <c r="F61" i="78"/>
  <c r="F62" i="77"/>
  <c r="E61" i="77"/>
  <c r="G61" i="77"/>
  <c r="H61" i="77"/>
  <c r="G62" i="77"/>
  <c r="D61" i="77"/>
  <c r="H62" i="77"/>
  <c r="F61" i="77"/>
  <c r="W28" i="76" a="1"/>
  <c r="W28" i="76" s="1"/>
  <c r="E36" i="133"/>
  <c r="E35" i="133" s="1"/>
  <c r="H31" i="133"/>
  <c r="P53" i="133" s="1"/>
  <c r="U53" i="133" s="1"/>
  <c r="S53" i="133" s="1"/>
  <c r="F34" i="133"/>
  <c r="E33" i="133"/>
  <c r="F32" i="133"/>
  <c r="E31" i="133"/>
  <c r="D36" i="133"/>
  <c r="D35" i="133" s="1"/>
  <c r="F36" i="133"/>
  <c r="F35" i="133" s="1"/>
  <c r="G36" i="133"/>
  <c r="D31" i="133"/>
  <c r="E32" i="133"/>
  <c r="P58" i="133" s="1"/>
  <c r="U58" i="133" s="1"/>
  <c r="S58" i="133" s="1"/>
  <c r="G33" i="133"/>
  <c r="I34" i="133"/>
  <c r="F31" i="133"/>
  <c r="P51" i="133" s="1"/>
  <c r="U51" i="133" s="1"/>
  <c r="S51" i="133" s="1"/>
  <c r="H32" i="133"/>
  <c r="P61" i="133" s="1"/>
  <c r="U61" i="133" s="1"/>
  <c r="S61" i="133" s="1"/>
  <c r="D34" i="133"/>
  <c r="G31" i="133"/>
  <c r="I32" i="133"/>
  <c r="P62" i="133" s="1"/>
  <c r="U62" i="133" s="1"/>
  <c r="S62" i="133" s="1"/>
  <c r="E34" i="133"/>
  <c r="D32" i="133"/>
  <c r="P57" i="133" s="1"/>
  <c r="U57" i="133" s="1"/>
  <c r="F33" i="133"/>
  <c r="H34" i="133"/>
  <c r="D33" i="133"/>
  <c r="I31" i="133"/>
  <c r="P54" i="133" s="1"/>
  <c r="U54" i="133" s="1"/>
  <c r="S54" i="133" s="1"/>
  <c r="G34" i="133"/>
  <c r="H33" i="133"/>
  <c r="G32" i="133"/>
  <c r="P60" i="133" s="1"/>
  <c r="U60" i="133" s="1"/>
  <c r="S60" i="133" s="1"/>
  <c r="H36" i="133"/>
  <c r="H35" i="133" s="1"/>
  <c r="E37" i="133"/>
  <c r="W25" i="133" a="1"/>
  <c r="W25" i="133" s="1"/>
  <c r="I37" i="133"/>
  <c r="G35" i="133"/>
  <c r="P52" i="133"/>
  <c r="U52" i="133" s="1"/>
  <c r="S52" i="133" s="1"/>
  <c r="P59" i="133"/>
  <c r="U59" i="133" s="1"/>
  <c r="S59" i="133" s="1"/>
  <c r="P50" i="133"/>
  <c r="U50" i="133" s="1"/>
  <c r="S50" i="133" s="1"/>
  <c r="W24" i="133" a="1"/>
  <c r="W24" i="133" s="1"/>
  <c r="W26" i="133" a="1"/>
  <c r="W26" i="133" s="1"/>
  <c r="D37" i="133"/>
  <c r="W23" i="133" a="1"/>
  <c r="W23" i="133" s="1"/>
  <c r="G37" i="133"/>
  <c r="H37" i="133"/>
  <c r="F37" i="133"/>
  <c r="N56" i="133"/>
  <c r="Z64" i="133"/>
  <c r="D88" i="74"/>
  <c r="H88" i="74"/>
  <c r="F89" i="74"/>
  <c r="D90" i="74"/>
  <c r="H90" i="74"/>
  <c r="F91" i="74"/>
  <c r="E88" i="74"/>
  <c r="I88" i="74"/>
  <c r="G89" i="74"/>
  <c r="E90" i="74"/>
  <c r="I90" i="74"/>
  <c r="G91" i="74"/>
  <c r="F88" i="74"/>
  <c r="D89" i="74"/>
  <c r="H89" i="74"/>
  <c r="F90" i="74"/>
  <c r="D91" i="74"/>
  <c r="H91" i="74"/>
  <c r="G88" i="74"/>
  <c r="E89" i="74"/>
  <c r="I89" i="74"/>
  <c r="G90" i="74"/>
  <c r="E91" i="74"/>
  <c r="I91" i="74"/>
  <c r="H49" i="72"/>
  <c r="D49" i="72"/>
  <c r="F48" i="72"/>
  <c r="H47" i="72"/>
  <c r="D47" i="72"/>
  <c r="F46" i="72"/>
  <c r="G49" i="72"/>
  <c r="I48" i="72"/>
  <c r="E48" i="72"/>
  <c r="G47" i="72"/>
  <c r="I46" i="72"/>
  <c r="Y35" i="70"/>
  <c r="Y34" i="70"/>
  <c r="Y33" i="70"/>
  <c r="Y32" i="70"/>
  <c r="Y31" i="70"/>
  <c r="Y30" i="70"/>
  <c r="Y29" i="70"/>
  <c r="Y28" i="70"/>
  <c r="Y27" i="70"/>
  <c r="Y26" i="70"/>
  <c r="Y25" i="70"/>
  <c r="Y24" i="70"/>
  <c r="Y23" i="70"/>
  <c r="Y22" i="70"/>
  <c r="Y21" i="70"/>
  <c r="Y20" i="70"/>
  <c r="Y19" i="70"/>
  <c r="Y18" i="70"/>
  <c r="Y17" i="70"/>
  <c r="Y16" i="70"/>
  <c r="Y15" i="70"/>
  <c r="N31" i="70"/>
  <c r="N29" i="70"/>
  <c r="N17" i="70"/>
  <c r="N35" i="70"/>
  <c r="N34" i="70"/>
  <c r="N33" i="70"/>
  <c r="N32" i="70"/>
  <c r="N30" i="70"/>
  <c r="N28" i="70"/>
  <c r="N27" i="70"/>
  <c r="N26" i="70"/>
  <c r="N25" i="70"/>
  <c r="N24" i="70"/>
  <c r="N23" i="70"/>
  <c r="N22" i="70"/>
  <c r="N21" i="70"/>
  <c r="N20" i="70"/>
  <c r="N19" i="70"/>
  <c r="N18" i="70"/>
  <c r="N16" i="70"/>
  <c r="N15" i="70"/>
  <c r="N14" i="70"/>
  <c r="I5" i="70"/>
  <c r="D56" i="70" s="1" a="1"/>
  <c r="D56" i="70" s="1"/>
  <c r="C37" i="70"/>
  <c r="Y41" i="69"/>
  <c r="Y40" i="69"/>
  <c r="Y39" i="69"/>
  <c r="Y38" i="69"/>
  <c r="Y37" i="69"/>
  <c r="Y36" i="69"/>
  <c r="Y35" i="69"/>
  <c r="Y34" i="69"/>
  <c r="Y33" i="69"/>
  <c r="Y32" i="69"/>
  <c r="Y31" i="69"/>
  <c r="Y30" i="69"/>
  <c r="Y29" i="69"/>
  <c r="Y28" i="69"/>
  <c r="Y27" i="69"/>
  <c r="Y26" i="69"/>
  <c r="Y25" i="69"/>
  <c r="Y24" i="69"/>
  <c r="Y23" i="69"/>
  <c r="Y22" i="69"/>
  <c r="Y21" i="69"/>
  <c r="Y20" i="69"/>
  <c r="Y19" i="69"/>
  <c r="Y18" i="69"/>
  <c r="Y17" i="69"/>
  <c r="Y16" i="69"/>
  <c r="Y15" i="69"/>
  <c r="N37" i="69"/>
  <c r="N34" i="69"/>
  <c r="N26" i="69"/>
  <c r="N22" i="69"/>
  <c r="N41" i="69"/>
  <c r="N40" i="69"/>
  <c r="N39" i="69"/>
  <c r="N38" i="69"/>
  <c r="N36" i="69"/>
  <c r="N35" i="69"/>
  <c r="N33" i="69"/>
  <c r="N32" i="69"/>
  <c r="N31" i="69"/>
  <c r="N30" i="69"/>
  <c r="N29" i="69"/>
  <c r="N28" i="69"/>
  <c r="N27" i="69"/>
  <c r="N25" i="69"/>
  <c r="N24" i="69"/>
  <c r="N23" i="69"/>
  <c r="N21" i="69"/>
  <c r="N20" i="69"/>
  <c r="N19" i="69"/>
  <c r="N18" i="69"/>
  <c r="N17" i="69"/>
  <c r="N16" i="69"/>
  <c r="N15" i="69"/>
  <c r="N14" i="69"/>
  <c r="N13" i="69"/>
  <c r="N38" i="36" l="1"/>
  <c r="O41" i="36"/>
  <c r="U158" i="141"/>
  <c r="S152" i="141"/>
  <c r="S158" i="141" s="1"/>
  <c r="P163" i="141"/>
  <c r="U163" i="141" s="1"/>
  <c r="S163" i="141" s="1"/>
  <c r="P162" i="141"/>
  <c r="U162" i="141" s="1"/>
  <c r="S162" i="141" s="1"/>
  <c r="N159" i="141"/>
  <c r="Z167" i="141"/>
  <c r="P165" i="141"/>
  <c r="U165" i="141" s="1"/>
  <c r="S165" i="141" s="1"/>
  <c r="P161" i="141"/>
  <c r="U161" i="141" s="1"/>
  <c r="S161" i="141" s="1"/>
  <c r="P164" i="141"/>
  <c r="U164" i="141" s="1"/>
  <c r="S164" i="141" s="1"/>
  <c r="P160" i="141"/>
  <c r="U160" i="141" s="1"/>
  <c r="U164" i="140"/>
  <c r="S158" i="140"/>
  <c r="S164" i="140" s="1"/>
  <c r="Z173" i="140"/>
  <c r="P171" i="140"/>
  <c r="U171" i="140" s="1"/>
  <c r="S171" i="140" s="1"/>
  <c r="P167" i="140"/>
  <c r="U167" i="140" s="1"/>
  <c r="S167" i="140" s="1"/>
  <c r="P170" i="140"/>
  <c r="U170" i="140" s="1"/>
  <c r="S170" i="140" s="1"/>
  <c r="P166" i="140"/>
  <c r="U166" i="140" s="1"/>
  <c r="P169" i="140"/>
  <c r="U169" i="140" s="1"/>
  <c r="S169" i="140" s="1"/>
  <c r="P168" i="140"/>
  <c r="U168" i="140" s="1"/>
  <c r="S168" i="140" s="1"/>
  <c r="N165" i="140"/>
  <c r="S168" i="139"/>
  <c r="S174" i="139" s="1"/>
  <c r="U174" i="139"/>
  <c r="P179" i="139"/>
  <c r="U179" i="139" s="1"/>
  <c r="S179" i="139" s="1"/>
  <c r="P178" i="139"/>
  <c r="U178" i="139" s="1"/>
  <c r="S178" i="139" s="1"/>
  <c r="N175" i="139"/>
  <c r="Z183" i="139"/>
  <c r="P177" i="139"/>
  <c r="U177" i="139" s="1"/>
  <c r="S177" i="139" s="1"/>
  <c r="P176" i="139"/>
  <c r="U176" i="139" s="1"/>
  <c r="P180" i="139"/>
  <c r="U180" i="139" s="1"/>
  <c r="S180" i="139" s="1"/>
  <c r="P181" i="139"/>
  <c r="U181" i="139" s="1"/>
  <c r="S181" i="139" s="1"/>
  <c r="U158" i="138"/>
  <c r="S152" i="138"/>
  <c r="S158" i="138" s="1"/>
  <c r="P163" i="138"/>
  <c r="U163" i="138" s="1"/>
  <c r="S163" i="138" s="1"/>
  <c r="P162" i="138"/>
  <c r="U162" i="138" s="1"/>
  <c r="S162" i="138" s="1"/>
  <c r="N159" i="138"/>
  <c r="Z167" i="138"/>
  <c r="P165" i="138"/>
  <c r="U165" i="138" s="1"/>
  <c r="S165" i="138" s="1"/>
  <c r="P161" i="138"/>
  <c r="U161" i="138" s="1"/>
  <c r="S161" i="138" s="1"/>
  <c r="P160" i="138"/>
  <c r="U160" i="138" s="1"/>
  <c r="P164" i="138"/>
  <c r="U164" i="138" s="1"/>
  <c r="S164" i="138" s="1"/>
  <c r="U158" i="137"/>
  <c r="S152" i="137"/>
  <c r="S158" i="137" s="1"/>
  <c r="P163" i="137"/>
  <c r="U163" i="137" s="1"/>
  <c r="S163" i="137" s="1"/>
  <c r="P162" i="137"/>
  <c r="U162" i="137" s="1"/>
  <c r="S162" i="137" s="1"/>
  <c r="N159" i="137"/>
  <c r="Z167" i="137"/>
  <c r="P165" i="137"/>
  <c r="U165" i="137" s="1"/>
  <c r="S165" i="137" s="1"/>
  <c r="P161" i="137"/>
  <c r="U161" i="137" s="1"/>
  <c r="S161" i="137" s="1"/>
  <c r="P164" i="137"/>
  <c r="U164" i="137" s="1"/>
  <c r="S164" i="137" s="1"/>
  <c r="P160" i="137"/>
  <c r="U160" i="137" s="1"/>
  <c r="U163" i="136"/>
  <c r="S157" i="136"/>
  <c r="S163" i="136" s="1"/>
  <c r="P168" i="136"/>
  <c r="U168" i="136" s="1"/>
  <c r="S168" i="136" s="1"/>
  <c r="P167" i="136"/>
  <c r="U167" i="136" s="1"/>
  <c r="S167" i="136" s="1"/>
  <c r="N164" i="136"/>
  <c r="Z172" i="136"/>
  <c r="P170" i="136"/>
  <c r="U170" i="136" s="1"/>
  <c r="S170" i="136" s="1"/>
  <c r="P166" i="136"/>
  <c r="U166" i="136" s="1"/>
  <c r="S166" i="136" s="1"/>
  <c r="P169" i="136"/>
  <c r="U169" i="136" s="1"/>
  <c r="S169" i="136" s="1"/>
  <c r="P165" i="136"/>
  <c r="U165" i="136" s="1"/>
  <c r="AC37" i="36" a="1"/>
  <c r="AC37" i="36" s="1"/>
  <c r="AC36" i="36" a="1"/>
  <c r="AC36" i="36" s="1"/>
  <c r="AC26" i="36" a="1"/>
  <c r="AC26" i="36" s="1"/>
  <c r="AC43" i="36" a="1"/>
  <c r="AC43" i="36" s="1"/>
  <c r="AC22" i="36" a="1"/>
  <c r="AC22" i="36" s="1"/>
  <c r="AC31" i="36" a="1"/>
  <c r="AC31" i="36" s="1"/>
  <c r="AC30" i="36" a="1"/>
  <c r="AC30" i="36" s="1"/>
  <c r="AC40" i="36" a="1"/>
  <c r="AC40" i="36" s="1"/>
  <c r="AC21" i="36" a="1"/>
  <c r="AC21" i="36" s="1"/>
  <c r="AC39" i="36" a="1"/>
  <c r="AC39" i="36" s="1"/>
  <c r="AC42" i="36" a="1"/>
  <c r="AC42" i="36" s="1"/>
  <c r="AC34" i="36" a="1"/>
  <c r="AC34" i="36" s="1"/>
  <c r="AC35" i="36" a="1"/>
  <c r="AC35" i="36" s="1"/>
  <c r="M32" i="36"/>
  <c r="AC28" i="36" a="1"/>
  <c r="AC28" i="36" s="1"/>
  <c r="O38" i="36"/>
  <c r="Q32" i="36"/>
  <c r="P38" i="36"/>
  <c r="P32" i="36"/>
  <c r="N32" i="36"/>
  <c r="M41" i="36"/>
  <c r="Q38" i="36"/>
  <c r="L38" i="36"/>
  <c r="M38" i="36"/>
  <c r="O32" i="36"/>
  <c r="L32" i="36"/>
  <c r="N41" i="36"/>
  <c r="L41" i="36"/>
  <c r="W21" i="133" a="1"/>
  <c r="W21" i="133" s="1"/>
  <c r="W20" i="133" s="1"/>
  <c r="W18" i="133" a="1"/>
  <c r="W18" i="133" s="1"/>
  <c r="P67" i="133"/>
  <c r="U67" i="133" s="1"/>
  <c r="S67" i="133" s="1"/>
  <c r="N64" i="133"/>
  <c r="Z72" i="133"/>
  <c r="P70" i="133"/>
  <c r="U70" i="133" s="1"/>
  <c r="S70" i="133" s="1"/>
  <c r="P66" i="133"/>
  <c r="U66" i="133" s="1"/>
  <c r="S66" i="133" s="1"/>
  <c r="P69" i="133"/>
  <c r="U69" i="133" s="1"/>
  <c r="S69" i="133" s="1"/>
  <c r="P65" i="133"/>
  <c r="U65" i="133" s="1"/>
  <c r="P68" i="133"/>
  <c r="U68" i="133" s="1"/>
  <c r="S68" i="133" s="1"/>
  <c r="E30" i="133"/>
  <c r="G30" i="133"/>
  <c r="D30" i="133"/>
  <c r="W16" i="133" a="1"/>
  <c r="W16" i="133" s="1"/>
  <c r="F30" i="133"/>
  <c r="W19" i="133" a="1"/>
  <c r="W19" i="133" s="1"/>
  <c r="W22" i="133"/>
  <c r="G28" i="133"/>
  <c r="P44" i="133"/>
  <c r="U44" i="133" s="1"/>
  <c r="S44" i="133" s="1"/>
  <c r="P43" i="133"/>
  <c r="U43" i="133" s="1"/>
  <c r="S43" i="133" s="1"/>
  <c r="F28" i="133"/>
  <c r="P41" i="133"/>
  <c r="U41" i="133" s="1"/>
  <c r="D28" i="133"/>
  <c r="W14" i="133" a="1"/>
  <c r="W14" i="133" s="1"/>
  <c r="H30" i="133"/>
  <c r="W17" i="133" a="1"/>
  <c r="W17" i="133" s="1"/>
  <c r="P49" i="133"/>
  <c r="U49" i="133" s="1"/>
  <c r="P45" i="133"/>
  <c r="U45" i="133" s="1"/>
  <c r="S45" i="133" s="1"/>
  <c r="H28" i="133"/>
  <c r="P42" i="133"/>
  <c r="U42" i="133" s="1"/>
  <c r="S42" i="133" s="1"/>
  <c r="E28" i="133"/>
  <c r="U63" i="133"/>
  <c r="S57" i="133"/>
  <c r="S63" i="133" s="1"/>
  <c r="I30" i="133"/>
  <c r="P46" i="133"/>
  <c r="U46" i="133" s="1"/>
  <c r="S46" i="133" s="1"/>
  <c r="I28" i="133"/>
  <c r="I57" i="70"/>
  <c r="D59" i="70"/>
  <c r="H57" i="70"/>
  <c r="D57" i="70"/>
  <c r="F56" i="70"/>
  <c r="E59" i="70"/>
  <c r="G56" i="70"/>
  <c r="F58" i="70"/>
  <c r="G59" i="70"/>
  <c r="I58" i="70"/>
  <c r="E58" i="70"/>
  <c r="G57" i="70"/>
  <c r="I56" i="70"/>
  <c r="E56" i="70"/>
  <c r="I59" i="70"/>
  <c r="G58" i="70"/>
  <c r="E57" i="70"/>
  <c r="H59" i="70"/>
  <c r="F59" i="70"/>
  <c r="H58" i="70"/>
  <c r="D58" i="70"/>
  <c r="F57" i="70"/>
  <c r="H56" i="70"/>
  <c r="B71" i="69"/>
  <c r="B70" i="69"/>
  <c r="B69" i="69"/>
  <c r="B68" i="69"/>
  <c r="B67" i="69"/>
  <c r="B66" i="69"/>
  <c r="B65" i="69"/>
  <c r="B64" i="69"/>
  <c r="B63" i="69"/>
  <c r="B62" i="69"/>
  <c r="B61" i="69"/>
  <c r="B60" i="69"/>
  <c r="B59" i="69"/>
  <c r="B58" i="69"/>
  <c r="B57" i="69"/>
  <c r="B56" i="69"/>
  <c r="B55" i="69"/>
  <c r="B54" i="69"/>
  <c r="B53" i="69"/>
  <c r="B52" i="69"/>
  <c r="B51" i="69"/>
  <c r="B50" i="69"/>
  <c r="B49" i="69"/>
  <c r="B48" i="69"/>
  <c r="B47" i="69"/>
  <c r="B46" i="69"/>
  <c r="B45" i="69"/>
  <c r="B44" i="69"/>
  <c r="B43" i="69"/>
  <c r="W5" i="146" l="1" a="1"/>
  <c r="W5" i="146" s="1"/>
  <c r="U166" i="141"/>
  <c r="S160" i="141"/>
  <c r="S166" i="141" s="1"/>
  <c r="Z175" i="141"/>
  <c r="P173" i="141"/>
  <c r="U173" i="141" s="1"/>
  <c r="S173" i="141" s="1"/>
  <c r="P169" i="141"/>
  <c r="U169" i="141" s="1"/>
  <c r="S169" i="141" s="1"/>
  <c r="P172" i="141"/>
  <c r="U172" i="141" s="1"/>
  <c r="S172" i="141" s="1"/>
  <c r="P168" i="141"/>
  <c r="U168" i="141" s="1"/>
  <c r="P171" i="141"/>
  <c r="U171" i="141" s="1"/>
  <c r="S171" i="141" s="1"/>
  <c r="P170" i="141"/>
  <c r="U170" i="141" s="1"/>
  <c r="S170" i="141" s="1"/>
  <c r="N167" i="141"/>
  <c r="U172" i="140"/>
  <c r="S166" i="140"/>
  <c r="S172" i="140" s="1"/>
  <c r="P177" i="140"/>
  <c r="U177" i="140" s="1"/>
  <c r="S177" i="140" s="1"/>
  <c r="P176" i="140"/>
  <c r="U176" i="140" s="1"/>
  <c r="S176" i="140" s="1"/>
  <c r="N173" i="140"/>
  <c r="Z181" i="140"/>
  <c r="P179" i="140"/>
  <c r="U179" i="140" s="1"/>
  <c r="S179" i="140" s="1"/>
  <c r="P175" i="140"/>
  <c r="U175" i="140" s="1"/>
  <c r="S175" i="140" s="1"/>
  <c r="P178" i="140"/>
  <c r="U178" i="140" s="1"/>
  <c r="S178" i="140" s="1"/>
  <c r="P174" i="140"/>
  <c r="U174" i="140" s="1"/>
  <c r="Z191" i="139"/>
  <c r="P189" i="139"/>
  <c r="U189" i="139" s="1"/>
  <c r="S189" i="139" s="1"/>
  <c r="P185" i="139"/>
  <c r="U185" i="139" s="1"/>
  <c r="S185" i="139" s="1"/>
  <c r="P188" i="139"/>
  <c r="U188" i="139" s="1"/>
  <c r="S188" i="139" s="1"/>
  <c r="P184" i="139"/>
  <c r="U184" i="139" s="1"/>
  <c r="P187" i="139"/>
  <c r="U187" i="139" s="1"/>
  <c r="S187" i="139" s="1"/>
  <c r="P186" i="139"/>
  <c r="U186" i="139" s="1"/>
  <c r="S186" i="139" s="1"/>
  <c r="N183" i="139"/>
  <c r="U182" i="139"/>
  <c r="S176" i="139"/>
  <c r="S182" i="139" s="1"/>
  <c r="Z175" i="138"/>
  <c r="P173" i="138"/>
  <c r="U173" i="138" s="1"/>
  <c r="S173" i="138" s="1"/>
  <c r="P169" i="138"/>
  <c r="U169" i="138" s="1"/>
  <c r="S169" i="138" s="1"/>
  <c r="P172" i="138"/>
  <c r="U172" i="138" s="1"/>
  <c r="S172" i="138" s="1"/>
  <c r="P168" i="138"/>
  <c r="U168" i="138" s="1"/>
  <c r="P171" i="138"/>
  <c r="U171" i="138" s="1"/>
  <c r="S171" i="138" s="1"/>
  <c r="P170" i="138"/>
  <c r="U170" i="138" s="1"/>
  <c r="S170" i="138" s="1"/>
  <c r="N167" i="138"/>
  <c r="U166" i="138"/>
  <c r="S160" i="138"/>
  <c r="S166" i="138" s="1"/>
  <c r="U166" i="137"/>
  <c r="S160" i="137"/>
  <c r="S166" i="137" s="1"/>
  <c r="Z175" i="137"/>
  <c r="P173" i="137"/>
  <c r="U173" i="137" s="1"/>
  <c r="S173" i="137" s="1"/>
  <c r="P169" i="137"/>
  <c r="U169" i="137" s="1"/>
  <c r="S169" i="137" s="1"/>
  <c r="P172" i="137"/>
  <c r="U172" i="137" s="1"/>
  <c r="S172" i="137" s="1"/>
  <c r="P168" i="137"/>
  <c r="U168" i="137" s="1"/>
  <c r="P171" i="137"/>
  <c r="U171" i="137" s="1"/>
  <c r="S171" i="137" s="1"/>
  <c r="P170" i="137"/>
  <c r="U170" i="137" s="1"/>
  <c r="S170" i="137" s="1"/>
  <c r="N167" i="137"/>
  <c r="U171" i="136"/>
  <c r="S165" i="136"/>
  <c r="S171" i="136" s="1"/>
  <c r="Z180" i="136"/>
  <c r="P178" i="136"/>
  <c r="U178" i="136" s="1"/>
  <c r="S178" i="136" s="1"/>
  <c r="P174" i="136"/>
  <c r="U174" i="136" s="1"/>
  <c r="S174" i="136" s="1"/>
  <c r="P177" i="136"/>
  <c r="U177" i="136" s="1"/>
  <c r="S177" i="136" s="1"/>
  <c r="P173" i="136"/>
  <c r="U173" i="136" s="1"/>
  <c r="P176" i="136"/>
  <c r="U176" i="136" s="1"/>
  <c r="S176" i="136" s="1"/>
  <c r="P175" i="136"/>
  <c r="U175" i="136" s="1"/>
  <c r="S175" i="136" s="1"/>
  <c r="N172" i="136"/>
  <c r="AC38" i="36"/>
  <c r="W15" i="133"/>
  <c r="S65" i="133"/>
  <c r="S71" i="133" s="1"/>
  <c r="U71" i="133"/>
  <c r="P77" i="133"/>
  <c r="U77" i="133" s="1"/>
  <c r="S77" i="133" s="1"/>
  <c r="P73" i="133"/>
  <c r="U73" i="133" s="1"/>
  <c r="P76" i="133"/>
  <c r="U76" i="133" s="1"/>
  <c r="S76" i="133" s="1"/>
  <c r="P75" i="133"/>
  <c r="U75" i="133" s="1"/>
  <c r="S75" i="133" s="1"/>
  <c r="N72" i="133"/>
  <c r="P74" i="133"/>
  <c r="U74" i="133" s="1"/>
  <c r="S74" i="133" s="1"/>
  <c r="Z80" i="133"/>
  <c r="P78" i="133"/>
  <c r="U78" i="133" s="1"/>
  <c r="S78" i="133" s="1"/>
  <c r="U47" i="133"/>
  <c r="S41" i="133"/>
  <c r="S47" i="133" s="1"/>
  <c r="W13" i="133"/>
  <c r="U55" i="133"/>
  <c r="S49" i="133"/>
  <c r="S55" i="133" s="1"/>
  <c r="N28" i="68"/>
  <c r="N25" i="68"/>
  <c r="N21" i="68"/>
  <c r="N32" i="68"/>
  <c r="N31" i="68"/>
  <c r="N30" i="68"/>
  <c r="N29" i="68"/>
  <c r="N27" i="68"/>
  <c r="N26" i="68"/>
  <c r="N24" i="68"/>
  <c r="N23" i="68"/>
  <c r="N22" i="68"/>
  <c r="N20" i="68"/>
  <c r="N19" i="68"/>
  <c r="N18" i="68"/>
  <c r="N17" i="68"/>
  <c r="N16" i="68"/>
  <c r="N15" i="68"/>
  <c r="N14" i="68"/>
  <c r="N13" i="68"/>
  <c r="B53" i="68"/>
  <c r="B52" i="68"/>
  <c r="B51" i="68"/>
  <c r="B50" i="68"/>
  <c r="B49" i="68"/>
  <c r="B48" i="68"/>
  <c r="B47" i="68"/>
  <c r="B46" i="68"/>
  <c r="B45" i="68"/>
  <c r="B44" i="68"/>
  <c r="B43" i="68"/>
  <c r="B42" i="68"/>
  <c r="B41" i="68"/>
  <c r="B40" i="68"/>
  <c r="B39" i="68"/>
  <c r="B38" i="68"/>
  <c r="B37" i="68"/>
  <c r="B36" i="68"/>
  <c r="B35" i="68"/>
  <c r="B34" i="68"/>
  <c r="I5" i="69"/>
  <c r="D68" i="69" s="1" a="1"/>
  <c r="U174" i="141" l="1"/>
  <c r="S168" i="141"/>
  <c r="S174" i="141" s="1"/>
  <c r="P179" i="141"/>
  <c r="U179" i="141" s="1"/>
  <c r="S179" i="141" s="1"/>
  <c r="P178" i="141"/>
  <c r="U178" i="141" s="1"/>
  <c r="S178" i="141" s="1"/>
  <c r="N175" i="141"/>
  <c r="Z183" i="141"/>
  <c r="P181" i="141"/>
  <c r="U181" i="141" s="1"/>
  <c r="S181" i="141" s="1"/>
  <c r="P177" i="141"/>
  <c r="U177" i="141" s="1"/>
  <c r="S177" i="141" s="1"/>
  <c r="P180" i="141"/>
  <c r="U180" i="141" s="1"/>
  <c r="S180" i="141" s="1"/>
  <c r="P176" i="141"/>
  <c r="U176" i="141" s="1"/>
  <c r="U180" i="140"/>
  <c r="S174" i="140"/>
  <c r="S180" i="140" s="1"/>
  <c r="Z189" i="140"/>
  <c r="P187" i="140"/>
  <c r="U187" i="140" s="1"/>
  <c r="S187" i="140" s="1"/>
  <c r="P183" i="140"/>
  <c r="U183" i="140" s="1"/>
  <c r="S183" i="140" s="1"/>
  <c r="P186" i="140"/>
  <c r="U186" i="140" s="1"/>
  <c r="S186" i="140" s="1"/>
  <c r="P182" i="140"/>
  <c r="U182" i="140" s="1"/>
  <c r="P185" i="140"/>
  <c r="U185" i="140" s="1"/>
  <c r="S185" i="140" s="1"/>
  <c r="P184" i="140"/>
  <c r="U184" i="140" s="1"/>
  <c r="S184" i="140" s="1"/>
  <c r="N181" i="140"/>
  <c r="S184" i="139"/>
  <c r="S190" i="139" s="1"/>
  <c r="U190" i="139"/>
  <c r="P195" i="139"/>
  <c r="U195" i="139" s="1"/>
  <c r="S195" i="139" s="1"/>
  <c r="P194" i="139"/>
  <c r="U194" i="139" s="1"/>
  <c r="S194" i="139" s="1"/>
  <c r="N191" i="139"/>
  <c r="P197" i="139"/>
  <c r="U197" i="139" s="1"/>
  <c r="S197" i="139" s="1"/>
  <c r="P196" i="139"/>
  <c r="U196" i="139" s="1"/>
  <c r="S196" i="139" s="1"/>
  <c r="Z199" i="139"/>
  <c r="P193" i="139"/>
  <c r="U193" i="139" s="1"/>
  <c r="S193" i="139" s="1"/>
  <c r="P192" i="139"/>
  <c r="U192" i="139" s="1"/>
  <c r="U174" i="138"/>
  <c r="S168" i="138"/>
  <c r="S174" i="138" s="1"/>
  <c r="P179" i="138"/>
  <c r="U179" i="138" s="1"/>
  <c r="S179" i="138" s="1"/>
  <c r="P178" i="138"/>
  <c r="U178" i="138" s="1"/>
  <c r="S178" i="138" s="1"/>
  <c r="N175" i="138"/>
  <c r="Z183" i="138"/>
  <c r="P181" i="138"/>
  <c r="U181" i="138" s="1"/>
  <c r="S181" i="138" s="1"/>
  <c r="P177" i="138"/>
  <c r="U177" i="138" s="1"/>
  <c r="S177" i="138" s="1"/>
  <c r="P180" i="138"/>
  <c r="U180" i="138" s="1"/>
  <c r="S180" i="138" s="1"/>
  <c r="P176" i="138"/>
  <c r="U176" i="138" s="1"/>
  <c r="U174" i="137"/>
  <c r="S168" i="137"/>
  <c r="S174" i="137" s="1"/>
  <c r="P179" i="137"/>
  <c r="U179" i="137" s="1"/>
  <c r="S179" i="137" s="1"/>
  <c r="P178" i="137"/>
  <c r="U178" i="137" s="1"/>
  <c r="S178" i="137" s="1"/>
  <c r="N175" i="137"/>
  <c r="Z183" i="137"/>
  <c r="P181" i="137"/>
  <c r="U181" i="137" s="1"/>
  <c r="S181" i="137" s="1"/>
  <c r="P177" i="137"/>
  <c r="U177" i="137" s="1"/>
  <c r="S177" i="137" s="1"/>
  <c r="P180" i="137"/>
  <c r="U180" i="137" s="1"/>
  <c r="S180" i="137" s="1"/>
  <c r="P176" i="137"/>
  <c r="U176" i="137" s="1"/>
  <c r="U179" i="136"/>
  <c r="S173" i="136"/>
  <c r="S179" i="136" s="1"/>
  <c r="P184" i="136"/>
  <c r="U184" i="136" s="1"/>
  <c r="S184" i="136" s="1"/>
  <c r="P183" i="136"/>
  <c r="U183" i="136" s="1"/>
  <c r="S183" i="136" s="1"/>
  <c r="N180" i="136"/>
  <c r="Z188" i="136"/>
  <c r="P186" i="136"/>
  <c r="U186" i="136" s="1"/>
  <c r="S186" i="136" s="1"/>
  <c r="P182" i="136"/>
  <c r="U182" i="136" s="1"/>
  <c r="S182" i="136" s="1"/>
  <c r="P185" i="136"/>
  <c r="U185" i="136" s="1"/>
  <c r="S185" i="136" s="1"/>
  <c r="P181" i="136"/>
  <c r="U181" i="136" s="1"/>
  <c r="W12" i="133"/>
  <c r="W33" i="133" s="1"/>
  <c r="W34" i="133" s="1"/>
  <c r="P83" i="133"/>
  <c r="U83" i="133" s="1"/>
  <c r="S83" i="133" s="1"/>
  <c r="N80" i="133"/>
  <c r="Z88" i="133"/>
  <c r="P86" i="133"/>
  <c r="U86" i="133" s="1"/>
  <c r="S86" i="133" s="1"/>
  <c r="P82" i="133"/>
  <c r="U82" i="133" s="1"/>
  <c r="S82" i="133" s="1"/>
  <c r="P85" i="133"/>
  <c r="U85" i="133" s="1"/>
  <c r="S85" i="133" s="1"/>
  <c r="P81" i="133"/>
  <c r="U81" i="133" s="1"/>
  <c r="P84" i="133"/>
  <c r="U84" i="133" s="1"/>
  <c r="S84" i="133" s="1"/>
  <c r="U79" i="133"/>
  <c r="S73" i="133"/>
  <c r="S79" i="133" s="1"/>
  <c r="D68" i="69"/>
  <c r="I71" i="69"/>
  <c r="G71" i="69"/>
  <c r="I69" i="69"/>
  <c r="H69" i="69"/>
  <c r="E70" i="69"/>
  <c r="D70" i="69"/>
  <c r="E69" i="69"/>
  <c r="E68" i="69"/>
  <c r="H71" i="69"/>
  <c r="F68" i="69"/>
  <c r="F71" i="69"/>
  <c r="H68" i="69"/>
  <c r="F70" i="69"/>
  <c r="D71" i="69"/>
  <c r="I70" i="69"/>
  <c r="G70" i="69"/>
  <c r="G69" i="69"/>
  <c r="G68" i="69"/>
  <c r="D69" i="69"/>
  <c r="I68" i="69"/>
  <c r="F69" i="69"/>
  <c r="E71" i="69"/>
  <c r="H70" i="69"/>
  <c r="I5" i="68"/>
  <c r="Y40" i="127"/>
  <c r="Y39" i="127"/>
  <c r="Y38" i="127"/>
  <c r="Y37" i="127"/>
  <c r="Y36" i="127"/>
  <c r="Y35" i="127"/>
  <c r="Y34" i="127"/>
  <c r="Y33" i="127"/>
  <c r="Y32" i="127"/>
  <c r="Y31" i="127"/>
  <c r="Y30" i="127"/>
  <c r="Y29" i="127"/>
  <c r="Y28" i="127"/>
  <c r="Y27" i="127"/>
  <c r="Y26" i="127"/>
  <c r="Y25" i="127"/>
  <c r="Y24" i="127"/>
  <c r="Y23" i="127"/>
  <c r="Y22" i="127"/>
  <c r="Y21" i="127"/>
  <c r="Y20" i="127"/>
  <c r="Y19" i="127"/>
  <c r="Y18" i="127"/>
  <c r="Y17" i="127"/>
  <c r="Y16" i="127"/>
  <c r="I5" i="127"/>
  <c r="D65" i="127" s="1" a="1"/>
  <c r="Y41" i="34"/>
  <c r="Y40" i="34"/>
  <c r="Y39" i="34"/>
  <c r="Y38" i="34"/>
  <c r="Y37" i="34"/>
  <c r="Y36" i="34"/>
  <c r="Y35" i="34"/>
  <c r="Y34" i="34"/>
  <c r="Y33" i="34"/>
  <c r="Y32" i="34"/>
  <c r="Y31" i="34"/>
  <c r="Y30" i="34"/>
  <c r="Y29" i="34"/>
  <c r="Y28" i="34"/>
  <c r="Y27" i="34"/>
  <c r="Y26" i="34"/>
  <c r="Y25" i="34"/>
  <c r="Y24" i="34"/>
  <c r="Y23" i="34"/>
  <c r="Y22" i="34"/>
  <c r="Y21" i="34"/>
  <c r="Y20" i="34"/>
  <c r="Y19" i="34"/>
  <c r="Y18" i="34"/>
  <c r="Y17" i="34"/>
  <c r="Y16" i="34"/>
  <c r="Y15" i="34"/>
  <c r="D68" i="34" a="1"/>
  <c r="D68" i="34" s="1"/>
  <c r="I5" i="34"/>
  <c r="N20" i="34"/>
  <c r="N21" i="34"/>
  <c r="N19" i="34"/>
  <c r="N18" i="34"/>
  <c r="N17" i="34"/>
  <c r="N16" i="34"/>
  <c r="N15" i="34"/>
  <c r="N14" i="34"/>
  <c r="N13" i="34"/>
  <c r="U182" i="141" l="1"/>
  <c r="S176" i="141"/>
  <c r="S182" i="141" s="1"/>
  <c r="Z191" i="141"/>
  <c r="P189" i="141"/>
  <c r="U189" i="141" s="1"/>
  <c r="S189" i="141" s="1"/>
  <c r="P185" i="141"/>
  <c r="U185" i="141" s="1"/>
  <c r="S185" i="141" s="1"/>
  <c r="P188" i="141"/>
  <c r="U188" i="141" s="1"/>
  <c r="S188" i="141" s="1"/>
  <c r="P184" i="141"/>
  <c r="U184" i="141" s="1"/>
  <c r="P187" i="141"/>
  <c r="U187" i="141" s="1"/>
  <c r="S187" i="141" s="1"/>
  <c r="P186" i="141"/>
  <c r="U186" i="141" s="1"/>
  <c r="S186" i="141" s="1"/>
  <c r="N183" i="141"/>
  <c r="U188" i="140"/>
  <c r="S182" i="140"/>
  <c r="S188" i="140" s="1"/>
  <c r="P193" i="140"/>
  <c r="U193" i="140" s="1"/>
  <c r="S193" i="140" s="1"/>
  <c r="P192" i="140"/>
  <c r="U192" i="140" s="1"/>
  <c r="S192" i="140" s="1"/>
  <c r="N189" i="140"/>
  <c r="Z197" i="140"/>
  <c r="P195" i="140"/>
  <c r="U195" i="140" s="1"/>
  <c r="S195" i="140" s="1"/>
  <c r="P191" i="140"/>
  <c r="U191" i="140" s="1"/>
  <c r="S191" i="140" s="1"/>
  <c r="P190" i="140"/>
  <c r="U190" i="140" s="1"/>
  <c r="P194" i="140"/>
  <c r="U194" i="140" s="1"/>
  <c r="S194" i="140" s="1"/>
  <c r="U198" i="139"/>
  <c r="S192" i="139"/>
  <c r="S198" i="139" s="1"/>
  <c r="Z207" i="139"/>
  <c r="P205" i="139"/>
  <c r="U205" i="139" s="1"/>
  <c r="S205" i="139" s="1"/>
  <c r="P201" i="139"/>
  <c r="U201" i="139" s="1"/>
  <c r="S201" i="139" s="1"/>
  <c r="P204" i="139"/>
  <c r="U204" i="139" s="1"/>
  <c r="S204" i="139" s="1"/>
  <c r="P200" i="139"/>
  <c r="U200" i="139" s="1"/>
  <c r="P203" i="139"/>
  <c r="U203" i="139" s="1"/>
  <c r="S203" i="139" s="1"/>
  <c r="P202" i="139"/>
  <c r="U202" i="139" s="1"/>
  <c r="S202" i="139" s="1"/>
  <c r="N199" i="139"/>
  <c r="U182" i="138"/>
  <c r="S176" i="138"/>
  <c r="S182" i="138" s="1"/>
  <c r="Z191" i="138"/>
  <c r="P189" i="138"/>
  <c r="U189" i="138" s="1"/>
  <c r="S189" i="138" s="1"/>
  <c r="P185" i="138"/>
  <c r="U185" i="138" s="1"/>
  <c r="S185" i="138" s="1"/>
  <c r="P188" i="138"/>
  <c r="U188" i="138" s="1"/>
  <c r="S188" i="138" s="1"/>
  <c r="P184" i="138"/>
  <c r="U184" i="138" s="1"/>
  <c r="P187" i="138"/>
  <c r="U187" i="138" s="1"/>
  <c r="S187" i="138" s="1"/>
  <c r="N183" i="138"/>
  <c r="P186" i="138"/>
  <c r="U186" i="138" s="1"/>
  <c r="S186" i="138" s="1"/>
  <c r="U182" i="137"/>
  <c r="S176" i="137"/>
  <c r="S182" i="137" s="1"/>
  <c r="Z191" i="137"/>
  <c r="P189" i="137"/>
  <c r="U189" i="137" s="1"/>
  <c r="S189" i="137" s="1"/>
  <c r="P185" i="137"/>
  <c r="U185" i="137" s="1"/>
  <c r="S185" i="137" s="1"/>
  <c r="P188" i="137"/>
  <c r="U188" i="137" s="1"/>
  <c r="S188" i="137" s="1"/>
  <c r="P184" i="137"/>
  <c r="U184" i="137" s="1"/>
  <c r="P187" i="137"/>
  <c r="U187" i="137" s="1"/>
  <c r="S187" i="137" s="1"/>
  <c r="P186" i="137"/>
  <c r="U186" i="137" s="1"/>
  <c r="S186" i="137" s="1"/>
  <c r="N183" i="137"/>
  <c r="U187" i="136"/>
  <c r="S181" i="136"/>
  <c r="S187" i="136" s="1"/>
  <c r="Z196" i="136"/>
  <c r="P194" i="136"/>
  <c r="U194" i="136" s="1"/>
  <c r="S194" i="136" s="1"/>
  <c r="P190" i="136"/>
  <c r="U190" i="136" s="1"/>
  <c r="S190" i="136" s="1"/>
  <c r="P193" i="136"/>
  <c r="U193" i="136" s="1"/>
  <c r="S193" i="136" s="1"/>
  <c r="P189" i="136"/>
  <c r="U189" i="136" s="1"/>
  <c r="P192" i="136"/>
  <c r="U192" i="136" s="1"/>
  <c r="S192" i="136" s="1"/>
  <c r="N188" i="136"/>
  <c r="P191" i="136"/>
  <c r="U191" i="136" s="1"/>
  <c r="S191" i="136" s="1"/>
  <c r="W11" i="133"/>
  <c r="S81" i="133"/>
  <c r="S87" i="133" s="1"/>
  <c r="U87" i="133"/>
  <c r="Z96" i="133"/>
  <c r="P93" i="133"/>
  <c r="U93" i="133" s="1"/>
  <c r="S93" i="133" s="1"/>
  <c r="P89" i="133"/>
  <c r="U89" i="133" s="1"/>
  <c r="P92" i="133"/>
  <c r="U92" i="133" s="1"/>
  <c r="S92" i="133" s="1"/>
  <c r="P91" i="133"/>
  <c r="U91" i="133" s="1"/>
  <c r="S91" i="133" s="1"/>
  <c r="N88" i="133"/>
  <c r="P94" i="133"/>
  <c r="U94" i="133" s="1"/>
  <c r="S94" i="133" s="1"/>
  <c r="P90" i="133"/>
  <c r="U90" i="133" s="1"/>
  <c r="S90" i="133" s="1"/>
  <c r="W32" i="133"/>
  <c r="E65" i="127"/>
  <c r="E66" i="127"/>
  <c r="G67" i="127"/>
  <c r="I68" i="127"/>
  <c r="D65" i="127"/>
  <c r="F66" i="127"/>
  <c r="H67" i="127"/>
  <c r="G65" i="127"/>
  <c r="I66" i="127"/>
  <c r="E68" i="127"/>
  <c r="H65" i="127"/>
  <c r="D67" i="127"/>
  <c r="F68" i="127"/>
  <c r="H68" i="127"/>
  <c r="D68" i="127"/>
  <c r="F67" i="127"/>
  <c r="H66" i="127"/>
  <c r="D66" i="127"/>
  <c r="F65" i="127"/>
  <c r="G68" i="127"/>
  <c r="I67" i="127"/>
  <c r="E67" i="127"/>
  <c r="G66" i="127"/>
  <c r="I65" i="127"/>
  <c r="I71" i="34"/>
  <c r="G70" i="34"/>
  <c r="E69" i="34"/>
  <c r="G68" i="34"/>
  <c r="D71" i="34"/>
  <c r="I70" i="34"/>
  <c r="G69" i="34"/>
  <c r="I68" i="34"/>
  <c r="E68" i="34"/>
  <c r="E71" i="34"/>
  <c r="I69" i="34"/>
  <c r="H71" i="34"/>
  <c r="F70" i="34"/>
  <c r="H69" i="34"/>
  <c r="D69" i="34"/>
  <c r="F68" i="34"/>
  <c r="G71" i="34"/>
  <c r="E70" i="34"/>
  <c r="F71" i="34"/>
  <c r="H70" i="34"/>
  <c r="D70" i="34"/>
  <c r="F69" i="34"/>
  <c r="H68" i="34"/>
  <c r="Y34" i="125"/>
  <c r="Y33" i="125"/>
  <c r="Y32" i="125"/>
  <c r="Y31" i="125"/>
  <c r="Y30" i="125"/>
  <c r="Y29" i="125"/>
  <c r="Y28" i="125"/>
  <c r="Y27" i="125"/>
  <c r="Y26" i="125"/>
  <c r="Y25" i="125"/>
  <c r="Y24" i="125"/>
  <c r="Y23" i="125"/>
  <c r="Y22" i="125"/>
  <c r="Y21" i="125"/>
  <c r="Y20" i="125"/>
  <c r="Y19" i="125"/>
  <c r="Y18" i="125"/>
  <c r="Y17" i="125"/>
  <c r="Y16" i="125"/>
  <c r="I5" i="125"/>
  <c r="D55" i="125" s="1" a="1"/>
  <c r="D55" i="125" s="1"/>
  <c r="Y55" i="124"/>
  <c r="Y54" i="124"/>
  <c r="Y53" i="124"/>
  <c r="Y52" i="124"/>
  <c r="Y51" i="124"/>
  <c r="Y50" i="124"/>
  <c r="Y49" i="124"/>
  <c r="Y48" i="124"/>
  <c r="Y47" i="124"/>
  <c r="Y46" i="124"/>
  <c r="Y45" i="124"/>
  <c r="Y44" i="124"/>
  <c r="Y43" i="124"/>
  <c r="Y42" i="124"/>
  <c r="Y41" i="124"/>
  <c r="Y40" i="124"/>
  <c r="Y39" i="124"/>
  <c r="Y38" i="124"/>
  <c r="Y37" i="124"/>
  <c r="Y36" i="124"/>
  <c r="Y35" i="124"/>
  <c r="Y34" i="124"/>
  <c r="Y33" i="124"/>
  <c r="Y32" i="124"/>
  <c r="Y31" i="124"/>
  <c r="Y30" i="124"/>
  <c r="Y29" i="124"/>
  <c r="Y28" i="124"/>
  <c r="Y27" i="124"/>
  <c r="Y26" i="124"/>
  <c r="Y25" i="124"/>
  <c r="Y24" i="124"/>
  <c r="Y23" i="124"/>
  <c r="Y22" i="124"/>
  <c r="Y21" i="124"/>
  <c r="Y20" i="124"/>
  <c r="Y19" i="124"/>
  <c r="Y18" i="124"/>
  <c r="Y17" i="124"/>
  <c r="Y16" i="124"/>
  <c r="N15" i="124"/>
  <c r="N14" i="124"/>
  <c r="I5" i="124"/>
  <c r="D96" i="124" s="1" a="1"/>
  <c r="D96" i="124" s="1"/>
  <c r="N31" i="62"/>
  <c r="N30" i="62"/>
  <c r="N29" i="62"/>
  <c r="N28" i="62"/>
  <c r="N27" i="62"/>
  <c r="Y31" i="62"/>
  <c r="Y30" i="62"/>
  <c r="Y29" i="62"/>
  <c r="Y28" i="62"/>
  <c r="Y27" i="62"/>
  <c r="Y26" i="62"/>
  <c r="Y25" i="62"/>
  <c r="Y24" i="62"/>
  <c r="Y23" i="62"/>
  <c r="Y22" i="62"/>
  <c r="Y21" i="62"/>
  <c r="Y20" i="62"/>
  <c r="Y19" i="62"/>
  <c r="Y18" i="62"/>
  <c r="Y17" i="62"/>
  <c r="Y16" i="62"/>
  <c r="Y15" i="62"/>
  <c r="Y14" i="62"/>
  <c r="N26" i="62"/>
  <c r="N25" i="62"/>
  <c r="N24" i="62"/>
  <c r="N23" i="62"/>
  <c r="N22" i="62"/>
  <c r="N21" i="62"/>
  <c r="N20" i="62"/>
  <c r="N19" i="62"/>
  <c r="N18" i="62"/>
  <c r="N17" i="62"/>
  <c r="N16" i="62"/>
  <c r="N15" i="62"/>
  <c r="N14" i="62"/>
  <c r="N13" i="62"/>
  <c r="F3" i="62"/>
  <c r="I5" i="62"/>
  <c r="D48" i="62" s="1" a="1"/>
  <c r="Y34" i="61"/>
  <c r="Y33" i="61"/>
  <c r="Y32" i="61"/>
  <c r="Y31" i="61"/>
  <c r="Y30" i="61"/>
  <c r="Y29" i="61"/>
  <c r="Y28" i="61"/>
  <c r="Y27" i="61"/>
  <c r="Y26" i="61"/>
  <c r="Y25" i="61"/>
  <c r="Y24" i="61"/>
  <c r="Y23" i="61"/>
  <c r="Y22" i="61"/>
  <c r="Y21" i="61"/>
  <c r="Y20" i="61"/>
  <c r="Y19" i="61"/>
  <c r="Y18" i="61"/>
  <c r="Y16" i="61"/>
  <c r="I5" i="61"/>
  <c r="D54" i="61" s="1" a="1"/>
  <c r="G54" i="61" s="1"/>
  <c r="N34" i="61"/>
  <c r="N33" i="61"/>
  <c r="N32" i="61"/>
  <c r="N31" i="61"/>
  <c r="N30" i="61"/>
  <c r="N29" i="61"/>
  <c r="N28" i="61"/>
  <c r="N27" i="61"/>
  <c r="N26" i="61"/>
  <c r="N25" i="61"/>
  <c r="N24" i="61"/>
  <c r="N23" i="61"/>
  <c r="N22" i="61"/>
  <c r="N21" i="61"/>
  <c r="N20" i="61"/>
  <c r="N19" i="61"/>
  <c r="N18" i="61"/>
  <c r="N17" i="61"/>
  <c r="N16" i="61"/>
  <c r="N15" i="61"/>
  <c r="N14" i="61"/>
  <c r="N13" i="61"/>
  <c r="Y37" i="60"/>
  <c r="Y36" i="60"/>
  <c r="Y35" i="60"/>
  <c r="Y34" i="60"/>
  <c r="Y33" i="60"/>
  <c r="Y32" i="60"/>
  <c r="Y31" i="60"/>
  <c r="Y30" i="60"/>
  <c r="Y29" i="60"/>
  <c r="Y28" i="60"/>
  <c r="Y27" i="60"/>
  <c r="Y26" i="60"/>
  <c r="Y25" i="60"/>
  <c r="Y24" i="60"/>
  <c r="Y23" i="60"/>
  <c r="Y22" i="60"/>
  <c r="Y21" i="60"/>
  <c r="Y20" i="60"/>
  <c r="Y19" i="60"/>
  <c r="Y17" i="60"/>
  <c r="Y16" i="60"/>
  <c r="I5" i="60"/>
  <c r="D60" i="60" s="1" a="1"/>
  <c r="D60" i="60" s="1"/>
  <c r="U190" i="141" l="1"/>
  <c r="S184" i="141"/>
  <c r="S190" i="141" s="1"/>
  <c r="P195" i="141"/>
  <c r="U195" i="141" s="1"/>
  <c r="S195" i="141" s="1"/>
  <c r="P194" i="141"/>
  <c r="U194" i="141" s="1"/>
  <c r="S194" i="141" s="1"/>
  <c r="N191" i="141"/>
  <c r="Z199" i="141"/>
  <c r="P197" i="141"/>
  <c r="U197" i="141" s="1"/>
  <c r="S197" i="141" s="1"/>
  <c r="P193" i="141"/>
  <c r="U193" i="141" s="1"/>
  <c r="S193" i="141" s="1"/>
  <c r="P196" i="141"/>
  <c r="U196" i="141" s="1"/>
  <c r="S196" i="141" s="1"/>
  <c r="P192" i="141"/>
  <c r="U192" i="141" s="1"/>
  <c r="Z205" i="140"/>
  <c r="P203" i="140"/>
  <c r="U203" i="140" s="1"/>
  <c r="S203" i="140" s="1"/>
  <c r="P199" i="140"/>
  <c r="U199" i="140" s="1"/>
  <c r="S199" i="140" s="1"/>
  <c r="P202" i="140"/>
  <c r="U202" i="140" s="1"/>
  <c r="S202" i="140" s="1"/>
  <c r="P198" i="140"/>
  <c r="U198" i="140" s="1"/>
  <c r="P201" i="140"/>
  <c r="U201" i="140" s="1"/>
  <c r="S201" i="140" s="1"/>
  <c r="P200" i="140"/>
  <c r="U200" i="140" s="1"/>
  <c r="S200" i="140" s="1"/>
  <c r="N197" i="140"/>
  <c r="U196" i="140"/>
  <c r="S190" i="140"/>
  <c r="S196" i="140" s="1"/>
  <c r="S200" i="139"/>
  <c r="S206" i="139" s="1"/>
  <c r="U206" i="139"/>
  <c r="P211" i="139"/>
  <c r="U211" i="139" s="1"/>
  <c r="S211" i="139" s="1"/>
  <c r="P210" i="139"/>
  <c r="U210" i="139" s="1"/>
  <c r="S210" i="139" s="1"/>
  <c r="N207" i="139"/>
  <c r="P213" i="139"/>
  <c r="U213" i="139" s="1"/>
  <c r="S213" i="139" s="1"/>
  <c r="P212" i="139"/>
  <c r="U212" i="139" s="1"/>
  <c r="S212" i="139" s="1"/>
  <c r="P208" i="139"/>
  <c r="U208" i="139" s="1"/>
  <c r="P209" i="139"/>
  <c r="U209" i="139" s="1"/>
  <c r="S209" i="139" s="1"/>
  <c r="U190" i="138"/>
  <c r="S184" i="138"/>
  <c r="S190" i="138" s="1"/>
  <c r="P195" i="138"/>
  <c r="U195" i="138" s="1"/>
  <c r="S195" i="138" s="1"/>
  <c r="P194" i="138"/>
  <c r="U194" i="138" s="1"/>
  <c r="S194" i="138" s="1"/>
  <c r="N191" i="138"/>
  <c r="Z199" i="138"/>
  <c r="P197" i="138"/>
  <c r="U197" i="138" s="1"/>
  <c r="S197" i="138" s="1"/>
  <c r="P193" i="138"/>
  <c r="U193" i="138" s="1"/>
  <c r="S193" i="138" s="1"/>
  <c r="P196" i="138"/>
  <c r="U196" i="138" s="1"/>
  <c r="S196" i="138" s="1"/>
  <c r="P192" i="138"/>
  <c r="U192" i="138" s="1"/>
  <c r="U190" i="137"/>
  <c r="S184" i="137"/>
  <c r="S190" i="137" s="1"/>
  <c r="P195" i="137"/>
  <c r="U195" i="137" s="1"/>
  <c r="S195" i="137" s="1"/>
  <c r="P194" i="137"/>
  <c r="U194" i="137" s="1"/>
  <c r="S194" i="137" s="1"/>
  <c r="N191" i="137"/>
  <c r="Z199" i="137"/>
  <c r="P197" i="137"/>
  <c r="U197" i="137" s="1"/>
  <c r="S197" i="137" s="1"/>
  <c r="P193" i="137"/>
  <c r="U193" i="137" s="1"/>
  <c r="S193" i="137" s="1"/>
  <c r="P196" i="137"/>
  <c r="U196" i="137" s="1"/>
  <c r="S196" i="137" s="1"/>
  <c r="P192" i="137"/>
  <c r="U192" i="137" s="1"/>
  <c r="U195" i="136"/>
  <c r="S189" i="136"/>
  <c r="S195" i="136" s="1"/>
  <c r="P200" i="136"/>
  <c r="U200" i="136" s="1"/>
  <c r="S200" i="136" s="1"/>
  <c r="P199" i="136"/>
  <c r="U199" i="136" s="1"/>
  <c r="S199" i="136" s="1"/>
  <c r="N196" i="136"/>
  <c r="Z204" i="136"/>
  <c r="P202" i="136"/>
  <c r="U202" i="136" s="1"/>
  <c r="S202" i="136" s="1"/>
  <c r="P198" i="136"/>
  <c r="U198" i="136" s="1"/>
  <c r="S198" i="136" s="1"/>
  <c r="P201" i="136"/>
  <c r="U201" i="136" s="1"/>
  <c r="S201" i="136" s="1"/>
  <c r="P197" i="136"/>
  <c r="U197" i="136" s="1"/>
  <c r="W10" i="133"/>
  <c r="Z104" i="133"/>
  <c r="P102" i="133"/>
  <c r="U102" i="133" s="1"/>
  <c r="S102" i="133" s="1"/>
  <c r="P98" i="133"/>
  <c r="U98" i="133" s="1"/>
  <c r="S98" i="133" s="1"/>
  <c r="P101" i="133"/>
  <c r="U101" i="133" s="1"/>
  <c r="S101" i="133" s="1"/>
  <c r="P97" i="133"/>
  <c r="U97" i="133" s="1"/>
  <c r="P100" i="133"/>
  <c r="U100" i="133" s="1"/>
  <c r="S100" i="133" s="1"/>
  <c r="N96" i="133"/>
  <c r="P99" i="133"/>
  <c r="U99" i="133" s="1"/>
  <c r="S99" i="133" s="1"/>
  <c r="U95" i="133"/>
  <c r="S89" i="133"/>
  <c r="S95" i="133" s="1"/>
  <c r="I56" i="125"/>
  <c r="E56" i="125"/>
  <c r="H56" i="125"/>
  <c r="D56" i="125"/>
  <c r="G56" i="125"/>
  <c r="I55" i="125"/>
  <c r="E55" i="125"/>
  <c r="G55" i="125"/>
  <c r="F55" i="125"/>
  <c r="F56" i="125"/>
  <c r="H55" i="125"/>
  <c r="I97" i="124"/>
  <c r="E97" i="124"/>
  <c r="H97" i="124"/>
  <c r="F96" i="124"/>
  <c r="I98" i="124"/>
  <c r="E98" i="124"/>
  <c r="G97" i="124"/>
  <c r="I96" i="124"/>
  <c r="E96" i="124"/>
  <c r="G98" i="124"/>
  <c r="G96" i="124"/>
  <c r="F98" i="124"/>
  <c r="D97" i="124"/>
  <c r="H98" i="124"/>
  <c r="D98" i="124"/>
  <c r="F97" i="124"/>
  <c r="H96" i="124"/>
  <c r="E48" i="62"/>
  <c r="E49" i="62"/>
  <c r="G50" i="62"/>
  <c r="I51" i="62"/>
  <c r="D50" i="62"/>
  <c r="D48" i="62"/>
  <c r="F49" i="62"/>
  <c r="H50" i="62"/>
  <c r="F51" i="62"/>
  <c r="G48" i="62"/>
  <c r="I49" i="62"/>
  <c r="E51" i="62"/>
  <c r="H48" i="62"/>
  <c r="H51" i="62"/>
  <c r="D51" i="62"/>
  <c r="F50" i="62"/>
  <c r="H49" i="62"/>
  <c r="D49" i="62"/>
  <c r="F48" i="62"/>
  <c r="G51" i="62"/>
  <c r="I50" i="62"/>
  <c r="E50" i="62"/>
  <c r="G49" i="62"/>
  <c r="I48" i="62"/>
  <c r="H57" i="61"/>
  <c r="D57" i="61"/>
  <c r="F56" i="61"/>
  <c r="H55" i="61"/>
  <c r="D55" i="61"/>
  <c r="F54" i="61"/>
  <c r="G57" i="61"/>
  <c r="I56" i="61"/>
  <c r="E56" i="61"/>
  <c r="G55" i="61"/>
  <c r="I54" i="61"/>
  <c r="E54" i="61"/>
  <c r="F57" i="61"/>
  <c r="H56" i="61"/>
  <c r="D56" i="61"/>
  <c r="F55" i="61"/>
  <c r="H54" i="61"/>
  <c r="D54" i="61"/>
  <c r="I57" i="61"/>
  <c r="E57" i="61"/>
  <c r="G56" i="61"/>
  <c r="I55" i="61"/>
  <c r="E55" i="61"/>
  <c r="I63" i="60"/>
  <c r="E63" i="60"/>
  <c r="G62" i="60"/>
  <c r="I61" i="60"/>
  <c r="E61" i="60"/>
  <c r="G60" i="60"/>
  <c r="H63" i="60"/>
  <c r="D63" i="60"/>
  <c r="F62" i="60"/>
  <c r="H61" i="60"/>
  <c r="D61" i="60"/>
  <c r="F60" i="60"/>
  <c r="G63" i="60"/>
  <c r="I62" i="60"/>
  <c r="E62" i="60"/>
  <c r="G61" i="60"/>
  <c r="I60" i="60"/>
  <c r="E60" i="60"/>
  <c r="F63" i="60"/>
  <c r="H62" i="60"/>
  <c r="D62" i="60"/>
  <c r="F61" i="60"/>
  <c r="H60" i="60"/>
  <c r="Y47" i="59"/>
  <c r="Y46" i="59"/>
  <c r="Y45" i="59"/>
  <c r="Y44" i="59"/>
  <c r="Y43" i="59"/>
  <c r="Y42" i="59"/>
  <c r="Y41" i="59"/>
  <c r="Y40" i="59"/>
  <c r="Y39" i="59"/>
  <c r="Y38" i="59"/>
  <c r="Y37" i="59"/>
  <c r="Y36" i="59"/>
  <c r="Y35" i="59"/>
  <c r="Y34" i="59"/>
  <c r="Y33" i="59"/>
  <c r="Y32" i="59"/>
  <c r="Y31" i="59"/>
  <c r="Y30" i="59"/>
  <c r="Y29" i="59"/>
  <c r="Y28" i="59"/>
  <c r="Y26" i="59"/>
  <c r="Y25" i="59"/>
  <c r="Y24" i="59"/>
  <c r="Y22" i="59"/>
  <c r="Y21" i="59"/>
  <c r="Y20" i="59"/>
  <c r="Y18" i="59"/>
  <c r="Y17" i="59"/>
  <c r="Y16" i="59"/>
  <c r="Y15" i="59"/>
  <c r="Y14" i="59"/>
  <c r="U198" i="141" l="1"/>
  <c r="S192" i="141"/>
  <c r="S198" i="141" s="1"/>
  <c r="Z207" i="141"/>
  <c r="P205" i="141"/>
  <c r="U205" i="141" s="1"/>
  <c r="S205" i="141" s="1"/>
  <c r="P201" i="141"/>
  <c r="U201" i="141" s="1"/>
  <c r="S201" i="141" s="1"/>
  <c r="P204" i="141"/>
  <c r="U204" i="141" s="1"/>
  <c r="S204" i="141" s="1"/>
  <c r="P200" i="141"/>
  <c r="U200" i="141" s="1"/>
  <c r="P203" i="141"/>
  <c r="U203" i="141" s="1"/>
  <c r="S203" i="141" s="1"/>
  <c r="P202" i="141"/>
  <c r="U202" i="141" s="1"/>
  <c r="S202" i="141" s="1"/>
  <c r="N199" i="141"/>
  <c r="U204" i="140"/>
  <c r="S198" i="140"/>
  <c r="S204" i="140" s="1"/>
  <c r="P209" i="140"/>
  <c r="U209" i="140" s="1"/>
  <c r="S209" i="140" s="1"/>
  <c r="P208" i="140"/>
  <c r="U208" i="140" s="1"/>
  <c r="S208" i="140" s="1"/>
  <c r="N205" i="140"/>
  <c r="P211" i="140"/>
  <c r="U211" i="140" s="1"/>
  <c r="S211" i="140" s="1"/>
  <c r="P207" i="140"/>
  <c r="U207" i="140" s="1"/>
  <c r="S207" i="140" s="1"/>
  <c r="P210" i="140"/>
  <c r="U210" i="140" s="1"/>
  <c r="S210" i="140" s="1"/>
  <c r="P206" i="140"/>
  <c r="U206" i="140" s="1"/>
  <c r="U214" i="139"/>
  <c r="S208" i="139"/>
  <c r="S214" i="139" s="1"/>
  <c r="U198" i="138"/>
  <c r="S192" i="138"/>
  <c r="S198" i="138" s="1"/>
  <c r="Z207" i="138"/>
  <c r="P205" i="138"/>
  <c r="U205" i="138" s="1"/>
  <c r="S205" i="138" s="1"/>
  <c r="P201" i="138"/>
  <c r="U201" i="138" s="1"/>
  <c r="S201" i="138" s="1"/>
  <c r="P204" i="138"/>
  <c r="U204" i="138" s="1"/>
  <c r="S204" i="138" s="1"/>
  <c r="P200" i="138"/>
  <c r="U200" i="138" s="1"/>
  <c r="P203" i="138"/>
  <c r="U203" i="138" s="1"/>
  <c r="S203" i="138" s="1"/>
  <c r="P202" i="138"/>
  <c r="U202" i="138" s="1"/>
  <c r="S202" i="138" s="1"/>
  <c r="N199" i="138"/>
  <c r="U198" i="137"/>
  <c r="S192" i="137"/>
  <c r="S198" i="137" s="1"/>
  <c r="Z207" i="137"/>
  <c r="P205" i="137"/>
  <c r="U205" i="137" s="1"/>
  <c r="S205" i="137" s="1"/>
  <c r="P201" i="137"/>
  <c r="U201" i="137" s="1"/>
  <c r="S201" i="137" s="1"/>
  <c r="P204" i="137"/>
  <c r="U204" i="137" s="1"/>
  <c r="S204" i="137" s="1"/>
  <c r="P200" i="137"/>
  <c r="U200" i="137" s="1"/>
  <c r="P203" i="137"/>
  <c r="U203" i="137" s="1"/>
  <c r="S203" i="137" s="1"/>
  <c r="P202" i="137"/>
  <c r="U202" i="137" s="1"/>
  <c r="S202" i="137" s="1"/>
  <c r="N199" i="137"/>
  <c r="U203" i="136"/>
  <c r="S197" i="136"/>
  <c r="S203" i="136" s="1"/>
  <c r="Z212" i="136"/>
  <c r="Z220" i="136" s="1"/>
  <c r="P210" i="136"/>
  <c r="U210" i="136" s="1"/>
  <c r="S210" i="136" s="1"/>
  <c r="P206" i="136"/>
  <c r="U206" i="136" s="1"/>
  <c r="S206" i="136" s="1"/>
  <c r="P209" i="136"/>
  <c r="U209" i="136" s="1"/>
  <c r="S209" i="136" s="1"/>
  <c r="P205" i="136"/>
  <c r="U205" i="136" s="1"/>
  <c r="P208" i="136"/>
  <c r="U208" i="136" s="1"/>
  <c r="S208" i="136" s="1"/>
  <c r="P207" i="136"/>
  <c r="U207" i="136" s="1"/>
  <c r="S207" i="136" s="1"/>
  <c r="N204" i="136"/>
  <c r="U103" i="133"/>
  <c r="S97" i="133"/>
  <c r="S103" i="133" s="1"/>
  <c r="P108" i="133"/>
  <c r="U108" i="133" s="1"/>
  <c r="S108" i="133" s="1"/>
  <c r="P107" i="133"/>
  <c r="U107" i="133" s="1"/>
  <c r="S107" i="133" s="1"/>
  <c r="N104" i="133"/>
  <c r="Z112" i="133"/>
  <c r="P110" i="133"/>
  <c r="U110" i="133" s="1"/>
  <c r="S110" i="133" s="1"/>
  <c r="P106" i="133"/>
  <c r="U106" i="133" s="1"/>
  <c r="S106" i="133" s="1"/>
  <c r="P109" i="133"/>
  <c r="U109" i="133" s="1"/>
  <c r="S109" i="133" s="1"/>
  <c r="P105" i="133"/>
  <c r="U105" i="133" s="1"/>
  <c r="I5" i="59"/>
  <c r="D80" i="59" s="1" a="1"/>
  <c r="D19" i="59"/>
  <c r="E19" i="59"/>
  <c r="F19" i="59"/>
  <c r="G19" i="59"/>
  <c r="H19" i="59"/>
  <c r="I19" i="59"/>
  <c r="Y50" i="57"/>
  <c r="Y49" i="57"/>
  <c r="Y48" i="57"/>
  <c r="Y47" i="57"/>
  <c r="Y45" i="57"/>
  <c r="Y44" i="57"/>
  <c r="Y42" i="57"/>
  <c r="Y41" i="57"/>
  <c r="Y40" i="57"/>
  <c r="Y39" i="57"/>
  <c r="Y38" i="57"/>
  <c r="Y36" i="57"/>
  <c r="Y29" i="57"/>
  <c r="Y30" i="57"/>
  <c r="Y35" i="57"/>
  <c r="Y34" i="57"/>
  <c r="Y33" i="57"/>
  <c r="Y32" i="57"/>
  <c r="Y31" i="57"/>
  <c r="Y24" i="57"/>
  <c r="Y28" i="57"/>
  <c r="Y27" i="57"/>
  <c r="Y26" i="57"/>
  <c r="Y25" i="57"/>
  <c r="Y23" i="57"/>
  <c r="Y22" i="57"/>
  <c r="Y21" i="57"/>
  <c r="Y19" i="57"/>
  <c r="Y18" i="57"/>
  <c r="Y17" i="57"/>
  <c r="Y16" i="57"/>
  <c r="Y15" i="57"/>
  <c r="Y14" i="57"/>
  <c r="D86" i="57" a="1"/>
  <c r="I5" i="57"/>
  <c r="P224" i="136" l="1"/>
  <c r="U224" i="136" s="1"/>
  <c r="S224" i="136" s="1"/>
  <c r="P226" i="136"/>
  <c r="U226" i="136" s="1"/>
  <c r="S226" i="136" s="1"/>
  <c r="P223" i="136"/>
  <c r="U223" i="136" s="1"/>
  <c r="S223" i="136" s="1"/>
  <c r="Z228" i="136"/>
  <c r="P221" i="136"/>
  <c r="U221" i="136" s="1"/>
  <c r="P225" i="136"/>
  <c r="U225" i="136" s="1"/>
  <c r="S225" i="136" s="1"/>
  <c r="P222" i="136"/>
  <c r="U222" i="136" s="1"/>
  <c r="S222" i="136" s="1"/>
  <c r="N220" i="136"/>
  <c r="D80" i="59"/>
  <c r="G82" i="59"/>
  <c r="H83" i="59"/>
  <c r="D81" i="59"/>
  <c r="E82" i="59"/>
  <c r="F83" i="59"/>
  <c r="H80" i="59"/>
  <c r="I81" i="59"/>
  <c r="D83" i="59"/>
  <c r="F80" i="59"/>
  <c r="G81" i="59"/>
  <c r="H82" i="59"/>
  <c r="I83" i="59"/>
  <c r="E81" i="59"/>
  <c r="F82" i="59"/>
  <c r="G83" i="59"/>
  <c r="I80" i="59"/>
  <c r="D82" i="59"/>
  <c r="I82" i="59"/>
  <c r="E83" i="59"/>
  <c r="G80" i="59"/>
  <c r="F81" i="59"/>
  <c r="H81" i="59"/>
  <c r="E80" i="59"/>
  <c r="P211" i="141"/>
  <c r="U211" i="141" s="1"/>
  <c r="S211" i="141" s="1"/>
  <c r="P210" i="141"/>
  <c r="U210" i="141" s="1"/>
  <c r="S210" i="141" s="1"/>
  <c r="N207" i="141"/>
  <c r="P213" i="141"/>
  <c r="U213" i="141" s="1"/>
  <c r="S213" i="141" s="1"/>
  <c r="P209" i="141"/>
  <c r="U209" i="141" s="1"/>
  <c r="S209" i="141" s="1"/>
  <c r="P212" i="141"/>
  <c r="U212" i="141" s="1"/>
  <c r="S212" i="141" s="1"/>
  <c r="P208" i="141"/>
  <c r="U208" i="141" s="1"/>
  <c r="U206" i="141"/>
  <c r="S200" i="141"/>
  <c r="S206" i="141" s="1"/>
  <c r="U212" i="140"/>
  <c r="S206" i="140"/>
  <c r="S212" i="140" s="1"/>
  <c r="U206" i="138"/>
  <c r="S200" i="138"/>
  <c r="S206" i="138" s="1"/>
  <c r="P211" i="138"/>
  <c r="U211" i="138" s="1"/>
  <c r="S211" i="138" s="1"/>
  <c r="P210" i="138"/>
  <c r="U210" i="138" s="1"/>
  <c r="S210" i="138" s="1"/>
  <c r="N207" i="138"/>
  <c r="P213" i="138"/>
  <c r="U213" i="138" s="1"/>
  <c r="S213" i="138" s="1"/>
  <c r="P209" i="138"/>
  <c r="U209" i="138" s="1"/>
  <c r="S209" i="138" s="1"/>
  <c r="P208" i="138"/>
  <c r="U208" i="138" s="1"/>
  <c r="P212" i="138"/>
  <c r="U212" i="138" s="1"/>
  <c r="S212" i="138" s="1"/>
  <c r="U206" i="137"/>
  <c r="S200" i="137"/>
  <c r="S206" i="137" s="1"/>
  <c r="P211" i="137"/>
  <c r="U211" i="137" s="1"/>
  <c r="S211" i="137" s="1"/>
  <c r="P210" i="137"/>
  <c r="U210" i="137" s="1"/>
  <c r="S210" i="137" s="1"/>
  <c r="N207" i="137"/>
  <c r="P213" i="137"/>
  <c r="U213" i="137" s="1"/>
  <c r="S213" i="137" s="1"/>
  <c r="P209" i="137"/>
  <c r="U209" i="137" s="1"/>
  <c r="S209" i="137" s="1"/>
  <c r="P212" i="137"/>
  <c r="U212" i="137" s="1"/>
  <c r="S212" i="137" s="1"/>
  <c r="P208" i="137"/>
  <c r="U208" i="137" s="1"/>
  <c r="U211" i="136"/>
  <c r="S205" i="136"/>
  <c r="S211" i="136" s="1"/>
  <c r="W5" i="136" s="1" a="1"/>
  <c r="W5" i="136" s="1"/>
  <c r="P216" i="136"/>
  <c r="U216" i="136" s="1"/>
  <c r="S216" i="136" s="1"/>
  <c r="P215" i="136"/>
  <c r="U215" i="136" s="1"/>
  <c r="S215" i="136" s="1"/>
  <c r="N212" i="136"/>
  <c r="P218" i="136"/>
  <c r="U218" i="136" s="1"/>
  <c r="S218" i="136" s="1"/>
  <c r="P214" i="136"/>
  <c r="U214" i="136" s="1"/>
  <c r="S214" i="136" s="1"/>
  <c r="P213" i="136"/>
  <c r="U213" i="136" s="1"/>
  <c r="P217" i="136"/>
  <c r="U217" i="136" s="1"/>
  <c r="S217" i="136" s="1"/>
  <c r="U111" i="133"/>
  <c r="S105" i="133"/>
  <c r="S111" i="133" s="1"/>
  <c r="P118" i="133"/>
  <c r="U118" i="133" s="1"/>
  <c r="S118" i="133" s="1"/>
  <c r="P114" i="133"/>
  <c r="U114" i="133" s="1"/>
  <c r="S114" i="133" s="1"/>
  <c r="P117" i="133"/>
  <c r="U117" i="133" s="1"/>
  <c r="S117" i="133" s="1"/>
  <c r="P113" i="133"/>
  <c r="U113" i="133" s="1"/>
  <c r="P116" i="133"/>
  <c r="U116" i="133" s="1"/>
  <c r="S116" i="133" s="1"/>
  <c r="P115" i="133"/>
  <c r="U115" i="133" s="1"/>
  <c r="S115" i="133" s="1"/>
  <c r="N112" i="133"/>
  <c r="D86" i="57"/>
  <c r="I89" i="57"/>
  <c r="I87" i="57"/>
  <c r="I88" i="57"/>
  <c r="E89" i="57"/>
  <c r="G88" i="57"/>
  <c r="E87" i="57"/>
  <c r="G86" i="57"/>
  <c r="H89" i="57"/>
  <c r="D89" i="57"/>
  <c r="F88" i="57"/>
  <c r="H87" i="57"/>
  <c r="D87" i="57"/>
  <c r="F86" i="57"/>
  <c r="G89" i="57"/>
  <c r="E88" i="57"/>
  <c r="G87" i="57"/>
  <c r="I86" i="57"/>
  <c r="E86" i="57"/>
  <c r="F89" i="57"/>
  <c r="H88" i="57"/>
  <c r="D88" i="57"/>
  <c r="F87" i="57"/>
  <c r="H86" i="57"/>
  <c r="T342" i="132"/>
  <c r="R342" i="132" s="1"/>
  <c r="T341" i="132"/>
  <c r="R341" i="132" s="1"/>
  <c r="T340" i="132"/>
  <c r="R340" i="132" s="1"/>
  <c r="T339" i="132"/>
  <c r="R339" i="132" s="1"/>
  <c r="T338" i="132"/>
  <c r="R338" i="132" s="1"/>
  <c r="T337" i="132"/>
  <c r="R337" i="132" s="1"/>
  <c r="T334" i="132"/>
  <c r="R334" i="132" s="1"/>
  <c r="T333" i="132"/>
  <c r="R333" i="132" s="1"/>
  <c r="T332" i="132"/>
  <c r="R332" i="132" s="1"/>
  <c r="T331" i="132"/>
  <c r="R331" i="132" s="1"/>
  <c r="T330" i="132"/>
  <c r="R330" i="132" s="1"/>
  <c r="T329" i="132"/>
  <c r="R329" i="132" s="1"/>
  <c r="T326" i="132"/>
  <c r="R326" i="132" s="1"/>
  <c r="T325" i="132"/>
  <c r="R325" i="132" s="1"/>
  <c r="T324" i="132"/>
  <c r="R324" i="132" s="1"/>
  <c r="T323" i="132"/>
  <c r="R323" i="132" s="1"/>
  <c r="T322" i="132"/>
  <c r="R322" i="132" s="1"/>
  <c r="T321" i="132"/>
  <c r="R321" i="132" s="1"/>
  <c r="T318" i="132"/>
  <c r="R318" i="132" s="1"/>
  <c r="T317" i="132"/>
  <c r="R317" i="132" s="1"/>
  <c r="T316" i="132"/>
  <c r="R316" i="132" s="1"/>
  <c r="T315" i="132"/>
  <c r="R315" i="132" s="1"/>
  <c r="T314" i="132"/>
  <c r="R314" i="132" s="1"/>
  <c r="T313" i="132"/>
  <c r="R313" i="132" s="1"/>
  <c r="T310" i="132"/>
  <c r="R310" i="132" s="1"/>
  <c r="T309" i="132"/>
  <c r="R309" i="132" s="1"/>
  <c r="T308" i="132"/>
  <c r="R308" i="132" s="1"/>
  <c r="T307" i="132"/>
  <c r="R307" i="132" s="1"/>
  <c r="T306" i="132"/>
  <c r="R306" i="132" s="1"/>
  <c r="T305" i="132"/>
  <c r="R305" i="132" s="1"/>
  <c r="T302" i="132"/>
  <c r="R302" i="132" s="1"/>
  <c r="T301" i="132"/>
  <c r="R301" i="132" s="1"/>
  <c r="T300" i="132"/>
  <c r="R300" i="132" s="1"/>
  <c r="T299" i="132"/>
  <c r="R299" i="132" s="1"/>
  <c r="T298" i="132"/>
  <c r="R298" i="132" s="1"/>
  <c r="T297" i="132"/>
  <c r="R297" i="132" s="1"/>
  <c r="T294" i="132"/>
  <c r="R294" i="132" s="1"/>
  <c r="T293" i="132"/>
  <c r="R293" i="132" s="1"/>
  <c r="T292" i="132"/>
  <c r="R292" i="132" s="1"/>
  <c r="T291" i="132"/>
  <c r="R291" i="132" s="1"/>
  <c r="T290" i="132"/>
  <c r="R290" i="132" s="1"/>
  <c r="T289" i="132"/>
  <c r="R289" i="132" s="1"/>
  <c r="T286" i="132"/>
  <c r="R286" i="132" s="1"/>
  <c r="T285" i="132"/>
  <c r="R285" i="132" s="1"/>
  <c r="T284" i="132"/>
  <c r="R284" i="132" s="1"/>
  <c r="T283" i="132"/>
  <c r="R283" i="132" s="1"/>
  <c r="T282" i="132"/>
  <c r="R282" i="132" s="1"/>
  <c r="T281" i="132"/>
  <c r="R281" i="132" s="1"/>
  <c r="T278" i="132"/>
  <c r="R278" i="132" s="1"/>
  <c r="T277" i="132"/>
  <c r="R277" i="132" s="1"/>
  <c r="T276" i="132"/>
  <c r="R276" i="132" s="1"/>
  <c r="T275" i="132"/>
  <c r="R275" i="132" s="1"/>
  <c r="T274" i="132"/>
  <c r="R274" i="132" s="1"/>
  <c r="T273" i="132"/>
  <c r="R273" i="132" s="1"/>
  <c r="T270" i="132"/>
  <c r="R270" i="132" s="1"/>
  <c r="T269" i="132"/>
  <c r="R269" i="132" s="1"/>
  <c r="T268" i="132"/>
  <c r="R268" i="132" s="1"/>
  <c r="T267" i="132"/>
  <c r="R267" i="132" s="1"/>
  <c r="T266" i="132"/>
  <c r="R266" i="132" s="1"/>
  <c r="T265" i="132"/>
  <c r="R265" i="132" s="1"/>
  <c r="T262" i="132"/>
  <c r="R262" i="132" s="1"/>
  <c r="T261" i="132"/>
  <c r="R261" i="132" s="1"/>
  <c r="T260" i="132"/>
  <c r="R260" i="132" s="1"/>
  <c r="T259" i="132"/>
  <c r="R259" i="132" s="1"/>
  <c r="T258" i="132"/>
  <c r="R258" i="132" s="1"/>
  <c r="T257" i="132"/>
  <c r="R257" i="132" s="1"/>
  <c r="T254" i="132"/>
  <c r="R254" i="132" s="1"/>
  <c r="T253" i="132"/>
  <c r="R253" i="132" s="1"/>
  <c r="T252" i="132"/>
  <c r="R252" i="132" s="1"/>
  <c r="T251" i="132"/>
  <c r="R251" i="132" s="1"/>
  <c r="T250" i="132"/>
  <c r="R250" i="132" s="1"/>
  <c r="T249" i="132"/>
  <c r="R249" i="132" s="1"/>
  <c r="T246" i="132"/>
  <c r="R246" i="132" s="1"/>
  <c r="T245" i="132"/>
  <c r="R245" i="132" s="1"/>
  <c r="T244" i="132"/>
  <c r="R244" i="132" s="1"/>
  <c r="T243" i="132"/>
  <c r="R243" i="132" s="1"/>
  <c r="T242" i="132"/>
  <c r="R242" i="132" s="1"/>
  <c r="T241" i="132"/>
  <c r="R241" i="132" s="1"/>
  <c r="T238" i="132"/>
  <c r="R238" i="132" s="1"/>
  <c r="T237" i="132"/>
  <c r="R237" i="132" s="1"/>
  <c r="T236" i="132"/>
  <c r="R236" i="132" s="1"/>
  <c r="T235" i="132"/>
  <c r="R235" i="132" s="1"/>
  <c r="T234" i="132"/>
  <c r="R234" i="132" s="1"/>
  <c r="T233" i="132"/>
  <c r="R233" i="132" s="1"/>
  <c r="T230" i="132"/>
  <c r="R230" i="132" s="1"/>
  <c r="T229" i="132"/>
  <c r="R229" i="132" s="1"/>
  <c r="T228" i="132"/>
  <c r="R228" i="132" s="1"/>
  <c r="T227" i="132"/>
  <c r="R227" i="132" s="1"/>
  <c r="T226" i="132"/>
  <c r="R226" i="132" s="1"/>
  <c r="T225" i="132"/>
  <c r="R225" i="132" s="1"/>
  <c r="Y57" i="132"/>
  <c r="Y56" i="132"/>
  <c r="Y55" i="132"/>
  <c r="Y54" i="132"/>
  <c r="Y53" i="132"/>
  <c r="Y51" i="132"/>
  <c r="Y50" i="132"/>
  <c r="Y49" i="132"/>
  <c r="Y48" i="132"/>
  <c r="Y47" i="132"/>
  <c r="Y46" i="132"/>
  <c r="Y44" i="132"/>
  <c r="Y42" i="132"/>
  <c r="Y41" i="132"/>
  <c r="Y40" i="132"/>
  <c r="Y39" i="132"/>
  <c r="Y37" i="132"/>
  <c r="Y36" i="132"/>
  <c r="Y35" i="132"/>
  <c r="Y34" i="132"/>
  <c r="Y33" i="132"/>
  <c r="Y32" i="132"/>
  <c r="Y31" i="132"/>
  <c r="Y30" i="132"/>
  <c r="Y25" i="132"/>
  <c r="D95" i="132" a="1"/>
  <c r="D95" i="132" s="1"/>
  <c r="D92" i="132" a="1"/>
  <c r="D92" i="132" s="1"/>
  <c r="D90" i="132" a="1"/>
  <c r="D90" i="132" s="1"/>
  <c r="D83" i="132" a="1"/>
  <c r="D83" i="132" s="1"/>
  <c r="D78" i="132" a="1"/>
  <c r="D78" i="132" s="1"/>
  <c r="D76" i="132" a="1"/>
  <c r="D76" i="132" s="1"/>
  <c r="D73" i="132" a="1"/>
  <c r="D73" i="132" s="1"/>
  <c r="D69" i="132" a="1"/>
  <c r="D69" i="132" s="1"/>
  <c r="D67" i="132" a="1"/>
  <c r="D67" i="132" s="1"/>
  <c r="D64" i="132" a="1"/>
  <c r="D64" i="132" s="1"/>
  <c r="D63" i="132" a="1"/>
  <c r="D63" i="132" s="1"/>
  <c r="I49" i="132"/>
  <c r="H49" i="132"/>
  <c r="G49" i="132"/>
  <c r="F49" i="132"/>
  <c r="E49" i="132"/>
  <c r="D49" i="132"/>
  <c r="I35" i="132"/>
  <c r="H35" i="132"/>
  <c r="G35" i="132"/>
  <c r="F35" i="132"/>
  <c r="E35" i="132"/>
  <c r="D35" i="132"/>
  <c r="D5" i="132"/>
  <c r="D81" i="132" s="1" a="1"/>
  <c r="T222" i="132"/>
  <c r="R222" i="132" s="1"/>
  <c r="T221" i="132"/>
  <c r="R221" i="132" s="1"/>
  <c r="T220" i="132"/>
  <c r="R220" i="132" s="1"/>
  <c r="T219" i="132"/>
  <c r="R219" i="132" s="1"/>
  <c r="T218" i="132"/>
  <c r="R218" i="132" s="1"/>
  <c r="T217" i="132"/>
  <c r="R217" i="132" s="1"/>
  <c r="T214" i="132"/>
  <c r="R214" i="132" s="1"/>
  <c r="T213" i="132"/>
  <c r="R213" i="132" s="1"/>
  <c r="T212" i="132"/>
  <c r="R212" i="132" s="1"/>
  <c r="T211" i="132"/>
  <c r="R211" i="132" s="1"/>
  <c r="T210" i="132"/>
  <c r="R210" i="132" s="1"/>
  <c r="T209" i="132"/>
  <c r="R209" i="132" s="1"/>
  <c r="T206" i="132"/>
  <c r="R206" i="132" s="1"/>
  <c r="T205" i="132"/>
  <c r="R205" i="132" s="1"/>
  <c r="T204" i="132"/>
  <c r="R204" i="132" s="1"/>
  <c r="T203" i="132"/>
  <c r="R203" i="132" s="1"/>
  <c r="T202" i="132"/>
  <c r="R202" i="132" s="1"/>
  <c r="T201" i="132"/>
  <c r="R201" i="132" s="1"/>
  <c r="T198" i="132"/>
  <c r="R198" i="132" s="1"/>
  <c r="T197" i="132"/>
  <c r="R197" i="132" s="1"/>
  <c r="T196" i="132"/>
  <c r="R196" i="132" s="1"/>
  <c r="T195" i="132"/>
  <c r="R195" i="132" s="1"/>
  <c r="T194" i="132"/>
  <c r="R194" i="132" s="1"/>
  <c r="T193" i="132"/>
  <c r="R193" i="132" s="1"/>
  <c r="T190" i="132"/>
  <c r="R190" i="132" s="1"/>
  <c r="T189" i="132"/>
  <c r="R189" i="132" s="1"/>
  <c r="T188" i="132"/>
  <c r="R188" i="132" s="1"/>
  <c r="T187" i="132"/>
  <c r="R187" i="132" s="1"/>
  <c r="T186" i="132"/>
  <c r="R186" i="132" s="1"/>
  <c r="T185" i="132"/>
  <c r="R185" i="132" s="1"/>
  <c r="T182" i="132"/>
  <c r="R182" i="132" s="1"/>
  <c r="T181" i="132"/>
  <c r="R181" i="132" s="1"/>
  <c r="T180" i="132"/>
  <c r="R180" i="132" s="1"/>
  <c r="T179" i="132"/>
  <c r="R179" i="132" s="1"/>
  <c r="T178" i="132"/>
  <c r="R178" i="132" s="1"/>
  <c r="T177" i="132"/>
  <c r="R177" i="132" s="1"/>
  <c r="T174" i="132"/>
  <c r="R174" i="132" s="1"/>
  <c r="T173" i="132"/>
  <c r="R173" i="132" s="1"/>
  <c r="T172" i="132"/>
  <c r="R172" i="132" s="1"/>
  <c r="T171" i="132"/>
  <c r="R171" i="132" s="1"/>
  <c r="T170" i="132"/>
  <c r="R170" i="132" s="1"/>
  <c r="T169" i="132"/>
  <c r="R169" i="132" s="1"/>
  <c r="T166" i="132"/>
  <c r="R166" i="132" s="1"/>
  <c r="T165" i="132"/>
  <c r="R165" i="132" s="1"/>
  <c r="T164" i="132"/>
  <c r="R164" i="132" s="1"/>
  <c r="T163" i="132"/>
  <c r="R163" i="132" s="1"/>
  <c r="T162" i="132"/>
  <c r="R162" i="132" s="1"/>
  <c r="T161" i="132"/>
  <c r="R161" i="132" s="1"/>
  <c r="T158" i="132"/>
  <c r="R158" i="132" s="1"/>
  <c r="T157" i="132"/>
  <c r="R157" i="132" s="1"/>
  <c r="T156" i="132"/>
  <c r="R156" i="132" s="1"/>
  <c r="T155" i="132"/>
  <c r="R155" i="132" s="1"/>
  <c r="T154" i="132"/>
  <c r="R154" i="132" s="1"/>
  <c r="T153" i="132"/>
  <c r="R153" i="132" s="1"/>
  <c r="T150" i="132"/>
  <c r="R150" i="132" s="1"/>
  <c r="T149" i="132"/>
  <c r="R149" i="132" s="1"/>
  <c r="T148" i="132"/>
  <c r="R148" i="132" s="1"/>
  <c r="T147" i="132"/>
  <c r="R147" i="132" s="1"/>
  <c r="T146" i="132"/>
  <c r="R146" i="132" s="1"/>
  <c r="T145" i="132"/>
  <c r="R145" i="132" s="1"/>
  <c r="T142" i="132"/>
  <c r="R142" i="132" s="1"/>
  <c r="T141" i="132"/>
  <c r="R141" i="132" s="1"/>
  <c r="T140" i="132"/>
  <c r="R140" i="132" s="1"/>
  <c r="T139" i="132"/>
  <c r="R139" i="132" s="1"/>
  <c r="T138" i="132"/>
  <c r="R138" i="132" s="1"/>
  <c r="T137" i="132"/>
  <c r="R137" i="132" s="1"/>
  <c r="T134" i="132"/>
  <c r="R134" i="132" s="1"/>
  <c r="T133" i="132"/>
  <c r="R133" i="132" s="1"/>
  <c r="T132" i="132"/>
  <c r="R132" i="132" s="1"/>
  <c r="T131" i="132"/>
  <c r="R131" i="132" s="1"/>
  <c r="T130" i="132"/>
  <c r="R130" i="132" s="1"/>
  <c r="T129" i="132"/>
  <c r="R129" i="132" s="1"/>
  <c r="T126" i="132"/>
  <c r="R126" i="132" s="1"/>
  <c r="T125" i="132"/>
  <c r="R125" i="132" s="1"/>
  <c r="T124" i="132"/>
  <c r="R124" i="132" s="1"/>
  <c r="T123" i="132"/>
  <c r="R123" i="132" s="1"/>
  <c r="T122" i="132"/>
  <c r="R122" i="132" s="1"/>
  <c r="T121" i="132"/>
  <c r="R121" i="132" s="1"/>
  <c r="T118" i="132"/>
  <c r="R118" i="132" s="1"/>
  <c r="T117" i="132"/>
  <c r="R117" i="132" s="1"/>
  <c r="T116" i="132"/>
  <c r="R116" i="132" s="1"/>
  <c r="T115" i="132"/>
  <c r="R115" i="132" s="1"/>
  <c r="T114" i="132"/>
  <c r="R114" i="132" s="1"/>
  <c r="T113" i="132"/>
  <c r="R113" i="132" s="1"/>
  <c r="T110" i="132"/>
  <c r="R110" i="132" s="1"/>
  <c r="T109" i="132"/>
  <c r="R109" i="132" s="1"/>
  <c r="T108" i="132"/>
  <c r="R108" i="132" s="1"/>
  <c r="T107" i="132"/>
  <c r="R107" i="132" s="1"/>
  <c r="T106" i="132"/>
  <c r="R106" i="132" s="1"/>
  <c r="T105" i="132"/>
  <c r="R105" i="132" s="1"/>
  <c r="T102" i="132"/>
  <c r="R102" i="132" s="1"/>
  <c r="T101" i="132"/>
  <c r="R101" i="132" s="1"/>
  <c r="T100" i="132"/>
  <c r="R100" i="132" s="1"/>
  <c r="T99" i="132"/>
  <c r="R99" i="132" s="1"/>
  <c r="T98" i="132"/>
  <c r="R98" i="132" s="1"/>
  <c r="T97" i="132"/>
  <c r="R97" i="132" s="1"/>
  <c r="T94" i="132"/>
  <c r="R94" i="132" s="1"/>
  <c r="T93" i="132"/>
  <c r="R93" i="132" s="1"/>
  <c r="T92" i="132"/>
  <c r="R92" i="132" s="1"/>
  <c r="T91" i="132"/>
  <c r="R91" i="132" s="1"/>
  <c r="T90" i="132"/>
  <c r="R90" i="132" s="1"/>
  <c r="T89" i="132"/>
  <c r="R89" i="132" s="1"/>
  <c r="T86" i="132"/>
  <c r="R86" i="132" s="1"/>
  <c r="T85" i="132"/>
  <c r="R85" i="132" s="1"/>
  <c r="T84" i="132"/>
  <c r="R84" i="132" s="1"/>
  <c r="T83" i="132"/>
  <c r="R83" i="132" s="1"/>
  <c r="D96" i="132" a="1"/>
  <c r="G96" i="132" s="1"/>
  <c r="T82" i="132"/>
  <c r="R82" i="132" s="1"/>
  <c r="T81" i="132"/>
  <c r="R81" i="132" s="1"/>
  <c r="Z80" i="132"/>
  <c r="N80" i="132" s="1"/>
  <c r="T78" i="132"/>
  <c r="R78" i="132" s="1"/>
  <c r="T77" i="132"/>
  <c r="R77" i="132" s="1"/>
  <c r="T76" i="132"/>
  <c r="R76" i="132" s="1"/>
  <c r="T75" i="132"/>
  <c r="R75" i="132" s="1"/>
  <c r="T74" i="132"/>
  <c r="R74" i="132" s="1"/>
  <c r="T73" i="132"/>
  <c r="R73" i="132" s="1"/>
  <c r="N72" i="132"/>
  <c r="D58" i="132" a="1"/>
  <c r="H61" i="132" s="1"/>
  <c r="W60" i="132"/>
  <c r="W59" i="132" s="1"/>
  <c r="N60" i="132"/>
  <c r="D56" i="132" a="1"/>
  <c r="H56" i="132" s="1"/>
  <c r="P77" i="132" s="1"/>
  <c r="I42" i="132"/>
  <c r="I40" i="132" s="1"/>
  <c r="H42" i="132"/>
  <c r="H40" i="132" s="1"/>
  <c r="G42" i="132"/>
  <c r="G40" i="132" s="1"/>
  <c r="F42" i="132"/>
  <c r="F40" i="132" s="1"/>
  <c r="E42" i="132"/>
  <c r="E40" i="132" s="1"/>
  <c r="D42" i="132"/>
  <c r="D40" i="132" s="1"/>
  <c r="Y29" i="132"/>
  <c r="Y28" i="132"/>
  <c r="I24" i="132"/>
  <c r="H24" i="132"/>
  <c r="G24" i="132"/>
  <c r="F24" i="132"/>
  <c r="E24" i="132"/>
  <c r="D24" i="132"/>
  <c r="Y26" i="132"/>
  <c r="Y24" i="132"/>
  <c r="I20" i="132"/>
  <c r="H20" i="132"/>
  <c r="G20" i="132"/>
  <c r="F20" i="132"/>
  <c r="E20" i="132"/>
  <c r="D20" i="132"/>
  <c r="Y22" i="132"/>
  <c r="Y21" i="132"/>
  <c r="Y20" i="132"/>
  <c r="Y19" i="132"/>
  <c r="I15" i="132"/>
  <c r="H15" i="132"/>
  <c r="G15" i="132"/>
  <c r="F15" i="132"/>
  <c r="E15" i="132"/>
  <c r="D15" i="132"/>
  <c r="Y17" i="132"/>
  <c r="D6" i="132"/>
  <c r="D65" i="132" s="1" a="1"/>
  <c r="F3" i="132"/>
  <c r="F4" i="132" s="1"/>
  <c r="D5" i="131"/>
  <c r="D60" i="131" s="1" a="1"/>
  <c r="Y40" i="131"/>
  <c r="Y39" i="131"/>
  <c r="Y38" i="131"/>
  <c r="Y37" i="131"/>
  <c r="Y36" i="131"/>
  <c r="Y35" i="131"/>
  <c r="Y34" i="131"/>
  <c r="Y32" i="131"/>
  <c r="Y31" i="131"/>
  <c r="Y30" i="131"/>
  <c r="Y29" i="131"/>
  <c r="Y28" i="131"/>
  <c r="Y27" i="131"/>
  <c r="Y25" i="131"/>
  <c r="Y24" i="131"/>
  <c r="Y22" i="131"/>
  <c r="Y21" i="131"/>
  <c r="Y20" i="131"/>
  <c r="Y19" i="131"/>
  <c r="Y17" i="131"/>
  <c r="D65" i="131" a="1"/>
  <c r="D65" i="131" s="1"/>
  <c r="D64" i="131" a="1"/>
  <c r="D64" i="131" s="1"/>
  <c r="D42" i="131" a="1"/>
  <c r="D42" i="131" s="1"/>
  <c r="D52" i="131" a="1"/>
  <c r="D52" i="131" s="1"/>
  <c r="D49" i="131" a="1"/>
  <c r="D49" i="131" s="1"/>
  <c r="D44" i="131" a="1"/>
  <c r="D44" i="131" s="1"/>
  <c r="I34" i="131"/>
  <c r="I33" i="131" s="1"/>
  <c r="H34" i="131"/>
  <c r="H33" i="131" s="1"/>
  <c r="G34" i="131"/>
  <c r="G33" i="131" s="1"/>
  <c r="F34" i="131"/>
  <c r="F33" i="131" s="1"/>
  <c r="E34" i="131"/>
  <c r="E33" i="131" s="1"/>
  <c r="D34" i="131"/>
  <c r="D33" i="131" s="1"/>
  <c r="D6" i="131"/>
  <c r="T204" i="131"/>
  <c r="R204" i="131" s="1"/>
  <c r="T203" i="131"/>
  <c r="R203" i="131" s="1"/>
  <c r="T202" i="131"/>
  <c r="R202" i="131" s="1"/>
  <c r="T201" i="131"/>
  <c r="R201" i="131" s="1"/>
  <c r="T200" i="131"/>
  <c r="R200" i="131" s="1"/>
  <c r="T199" i="131"/>
  <c r="R199" i="131" s="1"/>
  <c r="T196" i="131"/>
  <c r="R196" i="131" s="1"/>
  <c r="T195" i="131"/>
  <c r="R195" i="131" s="1"/>
  <c r="T194" i="131"/>
  <c r="R194" i="131" s="1"/>
  <c r="T193" i="131"/>
  <c r="R193" i="131" s="1"/>
  <c r="T192" i="131"/>
  <c r="R192" i="131" s="1"/>
  <c r="T191" i="131"/>
  <c r="R191" i="131" s="1"/>
  <c r="T188" i="131"/>
  <c r="R188" i="131" s="1"/>
  <c r="T187" i="131"/>
  <c r="R187" i="131" s="1"/>
  <c r="T186" i="131"/>
  <c r="R186" i="131" s="1"/>
  <c r="T185" i="131"/>
  <c r="R185" i="131" s="1"/>
  <c r="T184" i="131"/>
  <c r="R184" i="131" s="1"/>
  <c r="T183" i="131"/>
  <c r="R183" i="131" s="1"/>
  <c r="T180" i="131"/>
  <c r="R180" i="131" s="1"/>
  <c r="T179" i="131"/>
  <c r="R179" i="131" s="1"/>
  <c r="T178" i="131"/>
  <c r="R178" i="131" s="1"/>
  <c r="T177" i="131"/>
  <c r="R177" i="131" s="1"/>
  <c r="T176" i="131"/>
  <c r="R176" i="131" s="1"/>
  <c r="T175" i="131"/>
  <c r="R175" i="131" s="1"/>
  <c r="T172" i="131"/>
  <c r="R172" i="131" s="1"/>
  <c r="T171" i="131"/>
  <c r="R171" i="131" s="1"/>
  <c r="T170" i="131"/>
  <c r="R170" i="131" s="1"/>
  <c r="T169" i="131"/>
  <c r="R169" i="131" s="1"/>
  <c r="T168" i="131"/>
  <c r="R168" i="131" s="1"/>
  <c r="T167" i="131"/>
  <c r="R167" i="131" s="1"/>
  <c r="T164" i="131"/>
  <c r="R164" i="131" s="1"/>
  <c r="T163" i="131"/>
  <c r="R163" i="131" s="1"/>
  <c r="T162" i="131"/>
  <c r="R162" i="131" s="1"/>
  <c r="T161" i="131"/>
  <c r="R161" i="131" s="1"/>
  <c r="T160" i="131"/>
  <c r="R160" i="131" s="1"/>
  <c r="T159" i="131"/>
  <c r="R159" i="131" s="1"/>
  <c r="T156" i="131"/>
  <c r="R156" i="131" s="1"/>
  <c r="T155" i="131"/>
  <c r="R155" i="131" s="1"/>
  <c r="T154" i="131"/>
  <c r="R154" i="131" s="1"/>
  <c r="T153" i="131"/>
  <c r="R153" i="131" s="1"/>
  <c r="T152" i="131"/>
  <c r="R152" i="131" s="1"/>
  <c r="T151" i="131"/>
  <c r="R151" i="131" s="1"/>
  <c r="T148" i="131"/>
  <c r="R148" i="131" s="1"/>
  <c r="T147" i="131"/>
  <c r="R147" i="131" s="1"/>
  <c r="T146" i="131"/>
  <c r="R146" i="131" s="1"/>
  <c r="T145" i="131"/>
  <c r="R145" i="131" s="1"/>
  <c r="T144" i="131"/>
  <c r="R144" i="131" s="1"/>
  <c r="T143" i="131"/>
  <c r="R143" i="131" s="1"/>
  <c r="T140" i="131"/>
  <c r="R140" i="131" s="1"/>
  <c r="T139" i="131"/>
  <c r="R139" i="131" s="1"/>
  <c r="T138" i="131"/>
  <c r="R138" i="131" s="1"/>
  <c r="T137" i="131"/>
  <c r="R137" i="131" s="1"/>
  <c r="T136" i="131"/>
  <c r="R136" i="131" s="1"/>
  <c r="T135" i="131"/>
  <c r="R135" i="131" s="1"/>
  <c r="T132" i="131"/>
  <c r="R132" i="131" s="1"/>
  <c r="T131" i="131"/>
  <c r="R131" i="131" s="1"/>
  <c r="T130" i="131"/>
  <c r="R130" i="131" s="1"/>
  <c r="T129" i="131"/>
  <c r="R129" i="131" s="1"/>
  <c r="T128" i="131"/>
  <c r="R128" i="131" s="1"/>
  <c r="T127" i="131"/>
  <c r="R127" i="131" s="1"/>
  <c r="T124" i="131"/>
  <c r="R124" i="131" s="1"/>
  <c r="T123" i="131"/>
  <c r="R123" i="131" s="1"/>
  <c r="T122" i="131"/>
  <c r="R122" i="131" s="1"/>
  <c r="T121" i="131"/>
  <c r="R121" i="131" s="1"/>
  <c r="T120" i="131"/>
  <c r="R120" i="131" s="1"/>
  <c r="T119" i="131"/>
  <c r="R119" i="131" s="1"/>
  <c r="T116" i="131"/>
  <c r="R116" i="131" s="1"/>
  <c r="T115" i="131"/>
  <c r="R115" i="131" s="1"/>
  <c r="T114" i="131"/>
  <c r="R114" i="131" s="1"/>
  <c r="T113" i="131"/>
  <c r="R113" i="131" s="1"/>
  <c r="T112" i="131"/>
  <c r="R112" i="131" s="1"/>
  <c r="T111" i="131"/>
  <c r="R111" i="131" s="1"/>
  <c r="T108" i="131"/>
  <c r="R108" i="131" s="1"/>
  <c r="T107" i="131"/>
  <c r="R107" i="131" s="1"/>
  <c r="T106" i="131"/>
  <c r="R106" i="131" s="1"/>
  <c r="T105" i="131"/>
  <c r="R105" i="131" s="1"/>
  <c r="T104" i="131"/>
  <c r="R104" i="131" s="1"/>
  <c r="T103" i="131"/>
  <c r="R103" i="131" s="1"/>
  <c r="T100" i="131"/>
  <c r="R100" i="131" s="1"/>
  <c r="T99" i="131"/>
  <c r="R99" i="131" s="1"/>
  <c r="T98" i="131"/>
  <c r="R98" i="131" s="1"/>
  <c r="T97" i="131"/>
  <c r="R97" i="131" s="1"/>
  <c r="T96" i="131"/>
  <c r="R96" i="131" s="1"/>
  <c r="T95" i="131"/>
  <c r="R95" i="131" s="1"/>
  <c r="T92" i="131"/>
  <c r="R92" i="131" s="1"/>
  <c r="T91" i="131"/>
  <c r="R91" i="131" s="1"/>
  <c r="T90" i="131"/>
  <c r="R90" i="131" s="1"/>
  <c r="T89" i="131"/>
  <c r="R89" i="131" s="1"/>
  <c r="T88" i="131"/>
  <c r="R88" i="131" s="1"/>
  <c r="T87" i="131"/>
  <c r="R87" i="131" s="1"/>
  <c r="T84" i="131"/>
  <c r="R84" i="131" s="1"/>
  <c r="T83" i="131"/>
  <c r="R83" i="131" s="1"/>
  <c r="T82" i="131"/>
  <c r="R82" i="131" s="1"/>
  <c r="T81" i="131"/>
  <c r="R81" i="131" s="1"/>
  <c r="T80" i="131"/>
  <c r="R80" i="131" s="1"/>
  <c r="T79" i="131"/>
  <c r="R79" i="131" s="1"/>
  <c r="T76" i="131"/>
  <c r="R76" i="131" s="1"/>
  <c r="T75" i="131"/>
  <c r="R75" i="131" s="1"/>
  <c r="T74" i="131"/>
  <c r="R74" i="131" s="1"/>
  <c r="T73" i="131"/>
  <c r="R73" i="131" s="1"/>
  <c r="T72" i="131"/>
  <c r="R72" i="131" s="1"/>
  <c r="T71" i="131"/>
  <c r="R71" i="131" s="1"/>
  <c r="T68" i="131"/>
  <c r="R68" i="131" s="1"/>
  <c r="T67" i="131"/>
  <c r="R67" i="131" s="1"/>
  <c r="T66" i="131"/>
  <c r="R66" i="131" s="1"/>
  <c r="T65" i="131"/>
  <c r="R65" i="131" s="1"/>
  <c r="T64" i="131"/>
  <c r="R64" i="131" s="1"/>
  <c r="T63" i="131"/>
  <c r="R63" i="131" s="1"/>
  <c r="Z62" i="131"/>
  <c r="Z70" i="131" s="1"/>
  <c r="T60" i="131"/>
  <c r="R60" i="131" s="1"/>
  <c r="T59" i="131"/>
  <c r="R59" i="131" s="1"/>
  <c r="T58" i="131"/>
  <c r="R58" i="131" s="1"/>
  <c r="T57" i="131"/>
  <c r="R57" i="131" s="1"/>
  <c r="T56" i="131"/>
  <c r="R56" i="131" s="1"/>
  <c r="T55" i="131"/>
  <c r="R55" i="131" s="1"/>
  <c r="N54" i="131"/>
  <c r="W43" i="131"/>
  <c r="W42" i="131" s="1"/>
  <c r="N43" i="131"/>
  <c r="I26" i="131"/>
  <c r="H26" i="131"/>
  <c r="G26" i="131"/>
  <c r="F26" i="131"/>
  <c r="E26" i="131"/>
  <c r="D26" i="131"/>
  <c r="I23" i="131"/>
  <c r="H23" i="131"/>
  <c r="G23" i="131"/>
  <c r="F23" i="131"/>
  <c r="E23" i="131"/>
  <c r="D23" i="131"/>
  <c r="I18" i="131"/>
  <c r="H18" i="131"/>
  <c r="G18" i="131"/>
  <c r="F18" i="131"/>
  <c r="E18" i="131"/>
  <c r="D18" i="131"/>
  <c r="F3" i="131"/>
  <c r="F4" i="131" s="1"/>
  <c r="Z236" i="136" l="1"/>
  <c r="P229" i="136"/>
  <c r="U229" i="136" s="1"/>
  <c r="P232" i="136"/>
  <c r="U232" i="136" s="1"/>
  <c r="S232" i="136" s="1"/>
  <c r="P234" i="136"/>
  <c r="U234" i="136" s="1"/>
  <c r="S234" i="136" s="1"/>
  <c r="P231" i="136"/>
  <c r="U231" i="136" s="1"/>
  <c r="S231" i="136" s="1"/>
  <c r="P233" i="136"/>
  <c r="U233" i="136" s="1"/>
  <c r="S233" i="136" s="1"/>
  <c r="P230" i="136"/>
  <c r="U230" i="136" s="1"/>
  <c r="S230" i="136" s="1"/>
  <c r="N228" i="136"/>
  <c r="U227" i="136"/>
  <c r="S221" i="136"/>
  <c r="S227" i="136" s="1"/>
  <c r="U214" i="141"/>
  <c r="S208" i="141"/>
  <c r="S214" i="141" s="1"/>
  <c r="U214" i="138"/>
  <c r="S208" i="138"/>
  <c r="S214" i="138" s="1"/>
  <c r="U214" i="137"/>
  <c r="S208" i="137"/>
  <c r="S214" i="137" s="1"/>
  <c r="U219" i="136"/>
  <c r="S213" i="136"/>
  <c r="S219" i="136" s="1"/>
  <c r="U119" i="133"/>
  <c r="S113" i="133"/>
  <c r="S119" i="133" s="1"/>
  <c r="G94" i="132"/>
  <c r="F92" i="132"/>
  <c r="H93" i="132"/>
  <c r="G95" i="132"/>
  <c r="E93" i="132"/>
  <c r="F95" i="132"/>
  <c r="I95" i="132"/>
  <c r="E95" i="132"/>
  <c r="W56" i="132" s="1" a="1"/>
  <c r="W56" i="132" s="1"/>
  <c r="H95" i="132"/>
  <c r="F94" i="132"/>
  <c r="D93" i="132"/>
  <c r="I93" i="132"/>
  <c r="G92" i="132"/>
  <c r="I94" i="132"/>
  <c r="E94" i="132"/>
  <c r="G93" i="132"/>
  <c r="I92" i="132"/>
  <c r="E92" i="132"/>
  <c r="H94" i="132"/>
  <c r="D94" i="132"/>
  <c r="F93" i="132"/>
  <c r="H92" i="132"/>
  <c r="D89" i="132" a="1"/>
  <c r="E89" i="132" s="1"/>
  <c r="D85" i="132" a="1"/>
  <c r="E87" i="132" s="1"/>
  <c r="G90" i="132"/>
  <c r="G83" i="132"/>
  <c r="F90" i="132"/>
  <c r="F83" i="132"/>
  <c r="I90" i="132"/>
  <c r="E90" i="132"/>
  <c r="H90" i="132"/>
  <c r="I83" i="132"/>
  <c r="E83" i="132"/>
  <c r="H83" i="132"/>
  <c r="I69" i="132"/>
  <c r="G67" i="132"/>
  <c r="F69" i="132"/>
  <c r="G78" i="132"/>
  <c r="F67" i="132"/>
  <c r="D81" i="132"/>
  <c r="G81" i="132"/>
  <c r="F81" i="132"/>
  <c r="D70" i="132" a="1"/>
  <c r="D70" i="132" s="1"/>
  <c r="D71" i="132" a="1"/>
  <c r="D71" i="132" s="1"/>
  <c r="G64" i="132"/>
  <c r="E69" i="132"/>
  <c r="D72" i="132" a="1"/>
  <c r="D72" i="132" s="1"/>
  <c r="F78" i="132"/>
  <c r="D79" i="132" a="1"/>
  <c r="G80" i="132" s="1"/>
  <c r="D68" i="132" a="1"/>
  <c r="D68" i="132" s="1"/>
  <c r="I81" i="132"/>
  <c r="E81" i="132"/>
  <c r="H81" i="132"/>
  <c r="I78" i="132"/>
  <c r="E78" i="132"/>
  <c r="H78" i="132"/>
  <c r="G73" i="132"/>
  <c r="D74" i="132" a="1"/>
  <c r="F75" i="132" s="1"/>
  <c r="G69" i="132"/>
  <c r="F73" i="132"/>
  <c r="G76" i="132"/>
  <c r="F63" i="132"/>
  <c r="F76" i="132"/>
  <c r="I76" i="132"/>
  <c r="E76" i="132"/>
  <c r="H76" i="132"/>
  <c r="I73" i="132"/>
  <c r="E73" i="132"/>
  <c r="H73" i="132"/>
  <c r="H69" i="132"/>
  <c r="I67" i="132"/>
  <c r="E67" i="132"/>
  <c r="H67" i="132"/>
  <c r="D65" i="132"/>
  <c r="I65" i="132"/>
  <c r="E65" i="132"/>
  <c r="G65" i="132"/>
  <c r="F65" i="132"/>
  <c r="G63" i="132"/>
  <c r="F64" i="132"/>
  <c r="H65" i="132"/>
  <c r="I64" i="132"/>
  <c r="E64" i="132"/>
  <c r="H64" i="132"/>
  <c r="I63" i="132"/>
  <c r="E63" i="132"/>
  <c r="H63" i="132"/>
  <c r="F56" i="132"/>
  <c r="P75" i="132" s="1"/>
  <c r="U75" i="132" s="1"/>
  <c r="S75" i="132" s="1"/>
  <c r="I56" i="132"/>
  <c r="P78" i="132" s="1"/>
  <c r="U78" i="132" s="1"/>
  <c r="S78" i="132" s="1"/>
  <c r="E56" i="132"/>
  <c r="P74" i="132" s="1"/>
  <c r="U74" i="132" s="1"/>
  <c r="S74" i="132" s="1"/>
  <c r="F60" i="132"/>
  <c r="H96" i="132"/>
  <c r="F58" i="132"/>
  <c r="P83" i="132" s="1"/>
  <c r="U83" i="132" s="1"/>
  <c r="S83" i="132" s="1"/>
  <c r="D61" i="132"/>
  <c r="D59" i="132"/>
  <c r="I61" i="132"/>
  <c r="H59" i="132"/>
  <c r="D96" i="132"/>
  <c r="U77" i="132"/>
  <c r="S77" i="132" s="1"/>
  <c r="G56" i="132"/>
  <c r="P76" i="132" s="1"/>
  <c r="U76" i="132" s="1"/>
  <c r="S76" i="132" s="1"/>
  <c r="G58" i="132"/>
  <c r="P84" i="132" s="1"/>
  <c r="U84" i="132" s="1"/>
  <c r="S84" i="132" s="1"/>
  <c r="E59" i="132"/>
  <c r="I59" i="132"/>
  <c r="G60" i="132"/>
  <c r="E61" i="132"/>
  <c r="D56" i="132"/>
  <c r="D58" i="132"/>
  <c r="H58" i="132"/>
  <c r="F59" i="132"/>
  <c r="D60" i="132"/>
  <c r="H60" i="132"/>
  <c r="F61" i="132"/>
  <c r="E58" i="132"/>
  <c r="I58" i="132"/>
  <c r="P86" i="132" s="1"/>
  <c r="U86" i="132" s="1"/>
  <c r="S86" i="132" s="1"/>
  <c r="G59" i="132"/>
  <c r="E60" i="132"/>
  <c r="I60" i="132"/>
  <c r="G61" i="132"/>
  <c r="E96" i="132"/>
  <c r="I96" i="132"/>
  <c r="Z88" i="132"/>
  <c r="F96" i="132"/>
  <c r="I65" i="131"/>
  <c r="F65" i="131"/>
  <c r="E65" i="131"/>
  <c r="G65" i="131"/>
  <c r="H65" i="131"/>
  <c r="D60" i="131"/>
  <c r="E61" i="131"/>
  <c r="G62" i="131"/>
  <c r="I63" i="131"/>
  <c r="D61" i="131"/>
  <c r="F62" i="131"/>
  <c r="F60" i="131"/>
  <c r="H61" i="131"/>
  <c r="D63" i="131"/>
  <c r="H63" i="131"/>
  <c r="G60" i="131"/>
  <c r="I61" i="131"/>
  <c r="E63" i="131"/>
  <c r="G42" i="131"/>
  <c r="G64" i="131"/>
  <c r="I42" i="131"/>
  <c r="F42" i="131"/>
  <c r="F64" i="131"/>
  <c r="E42" i="131"/>
  <c r="I64" i="131"/>
  <c r="E64" i="131"/>
  <c r="H64" i="131"/>
  <c r="H42" i="131"/>
  <c r="G63" i="131"/>
  <c r="I62" i="131"/>
  <c r="E62" i="131"/>
  <c r="G61" i="131"/>
  <c r="I60" i="131"/>
  <c r="E60" i="131"/>
  <c r="F63" i="131"/>
  <c r="H62" i="131"/>
  <c r="D62" i="131"/>
  <c r="F61" i="131"/>
  <c r="H60" i="131"/>
  <c r="E57" i="131"/>
  <c r="D57" i="131"/>
  <c r="G54" i="131"/>
  <c r="F54" i="131"/>
  <c r="I55" i="131"/>
  <c r="E53" i="131"/>
  <c r="H55" i="131"/>
  <c r="D53" i="131"/>
  <c r="E50" i="131"/>
  <c r="I57" i="131"/>
  <c r="G56" i="131"/>
  <c r="E55" i="131"/>
  <c r="I53" i="131"/>
  <c r="G52" i="131"/>
  <c r="D50" i="131"/>
  <c r="H57" i="131"/>
  <c r="F56" i="131"/>
  <c r="D55" i="131"/>
  <c r="H53" i="131"/>
  <c r="F52" i="131"/>
  <c r="I50" i="131"/>
  <c r="G49" i="131"/>
  <c r="G57" i="131"/>
  <c r="I56" i="131"/>
  <c r="E56" i="131"/>
  <c r="G55" i="131"/>
  <c r="I54" i="131"/>
  <c r="E54" i="131"/>
  <c r="G53" i="131"/>
  <c r="I52" i="131"/>
  <c r="E52" i="131"/>
  <c r="F57" i="131"/>
  <c r="H56" i="131"/>
  <c r="D56" i="131"/>
  <c r="F55" i="131"/>
  <c r="H54" i="131"/>
  <c r="D54" i="131"/>
  <c r="F53" i="131"/>
  <c r="H52" i="131"/>
  <c r="H50" i="131"/>
  <c r="F49" i="131"/>
  <c r="G50" i="131"/>
  <c r="I49" i="131"/>
  <c r="E49" i="131"/>
  <c r="F50" i="131"/>
  <c r="H49" i="131"/>
  <c r="I47" i="131"/>
  <c r="G46" i="131"/>
  <c r="E45" i="131"/>
  <c r="H47" i="131"/>
  <c r="D45" i="131"/>
  <c r="F46" i="131"/>
  <c r="E47" i="131"/>
  <c r="I45" i="131"/>
  <c r="G44" i="131"/>
  <c r="D47" i="131"/>
  <c r="H45" i="131"/>
  <c r="F44" i="131"/>
  <c r="G47" i="131"/>
  <c r="I46" i="131"/>
  <c r="E46" i="131"/>
  <c r="G45" i="131"/>
  <c r="I44" i="131"/>
  <c r="E44" i="131"/>
  <c r="F47" i="131"/>
  <c r="H46" i="131"/>
  <c r="D46" i="131"/>
  <c r="F45" i="131"/>
  <c r="H44" i="131"/>
  <c r="N62" i="131"/>
  <c r="Z78" i="131"/>
  <c r="N70" i="131"/>
  <c r="W51" i="132" l="1" a="1"/>
  <c r="W51" i="132" s="1"/>
  <c r="U235" i="136"/>
  <c r="S229" i="136"/>
  <c r="S235" i="136" s="1"/>
  <c r="Z244" i="136"/>
  <c r="P241" i="136"/>
  <c r="U241" i="136" s="1"/>
  <c r="S241" i="136" s="1"/>
  <c r="P240" i="136"/>
  <c r="U240" i="136" s="1"/>
  <c r="S240" i="136" s="1"/>
  <c r="P237" i="136"/>
  <c r="U237" i="136" s="1"/>
  <c r="N236" i="136"/>
  <c r="P239" i="136"/>
  <c r="U239" i="136" s="1"/>
  <c r="S239" i="136" s="1"/>
  <c r="P242" i="136"/>
  <c r="U242" i="136" s="1"/>
  <c r="S242" i="136" s="1"/>
  <c r="P238" i="136"/>
  <c r="U238" i="136" s="1"/>
  <c r="S238" i="136" s="1"/>
  <c r="W53" i="132" a="1"/>
  <c r="W53" i="132" s="1"/>
  <c r="W44" i="132" a="1"/>
  <c r="W44" i="132" s="1"/>
  <c r="W39" i="132" a="1"/>
  <c r="W39" i="132" s="1"/>
  <c r="W37" i="132" a="1"/>
  <c r="W37" i="132" s="1"/>
  <c r="W28" i="132" a="1"/>
  <c r="W28" i="132" s="1"/>
  <c r="W24" i="132" a="1"/>
  <c r="W24" i="132" s="1"/>
  <c r="W34" i="132" a="1"/>
  <c r="W34" i="132" s="1"/>
  <c r="W42" i="132" a="1"/>
  <c r="W42" i="132" s="1"/>
  <c r="W55" i="132" a="1"/>
  <c r="W55" i="132" s="1"/>
  <c r="W25" i="132" a="1"/>
  <c r="W25" i="132" s="1"/>
  <c r="W54" i="132" a="1"/>
  <c r="W54" i="132" s="1"/>
  <c r="W57" i="132" a="1"/>
  <c r="W57" i="132" s="1"/>
  <c r="W22" i="132" a="1"/>
  <c r="W22" i="132" s="1"/>
  <c r="W26" i="132" a="1"/>
  <c r="W26" i="132" s="1"/>
  <c r="W30" i="132" a="1"/>
  <c r="W30" i="132" s="1"/>
  <c r="H89" i="132"/>
  <c r="F62" i="132"/>
  <c r="I89" i="132"/>
  <c r="E70" i="132"/>
  <c r="F70" i="132"/>
  <c r="W19" i="132" a="1"/>
  <c r="W19" i="132" s="1"/>
  <c r="W20" i="132" a="1"/>
  <c r="W20" i="132" s="1"/>
  <c r="W21" i="132" a="1"/>
  <c r="W21" i="132" s="1"/>
  <c r="H87" i="132"/>
  <c r="I79" i="132"/>
  <c r="E85" i="132"/>
  <c r="E91" i="132"/>
  <c r="H91" i="132"/>
  <c r="D91" i="132"/>
  <c r="G91" i="132"/>
  <c r="F91" i="132"/>
  <c r="G86" i="132"/>
  <c r="F86" i="132"/>
  <c r="I87" i="132"/>
  <c r="I91" i="132"/>
  <c r="E71" i="132"/>
  <c r="I71" i="132"/>
  <c r="F71" i="132"/>
  <c r="G71" i="132"/>
  <c r="F80" i="132"/>
  <c r="H85" i="132"/>
  <c r="F88" i="132"/>
  <c r="D85" i="132"/>
  <c r="G85" i="132"/>
  <c r="I86" i="132"/>
  <c r="E88" i="132"/>
  <c r="D86" i="132"/>
  <c r="F87" i="132"/>
  <c r="H88" i="132"/>
  <c r="E86" i="132"/>
  <c r="E84" i="132" s="1"/>
  <c r="E82" i="132" s="1"/>
  <c r="G87" i="132"/>
  <c r="I88" i="132"/>
  <c r="F85" i="132"/>
  <c r="H86" i="132"/>
  <c r="D88" i="132"/>
  <c r="H71" i="132"/>
  <c r="D87" i="132"/>
  <c r="I85" i="132"/>
  <c r="G88" i="132"/>
  <c r="D89" i="132"/>
  <c r="F89" i="132"/>
  <c r="G89" i="132"/>
  <c r="I68" i="132"/>
  <c r="G68" i="132"/>
  <c r="F68" i="132"/>
  <c r="E68" i="132"/>
  <c r="I70" i="132"/>
  <c r="H72" i="132"/>
  <c r="H79" i="132"/>
  <c r="F72" i="132"/>
  <c r="G72" i="132"/>
  <c r="G70" i="132"/>
  <c r="D79" i="132"/>
  <c r="D80" i="132"/>
  <c r="H80" i="132"/>
  <c r="G79" i="132"/>
  <c r="G77" i="132" s="1"/>
  <c r="I80" i="132"/>
  <c r="I77" i="132" s="1"/>
  <c r="E80" i="132"/>
  <c r="F79" i="132"/>
  <c r="H68" i="132"/>
  <c r="H70" i="132"/>
  <c r="E72" i="132"/>
  <c r="I72" i="132"/>
  <c r="E79" i="132"/>
  <c r="I62" i="132"/>
  <c r="D74" i="132"/>
  <c r="F74" i="132"/>
  <c r="E75" i="132"/>
  <c r="G74" i="132"/>
  <c r="G75" i="132"/>
  <c r="I74" i="132"/>
  <c r="H75" i="132"/>
  <c r="E74" i="132"/>
  <c r="D75" i="132"/>
  <c r="I75" i="132"/>
  <c r="H74" i="132"/>
  <c r="H62" i="132"/>
  <c r="F57" i="132"/>
  <c r="I57" i="132"/>
  <c r="G57" i="132"/>
  <c r="P82" i="132"/>
  <c r="U82" i="132" s="1"/>
  <c r="S82" i="132" s="1"/>
  <c r="E57" i="132"/>
  <c r="P85" i="132"/>
  <c r="U85" i="132" s="1"/>
  <c r="S85" i="132" s="1"/>
  <c r="H57" i="132"/>
  <c r="Z96" i="132"/>
  <c r="P94" i="132"/>
  <c r="U94" i="132" s="1"/>
  <c r="S94" i="132" s="1"/>
  <c r="P90" i="132"/>
  <c r="U90" i="132" s="1"/>
  <c r="S90" i="132" s="1"/>
  <c r="P93" i="132"/>
  <c r="U93" i="132" s="1"/>
  <c r="S93" i="132" s="1"/>
  <c r="P89" i="132"/>
  <c r="U89" i="132" s="1"/>
  <c r="P92" i="132"/>
  <c r="U92" i="132" s="1"/>
  <c r="S92" i="132" s="1"/>
  <c r="P91" i="132"/>
  <c r="U91" i="132" s="1"/>
  <c r="S91" i="132" s="1"/>
  <c r="N88" i="132"/>
  <c r="P81" i="132"/>
  <c r="U81" i="132" s="1"/>
  <c r="D57" i="132"/>
  <c r="D62" i="132"/>
  <c r="G62" i="132"/>
  <c r="P73" i="132"/>
  <c r="U73" i="132" s="1"/>
  <c r="W17" i="132" a="1"/>
  <c r="W17" i="132" s="1"/>
  <c r="E62" i="132"/>
  <c r="W40" i="131" a="1"/>
  <c r="W40" i="131" s="1"/>
  <c r="W39" i="131" a="1"/>
  <c r="W39" i="131" s="1"/>
  <c r="W36" i="131" a="1"/>
  <c r="W36" i="131" s="1"/>
  <c r="W37" i="131" a="1"/>
  <c r="W37" i="131" s="1"/>
  <c r="W38" i="131" a="1"/>
  <c r="W38" i="131" s="1"/>
  <c r="W29" i="131" a="1"/>
  <c r="W29" i="131" s="1"/>
  <c r="W35" i="131" a="1"/>
  <c r="W35" i="131" s="1"/>
  <c r="F59" i="131"/>
  <c r="F58" i="131" s="1"/>
  <c r="W31" i="131" a="1"/>
  <c r="W31" i="131" s="1"/>
  <c r="W30" i="131" a="1"/>
  <c r="W30" i="131" s="1"/>
  <c r="W28" i="131" a="1"/>
  <c r="W28" i="131" s="1"/>
  <c r="W32" i="131" a="1"/>
  <c r="W32" i="131" s="1"/>
  <c r="W17" i="131" a="1"/>
  <c r="W17" i="131" s="1"/>
  <c r="D59" i="131"/>
  <c r="G59" i="131"/>
  <c r="G58" i="131" s="1"/>
  <c r="E59" i="131"/>
  <c r="E58" i="131" s="1"/>
  <c r="I59" i="131"/>
  <c r="I58" i="131" s="1"/>
  <c r="H59" i="131"/>
  <c r="H58" i="131" s="1"/>
  <c r="N78" i="131"/>
  <c r="Z86" i="131"/>
  <c r="P65" i="131"/>
  <c r="U65" i="131" s="1"/>
  <c r="S65" i="131" s="1"/>
  <c r="P68" i="131"/>
  <c r="U68" i="131" s="1"/>
  <c r="S68" i="131" s="1"/>
  <c r="P66" i="131"/>
  <c r="U66" i="131" s="1"/>
  <c r="S66" i="131" s="1"/>
  <c r="P248" i="136" l="1"/>
  <c r="U248" i="136" s="1"/>
  <c r="S248" i="136" s="1"/>
  <c r="P247" i="136"/>
  <c r="U247" i="136" s="1"/>
  <c r="S247" i="136" s="1"/>
  <c r="P245" i="136"/>
  <c r="U245" i="136" s="1"/>
  <c r="P249" i="136"/>
  <c r="U249" i="136" s="1"/>
  <c r="S249" i="136" s="1"/>
  <c r="N244" i="136"/>
  <c r="Z252" i="136"/>
  <c r="P246" i="136"/>
  <c r="U246" i="136" s="1"/>
  <c r="S246" i="136" s="1"/>
  <c r="P250" i="136"/>
  <c r="U250" i="136" s="1"/>
  <c r="S250" i="136" s="1"/>
  <c r="U243" i="136"/>
  <c r="S237" i="136"/>
  <c r="S243" i="136" s="1"/>
  <c r="W40" i="132" a="1"/>
  <c r="W40" i="132" s="1"/>
  <c r="W36" i="132" a="1"/>
  <c r="W36" i="132" s="1"/>
  <c r="W35" i="132" a="1"/>
  <c r="W35" i="132" s="1"/>
  <c r="W33" i="132" a="1"/>
  <c r="W33" i="132" s="1"/>
  <c r="W31" i="132" a="1"/>
  <c r="W31" i="132" s="1"/>
  <c r="W32" i="132" a="1"/>
  <c r="W32" i="132" s="1"/>
  <c r="W29" i="132" a="1"/>
  <c r="W29" i="132" s="1"/>
  <c r="W41" i="132" a="1"/>
  <c r="W41" i="132" s="1"/>
  <c r="W50" i="132" a="1"/>
  <c r="W50" i="132" s="1"/>
  <c r="W47" i="132" a="1"/>
  <c r="W47" i="132" s="1"/>
  <c r="W46" i="132" a="1"/>
  <c r="W46" i="132" s="1"/>
  <c r="W48" i="132" a="1"/>
  <c r="W48" i="132" s="1"/>
  <c r="W49" i="132" a="1"/>
  <c r="W49" i="132" s="1"/>
  <c r="W52" i="132"/>
  <c r="F77" i="132"/>
  <c r="F84" i="132"/>
  <c r="F82" i="132" s="1"/>
  <c r="H84" i="132"/>
  <c r="H82" i="132" s="1"/>
  <c r="E77" i="132"/>
  <c r="I84" i="132"/>
  <c r="I82" i="132" s="1"/>
  <c r="G84" i="132"/>
  <c r="G82" i="132" s="1"/>
  <c r="G66" i="132"/>
  <c r="D77" i="132"/>
  <c r="E66" i="132"/>
  <c r="H77" i="132"/>
  <c r="D84" i="132"/>
  <c r="D82" i="132" s="1"/>
  <c r="F66" i="132"/>
  <c r="I66" i="132"/>
  <c r="H66" i="132"/>
  <c r="D66" i="132"/>
  <c r="W23" i="132"/>
  <c r="W18" i="132"/>
  <c r="U79" i="132"/>
  <c r="S73" i="132"/>
  <c r="S79" i="132" s="1"/>
  <c r="U87" i="132"/>
  <c r="S81" i="132"/>
  <c r="S87" i="132" s="1"/>
  <c r="U95" i="132"/>
  <c r="S89" i="132"/>
  <c r="S95" i="132" s="1"/>
  <c r="P100" i="132"/>
  <c r="U100" i="132" s="1"/>
  <c r="S100" i="132" s="1"/>
  <c r="P99" i="132"/>
  <c r="U99" i="132" s="1"/>
  <c r="S99" i="132" s="1"/>
  <c r="N96" i="132"/>
  <c r="Z104" i="132"/>
  <c r="P102" i="132"/>
  <c r="U102" i="132" s="1"/>
  <c r="S102" i="132" s="1"/>
  <c r="P98" i="132"/>
  <c r="U98" i="132" s="1"/>
  <c r="S98" i="132" s="1"/>
  <c r="P101" i="132"/>
  <c r="U101" i="132" s="1"/>
  <c r="S101" i="132" s="1"/>
  <c r="P97" i="132"/>
  <c r="U97" i="132" s="1"/>
  <c r="W34" i="131"/>
  <c r="W33" i="131" s="1"/>
  <c r="D58" i="131"/>
  <c r="P79" i="131"/>
  <c r="U79" i="131" s="1"/>
  <c r="S79" i="131" s="1"/>
  <c r="P80" i="131"/>
  <c r="U80" i="131" s="1"/>
  <c r="S80" i="131" s="1"/>
  <c r="P83" i="131"/>
  <c r="U83" i="131" s="1"/>
  <c r="S83" i="131" s="1"/>
  <c r="P67" i="131"/>
  <c r="U67" i="131" s="1"/>
  <c r="S67" i="131" s="1"/>
  <c r="P82" i="131"/>
  <c r="U82" i="131" s="1"/>
  <c r="S82" i="131" s="1"/>
  <c r="P64" i="131"/>
  <c r="U64" i="131" s="1"/>
  <c r="S64" i="131" s="1"/>
  <c r="P84" i="131"/>
  <c r="U84" i="131" s="1"/>
  <c r="S84" i="131" s="1"/>
  <c r="P81" i="131"/>
  <c r="U81" i="131" s="1"/>
  <c r="S81" i="131" s="1"/>
  <c r="E43" i="131"/>
  <c r="P72" i="131" s="1"/>
  <c r="U72" i="131" s="1"/>
  <c r="S72" i="131" s="1"/>
  <c r="W22" i="131" a="1"/>
  <c r="W22" i="131" s="1"/>
  <c r="E48" i="131"/>
  <c r="G43" i="131"/>
  <c r="P74" i="131" s="1"/>
  <c r="U74" i="131" s="1"/>
  <c r="S74" i="131" s="1"/>
  <c r="P59" i="131"/>
  <c r="U59" i="131" s="1"/>
  <c r="S59" i="131" s="1"/>
  <c r="F43" i="131"/>
  <c r="P73" i="131" s="1"/>
  <c r="U73" i="131" s="1"/>
  <c r="S73" i="131" s="1"/>
  <c r="P56" i="131"/>
  <c r="U56" i="131" s="1"/>
  <c r="S56" i="131" s="1"/>
  <c r="P57" i="131"/>
  <c r="U57" i="131" s="1"/>
  <c r="S57" i="131" s="1"/>
  <c r="W21" i="131" a="1"/>
  <c r="W21" i="131" s="1"/>
  <c r="H48" i="131"/>
  <c r="F48" i="131"/>
  <c r="G48" i="131"/>
  <c r="G51" i="131"/>
  <c r="H51" i="131"/>
  <c r="E51" i="131"/>
  <c r="P63" i="131"/>
  <c r="U63" i="131" s="1"/>
  <c r="D43" i="131"/>
  <c r="P71" i="131" s="1"/>
  <c r="U71" i="131" s="1"/>
  <c r="W19" i="131" a="1"/>
  <c r="W19" i="131" s="1"/>
  <c r="D48" i="131"/>
  <c r="W24" i="131" a="1"/>
  <c r="W24" i="131" s="1"/>
  <c r="I48" i="131"/>
  <c r="D51" i="131"/>
  <c r="W27" i="131" a="1"/>
  <c r="W27" i="131" s="1"/>
  <c r="W26" i="131" s="1"/>
  <c r="F51" i="131"/>
  <c r="I43" i="131"/>
  <c r="P76" i="131" s="1"/>
  <c r="U76" i="131" s="1"/>
  <c r="S76" i="131" s="1"/>
  <c r="W20" i="131" a="1"/>
  <c r="W20" i="131" s="1"/>
  <c r="W25" i="131" a="1"/>
  <c r="W25" i="131" s="1"/>
  <c r="I51" i="131"/>
  <c r="P60" i="131"/>
  <c r="U60" i="131" s="1"/>
  <c r="S60" i="131" s="1"/>
  <c r="P58" i="131"/>
  <c r="U58" i="131" s="1"/>
  <c r="S58" i="131" s="1"/>
  <c r="P55" i="131"/>
  <c r="U55" i="131" s="1"/>
  <c r="Z94" i="131"/>
  <c r="P92" i="131"/>
  <c r="U92" i="131" s="1"/>
  <c r="S92" i="131" s="1"/>
  <c r="P88" i="131"/>
  <c r="U88" i="131" s="1"/>
  <c r="S88" i="131" s="1"/>
  <c r="P91" i="131"/>
  <c r="U91" i="131" s="1"/>
  <c r="S91" i="131" s="1"/>
  <c r="P87" i="131"/>
  <c r="U87" i="131" s="1"/>
  <c r="P90" i="131"/>
  <c r="U90" i="131" s="1"/>
  <c r="S90" i="131" s="1"/>
  <c r="P89" i="131"/>
  <c r="U89" i="131" s="1"/>
  <c r="S89" i="131" s="1"/>
  <c r="N86" i="131"/>
  <c r="H43" i="131"/>
  <c r="P75" i="131" s="1"/>
  <c r="U75" i="131" s="1"/>
  <c r="S75" i="131" s="1"/>
  <c r="S245" i="136" l="1"/>
  <c r="S251" i="136" s="1"/>
  <c r="U251" i="136"/>
  <c r="P254" i="136"/>
  <c r="U254" i="136" s="1"/>
  <c r="S254" i="136" s="1"/>
  <c r="P255" i="136"/>
  <c r="U255" i="136" s="1"/>
  <c r="S255" i="136" s="1"/>
  <c r="P256" i="136"/>
  <c r="U256" i="136" s="1"/>
  <c r="S256" i="136" s="1"/>
  <c r="P257" i="136"/>
  <c r="U257" i="136" s="1"/>
  <c r="S257" i="136" s="1"/>
  <c r="N252" i="136"/>
  <c r="P258" i="136"/>
  <c r="U258" i="136" s="1"/>
  <c r="S258" i="136" s="1"/>
  <c r="Z260" i="136"/>
  <c r="P253" i="136"/>
  <c r="U253" i="136" s="1"/>
  <c r="W45" i="132"/>
  <c r="W43" i="132" s="1"/>
  <c r="W38" i="132"/>
  <c r="W27" i="132"/>
  <c r="U103" i="132"/>
  <c r="S97" i="132"/>
  <c r="S103" i="132" s="1"/>
  <c r="Z112" i="132"/>
  <c r="P110" i="132"/>
  <c r="U110" i="132" s="1"/>
  <c r="S110" i="132" s="1"/>
  <c r="P106" i="132"/>
  <c r="U106" i="132" s="1"/>
  <c r="S106" i="132" s="1"/>
  <c r="P109" i="132"/>
  <c r="U109" i="132" s="1"/>
  <c r="S109" i="132" s="1"/>
  <c r="P105" i="132"/>
  <c r="U105" i="132" s="1"/>
  <c r="P108" i="132"/>
  <c r="U108" i="132" s="1"/>
  <c r="S108" i="132" s="1"/>
  <c r="P107" i="132"/>
  <c r="U107" i="132" s="1"/>
  <c r="S107" i="132" s="1"/>
  <c r="N104" i="132"/>
  <c r="S85" i="131"/>
  <c r="U85" i="131"/>
  <c r="W23" i="131"/>
  <c r="U77" i="131"/>
  <c r="S71" i="131"/>
  <c r="S77" i="131" s="1"/>
  <c r="W18" i="131"/>
  <c r="U69" i="131"/>
  <c r="S63" i="131"/>
  <c r="S69" i="131" s="1"/>
  <c r="S55" i="131"/>
  <c r="S61" i="131" s="1"/>
  <c r="U61" i="131"/>
  <c r="S87" i="131"/>
  <c r="S93" i="131" s="1"/>
  <c r="U93" i="131"/>
  <c r="P98" i="131"/>
  <c r="U98" i="131" s="1"/>
  <c r="S98" i="131" s="1"/>
  <c r="N94" i="131"/>
  <c r="P100" i="131"/>
  <c r="U100" i="131" s="1"/>
  <c r="S100" i="131" s="1"/>
  <c r="P97" i="131"/>
  <c r="U97" i="131" s="1"/>
  <c r="S97" i="131" s="1"/>
  <c r="P96" i="131"/>
  <c r="U96" i="131" s="1"/>
  <c r="S96" i="131" s="1"/>
  <c r="Z102" i="131"/>
  <c r="P99" i="131"/>
  <c r="U99" i="131" s="1"/>
  <c r="S99" i="131" s="1"/>
  <c r="P95" i="131"/>
  <c r="U95" i="131" s="1"/>
  <c r="S253" i="136" l="1"/>
  <c r="S259" i="136" s="1"/>
  <c r="U259" i="136"/>
  <c r="Z268" i="136"/>
  <c r="P264" i="136"/>
  <c r="U264" i="136" s="1"/>
  <c r="S264" i="136" s="1"/>
  <c r="P262" i="136"/>
  <c r="U262" i="136" s="1"/>
  <c r="S262" i="136" s="1"/>
  <c r="P263" i="136"/>
  <c r="U263" i="136" s="1"/>
  <c r="S263" i="136" s="1"/>
  <c r="P265" i="136"/>
  <c r="U265" i="136" s="1"/>
  <c r="S265" i="136" s="1"/>
  <c r="N260" i="136"/>
  <c r="P261" i="136"/>
  <c r="U261" i="136" s="1"/>
  <c r="P266" i="136"/>
  <c r="U266" i="136" s="1"/>
  <c r="S266" i="136" s="1"/>
  <c r="W16" i="132"/>
  <c r="W65" i="132" s="1"/>
  <c r="U111" i="132"/>
  <c r="S105" i="132"/>
  <c r="S111" i="132" s="1"/>
  <c r="P116" i="132"/>
  <c r="U116" i="132" s="1"/>
  <c r="S116" i="132" s="1"/>
  <c r="P115" i="132"/>
  <c r="U115" i="132" s="1"/>
  <c r="S115" i="132" s="1"/>
  <c r="N112" i="132"/>
  <c r="Z120" i="132"/>
  <c r="P118" i="132"/>
  <c r="U118" i="132" s="1"/>
  <c r="S118" i="132" s="1"/>
  <c r="P114" i="132"/>
  <c r="U114" i="132" s="1"/>
  <c r="S114" i="132" s="1"/>
  <c r="P117" i="132"/>
  <c r="U117" i="132" s="1"/>
  <c r="S117" i="132" s="1"/>
  <c r="P113" i="132"/>
  <c r="U113" i="132" s="1"/>
  <c r="W16" i="131"/>
  <c r="W47" i="131" s="1"/>
  <c r="Z110" i="131"/>
  <c r="P108" i="131"/>
  <c r="U108" i="131" s="1"/>
  <c r="S108" i="131" s="1"/>
  <c r="P104" i="131"/>
  <c r="U104" i="131" s="1"/>
  <c r="S104" i="131" s="1"/>
  <c r="P107" i="131"/>
  <c r="U107" i="131" s="1"/>
  <c r="S107" i="131" s="1"/>
  <c r="P103" i="131"/>
  <c r="U103" i="131" s="1"/>
  <c r="P106" i="131"/>
  <c r="U106" i="131" s="1"/>
  <c r="S106" i="131" s="1"/>
  <c r="P105" i="131"/>
  <c r="U105" i="131" s="1"/>
  <c r="S105" i="131" s="1"/>
  <c r="N102" i="131"/>
  <c r="U101" i="131"/>
  <c r="S95" i="131"/>
  <c r="S101" i="131" s="1"/>
  <c r="P272" i="136" l="1"/>
  <c r="U272" i="136" s="1"/>
  <c r="S272" i="136" s="1"/>
  <c r="P269" i="136"/>
  <c r="U269" i="136" s="1"/>
  <c r="P271" i="136"/>
  <c r="U271" i="136" s="1"/>
  <c r="S271" i="136" s="1"/>
  <c r="P270" i="136"/>
  <c r="U270" i="136" s="1"/>
  <c r="S270" i="136" s="1"/>
  <c r="P273" i="136"/>
  <c r="U273" i="136" s="1"/>
  <c r="S273" i="136" s="1"/>
  <c r="P274" i="136"/>
  <c r="U274" i="136" s="1"/>
  <c r="S274" i="136" s="1"/>
  <c r="N268" i="136"/>
  <c r="U267" i="136"/>
  <c r="S261" i="136"/>
  <c r="S267" i="136" s="1"/>
  <c r="W66" i="132"/>
  <c r="W64" i="132" s="1"/>
  <c r="W15" i="132"/>
  <c r="U119" i="132"/>
  <c r="S113" i="132"/>
  <c r="S119" i="132" s="1"/>
  <c r="Z128" i="132"/>
  <c r="P126" i="132"/>
  <c r="U126" i="132" s="1"/>
  <c r="S126" i="132" s="1"/>
  <c r="P122" i="132"/>
  <c r="U122" i="132" s="1"/>
  <c r="S122" i="132" s="1"/>
  <c r="P125" i="132"/>
  <c r="U125" i="132" s="1"/>
  <c r="S125" i="132" s="1"/>
  <c r="P121" i="132"/>
  <c r="U121" i="132" s="1"/>
  <c r="P124" i="132"/>
  <c r="U124" i="132" s="1"/>
  <c r="S124" i="132" s="1"/>
  <c r="N120" i="132"/>
  <c r="P123" i="132"/>
  <c r="U123" i="132" s="1"/>
  <c r="S123" i="132" s="1"/>
  <c r="W15" i="131"/>
  <c r="S103" i="131"/>
  <c r="S109" i="131" s="1"/>
  <c r="U109" i="131"/>
  <c r="P114" i="131"/>
  <c r="U114" i="131" s="1"/>
  <c r="S114" i="131" s="1"/>
  <c r="P113" i="131"/>
  <c r="U113" i="131" s="1"/>
  <c r="S113" i="131" s="1"/>
  <c r="N110" i="131"/>
  <c r="P112" i="131"/>
  <c r="U112" i="131" s="1"/>
  <c r="S112" i="131" s="1"/>
  <c r="P111" i="131"/>
  <c r="U111" i="131" s="1"/>
  <c r="Z118" i="131"/>
  <c r="P116" i="131"/>
  <c r="U116" i="131" s="1"/>
  <c r="S116" i="131" s="1"/>
  <c r="P115" i="131"/>
  <c r="U115" i="131" s="1"/>
  <c r="S115" i="131" s="1"/>
  <c r="W48" i="131"/>
  <c r="W46" i="131" s="1"/>
  <c r="U275" i="136" l="1"/>
  <c r="S269" i="136"/>
  <c r="S275" i="136" s="1"/>
  <c r="W14" i="132"/>
  <c r="U127" i="132"/>
  <c r="S121" i="132"/>
  <c r="S127" i="132" s="1"/>
  <c r="Z136" i="132"/>
  <c r="P134" i="132"/>
  <c r="U134" i="132" s="1"/>
  <c r="S134" i="132" s="1"/>
  <c r="P130" i="132"/>
  <c r="U130" i="132" s="1"/>
  <c r="S130" i="132" s="1"/>
  <c r="P133" i="132"/>
  <c r="U133" i="132" s="1"/>
  <c r="S133" i="132" s="1"/>
  <c r="P129" i="132"/>
  <c r="U129" i="132" s="1"/>
  <c r="P132" i="132"/>
  <c r="U132" i="132" s="1"/>
  <c r="S132" i="132" s="1"/>
  <c r="N128" i="132"/>
  <c r="P131" i="132"/>
  <c r="U131" i="132" s="1"/>
  <c r="S131" i="132" s="1"/>
  <c r="W14" i="131"/>
  <c r="Z126" i="131"/>
  <c r="P124" i="131"/>
  <c r="U124" i="131" s="1"/>
  <c r="S124" i="131" s="1"/>
  <c r="P120" i="131"/>
  <c r="U120" i="131" s="1"/>
  <c r="S120" i="131" s="1"/>
  <c r="P123" i="131"/>
  <c r="U123" i="131" s="1"/>
  <c r="S123" i="131" s="1"/>
  <c r="P119" i="131"/>
  <c r="U119" i="131" s="1"/>
  <c r="P122" i="131"/>
  <c r="U122" i="131" s="1"/>
  <c r="S122" i="131" s="1"/>
  <c r="P121" i="131"/>
  <c r="U121" i="131" s="1"/>
  <c r="S121" i="131" s="1"/>
  <c r="N118" i="131"/>
  <c r="U117" i="131"/>
  <c r="S111" i="131"/>
  <c r="S117" i="131" s="1"/>
  <c r="U135" i="132" l="1"/>
  <c r="S129" i="132"/>
  <c r="S135" i="132" s="1"/>
  <c r="P140" i="132"/>
  <c r="U140" i="132" s="1"/>
  <c r="S140" i="132" s="1"/>
  <c r="P139" i="132"/>
  <c r="U139" i="132" s="1"/>
  <c r="S139" i="132" s="1"/>
  <c r="N136" i="132"/>
  <c r="Z144" i="132"/>
  <c r="P142" i="132"/>
  <c r="U142" i="132" s="1"/>
  <c r="S142" i="132" s="1"/>
  <c r="P138" i="132"/>
  <c r="U138" i="132" s="1"/>
  <c r="S138" i="132" s="1"/>
  <c r="P137" i="132"/>
  <c r="U137" i="132" s="1"/>
  <c r="P141" i="132"/>
  <c r="U141" i="132" s="1"/>
  <c r="S141" i="132" s="1"/>
  <c r="U125" i="131"/>
  <c r="S119" i="131"/>
  <c r="S125" i="131" s="1"/>
  <c r="P130" i="131"/>
  <c r="U130" i="131" s="1"/>
  <c r="S130" i="131" s="1"/>
  <c r="P129" i="131"/>
  <c r="U129" i="131" s="1"/>
  <c r="S129" i="131" s="1"/>
  <c r="N126" i="131"/>
  <c r="P132" i="131"/>
  <c r="U132" i="131" s="1"/>
  <c r="S132" i="131" s="1"/>
  <c r="P131" i="131"/>
  <c r="U131" i="131" s="1"/>
  <c r="S131" i="131" s="1"/>
  <c r="Z134" i="131"/>
  <c r="P128" i="131"/>
  <c r="U128" i="131" s="1"/>
  <c r="S128" i="131" s="1"/>
  <c r="P127" i="131"/>
  <c r="U127" i="131" s="1"/>
  <c r="Z152" i="132" l="1"/>
  <c r="P150" i="132"/>
  <c r="U150" i="132" s="1"/>
  <c r="S150" i="132" s="1"/>
  <c r="P146" i="132"/>
  <c r="U146" i="132" s="1"/>
  <c r="S146" i="132" s="1"/>
  <c r="P149" i="132"/>
  <c r="U149" i="132" s="1"/>
  <c r="S149" i="132" s="1"/>
  <c r="P145" i="132"/>
  <c r="U145" i="132" s="1"/>
  <c r="P148" i="132"/>
  <c r="U148" i="132" s="1"/>
  <c r="S148" i="132" s="1"/>
  <c r="P147" i="132"/>
  <c r="U147" i="132" s="1"/>
  <c r="S147" i="132" s="1"/>
  <c r="N144" i="132"/>
  <c r="U143" i="132"/>
  <c r="S137" i="132"/>
  <c r="S143" i="132" s="1"/>
  <c r="U133" i="131"/>
  <c r="S127" i="131"/>
  <c r="S133" i="131" s="1"/>
  <c r="Z142" i="131"/>
  <c r="P140" i="131"/>
  <c r="U140" i="131" s="1"/>
  <c r="S140" i="131" s="1"/>
  <c r="P136" i="131"/>
  <c r="U136" i="131" s="1"/>
  <c r="S136" i="131" s="1"/>
  <c r="P139" i="131"/>
  <c r="U139" i="131" s="1"/>
  <c r="S139" i="131" s="1"/>
  <c r="P135" i="131"/>
  <c r="U135" i="131" s="1"/>
  <c r="P138" i="131"/>
  <c r="U138" i="131" s="1"/>
  <c r="S138" i="131" s="1"/>
  <c r="P137" i="131"/>
  <c r="U137" i="131" s="1"/>
  <c r="S137" i="131" s="1"/>
  <c r="N134" i="131"/>
  <c r="U151" i="132" l="1"/>
  <c r="S145" i="132"/>
  <c r="S151" i="132" s="1"/>
  <c r="P156" i="132"/>
  <c r="U156" i="132" s="1"/>
  <c r="S156" i="132" s="1"/>
  <c r="P155" i="132"/>
  <c r="U155" i="132" s="1"/>
  <c r="S155" i="132" s="1"/>
  <c r="N152" i="132"/>
  <c r="Z160" i="132"/>
  <c r="P158" i="132"/>
  <c r="U158" i="132" s="1"/>
  <c r="S158" i="132" s="1"/>
  <c r="P154" i="132"/>
  <c r="U154" i="132" s="1"/>
  <c r="S154" i="132" s="1"/>
  <c r="P153" i="132"/>
  <c r="U153" i="132" s="1"/>
  <c r="P157" i="132"/>
  <c r="U157" i="132" s="1"/>
  <c r="S157" i="132" s="1"/>
  <c r="U141" i="131"/>
  <c r="S135" i="131"/>
  <c r="S141" i="131" s="1"/>
  <c r="Z150" i="131"/>
  <c r="P148" i="131"/>
  <c r="U148" i="131" s="1"/>
  <c r="S148" i="131" s="1"/>
  <c r="P146" i="131"/>
  <c r="U146" i="131" s="1"/>
  <c r="S146" i="131" s="1"/>
  <c r="P147" i="131"/>
  <c r="U147" i="131" s="1"/>
  <c r="S147" i="131" s="1"/>
  <c r="P145" i="131"/>
  <c r="U145" i="131" s="1"/>
  <c r="S145" i="131" s="1"/>
  <c r="N142" i="131"/>
  <c r="P143" i="131"/>
  <c r="U143" i="131" s="1"/>
  <c r="P144" i="131"/>
  <c r="U144" i="131" s="1"/>
  <c r="S144" i="131" s="1"/>
  <c r="Z168" i="132" l="1"/>
  <c r="P166" i="132"/>
  <c r="U166" i="132" s="1"/>
  <c r="S166" i="132" s="1"/>
  <c r="P162" i="132"/>
  <c r="U162" i="132" s="1"/>
  <c r="S162" i="132" s="1"/>
  <c r="P165" i="132"/>
  <c r="U165" i="132" s="1"/>
  <c r="S165" i="132" s="1"/>
  <c r="P161" i="132"/>
  <c r="U161" i="132" s="1"/>
  <c r="P164" i="132"/>
  <c r="U164" i="132" s="1"/>
  <c r="S164" i="132" s="1"/>
  <c r="P163" i="132"/>
  <c r="U163" i="132" s="1"/>
  <c r="S163" i="132" s="1"/>
  <c r="N160" i="132"/>
  <c r="U159" i="132"/>
  <c r="S153" i="132"/>
  <c r="S159" i="132" s="1"/>
  <c r="Z158" i="131"/>
  <c r="P156" i="131"/>
  <c r="U156" i="131" s="1"/>
  <c r="S156" i="131" s="1"/>
  <c r="P152" i="131"/>
  <c r="U152" i="131" s="1"/>
  <c r="S152" i="131" s="1"/>
  <c r="P155" i="131"/>
  <c r="U155" i="131" s="1"/>
  <c r="S155" i="131" s="1"/>
  <c r="P154" i="131"/>
  <c r="U154" i="131" s="1"/>
  <c r="S154" i="131" s="1"/>
  <c r="P151" i="131"/>
  <c r="U151" i="131" s="1"/>
  <c r="P153" i="131"/>
  <c r="U153" i="131" s="1"/>
  <c r="S153" i="131" s="1"/>
  <c r="N150" i="131"/>
  <c r="U149" i="131"/>
  <c r="S143" i="131"/>
  <c r="S149" i="131" s="1"/>
  <c r="U167" i="132" l="1"/>
  <c r="S161" i="132"/>
  <c r="S167" i="132" s="1"/>
  <c r="P172" i="132"/>
  <c r="U172" i="132" s="1"/>
  <c r="S172" i="132" s="1"/>
  <c r="P171" i="132"/>
  <c r="U171" i="132" s="1"/>
  <c r="S171" i="132" s="1"/>
  <c r="N168" i="132"/>
  <c r="Z176" i="132"/>
  <c r="P174" i="132"/>
  <c r="U174" i="132" s="1"/>
  <c r="S174" i="132" s="1"/>
  <c r="P170" i="132"/>
  <c r="U170" i="132" s="1"/>
  <c r="S170" i="132" s="1"/>
  <c r="P169" i="132"/>
  <c r="U169" i="132" s="1"/>
  <c r="P173" i="132"/>
  <c r="U173" i="132" s="1"/>
  <c r="S173" i="132" s="1"/>
  <c r="U157" i="131"/>
  <c r="S151" i="131"/>
  <c r="S157" i="131" s="1"/>
  <c r="P162" i="131"/>
  <c r="U162" i="131" s="1"/>
  <c r="S162" i="131" s="1"/>
  <c r="P161" i="131"/>
  <c r="U161" i="131" s="1"/>
  <c r="S161" i="131" s="1"/>
  <c r="N158" i="131"/>
  <c r="Z166" i="131"/>
  <c r="P164" i="131"/>
  <c r="U164" i="131" s="1"/>
  <c r="S164" i="131" s="1"/>
  <c r="P160" i="131"/>
  <c r="U160" i="131" s="1"/>
  <c r="S160" i="131" s="1"/>
  <c r="P159" i="131"/>
  <c r="U159" i="131" s="1"/>
  <c r="P163" i="131"/>
  <c r="U163" i="131" s="1"/>
  <c r="S163" i="131" s="1"/>
  <c r="Z184" i="132" l="1"/>
  <c r="P182" i="132"/>
  <c r="U182" i="132" s="1"/>
  <c r="S182" i="132" s="1"/>
  <c r="P178" i="132"/>
  <c r="U178" i="132" s="1"/>
  <c r="S178" i="132" s="1"/>
  <c r="P181" i="132"/>
  <c r="U181" i="132" s="1"/>
  <c r="S181" i="132" s="1"/>
  <c r="P177" i="132"/>
  <c r="U177" i="132" s="1"/>
  <c r="P180" i="132"/>
  <c r="U180" i="132" s="1"/>
  <c r="S180" i="132" s="1"/>
  <c r="P179" i="132"/>
  <c r="U179" i="132" s="1"/>
  <c r="S179" i="132" s="1"/>
  <c r="N176" i="132"/>
  <c r="U175" i="132"/>
  <c r="S169" i="132"/>
  <c r="S175" i="132" s="1"/>
  <c r="Z174" i="131"/>
  <c r="P172" i="131"/>
  <c r="U172" i="131" s="1"/>
  <c r="S172" i="131" s="1"/>
  <c r="P168" i="131"/>
  <c r="U168" i="131" s="1"/>
  <c r="S168" i="131" s="1"/>
  <c r="P171" i="131"/>
  <c r="U171" i="131" s="1"/>
  <c r="S171" i="131" s="1"/>
  <c r="P167" i="131"/>
  <c r="U167" i="131" s="1"/>
  <c r="P170" i="131"/>
  <c r="U170" i="131" s="1"/>
  <c r="S170" i="131" s="1"/>
  <c r="P169" i="131"/>
  <c r="U169" i="131" s="1"/>
  <c r="S169" i="131" s="1"/>
  <c r="N166" i="131"/>
  <c r="U165" i="131"/>
  <c r="S159" i="131"/>
  <c r="S165" i="131" s="1"/>
  <c r="U183" i="132" l="1"/>
  <c r="S177" i="132"/>
  <c r="S183" i="132" s="1"/>
  <c r="P188" i="132"/>
  <c r="U188" i="132" s="1"/>
  <c r="S188" i="132" s="1"/>
  <c r="P187" i="132"/>
  <c r="U187" i="132" s="1"/>
  <c r="S187" i="132" s="1"/>
  <c r="N184" i="132"/>
  <c r="Z192" i="132"/>
  <c r="P190" i="132"/>
  <c r="U190" i="132" s="1"/>
  <c r="S190" i="132" s="1"/>
  <c r="P186" i="132"/>
  <c r="U186" i="132" s="1"/>
  <c r="S186" i="132" s="1"/>
  <c r="P189" i="132"/>
  <c r="U189" i="132" s="1"/>
  <c r="S189" i="132" s="1"/>
  <c r="P185" i="132"/>
  <c r="U185" i="132" s="1"/>
  <c r="U173" i="131"/>
  <c r="S167" i="131"/>
  <c r="S173" i="131" s="1"/>
  <c r="P178" i="131"/>
  <c r="U178" i="131" s="1"/>
  <c r="S178" i="131" s="1"/>
  <c r="P177" i="131"/>
  <c r="U177" i="131" s="1"/>
  <c r="S177" i="131" s="1"/>
  <c r="N174" i="131"/>
  <c r="Z182" i="131"/>
  <c r="P180" i="131"/>
  <c r="U180" i="131" s="1"/>
  <c r="S180" i="131" s="1"/>
  <c r="P176" i="131"/>
  <c r="U176" i="131" s="1"/>
  <c r="S176" i="131" s="1"/>
  <c r="P175" i="131"/>
  <c r="U175" i="131" s="1"/>
  <c r="P179" i="131"/>
  <c r="U179" i="131" s="1"/>
  <c r="S179" i="131" s="1"/>
  <c r="U191" i="132" l="1"/>
  <c r="S185" i="132"/>
  <c r="S191" i="132" s="1"/>
  <c r="Z200" i="132"/>
  <c r="P198" i="132"/>
  <c r="U198" i="132" s="1"/>
  <c r="S198" i="132" s="1"/>
  <c r="P194" i="132"/>
  <c r="U194" i="132" s="1"/>
  <c r="S194" i="132" s="1"/>
  <c r="P197" i="132"/>
  <c r="U197" i="132" s="1"/>
  <c r="S197" i="132" s="1"/>
  <c r="P193" i="132"/>
  <c r="U193" i="132" s="1"/>
  <c r="P196" i="132"/>
  <c r="U196" i="132" s="1"/>
  <c r="S196" i="132" s="1"/>
  <c r="P195" i="132"/>
  <c r="U195" i="132" s="1"/>
  <c r="S195" i="132" s="1"/>
  <c r="N192" i="132"/>
  <c r="Z190" i="131"/>
  <c r="P188" i="131"/>
  <c r="U188" i="131" s="1"/>
  <c r="S188" i="131" s="1"/>
  <c r="P184" i="131"/>
  <c r="U184" i="131" s="1"/>
  <c r="S184" i="131" s="1"/>
  <c r="P187" i="131"/>
  <c r="U187" i="131" s="1"/>
  <c r="S187" i="131" s="1"/>
  <c r="P183" i="131"/>
  <c r="U183" i="131" s="1"/>
  <c r="P186" i="131"/>
  <c r="U186" i="131" s="1"/>
  <c r="S186" i="131" s="1"/>
  <c r="P185" i="131"/>
  <c r="U185" i="131" s="1"/>
  <c r="S185" i="131" s="1"/>
  <c r="N182" i="131"/>
  <c r="U181" i="131"/>
  <c r="S175" i="131"/>
  <c r="S181" i="131" s="1"/>
  <c r="U199" i="132" l="1"/>
  <c r="S193" i="132"/>
  <c r="S199" i="132" s="1"/>
  <c r="P204" i="132"/>
  <c r="U204" i="132" s="1"/>
  <c r="S204" i="132" s="1"/>
  <c r="P203" i="132"/>
  <c r="U203" i="132" s="1"/>
  <c r="S203" i="132" s="1"/>
  <c r="N200" i="132"/>
  <c r="Z208" i="132"/>
  <c r="P206" i="132"/>
  <c r="U206" i="132" s="1"/>
  <c r="S206" i="132" s="1"/>
  <c r="P202" i="132"/>
  <c r="U202" i="132" s="1"/>
  <c r="S202" i="132" s="1"/>
  <c r="P205" i="132"/>
  <c r="U205" i="132" s="1"/>
  <c r="S205" i="132" s="1"/>
  <c r="P201" i="132"/>
  <c r="U201" i="132" s="1"/>
  <c r="U189" i="131"/>
  <c r="S183" i="131"/>
  <c r="S189" i="131" s="1"/>
  <c r="P194" i="131"/>
  <c r="U194" i="131" s="1"/>
  <c r="S194" i="131" s="1"/>
  <c r="P193" i="131"/>
  <c r="U193" i="131" s="1"/>
  <c r="S193" i="131" s="1"/>
  <c r="N190" i="131"/>
  <c r="Z198" i="131"/>
  <c r="P196" i="131"/>
  <c r="U196" i="131" s="1"/>
  <c r="S196" i="131" s="1"/>
  <c r="P192" i="131"/>
  <c r="U192" i="131" s="1"/>
  <c r="S192" i="131" s="1"/>
  <c r="P195" i="131"/>
  <c r="U195" i="131" s="1"/>
  <c r="S195" i="131" s="1"/>
  <c r="P191" i="131"/>
  <c r="U191" i="131" s="1"/>
  <c r="U207" i="132" l="1"/>
  <c r="S201" i="132"/>
  <c r="S207" i="132" s="1"/>
  <c r="Z216" i="132"/>
  <c r="Z224" i="132" s="1"/>
  <c r="P214" i="132"/>
  <c r="U214" i="132" s="1"/>
  <c r="S214" i="132" s="1"/>
  <c r="P210" i="132"/>
  <c r="U210" i="132" s="1"/>
  <c r="S210" i="132" s="1"/>
  <c r="P213" i="132"/>
  <c r="U213" i="132" s="1"/>
  <c r="S213" i="132" s="1"/>
  <c r="P209" i="132"/>
  <c r="U209" i="132" s="1"/>
  <c r="P212" i="132"/>
  <c r="U212" i="132" s="1"/>
  <c r="S212" i="132" s="1"/>
  <c r="P211" i="132"/>
  <c r="U211" i="132" s="1"/>
  <c r="S211" i="132" s="1"/>
  <c r="N208" i="132"/>
  <c r="U197" i="131"/>
  <c r="S191" i="131"/>
  <c r="S197" i="131" s="1"/>
  <c r="P204" i="131"/>
  <c r="U204" i="131" s="1"/>
  <c r="S204" i="131" s="1"/>
  <c r="P200" i="131"/>
  <c r="U200" i="131" s="1"/>
  <c r="S200" i="131" s="1"/>
  <c r="P203" i="131"/>
  <c r="U203" i="131" s="1"/>
  <c r="S203" i="131" s="1"/>
  <c r="P199" i="131"/>
  <c r="U199" i="131" s="1"/>
  <c r="P202" i="131"/>
  <c r="U202" i="131" s="1"/>
  <c r="S202" i="131" s="1"/>
  <c r="P201" i="131"/>
  <c r="U201" i="131" s="1"/>
  <c r="S201" i="131" s="1"/>
  <c r="N198" i="131"/>
  <c r="P228" i="132" l="1"/>
  <c r="U228" i="132" s="1"/>
  <c r="S228" i="132" s="1"/>
  <c r="P229" i="132"/>
  <c r="U229" i="132" s="1"/>
  <c r="S229" i="132" s="1"/>
  <c r="Z232" i="132"/>
  <c r="P225" i="132"/>
  <c r="U225" i="132" s="1"/>
  <c r="P226" i="132"/>
  <c r="U226" i="132" s="1"/>
  <c r="S226" i="132" s="1"/>
  <c r="P230" i="132"/>
  <c r="U230" i="132" s="1"/>
  <c r="S230" i="132" s="1"/>
  <c r="N224" i="132"/>
  <c r="P227" i="132"/>
  <c r="U227" i="132" s="1"/>
  <c r="S227" i="132" s="1"/>
  <c r="U215" i="132"/>
  <c r="S209" i="132"/>
  <c r="S215" i="132" s="1"/>
  <c r="P220" i="132"/>
  <c r="U220" i="132" s="1"/>
  <c r="S220" i="132" s="1"/>
  <c r="P219" i="132"/>
  <c r="U219" i="132" s="1"/>
  <c r="S219" i="132" s="1"/>
  <c r="N216" i="132"/>
  <c r="P222" i="132"/>
  <c r="U222" i="132" s="1"/>
  <c r="S222" i="132" s="1"/>
  <c r="P218" i="132"/>
  <c r="U218" i="132" s="1"/>
  <c r="S218" i="132" s="1"/>
  <c r="P217" i="132"/>
  <c r="U217" i="132" s="1"/>
  <c r="P221" i="132"/>
  <c r="U221" i="132" s="1"/>
  <c r="S221" i="132" s="1"/>
  <c r="U205" i="131"/>
  <c r="S199" i="131"/>
  <c r="S205" i="131" s="1"/>
  <c r="S225" i="132" l="1"/>
  <c r="S231" i="132" s="1"/>
  <c r="U231" i="132"/>
  <c r="P236" i="132"/>
  <c r="U236" i="132" s="1"/>
  <c r="S236" i="132" s="1"/>
  <c r="P237" i="132"/>
  <c r="U237" i="132" s="1"/>
  <c r="S237" i="132" s="1"/>
  <c r="Z240" i="132"/>
  <c r="P233" i="132"/>
  <c r="U233" i="132" s="1"/>
  <c r="P238" i="132"/>
  <c r="U238" i="132" s="1"/>
  <c r="S238" i="132" s="1"/>
  <c r="N232" i="132"/>
  <c r="P235" i="132"/>
  <c r="U235" i="132" s="1"/>
  <c r="S235" i="132" s="1"/>
  <c r="P234" i="132"/>
  <c r="U234" i="132" s="1"/>
  <c r="S234" i="132" s="1"/>
  <c r="U223" i="132"/>
  <c r="S217" i="132"/>
  <c r="S223" i="132" s="1"/>
  <c r="U239" i="132" l="1"/>
  <c r="S233" i="132"/>
  <c r="S239" i="132" s="1"/>
  <c r="P244" i="132"/>
  <c r="U244" i="132" s="1"/>
  <c r="S244" i="132" s="1"/>
  <c r="Z248" i="132"/>
  <c r="P241" i="132"/>
  <c r="U241" i="132" s="1"/>
  <c r="P245" i="132"/>
  <c r="U245" i="132" s="1"/>
  <c r="S245" i="132" s="1"/>
  <c r="P246" i="132"/>
  <c r="U246" i="132" s="1"/>
  <c r="S246" i="132" s="1"/>
  <c r="N240" i="132"/>
  <c r="P242" i="132"/>
  <c r="U242" i="132" s="1"/>
  <c r="S242" i="132" s="1"/>
  <c r="P243" i="132"/>
  <c r="U243" i="132" s="1"/>
  <c r="S243" i="132" s="1"/>
  <c r="D28" i="108"/>
  <c r="E28" i="108"/>
  <c r="F28" i="108"/>
  <c r="G28" i="108"/>
  <c r="H28" i="108"/>
  <c r="I28" i="108"/>
  <c r="T242" i="108"/>
  <c r="R242" i="108" s="1"/>
  <c r="T241" i="108"/>
  <c r="R241" i="108" s="1"/>
  <c r="T240" i="108"/>
  <c r="R240" i="108" s="1"/>
  <c r="T239" i="108"/>
  <c r="R239" i="108" s="1"/>
  <c r="T238" i="108"/>
  <c r="R238" i="108" s="1"/>
  <c r="T237" i="108"/>
  <c r="R237" i="108" s="1"/>
  <c r="T234" i="108"/>
  <c r="R234" i="108" s="1"/>
  <c r="T233" i="108"/>
  <c r="R233" i="108" s="1"/>
  <c r="T232" i="108"/>
  <c r="R232" i="108" s="1"/>
  <c r="T231" i="108"/>
  <c r="R231" i="108" s="1"/>
  <c r="T230" i="108"/>
  <c r="R230" i="108" s="1"/>
  <c r="T229" i="108"/>
  <c r="R229" i="108" s="1"/>
  <c r="D46" i="108" a="1"/>
  <c r="D46" i="108" s="1"/>
  <c r="P252" i="132" l="1"/>
  <c r="U252" i="132" s="1"/>
  <c r="S252" i="132" s="1"/>
  <c r="Z256" i="132"/>
  <c r="P253" i="132"/>
  <c r="U253" i="132" s="1"/>
  <c r="S253" i="132" s="1"/>
  <c r="P250" i="132"/>
  <c r="U250" i="132" s="1"/>
  <c r="S250" i="132" s="1"/>
  <c r="P254" i="132"/>
  <c r="U254" i="132" s="1"/>
  <c r="S254" i="132" s="1"/>
  <c r="P249" i="132"/>
  <c r="U249" i="132" s="1"/>
  <c r="N248" i="132"/>
  <c r="P251" i="132"/>
  <c r="U251" i="132" s="1"/>
  <c r="S251" i="132" s="1"/>
  <c r="S241" i="132"/>
  <c r="S247" i="132" s="1"/>
  <c r="U247" i="132"/>
  <c r="I46" i="108"/>
  <c r="H46" i="108"/>
  <c r="F46" i="108"/>
  <c r="E46" i="108"/>
  <c r="G46" i="108"/>
  <c r="D25" i="25" a="1"/>
  <c r="D25" i="25" s="1"/>
  <c r="S249" i="132" l="1"/>
  <c r="S255" i="132" s="1"/>
  <c r="U255" i="132"/>
  <c r="P260" i="132"/>
  <c r="U260" i="132" s="1"/>
  <c r="S260" i="132" s="1"/>
  <c r="P262" i="132"/>
  <c r="U262" i="132" s="1"/>
  <c r="S262" i="132" s="1"/>
  <c r="P257" i="132"/>
  <c r="U257" i="132" s="1"/>
  <c r="Z264" i="132"/>
  <c r="P261" i="132"/>
  <c r="U261" i="132" s="1"/>
  <c r="S261" i="132" s="1"/>
  <c r="P258" i="132"/>
  <c r="U258" i="132" s="1"/>
  <c r="S258" i="132" s="1"/>
  <c r="N256" i="132"/>
  <c r="P259" i="132"/>
  <c r="U259" i="132" s="1"/>
  <c r="S259" i="132" s="1"/>
  <c r="F25" i="25"/>
  <c r="E25" i="25"/>
  <c r="I25" i="25"/>
  <c r="H25" i="25"/>
  <c r="G25" i="25"/>
  <c r="D25" i="108"/>
  <c r="E25" i="108"/>
  <c r="F25" i="108"/>
  <c r="G25" i="108"/>
  <c r="H25" i="108"/>
  <c r="I25" i="108"/>
  <c r="E21" i="108"/>
  <c r="F21" i="108"/>
  <c r="G21" i="108"/>
  <c r="H21" i="108"/>
  <c r="I21" i="108"/>
  <c r="D21" i="108"/>
  <c r="I18" i="123"/>
  <c r="H18" i="123"/>
  <c r="G18" i="123"/>
  <c r="F18" i="123"/>
  <c r="E18" i="123"/>
  <c r="D18" i="123"/>
  <c r="I15" i="123"/>
  <c r="H15" i="123"/>
  <c r="G15" i="123"/>
  <c r="F15" i="123"/>
  <c r="E15" i="123"/>
  <c r="D15" i="123"/>
  <c r="N39" i="123"/>
  <c r="N38" i="123"/>
  <c r="N28" i="123"/>
  <c r="N27" i="123"/>
  <c r="N26" i="123"/>
  <c r="N25" i="123"/>
  <c r="N24" i="123"/>
  <c r="N23" i="123"/>
  <c r="N22" i="123"/>
  <c r="N21" i="123"/>
  <c r="N20" i="123"/>
  <c r="N19" i="123"/>
  <c r="N18" i="123"/>
  <c r="N17" i="123"/>
  <c r="N16" i="123"/>
  <c r="N15" i="123"/>
  <c r="P268" i="132" l="1"/>
  <c r="U268" i="132" s="1"/>
  <c r="S268" i="132" s="1"/>
  <c r="P269" i="132"/>
  <c r="U269" i="132" s="1"/>
  <c r="S269" i="132" s="1"/>
  <c r="Z272" i="132"/>
  <c r="P265" i="132"/>
  <c r="U265" i="132" s="1"/>
  <c r="P270" i="132"/>
  <c r="U270" i="132" s="1"/>
  <c r="S270" i="132" s="1"/>
  <c r="N264" i="132"/>
  <c r="P266" i="132"/>
  <c r="U266" i="132" s="1"/>
  <c r="S266" i="132" s="1"/>
  <c r="P267" i="132"/>
  <c r="U267" i="132" s="1"/>
  <c r="S267" i="132" s="1"/>
  <c r="S257" i="132"/>
  <c r="S263" i="132" s="1"/>
  <c r="U263" i="132"/>
  <c r="N18" i="129"/>
  <c r="N17" i="129"/>
  <c r="N16" i="129"/>
  <c r="N15" i="129"/>
  <c r="N14" i="129"/>
  <c r="N13" i="129"/>
  <c r="B22" i="129"/>
  <c r="B25" i="129"/>
  <c r="B24" i="129"/>
  <c r="B23" i="129"/>
  <c r="B21" i="129"/>
  <c r="N31" i="129" s="1"/>
  <c r="B20" i="129"/>
  <c r="D5" i="129"/>
  <c r="D21" i="129" s="1" a="1"/>
  <c r="T69" i="129"/>
  <c r="R69" i="129" s="1"/>
  <c r="T68" i="129"/>
  <c r="R68" i="129" s="1"/>
  <c r="T67" i="129"/>
  <c r="R67" i="129" s="1"/>
  <c r="T66" i="129"/>
  <c r="R66" i="129" s="1"/>
  <c r="T65" i="129"/>
  <c r="R65" i="129" s="1"/>
  <c r="T64" i="129"/>
  <c r="R64" i="129" s="1"/>
  <c r="T61" i="129"/>
  <c r="R61" i="129" s="1"/>
  <c r="T60" i="129"/>
  <c r="R60" i="129" s="1"/>
  <c r="T59" i="129"/>
  <c r="R59" i="129" s="1"/>
  <c r="T58" i="129"/>
  <c r="R58" i="129" s="1"/>
  <c r="T57" i="129"/>
  <c r="R57" i="129" s="1"/>
  <c r="T56" i="129"/>
  <c r="R56" i="129" s="1"/>
  <c r="T53" i="129"/>
  <c r="R53" i="129" s="1"/>
  <c r="T52" i="129"/>
  <c r="R52" i="129" s="1"/>
  <c r="T51" i="129"/>
  <c r="R51" i="129" s="1"/>
  <c r="T50" i="129"/>
  <c r="R50" i="129" s="1"/>
  <c r="T49" i="129"/>
  <c r="R49" i="129" s="1"/>
  <c r="T48" i="129"/>
  <c r="R48" i="129" s="1"/>
  <c r="T45" i="129"/>
  <c r="R45" i="129" s="1"/>
  <c r="T44" i="129"/>
  <c r="R44" i="129" s="1"/>
  <c r="T43" i="129"/>
  <c r="R43" i="129" s="1"/>
  <c r="T42" i="129"/>
  <c r="R42" i="129" s="1"/>
  <c r="T41" i="129"/>
  <c r="R41" i="129" s="1"/>
  <c r="T40" i="129"/>
  <c r="R40" i="129" s="1"/>
  <c r="Z39" i="129"/>
  <c r="T37" i="129"/>
  <c r="R37" i="129" s="1"/>
  <c r="T36" i="129"/>
  <c r="R36" i="129" s="1"/>
  <c r="T35" i="129"/>
  <c r="R35" i="129" s="1"/>
  <c r="T34" i="129"/>
  <c r="R34" i="129" s="1"/>
  <c r="T33" i="129"/>
  <c r="R33" i="129" s="1"/>
  <c r="T32" i="129"/>
  <c r="R32" i="129" s="1"/>
  <c r="W20" i="129"/>
  <c r="W19" i="129" s="1"/>
  <c r="N20" i="129"/>
  <c r="Y18" i="129"/>
  <c r="Y17" i="129"/>
  <c r="Y16" i="129"/>
  <c r="Y15" i="129"/>
  <c r="Y14" i="129"/>
  <c r="Y13" i="129"/>
  <c r="I13" i="129"/>
  <c r="H13" i="129"/>
  <c r="G13" i="129"/>
  <c r="F13" i="129"/>
  <c r="E13" i="129"/>
  <c r="D13" i="129"/>
  <c r="F3" i="129"/>
  <c r="F4" i="129" s="1"/>
  <c r="D5" i="124"/>
  <c r="D5" i="125"/>
  <c r="D5" i="127"/>
  <c r="L14" i="128"/>
  <c r="N13" i="128"/>
  <c r="O13" i="128"/>
  <c r="P13" i="128"/>
  <c r="Q13" i="128"/>
  <c r="R13" i="128"/>
  <c r="S13" i="128"/>
  <c r="X13" i="128"/>
  <c r="D14" i="128" a="1"/>
  <c r="X14" i="128"/>
  <c r="AI14" i="128"/>
  <c r="X15" i="128"/>
  <c r="X16" i="128"/>
  <c r="X17" i="128"/>
  <c r="L18" i="128"/>
  <c r="X18" i="128"/>
  <c r="X19" i="128"/>
  <c r="N20" i="128"/>
  <c r="O20" i="128"/>
  <c r="P20" i="128"/>
  <c r="Q20" i="128"/>
  <c r="R20" i="128"/>
  <c r="S20" i="128"/>
  <c r="X20" i="128"/>
  <c r="D21" i="128" a="1"/>
  <c r="D21" i="128" s="1"/>
  <c r="X21" i="128"/>
  <c r="H22" i="128"/>
  <c r="X22" i="128"/>
  <c r="L23" i="128"/>
  <c r="X23" i="128"/>
  <c r="N24" i="128"/>
  <c r="O24" i="128"/>
  <c r="P24" i="128"/>
  <c r="Q24" i="128"/>
  <c r="R24" i="128"/>
  <c r="S24" i="128"/>
  <c r="X24" i="128"/>
  <c r="D25" i="128" a="1"/>
  <c r="D25" i="128" s="1"/>
  <c r="L25" i="128"/>
  <c r="X25" i="128"/>
  <c r="X26" i="128"/>
  <c r="L27" i="128"/>
  <c r="X27" i="128"/>
  <c r="F28" i="128"/>
  <c r="X28" i="128"/>
  <c r="X29" i="128"/>
  <c r="N30" i="128"/>
  <c r="O30" i="128"/>
  <c r="P30" i="128"/>
  <c r="Q30" i="128"/>
  <c r="R30" i="128"/>
  <c r="S30" i="128"/>
  <c r="X30" i="128"/>
  <c r="D31" i="128" a="1"/>
  <c r="F31" i="128" s="1"/>
  <c r="G31" i="128"/>
  <c r="H31" i="128"/>
  <c r="X31" i="128"/>
  <c r="D32" i="128"/>
  <c r="F32" i="128"/>
  <c r="X32" i="128"/>
  <c r="X33" i="128"/>
  <c r="N34" i="128"/>
  <c r="O34" i="128"/>
  <c r="P34" i="128"/>
  <c r="Q34" i="128"/>
  <c r="R34" i="128"/>
  <c r="S34" i="128"/>
  <c r="X34" i="128"/>
  <c r="D34" i="128" a="1"/>
  <c r="G34" i="128" s="1"/>
  <c r="L34" i="128"/>
  <c r="X35" i="128"/>
  <c r="L35" i="128"/>
  <c r="X36" i="128"/>
  <c r="L36" i="128"/>
  <c r="X37" i="128"/>
  <c r="L37" i="128"/>
  <c r="AG39" i="128"/>
  <c r="B39" i="128"/>
  <c r="X40" i="128"/>
  <c r="B40" i="128"/>
  <c r="X51" i="128" s="1"/>
  <c r="B41" i="128"/>
  <c r="B42" i="128"/>
  <c r="B43" i="128"/>
  <c r="B44" i="128"/>
  <c r="B45" i="128"/>
  <c r="B46" i="128"/>
  <c r="B47" i="128"/>
  <c r="B48" i="128"/>
  <c r="B49" i="128"/>
  <c r="B50" i="128"/>
  <c r="B51" i="128"/>
  <c r="AD52" i="128"/>
  <c r="AB52" i="128" s="1"/>
  <c r="B52" i="128"/>
  <c r="AD53" i="128"/>
  <c r="AB53" i="128" s="1"/>
  <c r="B53" i="128"/>
  <c r="AD54" i="128"/>
  <c r="AB54" i="128" s="1"/>
  <c r="B54" i="128"/>
  <c r="AD55" i="128"/>
  <c r="AB55" i="128" s="1"/>
  <c r="B55" i="128"/>
  <c r="AD56" i="128"/>
  <c r="AB56" i="128" s="1"/>
  <c r="B56" i="128"/>
  <c r="AD57" i="128"/>
  <c r="AB57" i="128" s="1"/>
  <c r="B57" i="128"/>
  <c r="B58" i="128"/>
  <c r="AJ59" i="128"/>
  <c r="X59" i="128" s="1"/>
  <c r="AD60" i="128"/>
  <c r="AB60" i="128" s="1"/>
  <c r="B59" i="128"/>
  <c r="AD61" i="128"/>
  <c r="AB61" i="128" s="1"/>
  <c r="B60" i="128"/>
  <c r="AD62" i="128"/>
  <c r="AB62" i="128" s="1"/>
  <c r="B61" i="128"/>
  <c r="AD63" i="128"/>
  <c r="AB63" i="128" s="1"/>
  <c r="B62" i="128"/>
  <c r="AD64" i="128"/>
  <c r="AB64" i="128" s="1"/>
  <c r="B63" i="128"/>
  <c r="AD65" i="128"/>
  <c r="AB65" i="128" s="1"/>
  <c r="AJ67" i="128"/>
  <c r="AJ75" i="128" s="1"/>
  <c r="X75" i="128" s="1"/>
  <c r="AD68" i="128"/>
  <c r="AB68" i="128" s="1"/>
  <c r="AD69" i="128"/>
  <c r="AB69" i="128" s="1"/>
  <c r="AD70" i="128"/>
  <c r="AB70" i="128" s="1"/>
  <c r="AD71" i="128"/>
  <c r="AB71" i="128" s="1"/>
  <c r="AD72" i="128"/>
  <c r="AB72" i="128" s="1"/>
  <c r="AD73" i="128"/>
  <c r="AB73" i="128" s="1"/>
  <c r="AD76" i="128"/>
  <c r="AB76" i="128" s="1"/>
  <c r="AD77" i="128"/>
  <c r="AB77" i="128" s="1"/>
  <c r="AD78" i="128"/>
  <c r="AB78" i="128" s="1"/>
  <c r="AD79" i="128"/>
  <c r="AB79" i="128" s="1"/>
  <c r="AD80" i="128"/>
  <c r="AB80" i="128" s="1"/>
  <c r="AD81" i="128"/>
  <c r="AB81" i="128" s="1"/>
  <c r="AD84" i="128"/>
  <c r="AB84" i="128" s="1"/>
  <c r="AD85" i="128"/>
  <c r="AB85" i="128" s="1"/>
  <c r="AD86" i="128"/>
  <c r="AB86" i="128" s="1"/>
  <c r="AD87" i="128"/>
  <c r="AB87" i="128" s="1"/>
  <c r="AD88" i="128"/>
  <c r="AB88" i="128" s="1"/>
  <c r="AD89" i="128"/>
  <c r="AB89" i="128" s="1"/>
  <c r="AD92" i="128"/>
  <c r="AB92" i="128" s="1"/>
  <c r="AD93" i="128"/>
  <c r="AB93" i="128" s="1"/>
  <c r="AD94" i="128"/>
  <c r="AB94" i="128" s="1"/>
  <c r="AD95" i="128"/>
  <c r="AB95" i="128" s="1"/>
  <c r="AD96" i="128"/>
  <c r="AB96" i="128" s="1"/>
  <c r="AD97" i="128"/>
  <c r="AB97" i="128" s="1"/>
  <c r="AD100" i="128"/>
  <c r="AB100" i="128" s="1"/>
  <c r="AD101" i="128"/>
  <c r="AB101" i="128" s="1"/>
  <c r="AD102" i="128"/>
  <c r="AB102" i="128" s="1"/>
  <c r="AD103" i="128"/>
  <c r="AB103" i="128" s="1"/>
  <c r="AD104" i="128"/>
  <c r="AB104" i="128" s="1"/>
  <c r="AD105" i="128"/>
  <c r="AB105" i="128" s="1"/>
  <c r="AD108" i="128"/>
  <c r="AB108" i="128" s="1"/>
  <c r="AD109" i="128"/>
  <c r="AB109" i="128" s="1"/>
  <c r="AD110" i="128"/>
  <c r="AB110" i="128" s="1"/>
  <c r="AD111" i="128"/>
  <c r="AB111" i="128" s="1"/>
  <c r="AD112" i="128"/>
  <c r="AB112" i="128" s="1"/>
  <c r="AD113" i="128"/>
  <c r="AB113" i="128" s="1"/>
  <c r="AD116" i="128"/>
  <c r="AB116" i="128" s="1"/>
  <c r="AD117" i="128"/>
  <c r="AB117" i="128" s="1"/>
  <c r="AD118" i="128"/>
  <c r="AB118" i="128" s="1"/>
  <c r="AD119" i="128"/>
  <c r="AB119" i="128" s="1"/>
  <c r="AD120" i="128"/>
  <c r="AB120" i="128" s="1"/>
  <c r="AD121" i="128"/>
  <c r="AB121" i="128" s="1"/>
  <c r="AD124" i="128"/>
  <c r="AB124" i="128" s="1"/>
  <c r="AD125" i="128"/>
  <c r="AB125" i="128" s="1"/>
  <c r="AD126" i="128"/>
  <c r="AB126" i="128" s="1"/>
  <c r="AD127" i="128"/>
  <c r="AB127" i="128" s="1"/>
  <c r="AD128" i="128"/>
  <c r="AB128" i="128" s="1"/>
  <c r="AD129" i="128"/>
  <c r="AB129" i="128" s="1"/>
  <c r="AD132" i="128"/>
  <c r="AB132" i="128" s="1"/>
  <c r="AD133" i="128"/>
  <c r="AB133" i="128" s="1"/>
  <c r="AD134" i="128"/>
  <c r="AB134" i="128" s="1"/>
  <c r="AD135" i="128"/>
  <c r="AB135" i="128" s="1"/>
  <c r="AD136" i="128"/>
  <c r="AB136" i="128" s="1"/>
  <c r="AD137" i="128"/>
  <c r="AB137" i="128" s="1"/>
  <c r="AD140" i="128"/>
  <c r="AB140" i="128" s="1"/>
  <c r="AD141" i="128"/>
  <c r="AB141" i="128" s="1"/>
  <c r="AD142" i="128"/>
  <c r="AB142" i="128" s="1"/>
  <c r="AD143" i="128"/>
  <c r="AB143" i="128" s="1"/>
  <c r="AD144" i="128"/>
  <c r="AB144" i="128" s="1"/>
  <c r="AD145" i="128"/>
  <c r="AB145" i="128" s="1"/>
  <c r="AD148" i="128"/>
  <c r="AB148" i="128" s="1"/>
  <c r="AD149" i="128"/>
  <c r="AB149" i="128" s="1"/>
  <c r="AD150" i="128"/>
  <c r="AB150" i="128" s="1"/>
  <c r="AD151" i="128"/>
  <c r="AB151" i="128" s="1"/>
  <c r="AD152" i="128"/>
  <c r="AB152" i="128" s="1"/>
  <c r="AD153" i="128"/>
  <c r="AB153" i="128" s="1"/>
  <c r="AD156" i="128"/>
  <c r="AB156" i="128" s="1"/>
  <c r="AD157" i="128"/>
  <c r="AB157" i="128" s="1"/>
  <c r="AD158" i="128"/>
  <c r="AB158" i="128" s="1"/>
  <c r="AD159" i="128"/>
  <c r="AB159" i="128" s="1"/>
  <c r="AD160" i="128"/>
  <c r="AB160" i="128" s="1"/>
  <c r="AD161" i="128"/>
  <c r="AB161" i="128" s="1"/>
  <c r="AD164" i="128"/>
  <c r="AB164" i="128" s="1"/>
  <c r="AD165" i="128"/>
  <c r="AB165" i="128" s="1"/>
  <c r="AD166" i="128"/>
  <c r="AB166" i="128" s="1"/>
  <c r="AD167" i="128"/>
  <c r="AB167" i="128" s="1"/>
  <c r="AD168" i="128"/>
  <c r="AB168" i="128" s="1"/>
  <c r="AD169" i="128"/>
  <c r="AB169" i="128" s="1"/>
  <c r="AD172" i="128"/>
  <c r="AB172" i="128" s="1"/>
  <c r="AD173" i="128"/>
  <c r="AB173" i="128" s="1"/>
  <c r="AD174" i="128"/>
  <c r="AB174" i="128" s="1"/>
  <c r="AD175" i="128"/>
  <c r="AB175" i="128" s="1"/>
  <c r="AD176" i="128"/>
  <c r="AB176" i="128" s="1"/>
  <c r="AD177" i="128"/>
  <c r="AB177" i="128" s="1"/>
  <c r="AD180" i="128"/>
  <c r="AB180" i="128" s="1"/>
  <c r="AD181" i="128"/>
  <c r="AB181" i="128" s="1"/>
  <c r="AD182" i="128"/>
  <c r="AB182" i="128" s="1"/>
  <c r="AD183" i="128"/>
  <c r="AB183" i="128" s="1"/>
  <c r="AD184" i="128"/>
  <c r="AB184" i="128" s="1"/>
  <c r="AD185" i="128"/>
  <c r="AB185" i="128" s="1"/>
  <c r="AD188" i="128"/>
  <c r="AB188" i="128" s="1"/>
  <c r="AD189" i="128"/>
  <c r="AB189" i="128" s="1"/>
  <c r="AD190" i="128"/>
  <c r="AB190" i="128" s="1"/>
  <c r="AD191" i="128"/>
  <c r="AB191" i="128" s="1"/>
  <c r="AD192" i="128"/>
  <c r="AB192" i="128" s="1"/>
  <c r="AD193" i="128"/>
  <c r="AB193" i="128" s="1"/>
  <c r="AD196" i="128"/>
  <c r="AB196" i="128" s="1"/>
  <c r="AD197" i="128"/>
  <c r="AB197" i="128" s="1"/>
  <c r="AD198" i="128"/>
  <c r="AB198" i="128" s="1"/>
  <c r="AD199" i="128"/>
  <c r="AB199" i="128" s="1"/>
  <c r="AD200" i="128"/>
  <c r="AB200" i="128" s="1"/>
  <c r="AD201" i="128"/>
  <c r="AB201" i="128" s="1"/>
  <c r="AD204" i="128"/>
  <c r="AB204" i="128" s="1"/>
  <c r="AD205" i="128"/>
  <c r="AB205" i="128" s="1"/>
  <c r="AD206" i="128"/>
  <c r="AB206" i="128" s="1"/>
  <c r="AD207" i="128"/>
  <c r="AB207" i="128" s="1"/>
  <c r="AD208" i="128"/>
  <c r="AB208" i="128" s="1"/>
  <c r="AD209" i="128"/>
  <c r="AB209" i="128" s="1"/>
  <c r="S265" i="132" l="1"/>
  <c r="S271" i="132" s="1"/>
  <c r="U271" i="132"/>
  <c r="G26" i="128"/>
  <c r="D52" i="125" a="1"/>
  <c r="D42" i="125" a="1"/>
  <c r="D37" i="125" a="1"/>
  <c r="D21" i="129"/>
  <c r="G21" i="129"/>
  <c r="F21" i="129"/>
  <c r="I21" i="129"/>
  <c r="F22" i="129"/>
  <c r="G23" i="129"/>
  <c r="F23" i="129"/>
  <c r="I23" i="129"/>
  <c r="E21" i="129"/>
  <c r="H21" i="129"/>
  <c r="I22" i="129"/>
  <c r="H22" i="129"/>
  <c r="E23" i="129"/>
  <c r="H23" i="129"/>
  <c r="E22" i="129"/>
  <c r="D22" i="129"/>
  <c r="G22" i="129"/>
  <c r="D23" i="129"/>
  <c r="P276" i="132"/>
  <c r="U276" i="132" s="1"/>
  <c r="S276" i="132" s="1"/>
  <c r="Z280" i="132"/>
  <c r="P273" i="132"/>
  <c r="U273" i="132" s="1"/>
  <c r="P277" i="132"/>
  <c r="U277" i="132" s="1"/>
  <c r="S277" i="132" s="1"/>
  <c r="P278" i="132"/>
  <c r="U278" i="132" s="1"/>
  <c r="S278" i="132" s="1"/>
  <c r="N272" i="132"/>
  <c r="P275" i="132"/>
  <c r="U275" i="132" s="1"/>
  <c r="S275" i="132" s="1"/>
  <c r="P274" i="132"/>
  <c r="U274" i="132" s="1"/>
  <c r="S274" i="132" s="1"/>
  <c r="I32" i="128"/>
  <c r="I31" i="128"/>
  <c r="G29" i="128"/>
  <c r="E23" i="128"/>
  <c r="F21" i="128"/>
  <c r="R33" i="128"/>
  <c r="H27" i="128"/>
  <c r="D23" i="128"/>
  <c r="H32" i="128"/>
  <c r="D31" i="128"/>
  <c r="D46" i="127" a="1"/>
  <c r="D62" i="127" a="1"/>
  <c r="D43" i="127" a="1"/>
  <c r="D55" i="127" a="1"/>
  <c r="D69" i="124" a="1"/>
  <c r="D93" i="124" a="1"/>
  <c r="D58" i="124" a="1"/>
  <c r="D87" i="124" a="1"/>
  <c r="D73" i="124" a="1"/>
  <c r="D84" i="124" a="1"/>
  <c r="L26" i="128"/>
  <c r="N33" i="128"/>
  <c r="L16" i="128"/>
  <c r="L32" i="128"/>
  <c r="E32" i="128"/>
  <c r="L31" i="128"/>
  <c r="E31" i="128"/>
  <c r="S33" i="128"/>
  <c r="O33" i="128"/>
  <c r="L29" i="128"/>
  <c r="L28" i="128"/>
  <c r="D27" i="128"/>
  <c r="H26" i="128"/>
  <c r="Q33" i="128"/>
  <c r="L17" i="128"/>
  <c r="F37" i="128"/>
  <c r="I36" i="128"/>
  <c r="D35" i="128"/>
  <c r="E28" i="128"/>
  <c r="I27" i="128"/>
  <c r="D26" i="128"/>
  <c r="G25" i="128"/>
  <c r="L22" i="128"/>
  <c r="L21" i="128"/>
  <c r="D47" i="128" s="1" a="1"/>
  <c r="L19" i="128"/>
  <c r="L15" i="128"/>
  <c r="X67" i="128"/>
  <c r="H30" i="128"/>
  <c r="F30" i="128"/>
  <c r="F29" i="128"/>
  <c r="I28" i="128"/>
  <c r="E27" i="128"/>
  <c r="F25" i="128"/>
  <c r="I23" i="128"/>
  <c r="G22" i="128"/>
  <c r="P33" i="128"/>
  <c r="H23" i="128"/>
  <c r="D22" i="128"/>
  <c r="D20" i="128" s="1"/>
  <c r="G21" i="128"/>
  <c r="N39" i="129"/>
  <c r="Z47" i="129"/>
  <c r="AJ83" i="128"/>
  <c r="D14" i="128"/>
  <c r="H14" i="128"/>
  <c r="E15" i="128"/>
  <c r="I15" i="128"/>
  <c r="F16" i="128"/>
  <c r="G17" i="128"/>
  <c r="D18" i="128"/>
  <c r="H18" i="128"/>
  <c r="E19" i="128"/>
  <c r="I19" i="128"/>
  <c r="E14" i="128"/>
  <c r="I14" i="128"/>
  <c r="F15" i="128"/>
  <c r="G16" i="128"/>
  <c r="D17" i="128"/>
  <c r="H17" i="128"/>
  <c r="E18" i="128"/>
  <c r="I18" i="128"/>
  <c r="F19" i="128"/>
  <c r="F14" i="128"/>
  <c r="G15" i="128"/>
  <c r="D16" i="128"/>
  <c r="H16" i="128"/>
  <c r="E17" i="128"/>
  <c r="I17" i="128"/>
  <c r="F18" i="128"/>
  <c r="G19" i="128"/>
  <c r="G14" i="128"/>
  <c r="H15" i="128"/>
  <c r="H19" i="128"/>
  <c r="E16" i="128"/>
  <c r="I16" i="128"/>
  <c r="D19" i="128"/>
  <c r="G18" i="128"/>
  <c r="F17" i="128"/>
  <c r="D15" i="128"/>
  <c r="D34" i="128"/>
  <c r="H34" i="128"/>
  <c r="E35" i="128"/>
  <c r="I35" i="128"/>
  <c r="F36" i="128"/>
  <c r="G37" i="128"/>
  <c r="E34" i="128"/>
  <c r="I34" i="128"/>
  <c r="F35" i="128"/>
  <c r="G36" i="128"/>
  <c r="D37" i="128"/>
  <c r="H37" i="128"/>
  <c r="F34" i="128"/>
  <c r="G35" i="128"/>
  <c r="D36" i="128"/>
  <c r="H36" i="128"/>
  <c r="E37" i="128"/>
  <c r="I37" i="128"/>
  <c r="I30" i="128"/>
  <c r="E36" i="128"/>
  <c r="H35" i="128"/>
  <c r="I29" i="128"/>
  <c r="E29" i="128"/>
  <c r="H28" i="128"/>
  <c r="D28" i="128"/>
  <c r="G27" i="128"/>
  <c r="F26" i="128"/>
  <c r="I25" i="128"/>
  <c r="E25" i="128"/>
  <c r="D51" i="128" s="1" a="1"/>
  <c r="G23" i="128"/>
  <c r="F22" i="128"/>
  <c r="I21" i="128"/>
  <c r="E21" i="128"/>
  <c r="G32" i="128"/>
  <c r="H29" i="128"/>
  <c r="D29" i="128"/>
  <c r="G28" i="128"/>
  <c r="F27" i="128"/>
  <c r="I26" i="128"/>
  <c r="E26" i="128"/>
  <c r="H25" i="128"/>
  <c r="F23" i="128"/>
  <c r="I22" i="128"/>
  <c r="E22" i="128"/>
  <c r="H21" i="128"/>
  <c r="G47" i="128" l="1"/>
  <c r="D47" i="128"/>
  <c r="F49" i="128"/>
  <c r="I49" i="128"/>
  <c r="E47" i="128"/>
  <c r="H47" i="128"/>
  <c r="E48" i="128"/>
  <c r="H48" i="128"/>
  <c r="E49" i="128"/>
  <c r="H49" i="128"/>
  <c r="G49" i="128"/>
  <c r="F48" i="128"/>
  <c r="D48" i="128"/>
  <c r="G48" i="128"/>
  <c r="D49" i="128"/>
  <c r="I48" i="128"/>
  <c r="F47" i="128"/>
  <c r="I47" i="128"/>
  <c r="D51" i="128"/>
  <c r="G53" i="128"/>
  <c r="D54" i="128"/>
  <c r="I55" i="128"/>
  <c r="E53" i="128"/>
  <c r="G55" i="128"/>
  <c r="D52" i="128"/>
  <c r="H53" i="128"/>
  <c r="I54" i="128"/>
  <c r="I52" i="128"/>
  <c r="F53" i="128"/>
  <c r="E55" i="128"/>
  <c r="G52" i="128"/>
  <c r="E54" i="128"/>
  <c r="H55" i="128"/>
  <c r="D53" i="128"/>
  <c r="E51" i="128"/>
  <c r="H51" i="128"/>
  <c r="G51" i="128"/>
  <c r="H52" i="128"/>
  <c r="G54" i="128"/>
  <c r="I51" i="128"/>
  <c r="E52" i="128"/>
  <c r="D55" i="128"/>
  <c r="F52" i="128"/>
  <c r="F55" i="128"/>
  <c r="F51" i="128"/>
  <c r="I53" i="128"/>
  <c r="H54" i="128"/>
  <c r="F54" i="128"/>
  <c r="D30" i="128"/>
  <c r="D57" i="128" a="1"/>
  <c r="S273" i="132"/>
  <c r="S279" i="132" s="1"/>
  <c r="U279" i="132"/>
  <c r="D60" i="128" a="1"/>
  <c r="P284" i="132"/>
  <c r="U284" i="132" s="1"/>
  <c r="S284" i="132" s="1"/>
  <c r="P285" i="132"/>
  <c r="U285" i="132" s="1"/>
  <c r="S285" i="132" s="1"/>
  <c r="Z288" i="132"/>
  <c r="P281" i="132"/>
  <c r="U281" i="132" s="1"/>
  <c r="P282" i="132"/>
  <c r="U282" i="132" s="1"/>
  <c r="S282" i="132" s="1"/>
  <c r="P286" i="132"/>
  <c r="U286" i="132" s="1"/>
  <c r="S286" i="132" s="1"/>
  <c r="N280" i="132"/>
  <c r="P283" i="132"/>
  <c r="U283" i="132" s="1"/>
  <c r="S283" i="132" s="1"/>
  <c r="E37" i="125"/>
  <c r="I37" i="125"/>
  <c r="G38" i="125"/>
  <c r="E39" i="125"/>
  <c r="I39" i="125"/>
  <c r="G40" i="125"/>
  <c r="F37" i="125"/>
  <c r="D38" i="125"/>
  <c r="H38" i="125"/>
  <c r="F39" i="125"/>
  <c r="D40" i="125"/>
  <c r="H40" i="125"/>
  <c r="G37" i="125"/>
  <c r="E38" i="125"/>
  <c r="I38" i="125"/>
  <c r="G39" i="125"/>
  <c r="E40" i="125"/>
  <c r="I40" i="125"/>
  <c r="D37" i="125"/>
  <c r="H37" i="125"/>
  <c r="F38" i="125"/>
  <c r="D39" i="125"/>
  <c r="H39" i="125"/>
  <c r="F40" i="125"/>
  <c r="G24" i="128"/>
  <c r="G42" i="125"/>
  <c r="D49" i="125"/>
  <c r="F46" i="125"/>
  <c r="H43" i="125"/>
  <c r="E50" i="125"/>
  <c r="G47" i="125"/>
  <c r="I44" i="125"/>
  <c r="E42" i="125"/>
  <c r="H48" i="125"/>
  <c r="D46" i="125"/>
  <c r="F43" i="125"/>
  <c r="I49" i="125"/>
  <c r="E47" i="125"/>
  <c r="G44" i="125"/>
  <c r="F48" i="125"/>
  <c r="H45" i="125"/>
  <c r="D43" i="125"/>
  <c r="G49" i="125"/>
  <c r="I46" i="125"/>
  <c r="E44" i="125"/>
  <c r="H50" i="125"/>
  <c r="D48" i="125"/>
  <c r="F45" i="125"/>
  <c r="H42" i="125"/>
  <c r="E49" i="125"/>
  <c r="G46" i="125"/>
  <c r="I43" i="125"/>
  <c r="F50" i="125"/>
  <c r="H47" i="125"/>
  <c r="D45" i="125"/>
  <c r="F42" i="125"/>
  <c r="I48" i="125"/>
  <c r="E46" i="125"/>
  <c r="G43" i="125"/>
  <c r="D50" i="125"/>
  <c r="F47" i="125"/>
  <c r="H44" i="125"/>
  <c r="D42" i="125"/>
  <c r="G48" i="125"/>
  <c r="I45" i="125"/>
  <c r="E43" i="125"/>
  <c r="H49" i="125"/>
  <c r="D47" i="125"/>
  <c r="F44" i="125"/>
  <c r="I50" i="125"/>
  <c r="E48" i="125"/>
  <c r="G45" i="125"/>
  <c r="I42" i="125"/>
  <c r="F49" i="125"/>
  <c r="H46" i="125"/>
  <c r="D44" i="125"/>
  <c r="G50" i="125"/>
  <c r="I47" i="125"/>
  <c r="E45" i="125"/>
  <c r="D40" i="128" a="1"/>
  <c r="G52" i="125"/>
  <c r="D53" i="125"/>
  <c r="E52" i="125"/>
  <c r="I53" i="125"/>
  <c r="F52" i="125"/>
  <c r="F53" i="125"/>
  <c r="E53" i="125"/>
  <c r="G53" i="125"/>
  <c r="H52" i="125"/>
  <c r="H53" i="125"/>
  <c r="I52" i="125"/>
  <c r="D52" i="125"/>
  <c r="E30" i="128"/>
  <c r="D55" i="127"/>
  <c r="G59" i="127"/>
  <c r="I56" i="127"/>
  <c r="D60" i="127"/>
  <c r="F57" i="127"/>
  <c r="G60" i="127"/>
  <c r="I57" i="127"/>
  <c r="E55" i="127"/>
  <c r="F58" i="127"/>
  <c r="H55" i="127"/>
  <c r="I58" i="127"/>
  <c r="E56" i="127"/>
  <c r="F59" i="127"/>
  <c r="H56" i="127"/>
  <c r="I59" i="127"/>
  <c r="E57" i="127"/>
  <c r="F60" i="127"/>
  <c r="H57" i="127"/>
  <c r="E60" i="127"/>
  <c r="H60" i="127"/>
  <c r="F55" i="127"/>
  <c r="I55" i="127"/>
  <c r="F56" i="127"/>
  <c r="I60" i="127"/>
  <c r="E58" i="127"/>
  <c r="G55" i="127"/>
  <c r="H58" i="127"/>
  <c r="D56" i="127"/>
  <c r="E59" i="127"/>
  <c r="G56" i="127"/>
  <c r="H59" i="127"/>
  <c r="D57" i="127"/>
  <c r="G57" i="127"/>
  <c r="D58" i="127"/>
  <c r="G58" i="127"/>
  <c r="D59" i="127"/>
  <c r="D43" i="127"/>
  <c r="H44" i="127"/>
  <c r="E43" i="127"/>
  <c r="F44" i="127"/>
  <c r="F43" i="127"/>
  <c r="E44" i="127"/>
  <c r="H43" i="127"/>
  <c r="I43" i="127"/>
  <c r="G44" i="127"/>
  <c r="D44" i="127"/>
  <c r="G43" i="127"/>
  <c r="I44" i="127"/>
  <c r="D62" i="127"/>
  <c r="I63" i="127"/>
  <c r="I62" i="127"/>
  <c r="F62" i="127"/>
  <c r="E63" i="127"/>
  <c r="E62" i="127"/>
  <c r="F63" i="127"/>
  <c r="G63" i="127"/>
  <c r="D63" i="127"/>
  <c r="G62" i="127"/>
  <c r="H62" i="127"/>
  <c r="H63" i="127"/>
  <c r="D46" i="127"/>
  <c r="I49" i="127"/>
  <c r="D53" i="127"/>
  <c r="F48" i="127"/>
  <c r="I52" i="127"/>
  <c r="E50" i="127"/>
  <c r="G47" i="127"/>
  <c r="I51" i="127"/>
  <c r="H53" i="127"/>
  <c r="D47" i="127"/>
  <c r="F51" i="127"/>
  <c r="H48" i="127"/>
  <c r="E53" i="127"/>
  <c r="I53" i="127"/>
  <c r="G48" i="127"/>
  <c r="H51" i="127"/>
  <c r="H47" i="127"/>
  <c r="E52" i="127"/>
  <c r="G49" i="127"/>
  <c r="I46" i="127"/>
  <c r="G50" i="127"/>
  <c r="F52" i="127"/>
  <c r="F53" i="127"/>
  <c r="H50" i="127"/>
  <c r="D48" i="127"/>
  <c r="G46" i="127"/>
  <c r="G53" i="127"/>
  <c r="E48" i="127"/>
  <c r="D49" i="127"/>
  <c r="F49" i="127"/>
  <c r="H46" i="127"/>
  <c r="G52" i="127"/>
  <c r="I47" i="127"/>
  <c r="F50" i="127"/>
  <c r="F46" i="127"/>
  <c r="G51" i="127"/>
  <c r="I48" i="127"/>
  <c r="E46" i="127"/>
  <c r="E49" i="127"/>
  <c r="D51" i="127"/>
  <c r="H52" i="127"/>
  <c r="D50" i="127"/>
  <c r="F47" i="127"/>
  <c r="E51" i="127"/>
  <c r="H49" i="127"/>
  <c r="I50" i="127"/>
  <c r="E47" i="127"/>
  <c r="D52" i="127"/>
  <c r="G87" i="124"/>
  <c r="F91" i="124"/>
  <c r="H88" i="124"/>
  <c r="E91" i="124"/>
  <c r="G88" i="124"/>
  <c r="D91" i="124"/>
  <c r="F88" i="124"/>
  <c r="I90" i="124"/>
  <c r="E88" i="124"/>
  <c r="H90" i="124"/>
  <c r="D88" i="124"/>
  <c r="G90" i="124"/>
  <c r="I87" i="124"/>
  <c r="F90" i="124"/>
  <c r="H87" i="124"/>
  <c r="E90" i="124"/>
  <c r="F89" i="124"/>
  <c r="E89" i="124"/>
  <c r="D89" i="124"/>
  <c r="I88" i="124"/>
  <c r="D90" i="124"/>
  <c r="F87" i="124"/>
  <c r="I89" i="124"/>
  <c r="E87" i="124"/>
  <c r="H89" i="124"/>
  <c r="D87" i="124"/>
  <c r="G89" i="124"/>
  <c r="I91" i="124"/>
  <c r="H91" i="124"/>
  <c r="G91" i="124"/>
  <c r="D58" i="124"/>
  <c r="I65" i="124"/>
  <c r="E63" i="124"/>
  <c r="G60" i="124"/>
  <c r="H67" i="124"/>
  <c r="D65" i="124"/>
  <c r="F62" i="124"/>
  <c r="H59" i="124"/>
  <c r="I66" i="124"/>
  <c r="E64" i="124"/>
  <c r="G61" i="124"/>
  <c r="I58" i="124"/>
  <c r="D66" i="124"/>
  <c r="F63" i="124"/>
  <c r="H60" i="124"/>
  <c r="I63" i="124"/>
  <c r="F60" i="124"/>
  <c r="E62" i="124"/>
  <c r="F61" i="124"/>
  <c r="I67" i="124"/>
  <c r="E65" i="124"/>
  <c r="G62" i="124"/>
  <c r="I59" i="124"/>
  <c r="D67" i="124"/>
  <c r="F64" i="124"/>
  <c r="H61" i="124"/>
  <c r="D59" i="124"/>
  <c r="E66" i="124"/>
  <c r="G63" i="124"/>
  <c r="I60" i="124"/>
  <c r="E58" i="124"/>
  <c r="F65" i="124"/>
  <c r="H62" i="124"/>
  <c r="D60" i="124"/>
  <c r="E61" i="124"/>
  <c r="D63" i="124"/>
  <c r="I64" i="124"/>
  <c r="G59" i="124"/>
  <c r="D64" i="124"/>
  <c r="H58" i="124"/>
  <c r="E67" i="124"/>
  <c r="G64" i="124"/>
  <c r="I61" i="124"/>
  <c r="E59" i="124"/>
  <c r="F66" i="124"/>
  <c r="H63" i="124"/>
  <c r="D61" i="124"/>
  <c r="F58" i="124"/>
  <c r="G65" i="124"/>
  <c r="I62" i="124"/>
  <c r="E60" i="124"/>
  <c r="F67" i="124"/>
  <c r="H64" i="124"/>
  <c r="D62" i="124"/>
  <c r="F59" i="124"/>
  <c r="G66" i="124"/>
  <c r="G58" i="124"/>
  <c r="H65" i="124"/>
  <c r="G67" i="124"/>
  <c r="H66" i="124"/>
  <c r="E84" i="124"/>
  <c r="D84" i="124"/>
  <c r="F85" i="124"/>
  <c r="G84" i="124"/>
  <c r="I85" i="124"/>
  <c r="E85" i="124"/>
  <c r="H84" i="124"/>
  <c r="G85" i="124"/>
  <c r="H85" i="124"/>
  <c r="I84" i="124"/>
  <c r="D85" i="124"/>
  <c r="F84" i="124"/>
  <c r="D93" i="124"/>
  <c r="F93" i="124"/>
  <c r="G93" i="124"/>
  <c r="I94" i="124"/>
  <c r="G94" i="124"/>
  <c r="D94" i="124"/>
  <c r="E93" i="124"/>
  <c r="E94" i="124"/>
  <c r="I93" i="124"/>
  <c r="F94" i="124"/>
  <c r="H94" i="124"/>
  <c r="H93" i="124"/>
  <c r="G73" i="124"/>
  <c r="F81" i="124"/>
  <c r="H78" i="124"/>
  <c r="D76" i="124"/>
  <c r="F73" i="124"/>
  <c r="G80" i="124"/>
  <c r="I77" i="124"/>
  <c r="E75" i="124"/>
  <c r="F82" i="124"/>
  <c r="H79" i="124"/>
  <c r="D77" i="124"/>
  <c r="F74" i="124"/>
  <c r="E82" i="124"/>
  <c r="G79" i="124"/>
  <c r="I76" i="124"/>
  <c r="E74" i="124"/>
  <c r="I82" i="124"/>
  <c r="H80" i="124"/>
  <c r="D78" i="124"/>
  <c r="F75" i="124"/>
  <c r="G82" i="124"/>
  <c r="I79" i="124"/>
  <c r="E77" i="124"/>
  <c r="G74" i="124"/>
  <c r="H81" i="124"/>
  <c r="D79" i="124"/>
  <c r="F76" i="124"/>
  <c r="H73" i="124"/>
  <c r="G81" i="124"/>
  <c r="I78" i="124"/>
  <c r="E76" i="124"/>
  <c r="D82" i="124"/>
  <c r="H76" i="124"/>
  <c r="E81" i="124"/>
  <c r="I75" i="124"/>
  <c r="F80" i="124"/>
  <c r="D75" i="124"/>
  <c r="G77" i="124"/>
  <c r="I74" i="124"/>
  <c r="H82" i="124"/>
  <c r="D80" i="124"/>
  <c r="F77" i="124"/>
  <c r="H74" i="124"/>
  <c r="I81" i="124"/>
  <c r="E79" i="124"/>
  <c r="G76" i="124"/>
  <c r="I73" i="124"/>
  <c r="D81" i="124"/>
  <c r="F78" i="124"/>
  <c r="H75" i="124"/>
  <c r="D73" i="124"/>
  <c r="I80" i="124"/>
  <c r="E78" i="124"/>
  <c r="G75" i="124"/>
  <c r="F79" i="124"/>
  <c r="D74" i="124"/>
  <c r="G78" i="124"/>
  <c r="E73" i="124"/>
  <c r="H77" i="124"/>
  <c r="E80" i="124"/>
  <c r="E69" i="124"/>
  <c r="D69" i="124"/>
  <c r="F70" i="124"/>
  <c r="H71" i="124"/>
  <c r="G69" i="124"/>
  <c r="I70" i="124"/>
  <c r="E70" i="124"/>
  <c r="G71" i="124"/>
  <c r="H69" i="124"/>
  <c r="D71" i="124"/>
  <c r="F69" i="124"/>
  <c r="I69" i="124"/>
  <c r="F71" i="124"/>
  <c r="I71" i="124"/>
  <c r="G70" i="124"/>
  <c r="H70" i="124"/>
  <c r="E71" i="124"/>
  <c r="D70" i="124"/>
  <c r="H20" i="128"/>
  <c r="F33" i="128"/>
  <c r="G33" i="128"/>
  <c r="D24" i="128"/>
  <c r="F20" i="128"/>
  <c r="F24" i="128"/>
  <c r="G20" i="128"/>
  <c r="E33" i="128"/>
  <c r="I20" i="128"/>
  <c r="P45" i="129"/>
  <c r="U45" i="129" s="1"/>
  <c r="S45" i="129" s="1"/>
  <c r="P41" i="129"/>
  <c r="U41" i="129" s="1"/>
  <c r="S41" i="129" s="1"/>
  <c r="P43" i="129"/>
  <c r="U43" i="129" s="1"/>
  <c r="S43" i="129" s="1"/>
  <c r="P42" i="129"/>
  <c r="U42" i="129" s="1"/>
  <c r="S42" i="129" s="1"/>
  <c r="P44" i="129"/>
  <c r="U44" i="129" s="1"/>
  <c r="S44" i="129" s="1"/>
  <c r="N47" i="129"/>
  <c r="Z55" i="129"/>
  <c r="P51" i="129"/>
  <c r="U51" i="129" s="1"/>
  <c r="S51" i="129" s="1"/>
  <c r="P52" i="129"/>
  <c r="U52" i="129" s="1"/>
  <c r="S52" i="129" s="1"/>
  <c r="P48" i="129"/>
  <c r="U48" i="129" s="1"/>
  <c r="G30" i="128"/>
  <c r="H33" i="128"/>
  <c r="E13" i="128"/>
  <c r="H24" i="128"/>
  <c r="E20" i="128"/>
  <c r="E24" i="128"/>
  <c r="D33" i="128"/>
  <c r="H13" i="128"/>
  <c r="X83" i="128"/>
  <c r="AJ91" i="128"/>
  <c r="D13" i="128"/>
  <c r="I24" i="128"/>
  <c r="I33" i="128"/>
  <c r="G13" i="128"/>
  <c r="F13" i="128"/>
  <c r="I13" i="128"/>
  <c r="T227" i="127"/>
  <c r="R227" i="127" s="1"/>
  <c r="T226" i="127"/>
  <c r="R226" i="127" s="1"/>
  <c r="T225" i="127"/>
  <c r="R225" i="127" s="1"/>
  <c r="T224" i="127"/>
  <c r="R224" i="127" s="1"/>
  <c r="T223" i="127"/>
  <c r="R223" i="127" s="1"/>
  <c r="T222" i="127"/>
  <c r="R222" i="127" s="1"/>
  <c r="T219" i="127"/>
  <c r="R219" i="127" s="1"/>
  <c r="T218" i="127"/>
  <c r="R218" i="127" s="1"/>
  <c r="T217" i="127"/>
  <c r="R217" i="127" s="1"/>
  <c r="T216" i="127"/>
  <c r="R216" i="127" s="1"/>
  <c r="T215" i="127"/>
  <c r="R215" i="127" s="1"/>
  <c r="T214" i="127"/>
  <c r="R214" i="127" s="1"/>
  <c r="T211" i="127"/>
  <c r="R211" i="127" s="1"/>
  <c r="T210" i="127"/>
  <c r="R210" i="127" s="1"/>
  <c r="T209" i="127"/>
  <c r="R209" i="127" s="1"/>
  <c r="T208" i="127"/>
  <c r="R208" i="127" s="1"/>
  <c r="T207" i="127"/>
  <c r="R207" i="127" s="1"/>
  <c r="T206" i="127"/>
  <c r="R206" i="127" s="1"/>
  <c r="T203" i="127"/>
  <c r="R203" i="127" s="1"/>
  <c r="T202" i="127"/>
  <c r="R202" i="127" s="1"/>
  <c r="T201" i="127"/>
  <c r="R201" i="127" s="1"/>
  <c r="T200" i="127"/>
  <c r="R200" i="127" s="1"/>
  <c r="T199" i="127"/>
  <c r="R199" i="127" s="1"/>
  <c r="T198" i="127"/>
  <c r="R198" i="127" s="1"/>
  <c r="T195" i="127"/>
  <c r="R195" i="127" s="1"/>
  <c r="T194" i="127"/>
  <c r="R194" i="127" s="1"/>
  <c r="T193" i="127"/>
  <c r="R193" i="127" s="1"/>
  <c r="T192" i="127"/>
  <c r="R192" i="127" s="1"/>
  <c r="T191" i="127"/>
  <c r="R191" i="127" s="1"/>
  <c r="T190" i="127"/>
  <c r="R190" i="127" s="1"/>
  <c r="T187" i="127"/>
  <c r="R187" i="127" s="1"/>
  <c r="T186" i="127"/>
  <c r="R186" i="127" s="1"/>
  <c r="T185" i="127"/>
  <c r="R185" i="127" s="1"/>
  <c r="T184" i="127"/>
  <c r="R184" i="127" s="1"/>
  <c r="T183" i="127"/>
  <c r="R183" i="127" s="1"/>
  <c r="T182" i="127"/>
  <c r="R182" i="127" s="1"/>
  <c r="T179" i="127"/>
  <c r="R179" i="127" s="1"/>
  <c r="T178" i="127"/>
  <c r="R178" i="127" s="1"/>
  <c r="T177" i="127"/>
  <c r="R177" i="127" s="1"/>
  <c r="T176" i="127"/>
  <c r="R176" i="127" s="1"/>
  <c r="T175" i="127"/>
  <c r="R175" i="127" s="1"/>
  <c r="T174" i="127"/>
  <c r="R174" i="127" s="1"/>
  <c r="T171" i="127"/>
  <c r="R171" i="127" s="1"/>
  <c r="T170" i="127"/>
  <c r="R170" i="127" s="1"/>
  <c r="T169" i="127"/>
  <c r="R169" i="127" s="1"/>
  <c r="T168" i="127"/>
  <c r="R168" i="127" s="1"/>
  <c r="T167" i="127"/>
  <c r="R167" i="127" s="1"/>
  <c r="T166" i="127"/>
  <c r="R166" i="127" s="1"/>
  <c r="T163" i="127"/>
  <c r="R163" i="127" s="1"/>
  <c r="T162" i="127"/>
  <c r="R162" i="127" s="1"/>
  <c r="T161" i="127"/>
  <c r="R161" i="127" s="1"/>
  <c r="T160" i="127"/>
  <c r="R160" i="127" s="1"/>
  <c r="T159" i="127"/>
  <c r="R159" i="127" s="1"/>
  <c r="T158" i="127"/>
  <c r="R158" i="127" s="1"/>
  <c r="T155" i="127"/>
  <c r="R155" i="127" s="1"/>
  <c r="T154" i="127"/>
  <c r="R154" i="127" s="1"/>
  <c r="T153" i="127"/>
  <c r="R153" i="127" s="1"/>
  <c r="T152" i="127"/>
  <c r="R152" i="127" s="1"/>
  <c r="T151" i="127"/>
  <c r="R151" i="127" s="1"/>
  <c r="T150" i="127"/>
  <c r="R150" i="127" s="1"/>
  <c r="T147" i="127"/>
  <c r="R147" i="127" s="1"/>
  <c r="T146" i="127"/>
  <c r="R146" i="127" s="1"/>
  <c r="T145" i="127"/>
  <c r="R145" i="127" s="1"/>
  <c r="T144" i="127"/>
  <c r="R144" i="127" s="1"/>
  <c r="T143" i="127"/>
  <c r="R143" i="127" s="1"/>
  <c r="T142" i="127"/>
  <c r="R142" i="127" s="1"/>
  <c r="T139" i="127"/>
  <c r="R139" i="127" s="1"/>
  <c r="T138" i="127"/>
  <c r="R138" i="127" s="1"/>
  <c r="T137" i="127"/>
  <c r="R137" i="127" s="1"/>
  <c r="T136" i="127"/>
  <c r="R136" i="127" s="1"/>
  <c r="T135" i="127"/>
  <c r="R135" i="127" s="1"/>
  <c r="T134" i="127"/>
  <c r="R134" i="127" s="1"/>
  <c r="T131" i="127"/>
  <c r="R131" i="127" s="1"/>
  <c r="T130" i="127"/>
  <c r="R130" i="127" s="1"/>
  <c r="T129" i="127"/>
  <c r="R129" i="127" s="1"/>
  <c r="T128" i="127"/>
  <c r="R128" i="127" s="1"/>
  <c r="T127" i="127"/>
  <c r="R127" i="127" s="1"/>
  <c r="T126" i="127"/>
  <c r="R126" i="127" s="1"/>
  <c r="T123" i="127"/>
  <c r="R123" i="127" s="1"/>
  <c r="T122" i="127"/>
  <c r="R122" i="127" s="1"/>
  <c r="T121" i="127"/>
  <c r="R121" i="127" s="1"/>
  <c r="T120" i="127"/>
  <c r="R120" i="127" s="1"/>
  <c r="T119" i="127"/>
  <c r="R119" i="127" s="1"/>
  <c r="T118" i="127"/>
  <c r="R118" i="127" s="1"/>
  <c r="T115" i="127"/>
  <c r="R115" i="127" s="1"/>
  <c r="T114" i="127"/>
  <c r="R114" i="127" s="1"/>
  <c r="T113" i="127"/>
  <c r="R113" i="127" s="1"/>
  <c r="T112" i="127"/>
  <c r="R112" i="127" s="1"/>
  <c r="T111" i="127"/>
  <c r="R111" i="127" s="1"/>
  <c r="T110" i="127"/>
  <c r="R110" i="127" s="1"/>
  <c r="T107" i="127"/>
  <c r="R107" i="127" s="1"/>
  <c r="T106" i="127"/>
  <c r="R106" i="127" s="1"/>
  <c r="T105" i="127"/>
  <c r="R105" i="127" s="1"/>
  <c r="T104" i="127"/>
  <c r="R104" i="127" s="1"/>
  <c r="T103" i="127"/>
  <c r="R103" i="127" s="1"/>
  <c r="T102" i="127"/>
  <c r="R102" i="127" s="1"/>
  <c r="T99" i="127"/>
  <c r="R99" i="127" s="1"/>
  <c r="T98" i="127"/>
  <c r="R98" i="127" s="1"/>
  <c r="T97" i="127"/>
  <c r="R97" i="127" s="1"/>
  <c r="T96" i="127"/>
  <c r="R96" i="127" s="1"/>
  <c r="T95" i="127"/>
  <c r="R95" i="127" s="1"/>
  <c r="T94" i="127"/>
  <c r="R94" i="127" s="1"/>
  <c r="T91" i="127"/>
  <c r="R91" i="127" s="1"/>
  <c r="T90" i="127"/>
  <c r="R90" i="127" s="1"/>
  <c r="T89" i="127"/>
  <c r="R89" i="127" s="1"/>
  <c r="T88" i="127"/>
  <c r="R88" i="127" s="1"/>
  <c r="T87" i="127"/>
  <c r="R87" i="127" s="1"/>
  <c r="T86" i="127"/>
  <c r="R86" i="127" s="1"/>
  <c r="T83" i="127"/>
  <c r="R83" i="127" s="1"/>
  <c r="T82" i="127"/>
  <c r="R82" i="127" s="1"/>
  <c r="T81" i="127"/>
  <c r="R81" i="127" s="1"/>
  <c r="T80" i="127"/>
  <c r="R80" i="127" s="1"/>
  <c r="T79" i="127"/>
  <c r="R79" i="127" s="1"/>
  <c r="T78" i="127"/>
  <c r="R78" i="127" s="1"/>
  <c r="B68" i="127"/>
  <c r="B67" i="127"/>
  <c r="T75" i="127"/>
  <c r="R75" i="127" s="1"/>
  <c r="B66" i="127"/>
  <c r="T74" i="127"/>
  <c r="R74" i="127" s="1"/>
  <c r="B65" i="127"/>
  <c r="T73" i="127"/>
  <c r="R73" i="127" s="1"/>
  <c r="B64" i="127"/>
  <c r="T72" i="127"/>
  <c r="R72" i="127" s="1"/>
  <c r="T71" i="127"/>
  <c r="R71" i="127" s="1"/>
  <c r="B63" i="127"/>
  <c r="T70" i="127"/>
  <c r="R70" i="127" s="1"/>
  <c r="B62" i="127"/>
  <c r="B61" i="127"/>
  <c r="B60" i="127"/>
  <c r="T67" i="127"/>
  <c r="R67" i="127" s="1"/>
  <c r="B59" i="127"/>
  <c r="T66" i="127"/>
  <c r="R66" i="127" s="1"/>
  <c r="B58" i="127"/>
  <c r="T65" i="127"/>
  <c r="R65" i="127" s="1"/>
  <c r="B57" i="127"/>
  <c r="T64" i="127"/>
  <c r="R64" i="127" s="1"/>
  <c r="B56" i="127"/>
  <c r="T63" i="127"/>
  <c r="R63" i="127" s="1"/>
  <c r="B55" i="127"/>
  <c r="T62" i="127"/>
  <c r="R62" i="127" s="1"/>
  <c r="B54" i="127"/>
  <c r="Z61" i="127"/>
  <c r="Z69" i="127" s="1"/>
  <c r="Z77" i="127" s="1"/>
  <c r="T59" i="127"/>
  <c r="R59" i="127" s="1"/>
  <c r="T58" i="127"/>
  <c r="R58" i="127" s="1"/>
  <c r="T57" i="127"/>
  <c r="R57" i="127" s="1"/>
  <c r="T56" i="127"/>
  <c r="R56" i="127" s="1"/>
  <c r="T55" i="127"/>
  <c r="R55" i="127" s="1"/>
  <c r="T54" i="127"/>
  <c r="R54" i="127" s="1"/>
  <c r="B53" i="127"/>
  <c r="B52" i="127"/>
  <c r="B51" i="127"/>
  <c r="B50" i="127"/>
  <c r="B49" i="127"/>
  <c r="B48" i="127"/>
  <c r="B47" i="127"/>
  <c r="B46" i="127"/>
  <c r="B45" i="127"/>
  <c r="B44" i="127"/>
  <c r="B43" i="127"/>
  <c r="N53" i="127" s="1"/>
  <c r="B42" i="127"/>
  <c r="N42" i="127"/>
  <c r="W41" i="127"/>
  <c r="N40" i="127"/>
  <c r="N39" i="127"/>
  <c r="N38" i="127"/>
  <c r="N37" i="127"/>
  <c r="I36" i="127"/>
  <c r="H36" i="127"/>
  <c r="G36" i="127"/>
  <c r="F36" i="127"/>
  <c r="E36" i="127"/>
  <c r="D36" i="127"/>
  <c r="N36" i="127"/>
  <c r="N35" i="127"/>
  <c r="N34" i="127"/>
  <c r="N33" i="127"/>
  <c r="I33" i="127"/>
  <c r="H33" i="127"/>
  <c r="G33" i="127"/>
  <c r="F33" i="127"/>
  <c r="E33" i="127"/>
  <c r="D33" i="127"/>
  <c r="N32" i="127"/>
  <c r="N31" i="127"/>
  <c r="N30" i="127"/>
  <c r="N29" i="127"/>
  <c r="N28" i="127"/>
  <c r="N27" i="127"/>
  <c r="N26" i="127"/>
  <c r="I26" i="127"/>
  <c r="H26" i="127"/>
  <c r="G26" i="127"/>
  <c r="F26" i="127"/>
  <c r="E26" i="127"/>
  <c r="D26" i="127"/>
  <c r="N25" i="127"/>
  <c r="N24" i="127"/>
  <c r="N23" i="127"/>
  <c r="N22" i="127"/>
  <c r="N21" i="127"/>
  <c r="N20" i="127"/>
  <c r="N19" i="127"/>
  <c r="N18" i="127"/>
  <c r="N17" i="127"/>
  <c r="I17" i="127"/>
  <c r="H17" i="127"/>
  <c r="G17" i="127"/>
  <c r="F17" i="127"/>
  <c r="E17" i="127"/>
  <c r="D17" i="127"/>
  <c r="N16" i="127"/>
  <c r="Y15" i="127"/>
  <c r="N15" i="127"/>
  <c r="Y14" i="127"/>
  <c r="N14" i="127"/>
  <c r="I14" i="127"/>
  <c r="H14" i="127"/>
  <c r="G14" i="127"/>
  <c r="F14" i="127"/>
  <c r="E14" i="127"/>
  <c r="D14" i="127"/>
  <c r="F4" i="127"/>
  <c r="P292" i="132" l="1"/>
  <c r="U292" i="132" s="1"/>
  <c r="S292" i="132" s="1"/>
  <c r="Z296" i="132"/>
  <c r="P293" i="132"/>
  <c r="U293" i="132" s="1"/>
  <c r="S293" i="132" s="1"/>
  <c r="P290" i="132"/>
  <c r="U290" i="132" s="1"/>
  <c r="S290" i="132" s="1"/>
  <c r="P294" i="132"/>
  <c r="U294" i="132" s="1"/>
  <c r="S294" i="132" s="1"/>
  <c r="P289" i="132"/>
  <c r="U289" i="132" s="1"/>
  <c r="P291" i="132"/>
  <c r="U291" i="132" s="1"/>
  <c r="S291" i="132" s="1"/>
  <c r="N288" i="132"/>
  <c r="E57" i="128"/>
  <c r="H57" i="128"/>
  <c r="G57" i="128"/>
  <c r="E58" i="128"/>
  <c r="D57" i="128"/>
  <c r="F58" i="128"/>
  <c r="I58" i="128"/>
  <c r="F57" i="128"/>
  <c r="G58" i="128"/>
  <c r="H58" i="128"/>
  <c r="I57" i="128"/>
  <c r="D58" i="128"/>
  <c r="D40" i="128"/>
  <c r="I45" i="128"/>
  <c r="E43" i="128"/>
  <c r="G40" i="128"/>
  <c r="H43" i="128"/>
  <c r="D41" i="128"/>
  <c r="E44" i="128"/>
  <c r="G41" i="128"/>
  <c r="H44" i="128"/>
  <c r="D42" i="128"/>
  <c r="E42" i="128"/>
  <c r="E45" i="128"/>
  <c r="G42" i="128"/>
  <c r="H45" i="128"/>
  <c r="D43" i="128"/>
  <c r="F40" i="128"/>
  <c r="G43" i="128"/>
  <c r="I40" i="128"/>
  <c r="D44" i="128"/>
  <c r="F41" i="128"/>
  <c r="E41" i="128"/>
  <c r="F44" i="128"/>
  <c r="I44" i="128"/>
  <c r="H42" i="128"/>
  <c r="G44" i="128"/>
  <c r="I41" i="128"/>
  <c r="D45" i="128"/>
  <c r="F42" i="128"/>
  <c r="G45" i="128"/>
  <c r="I42" i="128"/>
  <c r="E40" i="128"/>
  <c r="F43" i="128"/>
  <c r="H40" i="128"/>
  <c r="I43" i="128"/>
  <c r="H41" i="128"/>
  <c r="F45" i="128"/>
  <c r="S281" i="132"/>
  <c r="S287" i="132" s="1"/>
  <c r="U287" i="132"/>
  <c r="D60" i="128"/>
  <c r="F60" i="128"/>
  <c r="E61" i="128"/>
  <c r="E62" i="128"/>
  <c r="D63" i="128"/>
  <c r="I63" i="128"/>
  <c r="G60" i="128"/>
  <c r="G61" i="128"/>
  <c r="F62" i="128"/>
  <c r="E63" i="128"/>
  <c r="I62" i="128"/>
  <c r="I60" i="128"/>
  <c r="H61" i="128"/>
  <c r="G62" i="128"/>
  <c r="G63" i="128"/>
  <c r="E60" i="128"/>
  <c r="D61" i="128"/>
  <c r="I61" i="128"/>
  <c r="H63" i="128"/>
  <c r="F61" i="128"/>
  <c r="F63" i="128"/>
  <c r="H60" i="128"/>
  <c r="D62" i="128"/>
  <c r="H62" i="128"/>
  <c r="N77" i="127"/>
  <c r="N61" i="127"/>
  <c r="N69" i="127"/>
  <c r="E20" i="129"/>
  <c r="W15" i="129" a="1"/>
  <c r="W15" i="129" s="1"/>
  <c r="S48" i="129"/>
  <c r="W16" i="129" a="1"/>
  <c r="W16" i="129" s="1"/>
  <c r="F20" i="129"/>
  <c r="I20" i="129"/>
  <c r="P53" i="129"/>
  <c r="U53" i="129" s="1"/>
  <c r="S53" i="129" s="1"/>
  <c r="P33" i="129"/>
  <c r="U33" i="129" s="1"/>
  <c r="S33" i="129" s="1"/>
  <c r="G20" i="129"/>
  <c r="P36" i="129"/>
  <c r="U36" i="129" s="1"/>
  <c r="S36" i="129" s="1"/>
  <c r="P37" i="129"/>
  <c r="U37" i="129" s="1"/>
  <c r="S37" i="129" s="1"/>
  <c r="W18" i="129" a="1"/>
  <c r="W18" i="129" s="1"/>
  <c r="H20" i="129"/>
  <c r="W17" i="129" a="1"/>
  <c r="W17" i="129" s="1"/>
  <c r="P49" i="129"/>
  <c r="U49" i="129" s="1"/>
  <c r="S49" i="129" s="1"/>
  <c r="P50" i="129"/>
  <c r="U50" i="129" s="1"/>
  <c r="S50" i="129" s="1"/>
  <c r="P34" i="129"/>
  <c r="U34" i="129" s="1"/>
  <c r="S34" i="129" s="1"/>
  <c r="P32" i="129"/>
  <c r="U32" i="129" s="1"/>
  <c r="D20" i="129"/>
  <c r="W14" i="129" a="1"/>
  <c r="W14" i="129" s="1"/>
  <c r="P58" i="129"/>
  <c r="U58" i="129" s="1"/>
  <c r="S58" i="129" s="1"/>
  <c r="N55" i="129"/>
  <c r="Z63" i="129"/>
  <c r="P61" i="129"/>
  <c r="U61" i="129" s="1"/>
  <c r="S61" i="129" s="1"/>
  <c r="P57" i="129"/>
  <c r="U57" i="129" s="1"/>
  <c r="S57" i="129" s="1"/>
  <c r="P60" i="129"/>
  <c r="U60" i="129" s="1"/>
  <c r="S60" i="129" s="1"/>
  <c r="P56" i="129"/>
  <c r="U56" i="129" s="1"/>
  <c r="P59" i="129"/>
  <c r="U59" i="129" s="1"/>
  <c r="S59" i="129" s="1"/>
  <c r="P40" i="129"/>
  <c r="U40" i="129" s="1"/>
  <c r="P35" i="129"/>
  <c r="U35" i="129" s="1"/>
  <c r="S35" i="129" s="1"/>
  <c r="AG27" i="128" a="1"/>
  <c r="AG27" i="128" s="1"/>
  <c r="Z63" i="128"/>
  <c r="AE63" i="128" s="1"/>
  <c r="AC63" i="128" s="1"/>
  <c r="Z72" i="128"/>
  <c r="AE72" i="128" s="1"/>
  <c r="AC72" i="128" s="1"/>
  <c r="Z80" i="128"/>
  <c r="AE80" i="128" s="1"/>
  <c r="AC80" i="128" s="1"/>
  <c r="Z87" i="128"/>
  <c r="AE87" i="128" s="1"/>
  <c r="AC87" i="128" s="1"/>
  <c r="Z64" i="128"/>
  <c r="AE64" i="128" s="1"/>
  <c r="AC64" i="128" s="1"/>
  <c r="Z69" i="128"/>
  <c r="AE69" i="128" s="1"/>
  <c r="AC69" i="128" s="1"/>
  <c r="Z73" i="128"/>
  <c r="AE73" i="128" s="1"/>
  <c r="AC73" i="128" s="1"/>
  <c r="Z77" i="128"/>
  <c r="AE77" i="128" s="1"/>
  <c r="AC77" i="128" s="1"/>
  <c r="Z81" i="128"/>
  <c r="AE81" i="128" s="1"/>
  <c r="AC81" i="128" s="1"/>
  <c r="Z88" i="128"/>
  <c r="AE88" i="128" s="1"/>
  <c r="AC88" i="128" s="1"/>
  <c r="Z95" i="128"/>
  <c r="AE95" i="128" s="1"/>
  <c r="AC95" i="128" s="1"/>
  <c r="Z61" i="128"/>
  <c r="AE61" i="128" s="1"/>
  <c r="AC61" i="128" s="1"/>
  <c r="Z70" i="128"/>
  <c r="AE70" i="128" s="1"/>
  <c r="AC70" i="128" s="1"/>
  <c r="Z78" i="128"/>
  <c r="AE78" i="128" s="1"/>
  <c r="AC78" i="128" s="1"/>
  <c r="Z62" i="128"/>
  <c r="AE62" i="128" s="1"/>
  <c r="AC62" i="128" s="1"/>
  <c r="Z71" i="128"/>
  <c r="AE71" i="128" s="1"/>
  <c r="AC71" i="128" s="1"/>
  <c r="Z79" i="128"/>
  <c r="AE79" i="128" s="1"/>
  <c r="AC79" i="128" s="1"/>
  <c r="Z85" i="128"/>
  <c r="AE85" i="128" s="1"/>
  <c r="AC85" i="128" s="1"/>
  <c r="Z65" i="128"/>
  <c r="AE65" i="128" s="1"/>
  <c r="AC65" i="128" s="1"/>
  <c r="Z86" i="128"/>
  <c r="AE86" i="128" s="1"/>
  <c r="AC86" i="128" s="1"/>
  <c r="Z93" i="128"/>
  <c r="AE93" i="128" s="1"/>
  <c r="AC93" i="128" s="1"/>
  <c r="Z89" i="128"/>
  <c r="AE89" i="128" s="1"/>
  <c r="AC89" i="128" s="1"/>
  <c r="Z97" i="128"/>
  <c r="AE97" i="128" s="1"/>
  <c r="AC97" i="128" s="1"/>
  <c r="AJ99" i="128"/>
  <c r="X91" i="128"/>
  <c r="Z94" i="128"/>
  <c r="AE94" i="128" s="1"/>
  <c r="AC94" i="128" s="1"/>
  <c r="Z96" i="128"/>
  <c r="AE96" i="128" s="1"/>
  <c r="AC96" i="128" s="1"/>
  <c r="E46" i="128"/>
  <c r="Z85" i="127"/>
  <c r="S289" i="132" l="1"/>
  <c r="S295" i="132" s="1"/>
  <c r="U295" i="132"/>
  <c r="P300" i="132"/>
  <c r="U300" i="132" s="1"/>
  <c r="S300" i="132" s="1"/>
  <c r="P301" i="132"/>
  <c r="U301" i="132" s="1"/>
  <c r="S301" i="132" s="1"/>
  <c r="Z304" i="132"/>
  <c r="P297" i="132"/>
  <c r="U297" i="132" s="1"/>
  <c r="N296" i="132"/>
  <c r="P299" i="132"/>
  <c r="U299" i="132" s="1"/>
  <c r="S299" i="132" s="1"/>
  <c r="P298" i="132"/>
  <c r="U298" i="132" s="1"/>
  <c r="S298" i="132" s="1"/>
  <c r="P302" i="132"/>
  <c r="U302" i="132" s="1"/>
  <c r="S302" i="132" s="1"/>
  <c r="F56" i="128"/>
  <c r="E64" i="127"/>
  <c r="P80" i="127"/>
  <c r="U80" i="127" s="1"/>
  <c r="S80" i="127" s="1"/>
  <c r="W22" i="127" a="1"/>
  <c r="W22" i="127" s="1"/>
  <c r="P71" i="127"/>
  <c r="U71" i="127" s="1"/>
  <c r="S71" i="127" s="1"/>
  <c r="H59" i="128"/>
  <c r="W24" i="127" a="1"/>
  <c r="W24" i="127" s="1"/>
  <c r="P74" i="127"/>
  <c r="U74" i="127" s="1"/>
  <c r="S74" i="127" s="1"/>
  <c r="P81" i="127"/>
  <c r="U81" i="127" s="1"/>
  <c r="S81" i="127" s="1"/>
  <c r="W32" i="127" a="1"/>
  <c r="W32" i="127" s="1"/>
  <c r="P63" i="127"/>
  <c r="U63" i="127" s="1"/>
  <c r="S63" i="127" s="1"/>
  <c r="H50" i="128"/>
  <c r="P73" i="127"/>
  <c r="U73" i="127" s="1"/>
  <c r="S73" i="127" s="1"/>
  <c r="P83" i="127"/>
  <c r="U83" i="127" s="1"/>
  <c r="S83" i="127" s="1"/>
  <c r="P78" i="127"/>
  <c r="U78" i="127" s="1"/>
  <c r="S78" i="127" s="1"/>
  <c r="P79" i="127"/>
  <c r="U79" i="127" s="1"/>
  <c r="S79" i="127" s="1"/>
  <c r="E45" i="127"/>
  <c r="P72" i="127"/>
  <c r="U72" i="127" s="1"/>
  <c r="S72" i="127" s="1"/>
  <c r="P82" i="127"/>
  <c r="U82" i="127" s="1"/>
  <c r="S82" i="127" s="1"/>
  <c r="G46" i="128"/>
  <c r="AG32" i="128" a="1"/>
  <c r="AG32" i="128" s="1"/>
  <c r="H56" i="128"/>
  <c r="I46" i="128"/>
  <c r="AG35" i="128" a="1"/>
  <c r="AG35" i="128" s="1"/>
  <c r="AG37" i="128" a="1"/>
  <c r="AG37" i="128" s="1"/>
  <c r="W13" i="129"/>
  <c r="S40" i="129"/>
  <c r="S46" i="129" s="1"/>
  <c r="U46" i="129"/>
  <c r="U38" i="129"/>
  <c r="S32" i="129"/>
  <c r="S38" i="129" s="1"/>
  <c r="S54" i="129"/>
  <c r="S56" i="129"/>
  <c r="S62" i="129" s="1"/>
  <c r="U62" i="129"/>
  <c r="P68" i="129"/>
  <c r="U68" i="129" s="1"/>
  <c r="S68" i="129" s="1"/>
  <c r="P64" i="129"/>
  <c r="U64" i="129" s="1"/>
  <c r="P67" i="129"/>
  <c r="U67" i="129" s="1"/>
  <c r="S67" i="129" s="1"/>
  <c r="P66" i="129"/>
  <c r="U66" i="129" s="1"/>
  <c r="S66" i="129" s="1"/>
  <c r="N63" i="129"/>
  <c r="P65" i="129"/>
  <c r="U65" i="129" s="1"/>
  <c r="S65" i="129" s="1"/>
  <c r="P69" i="129"/>
  <c r="U69" i="129" s="1"/>
  <c r="S69" i="129" s="1"/>
  <c r="U54" i="129"/>
  <c r="P75" i="127"/>
  <c r="U75" i="127" s="1"/>
  <c r="S75" i="127" s="1"/>
  <c r="I39" i="128"/>
  <c r="Z57" i="128"/>
  <c r="AE57" i="128" s="1"/>
  <c r="AC57" i="128" s="1"/>
  <c r="AG19" i="128" a="1"/>
  <c r="AG19" i="128" s="1"/>
  <c r="G39" i="128"/>
  <c r="Z55" i="128"/>
  <c r="AE55" i="128" s="1"/>
  <c r="AC55" i="128" s="1"/>
  <c r="AG17" i="128" a="1"/>
  <c r="AG17" i="128" s="1"/>
  <c r="Z76" i="128"/>
  <c r="AE76" i="128" s="1"/>
  <c r="F39" i="128"/>
  <c r="Z54" i="128"/>
  <c r="AE54" i="128" s="1"/>
  <c r="AC54" i="128" s="1"/>
  <c r="AG28" i="128" a="1"/>
  <c r="AG28" i="128" s="1"/>
  <c r="F50" i="128"/>
  <c r="I59" i="128"/>
  <c r="Z60" i="128"/>
  <c r="AE60" i="128" s="1"/>
  <c r="AG15" i="128" a="1"/>
  <c r="AG15" i="128" s="1"/>
  <c r="AG25" i="128" a="1"/>
  <c r="AG25" i="128" s="1"/>
  <c r="D50" i="128"/>
  <c r="I56" i="128"/>
  <c r="G59" i="128"/>
  <c r="E56" i="128"/>
  <c r="AG36" i="128" a="1"/>
  <c r="AG36" i="128" s="1"/>
  <c r="Z92" i="128"/>
  <c r="AE92" i="128" s="1"/>
  <c r="AG14" i="128" a="1"/>
  <c r="AG14" i="128" s="1"/>
  <c r="D39" i="128"/>
  <c r="Z52" i="128"/>
  <c r="AE52" i="128" s="1"/>
  <c r="H39" i="128"/>
  <c r="Z56" i="128"/>
  <c r="AE56" i="128" s="1"/>
  <c r="AC56" i="128" s="1"/>
  <c r="AG18" i="128" a="1"/>
  <c r="AG18" i="128" s="1"/>
  <c r="Z84" i="128"/>
  <c r="AE84" i="128" s="1"/>
  <c r="I50" i="128"/>
  <c r="AG21" i="128" a="1"/>
  <c r="AG21" i="128" s="1"/>
  <c r="D46" i="128"/>
  <c r="AG22" i="128" a="1"/>
  <c r="AG22" i="128" s="1"/>
  <c r="AG26" i="128" a="1"/>
  <c r="AG26" i="128" s="1"/>
  <c r="D56" i="128"/>
  <c r="AG31" i="128" a="1"/>
  <c r="AG31" i="128" s="1"/>
  <c r="F59" i="128"/>
  <c r="E59" i="128"/>
  <c r="G56" i="128"/>
  <c r="AG23" i="128" a="1"/>
  <c r="AG23" i="128" s="1"/>
  <c r="F46" i="128"/>
  <c r="H46" i="128"/>
  <c r="AG34" i="128" a="1"/>
  <c r="AG34" i="128" s="1"/>
  <c r="D59" i="128"/>
  <c r="Z103" i="128"/>
  <c r="AE103" i="128" s="1"/>
  <c r="AC103" i="128" s="1"/>
  <c r="Z100" i="128"/>
  <c r="AE100" i="128" s="1"/>
  <c r="Z104" i="128"/>
  <c r="AE104" i="128" s="1"/>
  <c r="AC104" i="128" s="1"/>
  <c r="Z101" i="128"/>
  <c r="AE101" i="128" s="1"/>
  <c r="AC101" i="128" s="1"/>
  <c r="Z102" i="128"/>
  <c r="AE102" i="128" s="1"/>
  <c r="AC102" i="128" s="1"/>
  <c r="Z105" i="128"/>
  <c r="AE105" i="128" s="1"/>
  <c r="AC105" i="128" s="1"/>
  <c r="X99" i="128"/>
  <c r="AJ107" i="128"/>
  <c r="Z53" i="128"/>
  <c r="AE53" i="128" s="1"/>
  <c r="AC53" i="128" s="1"/>
  <c r="E39" i="128"/>
  <c r="AG16" i="128" a="1"/>
  <c r="AG16" i="128" s="1"/>
  <c r="Z68" i="128"/>
  <c r="AE68" i="128" s="1"/>
  <c r="AG29" i="128" a="1"/>
  <c r="AG29" i="128" s="1"/>
  <c r="G50" i="128"/>
  <c r="E50" i="128"/>
  <c r="W29" i="127" a="1"/>
  <c r="W29" i="127" s="1"/>
  <c r="G54" i="127"/>
  <c r="P65" i="127"/>
  <c r="U65" i="127" s="1"/>
  <c r="S65" i="127" s="1"/>
  <c r="P64" i="127"/>
  <c r="U64" i="127" s="1"/>
  <c r="S64" i="127" s="1"/>
  <c r="P67" i="127"/>
  <c r="U67" i="127" s="1"/>
  <c r="S67" i="127" s="1"/>
  <c r="P66" i="127"/>
  <c r="U66" i="127" s="1"/>
  <c r="S66" i="127" s="1"/>
  <c r="P89" i="127"/>
  <c r="U89" i="127" s="1"/>
  <c r="S89" i="127" s="1"/>
  <c r="P88" i="127"/>
  <c r="U88" i="127" s="1"/>
  <c r="S88" i="127" s="1"/>
  <c r="N85" i="127"/>
  <c r="Z93" i="127"/>
  <c r="P91" i="127"/>
  <c r="U91" i="127" s="1"/>
  <c r="S91" i="127" s="1"/>
  <c r="P87" i="127"/>
  <c r="U87" i="127" s="1"/>
  <c r="S87" i="127" s="1"/>
  <c r="P86" i="127"/>
  <c r="U86" i="127" s="1"/>
  <c r="P70" i="127"/>
  <c r="U70" i="127" s="1"/>
  <c r="D45" i="127"/>
  <c r="W39" i="127" a="1"/>
  <c r="W39" i="127" s="1"/>
  <c r="G64" i="127"/>
  <c r="G61" i="127"/>
  <c r="H61" i="127"/>
  <c r="G45" i="127"/>
  <c r="S297" i="132" l="1"/>
  <c r="S303" i="132" s="1"/>
  <c r="U303" i="132"/>
  <c r="P308" i="132"/>
  <c r="U308" i="132" s="1"/>
  <c r="S308" i="132" s="1"/>
  <c r="P309" i="132"/>
  <c r="U309" i="132" s="1"/>
  <c r="S309" i="132" s="1"/>
  <c r="Z312" i="132"/>
  <c r="P305" i="132"/>
  <c r="U305" i="132" s="1"/>
  <c r="P307" i="132"/>
  <c r="U307" i="132" s="1"/>
  <c r="S307" i="132" s="1"/>
  <c r="P306" i="132"/>
  <c r="U306" i="132" s="1"/>
  <c r="S306" i="132" s="1"/>
  <c r="P310" i="132"/>
  <c r="U310" i="132" s="1"/>
  <c r="S310" i="132" s="1"/>
  <c r="N304" i="132"/>
  <c r="W31" i="127" a="1"/>
  <c r="W31" i="127" s="1"/>
  <c r="W25" i="127" a="1"/>
  <c r="W25" i="127" s="1"/>
  <c r="W20" i="127" a="1"/>
  <c r="W20" i="127" s="1"/>
  <c r="H45" i="127"/>
  <c r="F54" i="127"/>
  <c r="W23" i="127" a="1"/>
  <c r="W23" i="127" s="1"/>
  <c r="P90" i="127"/>
  <c r="U90" i="127" s="1"/>
  <c r="S90" i="127" s="1"/>
  <c r="W19" i="127" a="1"/>
  <c r="W19" i="127" s="1"/>
  <c r="F45" i="127"/>
  <c r="W21" i="127" a="1"/>
  <c r="W21" i="127" s="1"/>
  <c r="AG30" i="128"/>
  <c r="U84" i="127"/>
  <c r="I45" i="127"/>
  <c r="W18" i="127" a="1"/>
  <c r="W18" i="127" s="1"/>
  <c r="S84" i="127"/>
  <c r="W12" i="129"/>
  <c r="W24" i="129" s="1"/>
  <c r="W25" i="129" s="1"/>
  <c r="S64" i="129"/>
  <c r="S70" i="129" s="1"/>
  <c r="U70" i="129"/>
  <c r="AE90" i="128"/>
  <c r="AC84" i="128"/>
  <c r="AC90" i="128" s="1"/>
  <c r="AE58" i="128"/>
  <c r="AC52" i="128"/>
  <c r="AC58" i="128" s="1"/>
  <c r="AE74" i="128"/>
  <c r="AC68" i="128"/>
  <c r="AC74" i="128" s="1"/>
  <c r="Z109" i="128"/>
  <c r="AE109" i="128" s="1"/>
  <c r="AC109" i="128" s="1"/>
  <c r="Z108" i="128"/>
  <c r="AE108" i="128" s="1"/>
  <c r="Z111" i="128"/>
  <c r="AE111" i="128" s="1"/>
  <c r="AC111" i="128" s="1"/>
  <c r="Z112" i="128"/>
  <c r="AE112" i="128" s="1"/>
  <c r="AC112" i="128" s="1"/>
  <c r="Z110" i="128"/>
  <c r="AE110" i="128" s="1"/>
  <c r="AC110" i="128" s="1"/>
  <c r="X107" i="128"/>
  <c r="Z113" i="128"/>
  <c r="AE113" i="128" s="1"/>
  <c r="AC113" i="128" s="1"/>
  <c r="AJ115" i="128"/>
  <c r="AG24" i="128"/>
  <c r="AE82" i="128"/>
  <c r="AC76" i="128"/>
  <c r="AC82" i="128" s="1"/>
  <c r="AG33" i="128"/>
  <c r="AG20" i="128"/>
  <c r="AG13" i="128"/>
  <c r="AE106" i="128"/>
  <c r="AC100" i="128"/>
  <c r="AC106" i="128" s="1"/>
  <c r="AC92" i="128"/>
  <c r="AC98" i="128" s="1"/>
  <c r="AE98" i="128"/>
  <c r="AC60" i="128"/>
  <c r="AC66" i="128" s="1"/>
  <c r="AE66" i="128"/>
  <c r="E61" i="127"/>
  <c r="W35" i="127" a="1"/>
  <c r="W35" i="127" s="1"/>
  <c r="D64" i="127"/>
  <c r="W37" i="127" a="1"/>
  <c r="W37" i="127" s="1"/>
  <c r="I64" i="127"/>
  <c r="E42" i="127"/>
  <c r="P55" i="127"/>
  <c r="U55" i="127" s="1"/>
  <c r="S55" i="127" s="1"/>
  <c r="W28" i="127" a="1"/>
  <c r="W28" i="127" s="1"/>
  <c r="W30" i="127" a="1"/>
  <c r="W30" i="127" s="1"/>
  <c r="I61" i="127"/>
  <c r="F64" i="127"/>
  <c r="W40" i="127" a="1"/>
  <c r="W40" i="127" s="1"/>
  <c r="S86" i="127"/>
  <c r="Z101" i="127"/>
  <c r="P99" i="127"/>
  <c r="U99" i="127" s="1"/>
  <c r="S99" i="127" s="1"/>
  <c r="P95" i="127"/>
  <c r="U95" i="127" s="1"/>
  <c r="S95" i="127" s="1"/>
  <c r="P98" i="127"/>
  <c r="U98" i="127" s="1"/>
  <c r="S98" i="127" s="1"/>
  <c r="P94" i="127"/>
  <c r="U94" i="127" s="1"/>
  <c r="P97" i="127"/>
  <c r="U97" i="127" s="1"/>
  <c r="S97" i="127" s="1"/>
  <c r="P96" i="127"/>
  <c r="U96" i="127" s="1"/>
  <c r="S96" i="127" s="1"/>
  <c r="N93" i="127"/>
  <c r="P57" i="127"/>
  <c r="U57" i="127" s="1"/>
  <c r="S57" i="127" s="1"/>
  <c r="G42" i="127"/>
  <c r="P54" i="127"/>
  <c r="U54" i="127" s="1"/>
  <c r="W15" i="127" a="1"/>
  <c r="W15" i="127" s="1"/>
  <c r="D42" i="127"/>
  <c r="I42" i="127"/>
  <c r="P59" i="127"/>
  <c r="U59" i="127" s="1"/>
  <c r="S59" i="127" s="1"/>
  <c r="D54" i="127"/>
  <c r="W27" i="127" a="1"/>
  <c r="W27" i="127" s="1"/>
  <c r="F61" i="127"/>
  <c r="P56" i="127"/>
  <c r="U56" i="127" s="1"/>
  <c r="S56" i="127" s="1"/>
  <c r="F42" i="127"/>
  <c r="W16" i="127" a="1"/>
  <c r="W16" i="127" s="1"/>
  <c r="P62" i="127"/>
  <c r="U62" i="127" s="1"/>
  <c r="I54" i="127"/>
  <c r="D61" i="127"/>
  <c r="W34" i="127" a="1"/>
  <c r="W34" i="127" s="1"/>
  <c r="H64" i="127"/>
  <c r="W38" i="127" a="1"/>
  <c r="W38" i="127" s="1"/>
  <c r="S70" i="127"/>
  <c r="S76" i="127" s="1"/>
  <c r="U76" i="127"/>
  <c r="P58" i="127"/>
  <c r="U58" i="127" s="1"/>
  <c r="S58" i="127" s="1"/>
  <c r="H42" i="127"/>
  <c r="H54" i="127"/>
  <c r="E54" i="127"/>
  <c r="S305" i="132" l="1"/>
  <c r="S311" i="132" s="1"/>
  <c r="U311" i="132"/>
  <c r="P316" i="132"/>
  <c r="U316" i="132" s="1"/>
  <c r="S316" i="132" s="1"/>
  <c r="P317" i="132"/>
  <c r="U317" i="132" s="1"/>
  <c r="S317" i="132" s="1"/>
  <c r="Z320" i="132"/>
  <c r="P313" i="132"/>
  <c r="U313" i="132" s="1"/>
  <c r="N312" i="132"/>
  <c r="P314" i="132"/>
  <c r="U314" i="132" s="1"/>
  <c r="S314" i="132" s="1"/>
  <c r="P315" i="132"/>
  <c r="U315" i="132" s="1"/>
  <c r="S315" i="132" s="1"/>
  <c r="P318" i="132"/>
  <c r="U318" i="132" s="1"/>
  <c r="S318" i="132" s="1"/>
  <c r="U92" i="127"/>
  <c r="W17" i="127"/>
  <c r="S92" i="127"/>
  <c r="W11" i="129"/>
  <c r="W23" i="129"/>
  <c r="Z117" i="128"/>
  <c r="AE117" i="128" s="1"/>
  <c r="AC117" i="128" s="1"/>
  <c r="Z121" i="128"/>
  <c r="AE121" i="128" s="1"/>
  <c r="AC121" i="128" s="1"/>
  <c r="AJ123" i="128"/>
  <c r="X115" i="128"/>
  <c r="Z118" i="128"/>
  <c r="AE118" i="128" s="1"/>
  <c r="AC118" i="128" s="1"/>
  <c r="Z116" i="128"/>
  <c r="AE116" i="128" s="1"/>
  <c r="Z120" i="128"/>
  <c r="AE120" i="128" s="1"/>
  <c r="AC120" i="128" s="1"/>
  <c r="Z119" i="128"/>
  <c r="AE119" i="128" s="1"/>
  <c r="AC119" i="128" s="1"/>
  <c r="AG12" i="128"/>
  <c r="AE114" i="128"/>
  <c r="AC108" i="128"/>
  <c r="AC114" i="128" s="1"/>
  <c r="W33" i="127"/>
  <c r="W26" i="127"/>
  <c r="S94" i="127"/>
  <c r="S100" i="127" s="1"/>
  <c r="U100" i="127"/>
  <c r="P105" i="127"/>
  <c r="U105" i="127" s="1"/>
  <c r="S105" i="127" s="1"/>
  <c r="P104" i="127"/>
  <c r="U104" i="127" s="1"/>
  <c r="S104" i="127" s="1"/>
  <c r="N101" i="127"/>
  <c r="Z109" i="127"/>
  <c r="P107" i="127"/>
  <c r="U107" i="127" s="1"/>
  <c r="S107" i="127" s="1"/>
  <c r="P106" i="127"/>
  <c r="U106" i="127" s="1"/>
  <c r="S106" i="127" s="1"/>
  <c r="P103" i="127"/>
  <c r="U103" i="127" s="1"/>
  <c r="S103" i="127" s="1"/>
  <c r="P102" i="127"/>
  <c r="U102" i="127" s="1"/>
  <c r="W36" i="127"/>
  <c r="W14" i="127"/>
  <c r="S54" i="127"/>
  <c r="S60" i="127" s="1"/>
  <c r="U60" i="127"/>
  <c r="U68" i="127"/>
  <c r="S62" i="127"/>
  <c r="S68" i="127" s="1"/>
  <c r="S313" i="132" l="1"/>
  <c r="S319" i="132" s="1"/>
  <c r="U319" i="132"/>
  <c r="P324" i="132"/>
  <c r="U324" i="132" s="1"/>
  <c r="S324" i="132" s="1"/>
  <c r="Z328" i="132"/>
  <c r="P321" i="132"/>
  <c r="U321" i="132" s="1"/>
  <c r="P325" i="132"/>
  <c r="U325" i="132" s="1"/>
  <c r="S325" i="132" s="1"/>
  <c r="P326" i="132"/>
  <c r="U326" i="132" s="1"/>
  <c r="S326" i="132" s="1"/>
  <c r="N320" i="132"/>
  <c r="P322" i="132"/>
  <c r="U322" i="132" s="1"/>
  <c r="S322" i="132" s="1"/>
  <c r="P323" i="132"/>
  <c r="U323" i="132" s="1"/>
  <c r="S323" i="132" s="1"/>
  <c r="W10" i="129"/>
  <c r="Z127" i="128"/>
  <c r="AE127" i="128" s="1"/>
  <c r="AC127" i="128" s="1"/>
  <c r="Z124" i="128"/>
  <c r="AE124" i="128" s="1"/>
  <c r="Z128" i="128"/>
  <c r="AE128" i="128" s="1"/>
  <c r="AC128" i="128" s="1"/>
  <c r="X123" i="128"/>
  <c r="Z126" i="128"/>
  <c r="AE126" i="128" s="1"/>
  <c r="AC126" i="128" s="1"/>
  <c r="Z129" i="128"/>
  <c r="AE129" i="128" s="1"/>
  <c r="AC129" i="128" s="1"/>
  <c r="AJ131" i="128"/>
  <c r="Z125" i="128"/>
  <c r="AE125" i="128" s="1"/>
  <c r="AC125" i="128" s="1"/>
  <c r="AC116" i="128"/>
  <c r="AC122" i="128" s="1"/>
  <c r="AE122" i="128"/>
  <c r="W13" i="127"/>
  <c r="W12" i="127" s="1"/>
  <c r="AG11" i="128"/>
  <c r="AG44" i="128"/>
  <c r="AG45" i="128" s="1"/>
  <c r="U108" i="127"/>
  <c r="S102" i="127"/>
  <c r="S108" i="127" s="1"/>
  <c r="P113" i="127"/>
  <c r="U113" i="127" s="1"/>
  <c r="S113" i="127" s="1"/>
  <c r="P112" i="127"/>
  <c r="U112" i="127" s="1"/>
  <c r="S112" i="127" s="1"/>
  <c r="P111" i="127"/>
  <c r="U111" i="127" s="1"/>
  <c r="S111" i="127" s="1"/>
  <c r="P110" i="127"/>
  <c r="U110" i="127" s="1"/>
  <c r="Z117" i="127"/>
  <c r="P114" i="127"/>
  <c r="U114" i="127" s="1"/>
  <c r="S114" i="127" s="1"/>
  <c r="P115" i="127"/>
  <c r="U115" i="127" s="1"/>
  <c r="S115" i="127" s="1"/>
  <c r="N109" i="127"/>
  <c r="P332" i="132" l="1"/>
  <c r="U332" i="132" s="1"/>
  <c r="S332" i="132" s="1"/>
  <c r="Z336" i="132"/>
  <c r="P333" i="132"/>
  <c r="U333" i="132" s="1"/>
  <c r="S333" i="132" s="1"/>
  <c r="P329" i="132"/>
  <c r="U329" i="132" s="1"/>
  <c r="P330" i="132"/>
  <c r="U330" i="132" s="1"/>
  <c r="S330" i="132" s="1"/>
  <c r="P331" i="132"/>
  <c r="U331" i="132" s="1"/>
  <c r="S331" i="132" s="1"/>
  <c r="P334" i="132"/>
  <c r="U334" i="132" s="1"/>
  <c r="S334" i="132" s="1"/>
  <c r="N328" i="132"/>
  <c r="S321" i="132"/>
  <c r="S327" i="132" s="1"/>
  <c r="U327" i="132"/>
  <c r="W46" i="127"/>
  <c r="W47" i="127" s="1"/>
  <c r="W45" i="127" s="1"/>
  <c r="W11" i="127" s="1"/>
  <c r="AG43" i="128"/>
  <c r="AG10" i="128" s="1"/>
  <c r="AE130" i="128"/>
  <c r="AC124" i="128"/>
  <c r="AC130" i="128" s="1"/>
  <c r="Z133" i="128"/>
  <c r="AE133" i="128" s="1"/>
  <c r="AC133" i="128" s="1"/>
  <c r="Z137" i="128"/>
  <c r="AE137" i="128" s="1"/>
  <c r="AC137" i="128" s="1"/>
  <c r="AJ139" i="128"/>
  <c r="X131" i="128"/>
  <c r="Z134" i="128"/>
  <c r="AE134" i="128" s="1"/>
  <c r="AC134" i="128" s="1"/>
  <c r="Z132" i="128"/>
  <c r="AE132" i="128" s="1"/>
  <c r="Z136" i="128"/>
  <c r="AE136" i="128" s="1"/>
  <c r="AC136" i="128" s="1"/>
  <c r="Z135" i="128"/>
  <c r="AE135" i="128" s="1"/>
  <c r="AC135" i="128" s="1"/>
  <c r="Z125" i="127"/>
  <c r="P123" i="127"/>
  <c r="U123" i="127" s="1"/>
  <c r="S123" i="127" s="1"/>
  <c r="P119" i="127"/>
  <c r="U119" i="127" s="1"/>
  <c r="S119" i="127" s="1"/>
  <c r="P122" i="127"/>
  <c r="U122" i="127" s="1"/>
  <c r="S122" i="127" s="1"/>
  <c r="P118" i="127"/>
  <c r="U118" i="127" s="1"/>
  <c r="N117" i="127"/>
  <c r="P121" i="127"/>
  <c r="U121" i="127" s="1"/>
  <c r="S121" i="127" s="1"/>
  <c r="P120" i="127"/>
  <c r="U120" i="127" s="1"/>
  <c r="S120" i="127" s="1"/>
  <c r="U116" i="127"/>
  <c r="S110" i="127"/>
  <c r="S116" i="127" s="1"/>
  <c r="S329" i="132" l="1"/>
  <c r="S335" i="132" s="1"/>
  <c r="U335" i="132"/>
  <c r="P340" i="132"/>
  <c r="U340" i="132" s="1"/>
  <c r="S340" i="132" s="1"/>
  <c r="P342" i="132"/>
  <c r="U342" i="132" s="1"/>
  <c r="S342" i="132" s="1"/>
  <c r="P339" i="132"/>
  <c r="U339" i="132" s="1"/>
  <c r="S339" i="132" s="1"/>
  <c r="P337" i="132"/>
  <c r="U337" i="132" s="1"/>
  <c r="P341" i="132"/>
  <c r="U341" i="132" s="1"/>
  <c r="S341" i="132" s="1"/>
  <c r="P338" i="132"/>
  <c r="U338" i="132" s="1"/>
  <c r="S338" i="132" s="1"/>
  <c r="N336" i="132"/>
  <c r="Z143" i="128"/>
  <c r="AE143" i="128" s="1"/>
  <c r="AC143" i="128" s="1"/>
  <c r="Z140" i="128"/>
  <c r="AE140" i="128" s="1"/>
  <c r="Z144" i="128"/>
  <c r="AE144" i="128" s="1"/>
  <c r="AC144" i="128" s="1"/>
  <c r="X139" i="128"/>
  <c r="Z141" i="128"/>
  <c r="AE141" i="128" s="1"/>
  <c r="AC141" i="128" s="1"/>
  <c r="Z142" i="128"/>
  <c r="AE142" i="128" s="1"/>
  <c r="AC142" i="128" s="1"/>
  <c r="Z145" i="128"/>
  <c r="AE145" i="128" s="1"/>
  <c r="AC145" i="128" s="1"/>
  <c r="AJ147" i="128"/>
  <c r="AC132" i="128"/>
  <c r="AC138" i="128" s="1"/>
  <c r="AE138" i="128"/>
  <c r="U124" i="127"/>
  <c r="S118" i="127"/>
  <c r="S124" i="127" s="1"/>
  <c r="P129" i="127"/>
  <c r="U129" i="127" s="1"/>
  <c r="S129" i="127" s="1"/>
  <c r="P128" i="127"/>
  <c r="U128" i="127" s="1"/>
  <c r="S128" i="127" s="1"/>
  <c r="N125" i="127"/>
  <c r="P130" i="127"/>
  <c r="U130" i="127" s="1"/>
  <c r="S130" i="127" s="1"/>
  <c r="P126" i="127"/>
  <c r="U126" i="127" s="1"/>
  <c r="Z133" i="127"/>
  <c r="P131" i="127"/>
  <c r="U131" i="127" s="1"/>
  <c r="S131" i="127" s="1"/>
  <c r="P127" i="127"/>
  <c r="U127" i="127" s="1"/>
  <c r="S127" i="127" s="1"/>
  <c r="S337" i="132" l="1"/>
  <c r="S343" i="132" s="1"/>
  <c r="U343" i="132"/>
  <c r="Z149" i="128"/>
  <c r="AE149" i="128" s="1"/>
  <c r="AC149" i="128" s="1"/>
  <c r="Z153" i="128"/>
  <c r="AE153" i="128" s="1"/>
  <c r="AC153" i="128" s="1"/>
  <c r="AJ155" i="128"/>
  <c r="X147" i="128"/>
  <c r="Z150" i="128"/>
  <c r="AE150" i="128" s="1"/>
  <c r="AC150" i="128" s="1"/>
  <c r="Z148" i="128"/>
  <c r="AE148" i="128" s="1"/>
  <c r="Z151" i="128"/>
  <c r="AE151" i="128" s="1"/>
  <c r="AC151" i="128" s="1"/>
  <c r="Z152" i="128"/>
  <c r="AE152" i="128" s="1"/>
  <c r="AC152" i="128" s="1"/>
  <c r="AE146" i="128"/>
  <c r="AC140" i="128"/>
  <c r="AC146" i="128" s="1"/>
  <c r="Z141" i="127"/>
  <c r="P139" i="127"/>
  <c r="U139" i="127" s="1"/>
  <c r="S139" i="127" s="1"/>
  <c r="P135" i="127"/>
  <c r="U135" i="127" s="1"/>
  <c r="S135" i="127" s="1"/>
  <c r="P138" i="127"/>
  <c r="U138" i="127" s="1"/>
  <c r="S138" i="127" s="1"/>
  <c r="P134" i="127"/>
  <c r="U134" i="127" s="1"/>
  <c r="N133" i="127"/>
  <c r="P137" i="127"/>
  <c r="U137" i="127" s="1"/>
  <c r="S137" i="127" s="1"/>
  <c r="P136" i="127"/>
  <c r="U136" i="127" s="1"/>
  <c r="S136" i="127" s="1"/>
  <c r="U132" i="127"/>
  <c r="S126" i="127"/>
  <c r="S132" i="127" s="1"/>
  <c r="Z159" i="128" l="1"/>
  <c r="AE159" i="128" s="1"/>
  <c r="AC159" i="128" s="1"/>
  <c r="Z156" i="128"/>
  <c r="AE156" i="128" s="1"/>
  <c r="Z160" i="128"/>
  <c r="AE160" i="128" s="1"/>
  <c r="AC160" i="128" s="1"/>
  <c r="X155" i="128"/>
  <c r="Z157" i="128"/>
  <c r="AE157" i="128" s="1"/>
  <c r="AC157" i="128" s="1"/>
  <c r="Z158" i="128"/>
  <c r="AE158" i="128" s="1"/>
  <c r="AC158" i="128" s="1"/>
  <c r="Z161" i="128"/>
  <c r="AE161" i="128" s="1"/>
  <c r="AC161" i="128" s="1"/>
  <c r="AJ163" i="128"/>
  <c r="AC148" i="128"/>
  <c r="AC154" i="128" s="1"/>
  <c r="AE154" i="128"/>
  <c r="U140" i="127"/>
  <c r="S134" i="127"/>
  <c r="S140" i="127" s="1"/>
  <c r="P145" i="127"/>
  <c r="U145" i="127" s="1"/>
  <c r="S145" i="127" s="1"/>
  <c r="P144" i="127"/>
  <c r="U144" i="127" s="1"/>
  <c r="S144" i="127" s="1"/>
  <c r="N141" i="127"/>
  <c r="P147" i="127"/>
  <c r="U147" i="127" s="1"/>
  <c r="S147" i="127" s="1"/>
  <c r="P143" i="127"/>
  <c r="U143" i="127" s="1"/>
  <c r="S143" i="127" s="1"/>
  <c r="P146" i="127"/>
  <c r="U146" i="127" s="1"/>
  <c r="S146" i="127" s="1"/>
  <c r="P142" i="127"/>
  <c r="U142" i="127" s="1"/>
  <c r="Z149" i="127"/>
  <c r="Z165" i="128" l="1"/>
  <c r="AE165" i="128" s="1"/>
  <c r="AC165" i="128" s="1"/>
  <c r="X163" i="128"/>
  <c r="Z166" i="128"/>
  <c r="AE166" i="128" s="1"/>
  <c r="AC166" i="128" s="1"/>
  <c r="Z164" i="128"/>
  <c r="AE164" i="128" s="1"/>
  <c r="Z167" i="128"/>
  <c r="AE167" i="128" s="1"/>
  <c r="AC167" i="128" s="1"/>
  <c r="Z168" i="128"/>
  <c r="AE168" i="128" s="1"/>
  <c r="AC168" i="128" s="1"/>
  <c r="Z169" i="128"/>
  <c r="AE169" i="128" s="1"/>
  <c r="AC169" i="128" s="1"/>
  <c r="AJ171" i="128"/>
  <c r="AE162" i="128"/>
  <c r="AC156" i="128"/>
  <c r="AC162" i="128" s="1"/>
  <c r="U148" i="127"/>
  <c r="S142" i="127"/>
  <c r="S148" i="127" s="1"/>
  <c r="Z157" i="127"/>
  <c r="P155" i="127"/>
  <c r="U155" i="127" s="1"/>
  <c r="S155" i="127" s="1"/>
  <c r="P151" i="127"/>
  <c r="U151" i="127" s="1"/>
  <c r="S151" i="127" s="1"/>
  <c r="P154" i="127"/>
  <c r="U154" i="127" s="1"/>
  <c r="S154" i="127" s="1"/>
  <c r="P150" i="127"/>
  <c r="U150" i="127" s="1"/>
  <c r="N149" i="127"/>
  <c r="P153" i="127"/>
  <c r="U153" i="127" s="1"/>
  <c r="S153" i="127" s="1"/>
  <c r="P152" i="127"/>
  <c r="U152" i="127" s="1"/>
  <c r="S152" i="127" s="1"/>
  <c r="Z172" i="128" l="1"/>
  <c r="AE172" i="128" s="1"/>
  <c r="Z176" i="128"/>
  <c r="AE176" i="128" s="1"/>
  <c r="AC176" i="128" s="1"/>
  <c r="Z173" i="128"/>
  <c r="AE173" i="128" s="1"/>
  <c r="AC173" i="128" s="1"/>
  <c r="Z177" i="128"/>
  <c r="AE177" i="128" s="1"/>
  <c r="AC177" i="128" s="1"/>
  <c r="AJ179" i="128"/>
  <c r="X171" i="128"/>
  <c r="Z174" i="128"/>
  <c r="AE174" i="128" s="1"/>
  <c r="AC174" i="128" s="1"/>
  <c r="Z175" i="128"/>
  <c r="AE175" i="128" s="1"/>
  <c r="AC175" i="128" s="1"/>
  <c r="AC164" i="128"/>
  <c r="AC170" i="128" s="1"/>
  <c r="AE170" i="128"/>
  <c r="U156" i="127"/>
  <c r="S150" i="127"/>
  <c r="S156" i="127" s="1"/>
  <c r="P161" i="127"/>
  <c r="U161" i="127" s="1"/>
  <c r="S161" i="127" s="1"/>
  <c r="P160" i="127"/>
  <c r="U160" i="127" s="1"/>
  <c r="S160" i="127" s="1"/>
  <c r="N157" i="127"/>
  <c r="Z165" i="127"/>
  <c r="P158" i="127"/>
  <c r="U158" i="127" s="1"/>
  <c r="P163" i="127"/>
  <c r="U163" i="127" s="1"/>
  <c r="S163" i="127" s="1"/>
  <c r="P159" i="127"/>
  <c r="U159" i="127" s="1"/>
  <c r="S159" i="127" s="1"/>
  <c r="P162" i="127"/>
  <c r="U162" i="127" s="1"/>
  <c r="S162" i="127" s="1"/>
  <c r="X179" i="128" l="1"/>
  <c r="Z182" i="128"/>
  <c r="AE182" i="128" s="1"/>
  <c r="AC182" i="128" s="1"/>
  <c r="Z183" i="128"/>
  <c r="AE183" i="128" s="1"/>
  <c r="AC183" i="128" s="1"/>
  <c r="Z180" i="128"/>
  <c r="AE180" i="128" s="1"/>
  <c r="Z184" i="128"/>
  <c r="AE184" i="128" s="1"/>
  <c r="AC184" i="128" s="1"/>
  <c r="Z181" i="128"/>
  <c r="AE181" i="128" s="1"/>
  <c r="AC181" i="128" s="1"/>
  <c r="Z185" i="128"/>
  <c r="AE185" i="128" s="1"/>
  <c r="AC185" i="128" s="1"/>
  <c r="AJ187" i="128"/>
  <c r="AC172" i="128"/>
  <c r="AC178" i="128" s="1"/>
  <c r="AE178" i="128"/>
  <c r="U164" i="127"/>
  <c r="S158" i="127"/>
  <c r="S164" i="127" s="1"/>
  <c r="Z173" i="127"/>
  <c r="P171" i="127"/>
  <c r="U171" i="127" s="1"/>
  <c r="S171" i="127" s="1"/>
  <c r="P167" i="127"/>
  <c r="U167" i="127" s="1"/>
  <c r="S167" i="127" s="1"/>
  <c r="P170" i="127"/>
  <c r="U170" i="127" s="1"/>
  <c r="S170" i="127" s="1"/>
  <c r="P166" i="127"/>
  <c r="U166" i="127" s="1"/>
  <c r="N165" i="127"/>
  <c r="P169" i="127"/>
  <c r="U169" i="127" s="1"/>
  <c r="S169" i="127" s="1"/>
  <c r="P168" i="127"/>
  <c r="U168" i="127" s="1"/>
  <c r="S168" i="127" s="1"/>
  <c r="Z188" i="128" l="1"/>
  <c r="AE188" i="128" s="1"/>
  <c r="Z192" i="128"/>
  <c r="AE192" i="128" s="1"/>
  <c r="AC192" i="128" s="1"/>
  <c r="Z189" i="128"/>
  <c r="AE189" i="128" s="1"/>
  <c r="AC189" i="128" s="1"/>
  <c r="Z193" i="128"/>
  <c r="AE193" i="128" s="1"/>
  <c r="AC193" i="128" s="1"/>
  <c r="AJ195" i="128"/>
  <c r="X187" i="128"/>
  <c r="Z190" i="128"/>
  <c r="AE190" i="128" s="1"/>
  <c r="AC190" i="128" s="1"/>
  <c r="Z191" i="128"/>
  <c r="AE191" i="128" s="1"/>
  <c r="AC191" i="128" s="1"/>
  <c r="AC180" i="128"/>
  <c r="AC186" i="128" s="1"/>
  <c r="AE186" i="128"/>
  <c r="U172" i="127"/>
  <c r="S166" i="127"/>
  <c r="S172" i="127" s="1"/>
  <c r="P177" i="127"/>
  <c r="U177" i="127" s="1"/>
  <c r="S177" i="127" s="1"/>
  <c r="P176" i="127"/>
  <c r="U176" i="127" s="1"/>
  <c r="S176" i="127" s="1"/>
  <c r="N173" i="127"/>
  <c r="Z181" i="127"/>
  <c r="P178" i="127"/>
  <c r="U178" i="127" s="1"/>
  <c r="S178" i="127" s="1"/>
  <c r="P174" i="127"/>
  <c r="U174" i="127" s="1"/>
  <c r="P179" i="127"/>
  <c r="U179" i="127" s="1"/>
  <c r="S179" i="127" s="1"/>
  <c r="P175" i="127"/>
  <c r="U175" i="127" s="1"/>
  <c r="S175" i="127" s="1"/>
  <c r="X195" i="128" l="1"/>
  <c r="Z198" i="128"/>
  <c r="AE198" i="128" s="1"/>
  <c r="AC198" i="128" s="1"/>
  <c r="Z199" i="128"/>
  <c r="AE199" i="128" s="1"/>
  <c r="AC199" i="128" s="1"/>
  <c r="Z196" i="128"/>
  <c r="AE196" i="128" s="1"/>
  <c r="Z200" i="128"/>
  <c r="AE200" i="128" s="1"/>
  <c r="AC200" i="128" s="1"/>
  <c r="Z197" i="128"/>
  <c r="AE197" i="128" s="1"/>
  <c r="AC197" i="128" s="1"/>
  <c r="Z201" i="128"/>
  <c r="AE201" i="128" s="1"/>
  <c r="AC201" i="128" s="1"/>
  <c r="AJ203" i="128"/>
  <c r="AC188" i="128"/>
  <c r="AC194" i="128" s="1"/>
  <c r="AE194" i="128"/>
  <c r="U180" i="127"/>
  <c r="S174" i="127"/>
  <c r="S180" i="127" s="1"/>
  <c r="P187" i="127"/>
  <c r="U187" i="127" s="1"/>
  <c r="S187" i="127" s="1"/>
  <c r="P183" i="127"/>
  <c r="U183" i="127" s="1"/>
  <c r="S183" i="127" s="1"/>
  <c r="P186" i="127"/>
  <c r="U186" i="127" s="1"/>
  <c r="S186" i="127" s="1"/>
  <c r="P182" i="127"/>
  <c r="U182" i="127" s="1"/>
  <c r="Z189" i="127"/>
  <c r="N181" i="127"/>
  <c r="P185" i="127"/>
  <c r="U185" i="127" s="1"/>
  <c r="S185" i="127" s="1"/>
  <c r="P184" i="127"/>
  <c r="U184" i="127" s="1"/>
  <c r="S184" i="127" s="1"/>
  <c r="Z204" i="128" l="1"/>
  <c r="AE204" i="128" s="1"/>
  <c r="Z208" i="128"/>
  <c r="AE208" i="128" s="1"/>
  <c r="AC208" i="128" s="1"/>
  <c r="Z205" i="128"/>
  <c r="AE205" i="128" s="1"/>
  <c r="AC205" i="128" s="1"/>
  <c r="Z209" i="128"/>
  <c r="AE209" i="128" s="1"/>
  <c r="AC209" i="128" s="1"/>
  <c r="X203" i="128"/>
  <c r="Z206" i="128"/>
  <c r="AE206" i="128" s="1"/>
  <c r="AC206" i="128" s="1"/>
  <c r="Z207" i="128"/>
  <c r="AE207" i="128" s="1"/>
  <c r="AC207" i="128" s="1"/>
  <c r="AC196" i="128"/>
  <c r="AC202" i="128" s="1"/>
  <c r="AE202" i="128"/>
  <c r="Z197" i="127"/>
  <c r="P195" i="127"/>
  <c r="U195" i="127" s="1"/>
  <c r="S195" i="127" s="1"/>
  <c r="P191" i="127"/>
  <c r="U191" i="127" s="1"/>
  <c r="S191" i="127" s="1"/>
  <c r="P194" i="127"/>
  <c r="U194" i="127" s="1"/>
  <c r="S194" i="127" s="1"/>
  <c r="P190" i="127"/>
  <c r="U190" i="127" s="1"/>
  <c r="P193" i="127"/>
  <c r="U193" i="127" s="1"/>
  <c r="S193" i="127" s="1"/>
  <c r="P192" i="127"/>
  <c r="U192" i="127" s="1"/>
  <c r="S192" i="127" s="1"/>
  <c r="N189" i="127"/>
  <c r="U188" i="127"/>
  <c r="S182" i="127"/>
  <c r="S188" i="127" s="1"/>
  <c r="AC204" i="128" l="1"/>
  <c r="AC210" i="128" s="1"/>
  <c r="AE210" i="128"/>
  <c r="S190" i="127"/>
  <c r="S196" i="127" s="1"/>
  <c r="U196" i="127"/>
  <c r="P201" i="127"/>
  <c r="U201" i="127" s="1"/>
  <c r="S201" i="127" s="1"/>
  <c r="P200" i="127"/>
  <c r="U200" i="127" s="1"/>
  <c r="S200" i="127" s="1"/>
  <c r="N197" i="127"/>
  <c r="P203" i="127"/>
  <c r="U203" i="127" s="1"/>
  <c r="S203" i="127" s="1"/>
  <c r="P202" i="127"/>
  <c r="U202" i="127" s="1"/>
  <c r="S202" i="127" s="1"/>
  <c r="Z205" i="127"/>
  <c r="P199" i="127"/>
  <c r="U199" i="127" s="1"/>
  <c r="S199" i="127" s="1"/>
  <c r="P198" i="127"/>
  <c r="U198" i="127" s="1"/>
  <c r="Z213" i="127" l="1"/>
  <c r="P211" i="127"/>
  <c r="U211" i="127" s="1"/>
  <c r="S211" i="127" s="1"/>
  <c r="P207" i="127"/>
  <c r="U207" i="127" s="1"/>
  <c r="S207" i="127" s="1"/>
  <c r="P210" i="127"/>
  <c r="U210" i="127" s="1"/>
  <c r="S210" i="127" s="1"/>
  <c r="P206" i="127"/>
  <c r="U206" i="127" s="1"/>
  <c r="P209" i="127"/>
  <c r="U209" i="127" s="1"/>
  <c r="S209" i="127" s="1"/>
  <c r="P208" i="127"/>
  <c r="U208" i="127" s="1"/>
  <c r="S208" i="127" s="1"/>
  <c r="N205" i="127"/>
  <c r="U204" i="127"/>
  <c r="S198" i="127"/>
  <c r="S204" i="127" s="1"/>
  <c r="S206" i="127" l="1"/>
  <c r="S212" i="127" s="1"/>
  <c r="U212" i="127"/>
  <c r="P217" i="127"/>
  <c r="U217" i="127" s="1"/>
  <c r="S217" i="127" s="1"/>
  <c r="P216" i="127"/>
  <c r="U216" i="127" s="1"/>
  <c r="S216" i="127" s="1"/>
  <c r="N213" i="127"/>
  <c r="P219" i="127"/>
  <c r="U219" i="127" s="1"/>
  <c r="S219" i="127" s="1"/>
  <c r="P218" i="127"/>
  <c r="U218" i="127" s="1"/>
  <c r="S218" i="127" s="1"/>
  <c r="Z221" i="127"/>
  <c r="P215" i="127"/>
  <c r="U215" i="127" s="1"/>
  <c r="S215" i="127" s="1"/>
  <c r="P214" i="127"/>
  <c r="U214" i="127" s="1"/>
  <c r="P227" i="127" l="1"/>
  <c r="U227" i="127" s="1"/>
  <c r="S227" i="127" s="1"/>
  <c r="P223" i="127"/>
  <c r="U223" i="127" s="1"/>
  <c r="S223" i="127" s="1"/>
  <c r="P226" i="127"/>
  <c r="U226" i="127" s="1"/>
  <c r="S226" i="127" s="1"/>
  <c r="P222" i="127"/>
  <c r="U222" i="127" s="1"/>
  <c r="P225" i="127"/>
  <c r="U225" i="127" s="1"/>
  <c r="S225" i="127" s="1"/>
  <c r="P224" i="127"/>
  <c r="U224" i="127" s="1"/>
  <c r="S224" i="127" s="1"/>
  <c r="N221" i="127"/>
  <c r="U220" i="127"/>
  <c r="S214" i="127"/>
  <c r="S220" i="127" s="1"/>
  <c r="S222" i="127" l="1"/>
  <c r="S228" i="127" s="1"/>
  <c r="U228" i="127"/>
  <c r="E6" i="126" l="1"/>
  <c r="D74" i="126" s="1" a="1"/>
  <c r="E7" i="126"/>
  <c r="D57" i="126" s="1" a="1"/>
  <c r="T231" i="126"/>
  <c r="R231" i="126" s="1"/>
  <c r="T230" i="126"/>
  <c r="R230" i="126" s="1"/>
  <c r="T229" i="126"/>
  <c r="R229" i="126" s="1"/>
  <c r="T228" i="126"/>
  <c r="R228" i="126" s="1"/>
  <c r="T227" i="126"/>
  <c r="R227" i="126" s="1"/>
  <c r="T226" i="126"/>
  <c r="R226" i="126" s="1"/>
  <c r="T223" i="126"/>
  <c r="R223" i="126" s="1"/>
  <c r="T222" i="126"/>
  <c r="R222" i="126" s="1"/>
  <c r="T221" i="126"/>
  <c r="R221" i="126" s="1"/>
  <c r="T220" i="126"/>
  <c r="R220" i="126" s="1"/>
  <c r="T219" i="126"/>
  <c r="R219" i="126" s="1"/>
  <c r="T218" i="126"/>
  <c r="R218" i="126" s="1"/>
  <c r="T215" i="126"/>
  <c r="R215" i="126" s="1"/>
  <c r="T214" i="126"/>
  <c r="R214" i="126" s="1"/>
  <c r="T213" i="126"/>
  <c r="R213" i="126" s="1"/>
  <c r="T212" i="126"/>
  <c r="R212" i="126" s="1"/>
  <c r="T211" i="126"/>
  <c r="R211" i="126" s="1"/>
  <c r="T210" i="126"/>
  <c r="R210" i="126" s="1"/>
  <c r="T207" i="126"/>
  <c r="R207" i="126" s="1"/>
  <c r="T206" i="126"/>
  <c r="R206" i="126" s="1"/>
  <c r="T205" i="126"/>
  <c r="R205" i="126" s="1"/>
  <c r="T204" i="126"/>
  <c r="R204" i="126" s="1"/>
  <c r="T203" i="126"/>
  <c r="R203" i="126" s="1"/>
  <c r="T202" i="126"/>
  <c r="R202" i="126" s="1"/>
  <c r="T199" i="126"/>
  <c r="R199" i="126" s="1"/>
  <c r="T198" i="126"/>
  <c r="R198" i="126" s="1"/>
  <c r="T197" i="126"/>
  <c r="R197" i="126" s="1"/>
  <c r="T196" i="126"/>
  <c r="R196" i="126" s="1"/>
  <c r="T195" i="126"/>
  <c r="R195" i="126" s="1"/>
  <c r="T194" i="126"/>
  <c r="R194" i="126" s="1"/>
  <c r="T191" i="126"/>
  <c r="R191" i="126" s="1"/>
  <c r="T190" i="126"/>
  <c r="R190" i="126" s="1"/>
  <c r="T189" i="126"/>
  <c r="R189" i="126" s="1"/>
  <c r="T188" i="126"/>
  <c r="R188" i="126" s="1"/>
  <c r="T187" i="126"/>
  <c r="R187" i="126" s="1"/>
  <c r="T186" i="126"/>
  <c r="R186" i="126" s="1"/>
  <c r="T183" i="126"/>
  <c r="R183" i="126" s="1"/>
  <c r="T182" i="126"/>
  <c r="R182" i="126" s="1"/>
  <c r="T181" i="126"/>
  <c r="R181" i="126" s="1"/>
  <c r="T180" i="126"/>
  <c r="R180" i="126" s="1"/>
  <c r="T179" i="126"/>
  <c r="R179" i="126" s="1"/>
  <c r="T178" i="126"/>
  <c r="R178" i="126" s="1"/>
  <c r="T175" i="126"/>
  <c r="R175" i="126" s="1"/>
  <c r="T174" i="126"/>
  <c r="R174" i="126" s="1"/>
  <c r="T173" i="126"/>
  <c r="R173" i="126" s="1"/>
  <c r="T172" i="126"/>
  <c r="R172" i="126" s="1"/>
  <c r="T171" i="126"/>
  <c r="R171" i="126" s="1"/>
  <c r="T170" i="126"/>
  <c r="R170" i="126" s="1"/>
  <c r="T167" i="126"/>
  <c r="R167" i="126" s="1"/>
  <c r="T166" i="126"/>
  <c r="R166" i="126" s="1"/>
  <c r="T165" i="126"/>
  <c r="R165" i="126" s="1"/>
  <c r="T164" i="126"/>
  <c r="R164" i="126" s="1"/>
  <c r="T163" i="126"/>
  <c r="R163" i="126" s="1"/>
  <c r="T162" i="126"/>
  <c r="R162" i="126" s="1"/>
  <c r="T159" i="126"/>
  <c r="R159" i="126" s="1"/>
  <c r="T158" i="126"/>
  <c r="R158" i="126" s="1"/>
  <c r="T157" i="126"/>
  <c r="R157" i="126" s="1"/>
  <c r="T156" i="126"/>
  <c r="R156" i="126" s="1"/>
  <c r="T155" i="126"/>
  <c r="R155" i="126" s="1"/>
  <c r="T154" i="126"/>
  <c r="R154" i="126" s="1"/>
  <c r="T151" i="126"/>
  <c r="R151" i="126" s="1"/>
  <c r="T150" i="126"/>
  <c r="R150" i="126" s="1"/>
  <c r="T149" i="126"/>
  <c r="R149" i="126" s="1"/>
  <c r="T148" i="126"/>
  <c r="R148" i="126" s="1"/>
  <c r="T147" i="126"/>
  <c r="R147" i="126" s="1"/>
  <c r="T146" i="126"/>
  <c r="R146" i="126" s="1"/>
  <c r="T143" i="126"/>
  <c r="R143" i="126" s="1"/>
  <c r="T142" i="126"/>
  <c r="R142" i="126" s="1"/>
  <c r="T141" i="126"/>
  <c r="R141" i="126" s="1"/>
  <c r="T140" i="126"/>
  <c r="R140" i="126" s="1"/>
  <c r="T139" i="126"/>
  <c r="R139" i="126" s="1"/>
  <c r="T138" i="126"/>
  <c r="R138" i="126" s="1"/>
  <c r="T135" i="126"/>
  <c r="R135" i="126" s="1"/>
  <c r="T134" i="126"/>
  <c r="R134" i="126" s="1"/>
  <c r="T133" i="126"/>
  <c r="R133" i="126" s="1"/>
  <c r="T132" i="126"/>
  <c r="R132" i="126" s="1"/>
  <c r="T131" i="126"/>
  <c r="R131" i="126" s="1"/>
  <c r="T130" i="126"/>
  <c r="R130" i="126" s="1"/>
  <c r="T127" i="126"/>
  <c r="R127" i="126" s="1"/>
  <c r="T126" i="126"/>
  <c r="R126" i="126" s="1"/>
  <c r="T125" i="126"/>
  <c r="R125" i="126" s="1"/>
  <c r="T124" i="126"/>
  <c r="R124" i="126" s="1"/>
  <c r="T123" i="126"/>
  <c r="R123" i="126" s="1"/>
  <c r="T122" i="126"/>
  <c r="R122" i="126" s="1"/>
  <c r="T119" i="126"/>
  <c r="R119" i="126" s="1"/>
  <c r="T118" i="126"/>
  <c r="R118" i="126" s="1"/>
  <c r="T117" i="126"/>
  <c r="R117" i="126" s="1"/>
  <c r="T116" i="126"/>
  <c r="R116" i="126" s="1"/>
  <c r="T115" i="126"/>
  <c r="R115" i="126" s="1"/>
  <c r="T114" i="126"/>
  <c r="R114" i="126" s="1"/>
  <c r="T111" i="126"/>
  <c r="R111" i="126" s="1"/>
  <c r="T110" i="126"/>
  <c r="R110" i="126" s="1"/>
  <c r="T109" i="126"/>
  <c r="R109" i="126" s="1"/>
  <c r="T108" i="126"/>
  <c r="R108" i="126" s="1"/>
  <c r="T107" i="126"/>
  <c r="R107" i="126" s="1"/>
  <c r="T106" i="126"/>
  <c r="R106" i="126" s="1"/>
  <c r="T103" i="126"/>
  <c r="R103" i="126" s="1"/>
  <c r="T102" i="126"/>
  <c r="R102" i="126" s="1"/>
  <c r="T101" i="126"/>
  <c r="R101" i="126" s="1"/>
  <c r="T100" i="126"/>
  <c r="R100" i="126" s="1"/>
  <c r="T99" i="126"/>
  <c r="R99" i="126" s="1"/>
  <c r="T98" i="126"/>
  <c r="R98" i="126" s="1"/>
  <c r="T95" i="126"/>
  <c r="R95" i="126" s="1"/>
  <c r="T94" i="126"/>
  <c r="R94" i="126" s="1"/>
  <c r="T93" i="126"/>
  <c r="R93" i="126" s="1"/>
  <c r="T92" i="126"/>
  <c r="R92" i="126" s="1"/>
  <c r="T91" i="126"/>
  <c r="R91" i="126" s="1"/>
  <c r="T90" i="126"/>
  <c r="R90" i="126" s="1"/>
  <c r="T87" i="126"/>
  <c r="R87" i="126" s="1"/>
  <c r="T86" i="126"/>
  <c r="R86" i="126" s="1"/>
  <c r="T85" i="126"/>
  <c r="R85" i="126" s="1"/>
  <c r="T84" i="126"/>
  <c r="R84" i="126" s="1"/>
  <c r="T83" i="126"/>
  <c r="R83" i="126" s="1"/>
  <c r="T82" i="126"/>
  <c r="R82" i="126" s="1"/>
  <c r="T79" i="126"/>
  <c r="R79" i="126" s="1"/>
  <c r="T78" i="126"/>
  <c r="R78" i="126" s="1"/>
  <c r="T77" i="126"/>
  <c r="R77" i="126" s="1"/>
  <c r="T76" i="126"/>
  <c r="R76" i="126" s="1"/>
  <c r="T75" i="126"/>
  <c r="R75" i="126" s="1"/>
  <c r="T74" i="126"/>
  <c r="R74" i="126" s="1"/>
  <c r="T71" i="126"/>
  <c r="R71" i="126" s="1"/>
  <c r="T70" i="126"/>
  <c r="R70" i="126" s="1"/>
  <c r="T69" i="126"/>
  <c r="R69" i="126" s="1"/>
  <c r="T68" i="126"/>
  <c r="R68" i="126" s="1"/>
  <c r="T67" i="126"/>
  <c r="R67" i="126" s="1"/>
  <c r="T66" i="126"/>
  <c r="R66" i="126" s="1"/>
  <c r="Z65" i="126"/>
  <c r="T63" i="126"/>
  <c r="R63" i="126" s="1"/>
  <c r="T62" i="126"/>
  <c r="R62" i="126" s="1"/>
  <c r="T61" i="126"/>
  <c r="R61" i="126" s="1"/>
  <c r="T60" i="126"/>
  <c r="R60" i="126" s="1"/>
  <c r="T59" i="126"/>
  <c r="R59" i="126" s="1"/>
  <c r="T58" i="126"/>
  <c r="R58" i="126" s="1"/>
  <c r="N57" i="126"/>
  <c r="W45" i="126"/>
  <c r="N45" i="126"/>
  <c r="W44" i="126"/>
  <c r="Y43" i="126"/>
  <c r="N43" i="126"/>
  <c r="Y42" i="126"/>
  <c r="N42" i="126"/>
  <c r="N41" i="126"/>
  <c r="I41" i="126"/>
  <c r="H41" i="126"/>
  <c r="G41" i="126"/>
  <c r="F41" i="126"/>
  <c r="E41" i="126"/>
  <c r="D41" i="126"/>
  <c r="Y40" i="126"/>
  <c r="N40" i="126"/>
  <c r="Y39" i="126"/>
  <c r="N39" i="126"/>
  <c r="Y38" i="126"/>
  <c r="N38" i="126"/>
  <c r="N37" i="126"/>
  <c r="I37" i="126"/>
  <c r="H37" i="126"/>
  <c r="G37" i="126"/>
  <c r="F37" i="126"/>
  <c r="E37" i="126"/>
  <c r="D37" i="126"/>
  <c r="Y36" i="126"/>
  <c r="N36" i="126"/>
  <c r="Y35" i="126"/>
  <c r="N35" i="126"/>
  <c r="Y34" i="126"/>
  <c r="N34" i="126"/>
  <c r="N33" i="126"/>
  <c r="I33" i="126"/>
  <c r="H33" i="126"/>
  <c r="G33" i="126"/>
  <c r="F33" i="126"/>
  <c r="E33" i="126"/>
  <c r="D33" i="126"/>
  <c r="Y32" i="126"/>
  <c r="N32" i="126"/>
  <c r="Y31" i="126"/>
  <c r="N31" i="126"/>
  <c r="Y30" i="126"/>
  <c r="N30" i="126"/>
  <c r="Y29" i="126"/>
  <c r="N29" i="126"/>
  <c r="Y28" i="126"/>
  <c r="N28" i="126"/>
  <c r="N27" i="126"/>
  <c r="I27" i="126"/>
  <c r="H27" i="126"/>
  <c r="G27" i="126"/>
  <c r="F27" i="126"/>
  <c r="E27" i="126"/>
  <c r="D27" i="126"/>
  <c r="Y26" i="126"/>
  <c r="N26" i="126"/>
  <c r="Y25" i="126"/>
  <c r="N25" i="126"/>
  <c r="N24" i="126"/>
  <c r="I24" i="126"/>
  <c r="H24" i="126"/>
  <c r="G24" i="126"/>
  <c r="F24" i="126"/>
  <c r="E24" i="126"/>
  <c r="D24" i="126"/>
  <c r="Y23" i="126"/>
  <c r="N23" i="126"/>
  <c r="Y22" i="126"/>
  <c r="N22" i="126"/>
  <c r="N21" i="126"/>
  <c r="I21" i="126"/>
  <c r="H21" i="126"/>
  <c r="G21" i="126"/>
  <c r="F21" i="126"/>
  <c r="E21" i="126"/>
  <c r="D21" i="126"/>
  <c r="Y20" i="126"/>
  <c r="N20" i="126"/>
  <c r="Y19" i="126"/>
  <c r="N19" i="126"/>
  <c r="N18" i="126"/>
  <c r="I18" i="126"/>
  <c r="H18" i="126"/>
  <c r="G18" i="126"/>
  <c r="F18" i="126"/>
  <c r="E18" i="126"/>
  <c r="D18" i="126"/>
  <c r="Y17" i="126"/>
  <c r="N17" i="126"/>
  <c r="Y16" i="126"/>
  <c r="N16" i="126"/>
  <c r="Y15" i="126"/>
  <c r="N15" i="126"/>
  <c r="N14" i="126"/>
  <c r="I14" i="126"/>
  <c r="H14" i="126"/>
  <c r="G14" i="126"/>
  <c r="F14" i="126"/>
  <c r="E14" i="126"/>
  <c r="D14" i="126"/>
  <c r="F4" i="125"/>
  <c r="N14" i="125"/>
  <c r="N15" i="125"/>
  <c r="Y15" i="125"/>
  <c r="N16" i="125"/>
  <c r="N17" i="125"/>
  <c r="N18" i="125"/>
  <c r="N19" i="125"/>
  <c r="N20" i="125"/>
  <c r="N21" i="125"/>
  <c r="N22" i="125"/>
  <c r="N23" i="125"/>
  <c r="N24" i="125"/>
  <c r="N25" i="125"/>
  <c r="N26" i="125"/>
  <c r="N27" i="125"/>
  <c r="N28" i="125"/>
  <c r="N29" i="125"/>
  <c r="I29" i="125"/>
  <c r="N30" i="125"/>
  <c r="N31" i="125"/>
  <c r="N32" i="125"/>
  <c r="N33" i="125"/>
  <c r="D32" i="125"/>
  <c r="E32" i="125"/>
  <c r="H32" i="125"/>
  <c r="I32" i="125"/>
  <c r="N34" i="125"/>
  <c r="N37" i="125"/>
  <c r="W37" i="125"/>
  <c r="W36" i="125" s="1"/>
  <c r="N48" i="125"/>
  <c r="T49" i="125"/>
  <c r="R49" i="125" s="1"/>
  <c r="T50" i="125"/>
  <c r="R50" i="125" s="1"/>
  <c r="T51" i="125"/>
  <c r="R51" i="125" s="1"/>
  <c r="T52" i="125"/>
  <c r="R52" i="125" s="1"/>
  <c r="T53" i="125"/>
  <c r="R53" i="125" s="1"/>
  <c r="T54" i="125"/>
  <c r="R54" i="125" s="1"/>
  <c r="Z56" i="125"/>
  <c r="T57" i="125"/>
  <c r="R57" i="125" s="1"/>
  <c r="T58" i="125"/>
  <c r="R58" i="125" s="1"/>
  <c r="T59" i="125"/>
  <c r="R59" i="125" s="1"/>
  <c r="T60" i="125"/>
  <c r="R60" i="125" s="1"/>
  <c r="T61" i="125"/>
  <c r="R61" i="125" s="1"/>
  <c r="T62" i="125"/>
  <c r="R62" i="125" s="1"/>
  <c r="T65" i="125"/>
  <c r="R65" i="125" s="1"/>
  <c r="T66" i="125"/>
  <c r="R66" i="125" s="1"/>
  <c r="T67" i="125"/>
  <c r="R67" i="125" s="1"/>
  <c r="T68" i="125"/>
  <c r="R68" i="125" s="1"/>
  <c r="T69" i="125"/>
  <c r="R69" i="125" s="1"/>
  <c r="T70" i="125"/>
  <c r="R70" i="125" s="1"/>
  <c r="T73" i="125"/>
  <c r="R73" i="125" s="1"/>
  <c r="T74" i="125"/>
  <c r="R74" i="125" s="1"/>
  <c r="T75" i="125"/>
  <c r="R75" i="125" s="1"/>
  <c r="T76" i="125"/>
  <c r="R76" i="125" s="1"/>
  <c r="T77" i="125"/>
  <c r="R77" i="125" s="1"/>
  <c r="T78" i="125"/>
  <c r="R78" i="125" s="1"/>
  <c r="T81" i="125"/>
  <c r="R81" i="125" s="1"/>
  <c r="T82" i="125"/>
  <c r="R82" i="125" s="1"/>
  <c r="T83" i="125"/>
  <c r="R83" i="125" s="1"/>
  <c r="T84" i="125"/>
  <c r="R84" i="125" s="1"/>
  <c r="T85" i="125"/>
  <c r="R85" i="125" s="1"/>
  <c r="T86" i="125"/>
  <c r="R86" i="125" s="1"/>
  <c r="T89" i="125"/>
  <c r="R89" i="125" s="1"/>
  <c r="T90" i="125"/>
  <c r="R90" i="125" s="1"/>
  <c r="T91" i="125"/>
  <c r="R91" i="125" s="1"/>
  <c r="T92" i="125"/>
  <c r="R92" i="125" s="1"/>
  <c r="T93" i="125"/>
  <c r="R93" i="125" s="1"/>
  <c r="T94" i="125"/>
  <c r="R94" i="125" s="1"/>
  <c r="T97" i="125"/>
  <c r="R97" i="125" s="1"/>
  <c r="T98" i="125"/>
  <c r="R98" i="125" s="1"/>
  <c r="T99" i="125"/>
  <c r="R99" i="125" s="1"/>
  <c r="T100" i="125"/>
  <c r="R100" i="125" s="1"/>
  <c r="T101" i="125"/>
  <c r="R101" i="125" s="1"/>
  <c r="T102" i="125"/>
  <c r="R102" i="125" s="1"/>
  <c r="T105" i="125"/>
  <c r="R105" i="125" s="1"/>
  <c r="T106" i="125"/>
  <c r="R106" i="125" s="1"/>
  <c r="T107" i="125"/>
  <c r="R107" i="125" s="1"/>
  <c r="T108" i="125"/>
  <c r="R108" i="125" s="1"/>
  <c r="T109" i="125"/>
  <c r="R109" i="125" s="1"/>
  <c r="T110" i="125"/>
  <c r="R110" i="125" s="1"/>
  <c r="T113" i="125"/>
  <c r="R113" i="125" s="1"/>
  <c r="T114" i="125"/>
  <c r="R114" i="125" s="1"/>
  <c r="T115" i="125"/>
  <c r="R115" i="125" s="1"/>
  <c r="T116" i="125"/>
  <c r="R116" i="125" s="1"/>
  <c r="T117" i="125"/>
  <c r="R117" i="125" s="1"/>
  <c r="T118" i="125"/>
  <c r="R118" i="125" s="1"/>
  <c r="T121" i="125"/>
  <c r="R121" i="125" s="1"/>
  <c r="T122" i="125"/>
  <c r="R122" i="125" s="1"/>
  <c r="T123" i="125"/>
  <c r="R123" i="125" s="1"/>
  <c r="T124" i="125"/>
  <c r="R124" i="125" s="1"/>
  <c r="T125" i="125"/>
  <c r="R125" i="125" s="1"/>
  <c r="T126" i="125"/>
  <c r="R126" i="125" s="1"/>
  <c r="T129" i="125"/>
  <c r="R129" i="125" s="1"/>
  <c r="T130" i="125"/>
  <c r="R130" i="125" s="1"/>
  <c r="T131" i="125"/>
  <c r="R131" i="125" s="1"/>
  <c r="T132" i="125"/>
  <c r="R132" i="125" s="1"/>
  <c r="T133" i="125"/>
  <c r="R133" i="125" s="1"/>
  <c r="T134" i="125"/>
  <c r="R134" i="125" s="1"/>
  <c r="T137" i="125"/>
  <c r="R137" i="125" s="1"/>
  <c r="T138" i="125"/>
  <c r="R138" i="125" s="1"/>
  <c r="T139" i="125"/>
  <c r="R139" i="125" s="1"/>
  <c r="T140" i="125"/>
  <c r="R140" i="125" s="1"/>
  <c r="T141" i="125"/>
  <c r="R141" i="125" s="1"/>
  <c r="T142" i="125"/>
  <c r="R142" i="125" s="1"/>
  <c r="T145" i="125"/>
  <c r="R145" i="125" s="1"/>
  <c r="T146" i="125"/>
  <c r="R146" i="125" s="1"/>
  <c r="T147" i="125"/>
  <c r="R147" i="125" s="1"/>
  <c r="T148" i="125"/>
  <c r="R148" i="125" s="1"/>
  <c r="T149" i="125"/>
  <c r="R149" i="125" s="1"/>
  <c r="T150" i="125"/>
  <c r="R150" i="125" s="1"/>
  <c r="T153" i="125"/>
  <c r="R153" i="125" s="1"/>
  <c r="T154" i="125"/>
  <c r="R154" i="125" s="1"/>
  <c r="T155" i="125"/>
  <c r="R155" i="125" s="1"/>
  <c r="T156" i="125"/>
  <c r="R156" i="125" s="1"/>
  <c r="T157" i="125"/>
  <c r="R157" i="125" s="1"/>
  <c r="T158" i="125"/>
  <c r="R158" i="125" s="1"/>
  <c r="T161" i="125"/>
  <c r="R161" i="125" s="1"/>
  <c r="T162" i="125"/>
  <c r="R162" i="125" s="1"/>
  <c r="T163" i="125"/>
  <c r="R163" i="125" s="1"/>
  <c r="T164" i="125"/>
  <c r="R164" i="125" s="1"/>
  <c r="T165" i="125"/>
  <c r="R165" i="125" s="1"/>
  <c r="T166" i="125"/>
  <c r="R166" i="125" s="1"/>
  <c r="T169" i="125"/>
  <c r="R169" i="125" s="1"/>
  <c r="T170" i="125"/>
  <c r="R170" i="125" s="1"/>
  <c r="T171" i="125"/>
  <c r="R171" i="125" s="1"/>
  <c r="T172" i="125"/>
  <c r="R172" i="125" s="1"/>
  <c r="T173" i="125"/>
  <c r="R173" i="125" s="1"/>
  <c r="T174" i="125"/>
  <c r="R174" i="125" s="1"/>
  <c r="T177" i="125"/>
  <c r="R177" i="125" s="1"/>
  <c r="T178" i="125"/>
  <c r="R178" i="125" s="1"/>
  <c r="T179" i="125"/>
  <c r="R179" i="125" s="1"/>
  <c r="T180" i="125"/>
  <c r="R180" i="125" s="1"/>
  <c r="T181" i="125"/>
  <c r="R181" i="125" s="1"/>
  <c r="T182" i="125"/>
  <c r="R182" i="125" s="1"/>
  <c r="T347" i="124"/>
  <c r="R347" i="124" s="1"/>
  <c r="T346" i="124"/>
  <c r="R346" i="124" s="1"/>
  <c r="T345" i="124"/>
  <c r="R345" i="124" s="1"/>
  <c r="T344" i="124"/>
  <c r="R344" i="124" s="1"/>
  <c r="T343" i="124"/>
  <c r="R343" i="124" s="1"/>
  <c r="T342" i="124"/>
  <c r="R342" i="124" s="1"/>
  <c r="T339" i="124"/>
  <c r="R339" i="124" s="1"/>
  <c r="T338" i="124"/>
  <c r="R338" i="124" s="1"/>
  <c r="T337" i="124"/>
  <c r="R337" i="124" s="1"/>
  <c r="T336" i="124"/>
  <c r="R336" i="124" s="1"/>
  <c r="T335" i="124"/>
  <c r="R335" i="124" s="1"/>
  <c r="T334" i="124"/>
  <c r="R334" i="124" s="1"/>
  <c r="T331" i="124"/>
  <c r="R331" i="124" s="1"/>
  <c r="T330" i="124"/>
  <c r="R330" i="124" s="1"/>
  <c r="T329" i="124"/>
  <c r="R329" i="124" s="1"/>
  <c r="T328" i="124"/>
  <c r="R328" i="124" s="1"/>
  <c r="T327" i="124"/>
  <c r="R327" i="124" s="1"/>
  <c r="T326" i="124"/>
  <c r="R326" i="124" s="1"/>
  <c r="T323" i="124"/>
  <c r="R323" i="124" s="1"/>
  <c r="T322" i="124"/>
  <c r="R322" i="124" s="1"/>
  <c r="T321" i="124"/>
  <c r="R321" i="124" s="1"/>
  <c r="T320" i="124"/>
  <c r="R320" i="124" s="1"/>
  <c r="T319" i="124"/>
  <c r="R319" i="124" s="1"/>
  <c r="T318" i="124"/>
  <c r="R318" i="124" s="1"/>
  <c r="T315" i="124"/>
  <c r="R315" i="124" s="1"/>
  <c r="T314" i="124"/>
  <c r="R314" i="124" s="1"/>
  <c r="T313" i="124"/>
  <c r="R313" i="124" s="1"/>
  <c r="T312" i="124"/>
  <c r="R312" i="124" s="1"/>
  <c r="T311" i="124"/>
  <c r="R311" i="124" s="1"/>
  <c r="T310" i="124"/>
  <c r="R310" i="124" s="1"/>
  <c r="T307" i="124"/>
  <c r="R307" i="124" s="1"/>
  <c r="T306" i="124"/>
  <c r="R306" i="124" s="1"/>
  <c r="T305" i="124"/>
  <c r="R305" i="124" s="1"/>
  <c r="T304" i="124"/>
  <c r="R304" i="124" s="1"/>
  <c r="T303" i="124"/>
  <c r="R303" i="124" s="1"/>
  <c r="T302" i="124"/>
  <c r="R302" i="124" s="1"/>
  <c r="T299" i="124"/>
  <c r="R299" i="124" s="1"/>
  <c r="T298" i="124"/>
  <c r="R298" i="124" s="1"/>
  <c r="T297" i="124"/>
  <c r="R297" i="124" s="1"/>
  <c r="T296" i="124"/>
  <c r="R296" i="124" s="1"/>
  <c r="T295" i="124"/>
  <c r="R295" i="124" s="1"/>
  <c r="T294" i="124"/>
  <c r="R294" i="124" s="1"/>
  <c r="T291" i="124"/>
  <c r="R291" i="124" s="1"/>
  <c r="T290" i="124"/>
  <c r="R290" i="124" s="1"/>
  <c r="T289" i="124"/>
  <c r="R289" i="124" s="1"/>
  <c r="T288" i="124"/>
  <c r="R288" i="124" s="1"/>
  <c r="T287" i="124"/>
  <c r="R287" i="124" s="1"/>
  <c r="T286" i="124"/>
  <c r="R286" i="124" s="1"/>
  <c r="T283" i="124"/>
  <c r="R283" i="124" s="1"/>
  <c r="T282" i="124"/>
  <c r="R282" i="124" s="1"/>
  <c r="T281" i="124"/>
  <c r="R281" i="124" s="1"/>
  <c r="T280" i="124"/>
  <c r="R280" i="124" s="1"/>
  <c r="T279" i="124"/>
  <c r="R279" i="124" s="1"/>
  <c r="T278" i="124"/>
  <c r="R278" i="124" s="1"/>
  <c r="T275" i="124"/>
  <c r="R275" i="124" s="1"/>
  <c r="T274" i="124"/>
  <c r="R274" i="124" s="1"/>
  <c r="T273" i="124"/>
  <c r="R273" i="124" s="1"/>
  <c r="T272" i="124"/>
  <c r="R272" i="124" s="1"/>
  <c r="T271" i="124"/>
  <c r="R271" i="124" s="1"/>
  <c r="T270" i="124"/>
  <c r="R270" i="124" s="1"/>
  <c r="T267" i="124"/>
  <c r="R267" i="124" s="1"/>
  <c r="T266" i="124"/>
  <c r="R266" i="124" s="1"/>
  <c r="T265" i="124"/>
  <c r="R265" i="124" s="1"/>
  <c r="T264" i="124"/>
  <c r="R264" i="124" s="1"/>
  <c r="T263" i="124"/>
  <c r="R263" i="124" s="1"/>
  <c r="T262" i="124"/>
  <c r="R262" i="124" s="1"/>
  <c r="T259" i="124"/>
  <c r="R259" i="124" s="1"/>
  <c r="T258" i="124"/>
  <c r="R258" i="124" s="1"/>
  <c r="T257" i="124"/>
  <c r="R257" i="124" s="1"/>
  <c r="T256" i="124"/>
  <c r="R256" i="124" s="1"/>
  <c r="T255" i="124"/>
  <c r="R255" i="124" s="1"/>
  <c r="T254" i="124"/>
  <c r="R254" i="124" s="1"/>
  <c r="T251" i="124"/>
  <c r="R251" i="124" s="1"/>
  <c r="T250" i="124"/>
  <c r="R250" i="124" s="1"/>
  <c r="T249" i="124"/>
  <c r="R249" i="124" s="1"/>
  <c r="T248" i="124"/>
  <c r="R248" i="124" s="1"/>
  <c r="T247" i="124"/>
  <c r="R247" i="124" s="1"/>
  <c r="T246" i="124"/>
  <c r="R246" i="124" s="1"/>
  <c r="T243" i="124"/>
  <c r="R243" i="124" s="1"/>
  <c r="T242" i="124"/>
  <c r="R242" i="124" s="1"/>
  <c r="T241" i="124"/>
  <c r="R241" i="124" s="1"/>
  <c r="T240" i="124"/>
  <c r="R240" i="124" s="1"/>
  <c r="T239" i="124"/>
  <c r="R239" i="124" s="1"/>
  <c r="T238" i="124"/>
  <c r="R238" i="124" s="1"/>
  <c r="T235" i="124"/>
  <c r="R235" i="124" s="1"/>
  <c r="T234" i="124"/>
  <c r="R234" i="124" s="1"/>
  <c r="T233" i="124"/>
  <c r="R233" i="124" s="1"/>
  <c r="T232" i="124"/>
  <c r="R232" i="124" s="1"/>
  <c r="T231" i="124"/>
  <c r="R231" i="124" s="1"/>
  <c r="T230" i="124"/>
  <c r="R230" i="124" s="1"/>
  <c r="T227" i="124"/>
  <c r="R227" i="124" s="1"/>
  <c r="T226" i="124"/>
  <c r="R226" i="124" s="1"/>
  <c r="T225" i="124"/>
  <c r="R225" i="124" s="1"/>
  <c r="T224" i="124"/>
  <c r="R224" i="124" s="1"/>
  <c r="T223" i="124"/>
  <c r="R223" i="124" s="1"/>
  <c r="T222" i="124"/>
  <c r="R222" i="124" s="1"/>
  <c r="T219" i="124"/>
  <c r="R219" i="124" s="1"/>
  <c r="T218" i="124"/>
  <c r="R218" i="124" s="1"/>
  <c r="T217" i="124"/>
  <c r="R217" i="124" s="1"/>
  <c r="T216" i="124"/>
  <c r="R216" i="124" s="1"/>
  <c r="T215" i="124"/>
  <c r="R215" i="124" s="1"/>
  <c r="T214" i="124"/>
  <c r="R214" i="124" s="1"/>
  <c r="T211" i="124"/>
  <c r="R211" i="124" s="1"/>
  <c r="T210" i="124"/>
  <c r="R210" i="124" s="1"/>
  <c r="T209" i="124"/>
  <c r="R209" i="124" s="1"/>
  <c r="T208" i="124"/>
  <c r="R208" i="124" s="1"/>
  <c r="T207" i="124"/>
  <c r="R207" i="124" s="1"/>
  <c r="T206" i="124"/>
  <c r="R206" i="124" s="1"/>
  <c r="T203" i="124"/>
  <c r="R203" i="124" s="1"/>
  <c r="T202" i="124"/>
  <c r="R202" i="124" s="1"/>
  <c r="T201" i="124"/>
  <c r="R201" i="124" s="1"/>
  <c r="T200" i="124"/>
  <c r="R200" i="124" s="1"/>
  <c r="T199" i="124"/>
  <c r="R199" i="124" s="1"/>
  <c r="T198" i="124"/>
  <c r="R198" i="124" s="1"/>
  <c r="T195" i="124"/>
  <c r="R195" i="124" s="1"/>
  <c r="T194" i="124"/>
  <c r="R194" i="124" s="1"/>
  <c r="T193" i="124"/>
  <c r="R193" i="124" s="1"/>
  <c r="T192" i="124"/>
  <c r="R192" i="124" s="1"/>
  <c r="T191" i="124"/>
  <c r="R191" i="124" s="1"/>
  <c r="T190" i="124"/>
  <c r="R190" i="124" s="1"/>
  <c r="T187" i="124"/>
  <c r="R187" i="124" s="1"/>
  <c r="T186" i="124"/>
  <c r="R186" i="124" s="1"/>
  <c r="T185" i="124"/>
  <c r="R185" i="124" s="1"/>
  <c r="T184" i="124"/>
  <c r="R184" i="124" s="1"/>
  <c r="T183" i="124"/>
  <c r="R183" i="124" s="1"/>
  <c r="T182" i="124"/>
  <c r="R182" i="124" s="1"/>
  <c r="T179" i="124"/>
  <c r="R179" i="124" s="1"/>
  <c r="T178" i="124"/>
  <c r="R178" i="124" s="1"/>
  <c r="T177" i="124"/>
  <c r="R177" i="124" s="1"/>
  <c r="T176" i="124"/>
  <c r="R176" i="124" s="1"/>
  <c r="T175" i="124"/>
  <c r="R175" i="124" s="1"/>
  <c r="T174" i="124"/>
  <c r="R174" i="124" s="1"/>
  <c r="T171" i="124"/>
  <c r="R171" i="124" s="1"/>
  <c r="T170" i="124"/>
  <c r="R170" i="124" s="1"/>
  <c r="T169" i="124"/>
  <c r="R169" i="124" s="1"/>
  <c r="T168" i="124"/>
  <c r="R168" i="124" s="1"/>
  <c r="T167" i="124"/>
  <c r="R167" i="124" s="1"/>
  <c r="T166" i="124"/>
  <c r="R166" i="124" s="1"/>
  <c r="T163" i="124"/>
  <c r="R163" i="124" s="1"/>
  <c r="T162" i="124"/>
  <c r="R162" i="124" s="1"/>
  <c r="T161" i="124"/>
  <c r="R161" i="124" s="1"/>
  <c r="T160" i="124"/>
  <c r="R160" i="124" s="1"/>
  <c r="T159" i="124"/>
  <c r="R159" i="124" s="1"/>
  <c r="T158" i="124"/>
  <c r="R158" i="124" s="1"/>
  <c r="T155" i="124"/>
  <c r="R155" i="124" s="1"/>
  <c r="T154" i="124"/>
  <c r="R154" i="124" s="1"/>
  <c r="T153" i="124"/>
  <c r="R153" i="124" s="1"/>
  <c r="T152" i="124"/>
  <c r="R152" i="124" s="1"/>
  <c r="T151" i="124"/>
  <c r="R151" i="124" s="1"/>
  <c r="T150" i="124"/>
  <c r="R150" i="124" s="1"/>
  <c r="T147" i="124"/>
  <c r="R147" i="124" s="1"/>
  <c r="T146" i="124"/>
  <c r="R146" i="124" s="1"/>
  <c r="T145" i="124"/>
  <c r="R145" i="124" s="1"/>
  <c r="T144" i="124"/>
  <c r="R144" i="124" s="1"/>
  <c r="T143" i="124"/>
  <c r="R143" i="124" s="1"/>
  <c r="T142" i="124"/>
  <c r="R142" i="124" s="1"/>
  <c r="T139" i="124"/>
  <c r="R139" i="124" s="1"/>
  <c r="T138" i="124"/>
  <c r="R138" i="124" s="1"/>
  <c r="T137" i="124"/>
  <c r="R137" i="124" s="1"/>
  <c r="T136" i="124"/>
  <c r="R136" i="124" s="1"/>
  <c r="T135" i="124"/>
  <c r="R135" i="124" s="1"/>
  <c r="T134" i="124"/>
  <c r="R134" i="124" s="1"/>
  <c r="T131" i="124"/>
  <c r="R131" i="124" s="1"/>
  <c r="T130" i="124"/>
  <c r="R130" i="124" s="1"/>
  <c r="T129" i="124"/>
  <c r="R129" i="124" s="1"/>
  <c r="T128" i="124"/>
  <c r="R128" i="124" s="1"/>
  <c r="T127" i="124"/>
  <c r="R127" i="124" s="1"/>
  <c r="T126" i="124"/>
  <c r="R126" i="124" s="1"/>
  <c r="T123" i="124"/>
  <c r="R123" i="124" s="1"/>
  <c r="T122" i="124"/>
  <c r="R122" i="124" s="1"/>
  <c r="T121" i="124"/>
  <c r="R121" i="124" s="1"/>
  <c r="T120" i="124"/>
  <c r="R120" i="124" s="1"/>
  <c r="T119" i="124"/>
  <c r="R119" i="124" s="1"/>
  <c r="T118" i="124"/>
  <c r="R118" i="124" s="1"/>
  <c r="T115" i="124"/>
  <c r="R115" i="124" s="1"/>
  <c r="T114" i="124"/>
  <c r="R114" i="124" s="1"/>
  <c r="T113" i="124"/>
  <c r="R113" i="124" s="1"/>
  <c r="T112" i="124"/>
  <c r="R112" i="124" s="1"/>
  <c r="T111" i="124"/>
  <c r="R111" i="124" s="1"/>
  <c r="T110" i="124"/>
  <c r="R110" i="124" s="1"/>
  <c r="T107" i="124"/>
  <c r="R107" i="124" s="1"/>
  <c r="T106" i="124"/>
  <c r="R106" i="124" s="1"/>
  <c r="T105" i="124"/>
  <c r="R105" i="124" s="1"/>
  <c r="T104" i="124"/>
  <c r="R104" i="124" s="1"/>
  <c r="B98" i="124"/>
  <c r="T103" i="124"/>
  <c r="R103" i="124" s="1"/>
  <c r="B97" i="124"/>
  <c r="T102" i="124"/>
  <c r="R102" i="124" s="1"/>
  <c r="B96" i="124"/>
  <c r="B95" i="124"/>
  <c r="T99" i="124"/>
  <c r="R99" i="124" s="1"/>
  <c r="T98" i="124"/>
  <c r="R98" i="124" s="1"/>
  <c r="T97" i="124"/>
  <c r="R97" i="124" s="1"/>
  <c r="T96" i="124"/>
  <c r="R96" i="124" s="1"/>
  <c r="T95" i="124"/>
  <c r="R95" i="124" s="1"/>
  <c r="T94" i="124"/>
  <c r="R94" i="124" s="1"/>
  <c r="B94" i="124"/>
  <c r="B93" i="124"/>
  <c r="B92" i="124"/>
  <c r="T91" i="124"/>
  <c r="R91" i="124" s="1"/>
  <c r="B91" i="124"/>
  <c r="T90" i="124"/>
  <c r="R90" i="124" s="1"/>
  <c r="B90" i="124"/>
  <c r="T89" i="124"/>
  <c r="R89" i="124" s="1"/>
  <c r="B89" i="124"/>
  <c r="T88" i="124"/>
  <c r="R88" i="124" s="1"/>
  <c r="B88" i="124"/>
  <c r="T87" i="124"/>
  <c r="R87" i="124" s="1"/>
  <c r="B87" i="124"/>
  <c r="T86" i="124"/>
  <c r="R86" i="124" s="1"/>
  <c r="B86" i="124"/>
  <c r="B85" i="124"/>
  <c r="B84" i="124"/>
  <c r="T83" i="124"/>
  <c r="R83" i="124" s="1"/>
  <c r="B83" i="124"/>
  <c r="T82" i="124"/>
  <c r="R82" i="124" s="1"/>
  <c r="B82" i="124"/>
  <c r="T81" i="124"/>
  <c r="R81" i="124" s="1"/>
  <c r="B81" i="124"/>
  <c r="T80" i="124"/>
  <c r="R80" i="124" s="1"/>
  <c r="B80" i="124"/>
  <c r="T79" i="124"/>
  <c r="R79" i="124" s="1"/>
  <c r="B79" i="124"/>
  <c r="T78" i="124"/>
  <c r="R78" i="124" s="1"/>
  <c r="B78" i="124"/>
  <c r="Z77" i="124"/>
  <c r="Z85" i="124" s="1"/>
  <c r="B77" i="124"/>
  <c r="B76" i="124"/>
  <c r="T75" i="124"/>
  <c r="R75" i="124" s="1"/>
  <c r="B75" i="124"/>
  <c r="T74" i="124"/>
  <c r="R74" i="124" s="1"/>
  <c r="B74" i="124"/>
  <c r="T73" i="124"/>
  <c r="R73" i="124" s="1"/>
  <c r="B73" i="124"/>
  <c r="T72" i="124"/>
  <c r="R72" i="124" s="1"/>
  <c r="B72" i="124"/>
  <c r="T71" i="124"/>
  <c r="R71" i="124" s="1"/>
  <c r="B71" i="124"/>
  <c r="T70" i="124"/>
  <c r="R70" i="124" s="1"/>
  <c r="B70" i="124"/>
  <c r="B69" i="124"/>
  <c r="B68" i="124"/>
  <c r="B67" i="124"/>
  <c r="B66" i="124"/>
  <c r="B65" i="124"/>
  <c r="B64" i="124"/>
  <c r="B63" i="124"/>
  <c r="B62" i="124"/>
  <c r="B61" i="124"/>
  <c r="B60" i="124"/>
  <c r="B59" i="124"/>
  <c r="B58" i="124"/>
  <c r="N69" i="124" s="1"/>
  <c r="W58" i="124"/>
  <c r="W57" i="124" s="1"/>
  <c r="N58" i="124"/>
  <c r="B57" i="124"/>
  <c r="N55" i="124"/>
  <c r="N54" i="124"/>
  <c r="N53" i="124"/>
  <c r="N52" i="124"/>
  <c r="N51" i="124"/>
  <c r="N50" i="124"/>
  <c r="N49" i="124"/>
  <c r="N48" i="124"/>
  <c r="N47" i="124"/>
  <c r="N46" i="124"/>
  <c r="N45" i="124"/>
  <c r="N44" i="124"/>
  <c r="N43" i="124"/>
  <c r="N42" i="124"/>
  <c r="N41" i="124"/>
  <c r="N40" i="124"/>
  <c r="N39" i="124"/>
  <c r="N38" i="124"/>
  <c r="N37" i="124"/>
  <c r="N36" i="124"/>
  <c r="N35" i="124"/>
  <c r="N34" i="124"/>
  <c r="N33" i="124"/>
  <c r="N32" i="124"/>
  <c r="N31" i="124"/>
  <c r="N30" i="124"/>
  <c r="N29" i="124"/>
  <c r="N28" i="124"/>
  <c r="N27" i="124"/>
  <c r="N26" i="124"/>
  <c r="N25" i="124"/>
  <c r="N24" i="124"/>
  <c r="N23" i="124"/>
  <c r="N22" i="124"/>
  <c r="N21" i="124"/>
  <c r="N20" i="124"/>
  <c r="N19" i="124"/>
  <c r="N18" i="124"/>
  <c r="N17" i="124"/>
  <c r="N16" i="124"/>
  <c r="Y15" i="124"/>
  <c r="F4" i="124"/>
  <c r="D57" i="126" l="1"/>
  <c r="E58" i="126"/>
  <c r="F57" i="126"/>
  <c r="H58" i="126"/>
  <c r="G57" i="126"/>
  <c r="I58" i="126"/>
  <c r="D58" i="126"/>
  <c r="D74" i="126"/>
  <c r="E75" i="126"/>
  <c r="F74" i="126"/>
  <c r="H75" i="126"/>
  <c r="G74" i="126"/>
  <c r="G73" i="126" s="1"/>
  <c r="I75" i="126"/>
  <c r="D75" i="126"/>
  <c r="D54" i="126" a="1"/>
  <c r="F55" i="126" s="1"/>
  <c r="D70" i="126" a="1"/>
  <c r="E70" i="126" s="1"/>
  <c r="D51" i="126" a="1"/>
  <c r="D60" i="126" a="1"/>
  <c r="G61" i="126" s="1"/>
  <c r="D47" i="126" a="1"/>
  <c r="I49" i="126" s="1"/>
  <c r="D66" i="126" a="1"/>
  <c r="I68" i="126" s="1"/>
  <c r="G75" i="126"/>
  <c r="I74" i="126"/>
  <c r="E74" i="126"/>
  <c r="E73" i="126" s="1"/>
  <c r="F75" i="126"/>
  <c r="F73" i="126" s="1"/>
  <c r="H74" i="126"/>
  <c r="G63" i="126"/>
  <c r="I62" i="126"/>
  <c r="I60" i="126"/>
  <c r="D64" i="126"/>
  <c r="H62" i="126"/>
  <c r="F61" i="126"/>
  <c r="G58" i="126"/>
  <c r="I57" i="126"/>
  <c r="E57" i="126"/>
  <c r="F58" i="126"/>
  <c r="H57" i="126"/>
  <c r="I54" i="126"/>
  <c r="E54" i="126"/>
  <c r="F52" i="126"/>
  <c r="H51" i="126"/>
  <c r="I47" i="126"/>
  <c r="E44" i="126"/>
  <c r="I44" i="126"/>
  <c r="F44" i="126"/>
  <c r="N65" i="126"/>
  <c r="G44" i="126"/>
  <c r="D44" i="126"/>
  <c r="H44" i="126"/>
  <c r="H73" i="126"/>
  <c r="Z73" i="126"/>
  <c r="I73" i="126"/>
  <c r="N56" i="125"/>
  <c r="Z64" i="125"/>
  <c r="D29" i="125"/>
  <c r="F32" i="125"/>
  <c r="F29" i="125"/>
  <c r="G32" i="125"/>
  <c r="G19" i="125"/>
  <c r="E29" i="125"/>
  <c r="D14" i="125"/>
  <c r="G14" i="125"/>
  <c r="I14" i="125"/>
  <c r="H29" i="125"/>
  <c r="F14" i="125"/>
  <c r="F49" i="124"/>
  <c r="D49" i="124"/>
  <c r="F25" i="124"/>
  <c r="G25" i="124"/>
  <c r="G43" i="124"/>
  <c r="G49" i="124"/>
  <c r="I49" i="124"/>
  <c r="E49" i="124"/>
  <c r="H49" i="124"/>
  <c r="N85" i="124"/>
  <c r="Z93" i="124"/>
  <c r="D29" i="124"/>
  <c r="E25" i="124"/>
  <c r="D52" i="124"/>
  <c r="N77" i="124"/>
  <c r="I52" i="124"/>
  <c r="H70" i="126" l="1"/>
  <c r="I70" i="126"/>
  <c r="F67" i="126"/>
  <c r="H60" i="126"/>
  <c r="E60" i="126"/>
  <c r="E64" i="126"/>
  <c r="E66" i="126"/>
  <c r="F71" i="126"/>
  <c r="E72" i="126"/>
  <c r="I66" i="126"/>
  <c r="H72" i="126"/>
  <c r="I72" i="126"/>
  <c r="F63" i="126"/>
  <c r="H66" i="126"/>
  <c r="D66" i="126"/>
  <c r="E67" i="126"/>
  <c r="G68" i="126"/>
  <c r="F66" i="126"/>
  <c r="H67" i="126"/>
  <c r="G66" i="126"/>
  <c r="I67" i="126"/>
  <c r="D67" i="126"/>
  <c r="F68" i="126"/>
  <c r="D70" i="126"/>
  <c r="F70" i="126"/>
  <c r="H71" i="126"/>
  <c r="G70" i="126"/>
  <c r="I71" i="126"/>
  <c r="D71" i="126"/>
  <c r="F72" i="126"/>
  <c r="E71" i="126"/>
  <c r="G72" i="126"/>
  <c r="E47" i="126"/>
  <c r="H47" i="126"/>
  <c r="H48" i="126"/>
  <c r="G49" i="126"/>
  <c r="D47" i="126"/>
  <c r="D48" i="126"/>
  <c r="I48" i="126"/>
  <c r="H49" i="126"/>
  <c r="F47" i="126"/>
  <c r="E48" i="126"/>
  <c r="D49" i="126"/>
  <c r="G47" i="126"/>
  <c r="F48" i="126"/>
  <c r="F49" i="126"/>
  <c r="D54" i="126"/>
  <c r="F54" i="126"/>
  <c r="F53" i="126" s="1"/>
  <c r="H55" i="126"/>
  <c r="G54" i="126"/>
  <c r="I55" i="126"/>
  <c r="D55" i="126"/>
  <c r="E55" i="126"/>
  <c r="G48" i="126"/>
  <c r="D68" i="126"/>
  <c r="G67" i="126"/>
  <c r="D60" i="126"/>
  <c r="D61" i="126"/>
  <c r="F62" i="126"/>
  <c r="H63" i="126"/>
  <c r="E61" i="126"/>
  <c r="G62" i="126"/>
  <c r="I63" i="126"/>
  <c r="F60" i="126"/>
  <c r="H61" i="126"/>
  <c r="D63" i="126"/>
  <c r="F64" i="126"/>
  <c r="G60" i="126"/>
  <c r="I61" i="126"/>
  <c r="E63" i="126"/>
  <c r="G64" i="126"/>
  <c r="E49" i="126"/>
  <c r="H54" i="126"/>
  <c r="H53" i="126" s="1"/>
  <c r="G55" i="126"/>
  <c r="D62" i="126"/>
  <c r="H64" i="126"/>
  <c r="E62" i="126"/>
  <c r="I64" i="126"/>
  <c r="H68" i="126"/>
  <c r="E68" i="126"/>
  <c r="D72" i="126"/>
  <c r="G71" i="126"/>
  <c r="D51" i="126"/>
  <c r="F51" i="126"/>
  <c r="F50" i="126" s="1"/>
  <c r="E52" i="126"/>
  <c r="G51" i="126"/>
  <c r="G52" i="126"/>
  <c r="I51" i="126"/>
  <c r="H52" i="126"/>
  <c r="E51" i="126"/>
  <c r="D52" i="126"/>
  <c r="I52" i="126"/>
  <c r="G56" i="126"/>
  <c r="F56" i="126"/>
  <c r="G53" i="126"/>
  <c r="I53" i="126"/>
  <c r="E50" i="126"/>
  <c r="H50" i="126"/>
  <c r="Z81" i="126"/>
  <c r="N73" i="126"/>
  <c r="W43" i="126" a="1"/>
  <c r="W43" i="126" s="1"/>
  <c r="D73" i="126"/>
  <c r="W42" i="126" a="1"/>
  <c r="W42" i="126" s="1"/>
  <c r="G29" i="125"/>
  <c r="H19" i="125"/>
  <c r="F19" i="125"/>
  <c r="D19" i="125"/>
  <c r="Z72" i="125"/>
  <c r="N64" i="125"/>
  <c r="I19" i="125"/>
  <c r="H14" i="125"/>
  <c r="E14" i="125"/>
  <c r="E19" i="125"/>
  <c r="H52" i="124"/>
  <c r="I43" i="124"/>
  <c r="G52" i="124"/>
  <c r="E52" i="124"/>
  <c r="F40" i="124"/>
  <c r="F29" i="124"/>
  <c r="E43" i="124"/>
  <c r="F52" i="124"/>
  <c r="I29" i="124"/>
  <c r="F43" i="124"/>
  <c r="G40" i="124"/>
  <c r="I40" i="124"/>
  <c r="H29" i="124"/>
  <c r="E29" i="124"/>
  <c r="H40" i="124"/>
  <c r="G14" i="124"/>
  <c r="N93" i="124"/>
  <c r="Z101" i="124"/>
  <c r="G29" i="124"/>
  <c r="E14" i="124"/>
  <c r="I14" i="124"/>
  <c r="H43" i="124"/>
  <c r="E40" i="124"/>
  <c r="I25" i="124"/>
  <c r="D40" i="124"/>
  <c r="D25" i="124"/>
  <c r="H14" i="124"/>
  <c r="F14" i="124"/>
  <c r="D43" i="124"/>
  <c r="H25" i="124"/>
  <c r="D14" i="124"/>
  <c r="I50" i="126" l="1"/>
  <c r="G69" i="126"/>
  <c r="H69" i="126"/>
  <c r="E59" i="126"/>
  <c r="P87" i="124"/>
  <c r="U87" i="124" s="1"/>
  <c r="S87" i="124" s="1"/>
  <c r="P104" i="124"/>
  <c r="U104" i="124" s="1"/>
  <c r="S104" i="124" s="1"/>
  <c r="W29" i="126" a="1"/>
  <c r="W29" i="126" s="1"/>
  <c r="P82" i="124"/>
  <c r="U82" i="124" s="1"/>
  <c r="S82" i="124" s="1"/>
  <c r="P96" i="124"/>
  <c r="U96" i="124" s="1"/>
  <c r="S96" i="124" s="1"/>
  <c r="P95" i="124"/>
  <c r="U95" i="124" s="1"/>
  <c r="S95" i="124" s="1"/>
  <c r="P105" i="124"/>
  <c r="U105" i="124" s="1"/>
  <c r="S105" i="124" s="1"/>
  <c r="G50" i="126"/>
  <c r="P91" i="124"/>
  <c r="U91" i="124" s="1"/>
  <c r="S91" i="124" s="1"/>
  <c r="P97" i="124"/>
  <c r="U97" i="124" s="1"/>
  <c r="S97" i="124" s="1"/>
  <c r="I92" i="124"/>
  <c r="P102" i="124"/>
  <c r="U102" i="124" s="1"/>
  <c r="P107" i="124"/>
  <c r="U107" i="124" s="1"/>
  <c r="S107" i="124" s="1"/>
  <c r="W41" i="126"/>
  <c r="I69" i="126"/>
  <c r="F69" i="126"/>
  <c r="D56" i="126"/>
  <c r="W25" i="126" a="1"/>
  <c r="W25" i="126" s="1"/>
  <c r="P79" i="126"/>
  <c r="U79" i="126" s="1"/>
  <c r="S79" i="126" s="1"/>
  <c r="P75" i="126"/>
  <c r="U75" i="126" s="1"/>
  <c r="S75" i="126" s="1"/>
  <c r="P69" i="126"/>
  <c r="U69" i="126" s="1"/>
  <c r="S69" i="126" s="1"/>
  <c r="P78" i="126"/>
  <c r="U78" i="126" s="1"/>
  <c r="S78" i="126" s="1"/>
  <c r="P68" i="126"/>
  <c r="U68" i="126" s="1"/>
  <c r="S68" i="126" s="1"/>
  <c r="P77" i="126"/>
  <c r="U77" i="126" s="1"/>
  <c r="S77" i="126" s="1"/>
  <c r="P71" i="126"/>
  <c r="U71" i="126" s="1"/>
  <c r="S71" i="126" s="1"/>
  <c r="P67" i="126"/>
  <c r="U67" i="126" s="1"/>
  <c r="S67" i="126" s="1"/>
  <c r="P76" i="126"/>
  <c r="U76" i="126" s="1"/>
  <c r="S76" i="126" s="1"/>
  <c r="P70" i="126"/>
  <c r="U70" i="126" s="1"/>
  <c r="S70" i="126" s="1"/>
  <c r="W40" i="126" a="1"/>
  <c r="W40" i="126" s="1"/>
  <c r="W39" i="126" a="1"/>
  <c r="W39" i="126" s="1"/>
  <c r="H56" i="126"/>
  <c r="E56" i="126"/>
  <c r="G59" i="126"/>
  <c r="H59" i="126"/>
  <c r="I59" i="126"/>
  <c r="E65" i="126"/>
  <c r="E53" i="126"/>
  <c r="W23" i="126" a="1"/>
  <c r="W23" i="126" s="1"/>
  <c r="W38" i="126" a="1"/>
  <c r="W38" i="126" s="1"/>
  <c r="D69" i="126"/>
  <c r="I56" i="126"/>
  <c r="F59" i="126"/>
  <c r="W32" i="126" a="1"/>
  <c r="W32" i="126" s="1"/>
  <c r="W19" i="126" a="1"/>
  <c r="W19" i="126" s="1"/>
  <c r="D50" i="126"/>
  <c r="W28" i="126" a="1"/>
  <c r="W28" i="126" s="1"/>
  <c r="D59" i="126"/>
  <c r="P85" i="126"/>
  <c r="U85" i="126" s="1"/>
  <c r="S85" i="126" s="1"/>
  <c r="P84" i="126"/>
  <c r="U84" i="126" s="1"/>
  <c r="S84" i="126" s="1"/>
  <c r="N81" i="126"/>
  <c r="Z89" i="126"/>
  <c r="P87" i="126"/>
  <c r="U87" i="126" s="1"/>
  <c r="S87" i="126" s="1"/>
  <c r="P83" i="126"/>
  <c r="U83" i="126" s="1"/>
  <c r="S83" i="126" s="1"/>
  <c r="P86" i="126"/>
  <c r="U86" i="126" s="1"/>
  <c r="S86" i="126" s="1"/>
  <c r="P82" i="126"/>
  <c r="U82" i="126" s="1"/>
  <c r="W20" i="126" a="1"/>
  <c r="W20" i="126" s="1"/>
  <c r="D53" i="126"/>
  <c r="W22" i="126" a="1"/>
  <c r="W22" i="126" s="1"/>
  <c r="E69" i="126"/>
  <c r="W26" i="126" a="1"/>
  <c r="W26" i="126" s="1"/>
  <c r="W31" i="126" a="1"/>
  <c r="W31" i="126" s="1"/>
  <c r="W30" i="126" a="1"/>
  <c r="W30" i="126" s="1"/>
  <c r="P54" i="125"/>
  <c r="U54" i="125" s="1"/>
  <c r="S54" i="125" s="1"/>
  <c r="P61" i="125"/>
  <c r="U61" i="125" s="1"/>
  <c r="S61" i="125" s="1"/>
  <c r="P68" i="125"/>
  <c r="U68" i="125" s="1"/>
  <c r="S68" i="125" s="1"/>
  <c r="P76" i="125"/>
  <c r="U76" i="125" s="1"/>
  <c r="S76" i="125" s="1"/>
  <c r="P58" i="125"/>
  <c r="U58" i="125" s="1"/>
  <c r="S58" i="125" s="1"/>
  <c r="P66" i="125"/>
  <c r="U66" i="125" s="1"/>
  <c r="S66" i="125" s="1"/>
  <c r="P73" i="125"/>
  <c r="U73" i="125" s="1"/>
  <c r="P57" i="125"/>
  <c r="U57" i="125" s="1"/>
  <c r="P62" i="125"/>
  <c r="U62" i="125" s="1"/>
  <c r="S62" i="125" s="1"/>
  <c r="P70" i="125"/>
  <c r="U70" i="125" s="1"/>
  <c r="S70" i="125" s="1"/>
  <c r="P77" i="125"/>
  <c r="U77" i="125" s="1"/>
  <c r="S77" i="125" s="1"/>
  <c r="P52" i="125"/>
  <c r="U52" i="125" s="1"/>
  <c r="S52" i="125" s="1"/>
  <c r="P67" i="125"/>
  <c r="U67" i="125" s="1"/>
  <c r="S67" i="125" s="1"/>
  <c r="P74" i="125"/>
  <c r="U74" i="125" s="1"/>
  <c r="S74" i="125" s="1"/>
  <c r="P75" i="125"/>
  <c r="U75" i="125" s="1"/>
  <c r="S75" i="125" s="1"/>
  <c r="P53" i="125"/>
  <c r="U53" i="125" s="1"/>
  <c r="S53" i="125" s="1"/>
  <c r="P69" i="125"/>
  <c r="U69" i="125" s="1"/>
  <c r="S69" i="125" s="1"/>
  <c r="P65" i="125"/>
  <c r="U65" i="125" s="1"/>
  <c r="P59" i="125"/>
  <c r="U59" i="125" s="1"/>
  <c r="S59" i="125" s="1"/>
  <c r="W33" i="125" a="1"/>
  <c r="W33" i="125" s="1"/>
  <c r="I54" i="125"/>
  <c r="E54" i="125"/>
  <c r="F54" i="125"/>
  <c r="H54" i="125"/>
  <c r="P60" i="125"/>
  <c r="U60" i="125" s="1"/>
  <c r="S60" i="125" s="1"/>
  <c r="P50" i="125"/>
  <c r="U50" i="125" s="1"/>
  <c r="S50" i="125" s="1"/>
  <c r="N72" i="125"/>
  <c r="Z80" i="125"/>
  <c r="P49" i="125"/>
  <c r="U49" i="125" s="1"/>
  <c r="E92" i="124"/>
  <c r="H92" i="124"/>
  <c r="G92" i="124"/>
  <c r="P98" i="124"/>
  <c r="U98" i="124" s="1"/>
  <c r="S98" i="124" s="1"/>
  <c r="P88" i="124"/>
  <c r="U88" i="124" s="1"/>
  <c r="S88" i="124" s="1"/>
  <c r="P103" i="124"/>
  <c r="U103" i="124" s="1"/>
  <c r="S103" i="124" s="1"/>
  <c r="P81" i="124"/>
  <c r="U81" i="124" s="1"/>
  <c r="S81" i="124" s="1"/>
  <c r="P106" i="124"/>
  <c r="U106" i="124" s="1"/>
  <c r="S106" i="124" s="1"/>
  <c r="P99" i="124"/>
  <c r="U99" i="124" s="1"/>
  <c r="S99" i="124" s="1"/>
  <c r="P89" i="124"/>
  <c r="U89" i="124" s="1"/>
  <c r="S89" i="124" s="1"/>
  <c r="P79" i="124"/>
  <c r="U79" i="124" s="1"/>
  <c r="S79" i="124" s="1"/>
  <c r="P83" i="124"/>
  <c r="U83" i="124" s="1"/>
  <c r="S83" i="124" s="1"/>
  <c r="P90" i="124"/>
  <c r="U90" i="124" s="1"/>
  <c r="S90" i="124" s="1"/>
  <c r="P80" i="124"/>
  <c r="U80" i="124" s="1"/>
  <c r="S80" i="124" s="1"/>
  <c r="N101" i="124"/>
  <c r="Z109" i="124"/>
  <c r="I36" i="125" l="1"/>
  <c r="W50" i="124" a="1"/>
  <c r="W50" i="124" s="1"/>
  <c r="W21" i="126"/>
  <c r="F36" i="125"/>
  <c r="W16" i="126" a="1"/>
  <c r="W16" i="126" s="1"/>
  <c r="P66" i="126"/>
  <c r="U66" i="126" s="1"/>
  <c r="I46" i="126"/>
  <c r="P63" i="126"/>
  <c r="U63" i="126" s="1"/>
  <c r="S63" i="126" s="1"/>
  <c r="W18" i="126"/>
  <c r="I65" i="126"/>
  <c r="W36" i="126" a="1"/>
  <c r="W36" i="126" s="1"/>
  <c r="P60" i="126"/>
  <c r="U60" i="126" s="1"/>
  <c r="S60" i="126" s="1"/>
  <c r="F46" i="126"/>
  <c r="W17" i="126" a="1"/>
  <c r="W17" i="126" s="1"/>
  <c r="P74" i="126"/>
  <c r="U74" i="126" s="1"/>
  <c r="W24" i="126"/>
  <c r="U88" i="126"/>
  <c r="S82" i="126"/>
  <c r="S88" i="126" s="1"/>
  <c r="Z97" i="126"/>
  <c r="P95" i="126"/>
  <c r="U95" i="126" s="1"/>
  <c r="S95" i="126" s="1"/>
  <c r="P91" i="126"/>
  <c r="U91" i="126" s="1"/>
  <c r="S91" i="126" s="1"/>
  <c r="P94" i="126"/>
  <c r="U94" i="126" s="1"/>
  <c r="S94" i="126" s="1"/>
  <c r="P90" i="126"/>
  <c r="U90" i="126" s="1"/>
  <c r="P93" i="126"/>
  <c r="U93" i="126" s="1"/>
  <c r="S93" i="126" s="1"/>
  <c r="P92" i="126"/>
  <c r="U92" i="126" s="1"/>
  <c r="S92" i="126" s="1"/>
  <c r="N89" i="126"/>
  <c r="W37" i="126"/>
  <c r="F65" i="126"/>
  <c r="G65" i="126"/>
  <c r="D65" i="126"/>
  <c r="W34" i="126" a="1"/>
  <c r="W34" i="126" s="1"/>
  <c r="G46" i="126"/>
  <c r="P61" i="126"/>
  <c r="U61" i="126" s="1"/>
  <c r="S61" i="126" s="1"/>
  <c r="D46" i="126"/>
  <c r="D76" i="126" s="1"/>
  <c r="P58" i="126"/>
  <c r="U58" i="126" s="1"/>
  <c r="W15" i="126" a="1"/>
  <c r="W15" i="126" s="1"/>
  <c r="W27" i="126"/>
  <c r="W35" i="126" a="1"/>
  <c r="W35" i="126" s="1"/>
  <c r="H65" i="126"/>
  <c r="H46" i="126"/>
  <c r="P62" i="126"/>
  <c r="U62" i="126" s="1"/>
  <c r="S62" i="126" s="1"/>
  <c r="P59" i="126"/>
  <c r="U59" i="126" s="1"/>
  <c r="S59" i="126" s="1"/>
  <c r="E46" i="126"/>
  <c r="E76" i="126" s="1"/>
  <c r="G54" i="125"/>
  <c r="D54" i="125"/>
  <c r="U71" i="125"/>
  <c r="P51" i="125"/>
  <c r="U51" i="125" s="1"/>
  <c r="S51" i="125" s="1"/>
  <c r="S65" i="125"/>
  <c r="S71" i="125" s="1"/>
  <c r="W18" i="125" a="1"/>
  <c r="W18" i="125" s="1"/>
  <c r="E36" i="125"/>
  <c r="W15" i="125" a="1"/>
  <c r="W15" i="125" s="1"/>
  <c r="D36" i="125"/>
  <c r="W34" i="125" a="1"/>
  <c r="W34" i="125" s="1"/>
  <c r="W32" i="125" s="1"/>
  <c r="W17" i="125" a="1"/>
  <c r="W17" i="125" s="1"/>
  <c r="G36" i="125"/>
  <c r="H36" i="125"/>
  <c r="H51" i="125"/>
  <c r="P78" i="125"/>
  <c r="U78" i="125" s="1"/>
  <c r="S78" i="125" s="1"/>
  <c r="W16" i="125" a="1"/>
  <c r="W16" i="125" s="1"/>
  <c r="W27" i="125" a="1"/>
  <c r="W27" i="125" s="1"/>
  <c r="G51" i="125"/>
  <c r="S73" i="125"/>
  <c r="G41" i="125"/>
  <c r="W24" i="125" a="1"/>
  <c r="W24" i="125" s="1"/>
  <c r="W20" i="125" a="1"/>
  <c r="W20" i="125" s="1"/>
  <c r="D41" i="125"/>
  <c r="W22" i="125" a="1"/>
  <c r="W22" i="125" s="1"/>
  <c r="W25" i="125" a="1"/>
  <c r="W25" i="125" s="1"/>
  <c r="H41" i="125"/>
  <c r="W26" i="125" a="1"/>
  <c r="W26" i="125" s="1"/>
  <c r="I41" i="125"/>
  <c r="S49" i="125"/>
  <c r="I51" i="125"/>
  <c r="E51" i="125"/>
  <c r="F51" i="125"/>
  <c r="W28" i="125" a="1"/>
  <c r="W28" i="125" s="1"/>
  <c r="W21" i="125" a="1"/>
  <c r="W21" i="125" s="1"/>
  <c r="W23" i="125" a="1"/>
  <c r="W23" i="125" s="1"/>
  <c r="E41" i="125"/>
  <c r="U63" i="125"/>
  <c r="S57" i="125"/>
  <c r="S63" i="125" s="1"/>
  <c r="D51" i="125"/>
  <c r="W30" i="125" a="1"/>
  <c r="W30" i="125" s="1"/>
  <c r="W31" i="125" a="1"/>
  <c r="W31" i="125" s="1"/>
  <c r="P82" i="125"/>
  <c r="U82" i="125" s="1"/>
  <c r="S82" i="125" s="1"/>
  <c r="P86" i="125"/>
  <c r="U86" i="125" s="1"/>
  <c r="S86" i="125" s="1"/>
  <c r="P81" i="125"/>
  <c r="U81" i="125" s="1"/>
  <c r="P84" i="125"/>
  <c r="U84" i="125" s="1"/>
  <c r="S84" i="125" s="1"/>
  <c r="P85" i="125"/>
  <c r="U85" i="125" s="1"/>
  <c r="S85" i="125" s="1"/>
  <c r="P83" i="125"/>
  <c r="U83" i="125" s="1"/>
  <c r="S83" i="125" s="1"/>
  <c r="Z88" i="125"/>
  <c r="N80" i="125"/>
  <c r="F41" i="125"/>
  <c r="I72" i="124"/>
  <c r="H72" i="124"/>
  <c r="W30" i="124" a="1"/>
  <c r="W30" i="124" s="1"/>
  <c r="W51" i="124" a="1"/>
  <c r="W51" i="124" s="1"/>
  <c r="W33" i="124" a="1"/>
  <c r="W33" i="124" s="1"/>
  <c r="F92" i="124"/>
  <c r="H83" i="124"/>
  <c r="G83" i="124"/>
  <c r="D92" i="124"/>
  <c r="I83" i="124"/>
  <c r="W47" i="124" a="1"/>
  <c r="W47" i="124" s="1"/>
  <c r="D72" i="124"/>
  <c r="W37" i="124" a="1"/>
  <c r="W37" i="124" s="1"/>
  <c r="F72" i="124"/>
  <c r="W34" i="124" a="1"/>
  <c r="W34" i="124" s="1"/>
  <c r="W35" i="124" a="1"/>
  <c r="W35" i="124" s="1"/>
  <c r="W31" i="124" a="1"/>
  <c r="W31" i="124" s="1"/>
  <c r="E72" i="124"/>
  <c r="W38" i="124" a="1"/>
  <c r="W38" i="124" s="1"/>
  <c r="W39" i="124" a="1"/>
  <c r="W39" i="124" s="1"/>
  <c r="I86" i="124"/>
  <c r="W45" i="124" a="1"/>
  <c r="W45" i="124" s="1"/>
  <c r="E68" i="124"/>
  <c r="H68" i="124"/>
  <c r="G95" i="124"/>
  <c r="G72" i="124"/>
  <c r="W36" i="124" a="1"/>
  <c r="W36" i="124" s="1"/>
  <c r="W32" i="124" a="1"/>
  <c r="W32" i="124" s="1"/>
  <c r="E95" i="124"/>
  <c r="W20" i="124" a="1"/>
  <c r="W20" i="124" s="1"/>
  <c r="Z117" i="124"/>
  <c r="P115" i="124"/>
  <c r="U115" i="124" s="1"/>
  <c r="S115" i="124" s="1"/>
  <c r="P111" i="124"/>
  <c r="U111" i="124" s="1"/>
  <c r="S111" i="124" s="1"/>
  <c r="N109" i="124"/>
  <c r="P114" i="124"/>
  <c r="U114" i="124" s="1"/>
  <c r="S114" i="124" s="1"/>
  <c r="P113" i="124"/>
  <c r="U113" i="124" s="1"/>
  <c r="S113" i="124" s="1"/>
  <c r="P110" i="124"/>
  <c r="U110" i="124" s="1"/>
  <c r="P112" i="124"/>
  <c r="U112" i="124" s="1"/>
  <c r="S112" i="124" s="1"/>
  <c r="D83" i="124"/>
  <c r="W41" i="124" a="1"/>
  <c r="W41" i="124" s="1"/>
  <c r="F86" i="124"/>
  <c r="W48" i="124" a="1"/>
  <c r="W48" i="124" s="1"/>
  <c r="W55" i="124" a="1"/>
  <c r="W55" i="124" s="1"/>
  <c r="W19" i="124" a="1"/>
  <c r="W19" i="124" s="1"/>
  <c r="P74" i="124"/>
  <c r="U74" i="124" s="1"/>
  <c r="S74" i="124" s="1"/>
  <c r="H57" i="124"/>
  <c r="W21" i="124" a="1"/>
  <c r="W21" i="124" s="1"/>
  <c r="P75" i="124"/>
  <c r="U75" i="124" s="1"/>
  <c r="S75" i="124" s="1"/>
  <c r="I57" i="124"/>
  <c r="W22" i="124" a="1"/>
  <c r="W22" i="124" s="1"/>
  <c r="W27" i="124" a="1"/>
  <c r="W27" i="124" s="1"/>
  <c r="W46" i="124" a="1"/>
  <c r="W46" i="124" s="1"/>
  <c r="F83" i="124"/>
  <c r="D86" i="124"/>
  <c r="W44" i="124" a="1"/>
  <c r="W44" i="124" s="1"/>
  <c r="D95" i="124"/>
  <c r="W53" i="124" a="1"/>
  <c r="W53" i="124" s="1"/>
  <c r="F95" i="124"/>
  <c r="P72" i="124"/>
  <c r="U72" i="124" s="1"/>
  <c r="S72" i="124" s="1"/>
  <c r="F57" i="124"/>
  <c r="W18" i="124" a="1"/>
  <c r="W18" i="124" s="1"/>
  <c r="P94" i="124"/>
  <c r="U94" i="124" s="1"/>
  <c r="W28" i="124" a="1"/>
  <c r="W28" i="124" s="1"/>
  <c r="D57" i="124"/>
  <c r="W15" i="124" a="1"/>
  <c r="W15" i="124" s="1"/>
  <c r="P70" i="124"/>
  <c r="U70" i="124" s="1"/>
  <c r="G57" i="124"/>
  <c r="P73" i="124"/>
  <c r="U73" i="124" s="1"/>
  <c r="S73" i="124" s="1"/>
  <c r="W17" i="124" a="1"/>
  <c r="W17" i="124" s="1"/>
  <c r="P86" i="124"/>
  <c r="U86" i="124" s="1"/>
  <c r="W26" i="124" a="1"/>
  <c r="W26" i="124" s="1"/>
  <c r="D68" i="124"/>
  <c r="U108" i="124"/>
  <c r="S102" i="124"/>
  <c r="S108" i="124" s="1"/>
  <c r="E83" i="124"/>
  <c r="W42" i="124" a="1"/>
  <c r="W42" i="124" s="1"/>
  <c r="E86" i="124"/>
  <c r="G86" i="124"/>
  <c r="H86" i="124"/>
  <c r="H95" i="124"/>
  <c r="I95" i="124"/>
  <c r="W54" i="124" a="1"/>
  <c r="W54" i="124" s="1"/>
  <c r="W23" i="124" a="1"/>
  <c r="W23" i="124" s="1"/>
  <c r="P71" i="124"/>
  <c r="U71" i="124" s="1"/>
  <c r="S71" i="124" s="1"/>
  <c r="E57" i="124"/>
  <c r="P78" i="124"/>
  <c r="U78" i="124" s="1"/>
  <c r="W16" i="124" a="1"/>
  <c r="W16" i="124" s="1"/>
  <c r="W24" i="124" a="1"/>
  <c r="W24" i="124" s="1"/>
  <c r="I68" i="124"/>
  <c r="F68" i="124"/>
  <c r="G68" i="124"/>
  <c r="W49" i="124" l="1"/>
  <c r="W25" i="124"/>
  <c r="H76" i="126"/>
  <c r="G76" i="126"/>
  <c r="W14" i="126"/>
  <c r="I76" i="126"/>
  <c r="W33" i="126"/>
  <c r="S58" i="126"/>
  <c r="S64" i="126" s="1"/>
  <c r="U64" i="126"/>
  <c r="U96" i="126"/>
  <c r="S90" i="126"/>
  <c r="S96" i="126" s="1"/>
  <c r="P101" i="126"/>
  <c r="U101" i="126" s="1"/>
  <c r="S101" i="126" s="1"/>
  <c r="P100" i="126"/>
  <c r="U100" i="126" s="1"/>
  <c r="S100" i="126" s="1"/>
  <c r="N97" i="126"/>
  <c r="Z105" i="126"/>
  <c r="P103" i="126"/>
  <c r="U103" i="126" s="1"/>
  <c r="S103" i="126" s="1"/>
  <c r="P99" i="126"/>
  <c r="U99" i="126" s="1"/>
  <c r="S99" i="126" s="1"/>
  <c r="P98" i="126"/>
  <c r="U98" i="126" s="1"/>
  <c r="P102" i="126"/>
  <c r="U102" i="126" s="1"/>
  <c r="S102" i="126" s="1"/>
  <c r="U80" i="126"/>
  <c r="S74" i="126"/>
  <c r="S80" i="126" s="1"/>
  <c r="U72" i="126"/>
  <c r="S66" i="126"/>
  <c r="S72" i="126" s="1"/>
  <c r="F76" i="126"/>
  <c r="S55" i="125"/>
  <c r="U55" i="125"/>
  <c r="W14" i="125"/>
  <c r="S79" i="125"/>
  <c r="U79" i="125"/>
  <c r="P89" i="125"/>
  <c r="U89" i="125" s="1"/>
  <c r="P93" i="125"/>
  <c r="U93" i="125" s="1"/>
  <c r="S93" i="125" s="1"/>
  <c r="P90" i="125"/>
  <c r="U90" i="125" s="1"/>
  <c r="S90" i="125" s="1"/>
  <c r="P94" i="125"/>
  <c r="U94" i="125" s="1"/>
  <c r="S94" i="125" s="1"/>
  <c r="P91" i="125"/>
  <c r="U91" i="125" s="1"/>
  <c r="S91" i="125" s="1"/>
  <c r="P92" i="125"/>
  <c r="U92" i="125" s="1"/>
  <c r="S92" i="125" s="1"/>
  <c r="N88" i="125"/>
  <c r="Z96" i="125"/>
  <c r="S81" i="125"/>
  <c r="S87" i="125" s="1"/>
  <c r="U87" i="125"/>
  <c r="W29" i="125"/>
  <c r="W19" i="125"/>
  <c r="W29" i="124"/>
  <c r="W52" i="124"/>
  <c r="U116" i="124"/>
  <c r="S110" i="124"/>
  <c r="S116" i="124" s="1"/>
  <c r="W43" i="124"/>
  <c r="W40" i="124"/>
  <c r="S78" i="124"/>
  <c r="S84" i="124" s="1"/>
  <c r="U84" i="124"/>
  <c r="S86" i="124"/>
  <c r="S92" i="124" s="1"/>
  <c r="U92" i="124"/>
  <c r="S70" i="124"/>
  <c r="S76" i="124" s="1"/>
  <c r="U76" i="124"/>
  <c r="U100" i="124"/>
  <c r="S94" i="124"/>
  <c r="S100" i="124" s="1"/>
  <c r="P122" i="124"/>
  <c r="U122" i="124" s="1"/>
  <c r="S122" i="124" s="1"/>
  <c r="P118" i="124"/>
  <c r="U118" i="124" s="1"/>
  <c r="P121" i="124"/>
  <c r="U121" i="124" s="1"/>
  <c r="S121" i="124" s="1"/>
  <c r="Z125" i="124"/>
  <c r="N117" i="124"/>
  <c r="P123" i="124"/>
  <c r="U123" i="124" s="1"/>
  <c r="S123" i="124" s="1"/>
  <c r="P119" i="124"/>
  <c r="U119" i="124" s="1"/>
  <c r="S119" i="124" s="1"/>
  <c r="P120" i="124"/>
  <c r="U120" i="124" s="1"/>
  <c r="S120" i="124" s="1"/>
  <c r="W14" i="124"/>
  <c r="W13" i="126" l="1"/>
  <c r="W50" i="126" s="1"/>
  <c r="Z113" i="126"/>
  <c r="P111" i="126"/>
  <c r="U111" i="126" s="1"/>
  <c r="S111" i="126" s="1"/>
  <c r="P107" i="126"/>
  <c r="U107" i="126" s="1"/>
  <c r="S107" i="126" s="1"/>
  <c r="P110" i="126"/>
  <c r="U110" i="126" s="1"/>
  <c r="S110" i="126" s="1"/>
  <c r="P106" i="126"/>
  <c r="U106" i="126" s="1"/>
  <c r="P109" i="126"/>
  <c r="U109" i="126" s="1"/>
  <c r="S109" i="126" s="1"/>
  <c r="P108" i="126"/>
  <c r="U108" i="126" s="1"/>
  <c r="S108" i="126" s="1"/>
  <c r="N105" i="126"/>
  <c r="U104" i="126"/>
  <c r="S98" i="126"/>
  <c r="S104" i="126" s="1"/>
  <c r="W13" i="125"/>
  <c r="W12" i="125" s="1"/>
  <c r="N96" i="125"/>
  <c r="P99" i="125"/>
  <c r="U99" i="125" s="1"/>
  <c r="S99" i="125" s="1"/>
  <c r="P97" i="125"/>
  <c r="U97" i="125" s="1"/>
  <c r="P98" i="125"/>
  <c r="U98" i="125" s="1"/>
  <c r="S98" i="125" s="1"/>
  <c r="P101" i="125"/>
  <c r="U101" i="125" s="1"/>
  <c r="S101" i="125" s="1"/>
  <c r="P102" i="125"/>
  <c r="U102" i="125" s="1"/>
  <c r="S102" i="125" s="1"/>
  <c r="P100" i="125"/>
  <c r="U100" i="125" s="1"/>
  <c r="S100" i="125" s="1"/>
  <c r="Z104" i="125"/>
  <c r="S89" i="125"/>
  <c r="S95" i="125" s="1"/>
  <c r="U95" i="125"/>
  <c r="W13" i="124"/>
  <c r="W62" i="124" s="1"/>
  <c r="W63" i="124" s="1"/>
  <c r="P128" i="124"/>
  <c r="U128" i="124" s="1"/>
  <c r="S128" i="124" s="1"/>
  <c r="N125" i="124"/>
  <c r="P131" i="124"/>
  <c r="U131" i="124" s="1"/>
  <c r="S131" i="124" s="1"/>
  <c r="P127" i="124"/>
  <c r="U127" i="124" s="1"/>
  <c r="S127" i="124" s="1"/>
  <c r="P130" i="124"/>
  <c r="U130" i="124" s="1"/>
  <c r="S130" i="124" s="1"/>
  <c r="P129" i="124"/>
  <c r="U129" i="124" s="1"/>
  <c r="S129" i="124" s="1"/>
  <c r="P126" i="124"/>
  <c r="U126" i="124" s="1"/>
  <c r="Z133" i="124"/>
  <c r="U124" i="124"/>
  <c r="S118" i="124"/>
  <c r="S124" i="124" s="1"/>
  <c r="W51" i="126" l="1"/>
  <c r="W49" i="126" s="1"/>
  <c r="W12" i="126"/>
  <c r="U112" i="126"/>
  <c r="S106" i="126"/>
  <c r="S112" i="126" s="1"/>
  <c r="P117" i="126"/>
  <c r="U117" i="126" s="1"/>
  <c r="S117" i="126" s="1"/>
  <c r="P116" i="126"/>
  <c r="U116" i="126" s="1"/>
  <c r="S116" i="126" s="1"/>
  <c r="N113" i="126"/>
  <c r="Z121" i="126"/>
  <c r="P119" i="126"/>
  <c r="U119" i="126" s="1"/>
  <c r="S119" i="126" s="1"/>
  <c r="P115" i="126"/>
  <c r="U115" i="126" s="1"/>
  <c r="S115" i="126" s="1"/>
  <c r="P118" i="126"/>
  <c r="U118" i="126" s="1"/>
  <c r="S118" i="126" s="1"/>
  <c r="P114" i="126"/>
  <c r="U114" i="126" s="1"/>
  <c r="W41" i="125"/>
  <c r="W42" i="125" s="1"/>
  <c r="S97" i="125"/>
  <c r="S103" i="125" s="1"/>
  <c r="U103" i="125"/>
  <c r="P105" i="125"/>
  <c r="U105" i="125" s="1"/>
  <c r="P109" i="125"/>
  <c r="U109" i="125" s="1"/>
  <c r="S109" i="125" s="1"/>
  <c r="N104" i="125"/>
  <c r="Z112" i="125"/>
  <c r="P108" i="125"/>
  <c r="U108" i="125" s="1"/>
  <c r="S108" i="125" s="1"/>
  <c r="P106" i="125"/>
  <c r="U106" i="125" s="1"/>
  <c r="S106" i="125" s="1"/>
  <c r="P107" i="125"/>
  <c r="U107" i="125" s="1"/>
  <c r="S107" i="125" s="1"/>
  <c r="P110" i="125"/>
  <c r="U110" i="125" s="1"/>
  <c r="S110" i="125" s="1"/>
  <c r="W12" i="124"/>
  <c r="Z141" i="124"/>
  <c r="P139" i="124"/>
  <c r="U139" i="124" s="1"/>
  <c r="S139" i="124" s="1"/>
  <c r="P135" i="124"/>
  <c r="U135" i="124" s="1"/>
  <c r="S135" i="124" s="1"/>
  <c r="P138" i="124"/>
  <c r="U138" i="124" s="1"/>
  <c r="S138" i="124" s="1"/>
  <c r="P137" i="124"/>
  <c r="U137" i="124" s="1"/>
  <c r="S137" i="124" s="1"/>
  <c r="P134" i="124"/>
  <c r="U134" i="124" s="1"/>
  <c r="N133" i="124"/>
  <c r="P136" i="124"/>
  <c r="U136" i="124" s="1"/>
  <c r="S136" i="124" s="1"/>
  <c r="U132" i="124"/>
  <c r="S126" i="124"/>
  <c r="S132" i="124" s="1"/>
  <c r="W61" i="124"/>
  <c r="W11" i="126" l="1"/>
  <c r="U120" i="126"/>
  <c r="S114" i="126"/>
  <c r="S120" i="126" s="1"/>
  <c r="Z129" i="126"/>
  <c r="P127" i="126"/>
  <c r="U127" i="126" s="1"/>
  <c r="S127" i="126" s="1"/>
  <c r="P123" i="126"/>
  <c r="U123" i="126" s="1"/>
  <c r="S123" i="126" s="1"/>
  <c r="P126" i="126"/>
  <c r="U126" i="126" s="1"/>
  <c r="S126" i="126" s="1"/>
  <c r="P122" i="126"/>
  <c r="U122" i="126" s="1"/>
  <c r="P125" i="126"/>
  <c r="U125" i="126" s="1"/>
  <c r="S125" i="126" s="1"/>
  <c r="P124" i="126"/>
  <c r="U124" i="126" s="1"/>
  <c r="S124" i="126" s="1"/>
  <c r="N121" i="126"/>
  <c r="W40" i="125"/>
  <c r="W11" i="125" s="1"/>
  <c r="S105" i="125"/>
  <c r="S111" i="125" s="1"/>
  <c r="U111" i="125"/>
  <c r="N112" i="125"/>
  <c r="P115" i="125"/>
  <c r="U115" i="125" s="1"/>
  <c r="S115" i="125" s="1"/>
  <c r="Z120" i="125"/>
  <c r="P116" i="125"/>
  <c r="U116" i="125" s="1"/>
  <c r="S116" i="125" s="1"/>
  <c r="P114" i="125"/>
  <c r="U114" i="125" s="1"/>
  <c r="S114" i="125" s="1"/>
  <c r="P118" i="125"/>
  <c r="U118" i="125" s="1"/>
  <c r="S118" i="125" s="1"/>
  <c r="P113" i="125"/>
  <c r="U113" i="125" s="1"/>
  <c r="P117" i="125"/>
  <c r="U117" i="125" s="1"/>
  <c r="S117" i="125" s="1"/>
  <c r="W11" i="124"/>
  <c r="S134" i="124"/>
  <c r="S140" i="124" s="1"/>
  <c r="U140" i="124"/>
  <c r="P145" i="124"/>
  <c r="U145" i="124" s="1"/>
  <c r="S145" i="124" s="1"/>
  <c r="Z149" i="124"/>
  <c r="N141" i="124"/>
  <c r="P147" i="124"/>
  <c r="U147" i="124" s="1"/>
  <c r="S147" i="124" s="1"/>
  <c r="P146" i="124"/>
  <c r="U146" i="124" s="1"/>
  <c r="S146" i="124" s="1"/>
  <c r="P143" i="124"/>
  <c r="U143" i="124" s="1"/>
  <c r="S143" i="124" s="1"/>
  <c r="P142" i="124"/>
  <c r="U142" i="124" s="1"/>
  <c r="P144" i="124"/>
  <c r="U144" i="124" s="1"/>
  <c r="S144" i="124" s="1"/>
  <c r="U128" i="126" l="1"/>
  <c r="S122" i="126"/>
  <c r="S128" i="126" s="1"/>
  <c r="P133" i="126"/>
  <c r="U133" i="126" s="1"/>
  <c r="S133" i="126" s="1"/>
  <c r="P132" i="126"/>
  <c r="U132" i="126" s="1"/>
  <c r="S132" i="126" s="1"/>
  <c r="N129" i="126"/>
  <c r="Z137" i="126"/>
  <c r="P135" i="126"/>
  <c r="U135" i="126" s="1"/>
  <c r="S135" i="126" s="1"/>
  <c r="P131" i="126"/>
  <c r="U131" i="126" s="1"/>
  <c r="S131" i="126" s="1"/>
  <c r="P134" i="126"/>
  <c r="U134" i="126" s="1"/>
  <c r="S134" i="126" s="1"/>
  <c r="P130" i="126"/>
  <c r="U130" i="126" s="1"/>
  <c r="S113" i="125"/>
  <c r="S119" i="125" s="1"/>
  <c r="U119" i="125"/>
  <c r="P121" i="125"/>
  <c r="U121" i="125" s="1"/>
  <c r="P122" i="125"/>
  <c r="U122" i="125" s="1"/>
  <c r="S122" i="125" s="1"/>
  <c r="P123" i="125"/>
  <c r="U123" i="125" s="1"/>
  <c r="S123" i="125" s="1"/>
  <c r="P124" i="125"/>
  <c r="U124" i="125" s="1"/>
  <c r="S124" i="125" s="1"/>
  <c r="P125" i="125"/>
  <c r="U125" i="125" s="1"/>
  <c r="S125" i="125" s="1"/>
  <c r="Z128" i="125"/>
  <c r="N120" i="125"/>
  <c r="P126" i="125"/>
  <c r="U126" i="125" s="1"/>
  <c r="S126" i="125" s="1"/>
  <c r="Z157" i="124"/>
  <c r="P155" i="124"/>
  <c r="U155" i="124" s="1"/>
  <c r="S155" i="124" s="1"/>
  <c r="P151" i="124"/>
  <c r="U151" i="124" s="1"/>
  <c r="S151" i="124" s="1"/>
  <c r="P152" i="124"/>
  <c r="U152" i="124" s="1"/>
  <c r="S152" i="124" s="1"/>
  <c r="N149" i="124"/>
  <c r="P153" i="124"/>
  <c r="U153" i="124" s="1"/>
  <c r="S153" i="124" s="1"/>
  <c r="P154" i="124"/>
  <c r="U154" i="124" s="1"/>
  <c r="S154" i="124" s="1"/>
  <c r="P150" i="124"/>
  <c r="U150" i="124" s="1"/>
  <c r="U148" i="124"/>
  <c r="S142" i="124"/>
  <c r="S148" i="124" s="1"/>
  <c r="U136" i="126" l="1"/>
  <c r="S130" i="126"/>
  <c r="S136" i="126" s="1"/>
  <c r="Z145" i="126"/>
  <c r="P143" i="126"/>
  <c r="U143" i="126" s="1"/>
  <c r="S143" i="126" s="1"/>
  <c r="P139" i="126"/>
  <c r="U139" i="126" s="1"/>
  <c r="S139" i="126" s="1"/>
  <c r="P142" i="126"/>
  <c r="U142" i="126" s="1"/>
  <c r="S142" i="126" s="1"/>
  <c r="P138" i="126"/>
  <c r="U138" i="126" s="1"/>
  <c r="P141" i="126"/>
  <c r="U141" i="126" s="1"/>
  <c r="S141" i="126" s="1"/>
  <c r="N137" i="126"/>
  <c r="P140" i="126"/>
  <c r="U140" i="126" s="1"/>
  <c r="S140" i="126" s="1"/>
  <c r="P130" i="125"/>
  <c r="U130" i="125" s="1"/>
  <c r="S130" i="125" s="1"/>
  <c r="P134" i="125"/>
  <c r="U134" i="125" s="1"/>
  <c r="S134" i="125" s="1"/>
  <c r="Z136" i="125"/>
  <c r="N128" i="125"/>
  <c r="P131" i="125"/>
  <c r="U131" i="125" s="1"/>
  <c r="S131" i="125" s="1"/>
  <c r="P129" i="125"/>
  <c r="U129" i="125" s="1"/>
  <c r="P132" i="125"/>
  <c r="U132" i="125" s="1"/>
  <c r="S132" i="125" s="1"/>
  <c r="P133" i="125"/>
  <c r="U133" i="125" s="1"/>
  <c r="S133" i="125" s="1"/>
  <c r="U127" i="125"/>
  <c r="S121" i="125"/>
  <c r="S127" i="125" s="1"/>
  <c r="S150" i="124"/>
  <c r="S156" i="124" s="1"/>
  <c r="U156" i="124"/>
  <c r="P161" i="124"/>
  <c r="U161" i="124" s="1"/>
  <c r="S161" i="124" s="1"/>
  <c r="P163" i="124"/>
  <c r="U163" i="124" s="1"/>
  <c r="S163" i="124" s="1"/>
  <c r="P160" i="124"/>
  <c r="U160" i="124" s="1"/>
  <c r="S160" i="124" s="1"/>
  <c r="P159" i="124"/>
  <c r="U159" i="124" s="1"/>
  <c r="S159" i="124" s="1"/>
  <c r="P162" i="124"/>
  <c r="U162" i="124" s="1"/>
  <c r="S162" i="124" s="1"/>
  <c r="P158" i="124"/>
  <c r="U158" i="124" s="1"/>
  <c r="Z165" i="124"/>
  <c r="N157" i="124"/>
  <c r="U144" i="126" l="1"/>
  <c r="S138" i="126"/>
  <c r="S144" i="126" s="1"/>
  <c r="Z153" i="126"/>
  <c r="P149" i="126"/>
  <c r="U149" i="126" s="1"/>
  <c r="S149" i="126" s="1"/>
  <c r="P148" i="126"/>
  <c r="U148" i="126" s="1"/>
  <c r="S148" i="126" s="1"/>
  <c r="N145" i="126"/>
  <c r="P151" i="126"/>
  <c r="U151" i="126" s="1"/>
  <c r="S151" i="126" s="1"/>
  <c r="P147" i="126"/>
  <c r="U147" i="126" s="1"/>
  <c r="S147" i="126" s="1"/>
  <c r="P150" i="126"/>
  <c r="U150" i="126" s="1"/>
  <c r="S150" i="126" s="1"/>
  <c r="P146" i="126"/>
  <c r="U146" i="126" s="1"/>
  <c r="P140" i="125"/>
  <c r="U140" i="125" s="1"/>
  <c r="S140" i="125" s="1"/>
  <c r="P137" i="125"/>
  <c r="U137" i="125" s="1"/>
  <c r="P141" i="125"/>
  <c r="U141" i="125" s="1"/>
  <c r="S141" i="125" s="1"/>
  <c r="Z144" i="125"/>
  <c r="N136" i="125"/>
  <c r="P138" i="125"/>
  <c r="U138" i="125" s="1"/>
  <c r="S138" i="125" s="1"/>
  <c r="P139" i="125"/>
  <c r="U139" i="125" s="1"/>
  <c r="S139" i="125" s="1"/>
  <c r="P142" i="125"/>
  <c r="U142" i="125" s="1"/>
  <c r="S142" i="125" s="1"/>
  <c r="S129" i="125"/>
  <c r="S135" i="125" s="1"/>
  <c r="U135" i="125"/>
  <c r="U164" i="124"/>
  <c r="S158" i="124"/>
  <c r="S164" i="124" s="1"/>
  <c r="Z173" i="124"/>
  <c r="P171" i="124"/>
  <c r="U171" i="124" s="1"/>
  <c r="S171" i="124" s="1"/>
  <c r="P167" i="124"/>
  <c r="U167" i="124" s="1"/>
  <c r="S167" i="124" s="1"/>
  <c r="P170" i="124"/>
  <c r="U170" i="124" s="1"/>
  <c r="S170" i="124" s="1"/>
  <c r="P169" i="124"/>
  <c r="U169" i="124" s="1"/>
  <c r="S169" i="124" s="1"/>
  <c r="P166" i="124"/>
  <c r="U166" i="124" s="1"/>
  <c r="P168" i="124"/>
  <c r="U168" i="124" s="1"/>
  <c r="S168" i="124" s="1"/>
  <c r="N165" i="124"/>
  <c r="Z161" i="126" l="1"/>
  <c r="P159" i="126"/>
  <c r="U159" i="126" s="1"/>
  <c r="S159" i="126" s="1"/>
  <c r="P155" i="126"/>
  <c r="U155" i="126" s="1"/>
  <c r="S155" i="126" s="1"/>
  <c r="P158" i="126"/>
  <c r="U158" i="126" s="1"/>
  <c r="S158" i="126" s="1"/>
  <c r="P154" i="126"/>
  <c r="U154" i="126" s="1"/>
  <c r="P157" i="126"/>
  <c r="U157" i="126" s="1"/>
  <c r="S157" i="126" s="1"/>
  <c r="P156" i="126"/>
  <c r="U156" i="126" s="1"/>
  <c r="S156" i="126" s="1"/>
  <c r="N153" i="126"/>
  <c r="U152" i="126"/>
  <c r="S146" i="126"/>
  <c r="S152" i="126" s="1"/>
  <c r="P146" i="125"/>
  <c r="U146" i="125" s="1"/>
  <c r="S146" i="125" s="1"/>
  <c r="P150" i="125"/>
  <c r="U150" i="125" s="1"/>
  <c r="S150" i="125" s="1"/>
  <c r="Z152" i="125"/>
  <c r="N144" i="125"/>
  <c r="P147" i="125"/>
  <c r="U147" i="125" s="1"/>
  <c r="S147" i="125" s="1"/>
  <c r="P145" i="125"/>
  <c r="U145" i="125" s="1"/>
  <c r="P148" i="125"/>
  <c r="U148" i="125" s="1"/>
  <c r="S148" i="125" s="1"/>
  <c r="P149" i="125"/>
  <c r="U149" i="125" s="1"/>
  <c r="S149" i="125" s="1"/>
  <c r="U143" i="125"/>
  <c r="S137" i="125"/>
  <c r="S143" i="125" s="1"/>
  <c r="S166" i="124"/>
  <c r="S172" i="124" s="1"/>
  <c r="U172" i="124"/>
  <c r="P177" i="124"/>
  <c r="U177" i="124" s="1"/>
  <c r="S177" i="124" s="1"/>
  <c r="Z181" i="124"/>
  <c r="N173" i="124"/>
  <c r="P179" i="124"/>
  <c r="U179" i="124" s="1"/>
  <c r="S179" i="124" s="1"/>
  <c r="P178" i="124"/>
  <c r="U178" i="124" s="1"/>
  <c r="S178" i="124" s="1"/>
  <c r="P175" i="124"/>
  <c r="U175" i="124" s="1"/>
  <c r="S175" i="124" s="1"/>
  <c r="P174" i="124"/>
  <c r="U174" i="124" s="1"/>
  <c r="P176" i="124"/>
  <c r="U176" i="124" s="1"/>
  <c r="S176" i="124" s="1"/>
  <c r="U160" i="126" l="1"/>
  <c r="S154" i="126"/>
  <c r="S160" i="126" s="1"/>
  <c r="P165" i="126"/>
  <c r="U165" i="126" s="1"/>
  <c r="S165" i="126" s="1"/>
  <c r="P164" i="126"/>
  <c r="U164" i="126" s="1"/>
  <c r="S164" i="126" s="1"/>
  <c r="N161" i="126"/>
  <c r="Z169" i="126"/>
  <c r="P167" i="126"/>
  <c r="U167" i="126" s="1"/>
  <c r="S167" i="126" s="1"/>
  <c r="P163" i="126"/>
  <c r="U163" i="126" s="1"/>
  <c r="S163" i="126" s="1"/>
  <c r="P166" i="126"/>
  <c r="U166" i="126" s="1"/>
  <c r="S166" i="126" s="1"/>
  <c r="P162" i="126"/>
  <c r="U162" i="126" s="1"/>
  <c r="P156" i="125"/>
  <c r="U156" i="125" s="1"/>
  <c r="S156" i="125" s="1"/>
  <c r="N152" i="125"/>
  <c r="Z160" i="125"/>
  <c r="P153" i="125"/>
  <c r="U153" i="125" s="1"/>
  <c r="P157" i="125"/>
  <c r="U157" i="125" s="1"/>
  <c r="S157" i="125" s="1"/>
  <c r="P154" i="125"/>
  <c r="U154" i="125" s="1"/>
  <c r="S154" i="125" s="1"/>
  <c r="P155" i="125"/>
  <c r="U155" i="125" s="1"/>
  <c r="S155" i="125" s="1"/>
  <c r="P158" i="125"/>
  <c r="U158" i="125" s="1"/>
  <c r="S158" i="125" s="1"/>
  <c r="S145" i="125"/>
  <c r="S151" i="125" s="1"/>
  <c r="U151" i="125"/>
  <c r="Z189" i="124"/>
  <c r="P187" i="124"/>
  <c r="U187" i="124" s="1"/>
  <c r="S187" i="124" s="1"/>
  <c r="P183" i="124"/>
  <c r="U183" i="124" s="1"/>
  <c r="S183" i="124" s="1"/>
  <c r="P184" i="124"/>
  <c r="U184" i="124" s="1"/>
  <c r="S184" i="124" s="1"/>
  <c r="N181" i="124"/>
  <c r="P186" i="124"/>
  <c r="U186" i="124" s="1"/>
  <c r="S186" i="124" s="1"/>
  <c r="P182" i="124"/>
  <c r="U182" i="124" s="1"/>
  <c r="P185" i="124"/>
  <c r="U185" i="124" s="1"/>
  <c r="S185" i="124" s="1"/>
  <c r="U180" i="124"/>
  <c r="S174" i="124"/>
  <c r="S180" i="124" s="1"/>
  <c r="U168" i="126" l="1"/>
  <c r="S162" i="126"/>
  <c r="S168" i="126" s="1"/>
  <c r="Z177" i="126"/>
  <c r="P175" i="126"/>
  <c r="U175" i="126" s="1"/>
  <c r="S175" i="126" s="1"/>
  <c r="P171" i="126"/>
  <c r="U171" i="126" s="1"/>
  <c r="S171" i="126" s="1"/>
  <c r="P174" i="126"/>
  <c r="U174" i="126" s="1"/>
  <c r="S174" i="126" s="1"/>
  <c r="P170" i="126"/>
  <c r="U170" i="126" s="1"/>
  <c r="P173" i="126"/>
  <c r="U173" i="126" s="1"/>
  <c r="S173" i="126" s="1"/>
  <c r="P172" i="126"/>
  <c r="U172" i="126" s="1"/>
  <c r="S172" i="126" s="1"/>
  <c r="N169" i="126"/>
  <c r="P162" i="125"/>
  <c r="U162" i="125" s="1"/>
  <c r="S162" i="125" s="1"/>
  <c r="P166" i="125"/>
  <c r="U166" i="125" s="1"/>
  <c r="S166" i="125" s="1"/>
  <c r="Z168" i="125"/>
  <c r="P163" i="125"/>
  <c r="U163" i="125" s="1"/>
  <c r="S163" i="125" s="1"/>
  <c r="N160" i="125"/>
  <c r="P161" i="125"/>
  <c r="U161" i="125" s="1"/>
  <c r="P164" i="125"/>
  <c r="U164" i="125" s="1"/>
  <c r="S164" i="125" s="1"/>
  <c r="P165" i="125"/>
  <c r="U165" i="125" s="1"/>
  <c r="S165" i="125" s="1"/>
  <c r="U159" i="125"/>
  <c r="S153" i="125"/>
  <c r="S159" i="125" s="1"/>
  <c r="U188" i="124"/>
  <c r="S182" i="124"/>
  <c r="S188" i="124" s="1"/>
  <c r="P193" i="124"/>
  <c r="U193" i="124" s="1"/>
  <c r="S193" i="124" s="1"/>
  <c r="P195" i="124"/>
  <c r="U195" i="124" s="1"/>
  <c r="S195" i="124" s="1"/>
  <c r="P192" i="124"/>
  <c r="U192" i="124" s="1"/>
  <c r="S192" i="124" s="1"/>
  <c r="P191" i="124"/>
  <c r="U191" i="124" s="1"/>
  <c r="S191" i="124" s="1"/>
  <c r="P194" i="124"/>
  <c r="U194" i="124" s="1"/>
  <c r="S194" i="124" s="1"/>
  <c r="P190" i="124"/>
  <c r="U190" i="124" s="1"/>
  <c r="Z197" i="124"/>
  <c r="N189" i="124"/>
  <c r="U176" i="126" l="1"/>
  <c r="S170" i="126"/>
  <c r="S176" i="126" s="1"/>
  <c r="P181" i="126"/>
  <c r="U181" i="126" s="1"/>
  <c r="S181" i="126" s="1"/>
  <c r="P180" i="126"/>
  <c r="U180" i="126" s="1"/>
  <c r="S180" i="126" s="1"/>
  <c r="N177" i="126"/>
  <c r="Z185" i="126"/>
  <c r="P183" i="126"/>
  <c r="U183" i="126" s="1"/>
  <c r="S183" i="126" s="1"/>
  <c r="P179" i="126"/>
  <c r="U179" i="126" s="1"/>
  <c r="S179" i="126" s="1"/>
  <c r="P182" i="126"/>
  <c r="U182" i="126" s="1"/>
  <c r="S182" i="126" s="1"/>
  <c r="P178" i="126"/>
  <c r="U178" i="126" s="1"/>
  <c r="P172" i="125"/>
  <c r="U172" i="125" s="1"/>
  <c r="S172" i="125" s="1"/>
  <c r="P170" i="125"/>
  <c r="U170" i="125" s="1"/>
  <c r="S170" i="125" s="1"/>
  <c r="P171" i="125"/>
  <c r="U171" i="125" s="1"/>
  <c r="S171" i="125" s="1"/>
  <c r="P174" i="125"/>
  <c r="U174" i="125" s="1"/>
  <c r="S174" i="125" s="1"/>
  <c r="P173" i="125"/>
  <c r="U173" i="125" s="1"/>
  <c r="S173" i="125" s="1"/>
  <c r="N168" i="125"/>
  <c r="Z176" i="125"/>
  <c r="P169" i="125"/>
  <c r="U169" i="125" s="1"/>
  <c r="U167" i="125"/>
  <c r="S161" i="125"/>
  <c r="S167" i="125" s="1"/>
  <c r="U196" i="124"/>
  <c r="S190" i="124"/>
  <c r="S196" i="124" s="1"/>
  <c r="Z205" i="124"/>
  <c r="P203" i="124"/>
  <c r="U203" i="124" s="1"/>
  <c r="S203" i="124" s="1"/>
  <c r="P199" i="124"/>
  <c r="U199" i="124" s="1"/>
  <c r="S199" i="124" s="1"/>
  <c r="P202" i="124"/>
  <c r="U202" i="124" s="1"/>
  <c r="S202" i="124" s="1"/>
  <c r="P201" i="124"/>
  <c r="U201" i="124" s="1"/>
  <c r="S201" i="124" s="1"/>
  <c r="P198" i="124"/>
  <c r="U198" i="124" s="1"/>
  <c r="P200" i="124"/>
  <c r="U200" i="124" s="1"/>
  <c r="S200" i="124" s="1"/>
  <c r="N197" i="124"/>
  <c r="U184" i="126" l="1"/>
  <c r="S178" i="126"/>
  <c r="S184" i="126" s="1"/>
  <c r="Z193" i="126"/>
  <c r="P191" i="126"/>
  <c r="U191" i="126" s="1"/>
  <c r="S191" i="126" s="1"/>
  <c r="P187" i="126"/>
  <c r="U187" i="126" s="1"/>
  <c r="S187" i="126" s="1"/>
  <c r="P190" i="126"/>
  <c r="U190" i="126" s="1"/>
  <c r="S190" i="126" s="1"/>
  <c r="P186" i="126"/>
  <c r="U186" i="126" s="1"/>
  <c r="P189" i="126"/>
  <c r="U189" i="126" s="1"/>
  <c r="S189" i="126" s="1"/>
  <c r="N185" i="126"/>
  <c r="P188" i="126"/>
  <c r="U188" i="126" s="1"/>
  <c r="S188" i="126" s="1"/>
  <c r="P178" i="125"/>
  <c r="U178" i="125" s="1"/>
  <c r="S178" i="125" s="1"/>
  <c r="P182" i="125"/>
  <c r="U182" i="125" s="1"/>
  <c r="S182" i="125" s="1"/>
  <c r="N176" i="125"/>
  <c r="P181" i="125"/>
  <c r="U181" i="125" s="1"/>
  <c r="S181" i="125" s="1"/>
  <c r="P179" i="125"/>
  <c r="U179" i="125" s="1"/>
  <c r="S179" i="125" s="1"/>
  <c r="P177" i="125"/>
  <c r="U177" i="125" s="1"/>
  <c r="P180" i="125"/>
  <c r="U180" i="125" s="1"/>
  <c r="S180" i="125" s="1"/>
  <c r="U175" i="125"/>
  <c r="S169" i="125"/>
  <c r="S175" i="125" s="1"/>
  <c r="S198" i="124"/>
  <c r="S204" i="124" s="1"/>
  <c r="U204" i="124"/>
  <c r="P209" i="124"/>
  <c r="U209" i="124" s="1"/>
  <c r="S209" i="124" s="1"/>
  <c r="Z213" i="124"/>
  <c r="N205" i="124"/>
  <c r="P208" i="124"/>
  <c r="U208" i="124" s="1"/>
  <c r="S208" i="124" s="1"/>
  <c r="P210" i="124"/>
  <c r="U210" i="124" s="1"/>
  <c r="S210" i="124" s="1"/>
  <c r="P206" i="124"/>
  <c r="U206" i="124" s="1"/>
  <c r="P211" i="124"/>
  <c r="U211" i="124" s="1"/>
  <c r="S211" i="124" s="1"/>
  <c r="P207" i="124"/>
  <c r="U207" i="124" s="1"/>
  <c r="S207" i="124" s="1"/>
  <c r="U192" i="126" l="1"/>
  <c r="S186" i="126"/>
  <c r="S192" i="126" s="1"/>
  <c r="P197" i="126"/>
  <c r="U197" i="126" s="1"/>
  <c r="S197" i="126" s="1"/>
  <c r="P196" i="126"/>
  <c r="U196" i="126" s="1"/>
  <c r="S196" i="126" s="1"/>
  <c r="N193" i="126"/>
  <c r="Z201" i="126"/>
  <c r="P199" i="126"/>
  <c r="U199" i="126" s="1"/>
  <c r="S199" i="126" s="1"/>
  <c r="P195" i="126"/>
  <c r="U195" i="126" s="1"/>
  <c r="S195" i="126" s="1"/>
  <c r="P198" i="126"/>
  <c r="U198" i="126" s="1"/>
  <c r="S198" i="126" s="1"/>
  <c r="P194" i="126"/>
  <c r="U194" i="126" s="1"/>
  <c r="S177" i="125"/>
  <c r="S183" i="125" s="1"/>
  <c r="U183" i="125"/>
  <c r="U212" i="124"/>
  <c r="S206" i="124"/>
  <c r="S212" i="124" s="1"/>
  <c r="Z221" i="124"/>
  <c r="P219" i="124"/>
  <c r="U219" i="124" s="1"/>
  <c r="S219" i="124" s="1"/>
  <c r="P215" i="124"/>
  <c r="U215" i="124" s="1"/>
  <c r="S215" i="124" s="1"/>
  <c r="P216" i="124"/>
  <c r="U216" i="124" s="1"/>
  <c r="S216" i="124" s="1"/>
  <c r="N213" i="124"/>
  <c r="P217" i="124"/>
  <c r="U217" i="124" s="1"/>
  <c r="S217" i="124" s="1"/>
  <c r="P218" i="124"/>
  <c r="U218" i="124" s="1"/>
  <c r="S218" i="124" s="1"/>
  <c r="P214" i="124"/>
  <c r="U214" i="124" s="1"/>
  <c r="U200" i="126" l="1"/>
  <c r="S194" i="126"/>
  <c r="S200" i="126" s="1"/>
  <c r="Z209" i="126"/>
  <c r="P207" i="126"/>
  <c r="U207" i="126" s="1"/>
  <c r="S207" i="126" s="1"/>
  <c r="P203" i="126"/>
  <c r="U203" i="126" s="1"/>
  <c r="S203" i="126" s="1"/>
  <c r="P206" i="126"/>
  <c r="U206" i="126" s="1"/>
  <c r="S206" i="126" s="1"/>
  <c r="P202" i="126"/>
  <c r="U202" i="126" s="1"/>
  <c r="P205" i="126"/>
  <c r="U205" i="126" s="1"/>
  <c r="S205" i="126" s="1"/>
  <c r="P204" i="126"/>
  <c r="U204" i="126" s="1"/>
  <c r="S204" i="126" s="1"/>
  <c r="N201" i="126"/>
  <c r="P225" i="124"/>
  <c r="U225" i="124" s="1"/>
  <c r="S225" i="124" s="1"/>
  <c r="P227" i="124"/>
  <c r="U227" i="124" s="1"/>
  <c r="S227" i="124" s="1"/>
  <c r="P224" i="124"/>
  <c r="U224" i="124" s="1"/>
  <c r="S224" i="124" s="1"/>
  <c r="P223" i="124"/>
  <c r="U223" i="124" s="1"/>
  <c r="S223" i="124" s="1"/>
  <c r="P226" i="124"/>
  <c r="U226" i="124" s="1"/>
  <c r="S226" i="124" s="1"/>
  <c r="P222" i="124"/>
  <c r="U222" i="124" s="1"/>
  <c r="Z229" i="124"/>
  <c r="N221" i="124"/>
  <c r="U220" i="124"/>
  <c r="S214" i="124"/>
  <c r="S220" i="124" s="1"/>
  <c r="U208" i="126" l="1"/>
  <c r="S202" i="126"/>
  <c r="S208" i="126" s="1"/>
  <c r="P213" i="126"/>
  <c r="U213" i="126" s="1"/>
  <c r="S213" i="126" s="1"/>
  <c r="P212" i="126"/>
  <c r="U212" i="126" s="1"/>
  <c r="S212" i="126" s="1"/>
  <c r="N209" i="126"/>
  <c r="Z217" i="126"/>
  <c r="P215" i="126"/>
  <c r="U215" i="126" s="1"/>
  <c r="S215" i="126" s="1"/>
  <c r="P211" i="126"/>
  <c r="U211" i="126" s="1"/>
  <c r="S211" i="126" s="1"/>
  <c r="P214" i="126"/>
  <c r="U214" i="126" s="1"/>
  <c r="S214" i="126" s="1"/>
  <c r="P210" i="126"/>
  <c r="U210" i="126" s="1"/>
  <c r="Z237" i="124"/>
  <c r="P235" i="124"/>
  <c r="U235" i="124" s="1"/>
  <c r="S235" i="124" s="1"/>
  <c r="P231" i="124"/>
  <c r="U231" i="124" s="1"/>
  <c r="S231" i="124" s="1"/>
  <c r="P234" i="124"/>
  <c r="U234" i="124" s="1"/>
  <c r="S234" i="124" s="1"/>
  <c r="P233" i="124"/>
  <c r="U233" i="124" s="1"/>
  <c r="S233" i="124" s="1"/>
  <c r="P230" i="124"/>
  <c r="U230" i="124" s="1"/>
  <c r="P232" i="124"/>
  <c r="U232" i="124" s="1"/>
  <c r="S232" i="124" s="1"/>
  <c r="N229" i="124"/>
  <c r="U228" i="124"/>
  <c r="S222" i="124"/>
  <c r="S228" i="124" s="1"/>
  <c r="U216" i="126" l="1"/>
  <c r="S210" i="126"/>
  <c r="S216" i="126" s="1"/>
  <c r="Z225" i="126"/>
  <c r="P223" i="126"/>
  <c r="U223" i="126" s="1"/>
  <c r="S223" i="126" s="1"/>
  <c r="P219" i="126"/>
  <c r="U219" i="126" s="1"/>
  <c r="S219" i="126" s="1"/>
  <c r="P222" i="126"/>
  <c r="U222" i="126" s="1"/>
  <c r="S222" i="126" s="1"/>
  <c r="P218" i="126"/>
  <c r="U218" i="126" s="1"/>
  <c r="P221" i="126"/>
  <c r="U221" i="126" s="1"/>
  <c r="S221" i="126" s="1"/>
  <c r="N217" i="126"/>
  <c r="P220" i="126"/>
  <c r="U220" i="126" s="1"/>
  <c r="S220" i="126" s="1"/>
  <c r="S230" i="124"/>
  <c r="S236" i="124" s="1"/>
  <c r="U236" i="124"/>
  <c r="P241" i="124"/>
  <c r="U241" i="124" s="1"/>
  <c r="S241" i="124" s="1"/>
  <c r="Z245" i="124"/>
  <c r="N237" i="124"/>
  <c r="P243" i="124"/>
  <c r="U243" i="124" s="1"/>
  <c r="S243" i="124" s="1"/>
  <c r="P242" i="124"/>
  <c r="U242" i="124" s="1"/>
  <c r="S242" i="124" s="1"/>
  <c r="P239" i="124"/>
  <c r="U239" i="124" s="1"/>
  <c r="S239" i="124" s="1"/>
  <c r="P238" i="124"/>
  <c r="U238" i="124" s="1"/>
  <c r="P240" i="124"/>
  <c r="U240" i="124" s="1"/>
  <c r="S240" i="124" s="1"/>
  <c r="U224" i="126" l="1"/>
  <c r="S218" i="126"/>
  <c r="S224" i="126" s="1"/>
  <c r="P229" i="126"/>
  <c r="U229" i="126" s="1"/>
  <c r="S229" i="126" s="1"/>
  <c r="P228" i="126"/>
  <c r="U228" i="126" s="1"/>
  <c r="S228" i="126" s="1"/>
  <c r="N225" i="126"/>
  <c r="P231" i="126"/>
  <c r="U231" i="126" s="1"/>
  <c r="S231" i="126" s="1"/>
  <c r="P227" i="126"/>
  <c r="U227" i="126" s="1"/>
  <c r="S227" i="126" s="1"/>
  <c r="P230" i="126"/>
  <c r="U230" i="126" s="1"/>
  <c r="S230" i="126" s="1"/>
  <c r="P226" i="126"/>
  <c r="U226" i="126" s="1"/>
  <c r="Z253" i="124"/>
  <c r="P251" i="124"/>
  <c r="U251" i="124" s="1"/>
  <c r="S251" i="124" s="1"/>
  <c r="P247" i="124"/>
  <c r="U247" i="124" s="1"/>
  <c r="S247" i="124" s="1"/>
  <c r="P248" i="124"/>
  <c r="U248" i="124" s="1"/>
  <c r="S248" i="124" s="1"/>
  <c r="N245" i="124"/>
  <c r="P249" i="124"/>
  <c r="U249" i="124" s="1"/>
  <c r="S249" i="124" s="1"/>
  <c r="P250" i="124"/>
  <c r="U250" i="124" s="1"/>
  <c r="S250" i="124" s="1"/>
  <c r="P246" i="124"/>
  <c r="U246" i="124" s="1"/>
  <c r="U244" i="124"/>
  <c r="S238" i="124"/>
  <c r="S244" i="124" s="1"/>
  <c r="U232" i="126" l="1"/>
  <c r="S226" i="126"/>
  <c r="S232" i="126" s="1"/>
  <c r="U252" i="124"/>
  <c r="S246" i="124"/>
  <c r="S252" i="124" s="1"/>
  <c r="P257" i="124"/>
  <c r="U257" i="124" s="1"/>
  <c r="S257" i="124" s="1"/>
  <c r="P259" i="124"/>
  <c r="U259" i="124" s="1"/>
  <c r="S259" i="124" s="1"/>
  <c r="P256" i="124"/>
  <c r="U256" i="124" s="1"/>
  <c r="S256" i="124" s="1"/>
  <c r="P255" i="124"/>
  <c r="U255" i="124" s="1"/>
  <c r="S255" i="124" s="1"/>
  <c r="P258" i="124"/>
  <c r="U258" i="124" s="1"/>
  <c r="S258" i="124" s="1"/>
  <c r="P254" i="124"/>
  <c r="U254" i="124" s="1"/>
  <c r="Z261" i="124"/>
  <c r="N253" i="124"/>
  <c r="U260" i="124" l="1"/>
  <c r="S254" i="124"/>
  <c r="S260" i="124" s="1"/>
  <c r="Z269" i="124"/>
  <c r="P267" i="124"/>
  <c r="U267" i="124" s="1"/>
  <c r="S267" i="124" s="1"/>
  <c r="P263" i="124"/>
  <c r="U263" i="124" s="1"/>
  <c r="S263" i="124" s="1"/>
  <c r="P266" i="124"/>
  <c r="U266" i="124" s="1"/>
  <c r="S266" i="124" s="1"/>
  <c r="P265" i="124"/>
  <c r="U265" i="124" s="1"/>
  <c r="S265" i="124" s="1"/>
  <c r="P262" i="124"/>
  <c r="U262" i="124" s="1"/>
  <c r="N261" i="124"/>
  <c r="P264" i="124"/>
  <c r="U264" i="124" s="1"/>
  <c r="S264" i="124" s="1"/>
  <c r="P273" i="124" l="1"/>
  <c r="U273" i="124" s="1"/>
  <c r="S273" i="124" s="1"/>
  <c r="Z277" i="124"/>
  <c r="N269" i="124"/>
  <c r="P275" i="124"/>
  <c r="U275" i="124" s="1"/>
  <c r="S275" i="124" s="1"/>
  <c r="P274" i="124"/>
  <c r="U274" i="124" s="1"/>
  <c r="S274" i="124" s="1"/>
  <c r="P271" i="124"/>
  <c r="U271" i="124" s="1"/>
  <c r="S271" i="124" s="1"/>
  <c r="P270" i="124"/>
  <c r="U270" i="124" s="1"/>
  <c r="P272" i="124"/>
  <c r="U272" i="124" s="1"/>
  <c r="S272" i="124" s="1"/>
  <c r="S262" i="124"/>
  <c r="S268" i="124" s="1"/>
  <c r="U268" i="124"/>
  <c r="U276" i="124" l="1"/>
  <c r="S270" i="124"/>
  <c r="S276" i="124" s="1"/>
  <c r="P283" i="124"/>
  <c r="U283" i="124" s="1"/>
  <c r="S283" i="124" s="1"/>
  <c r="P279" i="124"/>
  <c r="U279" i="124" s="1"/>
  <c r="S279" i="124" s="1"/>
  <c r="P280" i="124"/>
  <c r="U280" i="124" s="1"/>
  <c r="S280" i="124" s="1"/>
  <c r="N277" i="124"/>
  <c r="P281" i="124"/>
  <c r="U281" i="124" s="1"/>
  <c r="S281" i="124" s="1"/>
  <c r="P282" i="124"/>
  <c r="U282" i="124" s="1"/>
  <c r="S282" i="124" s="1"/>
  <c r="P278" i="124"/>
  <c r="U278" i="124" s="1"/>
  <c r="Z285" i="124"/>
  <c r="Z293" i="124" l="1"/>
  <c r="P291" i="124"/>
  <c r="U291" i="124" s="1"/>
  <c r="S291" i="124" s="1"/>
  <c r="P287" i="124"/>
  <c r="U287" i="124" s="1"/>
  <c r="S287" i="124" s="1"/>
  <c r="P290" i="124"/>
  <c r="U290" i="124" s="1"/>
  <c r="S290" i="124" s="1"/>
  <c r="P286" i="124"/>
  <c r="U286" i="124" s="1"/>
  <c r="P289" i="124"/>
  <c r="U289" i="124" s="1"/>
  <c r="S289" i="124" s="1"/>
  <c r="P288" i="124"/>
  <c r="U288" i="124" s="1"/>
  <c r="S288" i="124" s="1"/>
  <c r="N285" i="124"/>
  <c r="U284" i="124"/>
  <c r="S278" i="124"/>
  <c r="S284" i="124" s="1"/>
  <c r="U292" i="124" l="1"/>
  <c r="S286" i="124"/>
  <c r="S292" i="124" s="1"/>
  <c r="P297" i="124"/>
  <c r="U297" i="124" s="1"/>
  <c r="S297" i="124" s="1"/>
  <c r="P296" i="124"/>
  <c r="U296" i="124" s="1"/>
  <c r="S296" i="124" s="1"/>
  <c r="N293" i="124"/>
  <c r="P299" i="124"/>
  <c r="U299" i="124" s="1"/>
  <c r="S299" i="124" s="1"/>
  <c r="P298" i="124"/>
  <c r="U298" i="124" s="1"/>
  <c r="S298" i="124" s="1"/>
  <c r="Z301" i="124"/>
  <c r="P295" i="124"/>
  <c r="U295" i="124" s="1"/>
  <c r="S295" i="124" s="1"/>
  <c r="P294" i="124"/>
  <c r="U294" i="124" s="1"/>
  <c r="Z309" i="124" l="1"/>
  <c r="P307" i="124"/>
  <c r="U307" i="124" s="1"/>
  <c r="S307" i="124" s="1"/>
  <c r="P303" i="124"/>
  <c r="U303" i="124" s="1"/>
  <c r="S303" i="124" s="1"/>
  <c r="P306" i="124"/>
  <c r="U306" i="124" s="1"/>
  <c r="S306" i="124" s="1"/>
  <c r="P302" i="124"/>
  <c r="U302" i="124" s="1"/>
  <c r="P305" i="124"/>
  <c r="U305" i="124" s="1"/>
  <c r="S305" i="124" s="1"/>
  <c r="P304" i="124"/>
  <c r="U304" i="124" s="1"/>
  <c r="S304" i="124" s="1"/>
  <c r="N301" i="124"/>
  <c r="U300" i="124"/>
  <c r="S294" i="124"/>
  <c r="S300" i="124" s="1"/>
  <c r="S302" i="124" l="1"/>
  <c r="S308" i="124" s="1"/>
  <c r="U308" i="124"/>
  <c r="P313" i="124"/>
  <c r="U313" i="124" s="1"/>
  <c r="S313" i="124" s="1"/>
  <c r="P312" i="124"/>
  <c r="U312" i="124" s="1"/>
  <c r="S312" i="124" s="1"/>
  <c r="N309" i="124"/>
  <c r="P315" i="124"/>
  <c r="U315" i="124" s="1"/>
  <c r="S315" i="124" s="1"/>
  <c r="P314" i="124"/>
  <c r="U314" i="124" s="1"/>
  <c r="S314" i="124" s="1"/>
  <c r="Z317" i="124"/>
  <c r="P310" i="124"/>
  <c r="U310" i="124" s="1"/>
  <c r="P311" i="124"/>
  <c r="U311" i="124" s="1"/>
  <c r="S311" i="124" s="1"/>
  <c r="Z325" i="124" l="1"/>
  <c r="P323" i="124"/>
  <c r="U323" i="124" s="1"/>
  <c r="S323" i="124" s="1"/>
  <c r="P319" i="124"/>
  <c r="U319" i="124" s="1"/>
  <c r="S319" i="124" s="1"/>
  <c r="P322" i="124"/>
  <c r="U322" i="124" s="1"/>
  <c r="S322" i="124" s="1"/>
  <c r="P318" i="124"/>
  <c r="U318" i="124" s="1"/>
  <c r="P321" i="124"/>
  <c r="U321" i="124" s="1"/>
  <c r="S321" i="124" s="1"/>
  <c r="P320" i="124"/>
  <c r="U320" i="124" s="1"/>
  <c r="S320" i="124" s="1"/>
  <c r="N317" i="124"/>
  <c r="U316" i="124"/>
  <c r="S310" i="124"/>
  <c r="S316" i="124" s="1"/>
  <c r="S318" i="124" l="1"/>
  <c r="S324" i="124" s="1"/>
  <c r="U324" i="124"/>
  <c r="P329" i="124"/>
  <c r="U329" i="124" s="1"/>
  <c r="S329" i="124" s="1"/>
  <c r="P328" i="124"/>
  <c r="U328" i="124" s="1"/>
  <c r="S328" i="124" s="1"/>
  <c r="N325" i="124"/>
  <c r="P327" i="124"/>
  <c r="U327" i="124" s="1"/>
  <c r="S327" i="124" s="1"/>
  <c r="P326" i="124"/>
  <c r="U326" i="124" s="1"/>
  <c r="P331" i="124"/>
  <c r="U331" i="124" s="1"/>
  <c r="S331" i="124" s="1"/>
  <c r="P330" i="124"/>
  <c r="U330" i="124" s="1"/>
  <c r="S330" i="124" s="1"/>
  <c r="Z333" i="124"/>
  <c r="U332" i="124" l="1"/>
  <c r="S326" i="124"/>
  <c r="S332" i="124" s="1"/>
  <c r="Z341" i="124"/>
  <c r="P339" i="124"/>
  <c r="U339" i="124" s="1"/>
  <c r="S339" i="124" s="1"/>
  <c r="P335" i="124"/>
  <c r="U335" i="124" s="1"/>
  <c r="S335" i="124" s="1"/>
  <c r="P338" i="124"/>
  <c r="U338" i="124" s="1"/>
  <c r="S338" i="124" s="1"/>
  <c r="P334" i="124"/>
  <c r="U334" i="124" s="1"/>
  <c r="P337" i="124"/>
  <c r="U337" i="124" s="1"/>
  <c r="S337" i="124" s="1"/>
  <c r="P336" i="124"/>
  <c r="U336" i="124" s="1"/>
  <c r="S336" i="124" s="1"/>
  <c r="N333" i="124"/>
  <c r="S334" i="124" l="1"/>
  <c r="S340" i="124" s="1"/>
  <c r="U340" i="124"/>
  <c r="P345" i="124"/>
  <c r="U345" i="124" s="1"/>
  <c r="S345" i="124" s="1"/>
  <c r="P344" i="124"/>
  <c r="U344" i="124" s="1"/>
  <c r="S344" i="124" s="1"/>
  <c r="N341" i="124"/>
  <c r="P343" i="124"/>
  <c r="U343" i="124" s="1"/>
  <c r="S343" i="124" s="1"/>
  <c r="P342" i="124"/>
  <c r="U342" i="124" s="1"/>
  <c r="P346" i="124"/>
  <c r="U346" i="124" s="1"/>
  <c r="S346" i="124" s="1"/>
  <c r="P347" i="124"/>
  <c r="U347" i="124" s="1"/>
  <c r="S347" i="124" s="1"/>
  <c r="U348" i="124" l="1"/>
  <c r="S342" i="124"/>
  <c r="S348" i="124" s="1"/>
  <c r="T145" i="123" l="1"/>
  <c r="R145" i="123" s="1"/>
  <c r="T144" i="123"/>
  <c r="R144" i="123" s="1"/>
  <c r="T143" i="123"/>
  <c r="R143" i="123" s="1"/>
  <c r="T142" i="123"/>
  <c r="R142" i="123" s="1"/>
  <c r="T141" i="123"/>
  <c r="R141" i="123" s="1"/>
  <c r="T140" i="123"/>
  <c r="R140" i="123" s="1"/>
  <c r="I24" i="123"/>
  <c r="H24" i="123"/>
  <c r="G24" i="123"/>
  <c r="F24" i="123"/>
  <c r="E24" i="123"/>
  <c r="D24" i="123"/>
  <c r="T137" i="123"/>
  <c r="R137" i="123" s="1"/>
  <c r="T136" i="123"/>
  <c r="R136" i="123" s="1"/>
  <c r="T135" i="123"/>
  <c r="R135" i="123" s="1"/>
  <c r="T134" i="123"/>
  <c r="R134" i="123" s="1"/>
  <c r="T133" i="123"/>
  <c r="R133" i="123" s="1"/>
  <c r="T132" i="123"/>
  <c r="R132" i="123" s="1"/>
  <c r="T129" i="123"/>
  <c r="R129" i="123" s="1"/>
  <c r="T128" i="123"/>
  <c r="R128" i="123" s="1"/>
  <c r="T127" i="123"/>
  <c r="R127" i="123" s="1"/>
  <c r="T126" i="123"/>
  <c r="R126" i="123" s="1"/>
  <c r="T125" i="123"/>
  <c r="R125" i="123" s="1"/>
  <c r="T124" i="123"/>
  <c r="R124" i="123" s="1"/>
  <c r="T121" i="123"/>
  <c r="R121" i="123" s="1"/>
  <c r="T120" i="123"/>
  <c r="R120" i="123" s="1"/>
  <c r="T119" i="123"/>
  <c r="R119" i="123" s="1"/>
  <c r="T118" i="123"/>
  <c r="R118" i="123" s="1"/>
  <c r="T117" i="123"/>
  <c r="R117" i="123" s="1"/>
  <c r="T116" i="123"/>
  <c r="R116" i="123" s="1"/>
  <c r="T113" i="123"/>
  <c r="R113" i="123" s="1"/>
  <c r="T112" i="123"/>
  <c r="R112" i="123" s="1"/>
  <c r="T111" i="123"/>
  <c r="R111" i="123" s="1"/>
  <c r="T110" i="123"/>
  <c r="R110" i="123" s="1"/>
  <c r="T109" i="123"/>
  <c r="R109" i="123" s="1"/>
  <c r="T108" i="123"/>
  <c r="R108" i="123" s="1"/>
  <c r="T105" i="123"/>
  <c r="R105" i="123" s="1"/>
  <c r="T104" i="123"/>
  <c r="R104" i="123" s="1"/>
  <c r="T103" i="123"/>
  <c r="R103" i="123" s="1"/>
  <c r="T102" i="123"/>
  <c r="R102" i="123" s="1"/>
  <c r="T101" i="123"/>
  <c r="R101" i="123" s="1"/>
  <c r="T100" i="123"/>
  <c r="R100" i="123" s="1"/>
  <c r="T97" i="123"/>
  <c r="R97" i="123" s="1"/>
  <c r="T96" i="123"/>
  <c r="R96" i="123" s="1"/>
  <c r="T95" i="123"/>
  <c r="R95" i="123" s="1"/>
  <c r="T94" i="123"/>
  <c r="R94" i="123" s="1"/>
  <c r="T93" i="123"/>
  <c r="R93" i="123" s="1"/>
  <c r="T92" i="123"/>
  <c r="R92" i="123" s="1"/>
  <c r="T89" i="123"/>
  <c r="R89" i="123" s="1"/>
  <c r="T88" i="123"/>
  <c r="R88" i="123" s="1"/>
  <c r="T87" i="123"/>
  <c r="R87" i="123" s="1"/>
  <c r="T86" i="123"/>
  <c r="R86" i="123" s="1"/>
  <c r="T85" i="123"/>
  <c r="R85" i="123" s="1"/>
  <c r="T84" i="123"/>
  <c r="R84" i="123" s="1"/>
  <c r="T81" i="123"/>
  <c r="R81" i="123" s="1"/>
  <c r="T80" i="123"/>
  <c r="R80" i="123" s="1"/>
  <c r="T79" i="123"/>
  <c r="R79" i="123" s="1"/>
  <c r="T78" i="123"/>
  <c r="R78" i="123" s="1"/>
  <c r="T77" i="123"/>
  <c r="R77" i="123" s="1"/>
  <c r="T76" i="123"/>
  <c r="R76" i="123" s="1"/>
  <c r="T73" i="123"/>
  <c r="R73" i="123" s="1"/>
  <c r="T72" i="123"/>
  <c r="R72" i="123" s="1"/>
  <c r="T71" i="123"/>
  <c r="R71" i="123" s="1"/>
  <c r="T70" i="123"/>
  <c r="R70" i="123" s="1"/>
  <c r="T69" i="123"/>
  <c r="R69" i="123" s="1"/>
  <c r="T68" i="123"/>
  <c r="R68" i="123" s="1"/>
  <c r="Z67" i="123"/>
  <c r="N67" i="123" s="1"/>
  <c r="T65" i="123"/>
  <c r="R65" i="123" s="1"/>
  <c r="T64" i="123"/>
  <c r="R64" i="123" s="1"/>
  <c r="T63" i="123"/>
  <c r="R63" i="123" s="1"/>
  <c r="T62" i="123"/>
  <c r="R62" i="123" s="1"/>
  <c r="T61" i="123"/>
  <c r="R61" i="123" s="1"/>
  <c r="T60" i="123"/>
  <c r="R60" i="123" s="1"/>
  <c r="N59" i="123"/>
  <c r="W42" i="123"/>
  <c r="W41" i="123" s="1"/>
  <c r="N42" i="123"/>
  <c r="Y40" i="123"/>
  <c r="I38" i="123"/>
  <c r="H38" i="123"/>
  <c r="G38" i="123"/>
  <c r="F38" i="123"/>
  <c r="E38" i="123"/>
  <c r="D38" i="123"/>
  <c r="I20" i="123"/>
  <c r="H20" i="123"/>
  <c r="G20" i="123"/>
  <c r="F20" i="123"/>
  <c r="E20" i="123"/>
  <c r="D20" i="123"/>
  <c r="Y15" i="123"/>
  <c r="F4" i="123"/>
  <c r="T141" i="122"/>
  <c r="R141" i="122" s="1"/>
  <c r="T140" i="122"/>
  <c r="R140" i="122" s="1"/>
  <c r="T139" i="122"/>
  <c r="R139" i="122" s="1"/>
  <c r="T138" i="122"/>
  <c r="R138" i="122" s="1"/>
  <c r="T137" i="122"/>
  <c r="R137" i="122" s="1"/>
  <c r="T136" i="122"/>
  <c r="R136" i="122" s="1"/>
  <c r="T133" i="122"/>
  <c r="R133" i="122" s="1"/>
  <c r="T132" i="122"/>
  <c r="R132" i="122" s="1"/>
  <c r="T131" i="122"/>
  <c r="R131" i="122" s="1"/>
  <c r="T130" i="122"/>
  <c r="R130" i="122" s="1"/>
  <c r="T129" i="122"/>
  <c r="R129" i="122" s="1"/>
  <c r="T128" i="122"/>
  <c r="R128" i="122" s="1"/>
  <c r="T125" i="122"/>
  <c r="R125" i="122" s="1"/>
  <c r="T124" i="122"/>
  <c r="R124" i="122" s="1"/>
  <c r="T123" i="122"/>
  <c r="R123" i="122" s="1"/>
  <c r="T122" i="122"/>
  <c r="R122" i="122" s="1"/>
  <c r="T121" i="122"/>
  <c r="R121" i="122" s="1"/>
  <c r="T120" i="122"/>
  <c r="R120" i="122" s="1"/>
  <c r="T117" i="122"/>
  <c r="R117" i="122" s="1"/>
  <c r="T116" i="122"/>
  <c r="R116" i="122" s="1"/>
  <c r="T115" i="122"/>
  <c r="R115" i="122" s="1"/>
  <c r="T114" i="122"/>
  <c r="R114" i="122" s="1"/>
  <c r="T113" i="122"/>
  <c r="R113" i="122" s="1"/>
  <c r="T112" i="122"/>
  <c r="R112" i="122" s="1"/>
  <c r="T109" i="122"/>
  <c r="R109" i="122" s="1"/>
  <c r="T108" i="122"/>
  <c r="R108" i="122" s="1"/>
  <c r="T107" i="122"/>
  <c r="R107" i="122" s="1"/>
  <c r="T106" i="122"/>
  <c r="R106" i="122" s="1"/>
  <c r="T105" i="122"/>
  <c r="R105" i="122" s="1"/>
  <c r="T104" i="122"/>
  <c r="R104" i="122" s="1"/>
  <c r="T101" i="122"/>
  <c r="R101" i="122" s="1"/>
  <c r="T100" i="122"/>
  <c r="R100" i="122" s="1"/>
  <c r="T99" i="122"/>
  <c r="R99" i="122" s="1"/>
  <c r="T98" i="122"/>
  <c r="R98" i="122" s="1"/>
  <c r="T97" i="122"/>
  <c r="R97" i="122" s="1"/>
  <c r="T96" i="122"/>
  <c r="R96" i="122" s="1"/>
  <c r="T93" i="122"/>
  <c r="R93" i="122" s="1"/>
  <c r="T92" i="122"/>
  <c r="R92" i="122" s="1"/>
  <c r="T91" i="122"/>
  <c r="R91" i="122" s="1"/>
  <c r="T90" i="122"/>
  <c r="R90" i="122" s="1"/>
  <c r="T89" i="122"/>
  <c r="R89" i="122" s="1"/>
  <c r="T88" i="122"/>
  <c r="R88" i="122" s="1"/>
  <c r="T85" i="122"/>
  <c r="R85" i="122" s="1"/>
  <c r="T84" i="122"/>
  <c r="R84" i="122" s="1"/>
  <c r="T83" i="122"/>
  <c r="R83" i="122" s="1"/>
  <c r="T82" i="122"/>
  <c r="R82" i="122" s="1"/>
  <c r="T81" i="122"/>
  <c r="R81" i="122" s="1"/>
  <c r="T80" i="122"/>
  <c r="R80" i="122" s="1"/>
  <c r="T77" i="122"/>
  <c r="R77" i="122" s="1"/>
  <c r="T76" i="122"/>
  <c r="R76" i="122" s="1"/>
  <c r="T75" i="122"/>
  <c r="R75" i="122" s="1"/>
  <c r="T74" i="122"/>
  <c r="R74" i="122" s="1"/>
  <c r="T73" i="122"/>
  <c r="R73" i="122" s="1"/>
  <c r="T72" i="122"/>
  <c r="R72" i="122" s="1"/>
  <c r="T69" i="122"/>
  <c r="R69" i="122" s="1"/>
  <c r="T68" i="122"/>
  <c r="R68" i="122" s="1"/>
  <c r="T67" i="122"/>
  <c r="R67" i="122" s="1"/>
  <c r="T66" i="122"/>
  <c r="R66" i="122" s="1"/>
  <c r="T65" i="122"/>
  <c r="R65" i="122" s="1"/>
  <c r="T64" i="122"/>
  <c r="R64" i="122" s="1"/>
  <c r="T61" i="122"/>
  <c r="R61" i="122" s="1"/>
  <c r="T60" i="122"/>
  <c r="R60" i="122" s="1"/>
  <c r="T59" i="122"/>
  <c r="R59" i="122" s="1"/>
  <c r="T58" i="122"/>
  <c r="R58" i="122" s="1"/>
  <c r="T57" i="122"/>
  <c r="R57" i="122" s="1"/>
  <c r="T56" i="122"/>
  <c r="R56" i="122" s="1"/>
  <c r="Z55" i="122"/>
  <c r="T53" i="122"/>
  <c r="R53" i="122" s="1"/>
  <c r="T52" i="122"/>
  <c r="R52" i="122" s="1"/>
  <c r="T51" i="122"/>
  <c r="R51" i="122" s="1"/>
  <c r="T50" i="122"/>
  <c r="R50" i="122" s="1"/>
  <c r="T49" i="122"/>
  <c r="R49" i="122" s="1"/>
  <c r="T48" i="122"/>
  <c r="R48" i="122" s="1"/>
  <c r="N47" i="122"/>
  <c r="D41" i="122" a="1"/>
  <c r="I44" i="122" s="1"/>
  <c r="W29" i="122"/>
  <c r="W28" i="122" s="1"/>
  <c r="N29" i="122"/>
  <c r="Y26" i="122"/>
  <c r="Y25" i="122"/>
  <c r="Y24" i="122"/>
  <c r="Y23" i="122"/>
  <c r="I23" i="122"/>
  <c r="H23" i="122"/>
  <c r="G23" i="122"/>
  <c r="F23" i="122"/>
  <c r="E23" i="122"/>
  <c r="D23" i="122"/>
  <c r="Y22" i="122"/>
  <c r="Y21" i="122"/>
  <c r="Y20" i="122"/>
  <c r="Y19" i="122"/>
  <c r="Y18" i="122"/>
  <c r="Y17" i="122"/>
  <c r="Y16" i="122"/>
  <c r="I16" i="122"/>
  <c r="H16" i="122"/>
  <c r="G16" i="122"/>
  <c r="F16" i="122"/>
  <c r="E16" i="122"/>
  <c r="D16" i="122"/>
  <c r="Y15" i="122"/>
  <c r="Y14" i="122"/>
  <c r="Y13" i="122"/>
  <c r="Y12" i="122"/>
  <c r="I12" i="122"/>
  <c r="H12" i="122"/>
  <c r="G12" i="122"/>
  <c r="F12" i="122"/>
  <c r="E12" i="122"/>
  <c r="D12" i="122"/>
  <c r="D5" i="122"/>
  <c r="D30" i="122" s="1" a="1"/>
  <c r="Y27" i="121"/>
  <c r="Y26" i="121"/>
  <c r="Y25" i="121"/>
  <c r="Y24" i="121"/>
  <c r="Y23" i="121"/>
  <c r="Y22" i="121"/>
  <c r="Y21" i="121"/>
  <c r="Y20" i="121"/>
  <c r="Y19" i="121"/>
  <c r="Y18" i="121"/>
  <c r="Y17" i="121"/>
  <c r="Y16" i="121"/>
  <c r="Y15" i="121"/>
  <c r="Y14" i="121"/>
  <c r="T150" i="121"/>
  <c r="R150" i="121" s="1"/>
  <c r="T149" i="121"/>
  <c r="R149" i="121" s="1"/>
  <c r="T148" i="121"/>
  <c r="R148" i="121" s="1"/>
  <c r="T147" i="121"/>
  <c r="R147" i="121" s="1"/>
  <c r="T146" i="121"/>
  <c r="R146" i="121" s="1"/>
  <c r="T145" i="121"/>
  <c r="R145" i="121" s="1"/>
  <c r="T142" i="121"/>
  <c r="R142" i="121" s="1"/>
  <c r="T141" i="121"/>
  <c r="R141" i="121" s="1"/>
  <c r="T140" i="121"/>
  <c r="R140" i="121" s="1"/>
  <c r="T139" i="121"/>
  <c r="R139" i="121" s="1"/>
  <c r="T138" i="121"/>
  <c r="R138" i="121" s="1"/>
  <c r="T137" i="121"/>
  <c r="R137" i="121" s="1"/>
  <c r="T134" i="121"/>
  <c r="R134" i="121" s="1"/>
  <c r="T133" i="121"/>
  <c r="R133" i="121" s="1"/>
  <c r="T132" i="121"/>
  <c r="R132" i="121" s="1"/>
  <c r="T131" i="121"/>
  <c r="R131" i="121" s="1"/>
  <c r="T130" i="121"/>
  <c r="R130" i="121" s="1"/>
  <c r="T129" i="121"/>
  <c r="R129" i="121" s="1"/>
  <c r="T126" i="121"/>
  <c r="R126" i="121" s="1"/>
  <c r="T125" i="121"/>
  <c r="R125" i="121" s="1"/>
  <c r="T124" i="121"/>
  <c r="R124" i="121" s="1"/>
  <c r="T123" i="121"/>
  <c r="R123" i="121" s="1"/>
  <c r="T122" i="121"/>
  <c r="R122" i="121" s="1"/>
  <c r="T121" i="121"/>
  <c r="R121" i="121" s="1"/>
  <c r="T118" i="121"/>
  <c r="R118" i="121" s="1"/>
  <c r="T117" i="121"/>
  <c r="R117" i="121" s="1"/>
  <c r="T116" i="121"/>
  <c r="R116" i="121" s="1"/>
  <c r="T115" i="121"/>
  <c r="R115" i="121" s="1"/>
  <c r="T114" i="121"/>
  <c r="R114" i="121" s="1"/>
  <c r="T113" i="121"/>
  <c r="R113" i="121" s="1"/>
  <c r="T110" i="121"/>
  <c r="R110" i="121" s="1"/>
  <c r="T109" i="121"/>
  <c r="R109" i="121" s="1"/>
  <c r="T108" i="121"/>
  <c r="R108" i="121" s="1"/>
  <c r="T107" i="121"/>
  <c r="R107" i="121" s="1"/>
  <c r="T106" i="121"/>
  <c r="R106" i="121" s="1"/>
  <c r="T105" i="121"/>
  <c r="R105" i="121" s="1"/>
  <c r="T102" i="121"/>
  <c r="R102" i="121" s="1"/>
  <c r="T101" i="121"/>
  <c r="R101" i="121" s="1"/>
  <c r="T100" i="121"/>
  <c r="R100" i="121" s="1"/>
  <c r="T99" i="121"/>
  <c r="R99" i="121" s="1"/>
  <c r="T98" i="121"/>
  <c r="R98" i="121" s="1"/>
  <c r="T97" i="121"/>
  <c r="R97" i="121" s="1"/>
  <c r="T94" i="121"/>
  <c r="R94" i="121" s="1"/>
  <c r="T93" i="121"/>
  <c r="R93" i="121" s="1"/>
  <c r="T92" i="121"/>
  <c r="R92" i="121" s="1"/>
  <c r="T91" i="121"/>
  <c r="R91" i="121" s="1"/>
  <c r="T90" i="121"/>
  <c r="R90" i="121" s="1"/>
  <c r="T89" i="121"/>
  <c r="R89" i="121" s="1"/>
  <c r="T86" i="121"/>
  <c r="R86" i="121" s="1"/>
  <c r="T85" i="121"/>
  <c r="R85" i="121" s="1"/>
  <c r="T84" i="121"/>
  <c r="R84" i="121" s="1"/>
  <c r="T83" i="121"/>
  <c r="R83" i="121" s="1"/>
  <c r="T82" i="121"/>
  <c r="R82" i="121" s="1"/>
  <c r="T81" i="121"/>
  <c r="R81" i="121" s="1"/>
  <c r="T78" i="121"/>
  <c r="R78" i="121" s="1"/>
  <c r="T77" i="121"/>
  <c r="R77" i="121" s="1"/>
  <c r="T76" i="121"/>
  <c r="R76" i="121" s="1"/>
  <c r="T75" i="121"/>
  <c r="R75" i="121" s="1"/>
  <c r="T74" i="121"/>
  <c r="R74" i="121" s="1"/>
  <c r="T73" i="121"/>
  <c r="R73" i="121" s="1"/>
  <c r="T70" i="121"/>
  <c r="R70" i="121" s="1"/>
  <c r="T69" i="121"/>
  <c r="R69" i="121" s="1"/>
  <c r="T68" i="121"/>
  <c r="R68" i="121" s="1"/>
  <c r="T67" i="121"/>
  <c r="R67" i="121" s="1"/>
  <c r="T66" i="121"/>
  <c r="R66" i="121" s="1"/>
  <c r="T65" i="121"/>
  <c r="R65" i="121" s="1"/>
  <c r="T62" i="121"/>
  <c r="R62" i="121" s="1"/>
  <c r="T61" i="121"/>
  <c r="R61" i="121" s="1"/>
  <c r="T60" i="121"/>
  <c r="R60" i="121" s="1"/>
  <c r="T59" i="121"/>
  <c r="R59" i="121" s="1"/>
  <c r="T58" i="121"/>
  <c r="R58" i="121" s="1"/>
  <c r="T57" i="121"/>
  <c r="R57" i="121" s="1"/>
  <c r="Z56" i="121"/>
  <c r="N56" i="121" s="1"/>
  <c r="T54" i="121"/>
  <c r="R54" i="121" s="1"/>
  <c r="T53" i="121"/>
  <c r="R53" i="121" s="1"/>
  <c r="T52" i="121"/>
  <c r="R52" i="121" s="1"/>
  <c r="T51" i="121"/>
  <c r="R51" i="121" s="1"/>
  <c r="T50" i="121"/>
  <c r="R50" i="121" s="1"/>
  <c r="T49" i="121"/>
  <c r="R49" i="121" s="1"/>
  <c r="N48" i="121"/>
  <c r="W30" i="121"/>
  <c r="W29" i="121" s="1"/>
  <c r="N30" i="121"/>
  <c r="I23" i="121"/>
  <c r="H23" i="121"/>
  <c r="G23" i="121"/>
  <c r="F23" i="121"/>
  <c r="E23" i="121"/>
  <c r="D23" i="121"/>
  <c r="I16" i="121"/>
  <c r="H16" i="121"/>
  <c r="G16" i="121"/>
  <c r="F16" i="121"/>
  <c r="E16" i="121"/>
  <c r="D16" i="121"/>
  <c r="Y13" i="121"/>
  <c r="Y12" i="121"/>
  <c r="I12" i="121"/>
  <c r="H12" i="121"/>
  <c r="G12" i="121"/>
  <c r="F12" i="121"/>
  <c r="E12" i="121"/>
  <c r="D12" i="121"/>
  <c r="D5" i="121"/>
  <c r="D30" i="121" s="1" a="1"/>
  <c r="I15" i="118"/>
  <c r="H15" i="118"/>
  <c r="G15" i="118"/>
  <c r="D15" i="118"/>
  <c r="D5" i="118"/>
  <c r="T117" i="118"/>
  <c r="R117" i="118" s="1"/>
  <c r="T116" i="118"/>
  <c r="R116" i="118" s="1"/>
  <c r="T115" i="118"/>
  <c r="R115" i="118" s="1"/>
  <c r="T114" i="118"/>
  <c r="R114" i="118" s="1"/>
  <c r="T113" i="118"/>
  <c r="R113" i="118" s="1"/>
  <c r="T112" i="118"/>
  <c r="R112" i="118" s="1"/>
  <c r="T109" i="118"/>
  <c r="R109" i="118" s="1"/>
  <c r="T108" i="118"/>
  <c r="R108" i="118" s="1"/>
  <c r="T107" i="118"/>
  <c r="R107" i="118" s="1"/>
  <c r="T106" i="118"/>
  <c r="R106" i="118" s="1"/>
  <c r="T105" i="118"/>
  <c r="R105" i="118" s="1"/>
  <c r="T104" i="118"/>
  <c r="R104" i="118" s="1"/>
  <c r="T101" i="118"/>
  <c r="R101" i="118" s="1"/>
  <c r="T100" i="118"/>
  <c r="R100" i="118" s="1"/>
  <c r="T99" i="118"/>
  <c r="R99" i="118" s="1"/>
  <c r="T98" i="118"/>
  <c r="R98" i="118" s="1"/>
  <c r="T97" i="118"/>
  <c r="R97" i="118" s="1"/>
  <c r="T96" i="118"/>
  <c r="R96" i="118" s="1"/>
  <c r="T93" i="118"/>
  <c r="R93" i="118" s="1"/>
  <c r="T92" i="118"/>
  <c r="R92" i="118" s="1"/>
  <c r="T91" i="118"/>
  <c r="R91" i="118" s="1"/>
  <c r="T90" i="118"/>
  <c r="R90" i="118" s="1"/>
  <c r="T89" i="118"/>
  <c r="R89" i="118" s="1"/>
  <c r="T88" i="118"/>
  <c r="R88" i="118" s="1"/>
  <c r="T85" i="118"/>
  <c r="R85" i="118" s="1"/>
  <c r="T84" i="118"/>
  <c r="R84" i="118" s="1"/>
  <c r="T83" i="118"/>
  <c r="R83" i="118" s="1"/>
  <c r="T82" i="118"/>
  <c r="R82" i="118" s="1"/>
  <c r="T81" i="118"/>
  <c r="R81" i="118" s="1"/>
  <c r="T80" i="118"/>
  <c r="R80" i="118" s="1"/>
  <c r="T77" i="118"/>
  <c r="R77" i="118" s="1"/>
  <c r="T76" i="118"/>
  <c r="R76" i="118" s="1"/>
  <c r="T75" i="118"/>
  <c r="R75" i="118" s="1"/>
  <c r="T74" i="118"/>
  <c r="R74" i="118" s="1"/>
  <c r="T73" i="118"/>
  <c r="R73" i="118" s="1"/>
  <c r="T72" i="118"/>
  <c r="R72" i="118" s="1"/>
  <c r="T69" i="118"/>
  <c r="R69" i="118" s="1"/>
  <c r="T68" i="118"/>
  <c r="R68" i="118" s="1"/>
  <c r="T67" i="118"/>
  <c r="R67" i="118" s="1"/>
  <c r="T66" i="118"/>
  <c r="R66" i="118" s="1"/>
  <c r="T65" i="118"/>
  <c r="R65" i="118" s="1"/>
  <c r="T64" i="118"/>
  <c r="R64" i="118" s="1"/>
  <c r="T61" i="118"/>
  <c r="R61" i="118" s="1"/>
  <c r="T60" i="118"/>
  <c r="R60" i="118" s="1"/>
  <c r="T59" i="118"/>
  <c r="R59" i="118" s="1"/>
  <c r="T58" i="118"/>
  <c r="R58" i="118" s="1"/>
  <c r="T57" i="118"/>
  <c r="R57" i="118" s="1"/>
  <c r="T56" i="118"/>
  <c r="R56" i="118" s="1"/>
  <c r="Z55" i="118"/>
  <c r="N55" i="118" s="1"/>
  <c r="T53" i="118"/>
  <c r="R53" i="118" s="1"/>
  <c r="T52" i="118"/>
  <c r="R52" i="118" s="1"/>
  <c r="T51" i="118"/>
  <c r="R51" i="118" s="1"/>
  <c r="T50" i="118"/>
  <c r="R50" i="118" s="1"/>
  <c r="T49" i="118"/>
  <c r="R49" i="118" s="1"/>
  <c r="T48" i="118"/>
  <c r="R48" i="118" s="1"/>
  <c r="N47" i="118"/>
  <c r="W30" i="118"/>
  <c r="W29" i="118" s="1"/>
  <c r="N30" i="118"/>
  <c r="Y28" i="118"/>
  <c r="I23" i="118"/>
  <c r="H23" i="118"/>
  <c r="G23" i="118"/>
  <c r="F23" i="118"/>
  <c r="E23" i="118"/>
  <c r="D23" i="118"/>
  <c r="I21" i="118"/>
  <c r="H21" i="118"/>
  <c r="G21" i="118"/>
  <c r="F21" i="118"/>
  <c r="E21" i="118"/>
  <c r="D21" i="118"/>
  <c r="I18" i="118"/>
  <c r="H18" i="118"/>
  <c r="G18" i="118"/>
  <c r="F18" i="118"/>
  <c r="E18" i="118"/>
  <c r="D18" i="118"/>
  <c r="Y16" i="118"/>
  <c r="Y15" i="118"/>
  <c r="E15" i="118"/>
  <c r="F4" i="118"/>
  <c r="T155" i="25"/>
  <c r="R155" i="25" s="1"/>
  <c r="T154" i="25"/>
  <c r="R154" i="25" s="1"/>
  <c r="T153" i="25"/>
  <c r="R153" i="25" s="1"/>
  <c r="T152" i="25"/>
  <c r="R152" i="25" s="1"/>
  <c r="T151" i="25"/>
  <c r="R151" i="25" s="1"/>
  <c r="T150" i="25"/>
  <c r="R150" i="25" s="1"/>
  <c r="T147" i="25"/>
  <c r="R147" i="25" s="1"/>
  <c r="T146" i="25"/>
  <c r="R146" i="25" s="1"/>
  <c r="T145" i="25"/>
  <c r="R145" i="25" s="1"/>
  <c r="T144" i="25"/>
  <c r="R144" i="25" s="1"/>
  <c r="T143" i="25"/>
  <c r="R143" i="25" s="1"/>
  <c r="T142" i="25"/>
  <c r="R142" i="25" s="1"/>
  <c r="I28" i="25"/>
  <c r="H28" i="25"/>
  <c r="G28" i="25"/>
  <c r="F28" i="25"/>
  <c r="E28" i="25"/>
  <c r="D28" i="25"/>
  <c r="Y19" i="116"/>
  <c r="T140" i="116"/>
  <c r="R140" i="116" s="1"/>
  <c r="T139" i="116"/>
  <c r="R139" i="116" s="1"/>
  <c r="T138" i="116"/>
  <c r="R138" i="116" s="1"/>
  <c r="T137" i="116"/>
  <c r="R137" i="116" s="1"/>
  <c r="T136" i="116"/>
  <c r="R136" i="116" s="1"/>
  <c r="T135" i="116"/>
  <c r="R135" i="116" s="1"/>
  <c r="T132" i="116"/>
  <c r="R132" i="116" s="1"/>
  <c r="T131" i="116"/>
  <c r="R131" i="116" s="1"/>
  <c r="T130" i="116"/>
  <c r="R130" i="116" s="1"/>
  <c r="T129" i="116"/>
  <c r="R129" i="116" s="1"/>
  <c r="T128" i="116"/>
  <c r="R128" i="116" s="1"/>
  <c r="T127" i="116"/>
  <c r="R127" i="116" s="1"/>
  <c r="T124" i="116"/>
  <c r="R124" i="116" s="1"/>
  <c r="T123" i="116"/>
  <c r="R123" i="116" s="1"/>
  <c r="T122" i="116"/>
  <c r="R122" i="116" s="1"/>
  <c r="T121" i="116"/>
  <c r="R121" i="116" s="1"/>
  <c r="T120" i="116"/>
  <c r="R120" i="116" s="1"/>
  <c r="T119" i="116"/>
  <c r="R119" i="116" s="1"/>
  <c r="T116" i="116"/>
  <c r="R116" i="116" s="1"/>
  <c r="T115" i="116"/>
  <c r="R115" i="116" s="1"/>
  <c r="T114" i="116"/>
  <c r="R114" i="116" s="1"/>
  <c r="T113" i="116"/>
  <c r="R113" i="116" s="1"/>
  <c r="T112" i="116"/>
  <c r="R112" i="116" s="1"/>
  <c r="T111" i="116"/>
  <c r="R111" i="116" s="1"/>
  <c r="T108" i="116"/>
  <c r="R108" i="116" s="1"/>
  <c r="T107" i="116"/>
  <c r="R107" i="116" s="1"/>
  <c r="T106" i="116"/>
  <c r="R106" i="116" s="1"/>
  <c r="T105" i="116"/>
  <c r="R105" i="116" s="1"/>
  <c r="T104" i="116"/>
  <c r="R104" i="116" s="1"/>
  <c r="T103" i="116"/>
  <c r="R103" i="116" s="1"/>
  <c r="T100" i="116"/>
  <c r="R100" i="116" s="1"/>
  <c r="T99" i="116"/>
  <c r="R99" i="116" s="1"/>
  <c r="T98" i="116"/>
  <c r="R98" i="116" s="1"/>
  <c r="T97" i="116"/>
  <c r="R97" i="116" s="1"/>
  <c r="T96" i="116"/>
  <c r="R96" i="116" s="1"/>
  <c r="T95" i="116"/>
  <c r="R95" i="116" s="1"/>
  <c r="T92" i="116"/>
  <c r="R92" i="116" s="1"/>
  <c r="T91" i="116"/>
  <c r="R91" i="116" s="1"/>
  <c r="T90" i="116"/>
  <c r="R90" i="116" s="1"/>
  <c r="T89" i="116"/>
  <c r="R89" i="116" s="1"/>
  <c r="T88" i="116"/>
  <c r="R88" i="116" s="1"/>
  <c r="T87" i="116"/>
  <c r="R87" i="116" s="1"/>
  <c r="T84" i="116"/>
  <c r="R84" i="116" s="1"/>
  <c r="T83" i="116"/>
  <c r="R83" i="116" s="1"/>
  <c r="T82" i="116"/>
  <c r="R82" i="116" s="1"/>
  <c r="T81" i="116"/>
  <c r="R81" i="116" s="1"/>
  <c r="T80" i="116"/>
  <c r="R80" i="116" s="1"/>
  <c r="T79" i="116"/>
  <c r="R79" i="116" s="1"/>
  <c r="T76" i="116"/>
  <c r="R76" i="116" s="1"/>
  <c r="T75" i="116"/>
  <c r="R75" i="116" s="1"/>
  <c r="T74" i="116"/>
  <c r="R74" i="116" s="1"/>
  <c r="T73" i="116"/>
  <c r="R73" i="116" s="1"/>
  <c r="T72" i="116"/>
  <c r="R72" i="116" s="1"/>
  <c r="T71" i="116"/>
  <c r="R71" i="116" s="1"/>
  <c r="T68" i="116"/>
  <c r="R68" i="116" s="1"/>
  <c r="T67" i="116"/>
  <c r="R67" i="116" s="1"/>
  <c r="T66" i="116"/>
  <c r="R66" i="116" s="1"/>
  <c r="T65" i="116"/>
  <c r="R65" i="116" s="1"/>
  <c r="T64" i="116"/>
  <c r="R64" i="116" s="1"/>
  <c r="T63" i="116"/>
  <c r="R63" i="116" s="1"/>
  <c r="Z62" i="116"/>
  <c r="N62" i="116" s="1"/>
  <c r="T60" i="116"/>
  <c r="R60" i="116" s="1"/>
  <c r="T59" i="116"/>
  <c r="R59" i="116" s="1"/>
  <c r="T58" i="116"/>
  <c r="R58" i="116" s="1"/>
  <c r="T57" i="116"/>
  <c r="R57" i="116" s="1"/>
  <c r="T56" i="116"/>
  <c r="R56" i="116" s="1"/>
  <c r="T55" i="116"/>
  <c r="R55" i="116" s="1"/>
  <c r="N54" i="116"/>
  <c r="W37" i="116"/>
  <c r="W36" i="116" s="1"/>
  <c r="N37" i="116"/>
  <c r="I33" i="116"/>
  <c r="H33" i="116"/>
  <c r="G33" i="116"/>
  <c r="F33" i="116"/>
  <c r="E33" i="116"/>
  <c r="D33" i="116"/>
  <c r="I31" i="116"/>
  <c r="H31" i="116"/>
  <c r="G31" i="116"/>
  <c r="F31" i="116"/>
  <c r="E31" i="116"/>
  <c r="D31" i="116"/>
  <c r="I29" i="116"/>
  <c r="H29" i="116"/>
  <c r="G29" i="116"/>
  <c r="F29" i="116"/>
  <c r="E29" i="116"/>
  <c r="D29" i="116"/>
  <c r="I22" i="116"/>
  <c r="H22" i="116"/>
  <c r="G22" i="116"/>
  <c r="F22" i="116"/>
  <c r="E22" i="116"/>
  <c r="D22" i="116"/>
  <c r="I20" i="116"/>
  <c r="H20" i="116"/>
  <c r="G20" i="116"/>
  <c r="F20" i="116"/>
  <c r="E20" i="116"/>
  <c r="D20" i="116"/>
  <c r="Y18" i="116"/>
  <c r="I18" i="116"/>
  <c r="H18" i="116"/>
  <c r="G18" i="116"/>
  <c r="F18" i="116"/>
  <c r="E18" i="116"/>
  <c r="D18" i="116"/>
  <c r="D15" i="25"/>
  <c r="E15" i="25"/>
  <c r="F15" i="25"/>
  <c r="G15" i="25"/>
  <c r="H15" i="25"/>
  <c r="I15" i="25"/>
  <c r="Y15" i="25"/>
  <c r="Y16" i="25"/>
  <c r="D21" i="25"/>
  <c r="E21" i="25"/>
  <c r="F21" i="25"/>
  <c r="G21" i="25"/>
  <c r="H21" i="25"/>
  <c r="I21" i="25"/>
  <c r="N35" i="25"/>
  <c r="W35" i="25"/>
  <c r="W34" i="25" s="1"/>
  <c r="N53" i="25"/>
  <c r="T54" i="25"/>
  <c r="R54" i="25" s="1"/>
  <c r="T55" i="25"/>
  <c r="R55" i="25" s="1"/>
  <c r="T56" i="25"/>
  <c r="R56" i="25" s="1"/>
  <c r="T57" i="25"/>
  <c r="R57" i="25" s="1"/>
  <c r="T58" i="25"/>
  <c r="R58" i="25" s="1"/>
  <c r="T59" i="25"/>
  <c r="R59" i="25" s="1"/>
  <c r="Z61" i="25"/>
  <c r="N61" i="25" s="1"/>
  <c r="T62" i="25"/>
  <c r="R62" i="25" s="1"/>
  <c r="T63" i="25"/>
  <c r="R63" i="25" s="1"/>
  <c r="T64" i="25"/>
  <c r="R64" i="25" s="1"/>
  <c r="T65" i="25"/>
  <c r="R65" i="25" s="1"/>
  <c r="T66" i="25"/>
  <c r="R66" i="25" s="1"/>
  <c r="T67" i="25"/>
  <c r="R67" i="25" s="1"/>
  <c r="T70" i="25"/>
  <c r="R70" i="25" s="1"/>
  <c r="T71" i="25"/>
  <c r="R71" i="25" s="1"/>
  <c r="T72" i="25"/>
  <c r="R72" i="25" s="1"/>
  <c r="T73" i="25"/>
  <c r="R73" i="25" s="1"/>
  <c r="T74" i="25"/>
  <c r="R74" i="25" s="1"/>
  <c r="T75" i="25"/>
  <c r="R75" i="25" s="1"/>
  <c r="T78" i="25"/>
  <c r="R78" i="25" s="1"/>
  <c r="T79" i="25"/>
  <c r="R79" i="25" s="1"/>
  <c r="T80" i="25"/>
  <c r="R80" i="25" s="1"/>
  <c r="T81" i="25"/>
  <c r="R81" i="25" s="1"/>
  <c r="T82" i="25"/>
  <c r="R82" i="25" s="1"/>
  <c r="T83" i="25"/>
  <c r="R83" i="25" s="1"/>
  <c r="T86" i="25"/>
  <c r="R86" i="25" s="1"/>
  <c r="T87" i="25"/>
  <c r="R87" i="25" s="1"/>
  <c r="T88" i="25"/>
  <c r="R88" i="25" s="1"/>
  <c r="T89" i="25"/>
  <c r="R89" i="25" s="1"/>
  <c r="T90" i="25"/>
  <c r="R90" i="25" s="1"/>
  <c r="T91" i="25"/>
  <c r="R91" i="25" s="1"/>
  <c r="T94" i="25"/>
  <c r="R94" i="25" s="1"/>
  <c r="T95" i="25"/>
  <c r="R95" i="25" s="1"/>
  <c r="T96" i="25"/>
  <c r="R96" i="25" s="1"/>
  <c r="T97" i="25"/>
  <c r="R97" i="25" s="1"/>
  <c r="T98" i="25"/>
  <c r="R98" i="25" s="1"/>
  <c r="T99" i="25"/>
  <c r="R99" i="25" s="1"/>
  <c r="T102" i="25"/>
  <c r="R102" i="25" s="1"/>
  <c r="T103" i="25"/>
  <c r="R103" i="25" s="1"/>
  <c r="T104" i="25"/>
  <c r="R104" i="25" s="1"/>
  <c r="T105" i="25"/>
  <c r="R105" i="25" s="1"/>
  <c r="T106" i="25"/>
  <c r="R106" i="25" s="1"/>
  <c r="T107" i="25"/>
  <c r="R107" i="25" s="1"/>
  <c r="T110" i="25"/>
  <c r="R110" i="25" s="1"/>
  <c r="T111" i="25"/>
  <c r="R111" i="25" s="1"/>
  <c r="T112" i="25"/>
  <c r="R112" i="25" s="1"/>
  <c r="T113" i="25"/>
  <c r="R113" i="25" s="1"/>
  <c r="T114" i="25"/>
  <c r="R114" i="25" s="1"/>
  <c r="T115" i="25"/>
  <c r="R115" i="25" s="1"/>
  <c r="T118" i="25"/>
  <c r="R118" i="25" s="1"/>
  <c r="T119" i="25"/>
  <c r="R119" i="25" s="1"/>
  <c r="T120" i="25"/>
  <c r="R120" i="25" s="1"/>
  <c r="T121" i="25"/>
  <c r="R121" i="25" s="1"/>
  <c r="T122" i="25"/>
  <c r="R122" i="25" s="1"/>
  <c r="T123" i="25"/>
  <c r="R123" i="25" s="1"/>
  <c r="T126" i="25"/>
  <c r="R126" i="25" s="1"/>
  <c r="T127" i="25"/>
  <c r="R127" i="25" s="1"/>
  <c r="T128" i="25"/>
  <c r="R128" i="25" s="1"/>
  <c r="T129" i="25"/>
  <c r="R129" i="25" s="1"/>
  <c r="T130" i="25"/>
  <c r="R130" i="25" s="1"/>
  <c r="T131" i="25"/>
  <c r="R131" i="25" s="1"/>
  <c r="T134" i="25"/>
  <c r="R134" i="25" s="1"/>
  <c r="T135" i="25"/>
  <c r="R135" i="25" s="1"/>
  <c r="T136" i="25"/>
  <c r="R136" i="25" s="1"/>
  <c r="T137" i="25"/>
  <c r="R137" i="25" s="1"/>
  <c r="T138" i="25"/>
  <c r="R138" i="25" s="1"/>
  <c r="T139" i="25"/>
  <c r="R139" i="25" s="1"/>
  <c r="F4" i="111"/>
  <c r="D5" i="111"/>
  <c r="D14" i="111"/>
  <c r="E14" i="111"/>
  <c r="F14" i="111"/>
  <c r="G14" i="111"/>
  <c r="H14" i="111"/>
  <c r="I14" i="111"/>
  <c r="Y14" i="111"/>
  <c r="Y15" i="111"/>
  <c r="Y16" i="111"/>
  <c r="Y17" i="111"/>
  <c r="D18" i="111"/>
  <c r="E18" i="111"/>
  <c r="F18" i="111"/>
  <c r="G18" i="111"/>
  <c r="H18" i="111"/>
  <c r="I18" i="111"/>
  <c r="Y18" i="111"/>
  <c r="Y19" i="111"/>
  <c r="Y20" i="111"/>
  <c r="D21" i="111"/>
  <c r="E21" i="111"/>
  <c r="F21" i="111"/>
  <c r="G21" i="111"/>
  <c r="H21" i="111"/>
  <c r="I21" i="111"/>
  <c r="Y21" i="111"/>
  <c r="Y22" i="111"/>
  <c r="Y23" i="111"/>
  <c r="Y24" i="111"/>
  <c r="D25" i="111"/>
  <c r="E25" i="111"/>
  <c r="F25" i="111"/>
  <c r="G25" i="111"/>
  <c r="H25" i="111"/>
  <c r="I25" i="111"/>
  <c r="Y25" i="111"/>
  <c r="Y26" i="111"/>
  <c r="Y27" i="111"/>
  <c r="D28" i="111"/>
  <c r="E28" i="111"/>
  <c r="F28" i="111"/>
  <c r="G28" i="111"/>
  <c r="H28" i="111"/>
  <c r="I28" i="111"/>
  <c r="Y28" i="111"/>
  <c r="Y29" i="111"/>
  <c r="Y30" i="111"/>
  <c r="D31" i="111"/>
  <c r="E31" i="111"/>
  <c r="F31" i="111"/>
  <c r="G31" i="111"/>
  <c r="H31" i="111"/>
  <c r="I31" i="111"/>
  <c r="Y31" i="111"/>
  <c r="Y32" i="111"/>
  <c r="Y33" i="111"/>
  <c r="Y34" i="111"/>
  <c r="D34" i="111"/>
  <c r="E34" i="111"/>
  <c r="F34" i="111"/>
  <c r="G34" i="111"/>
  <c r="H34" i="111"/>
  <c r="I34" i="111"/>
  <c r="Y35" i="111"/>
  <c r="Y36" i="111"/>
  <c r="Y37" i="111"/>
  <c r="Y38" i="111"/>
  <c r="Y39" i="111"/>
  <c r="N41" i="111"/>
  <c r="W41" i="111"/>
  <c r="W40" i="111" s="1"/>
  <c r="N58" i="111"/>
  <c r="T59" i="111"/>
  <c r="R59" i="111" s="1"/>
  <c r="T60" i="111"/>
  <c r="R60" i="111" s="1"/>
  <c r="T61" i="111"/>
  <c r="R61" i="111" s="1"/>
  <c r="T62" i="111"/>
  <c r="R62" i="111" s="1"/>
  <c r="T63" i="111"/>
  <c r="R63" i="111" s="1"/>
  <c r="T64" i="111"/>
  <c r="R64" i="111" s="1"/>
  <c r="Z66" i="111"/>
  <c r="N66" i="111" s="1"/>
  <c r="T67" i="111"/>
  <c r="R67" i="111" s="1"/>
  <c r="T68" i="111"/>
  <c r="R68" i="111" s="1"/>
  <c r="T69" i="111"/>
  <c r="R69" i="111" s="1"/>
  <c r="T70" i="111"/>
  <c r="R70" i="111" s="1"/>
  <c r="T71" i="111"/>
  <c r="R71" i="111" s="1"/>
  <c r="T72" i="111"/>
  <c r="R72" i="111" s="1"/>
  <c r="T75" i="111"/>
  <c r="R75" i="111" s="1"/>
  <c r="T76" i="111"/>
  <c r="R76" i="111" s="1"/>
  <c r="T77" i="111"/>
  <c r="R77" i="111" s="1"/>
  <c r="T78" i="111"/>
  <c r="R78" i="111" s="1"/>
  <c r="T79" i="111"/>
  <c r="R79" i="111" s="1"/>
  <c r="T80" i="111"/>
  <c r="R80" i="111" s="1"/>
  <c r="T83" i="111"/>
  <c r="R83" i="111" s="1"/>
  <c r="T84" i="111"/>
  <c r="R84" i="111" s="1"/>
  <c r="T85" i="111"/>
  <c r="R85" i="111" s="1"/>
  <c r="T86" i="111"/>
  <c r="R86" i="111" s="1"/>
  <c r="T87" i="111"/>
  <c r="R87" i="111" s="1"/>
  <c r="T88" i="111"/>
  <c r="R88" i="111" s="1"/>
  <c r="T91" i="111"/>
  <c r="R91" i="111" s="1"/>
  <c r="T92" i="111"/>
  <c r="R92" i="111" s="1"/>
  <c r="T93" i="111"/>
  <c r="R93" i="111" s="1"/>
  <c r="T94" i="111"/>
  <c r="R94" i="111" s="1"/>
  <c r="T95" i="111"/>
  <c r="R95" i="111" s="1"/>
  <c r="T96" i="111"/>
  <c r="R96" i="111" s="1"/>
  <c r="T99" i="111"/>
  <c r="R99" i="111" s="1"/>
  <c r="T100" i="111"/>
  <c r="R100" i="111" s="1"/>
  <c r="T101" i="111"/>
  <c r="R101" i="111" s="1"/>
  <c r="T102" i="111"/>
  <c r="R102" i="111" s="1"/>
  <c r="T103" i="111"/>
  <c r="R103" i="111" s="1"/>
  <c r="T104" i="111"/>
  <c r="R104" i="111" s="1"/>
  <c r="T107" i="111"/>
  <c r="R107" i="111" s="1"/>
  <c r="T108" i="111"/>
  <c r="R108" i="111" s="1"/>
  <c r="T109" i="111"/>
  <c r="R109" i="111" s="1"/>
  <c r="T110" i="111"/>
  <c r="R110" i="111" s="1"/>
  <c r="T111" i="111"/>
  <c r="R111" i="111" s="1"/>
  <c r="T112" i="111"/>
  <c r="R112" i="111" s="1"/>
  <c r="T115" i="111"/>
  <c r="R115" i="111" s="1"/>
  <c r="T116" i="111"/>
  <c r="R116" i="111" s="1"/>
  <c r="T117" i="111"/>
  <c r="R117" i="111" s="1"/>
  <c r="T118" i="111"/>
  <c r="R118" i="111" s="1"/>
  <c r="T119" i="111"/>
  <c r="R119" i="111" s="1"/>
  <c r="T120" i="111"/>
  <c r="R120" i="111" s="1"/>
  <c r="T123" i="111"/>
  <c r="R123" i="111" s="1"/>
  <c r="T124" i="111"/>
  <c r="R124" i="111" s="1"/>
  <c r="T125" i="111"/>
  <c r="R125" i="111" s="1"/>
  <c r="T126" i="111"/>
  <c r="R126" i="111" s="1"/>
  <c r="T127" i="111"/>
  <c r="R127" i="111" s="1"/>
  <c r="T128" i="111"/>
  <c r="R128" i="111" s="1"/>
  <c r="T131" i="111"/>
  <c r="R131" i="111" s="1"/>
  <c r="T132" i="111"/>
  <c r="R132" i="111" s="1"/>
  <c r="T133" i="111"/>
  <c r="R133" i="111" s="1"/>
  <c r="T134" i="111"/>
  <c r="R134" i="111" s="1"/>
  <c r="T135" i="111"/>
  <c r="R135" i="111" s="1"/>
  <c r="T136" i="111"/>
  <c r="R136" i="111" s="1"/>
  <c r="T139" i="111"/>
  <c r="R139" i="111" s="1"/>
  <c r="T140" i="111"/>
  <c r="R140" i="111" s="1"/>
  <c r="T141" i="111"/>
  <c r="R141" i="111" s="1"/>
  <c r="T142" i="111"/>
  <c r="R142" i="111" s="1"/>
  <c r="T143" i="111"/>
  <c r="R143" i="111" s="1"/>
  <c r="T144" i="111"/>
  <c r="R144" i="111" s="1"/>
  <c r="T147" i="111"/>
  <c r="R147" i="111" s="1"/>
  <c r="T148" i="111"/>
  <c r="R148" i="111" s="1"/>
  <c r="T149" i="111"/>
  <c r="R149" i="111" s="1"/>
  <c r="T150" i="111"/>
  <c r="R150" i="111" s="1"/>
  <c r="T151" i="111"/>
  <c r="R151" i="111" s="1"/>
  <c r="T152" i="111"/>
  <c r="R152" i="111" s="1"/>
  <c r="T155" i="111"/>
  <c r="R155" i="111" s="1"/>
  <c r="T156" i="111"/>
  <c r="R156" i="111" s="1"/>
  <c r="T157" i="111"/>
  <c r="R157" i="111" s="1"/>
  <c r="T158" i="111"/>
  <c r="R158" i="111" s="1"/>
  <c r="T159" i="111"/>
  <c r="R159" i="111" s="1"/>
  <c r="T160" i="111"/>
  <c r="R160" i="111" s="1"/>
  <c r="T163" i="111"/>
  <c r="R163" i="111" s="1"/>
  <c r="T164" i="111"/>
  <c r="R164" i="111" s="1"/>
  <c r="T165" i="111"/>
  <c r="R165" i="111" s="1"/>
  <c r="T166" i="111"/>
  <c r="R166" i="111" s="1"/>
  <c r="T167" i="111"/>
  <c r="R167" i="111" s="1"/>
  <c r="T168" i="111"/>
  <c r="R168" i="111" s="1"/>
  <c r="T171" i="111"/>
  <c r="R171" i="111" s="1"/>
  <c r="T172" i="111"/>
  <c r="R172" i="111" s="1"/>
  <c r="T173" i="111"/>
  <c r="R173" i="111" s="1"/>
  <c r="T174" i="111"/>
  <c r="R174" i="111" s="1"/>
  <c r="T175" i="111"/>
  <c r="R175" i="111" s="1"/>
  <c r="T176" i="111"/>
  <c r="R176" i="111" s="1"/>
  <c r="T179" i="111"/>
  <c r="R179" i="111" s="1"/>
  <c r="T180" i="111"/>
  <c r="R180" i="111" s="1"/>
  <c r="T181" i="111"/>
  <c r="R181" i="111" s="1"/>
  <c r="T182" i="111"/>
  <c r="R182" i="111" s="1"/>
  <c r="T183" i="111"/>
  <c r="R183" i="111" s="1"/>
  <c r="T184" i="111"/>
  <c r="R184" i="111" s="1"/>
  <c r="T187" i="111"/>
  <c r="R187" i="111" s="1"/>
  <c r="T188" i="111"/>
  <c r="R188" i="111" s="1"/>
  <c r="T189" i="111"/>
  <c r="R189" i="111" s="1"/>
  <c r="T190" i="111"/>
  <c r="R190" i="111" s="1"/>
  <c r="T191" i="111"/>
  <c r="R191" i="111" s="1"/>
  <c r="T192" i="111"/>
  <c r="R192" i="111" s="1"/>
  <c r="T195" i="111"/>
  <c r="R195" i="111" s="1"/>
  <c r="T196" i="111"/>
  <c r="R196" i="111" s="1"/>
  <c r="T197" i="111"/>
  <c r="R197" i="111" s="1"/>
  <c r="T198" i="111"/>
  <c r="R198" i="111" s="1"/>
  <c r="T199" i="111"/>
  <c r="R199" i="111" s="1"/>
  <c r="T200" i="111"/>
  <c r="R200" i="111" s="1"/>
  <c r="F4" i="109"/>
  <c r="D5" i="109"/>
  <c r="D50" i="109" s="1" a="1"/>
  <c r="D12" i="109"/>
  <c r="E12" i="109"/>
  <c r="F12" i="109"/>
  <c r="G12" i="109"/>
  <c r="H12" i="109"/>
  <c r="I12" i="109"/>
  <c r="Y12" i="109"/>
  <c r="Y13" i="109"/>
  <c r="D15" i="109"/>
  <c r="E15" i="109"/>
  <c r="F15" i="109"/>
  <c r="G15" i="109"/>
  <c r="H15" i="109"/>
  <c r="I15" i="109"/>
  <c r="D18" i="109"/>
  <c r="E18" i="109"/>
  <c r="F18" i="109"/>
  <c r="G18" i="109"/>
  <c r="H18" i="109"/>
  <c r="I18" i="109"/>
  <c r="D28" i="109"/>
  <c r="E28" i="109"/>
  <c r="F28" i="109"/>
  <c r="G28" i="109"/>
  <c r="H28" i="109"/>
  <c r="I28" i="109"/>
  <c r="D30" i="109"/>
  <c r="E30" i="109"/>
  <c r="F30" i="109"/>
  <c r="G30" i="109"/>
  <c r="H30" i="109"/>
  <c r="I30" i="109"/>
  <c r="D37" i="109"/>
  <c r="E37" i="109"/>
  <c r="F37" i="109"/>
  <c r="G37" i="109"/>
  <c r="H37" i="109"/>
  <c r="I37" i="109"/>
  <c r="N43" i="109"/>
  <c r="W43" i="109"/>
  <c r="W42" i="109" s="1"/>
  <c r="N74" i="109"/>
  <c r="T75" i="109"/>
  <c r="R75" i="109" s="1"/>
  <c r="T76" i="109"/>
  <c r="R76" i="109" s="1"/>
  <c r="T77" i="109"/>
  <c r="R77" i="109" s="1"/>
  <c r="T78" i="109"/>
  <c r="R78" i="109" s="1"/>
  <c r="T79" i="109"/>
  <c r="R79" i="109" s="1"/>
  <c r="T80" i="109"/>
  <c r="R80" i="109" s="1"/>
  <c r="Z82" i="109"/>
  <c r="T83" i="109"/>
  <c r="R83" i="109" s="1"/>
  <c r="T84" i="109"/>
  <c r="R84" i="109" s="1"/>
  <c r="T85" i="109"/>
  <c r="R85" i="109" s="1"/>
  <c r="T86" i="109"/>
  <c r="R86" i="109" s="1"/>
  <c r="T87" i="109"/>
  <c r="R87" i="109" s="1"/>
  <c r="T88" i="109"/>
  <c r="R88" i="109" s="1"/>
  <c r="T91" i="109"/>
  <c r="R91" i="109" s="1"/>
  <c r="T92" i="109"/>
  <c r="R92" i="109" s="1"/>
  <c r="T93" i="109"/>
  <c r="R93" i="109" s="1"/>
  <c r="T94" i="109"/>
  <c r="R94" i="109" s="1"/>
  <c r="T95" i="109"/>
  <c r="R95" i="109" s="1"/>
  <c r="T96" i="109"/>
  <c r="R96" i="109" s="1"/>
  <c r="T99" i="109"/>
  <c r="R99" i="109" s="1"/>
  <c r="T100" i="109"/>
  <c r="R100" i="109" s="1"/>
  <c r="T101" i="109"/>
  <c r="R101" i="109" s="1"/>
  <c r="T102" i="109"/>
  <c r="R102" i="109" s="1"/>
  <c r="T103" i="109"/>
  <c r="R103" i="109" s="1"/>
  <c r="T104" i="109"/>
  <c r="R104" i="109" s="1"/>
  <c r="T107" i="109"/>
  <c r="R107" i="109" s="1"/>
  <c r="T108" i="109"/>
  <c r="R108" i="109" s="1"/>
  <c r="T109" i="109"/>
  <c r="R109" i="109" s="1"/>
  <c r="T110" i="109"/>
  <c r="R110" i="109" s="1"/>
  <c r="T111" i="109"/>
  <c r="R111" i="109" s="1"/>
  <c r="T112" i="109"/>
  <c r="R112" i="109" s="1"/>
  <c r="T115" i="109"/>
  <c r="R115" i="109" s="1"/>
  <c r="T116" i="109"/>
  <c r="R116" i="109" s="1"/>
  <c r="T117" i="109"/>
  <c r="R117" i="109" s="1"/>
  <c r="T118" i="109"/>
  <c r="R118" i="109" s="1"/>
  <c r="T119" i="109"/>
  <c r="R119" i="109" s="1"/>
  <c r="T120" i="109"/>
  <c r="R120" i="109" s="1"/>
  <c r="T123" i="109"/>
  <c r="R123" i="109" s="1"/>
  <c r="T124" i="109"/>
  <c r="R124" i="109" s="1"/>
  <c r="T125" i="109"/>
  <c r="R125" i="109" s="1"/>
  <c r="T126" i="109"/>
  <c r="R126" i="109" s="1"/>
  <c r="T127" i="109"/>
  <c r="R127" i="109" s="1"/>
  <c r="T128" i="109"/>
  <c r="R128" i="109" s="1"/>
  <c r="T131" i="109"/>
  <c r="R131" i="109" s="1"/>
  <c r="T132" i="109"/>
  <c r="R132" i="109" s="1"/>
  <c r="T133" i="109"/>
  <c r="R133" i="109" s="1"/>
  <c r="T134" i="109"/>
  <c r="R134" i="109" s="1"/>
  <c r="T135" i="109"/>
  <c r="R135" i="109" s="1"/>
  <c r="T136" i="109"/>
  <c r="R136" i="109" s="1"/>
  <c r="T139" i="109"/>
  <c r="R139" i="109" s="1"/>
  <c r="T140" i="109"/>
  <c r="R140" i="109" s="1"/>
  <c r="T141" i="109"/>
  <c r="R141" i="109" s="1"/>
  <c r="T142" i="109"/>
  <c r="R142" i="109" s="1"/>
  <c r="T143" i="109"/>
  <c r="R143" i="109" s="1"/>
  <c r="T144" i="109"/>
  <c r="R144" i="109" s="1"/>
  <c r="T147" i="109"/>
  <c r="R147" i="109" s="1"/>
  <c r="T148" i="109"/>
  <c r="R148" i="109" s="1"/>
  <c r="T149" i="109"/>
  <c r="R149" i="109" s="1"/>
  <c r="T150" i="109"/>
  <c r="R150" i="109" s="1"/>
  <c r="T151" i="109"/>
  <c r="R151" i="109" s="1"/>
  <c r="T152" i="109"/>
  <c r="R152" i="109" s="1"/>
  <c r="T155" i="109"/>
  <c r="R155" i="109" s="1"/>
  <c r="T156" i="109"/>
  <c r="R156" i="109" s="1"/>
  <c r="T157" i="109"/>
  <c r="R157" i="109" s="1"/>
  <c r="T158" i="109"/>
  <c r="R158" i="109" s="1"/>
  <c r="T159" i="109"/>
  <c r="R159" i="109" s="1"/>
  <c r="T160" i="109"/>
  <c r="R160" i="109" s="1"/>
  <c r="T163" i="109"/>
  <c r="R163" i="109" s="1"/>
  <c r="T164" i="109"/>
  <c r="R164" i="109" s="1"/>
  <c r="T165" i="109"/>
  <c r="R165" i="109" s="1"/>
  <c r="T166" i="109"/>
  <c r="R166" i="109" s="1"/>
  <c r="T167" i="109"/>
  <c r="R167" i="109" s="1"/>
  <c r="T168" i="109"/>
  <c r="R168" i="109" s="1"/>
  <c r="T171" i="109"/>
  <c r="R171" i="109" s="1"/>
  <c r="T172" i="109"/>
  <c r="R172" i="109" s="1"/>
  <c r="T173" i="109"/>
  <c r="R173" i="109" s="1"/>
  <c r="T174" i="109"/>
  <c r="R174" i="109" s="1"/>
  <c r="T175" i="109"/>
  <c r="R175" i="109" s="1"/>
  <c r="T176" i="109"/>
  <c r="R176" i="109" s="1"/>
  <c r="T179" i="109"/>
  <c r="R179" i="109" s="1"/>
  <c r="T180" i="109"/>
  <c r="R180" i="109" s="1"/>
  <c r="T181" i="109"/>
  <c r="R181" i="109" s="1"/>
  <c r="T182" i="109"/>
  <c r="R182" i="109" s="1"/>
  <c r="T183" i="109"/>
  <c r="R183" i="109" s="1"/>
  <c r="T184" i="109"/>
  <c r="R184" i="109" s="1"/>
  <c r="F4" i="108"/>
  <c r="D19" i="108"/>
  <c r="E19" i="108"/>
  <c r="F19" i="108"/>
  <c r="G19" i="108"/>
  <c r="H19" i="108"/>
  <c r="I19" i="108"/>
  <c r="Y19" i="108"/>
  <c r="Y20" i="108"/>
  <c r="D37" i="108"/>
  <c r="E37" i="108"/>
  <c r="F37" i="108"/>
  <c r="G37" i="108"/>
  <c r="H37" i="108"/>
  <c r="I37" i="108"/>
  <c r="D42" i="108"/>
  <c r="E42" i="108"/>
  <c r="F42" i="108"/>
  <c r="G42" i="108"/>
  <c r="H42" i="108"/>
  <c r="I42" i="108"/>
  <c r="D44" i="108"/>
  <c r="E44" i="108"/>
  <c r="F44" i="108"/>
  <c r="G44" i="108"/>
  <c r="H44" i="108"/>
  <c r="I44" i="108"/>
  <c r="N51" i="108"/>
  <c r="W51" i="108"/>
  <c r="W50" i="108" s="1"/>
  <c r="N68" i="108"/>
  <c r="T69" i="108"/>
  <c r="R69" i="108" s="1"/>
  <c r="T70" i="108"/>
  <c r="R70" i="108" s="1"/>
  <c r="T71" i="108"/>
  <c r="R71" i="108" s="1"/>
  <c r="T72" i="108"/>
  <c r="R72" i="108" s="1"/>
  <c r="T73" i="108"/>
  <c r="R73" i="108" s="1"/>
  <c r="T74" i="108"/>
  <c r="R74" i="108" s="1"/>
  <c r="Z76" i="108"/>
  <c r="N76" i="108" s="1"/>
  <c r="T77" i="108"/>
  <c r="R77" i="108" s="1"/>
  <c r="T78" i="108"/>
  <c r="R78" i="108" s="1"/>
  <c r="T79" i="108"/>
  <c r="R79" i="108" s="1"/>
  <c r="T80" i="108"/>
  <c r="R80" i="108" s="1"/>
  <c r="T81" i="108"/>
  <c r="R81" i="108" s="1"/>
  <c r="T82" i="108"/>
  <c r="R82" i="108" s="1"/>
  <c r="T85" i="108"/>
  <c r="R85" i="108" s="1"/>
  <c r="T86" i="108"/>
  <c r="R86" i="108" s="1"/>
  <c r="T87" i="108"/>
  <c r="R87" i="108" s="1"/>
  <c r="T88" i="108"/>
  <c r="R88" i="108" s="1"/>
  <c r="T89" i="108"/>
  <c r="R89" i="108" s="1"/>
  <c r="T90" i="108"/>
  <c r="R90" i="108" s="1"/>
  <c r="T93" i="108"/>
  <c r="R93" i="108" s="1"/>
  <c r="T94" i="108"/>
  <c r="R94" i="108" s="1"/>
  <c r="T95" i="108"/>
  <c r="R95" i="108" s="1"/>
  <c r="T96" i="108"/>
  <c r="R96" i="108" s="1"/>
  <c r="T97" i="108"/>
  <c r="R97" i="108" s="1"/>
  <c r="T98" i="108"/>
  <c r="R98" i="108" s="1"/>
  <c r="T101" i="108"/>
  <c r="R101" i="108" s="1"/>
  <c r="T102" i="108"/>
  <c r="R102" i="108" s="1"/>
  <c r="T103" i="108"/>
  <c r="R103" i="108" s="1"/>
  <c r="T104" i="108"/>
  <c r="R104" i="108" s="1"/>
  <c r="T105" i="108"/>
  <c r="R105" i="108" s="1"/>
  <c r="T106" i="108"/>
  <c r="R106" i="108" s="1"/>
  <c r="T109" i="108"/>
  <c r="R109" i="108" s="1"/>
  <c r="T110" i="108"/>
  <c r="R110" i="108" s="1"/>
  <c r="T111" i="108"/>
  <c r="R111" i="108" s="1"/>
  <c r="T112" i="108"/>
  <c r="R112" i="108" s="1"/>
  <c r="T113" i="108"/>
  <c r="R113" i="108" s="1"/>
  <c r="T114" i="108"/>
  <c r="R114" i="108" s="1"/>
  <c r="T117" i="108"/>
  <c r="R117" i="108" s="1"/>
  <c r="T118" i="108"/>
  <c r="R118" i="108" s="1"/>
  <c r="T119" i="108"/>
  <c r="R119" i="108" s="1"/>
  <c r="T120" i="108"/>
  <c r="R120" i="108" s="1"/>
  <c r="T121" i="108"/>
  <c r="R121" i="108" s="1"/>
  <c r="T122" i="108"/>
  <c r="R122" i="108" s="1"/>
  <c r="T125" i="108"/>
  <c r="R125" i="108" s="1"/>
  <c r="T126" i="108"/>
  <c r="R126" i="108" s="1"/>
  <c r="T127" i="108"/>
  <c r="R127" i="108" s="1"/>
  <c r="T128" i="108"/>
  <c r="R128" i="108" s="1"/>
  <c r="T129" i="108"/>
  <c r="R129" i="108" s="1"/>
  <c r="T130" i="108"/>
  <c r="R130" i="108" s="1"/>
  <c r="T133" i="108"/>
  <c r="R133" i="108" s="1"/>
  <c r="T134" i="108"/>
  <c r="R134" i="108" s="1"/>
  <c r="T135" i="108"/>
  <c r="R135" i="108" s="1"/>
  <c r="T136" i="108"/>
  <c r="R136" i="108" s="1"/>
  <c r="T137" i="108"/>
  <c r="R137" i="108" s="1"/>
  <c r="T138" i="108"/>
  <c r="R138" i="108" s="1"/>
  <c r="T141" i="108"/>
  <c r="R141" i="108" s="1"/>
  <c r="T142" i="108"/>
  <c r="R142" i="108" s="1"/>
  <c r="T143" i="108"/>
  <c r="R143" i="108" s="1"/>
  <c r="T144" i="108"/>
  <c r="R144" i="108" s="1"/>
  <c r="T145" i="108"/>
  <c r="R145" i="108" s="1"/>
  <c r="T146" i="108"/>
  <c r="R146" i="108" s="1"/>
  <c r="T149" i="108"/>
  <c r="R149" i="108" s="1"/>
  <c r="T150" i="108"/>
  <c r="R150" i="108" s="1"/>
  <c r="T151" i="108"/>
  <c r="R151" i="108" s="1"/>
  <c r="T152" i="108"/>
  <c r="R152" i="108" s="1"/>
  <c r="T153" i="108"/>
  <c r="R153" i="108" s="1"/>
  <c r="T154" i="108"/>
  <c r="R154" i="108" s="1"/>
  <c r="T157" i="108"/>
  <c r="R157" i="108" s="1"/>
  <c r="T158" i="108"/>
  <c r="R158" i="108" s="1"/>
  <c r="T159" i="108"/>
  <c r="R159" i="108" s="1"/>
  <c r="T160" i="108"/>
  <c r="R160" i="108" s="1"/>
  <c r="T161" i="108"/>
  <c r="R161" i="108" s="1"/>
  <c r="T162" i="108"/>
  <c r="R162" i="108" s="1"/>
  <c r="T165" i="108"/>
  <c r="R165" i="108" s="1"/>
  <c r="T166" i="108"/>
  <c r="R166" i="108" s="1"/>
  <c r="T167" i="108"/>
  <c r="R167" i="108" s="1"/>
  <c r="T168" i="108"/>
  <c r="R168" i="108" s="1"/>
  <c r="T169" i="108"/>
  <c r="R169" i="108" s="1"/>
  <c r="T170" i="108"/>
  <c r="R170" i="108" s="1"/>
  <c r="T173" i="108"/>
  <c r="R173" i="108" s="1"/>
  <c r="T174" i="108"/>
  <c r="R174" i="108" s="1"/>
  <c r="T175" i="108"/>
  <c r="R175" i="108" s="1"/>
  <c r="T176" i="108"/>
  <c r="R176" i="108" s="1"/>
  <c r="T177" i="108"/>
  <c r="R177" i="108" s="1"/>
  <c r="T178" i="108"/>
  <c r="R178" i="108" s="1"/>
  <c r="T181" i="108"/>
  <c r="R181" i="108" s="1"/>
  <c r="T182" i="108"/>
  <c r="R182" i="108" s="1"/>
  <c r="T183" i="108"/>
  <c r="R183" i="108" s="1"/>
  <c r="T184" i="108"/>
  <c r="R184" i="108" s="1"/>
  <c r="T185" i="108"/>
  <c r="R185" i="108" s="1"/>
  <c r="T186" i="108"/>
  <c r="R186" i="108" s="1"/>
  <c r="T189" i="108"/>
  <c r="R189" i="108" s="1"/>
  <c r="T190" i="108"/>
  <c r="R190" i="108" s="1"/>
  <c r="T191" i="108"/>
  <c r="R191" i="108" s="1"/>
  <c r="T192" i="108"/>
  <c r="R192" i="108" s="1"/>
  <c r="T193" i="108"/>
  <c r="R193" i="108" s="1"/>
  <c r="T194" i="108"/>
  <c r="R194" i="108" s="1"/>
  <c r="T197" i="108"/>
  <c r="R197" i="108" s="1"/>
  <c r="T198" i="108"/>
  <c r="R198" i="108" s="1"/>
  <c r="T199" i="108"/>
  <c r="R199" i="108" s="1"/>
  <c r="T200" i="108"/>
  <c r="R200" i="108" s="1"/>
  <c r="T201" i="108"/>
  <c r="R201" i="108" s="1"/>
  <c r="T202" i="108"/>
  <c r="R202" i="108" s="1"/>
  <c r="T205" i="108"/>
  <c r="R205" i="108" s="1"/>
  <c r="T206" i="108"/>
  <c r="R206" i="108" s="1"/>
  <c r="T207" i="108"/>
  <c r="R207" i="108" s="1"/>
  <c r="T208" i="108"/>
  <c r="R208" i="108" s="1"/>
  <c r="T209" i="108"/>
  <c r="R209" i="108" s="1"/>
  <c r="T210" i="108"/>
  <c r="R210" i="108" s="1"/>
  <c r="T213" i="108"/>
  <c r="R213" i="108" s="1"/>
  <c r="T214" i="108"/>
  <c r="R214" i="108" s="1"/>
  <c r="T215" i="108"/>
  <c r="R215" i="108" s="1"/>
  <c r="T216" i="108"/>
  <c r="R216" i="108" s="1"/>
  <c r="T217" i="108"/>
  <c r="R217" i="108" s="1"/>
  <c r="T218" i="108"/>
  <c r="R218" i="108" s="1"/>
  <c r="T221" i="108"/>
  <c r="R221" i="108" s="1"/>
  <c r="T222" i="108"/>
  <c r="R222" i="108" s="1"/>
  <c r="T223" i="108"/>
  <c r="R223" i="108" s="1"/>
  <c r="T224" i="108"/>
  <c r="R224" i="108" s="1"/>
  <c r="T225" i="108"/>
  <c r="R225" i="108" s="1"/>
  <c r="T226" i="108"/>
  <c r="R226" i="108" s="1"/>
  <c r="F4" i="106"/>
  <c r="D5" i="106"/>
  <c r="D15" i="106"/>
  <c r="E15" i="106"/>
  <c r="F15" i="106"/>
  <c r="G15" i="106"/>
  <c r="H15" i="106"/>
  <c r="I15" i="106"/>
  <c r="Y15" i="106"/>
  <c r="Y16" i="106"/>
  <c r="D17" i="106"/>
  <c r="E17" i="106"/>
  <c r="F17" i="106"/>
  <c r="G17" i="106"/>
  <c r="H17" i="106"/>
  <c r="I17" i="106"/>
  <c r="Y17" i="106"/>
  <c r="Y18" i="106"/>
  <c r="Y19" i="106"/>
  <c r="Y20" i="106"/>
  <c r="Y21" i="106"/>
  <c r="Y22" i="106"/>
  <c r="D23" i="106"/>
  <c r="E23" i="106"/>
  <c r="F23" i="106"/>
  <c r="G23" i="106"/>
  <c r="H23" i="106"/>
  <c r="I23" i="106"/>
  <c r="Y23" i="106"/>
  <c r="Y24" i="106"/>
  <c r="Y25" i="106"/>
  <c r="D25" i="106"/>
  <c r="E25" i="106"/>
  <c r="F25" i="106"/>
  <c r="G25" i="106"/>
  <c r="H25" i="106"/>
  <c r="I25" i="106"/>
  <c r="Y26" i="106"/>
  <c r="Y27" i="106"/>
  <c r="Y28" i="106"/>
  <c r="N30" i="106"/>
  <c r="W30" i="106"/>
  <c r="W29" i="106" s="1"/>
  <c r="D40" i="106" a="1"/>
  <c r="D40" i="106" s="1"/>
  <c r="N47" i="106"/>
  <c r="T48" i="106"/>
  <c r="R48" i="106" s="1"/>
  <c r="T49" i="106"/>
  <c r="R49" i="106" s="1"/>
  <c r="T50" i="106"/>
  <c r="R50" i="106" s="1"/>
  <c r="T51" i="106"/>
  <c r="R51" i="106" s="1"/>
  <c r="T52" i="106"/>
  <c r="R52" i="106" s="1"/>
  <c r="T53" i="106"/>
  <c r="R53" i="106" s="1"/>
  <c r="Z55" i="106"/>
  <c r="T56" i="106"/>
  <c r="R56" i="106" s="1"/>
  <c r="T57" i="106"/>
  <c r="R57" i="106" s="1"/>
  <c r="T58" i="106"/>
  <c r="R58" i="106" s="1"/>
  <c r="T59" i="106"/>
  <c r="R59" i="106" s="1"/>
  <c r="T60" i="106"/>
  <c r="R60" i="106" s="1"/>
  <c r="T61" i="106"/>
  <c r="R61" i="106" s="1"/>
  <c r="T64" i="106"/>
  <c r="R64" i="106" s="1"/>
  <c r="T65" i="106"/>
  <c r="R65" i="106" s="1"/>
  <c r="T66" i="106"/>
  <c r="R66" i="106" s="1"/>
  <c r="T67" i="106"/>
  <c r="R67" i="106" s="1"/>
  <c r="T68" i="106"/>
  <c r="R68" i="106" s="1"/>
  <c r="T69" i="106"/>
  <c r="R69" i="106" s="1"/>
  <c r="T72" i="106"/>
  <c r="R72" i="106" s="1"/>
  <c r="T73" i="106"/>
  <c r="R73" i="106" s="1"/>
  <c r="T74" i="106"/>
  <c r="R74" i="106" s="1"/>
  <c r="T75" i="106"/>
  <c r="R75" i="106" s="1"/>
  <c r="T76" i="106"/>
  <c r="R76" i="106" s="1"/>
  <c r="T77" i="106"/>
  <c r="R77" i="106" s="1"/>
  <c r="T80" i="106"/>
  <c r="R80" i="106" s="1"/>
  <c r="T81" i="106"/>
  <c r="R81" i="106" s="1"/>
  <c r="T82" i="106"/>
  <c r="R82" i="106" s="1"/>
  <c r="T83" i="106"/>
  <c r="R83" i="106" s="1"/>
  <c r="T84" i="106"/>
  <c r="R84" i="106" s="1"/>
  <c r="T85" i="106"/>
  <c r="R85" i="106" s="1"/>
  <c r="T88" i="106"/>
  <c r="R88" i="106" s="1"/>
  <c r="T89" i="106"/>
  <c r="R89" i="106" s="1"/>
  <c r="T90" i="106"/>
  <c r="R90" i="106" s="1"/>
  <c r="T91" i="106"/>
  <c r="R91" i="106" s="1"/>
  <c r="T92" i="106"/>
  <c r="R92" i="106" s="1"/>
  <c r="T93" i="106"/>
  <c r="R93" i="106" s="1"/>
  <c r="T96" i="106"/>
  <c r="R96" i="106" s="1"/>
  <c r="T97" i="106"/>
  <c r="R97" i="106" s="1"/>
  <c r="T98" i="106"/>
  <c r="R98" i="106" s="1"/>
  <c r="T99" i="106"/>
  <c r="R99" i="106" s="1"/>
  <c r="T100" i="106"/>
  <c r="R100" i="106" s="1"/>
  <c r="T101" i="106"/>
  <c r="R101" i="106" s="1"/>
  <c r="T104" i="106"/>
  <c r="R104" i="106" s="1"/>
  <c r="T105" i="106"/>
  <c r="R105" i="106" s="1"/>
  <c r="T106" i="106"/>
  <c r="R106" i="106" s="1"/>
  <c r="T107" i="106"/>
  <c r="R107" i="106" s="1"/>
  <c r="T108" i="106"/>
  <c r="R108" i="106" s="1"/>
  <c r="T109" i="106"/>
  <c r="R109" i="106" s="1"/>
  <c r="T112" i="106"/>
  <c r="R112" i="106" s="1"/>
  <c r="T113" i="106"/>
  <c r="R113" i="106" s="1"/>
  <c r="T114" i="106"/>
  <c r="R114" i="106" s="1"/>
  <c r="T115" i="106"/>
  <c r="R115" i="106" s="1"/>
  <c r="T116" i="106"/>
  <c r="R116" i="106" s="1"/>
  <c r="T117" i="106"/>
  <c r="R117" i="106" s="1"/>
  <c r="F4" i="105"/>
  <c r="D5" i="105"/>
  <c r="D12" i="105"/>
  <c r="E12" i="105"/>
  <c r="F12" i="105"/>
  <c r="G12" i="105"/>
  <c r="H12" i="105"/>
  <c r="I12" i="105"/>
  <c r="Y12" i="105"/>
  <c r="Y13" i="105"/>
  <c r="D14" i="105"/>
  <c r="E14" i="105"/>
  <c r="F14" i="105"/>
  <c r="G14" i="105"/>
  <c r="H14" i="105"/>
  <c r="I14" i="105"/>
  <c r="D17" i="105"/>
  <c r="E17" i="105"/>
  <c r="F17" i="105"/>
  <c r="G17" i="105"/>
  <c r="H17" i="105"/>
  <c r="I17" i="105"/>
  <c r="D22" i="105"/>
  <c r="E22" i="105"/>
  <c r="F22" i="105"/>
  <c r="G22" i="105"/>
  <c r="H22" i="105"/>
  <c r="I22" i="105"/>
  <c r="N29" i="105"/>
  <c r="W29" i="105"/>
  <c r="W28" i="105" s="1"/>
  <c r="D40" i="105" a="1"/>
  <c r="E40" i="105" s="1"/>
  <c r="N60" i="105"/>
  <c r="T61" i="105"/>
  <c r="R61" i="105" s="1"/>
  <c r="T62" i="105"/>
  <c r="R62" i="105" s="1"/>
  <c r="T63" i="105"/>
  <c r="R63" i="105" s="1"/>
  <c r="T64" i="105"/>
  <c r="R64" i="105" s="1"/>
  <c r="T65" i="105"/>
  <c r="R65" i="105" s="1"/>
  <c r="T66" i="105"/>
  <c r="R66" i="105" s="1"/>
  <c r="Z68" i="105"/>
  <c r="Z76" i="105" s="1"/>
  <c r="T69" i="105"/>
  <c r="R69" i="105" s="1"/>
  <c r="T70" i="105"/>
  <c r="R70" i="105" s="1"/>
  <c r="T71" i="105"/>
  <c r="R71" i="105" s="1"/>
  <c r="T72" i="105"/>
  <c r="R72" i="105" s="1"/>
  <c r="T73" i="105"/>
  <c r="R73" i="105" s="1"/>
  <c r="T74" i="105"/>
  <c r="R74" i="105" s="1"/>
  <c r="T77" i="105"/>
  <c r="R77" i="105" s="1"/>
  <c r="T78" i="105"/>
  <c r="R78" i="105" s="1"/>
  <c r="T79" i="105"/>
  <c r="R79" i="105" s="1"/>
  <c r="T80" i="105"/>
  <c r="R80" i="105" s="1"/>
  <c r="T81" i="105"/>
  <c r="R81" i="105" s="1"/>
  <c r="T82" i="105"/>
  <c r="R82" i="105" s="1"/>
  <c r="T85" i="105"/>
  <c r="R85" i="105" s="1"/>
  <c r="T86" i="105"/>
  <c r="R86" i="105" s="1"/>
  <c r="T87" i="105"/>
  <c r="R87" i="105" s="1"/>
  <c r="T88" i="105"/>
  <c r="R88" i="105" s="1"/>
  <c r="T89" i="105"/>
  <c r="R89" i="105" s="1"/>
  <c r="T90" i="105"/>
  <c r="R90" i="105" s="1"/>
  <c r="T93" i="105"/>
  <c r="R93" i="105" s="1"/>
  <c r="T94" i="105"/>
  <c r="R94" i="105" s="1"/>
  <c r="T95" i="105"/>
  <c r="R95" i="105" s="1"/>
  <c r="T96" i="105"/>
  <c r="R96" i="105" s="1"/>
  <c r="T97" i="105"/>
  <c r="R97" i="105" s="1"/>
  <c r="T98" i="105"/>
  <c r="R98" i="105" s="1"/>
  <c r="T101" i="105"/>
  <c r="R101" i="105" s="1"/>
  <c r="T102" i="105"/>
  <c r="R102" i="105" s="1"/>
  <c r="T103" i="105"/>
  <c r="R103" i="105" s="1"/>
  <c r="T104" i="105"/>
  <c r="R104" i="105" s="1"/>
  <c r="T105" i="105"/>
  <c r="R105" i="105" s="1"/>
  <c r="T106" i="105"/>
  <c r="R106" i="105" s="1"/>
  <c r="T109" i="105"/>
  <c r="R109" i="105" s="1"/>
  <c r="T110" i="105"/>
  <c r="R110" i="105" s="1"/>
  <c r="T111" i="105"/>
  <c r="R111" i="105" s="1"/>
  <c r="T112" i="105"/>
  <c r="R112" i="105" s="1"/>
  <c r="T113" i="105"/>
  <c r="R113" i="105" s="1"/>
  <c r="T114" i="105"/>
  <c r="R114" i="105" s="1"/>
  <c r="T117" i="105"/>
  <c r="R117" i="105" s="1"/>
  <c r="T118" i="105"/>
  <c r="R118" i="105" s="1"/>
  <c r="T119" i="105"/>
  <c r="R119" i="105" s="1"/>
  <c r="T120" i="105"/>
  <c r="R120" i="105" s="1"/>
  <c r="T121" i="105"/>
  <c r="R121" i="105" s="1"/>
  <c r="T122" i="105"/>
  <c r="R122" i="105" s="1"/>
  <c r="T125" i="105"/>
  <c r="R125" i="105" s="1"/>
  <c r="T126" i="105"/>
  <c r="R126" i="105" s="1"/>
  <c r="T127" i="105"/>
  <c r="R127" i="105" s="1"/>
  <c r="T128" i="105"/>
  <c r="R128" i="105" s="1"/>
  <c r="T129" i="105"/>
  <c r="R129" i="105" s="1"/>
  <c r="T130" i="105"/>
  <c r="R130" i="105" s="1"/>
  <c r="T133" i="105"/>
  <c r="R133" i="105" s="1"/>
  <c r="T134" i="105"/>
  <c r="R134" i="105" s="1"/>
  <c r="T135" i="105"/>
  <c r="R135" i="105" s="1"/>
  <c r="T136" i="105"/>
  <c r="R136" i="105" s="1"/>
  <c r="T137" i="105"/>
  <c r="R137" i="105" s="1"/>
  <c r="T138" i="105"/>
  <c r="R138" i="105" s="1"/>
  <c r="T141" i="105"/>
  <c r="R141" i="105" s="1"/>
  <c r="T142" i="105"/>
  <c r="R142" i="105" s="1"/>
  <c r="T143" i="105"/>
  <c r="R143" i="105" s="1"/>
  <c r="T144" i="105"/>
  <c r="R144" i="105" s="1"/>
  <c r="T145" i="105"/>
  <c r="R145" i="105" s="1"/>
  <c r="T146" i="105"/>
  <c r="R146" i="105" s="1"/>
  <c r="F3" i="103"/>
  <c r="F4" i="103" s="1"/>
  <c r="D5" i="103"/>
  <c r="D17" i="103"/>
  <c r="E17" i="103"/>
  <c r="F17" i="103"/>
  <c r="G17" i="103"/>
  <c r="H17" i="103"/>
  <c r="I17" i="103"/>
  <c r="Y17" i="103"/>
  <c r="Y18" i="103"/>
  <c r="D33" i="103"/>
  <c r="E33" i="103"/>
  <c r="F33" i="103"/>
  <c r="G33" i="103"/>
  <c r="H33" i="103"/>
  <c r="I33" i="103"/>
  <c r="D36" i="103"/>
  <c r="E36" i="103"/>
  <c r="F36" i="103"/>
  <c r="G36" i="103"/>
  <c r="H36" i="103"/>
  <c r="I36" i="103"/>
  <c r="D39" i="103"/>
  <c r="E39" i="103"/>
  <c r="F39" i="103"/>
  <c r="G39" i="103"/>
  <c r="H39" i="103"/>
  <c r="I39" i="103"/>
  <c r="N43" i="103"/>
  <c r="W43" i="103"/>
  <c r="W42" i="103" s="1"/>
  <c r="N54" i="103"/>
  <c r="T55" i="103"/>
  <c r="R55" i="103" s="1"/>
  <c r="T56" i="103"/>
  <c r="R56" i="103" s="1"/>
  <c r="T57" i="103"/>
  <c r="R57" i="103" s="1"/>
  <c r="T58" i="103"/>
  <c r="R58" i="103" s="1"/>
  <c r="T59" i="103"/>
  <c r="R59" i="103" s="1"/>
  <c r="T60" i="103"/>
  <c r="R60" i="103" s="1"/>
  <c r="Z62" i="103"/>
  <c r="N62" i="103" s="1"/>
  <c r="T63" i="103"/>
  <c r="R63" i="103" s="1"/>
  <c r="T64" i="103"/>
  <c r="R64" i="103" s="1"/>
  <c r="T65" i="103"/>
  <c r="R65" i="103" s="1"/>
  <c r="T66" i="103"/>
  <c r="R66" i="103" s="1"/>
  <c r="T67" i="103"/>
  <c r="R67" i="103" s="1"/>
  <c r="T68" i="103"/>
  <c r="R68" i="103" s="1"/>
  <c r="T71" i="103"/>
  <c r="R71" i="103" s="1"/>
  <c r="T72" i="103"/>
  <c r="R72" i="103" s="1"/>
  <c r="T73" i="103"/>
  <c r="R73" i="103" s="1"/>
  <c r="T74" i="103"/>
  <c r="R74" i="103" s="1"/>
  <c r="T75" i="103"/>
  <c r="R75" i="103" s="1"/>
  <c r="T76" i="103"/>
  <c r="R76" i="103" s="1"/>
  <c r="T79" i="103"/>
  <c r="R79" i="103" s="1"/>
  <c r="T80" i="103"/>
  <c r="R80" i="103" s="1"/>
  <c r="T81" i="103"/>
  <c r="R81" i="103" s="1"/>
  <c r="T82" i="103"/>
  <c r="R82" i="103" s="1"/>
  <c r="T83" i="103"/>
  <c r="R83" i="103" s="1"/>
  <c r="T84" i="103"/>
  <c r="R84" i="103" s="1"/>
  <c r="T87" i="103"/>
  <c r="R87" i="103" s="1"/>
  <c r="T88" i="103"/>
  <c r="R88" i="103" s="1"/>
  <c r="T89" i="103"/>
  <c r="R89" i="103" s="1"/>
  <c r="T90" i="103"/>
  <c r="R90" i="103" s="1"/>
  <c r="T91" i="103"/>
  <c r="R91" i="103" s="1"/>
  <c r="T92" i="103"/>
  <c r="R92" i="103" s="1"/>
  <c r="T95" i="103"/>
  <c r="R95" i="103" s="1"/>
  <c r="T96" i="103"/>
  <c r="R96" i="103" s="1"/>
  <c r="T97" i="103"/>
  <c r="R97" i="103" s="1"/>
  <c r="T98" i="103"/>
  <c r="R98" i="103" s="1"/>
  <c r="T99" i="103"/>
  <c r="R99" i="103" s="1"/>
  <c r="T100" i="103"/>
  <c r="R100" i="103" s="1"/>
  <c r="T103" i="103"/>
  <c r="R103" i="103" s="1"/>
  <c r="T104" i="103"/>
  <c r="R104" i="103" s="1"/>
  <c r="T105" i="103"/>
  <c r="R105" i="103" s="1"/>
  <c r="T106" i="103"/>
  <c r="R106" i="103" s="1"/>
  <c r="T107" i="103"/>
  <c r="R107" i="103" s="1"/>
  <c r="T108" i="103"/>
  <c r="R108" i="103" s="1"/>
  <c r="T111" i="103"/>
  <c r="R111" i="103" s="1"/>
  <c r="T112" i="103"/>
  <c r="R112" i="103" s="1"/>
  <c r="T113" i="103"/>
  <c r="R113" i="103" s="1"/>
  <c r="T114" i="103"/>
  <c r="R114" i="103" s="1"/>
  <c r="T115" i="103"/>
  <c r="R115" i="103" s="1"/>
  <c r="T116" i="103"/>
  <c r="R116" i="103" s="1"/>
  <c r="T119" i="103"/>
  <c r="R119" i="103" s="1"/>
  <c r="T120" i="103"/>
  <c r="R120" i="103" s="1"/>
  <c r="T121" i="103"/>
  <c r="R121" i="103" s="1"/>
  <c r="T122" i="103"/>
  <c r="R122" i="103" s="1"/>
  <c r="T123" i="103"/>
  <c r="R123" i="103" s="1"/>
  <c r="T124" i="103"/>
  <c r="R124" i="103" s="1"/>
  <c r="T127" i="103"/>
  <c r="R127" i="103" s="1"/>
  <c r="T128" i="103"/>
  <c r="R128" i="103" s="1"/>
  <c r="T129" i="103"/>
  <c r="R129" i="103" s="1"/>
  <c r="T130" i="103"/>
  <c r="R130" i="103" s="1"/>
  <c r="T131" i="103"/>
  <c r="R131" i="103" s="1"/>
  <c r="T132" i="103"/>
  <c r="R132" i="103" s="1"/>
  <c r="T135" i="103"/>
  <c r="R135" i="103" s="1"/>
  <c r="T136" i="103"/>
  <c r="R136" i="103" s="1"/>
  <c r="T137" i="103"/>
  <c r="R137" i="103" s="1"/>
  <c r="T138" i="103"/>
  <c r="R138" i="103" s="1"/>
  <c r="T139" i="103"/>
  <c r="R139" i="103" s="1"/>
  <c r="T140" i="103"/>
  <c r="R140" i="103" s="1"/>
  <c r="T143" i="103"/>
  <c r="R143" i="103" s="1"/>
  <c r="T144" i="103"/>
  <c r="R144" i="103" s="1"/>
  <c r="T145" i="103"/>
  <c r="R145" i="103" s="1"/>
  <c r="T146" i="103"/>
  <c r="R146" i="103" s="1"/>
  <c r="T147" i="103"/>
  <c r="R147" i="103" s="1"/>
  <c r="T148" i="103"/>
  <c r="R148" i="103" s="1"/>
  <c r="T151" i="103"/>
  <c r="R151" i="103" s="1"/>
  <c r="T152" i="103"/>
  <c r="R152" i="103" s="1"/>
  <c r="T153" i="103"/>
  <c r="R153" i="103" s="1"/>
  <c r="T154" i="103"/>
  <c r="R154" i="103" s="1"/>
  <c r="T155" i="103"/>
  <c r="R155" i="103" s="1"/>
  <c r="T156" i="103"/>
  <c r="R156" i="103" s="1"/>
  <c r="F3" i="102"/>
  <c r="F4" i="102" s="1"/>
  <c r="D5" i="102"/>
  <c r="D17" i="102"/>
  <c r="E17" i="102"/>
  <c r="F17" i="102"/>
  <c r="G17" i="102"/>
  <c r="H17" i="102"/>
  <c r="I17" i="102"/>
  <c r="Y17" i="102"/>
  <c r="Y18" i="102"/>
  <c r="D22" i="102"/>
  <c r="E22" i="102"/>
  <c r="F22" i="102"/>
  <c r="G22" i="102"/>
  <c r="H22" i="102"/>
  <c r="I22" i="102"/>
  <c r="D27" i="102"/>
  <c r="E27" i="102"/>
  <c r="F27" i="102"/>
  <c r="G27" i="102"/>
  <c r="H27" i="102"/>
  <c r="I27" i="102"/>
  <c r="D32" i="102"/>
  <c r="E32" i="102"/>
  <c r="F32" i="102"/>
  <c r="G32" i="102"/>
  <c r="H32" i="102"/>
  <c r="I32" i="102"/>
  <c r="D37" i="102"/>
  <c r="E37" i="102"/>
  <c r="F37" i="102"/>
  <c r="G37" i="102"/>
  <c r="H37" i="102"/>
  <c r="I37" i="102"/>
  <c r="D40" i="102"/>
  <c r="E40" i="102"/>
  <c r="F40" i="102"/>
  <c r="G40" i="102"/>
  <c r="H40" i="102"/>
  <c r="I40" i="102"/>
  <c r="D43" i="102"/>
  <c r="E43" i="102"/>
  <c r="F43" i="102"/>
  <c r="G43" i="102"/>
  <c r="H43" i="102"/>
  <c r="I43" i="102"/>
  <c r="N50" i="102"/>
  <c r="W50" i="102"/>
  <c r="W49" i="102" s="1"/>
  <c r="N61" i="102"/>
  <c r="T62" i="102"/>
  <c r="R62" i="102" s="1"/>
  <c r="T63" i="102"/>
  <c r="R63" i="102" s="1"/>
  <c r="T64" i="102"/>
  <c r="R64" i="102" s="1"/>
  <c r="T65" i="102"/>
  <c r="R65" i="102" s="1"/>
  <c r="T66" i="102"/>
  <c r="R66" i="102" s="1"/>
  <c r="T67" i="102"/>
  <c r="R67" i="102" s="1"/>
  <c r="Z69" i="102"/>
  <c r="N69" i="102" s="1"/>
  <c r="T70" i="102"/>
  <c r="R70" i="102" s="1"/>
  <c r="T71" i="102"/>
  <c r="R71" i="102" s="1"/>
  <c r="T72" i="102"/>
  <c r="R72" i="102" s="1"/>
  <c r="T73" i="102"/>
  <c r="R73" i="102" s="1"/>
  <c r="T74" i="102"/>
  <c r="R74" i="102" s="1"/>
  <c r="T75" i="102"/>
  <c r="R75" i="102" s="1"/>
  <c r="Z77" i="102"/>
  <c r="T78" i="102"/>
  <c r="R78" i="102" s="1"/>
  <c r="T79" i="102"/>
  <c r="R79" i="102" s="1"/>
  <c r="T80" i="102"/>
  <c r="R80" i="102" s="1"/>
  <c r="T81" i="102"/>
  <c r="R81" i="102" s="1"/>
  <c r="T82" i="102"/>
  <c r="R82" i="102" s="1"/>
  <c r="T83" i="102"/>
  <c r="R83" i="102" s="1"/>
  <c r="T86" i="102"/>
  <c r="R86" i="102" s="1"/>
  <c r="T87" i="102"/>
  <c r="R87" i="102" s="1"/>
  <c r="T88" i="102"/>
  <c r="R88" i="102" s="1"/>
  <c r="T89" i="102"/>
  <c r="R89" i="102" s="1"/>
  <c r="T90" i="102"/>
  <c r="R90" i="102" s="1"/>
  <c r="T91" i="102"/>
  <c r="R91" i="102" s="1"/>
  <c r="T94" i="102"/>
  <c r="R94" i="102" s="1"/>
  <c r="T95" i="102"/>
  <c r="R95" i="102" s="1"/>
  <c r="T96" i="102"/>
  <c r="R96" i="102" s="1"/>
  <c r="T97" i="102"/>
  <c r="R97" i="102" s="1"/>
  <c r="T98" i="102"/>
  <c r="R98" i="102" s="1"/>
  <c r="T99" i="102"/>
  <c r="R99" i="102" s="1"/>
  <c r="T102" i="102"/>
  <c r="R102" i="102" s="1"/>
  <c r="T103" i="102"/>
  <c r="R103" i="102" s="1"/>
  <c r="T104" i="102"/>
  <c r="R104" i="102" s="1"/>
  <c r="T105" i="102"/>
  <c r="R105" i="102" s="1"/>
  <c r="T106" i="102"/>
  <c r="R106" i="102" s="1"/>
  <c r="T107" i="102"/>
  <c r="R107" i="102" s="1"/>
  <c r="T110" i="102"/>
  <c r="R110" i="102" s="1"/>
  <c r="T111" i="102"/>
  <c r="R111" i="102" s="1"/>
  <c r="T112" i="102"/>
  <c r="R112" i="102" s="1"/>
  <c r="T113" i="102"/>
  <c r="R113" i="102" s="1"/>
  <c r="T114" i="102"/>
  <c r="R114" i="102" s="1"/>
  <c r="T115" i="102"/>
  <c r="R115" i="102" s="1"/>
  <c r="T118" i="102"/>
  <c r="R118" i="102" s="1"/>
  <c r="T119" i="102"/>
  <c r="R119" i="102" s="1"/>
  <c r="T120" i="102"/>
  <c r="R120" i="102" s="1"/>
  <c r="T121" i="102"/>
  <c r="R121" i="102" s="1"/>
  <c r="T122" i="102"/>
  <c r="R122" i="102" s="1"/>
  <c r="T123" i="102"/>
  <c r="R123" i="102" s="1"/>
  <c r="T126" i="102"/>
  <c r="R126" i="102" s="1"/>
  <c r="T127" i="102"/>
  <c r="R127" i="102" s="1"/>
  <c r="T128" i="102"/>
  <c r="R128" i="102" s="1"/>
  <c r="T129" i="102"/>
  <c r="R129" i="102" s="1"/>
  <c r="T130" i="102"/>
  <c r="R130" i="102" s="1"/>
  <c r="T131" i="102"/>
  <c r="R131" i="102" s="1"/>
  <c r="T134" i="102"/>
  <c r="R134" i="102" s="1"/>
  <c r="T135" i="102"/>
  <c r="R135" i="102" s="1"/>
  <c r="T136" i="102"/>
  <c r="R136" i="102" s="1"/>
  <c r="T137" i="102"/>
  <c r="R137" i="102" s="1"/>
  <c r="T138" i="102"/>
  <c r="R138" i="102" s="1"/>
  <c r="T139" i="102"/>
  <c r="R139" i="102" s="1"/>
  <c r="T142" i="102"/>
  <c r="R142" i="102" s="1"/>
  <c r="T143" i="102"/>
  <c r="R143" i="102" s="1"/>
  <c r="T144" i="102"/>
  <c r="R144" i="102" s="1"/>
  <c r="T145" i="102"/>
  <c r="R145" i="102" s="1"/>
  <c r="T146" i="102"/>
  <c r="R146" i="102" s="1"/>
  <c r="T147" i="102"/>
  <c r="R147" i="102" s="1"/>
  <c r="T150" i="102"/>
  <c r="R150" i="102" s="1"/>
  <c r="T151" i="102"/>
  <c r="R151" i="102" s="1"/>
  <c r="T152" i="102"/>
  <c r="R152" i="102" s="1"/>
  <c r="T153" i="102"/>
  <c r="R153" i="102" s="1"/>
  <c r="T154" i="102"/>
  <c r="R154" i="102" s="1"/>
  <c r="T155" i="102"/>
  <c r="R155" i="102" s="1"/>
  <c r="T158" i="102"/>
  <c r="R158" i="102" s="1"/>
  <c r="T159" i="102"/>
  <c r="R159" i="102" s="1"/>
  <c r="T160" i="102"/>
  <c r="R160" i="102" s="1"/>
  <c r="T161" i="102"/>
  <c r="R161" i="102" s="1"/>
  <c r="T162" i="102"/>
  <c r="R162" i="102" s="1"/>
  <c r="T163" i="102"/>
  <c r="R163" i="102" s="1"/>
  <c r="T166" i="102"/>
  <c r="R166" i="102" s="1"/>
  <c r="T167" i="102"/>
  <c r="R167" i="102" s="1"/>
  <c r="T168" i="102"/>
  <c r="R168" i="102" s="1"/>
  <c r="T169" i="102"/>
  <c r="R169" i="102" s="1"/>
  <c r="T170" i="102"/>
  <c r="R170" i="102" s="1"/>
  <c r="T171" i="102"/>
  <c r="R171" i="102" s="1"/>
  <c r="T174" i="102"/>
  <c r="R174" i="102" s="1"/>
  <c r="T175" i="102"/>
  <c r="R175" i="102" s="1"/>
  <c r="T176" i="102"/>
  <c r="R176" i="102" s="1"/>
  <c r="T177" i="102"/>
  <c r="R177" i="102" s="1"/>
  <c r="T178" i="102"/>
  <c r="R178" i="102" s="1"/>
  <c r="T179" i="102"/>
  <c r="R179" i="102" s="1"/>
  <c r="T182" i="102"/>
  <c r="R182" i="102" s="1"/>
  <c r="T183" i="102"/>
  <c r="R183" i="102" s="1"/>
  <c r="T184" i="102"/>
  <c r="R184" i="102" s="1"/>
  <c r="T185" i="102"/>
  <c r="R185" i="102" s="1"/>
  <c r="T186" i="102"/>
  <c r="R186" i="102" s="1"/>
  <c r="T187" i="102"/>
  <c r="R187" i="102" s="1"/>
  <c r="T190" i="102"/>
  <c r="R190" i="102" s="1"/>
  <c r="T191" i="102"/>
  <c r="R191" i="102" s="1"/>
  <c r="T192" i="102"/>
  <c r="R192" i="102" s="1"/>
  <c r="T193" i="102"/>
  <c r="R193" i="102" s="1"/>
  <c r="T194" i="102"/>
  <c r="R194" i="102" s="1"/>
  <c r="T195" i="102"/>
  <c r="R195" i="102" s="1"/>
  <c r="T198" i="102"/>
  <c r="R198" i="102" s="1"/>
  <c r="T199" i="102"/>
  <c r="R199" i="102" s="1"/>
  <c r="T200" i="102"/>
  <c r="R200" i="102" s="1"/>
  <c r="T201" i="102"/>
  <c r="R201" i="102" s="1"/>
  <c r="T202" i="102"/>
  <c r="R202" i="102" s="1"/>
  <c r="T203" i="102"/>
  <c r="R203" i="102" s="1"/>
  <c r="T206" i="102"/>
  <c r="R206" i="102" s="1"/>
  <c r="T207" i="102"/>
  <c r="R207" i="102" s="1"/>
  <c r="T208" i="102"/>
  <c r="R208" i="102" s="1"/>
  <c r="T209" i="102"/>
  <c r="R209" i="102" s="1"/>
  <c r="T210" i="102"/>
  <c r="R210" i="102" s="1"/>
  <c r="T211" i="102"/>
  <c r="R211" i="102" s="1"/>
  <c r="T214" i="102"/>
  <c r="R214" i="102" s="1"/>
  <c r="T215" i="102"/>
  <c r="R215" i="102" s="1"/>
  <c r="T216" i="102"/>
  <c r="R216" i="102" s="1"/>
  <c r="T217" i="102"/>
  <c r="R217" i="102" s="1"/>
  <c r="T218" i="102"/>
  <c r="R218" i="102" s="1"/>
  <c r="T219" i="102"/>
  <c r="R219" i="102" s="1"/>
  <c r="T222" i="102"/>
  <c r="R222" i="102" s="1"/>
  <c r="T223" i="102"/>
  <c r="R223" i="102" s="1"/>
  <c r="T224" i="102"/>
  <c r="R224" i="102" s="1"/>
  <c r="T225" i="102"/>
  <c r="R225" i="102" s="1"/>
  <c r="T226" i="102"/>
  <c r="R226" i="102" s="1"/>
  <c r="T227" i="102"/>
  <c r="R227" i="102" s="1"/>
  <c r="T230" i="102"/>
  <c r="R230" i="102" s="1"/>
  <c r="T231" i="102"/>
  <c r="R231" i="102" s="1"/>
  <c r="T232" i="102"/>
  <c r="R232" i="102" s="1"/>
  <c r="T233" i="102"/>
  <c r="R233" i="102" s="1"/>
  <c r="T234" i="102"/>
  <c r="R234" i="102" s="1"/>
  <c r="T235" i="102"/>
  <c r="R235" i="102" s="1"/>
  <c r="T238" i="102"/>
  <c r="R238" i="102" s="1"/>
  <c r="T239" i="102"/>
  <c r="R239" i="102" s="1"/>
  <c r="T240" i="102"/>
  <c r="R240" i="102" s="1"/>
  <c r="T241" i="102"/>
  <c r="R241" i="102" s="1"/>
  <c r="T242" i="102"/>
  <c r="R242" i="102" s="1"/>
  <c r="T243" i="102"/>
  <c r="R243" i="102" s="1"/>
  <c r="T246" i="102"/>
  <c r="R246" i="102" s="1"/>
  <c r="T247" i="102"/>
  <c r="R247" i="102" s="1"/>
  <c r="T248" i="102"/>
  <c r="R248" i="102" s="1"/>
  <c r="T249" i="102"/>
  <c r="R249" i="102" s="1"/>
  <c r="T250" i="102"/>
  <c r="R250" i="102" s="1"/>
  <c r="T251" i="102"/>
  <c r="R251" i="102" s="1"/>
  <c r="F4" i="101"/>
  <c r="D5" i="101"/>
  <c r="D12" i="101"/>
  <c r="E12" i="101"/>
  <c r="F12" i="101"/>
  <c r="G12" i="101"/>
  <c r="H12" i="101"/>
  <c r="I12" i="101"/>
  <c r="Y12" i="101"/>
  <c r="Y13" i="101"/>
  <c r="D17" i="101"/>
  <c r="E17" i="101"/>
  <c r="F17" i="101"/>
  <c r="G17" i="101"/>
  <c r="H17" i="101"/>
  <c r="I17" i="101"/>
  <c r="D20" i="101"/>
  <c r="E20" i="101"/>
  <c r="F20" i="101"/>
  <c r="G20" i="101"/>
  <c r="H20" i="101"/>
  <c r="I20" i="101"/>
  <c r="D23" i="101"/>
  <c r="E23" i="101"/>
  <c r="F23" i="101"/>
  <c r="G23" i="101"/>
  <c r="H23" i="101"/>
  <c r="I23" i="101"/>
  <c r="D26" i="101"/>
  <c r="E26" i="101"/>
  <c r="F26" i="101"/>
  <c r="G26" i="101"/>
  <c r="H26" i="101"/>
  <c r="I26" i="101"/>
  <c r="D29" i="101"/>
  <c r="E29" i="101"/>
  <c r="F29" i="101"/>
  <c r="G29" i="101"/>
  <c r="H29" i="101"/>
  <c r="I29" i="101"/>
  <c r="N35" i="101"/>
  <c r="W35" i="101"/>
  <c r="W34" i="101" s="1"/>
  <c r="N66" i="101"/>
  <c r="T67" i="101"/>
  <c r="R67" i="101" s="1"/>
  <c r="T68" i="101"/>
  <c r="R68" i="101" s="1"/>
  <c r="T69" i="101"/>
  <c r="R69" i="101" s="1"/>
  <c r="T70" i="101"/>
  <c r="R70" i="101" s="1"/>
  <c r="T71" i="101"/>
  <c r="R71" i="101" s="1"/>
  <c r="T72" i="101"/>
  <c r="R72" i="101" s="1"/>
  <c r="Z74" i="101"/>
  <c r="Z82" i="101" s="1"/>
  <c r="T75" i="101"/>
  <c r="R75" i="101" s="1"/>
  <c r="T76" i="101"/>
  <c r="R76" i="101" s="1"/>
  <c r="T77" i="101"/>
  <c r="R77" i="101" s="1"/>
  <c r="T78" i="101"/>
  <c r="R78" i="101" s="1"/>
  <c r="T79" i="101"/>
  <c r="R79" i="101" s="1"/>
  <c r="T80" i="101"/>
  <c r="R80" i="101" s="1"/>
  <c r="T83" i="101"/>
  <c r="R83" i="101" s="1"/>
  <c r="T84" i="101"/>
  <c r="R84" i="101" s="1"/>
  <c r="T85" i="101"/>
  <c r="R85" i="101" s="1"/>
  <c r="T86" i="101"/>
  <c r="R86" i="101" s="1"/>
  <c r="T87" i="101"/>
  <c r="R87" i="101" s="1"/>
  <c r="T88" i="101"/>
  <c r="R88" i="101" s="1"/>
  <c r="T91" i="101"/>
  <c r="R91" i="101" s="1"/>
  <c r="T92" i="101"/>
  <c r="R92" i="101" s="1"/>
  <c r="T93" i="101"/>
  <c r="R93" i="101" s="1"/>
  <c r="T94" i="101"/>
  <c r="R94" i="101" s="1"/>
  <c r="T95" i="101"/>
  <c r="R95" i="101" s="1"/>
  <c r="T96" i="101"/>
  <c r="R96" i="101" s="1"/>
  <c r="T99" i="101"/>
  <c r="R99" i="101" s="1"/>
  <c r="T100" i="101"/>
  <c r="R100" i="101" s="1"/>
  <c r="T101" i="101"/>
  <c r="R101" i="101" s="1"/>
  <c r="T102" i="101"/>
  <c r="R102" i="101" s="1"/>
  <c r="T103" i="101"/>
  <c r="R103" i="101" s="1"/>
  <c r="T104" i="101"/>
  <c r="R104" i="101" s="1"/>
  <c r="T107" i="101"/>
  <c r="R107" i="101" s="1"/>
  <c r="T108" i="101"/>
  <c r="R108" i="101" s="1"/>
  <c r="T109" i="101"/>
  <c r="R109" i="101" s="1"/>
  <c r="T110" i="101"/>
  <c r="R110" i="101" s="1"/>
  <c r="T111" i="101"/>
  <c r="R111" i="101" s="1"/>
  <c r="T112" i="101"/>
  <c r="R112" i="101" s="1"/>
  <c r="T115" i="101"/>
  <c r="R115" i="101" s="1"/>
  <c r="T116" i="101"/>
  <c r="R116" i="101" s="1"/>
  <c r="T117" i="101"/>
  <c r="R117" i="101" s="1"/>
  <c r="T118" i="101"/>
  <c r="R118" i="101" s="1"/>
  <c r="T119" i="101"/>
  <c r="R119" i="101" s="1"/>
  <c r="T120" i="101"/>
  <c r="R120" i="101" s="1"/>
  <c r="T123" i="101"/>
  <c r="R123" i="101" s="1"/>
  <c r="T124" i="101"/>
  <c r="R124" i="101" s="1"/>
  <c r="T125" i="101"/>
  <c r="R125" i="101" s="1"/>
  <c r="T126" i="101"/>
  <c r="R126" i="101" s="1"/>
  <c r="T127" i="101"/>
  <c r="R127" i="101" s="1"/>
  <c r="T128" i="101"/>
  <c r="R128" i="101" s="1"/>
  <c r="T131" i="101"/>
  <c r="R131" i="101" s="1"/>
  <c r="T132" i="101"/>
  <c r="R132" i="101" s="1"/>
  <c r="T133" i="101"/>
  <c r="R133" i="101" s="1"/>
  <c r="T134" i="101"/>
  <c r="R134" i="101" s="1"/>
  <c r="T135" i="101"/>
  <c r="R135" i="101" s="1"/>
  <c r="T136" i="101"/>
  <c r="R136" i="101" s="1"/>
  <c r="T139" i="101"/>
  <c r="R139" i="101" s="1"/>
  <c r="T140" i="101"/>
  <c r="R140" i="101" s="1"/>
  <c r="T141" i="101"/>
  <c r="R141" i="101" s="1"/>
  <c r="T142" i="101"/>
  <c r="R142" i="101" s="1"/>
  <c r="T143" i="101"/>
  <c r="R143" i="101" s="1"/>
  <c r="T144" i="101"/>
  <c r="R144" i="101" s="1"/>
  <c r="T147" i="101"/>
  <c r="R147" i="101" s="1"/>
  <c r="T148" i="101"/>
  <c r="R148" i="101" s="1"/>
  <c r="T149" i="101"/>
  <c r="R149" i="101" s="1"/>
  <c r="T150" i="101"/>
  <c r="R150" i="101" s="1"/>
  <c r="T151" i="101"/>
  <c r="R151" i="101" s="1"/>
  <c r="T152" i="101"/>
  <c r="R152" i="101" s="1"/>
  <c r="T155" i="101"/>
  <c r="R155" i="101" s="1"/>
  <c r="T156" i="101"/>
  <c r="R156" i="101" s="1"/>
  <c r="T157" i="101"/>
  <c r="R157" i="101" s="1"/>
  <c r="T158" i="101"/>
  <c r="R158" i="101" s="1"/>
  <c r="T159" i="101"/>
  <c r="R159" i="101" s="1"/>
  <c r="T160" i="101"/>
  <c r="R160" i="101" s="1"/>
  <c r="T163" i="101"/>
  <c r="R163" i="101" s="1"/>
  <c r="T164" i="101"/>
  <c r="R164" i="101" s="1"/>
  <c r="T165" i="101"/>
  <c r="R165" i="101" s="1"/>
  <c r="T166" i="101"/>
  <c r="R166" i="101" s="1"/>
  <c r="T167" i="101"/>
  <c r="R167" i="101" s="1"/>
  <c r="T168" i="101"/>
  <c r="R168" i="101" s="1"/>
  <c r="T171" i="101"/>
  <c r="R171" i="101" s="1"/>
  <c r="T172" i="101"/>
  <c r="R172" i="101" s="1"/>
  <c r="T173" i="101"/>
  <c r="R173" i="101" s="1"/>
  <c r="T174" i="101"/>
  <c r="R174" i="101" s="1"/>
  <c r="T175" i="101"/>
  <c r="R175" i="101" s="1"/>
  <c r="T176" i="101"/>
  <c r="R176" i="101" s="1"/>
  <c r="T179" i="101"/>
  <c r="R179" i="101" s="1"/>
  <c r="T180" i="101"/>
  <c r="R180" i="101" s="1"/>
  <c r="T181" i="101"/>
  <c r="R181" i="101" s="1"/>
  <c r="T182" i="101"/>
  <c r="R182" i="101" s="1"/>
  <c r="T183" i="101"/>
  <c r="R183" i="101" s="1"/>
  <c r="T184" i="101"/>
  <c r="R184" i="101" s="1"/>
  <c r="T187" i="101"/>
  <c r="R187" i="101" s="1"/>
  <c r="T188" i="101"/>
  <c r="R188" i="101" s="1"/>
  <c r="T189" i="101"/>
  <c r="R189" i="101" s="1"/>
  <c r="T190" i="101"/>
  <c r="R190" i="101" s="1"/>
  <c r="T191" i="101"/>
  <c r="R191" i="101" s="1"/>
  <c r="T192" i="101"/>
  <c r="R192" i="101" s="1"/>
  <c r="F4" i="98"/>
  <c r="D15" i="98"/>
  <c r="E15" i="98"/>
  <c r="F15" i="98"/>
  <c r="G15" i="98"/>
  <c r="H15" i="98"/>
  <c r="I15" i="98"/>
  <c r="Y15" i="98"/>
  <c r="Y16" i="98"/>
  <c r="D20" i="98"/>
  <c r="E20" i="98"/>
  <c r="F20" i="98"/>
  <c r="G20" i="98"/>
  <c r="H20" i="98"/>
  <c r="I20" i="98"/>
  <c r="D23" i="98"/>
  <c r="E23" i="98"/>
  <c r="F23" i="98"/>
  <c r="G23" i="98"/>
  <c r="H23" i="98"/>
  <c r="I23" i="98"/>
  <c r="D29" i="98"/>
  <c r="E29" i="98"/>
  <c r="F29" i="98"/>
  <c r="G29" i="98"/>
  <c r="H29" i="98"/>
  <c r="I29" i="98"/>
  <c r="D37" i="98"/>
  <c r="E37" i="98"/>
  <c r="F37" i="98"/>
  <c r="G37" i="98"/>
  <c r="H37" i="98"/>
  <c r="I37" i="98"/>
  <c r="D45" i="98"/>
  <c r="E45" i="98"/>
  <c r="F45" i="98"/>
  <c r="G45" i="98"/>
  <c r="H45" i="98"/>
  <c r="I45" i="98"/>
  <c r="Y50" i="98"/>
  <c r="N52" i="98"/>
  <c r="W52" i="98"/>
  <c r="W51" i="98" s="1"/>
  <c r="N69" i="98"/>
  <c r="T70" i="98"/>
  <c r="R70" i="98" s="1"/>
  <c r="T71" i="98"/>
  <c r="R71" i="98" s="1"/>
  <c r="T72" i="98"/>
  <c r="R72" i="98" s="1"/>
  <c r="T73" i="98"/>
  <c r="R73" i="98" s="1"/>
  <c r="T74" i="98"/>
  <c r="R74" i="98" s="1"/>
  <c r="T75" i="98"/>
  <c r="R75" i="98" s="1"/>
  <c r="Z77" i="98"/>
  <c r="T78" i="98"/>
  <c r="R78" i="98" s="1"/>
  <c r="T79" i="98"/>
  <c r="R79" i="98" s="1"/>
  <c r="T80" i="98"/>
  <c r="R80" i="98" s="1"/>
  <c r="T81" i="98"/>
  <c r="R81" i="98" s="1"/>
  <c r="T82" i="98"/>
  <c r="R82" i="98" s="1"/>
  <c r="T83" i="98"/>
  <c r="R83" i="98" s="1"/>
  <c r="T86" i="98"/>
  <c r="R86" i="98" s="1"/>
  <c r="T87" i="98"/>
  <c r="R87" i="98" s="1"/>
  <c r="T88" i="98"/>
  <c r="R88" i="98" s="1"/>
  <c r="T89" i="98"/>
  <c r="R89" i="98" s="1"/>
  <c r="T90" i="98"/>
  <c r="R90" i="98" s="1"/>
  <c r="T91" i="98"/>
  <c r="R91" i="98" s="1"/>
  <c r="T94" i="98"/>
  <c r="R94" i="98" s="1"/>
  <c r="T95" i="98"/>
  <c r="R95" i="98" s="1"/>
  <c r="T96" i="98"/>
  <c r="R96" i="98" s="1"/>
  <c r="T97" i="98"/>
  <c r="R97" i="98" s="1"/>
  <c r="T98" i="98"/>
  <c r="R98" i="98" s="1"/>
  <c r="T99" i="98"/>
  <c r="R99" i="98" s="1"/>
  <c r="T102" i="98"/>
  <c r="R102" i="98" s="1"/>
  <c r="T103" i="98"/>
  <c r="R103" i="98" s="1"/>
  <c r="T104" i="98"/>
  <c r="R104" i="98" s="1"/>
  <c r="T105" i="98"/>
  <c r="R105" i="98" s="1"/>
  <c r="T106" i="98"/>
  <c r="R106" i="98" s="1"/>
  <c r="T107" i="98"/>
  <c r="R107" i="98" s="1"/>
  <c r="T110" i="98"/>
  <c r="R110" i="98" s="1"/>
  <c r="T111" i="98"/>
  <c r="R111" i="98" s="1"/>
  <c r="T112" i="98"/>
  <c r="R112" i="98" s="1"/>
  <c r="T113" i="98"/>
  <c r="R113" i="98" s="1"/>
  <c r="T114" i="98"/>
  <c r="R114" i="98" s="1"/>
  <c r="T115" i="98"/>
  <c r="R115" i="98" s="1"/>
  <c r="T118" i="98"/>
  <c r="R118" i="98" s="1"/>
  <c r="T119" i="98"/>
  <c r="R119" i="98" s="1"/>
  <c r="T120" i="98"/>
  <c r="R120" i="98" s="1"/>
  <c r="T121" i="98"/>
  <c r="R121" i="98" s="1"/>
  <c r="T122" i="98"/>
  <c r="R122" i="98" s="1"/>
  <c r="T123" i="98"/>
  <c r="R123" i="98" s="1"/>
  <c r="T126" i="98"/>
  <c r="R126" i="98" s="1"/>
  <c r="T127" i="98"/>
  <c r="R127" i="98" s="1"/>
  <c r="T128" i="98"/>
  <c r="R128" i="98" s="1"/>
  <c r="T129" i="98"/>
  <c r="R129" i="98" s="1"/>
  <c r="T130" i="98"/>
  <c r="R130" i="98" s="1"/>
  <c r="T131" i="98"/>
  <c r="R131" i="98" s="1"/>
  <c r="T134" i="98"/>
  <c r="R134" i="98" s="1"/>
  <c r="T135" i="98"/>
  <c r="R135" i="98" s="1"/>
  <c r="T136" i="98"/>
  <c r="R136" i="98" s="1"/>
  <c r="T137" i="98"/>
  <c r="R137" i="98" s="1"/>
  <c r="T138" i="98"/>
  <c r="R138" i="98" s="1"/>
  <c r="T139" i="98"/>
  <c r="R139" i="98" s="1"/>
  <c r="T142" i="98"/>
  <c r="R142" i="98" s="1"/>
  <c r="T143" i="98"/>
  <c r="R143" i="98" s="1"/>
  <c r="T144" i="98"/>
  <c r="R144" i="98" s="1"/>
  <c r="T145" i="98"/>
  <c r="R145" i="98" s="1"/>
  <c r="T146" i="98"/>
  <c r="R146" i="98" s="1"/>
  <c r="T147" i="98"/>
  <c r="R147" i="98" s="1"/>
  <c r="T150" i="98"/>
  <c r="R150" i="98" s="1"/>
  <c r="T151" i="98"/>
  <c r="R151" i="98" s="1"/>
  <c r="T152" i="98"/>
  <c r="R152" i="98" s="1"/>
  <c r="T153" i="98"/>
  <c r="R153" i="98" s="1"/>
  <c r="T154" i="98"/>
  <c r="R154" i="98" s="1"/>
  <c r="T155" i="98"/>
  <c r="R155" i="98" s="1"/>
  <c r="T158" i="98"/>
  <c r="R158" i="98" s="1"/>
  <c r="T159" i="98"/>
  <c r="R159" i="98" s="1"/>
  <c r="T160" i="98"/>
  <c r="R160" i="98" s="1"/>
  <c r="T161" i="98"/>
  <c r="R161" i="98" s="1"/>
  <c r="T162" i="98"/>
  <c r="R162" i="98" s="1"/>
  <c r="T163" i="98"/>
  <c r="R163" i="98" s="1"/>
  <c r="T166" i="98"/>
  <c r="R166" i="98" s="1"/>
  <c r="T167" i="98"/>
  <c r="R167" i="98" s="1"/>
  <c r="T168" i="98"/>
  <c r="R168" i="98" s="1"/>
  <c r="T169" i="98"/>
  <c r="R169" i="98" s="1"/>
  <c r="T170" i="98"/>
  <c r="R170" i="98" s="1"/>
  <c r="T171" i="98"/>
  <c r="R171" i="98" s="1"/>
  <c r="T174" i="98"/>
  <c r="R174" i="98" s="1"/>
  <c r="T175" i="98"/>
  <c r="R175" i="98" s="1"/>
  <c r="T176" i="98"/>
  <c r="R176" i="98" s="1"/>
  <c r="T177" i="98"/>
  <c r="R177" i="98" s="1"/>
  <c r="T178" i="98"/>
  <c r="R178" i="98" s="1"/>
  <c r="T179" i="98"/>
  <c r="R179" i="98" s="1"/>
  <c r="T182" i="98"/>
  <c r="R182" i="98" s="1"/>
  <c r="T183" i="98"/>
  <c r="R183" i="98" s="1"/>
  <c r="T184" i="98"/>
  <c r="R184" i="98" s="1"/>
  <c r="T185" i="98"/>
  <c r="R185" i="98" s="1"/>
  <c r="T186" i="98"/>
  <c r="R186" i="98" s="1"/>
  <c r="T187" i="98"/>
  <c r="R187" i="98" s="1"/>
  <c r="T190" i="98"/>
  <c r="R190" i="98" s="1"/>
  <c r="T191" i="98"/>
  <c r="R191" i="98" s="1"/>
  <c r="T192" i="98"/>
  <c r="R192" i="98" s="1"/>
  <c r="T193" i="98"/>
  <c r="R193" i="98" s="1"/>
  <c r="T194" i="98"/>
  <c r="R194" i="98" s="1"/>
  <c r="T195" i="98"/>
  <c r="R195" i="98" s="1"/>
  <c r="T198" i="98"/>
  <c r="R198" i="98" s="1"/>
  <c r="T199" i="98"/>
  <c r="R199" i="98" s="1"/>
  <c r="T200" i="98"/>
  <c r="R200" i="98" s="1"/>
  <c r="T201" i="98"/>
  <c r="R201" i="98" s="1"/>
  <c r="T202" i="98"/>
  <c r="R202" i="98" s="1"/>
  <c r="T203" i="98"/>
  <c r="R203" i="98" s="1"/>
  <c r="T206" i="98"/>
  <c r="R206" i="98" s="1"/>
  <c r="T207" i="98"/>
  <c r="R207" i="98" s="1"/>
  <c r="T208" i="98"/>
  <c r="R208" i="98" s="1"/>
  <c r="T209" i="98"/>
  <c r="R209" i="98" s="1"/>
  <c r="T210" i="98"/>
  <c r="R210" i="98" s="1"/>
  <c r="T211" i="98"/>
  <c r="R211" i="98" s="1"/>
  <c r="T214" i="98"/>
  <c r="R214" i="98" s="1"/>
  <c r="T215" i="98"/>
  <c r="R215" i="98" s="1"/>
  <c r="T216" i="98"/>
  <c r="R216" i="98" s="1"/>
  <c r="T217" i="98"/>
  <c r="R217" i="98" s="1"/>
  <c r="T218" i="98"/>
  <c r="R218" i="98" s="1"/>
  <c r="T219" i="98"/>
  <c r="R219" i="98" s="1"/>
  <c r="F4" i="96"/>
  <c r="D5" i="96"/>
  <c r="D14" i="96"/>
  <c r="E14" i="96"/>
  <c r="F14" i="96"/>
  <c r="G14" i="96"/>
  <c r="H14" i="96"/>
  <c r="I14" i="96"/>
  <c r="Y14" i="96"/>
  <c r="Y15" i="96"/>
  <c r="D21" i="96"/>
  <c r="E21" i="96"/>
  <c r="F21" i="96"/>
  <c r="G21" i="96"/>
  <c r="H21" i="96"/>
  <c r="I21" i="96"/>
  <c r="D26" i="96"/>
  <c r="E26" i="96"/>
  <c r="F26" i="96"/>
  <c r="G26" i="96"/>
  <c r="H26" i="96"/>
  <c r="I26" i="96"/>
  <c r="D32" i="96"/>
  <c r="E32" i="96"/>
  <c r="F32" i="96"/>
  <c r="G32" i="96"/>
  <c r="H32" i="96"/>
  <c r="I32" i="96"/>
  <c r="D36" i="96"/>
  <c r="E36" i="96"/>
  <c r="F36" i="96"/>
  <c r="G36" i="96"/>
  <c r="H36" i="96"/>
  <c r="I36" i="96"/>
  <c r="D45" i="96"/>
  <c r="E45" i="96"/>
  <c r="F45" i="96"/>
  <c r="G45" i="96"/>
  <c r="H45" i="96"/>
  <c r="I45" i="96"/>
  <c r="D48" i="96"/>
  <c r="E48" i="96"/>
  <c r="F48" i="96"/>
  <c r="G48" i="96"/>
  <c r="H48" i="96"/>
  <c r="I48" i="96"/>
  <c r="N55" i="96"/>
  <c r="W55" i="96"/>
  <c r="W54" i="96" s="1"/>
  <c r="N72" i="96"/>
  <c r="T73" i="96"/>
  <c r="R73" i="96" s="1"/>
  <c r="T74" i="96"/>
  <c r="R74" i="96" s="1"/>
  <c r="T75" i="96"/>
  <c r="R75" i="96" s="1"/>
  <c r="T76" i="96"/>
  <c r="R76" i="96" s="1"/>
  <c r="T77" i="96"/>
  <c r="R77" i="96" s="1"/>
  <c r="T78" i="96"/>
  <c r="R78" i="96" s="1"/>
  <c r="Z80" i="96"/>
  <c r="N80" i="96" s="1"/>
  <c r="T81" i="96"/>
  <c r="R81" i="96" s="1"/>
  <c r="T82" i="96"/>
  <c r="R82" i="96" s="1"/>
  <c r="T83" i="96"/>
  <c r="R83" i="96" s="1"/>
  <c r="T84" i="96"/>
  <c r="R84" i="96" s="1"/>
  <c r="T85" i="96"/>
  <c r="R85" i="96" s="1"/>
  <c r="T86" i="96"/>
  <c r="R86" i="96" s="1"/>
  <c r="T89" i="96"/>
  <c r="R89" i="96" s="1"/>
  <c r="T90" i="96"/>
  <c r="R90" i="96" s="1"/>
  <c r="T91" i="96"/>
  <c r="R91" i="96" s="1"/>
  <c r="T92" i="96"/>
  <c r="R92" i="96" s="1"/>
  <c r="T93" i="96"/>
  <c r="R93" i="96" s="1"/>
  <c r="T94" i="96"/>
  <c r="R94" i="96" s="1"/>
  <c r="T97" i="96"/>
  <c r="R97" i="96" s="1"/>
  <c r="T98" i="96"/>
  <c r="R98" i="96" s="1"/>
  <c r="T99" i="96"/>
  <c r="R99" i="96" s="1"/>
  <c r="T100" i="96"/>
  <c r="R100" i="96" s="1"/>
  <c r="T101" i="96"/>
  <c r="R101" i="96" s="1"/>
  <c r="T102" i="96"/>
  <c r="R102" i="96" s="1"/>
  <c r="T105" i="96"/>
  <c r="R105" i="96" s="1"/>
  <c r="T106" i="96"/>
  <c r="R106" i="96" s="1"/>
  <c r="T107" i="96"/>
  <c r="R107" i="96" s="1"/>
  <c r="T108" i="96"/>
  <c r="R108" i="96" s="1"/>
  <c r="T109" i="96"/>
  <c r="R109" i="96" s="1"/>
  <c r="T110" i="96"/>
  <c r="R110" i="96" s="1"/>
  <c r="T113" i="96"/>
  <c r="R113" i="96" s="1"/>
  <c r="T114" i="96"/>
  <c r="R114" i="96" s="1"/>
  <c r="T115" i="96"/>
  <c r="R115" i="96" s="1"/>
  <c r="T116" i="96"/>
  <c r="R116" i="96" s="1"/>
  <c r="T117" i="96"/>
  <c r="R117" i="96" s="1"/>
  <c r="T118" i="96"/>
  <c r="R118" i="96" s="1"/>
  <c r="T121" i="96"/>
  <c r="R121" i="96" s="1"/>
  <c r="T122" i="96"/>
  <c r="R122" i="96" s="1"/>
  <c r="T123" i="96"/>
  <c r="R123" i="96" s="1"/>
  <c r="T124" i="96"/>
  <c r="R124" i="96" s="1"/>
  <c r="T125" i="96"/>
  <c r="R125" i="96" s="1"/>
  <c r="T126" i="96"/>
  <c r="R126" i="96" s="1"/>
  <c r="T129" i="96"/>
  <c r="R129" i="96" s="1"/>
  <c r="T130" i="96"/>
  <c r="R130" i="96" s="1"/>
  <c r="T131" i="96"/>
  <c r="R131" i="96" s="1"/>
  <c r="T132" i="96"/>
  <c r="R132" i="96" s="1"/>
  <c r="T133" i="96"/>
  <c r="R133" i="96" s="1"/>
  <c r="T134" i="96"/>
  <c r="R134" i="96" s="1"/>
  <c r="T137" i="96"/>
  <c r="R137" i="96" s="1"/>
  <c r="T138" i="96"/>
  <c r="R138" i="96" s="1"/>
  <c r="T139" i="96"/>
  <c r="R139" i="96" s="1"/>
  <c r="T140" i="96"/>
  <c r="R140" i="96" s="1"/>
  <c r="T141" i="96"/>
  <c r="R141" i="96" s="1"/>
  <c r="T142" i="96"/>
  <c r="R142" i="96" s="1"/>
  <c r="T145" i="96"/>
  <c r="R145" i="96" s="1"/>
  <c r="T146" i="96"/>
  <c r="R146" i="96" s="1"/>
  <c r="T147" i="96"/>
  <c r="R147" i="96" s="1"/>
  <c r="T148" i="96"/>
  <c r="R148" i="96" s="1"/>
  <c r="T149" i="96"/>
  <c r="R149" i="96" s="1"/>
  <c r="T150" i="96"/>
  <c r="R150" i="96" s="1"/>
  <c r="T153" i="96"/>
  <c r="R153" i="96" s="1"/>
  <c r="T154" i="96"/>
  <c r="R154" i="96" s="1"/>
  <c r="T155" i="96"/>
  <c r="R155" i="96" s="1"/>
  <c r="T156" i="96"/>
  <c r="R156" i="96" s="1"/>
  <c r="T157" i="96"/>
  <c r="R157" i="96" s="1"/>
  <c r="T158" i="96"/>
  <c r="R158" i="96" s="1"/>
  <c r="T161" i="96"/>
  <c r="R161" i="96" s="1"/>
  <c r="T162" i="96"/>
  <c r="R162" i="96" s="1"/>
  <c r="T163" i="96"/>
  <c r="R163" i="96" s="1"/>
  <c r="T164" i="96"/>
  <c r="R164" i="96" s="1"/>
  <c r="T165" i="96"/>
  <c r="R165" i="96" s="1"/>
  <c r="T166" i="96"/>
  <c r="R166" i="96" s="1"/>
  <c r="T169" i="96"/>
  <c r="R169" i="96" s="1"/>
  <c r="T170" i="96"/>
  <c r="R170" i="96" s="1"/>
  <c r="T171" i="96"/>
  <c r="R171" i="96" s="1"/>
  <c r="T172" i="96"/>
  <c r="R172" i="96" s="1"/>
  <c r="T173" i="96"/>
  <c r="R173" i="96" s="1"/>
  <c r="T174" i="96"/>
  <c r="R174" i="96" s="1"/>
  <c r="T177" i="96"/>
  <c r="R177" i="96" s="1"/>
  <c r="T178" i="96"/>
  <c r="R178" i="96" s="1"/>
  <c r="T179" i="96"/>
  <c r="R179" i="96" s="1"/>
  <c r="T180" i="96"/>
  <c r="R180" i="96" s="1"/>
  <c r="T181" i="96"/>
  <c r="R181" i="96" s="1"/>
  <c r="T182" i="96"/>
  <c r="R182" i="96" s="1"/>
  <c r="T185" i="96"/>
  <c r="R185" i="96" s="1"/>
  <c r="T186" i="96"/>
  <c r="R186" i="96" s="1"/>
  <c r="T187" i="96"/>
  <c r="R187" i="96" s="1"/>
  <c r="T188" i="96"/>
  <c r="R188" i="96" s="1"/>
  <c r="T189" i="96"/>
  <c r="R189" i="96" s="1"/>
  <c r="T190" i="96"/>
  <c r="R190" i="96" s="1"/>
  <c r="T193" i="96"/>
  <c r="R193" i="96" s="1"/>
  <c r="T194" i="96"/>
  <c r="R194" i="96" s="1"/>
  <c r="T195" i="96"/>
  <c r="R195" i="96" s="1"/>
  <c r="T196" i="96"/>
  <c r="R196" i="96" s="1"/>
  <c r="T197" i="96"/>
  <c r="R197" i="96" s="1"/>
  <c r="T198" i="96"/>
  <c r="R198" i="96" s="1"/>
  <c r="T201" i="96"/>
  <c r="R201" i="96" s="1"/>
  <c r="T202" i="96"/>
  <c r="R202" i="96" s="1"/>
  <c r="T203" i="96"/>
  <c r="R203" i="96" s="1"/>
  <c r="T204" i="96"/>
  <c r="R204" i="96" s="1"/>
  <c r="T205" i="96"/>
  <c r="R205" i="96" s="1"/>
  <c r="T206" i="96"/>
  <c r="R206" i="96" s="1"/>
  <c r="T209" i="96"/>
  <c r="R209" i="96" s="1"/>
  <c r="T210" i="96"/>
  <c r="R210" i="96" s="1"/>
  <c r="T211" i="96"/>
  <c r="R211" i="96" s="1"/>
  <c r="T212" i="96"/>
  <c r="R212" i="96" s="1"/>
  <c r="T213" i="96"/>
  <c r="R213" i="96" s="1"/>
  <c r="T214" i="96"/>
  <c r="R214" i="96" s="1"/>
  <c r="T217" i="96"/>
  <c r="R217" i="96" s="1"/>
  <c r="T218" i="96"/>
  <c r="R218" i="96" s="1"/>
  <c r="T219" i="96"/>
  <c r="R219" i="96" s="1"/>
  <c r="T220" i="96"/>
  <c r="R220" i="96" s="1"/>
  <c r="T221" i="96"/>
  <c r="R221" i="96" s="1"/>
  <c r="T222" i="96"/>
  <c r="R222" i="96" s="1"/>
  <c r="T225" i="96"/>
  <c r="R225" i="96" s="1"/>
  <c r="T226" i="96"/>
  <c r="R226" i="96" s="1"/>
  <c r="T227" i="96"/>
  <c r="R227" i="96" s="1"/>
  <c r="T228" i="96"/>
  <c r="R228" i="96" s="1"/>
  <c r="T229" i="96"/>
  <c r="R229" i="96" s="1"/>
  <c r="T230" i="96"/>
  <c r="R230" i="96" s="1"/>
  <c r="T233" i="96"/>
  <c r="R233" i="96" s="1"/>
  <c r="T234" i="96"/>
  <c r="R234" i="96" s="1"/>
  <c r="T235" i="96"/>
  <c r="R235" i="96" s="1"/>
  <c r="T236" i="96"/>
  <c r="R236" i="96" s="1"/>
  <c r="T237" i="96"/>
  <c r="R237" i="96" s="1"/>
  <c r="T238" i="96"/>
  <c r="R238" i="96" s="1"/>
  <c r="T241" i="96"/>
  <c r="R241" i="96" s="1"/>
  <c r="T242" i="96"/>
  <c r="R242" i="96" s="1"/>
  <c r="T243" i="96"/>
  <c r="R243" i="96" s="1"/>
  <c r="T244" i="96"/>
  <c r="R244" i="96" s="1"/>
  <c r="T245" i="96"/>
  <c r="R245" i="96" s="1"/>
  <c r="T246" i="96"/>
  <c r="R246" i="96" s="1"/>
  <c r="T249" i="96"/>
  <c r="R249" i="96" s="1"/>
  <c r="T250" i="96"/>
  <c r="R250" i="96" s="1"/>
  <c r="T251" i="96"/>
  <c r="R251" i="96" s="1"/>
  <c r="T252" i="96"/>
  <c r="R252" i="96" s="1"/>
  <c r="T253" i="96"/>
  <c r="R253" i="96" s="1"/>
  <c r="T254" i="96"/>
  <c r="R254" i="96" s="1"/>
  <c r="T257" i="96"/>
  <c r="R257" i="96" s="1"/>
  <c r="T258" i="96"/>
  <c r="R258" i="96" s="1"/>
  <c r="T259" i="96"/>
  <c r="R259" i="96" s="1"/>
  <c r="T260" i="96"/>
  <c r="R260" i="96" s="1"/>
  <c r="T261" i="96"/>
  <c r="R261" i="96" s="1"/>
  <c r="T262" i="96"/>
  <c r="R262" i="96" s="1"/>
  <c r="T265" i="96"/>
  <c r="R265" i="96" s="1"/>
  <c r="T266" i="96"/>
  <c r="R266" i="96" s="1"/>
  <c r="T267" i="96"/>
  <c r="R267" i="96" s="1"/>
  <c r="T268" i="96"/>
  <c r="R268" i="96" s="1"/>
  <c r="T269" i="96"/>
  <c r="R269" i="96" s="1"/>
  <c r="T270" i="96"/>
  <c r="R270" i="96" s="1"/>
  <c r="T273" i="96"/>
  <c r="R273" i="96" s="1"/>
  <c r="T274" i="96"/>
  <c r="R274" i="96" s="1"/>
  <c r="T275" i="96"/>
  <c r="R275" i="96" s="1"/>
  <c r="T276" i="96"/>
  <c r="R276" i="96" s="1"/>
  <c r="T277" i="96"/>
  <c r="R277" i="96" s="1"/>
  <c r="T278" i="96"/>
  <c r="R278" i="96" s="1"/>
  <c r="T281" i="96"/>
  <c r="R281" i="96" s="1"/>
  <c r="T282" i="96"/>
  <c r="R282" i="96" s="1"/>
  <c r="T283" i="96"/>
  <c r="R283" i="96" s="1"/>
  <c r="T284" i="96"/>
  <c r="R284" i="96" s="1"/>
  <c r="T285" i="96"/>
  <c r="R285" i="96" s="1"/>
  <c r="T286" i="96"/>
  <c r="R286" i="96" s="1"/>
  <c r="T289" i="96"/>
  <c r="R289" i="96" s="1"/>
  <c r="T290" i="96"/>
  <c r="R290" i="96" s="1"/>
  <c r="T291" i="96"/>
  <c r="R291" i="96" s="1"/>
  <c r="T292" i="96"/>
  <c r="R292" i="96" s="1"/>
  <c r="T293" i="96"/>
  <c r="R293" i="96" s="1"/>
  <c r="T294" i="96"/>
  <c r="R294" i="96" s="1"/>
  <c r="T297" i="96"/>
  <c r="R297" i="96" s="1"/>
  <c r="T298" i="96"/>
  <c r="R298" i="96" s="1"/>
  <c r="T299" i="96"/>
  <c r="R299" i="96" s="1"/>
  <c r="T300" i="96"/>
  <c r="R300" i="96" s="1"/>
  <c r="T301" i="96"/>
  <c r="R301" i="96" s="1"/>
  <c r="T302" i="96"/>
  <c r="R302" i="96" s="1"/>
  <c r="F4" i="95"/>
  <c r="D15" i="95"/>
  <c r="E15" i="95"/>
  <c r="F15" i="95"/>
  <c r="G15" i="95"/>
  <c r="H15" i="95"/>
  <c r="I15" i="95"/>
  <c r="Y15" i="95"/>
  <c r="Y16" i="95"/>
  <c r="D20" i="95"/>
  <c r="E20" i="95"/>
  <c r="F20" i="95"/>
  <c r="G20" i="95"/>
  <c r="H20" i="95"/>
  <c r="I20" i="95"/>
  <c r="D28" i="95"/>
  <c r="E28" i="95"/>
  <c r="F28" i="95"/>
  <c r="G28" i="95"/>
  <c r="H28" i="95"/>
  <c r="I28" i="95"/>
  <c r="D31" i="95"/>
  <c r="E31" i="95"/>
  <c r="F31" i="95"/>
  <c r="G31" i="95"/>
  <c r="H31" i="95"/>
  <c r="I31" i="95"/>
  <c r="N37" i="95"/>
  <c r="W37" i="95"/>
  <c r="W36" i="95" s="1"/>
  <c r="N68" i="95"/>
  <c r="T69" i="95"/>
  <c r="R69" i="95" s="1"/>
  <c r="T70" i="95"/>
  <c r="R70" i="95" s="1"/>
  <c r="T71" i="95"/>
  <c r="R71" i="95" s="1"/>
  <c r="T72" i="95"/>
  <c r="R72" i="95" s="1"/>
  <c r="T73" i="95"/>
  <c r="R73" i="95" s="1"/>
  <c r="T74" i="95"/>
  <c r="R74" i="95" s="1"/>
  <c r="Z76" i="95"/>
  <c r="N76" i="95" s="1"/>
  <c r="T77" i="95"/>
  <c r="R77" i="95" s="1"/>
  <c r="T78" i="95"/>
  <c r="R78" i="95" s="1"/>
  <c r="T79" i="95"/>
  <c r="R79" i="95" s="1"/>
  <c r="T80" i="95"/>
  <c r="R80" i="95" s="1"/>
  <c r="T81" i="95"/>
  <c r="R81" i="95" s="1"/>
  <c r="T82" i="95"/>
  <c r="R82" i="95" s="1"/>
  <c r="T85" i="95"/>
  <c r="R85" i="95" s="1"/>
  <c r="T86" i="95"/>
  <c r="R86" i="95" s="1"/>
  <c r="T87" i="95"/>
  <c r="R87" i="95" s="1"/>
  <c r="T88" i="95"/>
  <c r="R88" i="95" s="1"/>
  <c r="T89" i="95"/>
  <c r="R89" i="95" s="1"/>
  <c r="T90" i="95"/>
  <c r="R90" i="95" s="1"/>
  <c r="T93" i="95"/>
  <c r="R93" i="95" s="1"/>
  <c r="T94" i="95"/>
  <c r="R94" i="95" s="1"/>
  <c r="T95" i="95"/>
  <c r="R95" i="95" s="1"/>
  <c r="T96" i="95"/>
  <c r="R96" i="95" s="1"/>
  <c r="T97" i="95"/>
  <c r="R97" i="95" s="1"/>
  <c r="T98" i="95"/>
  <c r="R98" i="95" s="1"/>
  <c r="T101" i="95"/>
  <c r="R101" i="95" s="1"/>
  <c r="T102" i="95"/>
  <c r="R102" i="95" s="1"/>
  <c r="T103" i="95"/>
  <c r="R103" i="95" s="1"/>
  <c r="T104" i="95"/>
  <c r="R104" i="95" s="1"/>
  <c r="T105" i="95"/>
  <c r="R105" i="95" s="1"/>
  <c r="T106" i="95"/>
  <c r="R106" i="95" s="1"/>
  <c r="T109" i="95"/>
  <c r="R109" i="95" s="1"/>
  <c r="T110" i="95"/>
  <c r="R110" i="95" s="1"/>
  <c r="T111" i="95"/>
  <c r="R111" i="95" s="1"/>
  <c r="T112" i="95"/>
  <c r="R112" i="95" s="1"/>
  <c r="T113" i="95"/>
  <c r="R113" i="95" s="1"/>
  <c r="T114" i="95"/>
  <c r="R114" i="95" s="1"/>
  <c r="T117" i="95"/>
  <c r="R117" i="95" s="1"/>
  <c r="T118" i="95"/>
  <c r="R118" i="95" s="1"/>
  <c r="T119" i="95"/>
  <c r="R119" i="95" s="1"/>
  <c r="T120" i="95"/>
  <c r="R120" i="95" s="1"/>
  <c r="T121" i="95"/>
  <c r="R121" i="95" s="1"/>
  <c r="T122" i="95"/>
  <c r="R122" i="95" s="1"/>
  <c r="T125" i="95"/>
  <c r="R125" i="95" s="1"/>
  <c r="T126" i="95"/>
  <c r="R126" i="95" s="1"/>
  <c r="T127" i="95"/>
  <c r="R127" i="95" s="1"/>
  <c r="T128" i="95"/>
  <c r="R128" i="95" s="1"/>
  <c r="T129" i="95"/>
  <c r="R129" i="95" s="1"/>
  <c r="T130" i="95"/>
  <c r="R130" i="95" s="1"/>
  <c r="T133" i="95"/>
  <c r="R133" i="95" s="1"/>
  <c r="T134" i="95"/>
  <c r="R134" i="95" s="1"/>
  <c r="T135" i="95"/>
  <c r="R135" i="95" s="1"/>
  <c r="T136" i="95"/>
  <c r="R136" i="95" s="1"/>
  <c r="T137" i="95"/>
  <c r="R137" i="95" s="1"/>
  <c r="T138" i="95"/>
  <c r="R138" i="95" s="1"/>
  <c r="T141" i="95"/>
  <c r="R141" i="95" s="1"/>
  <c r="T142" i="95"/>
  <c r="R142" i="95" s="1"/>
  <c r="T143" i="95"/>
  <c r="R143" i="95" s="1"/>
  <c r="T144" i="95"/>
  <c r="R144" i="95" s="1"/>
  <c r="T145" i="95"/>
  <c r="R145" i="95" s="1"/>
  <c r="T146" i="95"/>
  <c r="R146" i="95" s="1"/>
  <c r="T149" i="95"/>
  <c r="R149" i="95" s="1"/>
  <c r="T150" i="95"/>
  <c r="R150" i="95" s="1"/>
  <c r="T151" i="95"/>
  <c r="R151" i="95" s="1"/>
  <c r="T152" i="95"/>
  <c r="R152" i="95" s="1"/>
  <c r="T153" i="95"/>
  <c r="R153" i="95" s="1"/>
  <c r="T154" i="95"/>
  <c r="R154" i="95" s="1"/>
  <c r="T157" i="95"/>
  <c r="R157" i="95" s="1"/>
  <c r="T158" i="95"/>
  <c r="R158" i="95" s="1"/>
  <c r="T159" i="95"/>
  <c r="R159" i="95" s="1"/>
  <c r="T160" i="95"/>
  <c r="R160" i="95" s="1"/>
  <c r="T161" i="95"/>
  <c r="R161" i="95" s="1"/>
  <c r="T162" i="95"/>
  <c r="R162" i="95" s="1"/>
  <c r="T165" i="95"/>
  <c r="R165" i="95" s="1"/>
  <c r="T166" i="95"/>
  <c r="R166" i="95" s="1"/>
  <c r="T167" i="95"/>
  <c r="R167" i="95" s="1"/>
  <c r="T168" i="95"/>
  <c r="R168" i="95" s="1"/>
  <c r="T169" i="95"/>
  <c r="R169" i="95" s="1"/>
  <c r="T170" i="95"/>
  <c r="R170" i="95" s="1"/>
  <c r="T173" i="95"/>
  <c r="R173" i="95" s="1"/>
  <c r="T174" i="95"/>
  <c r="R174" i="95" s="1"/>
  <c r="T175" i="95"/>
  <c r="R175" i="95" s="1"/>
  <c r="T176" i="95"/>
  <c r="R176" i="95" s="1"/>
  <c r="T177" i="95"/>
  <c r="R177" i="95" s="1"/>
  <c r="T178" i="95"/>
  <c r="R178" i="95" s="1"/>
  <c r="T181" i="95"/>
  <c r="R181" i="95" s="1"/>
  <c r="T182" i="95"/>
  <c r="R182" i="95" s="1"/>
  <c r="T183" i="95"/>
  <c r="R183" i="95" s="1"/>
  <c r="T184" i="95"/>
  <c r="R184" i="95" s="1"/>
  <c r="T185" i="95"/>
  <c r="R185" i="95" s="1"/>
  <c r="T186" i="95"/>
  <c r="R186" i="95" s="1"/>
  <c r="T189" i="95"/>
  <c r="R189" i="95" s="1"/>
  <c r="T190" i="95"/>
  <c r="R190" i="95" s="1"/>
  <c r="T191" i="95"/>
  <c r="R191" i="95" s="1"/>
  <c r="T192" i="95"/>
  <c r="R192" i="95" s="1"/>
  <c r="T193" i="95"/>
  <c r="R193" i="95" s="1"/>
  <c r="T194" i="95"/>
  <c r="R194" i="95" s="1"/>
  <c r="T197" i="95"/>
  <c r="R197" i="95" s="1"/>
  <c r="T198" i="95"/>
  <c r="R198" i="95" s="1"/>
  <c r="T199" i="95"/>
  <c r="R199" i="95" s="1"/>
  <c r="T200" i="95"/>
  <c r="R200" i="95" s="1"/>
  <c r="T201" i="95"/>
  <c r="R201" i="95" s="1"/>
  <c r="T202" i="95"/>
  <c r="R202" i="95" s="1"/>
  <c r="F4" i="92"/>
  <c r="D18" i="92"/>
  <c r="E18" i="92"/>
  <c r="F18" i="92"/>
  <c r="G18" i="92"/>
  <c r="H18" i="92"/>
  <c r="I18" i="92"/>
  <c r="Y18" i="92"/>
  <c r="Y19" i="92"/>
  <c r="D23" i="92"/>
  <c r="E23" i="92"/>
  <c r="F23" i="92"/>
  <c r="G23" i="92"/>
  <c r="H23" i="92"/>
  <c r="I23" i="92"/>
  <c r="D29" i="92"/>
  <c r="E29" i="92"/>
  <c r="F29" i="92"/>
  <c r="G29" i="92"/>
  <c r="H29" i="92"/>
  <c r="I29" i="92"/>
  <c r="D33" i="92"/>
  <c r="E33" i="92"/>
  <c r="F33" i="92"/>
  <c r="G33" i="92"/>
  <c r="H33" i="92"/>
  <c r="I33" i="92"/>
  <c r="D39" i="92"/>
  <c r="E39" i="92"/>
  <c r="F39" i="92"/>
  <c r="G39" i="92"/>
  <c r="H39" i="92"/>
  <c r="I39" i="92"/>
  <c r="D42" i="92"/>
  <c r="E42" i="92"/>
  <c r="F42" i="92"/>
  <c r="G42" i="92"/>
  <c r="H42" i="92"/>
  <c r="I42" i="92"/>
  <c r="D49" i="92"/>
  <c r="E49" i="92"/>
  <c r="F49" i="92"/>
  <c r="G49" i="92"/>
  <c r="H49" i="92"/>
  <c r="I49" i="92"/>
  <c r="D51" i="92"/>
  <c r="E51" i="92"/>
  <c r="F51" i="92"/>
  <c r="G51" i="92"/>
  <c r="H51" i="92"/>
  <c r="I51" i="92"/>
  <c r="D53" i="92"/>
  <c r="E53" i="92"/>
  <c r="F53" i="92"/>
  <c r="G53" i="92"/>
  <c r="H53" i="92"/>
  <c r="I53" i="92"/>
  <c r="N60" i="92"/>
  <c r="W60" i="92"/>
  <c r="W59" i="92" s="1"/>
  <c r="N77" i="92"/>
  <c r="T78" i="92"/>
  <c r="R78" i="92" s="1"/>
  <c r="T79" i="92"/>
  <c r="R79" i="92" s="1"/>
  <c r="T80" i="92"/>
  <c r="R80" i="92" s="1"/>
  <c r="T81" i="92"/>
  <c r="R81" i="92" s="1"/>
  <c r="T82" i="92"/>
  <c r="R82" i="92" s="1"/>
  <c r="T83" i="92"/>
  <c r="R83" i="92" s="1"/>
  <c r="A86" i="92"/>
  <c r="Z85" i="92"/>
  <c r="N85" i="92" s="1"/>
  <c r="T86" i="92"/>
  <c r="R86" i="92" s="1"/>
  <c r="T87" i="92"/>
  <c r="R87" i="92" s="1"/>
  <c r="T88" i="92"/>
  <c r="R88" i="92" s="1"/>
  <c r="T89" i="92"/>
  <c r="R89" i="92" s="1"/>
  <c r="T90" i="92"/>
  <c r="R90" i="92" s="1"/>
  <c r="T91" i="92"/>
  <c r="R91" i="92" s="1"/>
  <c r="T94" i="92"/>
  <c r="R94" i="92" s="1"/>
  <c r="T95" i="92"/>
  <c r="R95" i="92" s="1"/>
  <c r="T96" i="92"/>
  <c r="R96" i="92" s="1"/>
  <c r="T97" i="92"/>
  <c r="R97" i="92" s="1"/>
  <c r="T98" i="92"/>
  <c r="R98" i="92" s="1"/>
  <c r="T99" i="92"/>
  <c r="R99" i="92" s="1"/>
  <c r="T102" i="92"/>
  <c r="R102" i="92" s="1"/>
  <c r="T103" i="92"/>
  <c r="R103" i="92" s="1"/>
  <c r="T104" i="92"/>
  <c r="R104" i="92" s="1"/>
  <c r="T105" i="92"/>
  <c r="R105" i="92" s="1"/>
  <c r="T106" i="92"/>
  <c r="R106" i="92" s="1"/>
  <c r="T107" i="92"/>
  <c r="R107" i="92" s="1"/>
  <c r="T110" i="92"/>
  <c r="R110" i="92" s="1"/>
  <c r="T111" i="92"/>
  <c r="R111" i="92" s="1"/>
  <c r="T112" i="92"/>
  <c r="R112" i="92" s="1"/>
  <c r="T113" i="92"/>
  <c r="R113" i="92" s="1"/>
  <c r="T114" i="92"/>
  <c r="R114" i="92" s="1"/>
  <c r="T115" i="92"/>
  <c r="R115" i="92" s="1"/>
  <c r="T118" i="92"/>
  <c r="R118" i="92" s="1"/>
  <c r="T119" i="92"/>
  <c r="R119" i="92" s="1"/>
  <c r="T120" i="92"/>
  <c r="R120" i="92" s="1"/>
  <c r="T121" i="92"/>
  <c r="R121" i="92" s="1"/>
  <c r="T122" i="92"/>
  <c r="R122" i="92" s="1"/>
  <c r="T123" i="92"/>
  <c r="R123" i="92" s="1"/>
  <c r="T126" i="92"/>
  <c r="R126" i="92" s="1"/>
  <c r="T127" i="92"/>
  <c r="R127" i="92" s="1"/>
  <c r="T128" i="92"/>
  <c r="R128" i="92" s="1"/>
  <c r="T129" i="92"/>
  <c r="R129" i="92" s="1"/>
  <c r="T130" i="92"/>
  <c r="R130" i="92" s="1"/>
  <c r="T131" i="92"/>
  <c r="R131" i="92" s="1"/>
  <c r="T134" i="92"/>
  <c r="R134" i="92" s="1"/>
  <c r="T135" i="92"/>
  <c r="R135" i="92" s="1"/>
  <c r="T136" i="92"/>
  <c r="R136" i="92" s="1"/>
  <c r="T137" i="92"/>
  <c r="R137" i="92" s="1"/>
  <c r="T138" i="92"/>
  <c r="R138" i="92" s="1"/>
  <c r="T139" i="92"/>
  <c r="R139" i="92" s="1"/>
  <c r="T142" i="92"/>
  <c r="R142" i="92" s="1"/>
  <c r="T143" i="92"/>
  <c r="R143" i="92" s="1"/>
  <c r="T144" i="92"/>
  <c r="R144" i="92" s="1"/>
  <c r="T145" i="92"/>
  <c r="R145" i="92" s="1"/>
  <c r="T146" i="92"/>
  <c r="R146" i="92" s="1"/>
  <c r="T147" i="92"/>
  <c r="R147" i="92" s="1"/>
  <c r="T150" i="92"/>
  <c r="R150" i="92" s="1"/>
  <c r="T151" i="92"/>
  <c r="R151" i="92" s="1"/>
  <c r="T152" i="92"/>
  <c r="R152" i="92" s="1"/>
  <c r="T153" i="92"/>
  <c r="R153" i="92" s="1"/>
  <c r="T154" i="92"/>
  <c r="R154" i="92" s="1"/>
  <c r="T155" i="92"/>
  <c r="R155" i="92" s="1"/>
  <c r="T158" i="92"/>
  <c r="R158" i="92" s="1"/>
  <c r="T159" i="92"/>
  <c r="R159" i="92" s="1"/>
  <c r="T160" i="92"/>
  <c r="R160" i="92" s="1"/>
  <c r="T161" i="92"/>
  <c r="R161" i="92" s="1"/>
  <c r="T162" i="92"/>
  <c r="R162" i="92" s="1"/>
  <c r="T163" i="92"/>
  <c r="R163" i="92" s="1"/>
  <c r="T166" i="92"/>
  <c r="R166" i="92" s="1"/>
  <c r="T167" i="92"/>
  <c r="R167" i="92" s="1"/>
  <c r="T168" i="92"/>
  <c r="R168" i="92" s="1"/>
  <c r="T169" i="92"/>
  <c r="R169" i="92" s="1"/>
  <c r="T170" i="92"/>
  <c r="R170" i="92" s="1"/>
  <c r="T171" i="92"/>
  <c r="R171" i="92" s="1"/>
  <c r="T174" i="92"/>
  <c r="R174" i="92" s="1"/>
  <c r="T175" i="92"/>
  <c r="R175" i="92" s="1"/>
  <c r="T176" i="92"/>
  <c r="R176" i="92" s="1"/>
  <c r="T177" i="92"/>
  <c r="R177" i="92" s="1"/>
  <c r="T178" i="92"/>
  <c r="R178" i="92" s="1"/>
  <c r="T179" i="92"/>
  <c r="R179" i="92" s="1"/>
  <c r="T182" i="92"/>
  <c r="R182" i="92" s="1"/>
  <c r="T183" i="92"/>
  <c r="R183" i="92" s="1"/>
  <c r="T184" i="92"/>
  <c r="R184" i="92" s="1"/>
  <c r="T185" i="92"/>
  <c r="R185" i="92" s="1"/>
  <c r="T186" i="92"/>
  <c r="R186" i="92" s="1"/>
  <c r="T187" i="92"/>
  <c r="R187" i="92" s="1"/>
  <c r="T190" i="92"/>
  <c r="R190" i="92" s="1"/>
  <c r="T191" i="92"/>
  <c r="R191" i="92" s="1"/>
  <c r="T192" i="92"/>
  <c r="R192" i="92" s="1"/>
  <c r="T193" i="92"/>
  <c r="R193" i="92" s="1"/>
  <c r="T194" i="92"/>
  <c r="R194" i="92" s="1"/>
  <c r="T195" i="92"/>
  <c r="R195" i="92" s="1"/>
  <c r="T198" i="92"/>
  <c r="R198" i="92" s="1"/>
  <c r="T199" i="92"/>
  <c r="R199" i="92" s="1"/>
  <c r="T200" i="92"/>
  <c r="R200" i="92" s="1"/>
  <c r="T201" i="92"/>
  <c r="R201" i="92" s="1"/>
  <c r="T202" i="92"/>
  <c r="R202" i="92" s="1"/>
  <c r="T203" i="92"/>
  <c r="R203" i="92" s="1"/>
  <c r="T206" i="92"/>
  <c r="R206" i="92" s="1"/>
  <c r="T207" i="92"/>
  <c r="R207" i="92" s="1"/>
  <c r="T208" i="92"/>
  <c r="R208" i="92" s="1"/>
  <c r="T209" i="92"/>
  <c r="R209" i="92" s="1"/>
  <c r="T210" i="92"/>
  <c r="R210" i="92" s="1"/>
  <c r="T211" i="92"/>
  <c r="R211" i="92" s="1"/>
  <c r="T214" i="92"/>
  <c r="R214" i="92" s="1"/>
  <c r="T215" i="92"/>
  <c r="R215" i="92" s="1"/>
  <c r="T216" i="92"/>
  <c r="R216" i="92" s="1"/>
  <c r="T217" i="92"/>
  <c r="R217" i="92" s="1"/>
  <c r="T218" i="92"/>
  <c r="R218" i="92" s="1"/>
  <c r="T219" i="92"/>
  <c r="R219" i="92" s="1"/>
  <c r="T222" i="92"/>
  <c r="R222" i="92" s="1"/>
  <c r="T223" i="92"/>
  <c r="R223" i="92" s="1"/>
  <c r="T224" i="92"/>
  <c r="R224" i="92" s="1"/>
  <c r="T225" i="92"/>
  <c r="R225" i="92" s="1"/>
  <c r="T226" i="92"/>
  <c r="R226" i="92" s="1"/>
  <c r="T227" i="92"/>
  <c r="R227" i="92" s="1"/>
  <c r="T230" i="92"/>
  <c r="R230" i="92" s="1"/>
  <c r="T231" i="92"/>
  <c r="R231" i="92" s="1"/>
  <c r="T232" i="92"/>
  <c r="R232" i="92" s="1"/>
  <c r="T233" i="92"/>
  <c r="R233" i="92" s="1"/>
  <c r="T234" i="92"/>
  <c r="R234" i="92" s="1"/>
  <c r="T235" i="92"/>
  <c r="R235" i="92" s="1"/>
  <c r="T238" i="92"/>
  <c r="R238" i="92" s="1"/>
  <c r="T239" i="92"/>
  <c r="R239" i="92" s="1"/>
  <c r="T240" i="92"/>
  <c r="R240" i="92" s="1"/>
  <c r="T241" i="92"/>
  <c r="R241" i="92" s="1"/>
  <c r="T242" i="92"/>
  <c r="R242" i="92" s="1"/>
  <c r="T243" i="92"/>
  <c r="R243" i="92" s="1"/>
  <c r="T246" i="92"/>
  <c r="R246" i="92" s="1"/>
  <c r="T247" i="92"/>
  <c r="R247" i="92" s="1"/>
  <c r="T248" i="92"/>
  <c r="R248" i="92" s="1"/>
  <c r="T249" i="92"/>
  <c r="R249" i="92" s="1"/>
  <c r="T250" i="92"/>
  <c r="R250" i="92" s="1"/>
  <c r="T251" i="92"/>
  <c r="R251" i="92" s="1"/>
  <c r="T254" i="92"/>
  <c r="R254" i="92" s="1"/>
  <c r="T255" i="92"/>
  <c r="R255" i="92" s="1"/>
  <c r="T256" i="92"/>
  <c r="R256" i="92" s="1"/>
  <c r="T257" i="92"/>
  <c r="R257" i="92" s="1"/>
  <c r="T258" i="92"/>
  <c r="R258" i="92" s="1"/>
  <c r="T259" i="92"/>
  <c r="R259" i="92" s="1"/>
  <c r="T262" i="92"/>
  <c r="R262" i="92" s="1"/>
  <c r="T263" i="92"/>
  <c r="R263" i="92" s="1"/>
  <c r="T264" i="92"/>
  <c r="R264" i="92" s="1"/>
  <c r="T265" i="92"/>
  <c r="R265" i="92" s="1"/>
  <c r="T266" i="92"/>
  <c r="R266" i="92" s="1"/>
  <c r="T267" i="92"/>
  <c r="R267" i="92" s="1"/>
  <c r="T270" i="92"/>
  <c r="R270" i="92" s="1"/>
  <c r="T271" i="92"/>
  <c r="R271" i="92" s="1"/>
  <c r="T272" i="92"/>
  <c r="R272" i="92" s="1"/>
  <c r="T273" i="92"/>
  <c r="R273" i="92" s="1"/>
  <c r="T274" i="92"/>
  <c r="R274" i="92" s="1"/>
  <c r="T275" i="92"/>
  <c r="R275" i="92" s="1"/>
  <c r="F4" i="91"/>
  <c r="D5" i="91"/>
  <c r="D16" i="91"/>
  <c r="E16" i="91"/>
  <c r="F16" i="91"/>
  <c r="G16" i="91"/>
  <c r="H16" i="91"/>
  <c r="I16" i="91"/>
  <c r="Y16" i="91"/>
  <c r="Y17" i="91"/>
  <c r="D19" i="91"/>
  <c r="E19" i="91"/>
  <c r="F19" i="91"/>
  <c r="G19" i="91"/>
  <c r="H19" i="91"/>
  <c r="I19" i="91"/>
  <c r="W20" i="91" a="1"/>
  <c r="W20" i="91" s="1"/>
  <c r="W19" i="91" s="1"/>
  <c r="D21" i="91"/>
  <c r="E21" i="91"/>
  <c r="F21" i="91"/>
  <c r="G21" i="91"/>
  <c r="H21" i="91"/>
  <c r="I21" i="91"/>
  <c r="D24" i="91"/>
  <c r="E24" i="91"/>
  <c r="F24" i="91"/>
  <c r="G24" i="91"/>
  <c r="H24" i="91"/>
  <c r="I24" i="91"/>
  <c r="D28" i="91"/>
  <c r="E28" i="91"/>
  <c r="F28" i="91"/>
  <c r="G28" i="91"/>
  <c r="H28" i="91"/>
  <c r="I28" i="91"/>
  <c r="W29" i="91" a="1"/>
  <c r="W29" i="91" s="1"/>
  <c r="W28" i="91" s="1"/>
  <c r="D30" i="91"/>
  <c r="E30" i="91"/>
  <c r="F30" i="91"/>
  <c r="G30" i="91"/>
  <c r="H30" i="91"/>
  <c r="I30" i="91"/>
  <c r="N37" i="91"/>
  <c r="W37" i="91"/>
  <c r="W36" i="91" s="1"/>
  <c r="D39" i="91"/>
  <c r="E39" i="91"/>
  <c r="F39" i="91"/>
  <c r="G39" i="91"/>
  <c r="H39" i="91"/>
  <c r="I39" i="91"/>
  <c r="D48" i="91"/>
  <c r="E48" i="91"/>
  <c r="F48" i="91"/>
  <c r="G48" i="91"/>
  <c r="H48" i="91"/>
  <c r="I48" i="91"/>
  <c r="N54" i="91"/>
  <c r="T55" i="91"/>
  <c r="R55" i="91" s="1"/>
  <c r="T56" i="91"/>
  <c r="R56" i="91" s="1"/>
  <c r="T57" i="91"/>
  <c r="R57" i="91" s="1"/>
  <c r="T58" i="91"/>
  <c r="R58" i="91" s="1"/>
  <c r="T59" i="91"/>
  <c r="R59" i="91" s="1"/>
  <c r="T60" i="91"/>
  <c r="R60" i="91" s="1"/>
  <c r="Z62" i="91"/>
  <c r="N62" i="91" s="1"/>
  <c r="T63" i="91"/>
  <c r="R63" i="91" s="1"/>
  <c r="T64" i="91"/>
  <c r="R64" i="91" s="1"/>
  <c r="T65" i="91"/>
  <c r="R65" i="91" s="1"/>
  <c r="T66" i="91"/>
  <c r="R66" i="91" s="1"/>
  <c r="T67" i="91"/>
  <c r="R67" i="91" s="1"/>
  <c r="T68" i="91"/>
  <c r="R68" i="91" s="1"/>
  <c r="T71" i="91"/>
  <c r="R71" i="91" s="1"/>
  <c r="T72" i="91"/>
  <c r="R72" i="91" s="1"/>
  <c r="T73" i="91"/>
  <c r="R73" i="91" s="1"/>
  <c r="T74" i="91"/>
  <c r="R74" i="91" s="1"/>
  <c r="T75" i="91"/>
  <c r="R75" i="91" s="1"/>
  <c r="T76" i="91"/>
  <c r="R76" i="91" s="1"/>
  <c r="T79" i="91"/>
  <c r="R79" i="91" s="1"/>
  <c r="T80" i="91"/>
  <c r="R80" i="91" s="1"/>
  <c r="T81" i="91"/>
  <c r="R81" i="91" s="1"/>
  <c r="T82" i="91"/>
  <c r="R82" i="91" s="1"/>
  <c r="T83" i="91"/>
  <c r="R83" i="91" s="1"/>
  <c r="T84" i="91"/>
  <c r="R84" i="91" s="1"/>
  <c r="T87" i="91"/>
  <c r="R87" i="91" s="1"/>
  <c r="T88" i="91"/>
  <c r="R88" i="91" s="1"/>
  <c r="T89" i="91"/>
  <c r="R89" i="91" s="1"/>
  <c r="T90" i="91"/>
  <c r="R90" i="91" s="1"/>
  <c r="T91" i="91"/>
  <c r="R91" i="91" s="1"/>
  <c r="T92" i="91"/>
  <c r="R92" i="91" s="1"/>
  <c r="T95" i="91"/>
  <c r="R95" i="91" s="1"/>
  <c r="T96" i="91"/>
  <c r="R96" i="91" s="1"/>
  <c r="T97" i="91"/>
  <c r="R97" i="91" s="1"/>
  <c r="T98" i="91"/>
  <c r="R98" i="91" s="1"/>
  <c r="T99" i="91"/>
  <c r="R99" i="91" s="1"/>
  <c r="T100" i="91"/>
  <c r="R100" i="91" s="1"/>
  <c r="T103" i="91"/>
  <c r="R103" i="91" s="1"/>
  <c r="T104" i="91"/>
  <c r="R104" i="91" s="1"/>
  <c r="T105" i="91"/>
  <c r="R105" i="91" s="1"/>
  <c r="T106" i="91"/>
  <c r="R106" i="91" s="1"/>
  <c r="T107" i="91"/>
  <c r="R107" i="91" s="1"/>
  <c r="T108" i="91"/>
  <c r="R108" i="91" s="1"/>
  <c r="T111" i="91"/>
  <c r="R111" i="91" s="1"/>
  <c r="T112" i="91"/>
  <c r="R112" i="91" s="1"/>
  <c r="T113" i="91"/>
  <c r="R113" i="91" s="1"/>
  <c r="T114" i="91"/>
  <c r="R114" i="91" s="1"/>
  <c r="T115" i="91"/>
  <c r="R115" i="91" s="1"/>
  <c r="T116" i="91"/>
  <c r="R116" i="91" s="1"/>
  <c r="T119" i="91"/>
  <c r="R119" i="91" s="1"/>
  <c r="T120" i="91"/>
  <c r="R120" i="91" s="1"/>
  <c r="T121" i="91"/>
  <c r="R121" i="91" s="1"/>
  <c r="T122" i="91"/>
  <c r="R122" i="91" s="1"/>
  <c r="T123" i="91"/>
  <c r="R123" i="91" s="1"/>
  <c r="T124" i="91"/>
  <c r="R124" i="91" s="1"/>
  <c r="T127" i="91"/>
  <c r="R127" i="91" s="1"/>
  <c r="T128" i="91"/>
  <c r="R128" i="91" s="1"/>
  <c r="T129" i="91"/>
  <c r="R129" i="91" s="1"/>
  <c r="T130" i="91"/>
  <c r="R130" i="91" s="1"/>
  <c r="T131" i="91"/>
  <c r="R131" i="91" s="1"/>
  <c r="T132" i="91"/>
  <c r="R132" i="91" s="1"/>
  <c r="T135" i="91"/>
  <c r="R135" i="91" s="1"/>
  <c r="T136" i="91"/>
  <c r="R136" i="91" s="1"/>
  <c r="T137" i="91"/>
  <c r="R137" i="91" s="1"/>
  <c r="T138" i="91"/>
  <c r="R138" i="91" s="1"/>
  <c r="T139" i="91"/>
  <c r="R139" i="91" s="1"/>
  <c r="T140" i="91"/>
  <c r="R140" i="91" s="1"/>
  <c r="D14" i="90"/>
  <c r="E14" i="90"/>
  <c r="F14" i="90"/>
  <c r="G14" i="90"/>
  <c r="H14" i="90"/>
  <c r="I14" i="90"/>
  <c r="Y14" i="90"/>
  <c r="Y15" i="90"/>
  <c r="D20" i="90"/>
  <c r="E20" i="90"/>
  <c r="F20" i="90"/>
  <c r="G20" i="90"/>
  <c r="H20" i="90"/>
  <c r="I20" i="90"/>
  <c r="D27" i="90"/>
  <c r="E27" i="90"/>
  <c r="F27" i="90"/>
  <c r="G27" i="90"/>
  <c r="H27" i="90"/>
  <c r="I27" i="90"/>
  <c r="D30" i="90"/>
  <c r="E30" i="90"/>
  <c r="F30" i="90"/>
  <c r="G30" i="90"/>
  <c r="H30" i="90"/>
  <c r="I30" i="90"/>
  <c r="N37" i="90"/>
  <c r="W37" i="90"/>
  <c r="W36" i="90" s="1"/>
  <c r="N54" i="90"/>
  <c r="T55" i="90"/>
  <c r="R55" i="90" s="1"/>
  <c r="T56" i="90"/>
  <c r="R56" i="90" s="1"/>
  <c r="T57" i="90"/>
  <c r="R57" i="90" s="1"/>
  <c r="T58" i="90"/>
  <c r="R58" i="90" s="1"/>
  <c r="T59" i="90"/>
  <c r="R59" i="90" s="1"/>
  <c r="T60" i="90"/>
  <c r="R60" i="90" s="1"/>
  <c r="Z62" i="90"/>
  <c r="T63" i="90"/>
  <c r="R63" i="90" s="1"/>
  <c r="T64" i="90"/>
  <c r="R64" i="90" s="1"/>
  <c r="T65" i="90"/>
  <c r="R65" i="90" s="1"/>
  <c r="T66" i="90"/>
  <c r="R66" i="90" s="1"/>
  <c r="T67" i="90"/>
  <c r="R67" i="90" s="1"/>
  <c r="T68" i="90"/>
  <c r="R68" i="90" s="1"/>
  <c r="T71" i="90"/>
  <c r="R71" i="90" s="1"/>
  <c r="T72" i="90"/>
  <c r="R72" i="90" s="1"/>
  <c r="T73" i="90"/>
  <c r="R73" i="90" s="1"/>
  <c r="T74" i="90"/>
  <c r="R74" i="90" s="1"/>
  <c r="T75" i="90"/>
  <c r="R75" i="90" s="1"/>
  <c r="T76" i="90"/>
  <c r="R76" i="90" s="1"/>
  <c r="T79" i="90"/>
  <c r="R79" i="90" s="1"/>
  <c r="T80" i="90"/>
  <c r="R80" i="90" s="1"/>
  <c r="T81" i="90"/>
  <c r="R81" i="90" s="1"/>
  <c r="T82" i="90"/>
  <c r="R82" i="90" s="1"/>
  <c r="T83" i="90"/>
  <c r="R83" i="90" s="1"/>
  <c r="T84" i="90"/>
  <c r="R84" i="90" s="1"/>
  <c r="T87" i="90"/>
  <c r="R87" i="90" s="1"/>
  <c r="T88" i="90"/>
  <c r="R88" i="90" s="1"/>
  <c r="T89" i="90"/>
  <c r="R89" i="90" s="1"/>
  <c r="T90" i="90"/>
  <c r="R90" i="90" s="1"/>
  <c r="T91" i="90"/>
  <c r="R91" i="90" s="1"/>
  <c r="T92" i="90"/>
  <c r="R92" i="90" s="1"/>
  <c r="T95" i="90"/>
  <c r="R95" i="90" s="1"/>
  <c r="T96" i="90"/>
  <c r="R96" i="90" s="1"/>
  <c r="T97" i="90"/>
  <c r="R97" i="90" s="1"/>
  <c r="T98" i="90"/>
  <c r="R98" i="90" s="1"/>
  <c r="T99" i="90"/>
  <c r="R99" i="90" s="1"/>
  <c r="T100" i="90"/>
  <c r="R100" i="90" s="1"/>
  <c r="T103" i="90"/>
  <c r="R103" i="90" s="1"/>
  <c r="T104" i="90"/>
  <c r="R104" i="90" s="1"/>
  <c r="T105" i="90"/>
  <c r="R105" i="90" s="1"/>
  <c r="T106" i="90"/>
  <c r="R106" i="90" s="1"/>
  <c r="T107" i="90"/>
  <c r="R107" i="90" s="1"/>
  <c r="T108" i="90"/>
  <c r="R108" i="90" s="1"/>
  <c r="T111" i="90"/>
  <c r="R111" i="90" s="1"/>
  <c r="T112" i="90"/>
  <c r="R112" i="90" s="1"/>
  <c r="T113" i="90"/>
  <c r="R113" i="90" s="1"/>
  <c r="T114" i="90"/>
  <c r="R114" i="90" s="1"/>
  <c r="T115" i="90"/>
  <c r="R115" i="90" s="1"/>
  <c r="T116" i="90"/>
  <c r="R116" i="90" s="1"/>
  <c r="T119" i="90"/>
  <c r="R119" i="90" s="1"/>
  <c r="T120" i="90"/>
  <c r="R120" i="90" s="1"/>
  <c r="T121" i="90"/>
  <c r="R121" i="90" s="1"/>
  <c r="T122" i="90"/>
  <c r="R122" i="90" s="1"/>
  <c r="T123" i="90"/>
  <c r="R123" i="90" s="1"/>
  <c r="T124" i="90"/>
  <c r="R124" i="90" s="1"/>
  <c r="T127" i="90"/>
  <c r="R127" i="90" s="1"/>
  <c r="T128" i="90"/>
  <c r="R128" i="90" s="1"/>
  <c r="T129" i="90"/>
  <c r="R129" i="90" s="1"/>
  <c r="T130" i="90"/>
  <c r="R130" i="90" s="1"/>
  <c r="T131" i="90"/>
  <c r="R131" i="90" s="1"/>
  <c r="T132" i="90"/>
  <c r="R132" i="90" s="1"/>
  <c r="T135" i="90"/>
  <c r="R135" i="90" s="1"/>
  <c r="T136" i="90"/>
  <c r="R136" i="90" s="1"/>
  <c r="T137" i="90"/>
  <c r="R137" i="90" s="1"/>
  <c r="T138" i="90"/>
  <c r="R138" i="90" s="1"/>
  <c r="T139" i="90"/>
  <c r="R139" i="90" s="1"/>
  <c r="T140" i="90"/>
  <c r="R140" i="90" s="1"/>
  <c r="T143" i="90"/>
  <c r="R143" i="90" s="1"/>
  <c r="T144" i="90"/>
  <c r="R144" i="90" s="1"/>
  <c r="T145" i="90"/>
  <c r="R145" i="90" s="1"/>
  <c r="T146" i="90"/>
  <c r="R146" i="90" s="1"/>
  <c r="T147" i="90"/>
  <c r="R147" i="90" s="1"/>
  <c r="T148" i="90"/>
  <c r="R148" i="90" s="1"/>
  <c r="T151" i="90"/>
  <c r="R151" i="90" s="1"/>
  <c r="T152" i="90"/>
  <c r="R152" i="90" s="1"/>
  <c r="T153" i="90"/>
  <c r="R153" i="90" s="1"/>
  <c r="T154" i="90"/>
  <c r="R154" i="90" s="1"/>
  <c r="T155" i="90"/>
  <c r="R155" i="90" s="1"/>
  <c r="T156" i="90"/>
  <c r="R156" i="90" s="1"/>
  <c r="T159" i="90"/>
  <c r="R159" i="90" s="1"/>
  <c r="T160" i="90"/>
  <c r="R160" i="90" s="1"/>
  <c r="T161" i="90"/>
  <c r="R161" i="90" s="1"/>
  <c r="T162" i="90"/>
  <c r="R162" i="90" s="1"/>
  <c r="T163" i="90"/>
  <c r="R163" i="90" s="1"/>
  <c r="T164" i="90"/>
  <c r="R164" i="90" s="1"/>
  <c r="T167" i="90"/>
  <c r="R167" i="90" s="1"/>
  <c r="T168" i="90"/>
  <c r="R168" i="90" s="1"/>
  <c r="T169" i="90"/>
  <c r="R169" i="90" s="1"/>
  <c r="T170" i="90"/>
  <c r="R170" i="90" s="1"/>
  <c r="T171" i="90"/>
  <c r="R171" i="90" s="1"/>
  <c r="T172" i="90"/>
  <c r="R172" i="90" s="1"/>
  <c r="T175" i="90"/>
  <c r="R175" i="90" s="1"/>
  <c r="T176" i="90"/>
  <c r="R176" i="90" s="1"/>
  <c r="T177" i="90"/>
  <c r="R177" i="90" s="1"/>
  <c r="T178" i="90"/>
  <c r="R178" i="90" s="1"/>
  <c r="T179" i="90"/>
  <c r="R179" i="90" s="1"/>
  <c r="T180" i="90"/>
  <c r="R180" i="90" s="1"/>
  <c r="T183" i="90"/>
  <c r="R183" i="90" s="1"/>
  <c r="T184" i="90"/>
  <c r="R184" i="90" s="1"/>
  <c r="T185" i="90"/>
  <c r="R185" i="90" s="1"/>
  <c r="T186" i="90"/>
  <c r="R186" i="90" s="1"/>
  <c r="T187" i="90"/>
  <c r="R187" i="90" s="1"/>
  <c r="T188" i="90"/>
  <c r="R188" i="90" s="1"/>
  <c r="D14" i="89"/>
  <c r="E14" i="89"/>
  <c r="F14" i="89"/>
  <c r="G14" i="89"/>
  <c r="H14" i="89"/>
  <c r="I14" i="89"/>
  <c r="Y14" i="89"/>
  <c r="Y15" i="89"/>
  <c r="D22" i="89"/>
  <c r="E22" i="89"/>
  <c r="F22" i="89"/>
  <c r="G22" i="89"/>
  <c r="H22" i="89"/>
  <c r="I22" i="89"/>
  <c r="D26" i="89"/>
  <c r="E26" i="89"/>
  <c r="F26" i="89"/>
  <c r="G26" i="89"/>
  <c r="H26" i="89"/>
  <c r="I26" i="89"/>
  <c r="D34" i="89"/>
  <c r="E34" i="89"/>
  <c r="F34" i="89"/>
  <c r="G34" i="89"/>
  <c r="H34" i="89"/>
  <c r="I34" i="89"/>
  <c r="D37" i="89"/>
  <c r="E37" i="89"/>
  <c r="F37" i="89"/>
  <c r="G37" i="89"/>
  <c r="H37" i="89"/>
  <c r="I37" i="89"/>
  <c r="N44" i="89"/>
  <c r="W44" i="89"/>
  <c r="W43" i="89" s="1"/>
  <c r="N61" i="89"/>
  <c r="T62" i="89"/>
  <c r="R62" i="89" s="1"/>
  <c r="T63" i="89"/>
  <c r="R63" i="89" s="1"/>
  <c r="T64" i="89"/>
  <c r="R64" i="89" s="1"/>
  <c r="T65" i="89"/>
  <c r="R65" i="89" s="1"/>
  <c r="T66" i="89"/>
  <c r="R66" i="89" s="1"/>
  <c r="T67" i="89"/>
  <c r="R67" i="89" s="1"/>
  <c r="Z69" i="89"/>
  <c r="N69" i="89" s="1"/>
  <c r="T70" i="89"/>
  <c r="R70" i="89" s="1"/>
  <c r="T71" i="89"/>
  <c r="R71" i="89" s="1"/>
  <c r="T72" i="89"/>
  <c r="R72" i="89" s="1"/>
  <c r="T73" i="89"/>
  <c r="R73" i="89" s="1"/>
  <c r="T74" i="89"/>
  <c r="R74" i="89" s="1"/>
  <c r="T75" i="89"/>
  <c r="R75" i="89" s="1"/>
  <c r="T78" i="89"/>
  <c r="R78" i="89" s="1"/>
  <c r="T79" i="89"/>
  <c r="R79" i="89" s="1"/>
  <c r="T80" i="89"/>
  <c r="R80" i="89" s="1"/>
  <c r="T81" i="89"/>
  <c r="R81" i="89" s="1"/>
  <c r="T82" i="89"/>
  <c r="R82" i="89" s="1"/>
  <c r="T83" i="89"/>
  <c r="R83" i="89" s="1"/>
  <c r="T86" i="89"/>
  <c r="R86" i="89" s="1"/>
  <c r="T87" i="89"/>
  <c r="R87" i="89" s="1"/>
  <c r="T88" i="89"/>
  <c r="R88" i="89" s="1"/>
  <c r="T89" i="89"/>
  <c r="R89" i="89" s="1"/>
  <c r="T90" i="89"/>
  <c r="R90" i="89" s="1"/>
  <c r="T91" i="89"/>
  <c r="R91" i="89" s="1"/>
  <c r="T94" i="89"/>
  <c r="R94" i="89" s="1"/>
  <c r="T95" i="89"/>
  <c r="R95" i="89" s="1"/>
  <c r="T96" i="89"/>
  <c r="R96" i="89" s="1"/>
  <c r="T97" i="89"/>
  <c r="R97" i="89" s="1"/>
  <c r="T98" i="89"/>
  <c r="R98" i="89" s="1"/>
  <c r="T99" i="89"/>
  <c r="R99" i="89" s="1"/>
  <c r="T102" i="89"/>
  <c r="R102" i="89" s="1"/>
  <c r="T103" i="89"/>
  <c r="R103" i="89" s="1"/>
  <c r="T104" i="89"/>
  <c r="R104" i="89" s="1"/>
  <c r="T105" i="89"/>
  <c r="R105" i="89" s="1"/>
  <c r="T106" i="89"/>
  <c r="R106" i="89" s="1"/>
  <c r="T107" i="89"/>
  <c r="R107" i="89" s="1"/>
  <c r="T110" i="89"/>
  <c r="R110" i="89" s="1"/>
  <c r="T111" i="89"/>
  <c r="R111" i="89" s="1"/>
  <c r="T112" i="89"/>
  <c r="R112" i="89" s="1"/>
  <c r="T113" i="89"/>
  <c r="R113" i="89" s="1"/>
  <c r="T114" i="89"/>
  <c r="R114" i="89" s="1"/>
  <c r="T115" i="89"/>
  <c r="R115" i="89" s="1"/>
  <c r="T118" i="89"/>
  <c r="R118" i="89" s="1"/>
  <c r="T119" i="89"/>
  <c r="R119" i="89" s="1"/>
  <c r="T120" i="89"/>
  <c r="R120" i="89" s="1"/>
  <c r="T121" i="89"/>
  <c r="R121" i="89" s="1"/>
  <c r="T122" i="89"/>
  <c r="R122" i="89" s="1"/>
  <c r="T123" i="89"/>
  <c r="R123" i="89" s="1"/>
  <c r="T126" i="89"/>
  <c r="R126" i="89" s="1"/>
  <c r="T127" i="89"/>
  <c r="R127" i="89" s="1"/>
  <c r="T128" i="89"/>
  <c r="R128" i="89" s="1"/>
  <c r="T129" i="89"/>
  <c r="R129" i="89" s="1"/>
  <c r="T130" i="89"/>
  <c r="R130" i="89" s="1"/>
  <c r="T131" i="89"/>
  <c r="R131" i="89" s="1"/>
  <c r="T134" i="89"/>
  <c r="R134" i="89" s="1"/>
  <c r="T135" i="89"/>
  <c r="R135" i="89" s="1"/>
  <c r="T136" i="89"/>
  <c r="R136" i="89" s="1"/>
  <c r="T137" i="89"/>
  <c r="R137" i="89" s="1"/>
  <c r="T138" i="89"/>
  <c r="R138" i="89" s="1"/>
  <c r="T139" i="89"/>
  <c r="R139" i="89" s="1"/>
  <c r="T142" i="89"/>
  <c r="R142" i="89" s="1"/>
  <c r="T143" i="89"/>
  <c r="R143" i="89" s="1"/>
  <c r="T144" i="89"/>
  <c r="R144" i="89" s="1"/>
  <c r="T145" i="89"/>
  <c r="R145" i="89" s="1"/>
  <c r="T146" i="89"/>
  <c r="R146" i="89" s="1"/>
  <c r="T147" i="89"/>
  <c r="R147" i="89" s="1"/>
  <c r="T150" i="89"/>
  <c r="R150" i="89" s="1"/>
  <c r="T151" i="89"/>
  <c r="R151" i="89" s="1"/>
  <c r="T152" i="89"/>
  <c r="R152" i="89" s="1"/>
  <c r="T153" i="89"/>
  <c r="R153" i="89" s="1"/>
  <c r="T154" i="89"/>
  <c r="R154" i="89" s="1"/>
  <c r="T155" i="89"/>
  <c r="R155" i="89" s="1"/>
  <c r="T158" i="89"/>
  <c r="R158" i="89" s="1"/>
  <c r="T159" i="89"/>
  <c r="R159" i="89" s="1"/>
  <c r="T160" i="89"/>
  <c r="R160" i="89" s="1"/>
  <c r="T161" i="89"/>
  <c r="R161" i="89" s="1"/>
  <c r="T162" i="89"/>
  <c r="R162" i="89" s="1"/>
  <c r="T163" i="89"/>
  <c r="R163" i="89" s="1"/>
  <c r="T166" i="89"/>
  <c r="R166" i="89" s="1"/>
  <c r="T167" i="89"/>
  <c r="R167" i="89" s="1"/>
  <c r="T168" i="89"/>
  <c r="R168" i="89" s="1"/>
  <c r="T169" i="89"/>
  <c r="R169" i="89" s="1"/>
  <c r="T170" i="89"/>
  <c r="R170" i="89" s="1"/>
  <c r="T171" i="89"/>
  <c r="R171" i="89" s="1"/>
  <c r="T174" i="89"/>
  <c r="R174" i="89" s="1"/>
  <c r="T175" i="89"/>
  <c r="R175" i="89" s="1"/>
  <c r="T176" i="89"/>
  <c r="R176" i="89" s="1"/>
  <c r="T177" i="89"/>
  <c r="R177" i="89" s="1"/>
  <c r="T178" i="89"/>
  <c r="R178" i="89" s="1"/>
  <c r="T179" i="89"/>
  <c r="R179" i="89" s="1"/>
  <c r="T182" i="89"/>
  <c r="R182" i="89" s="1"/>
  <c r="T183" i="89"/>
  <c r="R183" i="89" s="1"/>
  <c r="T184" i="89"/>
  <c r="R184" i="89" s="1"/>
  <c r="T185" i="89"/>
  <c r="R185" i="89" s="1"/>
  <c r="T186" i="89"/>
  <c r="R186" i="89" s="1"/>
  <c r="T187" i="89"/>
  <c r="R187" i="89" s="1"/>
  <c r="T190" i="89"/>
  <c r="R190" i="89" s="1"/>
  <c r="T191" i="89"/>
  <c r="R191" i="89" s="1"/>
  <c r="T192" i="89"/>
  <c r="R192" i="89" s="1"/>
  <c r="T193" i="89"/>
  <c r="R193" i="89" s="1"/>
  <c r="T194" i="89"/>
  <c r="R194" i="89" s="1"/>
  <c r="T195" i="89"/>
  <c r="R195" i="89" s="1"/>
  <c r="T198" i="89"/>
  <c r="R198" i="89" s="1"/>
  <c r="T199" i="89"/>
  <c r="R199" i="89" s="1"/>
  <c r="T200" i="89"/>
  <c r="R200" i="89" s="1"/>
  <c r="T201" i="89"/>
  <c r="R201" i="89" s="1"/>
  <c r="T202" i="89"/>
  <c r="R202" i="89" s="1"/>
  <c r="T203" i="89"/>
  <c r="R203" i="89" s="1"/>
  <c r="T206" i="89"/>
  <c r="R206" i="89" s="1"/>
  <c r="T207" i="89"/>
  <c r="R207" i="89" s="1"/>
  <c r="T208" i="89"/>
  <c r="R208" i="89" s="1"/>
  <c r="T209" i="89"/>
  <c r="R209" i="89" s="1"/>
  <c r="T210" i="89"/>
  <c r="R210" i="89" s="1"/>
  <c r="T211" i="89"/>
  <c r="R211" i="89" s="1"/>
  <c r="T214" i="89"/>
  <c r="R214" i="89" s="1"/>
  <c r="T215" i="89"/>
  <c r="R215" i="89" s="1"/>
  <c r="T216" i="89"/>
  <c r="R216" i="89" s="1"/>
  <c r="T217" i="89"/>
  <c r="R217" i="89" s="1"/>
  <c r="T218" i="89"/>
  <c r="R218" i="89" s="1"/>
  <c r="T219" i="89"/>
  <c r="R219" i="89" s="1"/>
  <c r="T222" i="89"/>
  <c r="R222" i="89" s="1"/>
  <c r="T223" i="89"/>
  <c r="R223" i="89" s="1"/>
  <c r="T224" i="89"/>
  <c r="R224" i="89" s="1"/>
  <c r="T225" i="89"/>
  <c r="R225" i="89" s="1"/>
  <c r="T226" i="89"/>
  <c r="R226" i="89" s="1"/>
  <c r="T227" i="89"/>
  <c r="R227" i="89" s="1"/>
  <c r="T230" i="89"/>
  <c r="R230" i="89" s="1"/>
  <c r="T231" i="89"/>
  <c r="R231" i="89" s="1"/>
  <c r="T232" i="89"/>
  <c r="R232" i="89" s="1"/>
  <c r="T233" i="89"/>
  <c r="R233" i="89" s="1"/>
  <c r="T234" i="89"/>
  <c r="R234" i="89" s="1"/>
  <c r="T235" i="89"/>
  <c r="R235" i="89" s="1"/>
  <c r="T238" i="89"/>
  <c r="R238" i="89" s="1"/>
  <c r="T239" i="89"/>
  <c r="R239" i="89" s="1"/>
  <c r="T240" i="89"/>
  <c r="R240" i="89" s="1"/>
  <c r="T241" i="89"/>
  <c r="R241" i="89" s="1"/>
  <c r="T242" i="89"/>
  <c r="R242" i="89" s="1"/>
  <c r="T243" i="89"/>
  <c r="R243" i="89" s="1"/>
  <c r="D14" i="88"/>
  <c r="E14" i="88"/>
  <c r="F14" i="88"/>
  <c r="G14" i="88"/>
  <c r="H14" i="88"/>
  <c r="I14" i="88"/>
  <c r="Y14" i="88"/>
  <c r="Y15" i="88"/>
  <c r="D24" i="88"/>
  <c r="E24" i="88"/>
  <c r="F24" i="88"/>
  <c r="G24" i="88"/>
  <c r="H24" i="88"/>
  <c r="I24" i="88"/>
  <c r="D27" i="88"/>
  <c r="E27" i="88"/>
  <c r="F27" i="88"/>
  <c r="G27" i="88"/>
  <c r="H27" i="88"/>
  <c r="I27" i="88"/>
  <c r="D40" i="88"/>
  <c r="E40" i="88"/>
  <c r="F40" i="88"/>
  <c r="G40" i="88"/>
  <c r="H40" i="88"/>
  <c r="I40" i="88"/>
  <c r="D45" i="88"/>
  <c r="D43" i="88" s="1"/>
  <c r="E45" i="88"/>
  <c r="E43" i="88" s="1"/>
  <c r="F45" i="88"/>
  <c r="F43" i="88" s="1"/>
  <c r="G45" i="88"/>
  <c r="G43" i="88" s="1"/>
  <c r="H45" i="88"/>
  <c r="H43" i="88" s="1"/>
  <c r="I45" i="88"/>
  <c r="I43" i="88" s="1"/>
  <c r="N52" i="88"/>
  <c r="W52" i="88"/>
  <c r="W51" i="88" s="1"/>
  <c r="N69" i="88"/>
  <c r="T70" i="88"/>
  <c r="R70" i="88" s="1"/>
  <c r="T71" i="88"/>
  <c r="R71" i="88" s="1"/>
  <c r="T72" i="88"/>
  <c r="R72" i="88" s="1"/>
  <c r="T73" i="88"/>
  <c r="R73" i="88" s="1"/>
  <c r="T74" i="88"/>
  <c r="R74" i="88" s="1"/>
  <c r="T75" i="88"/>
  <c r="R75" i="88" s="1"/>
  <c r="Z77" i="88"/>
  <c r="T78" i="88"/>
  <c r="R78" i="88" s="1"/>
  <c r="T79" i="88"/>
  <c r="R79" i="88" s="1"/>
  <c r="T80" i="88"/>
  <c r="R80" i="88" s="1"/>
  <c r="T81" i="88"/>
  <c r="R81" i="88" s="1"/>
  <c r="T82" i="88"/>
  <c r="R82" i="88" s="1"/>
  <c r="D81" i="88" a="1"/>
  <c r="G81" i="88" s="1"/>
  <c r="T83" i="88"/>
  <c r="R83" i="88" s="1"/>
  <c r="T86" i="88"/>
  <c r="R86" i="88" s="1"/>
  <c r="T87" i="88"/>
  <c r="R87" i="88" s="1"/>
  <c r="T88" i="88"/>
  <c r="R88" i="88" s="1"/>
  <c r="T89" i="88"/>
  <c r="R89" i="88" s="1"/>
  <c r="T90" i="88"/>
  <c r="R90" i="88" s="1"/>
  <c r="T91" i="88"/>
  <c r="R91" i="88" s="1"/>
  <c r="T94" i="88"/>
  <c r="R94" i="88" s="1"/>
  <c r="T95" i="88"/>
  <c r="R95" i="88" s="1"/>
  <c r="T96" i="88"/>
  <c r="R96" i="88" s="1"/>
  <c r="T97" i="88"/>
  <c r="R97" i="88" s="1"/>
  <c r="T98" i="88"/>
  <c r="R98" i="88" s="1"/>
  <c r="T99" i="88"/>
  <c r="R99" i="88" s="1"/>
  <c r="T102" i="88"/>
  <c r="R102" i="88" s="1"/>
  <c r="T103" i="88"/>
  <c r="R103" i="88" s="1"/>
  <c r="T104" i="88"/>
  <c r="R104" i="88" s="1"/>
  <c r="T105" i="88"/>
  <c r="R105" i="88" s="1"/>
  <c r="T106" i="88"/>
  <c r="R106" i="88" s="1"/>
  <c r="T107" i="88"/>
  <c r="R107" i="88" s="1"/>
  <c r="T110" i="88"/>
  <c r="R110" i="88" s="1"/>
  <c r="T111" i="88"/>
  <c r="R111" i="88" s="1"/>
  <c r="T112" i="88"/>
  <c r="R112" i="88" s="1"/>
  <c r="T113" i="88"/>
  <c r="R113" i="88" s="1"/>
  <c r="T114" i="88"/>
  <c r="R114" i="88" s="1"/>
  <c r="T115" i="88"/>
  <c r="R115" i="88" s="1"/>
  <c r="T118" i="88"/>
  <c r="R118" i="88" s="1"/>
  <c r="T119" i="88"/>
  <c r="R119" i="88" s="1"/>
  <c r="T120" i="88"/>
  <c r="R120" i="88" s="1"/>
  <c r="T121" i="88"/>
  <c r="R121" i="88" s="1"/>
  <c r="T122" i="88"/>
  <c r="R122" i="88" s="1"/>
  <c r="T123" i="88"/>
  <c r="R123" i="88" s="1"/>
  <c r="T126" i="88"/>
  <c r="R126" i="88" s="1"/>
  <c r="T127" i="88"/>
  <c r="R127" i="88" s="1"/>
  <c r="T128" i="88"/>
  <c r="R128" i="88" s="1"/>
  <c r="T129" i="88"/>
  <c r="R129" i="88" s="1"/>
  <c r="T130" i="88"/>
  <c r="R130" i="88" s="1"/>
  <c r="T131" i="88"/>
  <c r="R131" i="88" s="1"/>
  <c r="T134" i="88"/>
  <c r="R134" i="88" s="1"/>
  <c r="T135" i="88"/>
  <c r="R135" i="88" s="1"/>
  <c r="T136" i="88"/>
  <c r="R136" i="88" s="1"/>
  <c r="T137" i="88"/>
  <c r="R137" i="88" s="1"/>
  <c r="T138" i="88"/>
  <c r="R138" i="88" s="1"/>
  <c r="T139" i="88"/>
  <c r="R139" i="88" s="1"/>
  <c r="T142" i="88"/>
  <c r="R142" i="88" s="1"/>
  <c r="T143" i="88"/>
  <c r="R143" i="88" s="1"/>
  <c r="T144" i="88"/>
  <c r="R144" i="88" s="1"/>
  <c r="T145" i="88"/>
  <c r="R145" i="88" s="1"/>
  <c r="T146" i="88"/>
  <c r="R146" i="88" s="1"/>
  <c r="T147" i="88"/>
  <c r="R147" i="88" s="1"/>
  <c r="T150" i="88"/>
  <c r="R150" i="88" s="1"/>
  <c r="T151" i="88"/>
  <c r="R151" i="88" s="1"/>
  <c r="T152" i="88"/>
  <c r="R152" i="88" s="1"/>
  <c r="T153" i="88"/>
  <c r="R153" i="88" s="1"/>
  <c r="T154" i="88"/>
  <c r="R154" i="88" s="1"/>
  <c r="T155" i="88"/>
  <c r="R155" i="88" s="1"/>
  <c r="T158" i="88"/>
  <c r="R158" i="88" s="1"/>
  <c r="T159" i="88"/>
  <c r="R159" i="88" s="1"/>
  <c r="T160" i="88"/>
  <c r="R160" i="88" s="1"/>
  <c r="T161" i="88"/>
  <c r="R161" i="88" s="1"/>
  <c r="T162" i="88"/>
  <c r="R162" i="88" s="1"/>
  <c r="T163" i="88"/>
  <c r="R163" i="88" s="1"/>
  <c r="T166" i="88"/>
  <c r="R166" i="88" s="1"/>
  <c r="T167" i="88"/>
  <c r="R167" i="88" s="1"/>
  <c r="T168" i="88"/>
  <c r="R168" i="88" s="1"/>
  <c r="T169" i="88"/>
  <c r="R169" i="88" s="1"/>
  <c r="T170" i="88"/>
  <c r="R170" i="88" s="1"/>
  <c r="T171" i="88"/>
  <c r="R171" i="88" s="1"/>
  <c r="T174" i="88"/>
  <c r="R174" i="88" s="1"/>
  <c r="T175" i="88"/>
  <c r="R175" i="88" s="1"/>
  <c r="T176" i="88"/>
  <c r="R176" i="88" s="1"/>
  <c r="T177" i="88"/>
  <c r="R177" i="88" s="1"/>
  <c r="T178" i="88"/>
  <c r="R178" i="88" s="1"/>
  <c r="T179" i="88"/>
  <c r="R179" i="88" s="1"/>
  <c r="T182" i="88"/>
  <c r="R182" i="88" s="1"/>
  <c r="T183" i="88"/>
  <c r="R183" i="88" s="1"/>
  <c r="T184" i="88"/>
  <c r="R184" i="88" s="1"/>
  <c r="T185" i="88"/>
  <c r="R185" i="88" s="1"/>
  <c r="T186" i="88"/>
  <c r="R186" i="88" s="1"/>
  <c r="T187" i="88"/>
  <c r="R187" i="88" s="1"/>
  <c r="T190" i="88"/>
  <c r="R190" i="88" s="1"/>
  <c r="T191" i="88"/>
  <c r="R191" i="88" s="1"/>
  <c r="T192" i="88"/>
  <c r="R192" i="88" s="1"/>
  <c r="T193" i="88"/>
  <c r="R193" i="88" s="1"/>
  <c r="T194" i="88"/>
  <c r="R194" i="88" s="1"/>
  <c r="T195" i="88"/>
  <c r="R195" i="88" s="1"/>
  <c r="T198" i="88"/>
  <c r="R198" i="88" s="1"/>
  <c r="T199" i="88"/>
  <c r="R199" i="88" s="1"/>
  <c r="T200" i="88"/>
  <c r="R200" i="88" s="1"/>
  <c r="T201" i="88"/>
  <c r="R201" i="88" s="1"/>
  <c r="T202" i="88"/>
  <c r="R202" i="88" s="1"/>
  <c r="T203" i="88"/>
  <c r="R203" i="88" s="1"/>
  <c r="T206" i="88"/>
  <c r="R206" i="88" s="1"/>
  <c r="T207" i="88"/>
  <c r="R207" i="88" s="1"/>
  <c r="T208" i="88"/>
  <c r="R208" i="88" s="1"/>
  <c r="T209" i="88"/>
  <c r="R209" i="88" s="1"/>
  <c r="T210" i="88"/>
  <c r="R210" i="88" s="1"/>
  <c r="T211" i="88"/>
  <c r="R211" i="88" s="1"/>
  <c r="T214" i="88"/>
  <c r="R214" i="88" s="1"/>
  <c r="T215" i="88"/>
  <c r="R215" i="88" s="1"/>
  <c r="T216" i="88"/>
  <c r="R216" i="88" s="1"/>
  <c r="T217" i="88"/>
  <c r="R217" i="88" s="1"/>
  <c r="T218" i="88"/>
  <c r="R218" i="88" s="1"/>
  <c r="T219" i="88"/>
  <c r="R219" i="88" s="1"/>
  <c r="T222" i="88"/>
  <c r="R222" i="88" s="1"/>
  <c r="T223" i="88"/>
  <c r="R223" i="88" s="1"/>
  <c r="T224" i="88"/>
  <c r="R224" i="88" s="1"/>
  <c r="T225" i="88"/>
  <c r="R225" i="88" s="1"/>
  <c r="T226" i="88"/>
  <c r="R226" i="88" s="1"/>
  <c r="T227" i="88"/>
  <c r="R227" i="88" s="1"/>
  <c r="T230" i="88"/>
  <c r="R230" i="88" s="1"/>
  <c r="T231" i="88"/>
  <c r="R231" i="88" s="1"/>
  <c r="T232" i="88"/>
  <c r="R232" i="88" s="1"/>
  <c r="T233" i="88"/>
  <c r="R233" i="88" s="1"/>
  <c r="T234" i="88"/>
  <c r="R234" i="88" s="1"/>
  <c r="T235" i="88"/>
  <c r="R235" i="88" s="1"/>
  <c r="T238" i="88"/>
  <c r="R238" i="88" s="1"/>
  <c r="T239" i="88"/>
  <c r="R239" i="88" s="1"/>
  <c r="T240" i="88"/>
  <c r="R240" i="88" s="1"/>
  <c r="T241" i="88"/>
  <c r="R241" i="88" s="1"/>
  <c r="T242" i="88"/>
  <c r="R242" i="88" s="1"/>
  <c r="T243" i="88"/>
  <c r="R243" i="88" s="1"/>
  <c r="T246" i="88"/>
  <c r="R246" i="88" s="1"/>
  <c r="T247" i="88"/>
  <c r="R247" i="88" s="1"/>
  <c r="T248" i="88"/>
  <c r="R248" i="88" s="1"/>
  <c r="T249" i="88"/>
  <c r="R249" i="88" s="1"/>
  <c r="T250" i="88"/>
  <c r="R250" i="88" s="1"/>
  <c r="T251" i="88"/>
  <c r="R251" i="88" s="1"/>
  <c r="T254" i="88"/>
  <c r="R254" i="88" s="1"/>
  <c r="T255" i="88"/>
  <c r="R255" i="88" s="1"/>
  <c r="T256" i="88"/>
  <c r="R256" i="88" s="1"/>
  <c r="T257" i="88"/>
  <c r="R257" i="88" s="1"/>
  <c r="T258" i="88"/>
  <c r="R258" i="88" s="1"/>
  <c r="T259" i="88"/>
  <c r="R259" i="88" s="1"/>
  <c r="T262" i="88"/>
  <c r="R262" i="88" s="1"/>
  <c r="T263" i="88"/>
  <c r="R263" i="88" s="1"/>
  <c r="T264" i="88"/>
  <c r="R264" i="88" s="1"/>
  <c r="T265" i="88"/>
  <c r="R265" i="88" s="1"/>
  <c r="T266" i="88"/>
  <c r="R266" i="88" s="1"/>
  <c r="T267" i="88"/>
  <c r="R267" i="88" s="1"/>
  <c r="T270" i="88"/>
  <c r="R270" i="88" s="1"/>
  <c r="T271" i="88"/>
  <c r="R271" i="88" s="1"/>
  <c r="T272" i="88"/>
  <c r="R272" i="88" s="1"/>
  <c r="T273" i="88"/>
  <c r="R273" i="88" s="1"/>
  <c r="T274" i="88"/>
  <c r="R274" i="88" s="1"/>
  <c r="T275" i="88"/>
  <c r="R275" i="88" s="1"/>
  <c r="T278" i="88"/>
  <c r="R278" i="88" s="1"/>
  <c r="T279" i="88"/>
  <c r="R279" i="88" s="1"/>
  <c r="T280" i="88"/>
  <c r="R280" i="88" s="1"/>
  <c r="T281" i="88"/>
  <c r="R281" i="88" s="1"/>
  <c r="T282" i="88"/>
  <c r="R282" i="88" s="1"/>
  <c r="T283" i="88"/>
  <c r="R283" i="88" s="1"/>
  <c r="T286" i="88"/>
  <c r="R286" i="88" s="1"/>
  <c r="T287" i="88"/>
  <c r="R287" i="88" s="1"/>
  <c r="T288" i="88"/>
  <c r="R288" i="88" s="1"/>
  <c r="T289" i="88"/>
  <c r="R289" i="88" s="1"/>
  <c r="T290" i="88"/>
  <c r="R290" i="88" s="1"/>
  <c r="T291" i="88"/>
  <c r="R291" i="88" s="1"/>
  <c r="T294" i="88"/>
  <c r="R294" i="88" s="1"/>
  <c r="T295" i="88"/>
  <c r="R295" i="88" s="1"/>
  <c r="T296" i="88"/>
  <c r="R296" i="88" s="1"/>
  <c r="T297" i="88"/>
  <c r="R297" i="88" s="1"/>
  <c r="T298" i="88"/>
  <c r="R298" i="88" s="1"/>
  <c r="T299" i="88"/>
  <c r="R299" i="88" s="1"/>
  <c r="T302" i="88"/>
  <c r="R302" i="88" s="1"/>
  <c r="T303" i="88"/>
  <c r="R303" i="88" s="1"/>
  <c r="T304" i="88"/>
  <c r="R304" i="88" s="1"/>
  <c r="T305" i="88"/>
  <c r="R305" i="88" s="1"/>
  <c r="T306" i="88"/>
  <c r="R306" i="88" s="1"/>
  <c r="T307" i="88"/>
  <c r="R307" i="88" s="1"/>
  <c r="D15" i="85"/>
  <c r="E15" i="85"/>
  <c r="F15" i="85"/>
  <c r="G15" i="85"/>
  <c r="H15" i="85"/>
  <c r="I15" i="85"/>
  <c r="Y15" i="85"/>
  <c r="Y16" i="85"/>
  <c r="D22" i="85"/>
  <c r="E22" i="85"/>
  <c r="F22" i="85"/>
  <c r="G22" i="85"/>
  <c r="H22" i="85"/>
  <c r="I22" i="85"/>
  <c r="D37" i="85"/>
  <c r="E37" i="85"/>
  <c r="F37" i="85"/>
  <c r="G37" i="85"/>
  <c r="H37" i="85"/>
  <c r="I37" i="85"/>
  <c r="D40" i="85"/>
  <c r="E40" i="85"/>
  <c r="F40" i="85"/>
  <c r="G40" i="85"/>
  <c r="H40" i="85"/>
  <c r="I40" i="85"/>
  <c r="N47" i="85"/>
  <c r="W47" i="85"/>
  <c r="W46" i="85" s="1"/>
  <c r="N64" i="85"/>
  <c r="T65" i="85"/>
  <c r="R65" i="85" s="1"/>
  <c r="T66" i="85"/>
  <c r="R66" i="85" s="1"/>
  <c r="T67" i="85"/>
  <c r="R67" i="85" s="1"/>
  <c r="T68" i="85"/>
  <c r="R68" i="85" s="1"/>
  <c r="T69" i="85"/>
  <c r="R69" i="85" s="1"/>
  <c r="T70" i="85"/>
  <c r="R70" i="85" s="1"/>
  <c r="Z72" i="85"/>
  <c r="T73" i="85"/>
  <c r="R73" i="85" s="1"/>
  <c r="T74" i="85"/>
  <c r="R74" i="85" s="1"/>
  <c r="T75" i="85"/>
  <c r="R75" i="85" s="1"/>
  <c r="T76" i="85"/>
  <c r="R76" i="85" s="1"/>
  <c r="T77" i="85"/>
  <c r="R77" i="85" s="1"/>
  <c r="T78" i="85"/>
  <c r="R78" i="85" s="1"/>
  <c r="T81" i="85"/>
  <c r="R81" i="85" s="1"/>
  <c r="T82" i="85"/>
  <c r="R82" i="85" s="1"/>
  <c r="T83" i="85"/>
  <c r="R83" i="85" s="1"/>
  <c r="T84" i="85"/>
  <c r="R84" i="85" s="1"/>
  <c r="T85" i="85"/>
  <c r="R85" i="85" s="1"/>
  <c r="T86" i="85"/>
  <c r="R86" i="85" s="1"/>
  <c r="T89" i="85"/>
  <c r="R89" i="85" s="1"/>
  <c r="T90" i="85"/>
  <c r="R90" i="85" s="1"/>
  <c r="T91" i="85"/>
  <c r="R91" i="85" s="1"/>
  <c r="T92" i="85"/>
  <c r="R92" i="85" s="1"/>
  <c r="T93" i="85"/>
  <c r="R93" i="85" s="1"/>
  <c r="T94" i="85"/>
  <c r="R94" i="85" s="1"/>
  <c r="T97" i="85"/>
  <c r="R97" i="85" s="1"/>
  <c r="T98" i="85"/>
  <c r="R98" i="85" s="1"/>
  <c r="T99" i="85"/>
  <c r="R99" i="85" s="1"/>
  <c r="T100" i="85"/>
  <c r="R100" i="85" s="1"/>
  <c r="T101" i="85"/>
  <c r="R101" i="85" s="1"/>
  <c r="T102" i="85"/>
  <c r="R102" i="85" s="1"/>
  <c r="T105" i="85"/>
  <c r="R105" i="85" s="1"/>
  <c r="T106" i="85"/>
  <c r="R106" i="85" s="1"/>
  <c r="T107" i="85"/>
  <c r="R107" i="85" s="1"/>
  <c r="T108" i="85"/>
  <c r="R108" i="85" s="1"/>
  <c r="T109" i="85"/>
  <c r="R109" i="85" s="1"/>
  <c r="T110" i="85"/>
  <c r="R110" i="85" s="1"/>
  <c r="T113" i="85"/>
  <c r="R113" i="85" s="1"/>
  <c r="T114" i="85"/>
  <c r="R114" i="85" s="1"/>
  <c r="T115" i="85"/>
  <c r="R115" i="85" s="1"/>
  <c r="T116" i="85"/>
  <c r="R116" i="85" s="1"/>
  <c r="T117" i="85"/>
  <c r="R117" i="85" s="1"/>
  <c r="T118" i="85"/>
  <c r="R118" i="85" s="1"/>
  <c r="T121" i="85"/>
  <c r="R121" i="85" s="1"/>
  <c r="T122" i="85"/>
  <c r="R122" i="85" s="1"/>
  <c r="T123" i="85"/>
  <c r="R123" i="85" s="1"/>
  <c r="T124" i="85"/>
  <c r="R124" i="85" s="1"/>
  <c r="T125" i="85"/>
  <c r="R125" i="85" s="1"/>
  <c r="T126" i="85"/>
  <c r="R126" i="85" s="1"/>
  <c r="T129" i="85"/>
  <c r="R129" i="85" s="1"/>
  <c r="T130" i="85"/>
  <c r="R130" i="85" s="1"/>
  <c r="T131" i="85"/>
  <c r="R131" i="85" s="1"/>
  <c r="T132" i="85"/>
  <c r="R132" i="85" s="1"/>
  <c r="T133" i="85"/>
  <c r="R133" i="85" s="1"/>
  <c r="T134" i="85"/>
  <c r="R134" i="85" s="1"/>
  <c r="T137" i="85"/>
  <c r="R137" i="85" s="1"/>
  <c r="T138" i="85"/>
  <c r="R138" i="85" s="1"/>
  <c r="T139" i="85"/>
  <c r="R139" i="85" s="1"/>
  <c r="T140" i="85"/>
  <c r="R140" i="85" s="1"/>
  <c r="T141" i="85"/>
  <c r="R141" i="85" s="1"/>
  <c r="T142" i="85"/>
  <c r="R142" i="85" s="1"/>
  <c r="T145" i="85"/>
  <c r="R145" i="85" s="1"/>
  <c r="T146" i="85"/>
  <c r="R146" i="85" s="1"/>
  <c r="T147" i="85"/>
  <c r="R147" i="85" s="1"/>
  <c r="T148" i="85"/>
  <c r="R148" i="85" s="1"/>
  <c r="T149" i="85"/>
  <c r="R149" i="85" s="1"/>
  <c r="T150" i="85"/>
  <c r="R150" i="85" s="1"/>
  <c r="T153" i="85"/>
  <c r="R153" i="85" s="1"/>
  <c r="T154" i="85"/>
  <c r="R154" i="85" s="1"/>
  <c r="T155" i="85"/>
  <c r="R155" i="85" s="1"/>
  <c r="T156" i="85"/>
  <c r="R156" i="85" s="1"/>
  <c r="T157" i="85"/>
  <c r="R157" i="85" s="1"/>
  <c r="T158" i="85"/>
  <c r="R158" i="85" s="1"/>
  <c r="T161" i="85"/>
  <c r="R161" i="85" s="1"/>
  <c r="T162" i="85"/>
  <c r="R162" i="85" s="1"/>
  <c r="T163" i="85"/>
  <c r="R163" i="85" s="1"/>
  <c r="T164" i="85"/>
  <c r="R164" i="85" s="1"/>
  <c r="T165" i="85"/>
  <c r="R165" i="85" s="1"/>
  <c r="T166" i="85"/>
  <c r="R166" i="85" s="1"/>
  <c r="T169" i="85"/>
  <c r="R169" i="85" s="1"/>
  <c r="T170" i="85"/>
  <c r="R170" i="85" s="1"/>
  <c r="T171" i="85"/>
  <c r="R171" i="85" s="1"/>
  <c r="T172" i="85"/>
  <c r="R172" i="85" s="1"/>
  <c r="T173" i="85"/>
  <c r="R173" i="85" s="1"/>
  <c r="T174" i="85"/>
  <c r="R174" i="85" s="1"/>
  <c r="T177" i="85"/>
  <c r="R177" i="85" s="1"/>
  <c r="T178" i="85"/>
  <c r="R178" i="85" s="1"/>
  <c r="T179" i="85"/>
  <c r="R179" i="85" s="1"/>
  <c r="T180" i="85"/>
  <c r="R180" i="85" s="1"/>
  <c r="T181" i="85"/>
  <c r="R181" i="85" s="1"/>
  <c r="T182" i="85"/>
  <c r="R182" i="85" s="1"/>
  <c r="T185" i="85"/>
  <c r="R185" i="85" s="1"/>
  <c r="T186" i="85"/>
  <c r="R186" i="85" s="1"/>
  <c r="T187" i="85"/>
  <c r="R187" i="85" s="1"/>
  <c r="T188" i="85"/>
  <c r="R188" i="85" s="1"/>
  <c r="T189" i="85"/>
  <c r="R189" i="85" s="1"/>
  <c r="T190" i="85"/>
  <c r="R190" i="85" s="1"/>
  <c r="T193" i="85"/>
  <c r="R193" i="85" s="1"/>
  <c r="T194" i="85"/>
  <c r="R194" i="85" s="1"/>
  <c r="T195" i="85"/>
  <c r="R195" i="85" s="1"/>
  <c r="T196" i="85"/>
  <c r="R196" i="85" s="1"/>
  <c r="T197" i="85"/>
  <c r="R197" i="85" s="1"/>
  <c r="T198" i="85"/>
  <c r="R198" i="85" s="1"/>
  <c r="T201" i="85"/>
  <c r="R201" i="85" s="1"/>
  <c r="T202" i="85"/>
  <c r="R202" i="85" s="1"/>
  <c r="T203" i="85"/>
  <c r="R203" i="85" s="1"/>
  <c r="T204" i="85"/>
  <c r="R204" i="85" s="1"/>
  <c r="T205" i="85"/>
  <c r="R205" i="85" s="1"/>
  <c r="T206" i="85"/>
  <c r="R206" i="85" s="1"/>
  <c r="T209" i="85"/>
  <c r="R209" i="85" s="1"/>
  <c r="T210" i="85"/>
  <c r="R210" i="85" s="1"/>
  <c r="T211" i="85"/>
  <c r="R211" i="85" s="1"/>
  <c r="T212" i="85"/>
  <c r="R212" i="85" s="1"/>
  <c r="T213" i="85"/>
  <c r="R213" i="85" s="1"/>
  <c r="T214" i="85"/>
  <c r="R214" i="85" s="1"/>
  <c r="T217" i="85"/>
  <c r="R217" i="85" s="1"/>
  <c r="T218" i="85"/>
  <c r="R218" i="85" s="1"/>
  <c r="T219" i="85"/>
  <c r="R219" i="85" s="1"/>
  <c r="T220" i="85"/>
  <c r="R220" i="85" s="1"/>
  <c r="T221" i="85"/>
  <c r="R221" i="85" s="1"/>
  <c r="T222" i="85"/>
  <c r="R222" i="85" s="1"/>
  <c r="T225" i="85"/>
  <c r="R225" i="85" s="1"/>
  <c r="T226" i="85"/>
  <c r="R226" i="85" s="1"/>
  <c r="T227" i="85"/>
  <c r="R227" i="85" s="1"/>
  <c r="T228" i="85"/>
  <c r="R228" i="85" s="1"/>
  <c r="T229" i="85"/>
  <c r="R229" i="85" s="1"/>
  <c r="T230" i="85"/>
  <c r="R230" i="85" s="1"/>
  <c r="T233" i="85"/>
  <c r="R233" i="85" s="1"/>
  <c r="T234" i="85"/>
  <c r="R234" i="85" s="1"/>
  <c r="T235" i="85"/>
  <c r="R235" i="85" s="1"/>
  <c r="T236" i="85"/>
  <c r="R236" i="85" s="1"/>
  <c r="T237" i="85"/>
  <c r="R237" i="85" s="1"/>
  <c r="T238" i="85"/>
  <c r="R238" i="85" s="1"/>
  <c r="T241" i="85"/>
  <c r="R241" i="85" s="1"/>
  <c r="T242" i="85"/>
  <c r="R242" i="85" s="1"/>
  <c r="T243" i="85"/>
  <c r="R243" i="85" s="1"/>
  <c r="T244" i="85"/>
  <c r="R244" i="85" s="1"/>
  <c r="T245" i="85"/>
  <c r="R245" i="85" s="1"/>
  <c r="T246" i="85"/>
  <c r="R246" i="85" s="1"/>
  <c r="T249" i="85"/>
  <c r="R249" i="85" s="1"/>
  <c r="T250" i="85"/>
  <c r="R250" i="85" s="1"/>
  <c r="T251" i="85"/>
  <c r="R251" i="85" s="1"/>
  <c r="T252" i="85"/>
  <c r="R252" i="85" s="1"/>
  <c r="T253" i="85"/>
  <c r="R253" i="85" s="1"/>
  <c r="T254" i="85"/>
  <c r="R254" i="85" s="1"/>
  <c r="T257" i="85"/>
  <c r="R257" i="85" s="1"/>
  <c r="T258" i="85"/>
  <c r="R258" i="85" s="1"/>
  <c r="T259" i="85"/>
  <c r="R259" i="85" s="1"/>
  <c r="T260" i="85"/>
  <c r="R260" i="85" s="1"/>
  <c r="T261" i="85"/>
  <c r="R261" i="85" s="1"/>
  <c r="T262" i="85"/>
  <c r="R262" i="85" s="1"/>
  <c r="T265" i="85"/>
  <c r="R265" i="85" s="1"/>
  <c r="T266" i="85"/>
  <c r="R266" i="85" s="1"/>
  <c r="T267" i="85"/>
  <c r="R267" i="85" s="1"/>
  <c r="T268" i="85"/>
  <c r="R268" i="85" s="1"/>
  <c r="T269" i="85"/>
  <c r="R269" i="85" s="1"/>
  <c r="T270" i="85"/>
  <c r="R270" i="85" s="1"/>
  <c r="F4" i="86"/>
  <c r="D12" i="86"/>
  <c r="E12" i="86"/>
  <c r="F12" i="86"/>
  <c r="G12" i="86"/>
  <c r="H12" i="86"/>
  <c r="I12" i="86"/>
  <c r="Y12" i="86"/>
  <c r="Y13" i="86"/>
  <c r="D18" i="86"/>
  <c r="E18" i="86"/>
  <c r="F18" i="86"/>
  <c r="G18" i="86"/>
  <c r="H18" i="86"/>
  <c r="I18" i="86"/>
  <c r="D36" i="86"/>
  <c r="E36" i="86"/>
  <c r="F36" i="86"/>
  <c r="G36" i="86"/>
  <c r="H36" i="86"/>
  <c r="I36" i="86"/>
  <c r="D39" i="86"/>
  <c r="E39" i="86"/>
  <c r="F39" i="86"/>
  <c r="G39" i="86"/>
  <c r="H39" i="86"/>
  <c r="I39" i="86"/>
  <c r="N45" i="86"/>
  <c r="W45" i="86"/>
  <c r="W44" i="86" s="1"/>
  <c r="P81" i="86"/>
  <c r="N76" i="86"/>
  <c r="T77" i="86"/>
  <c r="R77" i="86" s="1"/>
  <c r="T78" i="86"/>
  <c r="R78" i="86" s="1"/>
  <c r="T79" i="86"/>
  <c r="R79" i="86" s="1"/>
  <c r="T80" i="86"/>
  <c r="R80" i="86" s="1"/>
  <c r="T81" i="86"/>
  <c r="R81" i="86" s="1"/>
  <c r="T82" i="86"/>
  <c r="R82" i="86" s="1"/>
  <c r="Z84" i="86"/>
  <c r="T85" i="86"/>
  <c r="R85" i="86" s="1"/>
  <c r="T86" i="86"/>
  <c r="R86" i="86" s="1"/>
  <c r="T87" i="86"/>
  <c r="R87" i="86" s="1"/>
  <c r="T88" i="86"/>
  <c r="R88" i="86" s="1"/>
  <c r="T89" i="86"/>
  <c r="R89" i="86" s="1"/>
  <c r="T90" i="86"/>
  <c r="R90" i="86" s="1"/>
  <c r="T93" i="86"/>
  <c r="R93" i="86" s="1"/>
  <c r="T94" i="86"/>
  <c r="R94" i="86" s="1"/>
  <c r="T95" i="86"/>
  <c r="R95" i="86" s="1"/>
  <c r="T96" i="86"/>
  <c r="R96" i="86" s="1"/>
  <c r="T97" i="86"/>
  <c r="R97" i="86" s="1"/>
  <c r="T98" i="86"/>
  <c r="R98" i="86" s="1"/>
  <c r="T101" i="86"/>
  <c r="R101" i="86" s="1"/>
  <c r="T102" i="86"/>
  <c r="R102" i="86" s="1"/>
  <c r="T103" i="86"/>
  <c r="R103" i="86" s="1"/>
  <c r="T104" i="86"/>
  <c r="R104" i="86" s="1"/>
  <c r="T105" i="86"/>
  <c r="R105" i="86" s="1"/>
  <c r="T106" i="86"/>
  <c r="R106" i="86" s="1"/>
  <c r="T109" i="86"/>
  <c r="R109" i="86" s="1"/>
  <c r="T110" i="86"/>
  <c r="R110" i="86" s="1"/>
  <c r="T111" i="86"/>
  <c r="R111" i="86" s="1"/>
  <c r="T112" i="86"/>
  <c r="R112" i="86" s="1"/>
  <c r="T113" i="86"/>
  <c r="R113" i="86" s="1"/>
  <c r="T114" i="86"/>
  <c r="R114" i="86" s="1"/>
  <c r="T117" i="86"/>
  <c r="R117" i="86" s="1"/>
  <c r="T118" i="86"/>
  <c r="R118" i="86" s="1"/>
  <c r="T119" i="86"/>
  <c r="R119" i="86" s="1"/>
  <c r="T120" i="86"/>
  <c r="R120" i="86" s="1"/>
  <c r="T121" i="86"/>
  <c r="R121" i="86" s="1"/>
  <c r="T122" i="86"/>
  <c r="R122" i="86" s="1"/>
  <c r="T125" i="86"/>
  <c r="R125" i="86" s="1"/>
  <c r="T126" i="86"/>
  <c r="R126" i="86" s="1"/>
  <c r="T127" i="86"/>
  <c r="R127" i="86" s="1"/>
  <c r="T128" i="86"/>
  <c r="R128" i="86" s="1"/>
  <c r="T129" i="86"/>
  <c r="R129" i="86" s="1"/>
  <c r="T130" i="86"/>
  <c r="R130" i="86" s="1"/>
  <c r="T133" i="86"/>
  <c r="R133" i="86" s="1"/>
  <c r="T134" i="86"/>
  <c r="R134" i="86" s="1"/>
  <c r="T135" i="86"/>
  <c r="R135" i="86" s="1"/>
  <c r="T136" i="86"/>
  <c r="R136" i="86" s="1"/>
  <c r="T137" i="86"/>
  <c r="R137" i="86" s="1"/>
  <c r="T138" i="86"/>
  <c r="R138" i="86" s="1"/>
  <c r="T141" i="86"/>
  <c r="R141" i="86" s="1"/>
  <c r="T142" i="86"/>
  <c r="R142" i="86" s="1"/>
  <c r="T143" i="86"/>
  <c r="R143" i="86" s="1"/>
  <c r="T144" i="86"/>
  <c r="R144" i="86" s="1"/>
  <c r="T145" i="86"/>
  <c r="R145" i="86" s="1"/>
  <c r="T146" i="86"/>
  <c r="R146" i="86" s="1"/>
  <c r="T149" i="86"/>
  <c r="R149" i="86" s="1"/>
  <c r="T150" i="86"/>
  <c r="R150" i="86" s="1"/>
  <c r="T151" i="86"/>
  <c r="R151" i="86" s="1"/>
  <c r="T152" i="86"/>
  <c r="R152" i="86" s="1"/>
  <c r="T153" i="86"/>
  <c r="R153" i="86" s="1"/>
  <c r="T154" i="86"/>
  <c r="R154" i="86" s="1"/>
  <c r="T157" i="86"/>
  <c r="R157" i="86" s="1"/>
  <c r="T158" i="86"/>
  <c r="R158" i="86" s="1"/>
  <c r="T159" i="86"/>
  <c r="R159" i="86" s="1"/>
  <c r="T160" i="86"/>
  <c r="R160" i="86" s="1"/>
  <c r="T161" i="86"/>
  <c r="R161" i="86" s="1"/>
  <c r="T162" i="86"/>
  <c r="R162" i="86" s="1"/>
  <c r="T165" i="86"/>
  <c r="R165" i="86" s="1"/>
  <c r="T166" i="86"/>
  <c r="R166" i="86" s="1"/>
  <c r="T167" i="86"/>
  <c r="R167" i="86" s="1"/>
  <c r="T168" i="86"/>
  <c r="R168" i="86" s="1"/>
  <c r="T169" i="86"/>
  <c r="R169" i="86" s="1"/>
  <c r="T170" i="86"/>
  <c r="R170" i="86" s="1"/>
  <c r="T173" i="86"/>
  <c r="R173" i="86" s="1"/>
  <c r="T174" i="86"/>
  <c r="R174" i="86" s="1"/>
  <c r="T175" i="86"/>
  <c r="R175" i="86" s="1"/>
  <c r="T176" i="86"/>
  <c r="R176" i="86" s="1"/>
  <c r="T177" i="86"/>
  <c r="R177" i="86" s="1"/>
  <c r="T178" i="86"/>
  <c r="R178" i="86" s="1"/>
  <c r="T181" i="86"/>
  <c r="R181" i="86" s="1"/>
  <c r="T182" i="86"/>
  <c r="R182" i="86" s="1"/>
  <c r="T183" i="86"/>
  <c r="R183" i="86" s="1"/>
  <c r="T184" i="86"/>
  <c r="R184" i="86" s="1"/>
  <c r="T185" i="86"/>
  <c r="R185" i="86" s="1"/>
  <c r="T186" i="86"/>
  <c r="R186" i="86" s="1"/>
  <c r="T189" i="86"/>
  <c r="R189" i="86" s="1"/>
  <c r="T190" i="86"/>
  <c r="R190" i="86" s="1"/>
  <c r="T191" i="86"/>
  <c r="R191" i="86" s="1"/>
  <c r="T192" i="86"/>
  <c r="R192" i="86" s="1"/>
  <c r="T193" i="86"/>
  <c r="R193" i="86" s="1"/>
  <c r="T194" i="86"/>
  <c r="R194" i="86" s="1"/>
  <c r="T197" i="86"/>
  <c r="R197" i="86" s="1"/>
  <c r="T198" i="86"/>
  <c r="R198" i="86" s="1"/>
  <c r="T199" i="86"/>
  <c r="R199" i="86" s="1"/>
  <c r="T200" i="86"/>
  <c r="R200" i="86" s="1"/>
  <c r="T201" i="86"/>
  <c r="R201" i="86" s="1"/>
  <c r="T202" i="86"/>
  <c r="R202" i="86" s="1"/>
  <c r="T205" i="86"/>
  <c r="R205" i="86" s="1"/>
  <c r="T206" i="86"/>
  <c r="R206" i="86" s="1"/>
  <c r="T207" i="86"/>
  <c r="R207" i="86" s="1"/>
  <c r="T208" i="86"/>
  <c r="R208" i="86" s="1"/>
  <c r="T209" i="86"/>
  <c r="R209" i="86" s="1"/>
  <c r="T210" i="86"/>
  <c r="R210" i="86" s="1"/>
  <c r="T213" i="86"/>
  <c r="R213" i="86" s="1"/>
  <c r="T214" i="86"/>
  <c r="R214" i="86" s="1"/>
  <c r="T215" i="86"/>
  <c r="R215" i="86" s="1"/>
  <c r="T216" i="86"/>
  <c r="R216" i="86" s="1"/>
  <c r="T217" i="86"/>
  <c r="R217" i="86" s="1"/>
  <c r="T218" i="86"/>
  <c r="R218" i="86" s="1"/>
  <c r="T221" i="86"/>
  <c r="R221" i="86" s="1"/>
  <c r="T222" i="86"/>
  <c r="R222" i="86" s="1"/>
  <c r="T223" i="86"/>
  <c r="R223" i="86" s="1"/>
  <c r="T224" i="86"/>
  <c r="R224" i="86" s="1"/>
  <c r="T225" i="86"/>
  <c r="R225" i="86" s="1"/>
  <c r="T226" i="86"/>
  <c r="R226" i="86" s="1"/>
  <c r="T229" i="86"/>
  <c r="R229" i="86" s="1"/>
  <c r="T230" i="86"/>
  <c r="R230" i="86" s="1"/>
  <c r="T231" i="86"/>
  <c r="R231" i="86" s="1"/>
  <c r="T232" i="86"/>
  <c r="R232" i="86" s="1"/>
  <c r="T233" i="86"/>
  <c r="R233" i="86" s="1"/>
  <c r="T234" i="86"/>
  <c r="R234" i="86" s="1"/>
  <c r="T237" i="86"/>
  <c r="R237" i="86" s="1"/>
  <c r="T238" i="86"/>
  <c r="R238" i="86" s="1"/>
  <c r="T239" i="86"/>
  <c r="R239" i="86" s="1"/>
  <c r="T240" i="86"/>
  <c r="R240" i="86" s="1"/>
  <c r="T241" i="86"/>
  <c r="R241" i="86" s="1"/>
  <c r="T242" i="86"/>
  <c r="R242" i="86" s="1"/>
  <c r="T245" i="86"/>
  <c r="R245" i="86" s="1"/>
  <c r="T246" i="86"/>
  <c r="R246" i="86" s="1"/>
  <c r="T247" i="86"/>
  <c r="R247" i="86" s="1"/>
  <c r="T248" i="86"/>
  <c r="R248" i="86" s="1"/>
  <c r="T249" i="86"/>
  <c r="R249" i="86" s="1"/>
  <c r="T250" i="86"/>
  <c r="R250" i="86" s="1"/>
  <c r="T253" i="86"/>
  <c r="R253" i="86" s="1"/>
  <c r="T254" i="86"/>
  <c r="R254" i="86" s="1"/>
  <c r="T255" i="86"/>
  <c r="R255" i="86" s="1"/>
  <c r="T256" i="86"/>
  <c r="R256" i="86" s="1"/>
  <c r="T257" i="86"/>
  <c r="R257" i="86" s="1"/>
  <c r="T258" i="86"/>
  <c r="R258" i="86" s="1"/>
  <c r="T261" i="86"/>
  <c r="R261" i="86" s="1"/>
  <c r="T262" i="86"/>
  <c r="R262" i="86" s="1"/>
  <c r="T263" i="86"/>
  <c r="R263" i="86" s="1"/>
  <c r="T264" i="86"/>
  <c r="R264" i="86" s="1"/>
  <c r="T265" i="86"/>
  <c r="R265" i="86" s="1"/>
  <c r="T266" i="86"/>
  <c r="R266" i="86" s="1"/>
  <c r="T269" i="86"/>
  <c r="R269" i="86" s="1"/>
  <c r="T270" i="86"/>
  <c r="R270" i="86" s="1"/>
  <c r="T271" i="86"/>
  <c r="R271" i="86" s="1"/>
  <c r="T272" i="86"/>
  <c r="R272" i="86" s="1"/>
  <c r="T273" i="86"/>
  <c r="R273" i="86" s="1"/>
  <c r="T274" i="86"/>
  <c r="R274" i="86" s="1"/>
  <c r="T277" i="86"/>
  <c r="R277" i="86" s="1"/>
  <c r="T278" i="86"/>
  <c r="R278" i="86" s="1"/>
  <c r="T279" i="86"/>
  <c r="R279" i="86" s="1"/>
  <c r="T280" i="86"/>
  <c r="R280" i="86" s="1"/>
  <c r="T281" i="86"/>
  <c r="R281" i="86" s="1"/>
  <c r="T282" i="86"/>
  <c r="R282" i="86" s="1"/>
  <c r="T285" i="86"/>
  <c r="R285" i="86" s="1"/>
  <c r="T286" i="86"/>
  <c r="R286" i="86" s="1"/>
  <c r="T287" i="86"/>
  <c r="R287" i="86" s="1"/>
  <c r="T288" i="86"/>
  <c r="R288" i="86" s="1"/>
  <c r="T289" i="86"/>
  <c r="R289" i="86" s="1"/>
  <c r="T290" i="86"/>
  <c r="R290" i="86" s="1"/>
  <c r="T293" i="86"/>
  <c r="R293" i="86" s="1"/>
  <c r="T294" i="86"/>
  <c r="R294" i="86" s="1"/>
  <c r="T295" i="86"/>
  <c r="R295" i="86" s="1"/>
  <c r="T296" i="86"/>
  <c r="R296" i="86" s="1"/>
  <c r="T297" i="86"/>
  <c r="R297" i="86" s="1"/>
  <c r="T298" i="86"/>
  <c r="R298" i="86" s="1"/>
  <c r="D17" i="84"/>
  <c r="E17" i="84"/>
  <c r="F17" i="84"/>
  <c r="G17" i="84"/>
  <c r="H17" i="84"/>
  <c r="I17" i="84"/>
  <c r="Y17" i="84"/>
  <c r="Y18" i="84"/>
  <c r="D23" i="84"/>
  <c r="E23" i="84"/>
  <c r="F23" i="84"/>
  <c r="G23" i="84"/>
  <c r="H23" i="84"/>
  <c r="I23" i="84"/>
  <c r="D40" i="84"/>
  <c r="E40" i="84"/>
  <c r="F40" i="84"/>
  <c r="G40" i="84"/>
  <c r="H40" i="84"/>
  <c r="I40" i="84"/>
  <c r="D43" i="84"/>
  <c r="E43" i="84"/>
  <c r="F43" i="84"/>
  <c r="G43" i="84"/>
  <c r="H43" i="84"/>
  <c r="I43" i="84"/>
  <c r="N50" i="84"/>
  <c r="W50" i="84"/>
  <c r="W49" i="84" s="1"/>
  <c r="N67" i="84"/>
  <c r="T68" i="84"/>
  <c r="R68" i="84" s="1"/>
  <c r="T69" i="84"/>
  <c r="R69" i="84" s="1"/>
  <c r="T70" i="84"/>
  <c r="R70" i="84" s="1"/>
  <c r="T71" i="84"/>
  <c r="R71" i="84" s="1"/>
  <c r="T72" i="84"/>
  <c r="R72" i="84" s="1"/>
  <c r="T73" i="84"/>
  <c r="R73" i="84" s="1"/>
  <c r="Z75" i="84"/>
  <c r="T76" i="84"/>
  <c r="R76" i="84" s="1"/>
  <c r="T77" i="84"/>
  <c r="R77" i="84" s="1"/>
  <c r="T78" i="84"/>
  <c r="R78" i="84" s="1"/>
  <c r="T79" i="84"/>
  <c r="R79" i="84" s="1"/>
  <c r="T80" i="84"/>
  <c r="R80" i="84" s="1"/>
  <c r="T81" i="84"/>
  <c r="R81" i="84" s="1"/>
  <c r="T84" i="84"/>
  <c r="R84" i="84" s="1"/>
  <c r="T85" i="84"/>
  <c r="R85" i="84" s="1"/>
  <c r="T86" i="84"/>
  <c r="R86" i="84" s="1"/>
  <c r="T87" i="84"/>
  <c r="R87" i="84" s="1"/>
  <c r="T88" i="84"/>
  <c r="R88" i="84" s="1"/>
  <c r="T89" i="84"/>
  <c r="R89" i="84" s="1"/>
  <c r="T92" i="84"/>
  <c r="R92" i="84" s="1"/>
  <c r="T93" i="84"/>
  <c r="R93" i="84" s="1"/>
  <c r="T94" i="84"/>
  <c r="R94" i="84" s="1"/>
  <c r="T95" i="84"/>
  <c r="R95" i="84" s="1"/>
  <c r="T96" i="84"/>
  <c r="R96" i="84" s="1"/>
  <c r="T97" i="84"/>
  <c r="R97" i="84" s="1"/>
  <c r="T100" i="84"/>
  <c r="R100" i="84" s="1"/>
  <c r="T101" i="84"/>
  <c r="R101" i="84" s="1"/>
  <c r="T102" i="84"/>
  <c r="R102" i="84" s="1"/>
  <c r="T103" i="84"/>
  <c r="R103" i="84" s="1"/>
  <c r="T104" i="84"/>
  <c r="R104" i="84" s="1"/>
  <c r="T105" i="84"/>
  <c r="R105" i="84" s="1"/>
  <c r="T108" i="84"/>
  <c r="R108" i="84" s="1"/>
  <c r="T109" i="84"/>
  <c r="R109" i="84" s="1"/>
  <c r="T110" i="84"/>
  <c r="R110" i="84" s="1"/>
  <c r="T111" i="84"/>
  <c r="R111" i="84" s="1"/>
  <c r="T112" i="84"/>
  <c r="R112" i="84" s="1"/>
  <c r="T113" i="84"/>
  <c r="R113" i="84" s="1"/>
  <c r="T116" i="84"/>
  <c r="R116" i="84" s="1"/>
  <c r="T117" i="84"/>
  <c r="R117" i="84" s="1"/>
  <c r="T118" i="84"/>
  <c r="R118" i="84" s="1"/>
  <c r="T119" i="84"/>
  <c r="R119" i="84" s="1"/>
  <c r="T120" i="84"/>
  <c r="R120" i="84" s="1"/>
  <c r="T121" i="84"/>
  <c r="R121" i="84" s="1"/>
  <c r="T124" i="84"/>
  <c r="R124" i="84" s="1"/>
  <c r="T125" i="84"/>
  <c r="R125" i="84" s="1"/>
  <c r="T126" i="84"/>
  <c r="R126" i="84" s="1"/>
  <c r="T127" i="84"/>
  <c r="R127" i="84" s="1"/>
  <c r="T128" i="84"/>
  <c r="R128" i="84" s="1"/>
  <c r="T129" i="84"/>
  <c r="R129" i="84" s="1"/>
  <c r="T132" i="84"/>
  <c r="R132" i="84" s="1"/>
  <c r="T133" i="84"/>
  <c r="R133" i="84" s="1"/>
  <c r="T134" i="84"/>
  <c r="R134" i="84" s="1"/>
  <c r="T135" i="84"/>
  <c r="R135" i="84" s="1"/>
  <c r="T136" i="84"/>
  <c r="R136" i="84" s="1"/>
  <c r="T137" i="84"/>
  <c r="R137" i="84" s="1"/>
  <c r="T140" i="84"/>
  <c r="R140" i="84" s="1"/>
  <c r="T141" i="84"/>
  <c r="R141" i="84" s="1"/>
  <c r="T142" i="84"/>
  <c r="R142" i="84" s="1"/>
  <c r="T143" i="84"/>
  <c r="R143" i="84" s="1"/>
  <c r="T144" i="84"/>
  <c r="R144" i="84" s="1"/>
  <c r="T145" i="84"/>
  <c r="R145" i="84" s="1"/>
  <c r="T148" i="84"/>
  <c r="R148" i="84" s="1"/>
  <c r="T149" i="84"/>
  <c r="R149" i="84" s="1"/>
  <c r="T150" i="84"/>
  <c r="R150" i="84" s="1"/>
  <c r="T151" i="84"/>
  <c r="R151" i="84" s="1"/>
  <c r="T152" i="84"/>
  <c r="R152" i="84" s="1"/>
  <c r="T153" i="84"/>
  <c r="R153" i="84" s="1"/>
  <c r="T156" i="84"/>
  <c r="R156" i="84" s="1"/>
  <c r="T157" i="84"/>
  <c r="R157" i="84" s="1"/>
  <c r="T158" i="84"/>
  <c r="R158" i="84" s="1"/>
  <c r="T159" i="84"/>
  <c r="R159" i="84" s="1"/>
  <c r="T160" i="84"/>
  <c r="R160" i="84" s="1"/>
  <c r="T161" i="84"/>
  <c r="R161" i="84" s="1"/>
  <c r="T164" i="84"/>
  <c r="R164" i="84" s="1"/>
  <c r="T165" i="84"/>
  <c r="R165" i="84" s="1"/>
  <c r="T166" i="84"/>
  <c r="R166" i="84" s="1"/>
  <c r="T167" i="84"/>
  <c r="R167" i="84" s="1"/>
  <c r="T168" i="84"/>
  <c r="R168" i="84" s="1"/>
  <c r="T169" i="84"/>
  <c r="R169" i="84" s="1"/>
  <c r="T172" i="84"/>
  <c r="R172" i="84" s="1"/>
  <c r="T173" i="84"/>
  <c r="R173" i="84" s="1"/>
  <c r="T174" i="84"/>
  <c r="R174" i="84" s="1"/>
  <c r="T175" i="84"/>
  <c r="R175" i="84" s="1"/>
  <c r="T176" i="84"/>
  <c r="R176" i="84" s="1"/>
  <c r="T177" i="84"/>
  <c r="R177" i="84" s="1"/>
  <c r="T180" i="84"/>
  <c r="R180" i="84" s="1"/>
  <c r="T181" i="84"/>
  <c r="R181" i="84" s="1"/>
  <c r="T182" i="84"/>
  <c r="R182" i="84" s="1"/>
  <c r="T183" i="84"/>
  <c r="R183" i="84" s="1"/>
  <c r="T184" i="84"/>
  <c r="R184" i="84" s="1"/>
  <c r="T185" i="84"/>
  <c r="R185" i="84" s="1"/>
  <c r="T188" i="84"/>
  <c r="R188" i="84" s="1"/>
  <c r="T189" i="84"/>
  <c r="R189" i="84" s="1"/>
  <c r="T190" i="84"/>
  <c r="R190" i="84" s="1"/>
  <c r="T191" i="84"/>
  <c r="R191" i="84" s="1"/>
  <c r="T192" i="84"/>
  <c r="R192" i="84" s="1"/>
  <c r="T193" i="84"/>
  <c r="R193" i="84" s="1"/>
  <c r="T196" i="84"/>
  <c r="R196" i="84" s="1"/>
  <c r="T197" i="84"/>
  <c r="R197" i="84" s="1"/>
  <c r="T198" i="84"/>
  <c r="R198" i="84" s="1"/>
  <c r="T199" i="84"/>
  <c r="R199" i="84" s="1"/>
  <c r="T200" i="84"/>
  <c r="R200" i="84" s="1"/>
  <c r="T201" i="84"/>
  <c r="R201" i="84" s="1"/>
  <c r="T204" i="84"/>
  <c r="R204" i="84" s="1"/>
  <c r="T205" i="84"/>
  <c r="R205" i="84" s="1"/>
  <c r="T206" i="84"/>
  <c r="R206" i="84" s="1"/>
  <c r="T207" i="84"/>
  <c r="R207" i="84" s="1"/>
  <c r="T208" i="84"/>
  <c r="R208" i="84" s="1"/>
  <c r="T209" i="84"/>
  <c r="R209" i="84" s="1"/>
  <c r="T212" i="84"/>
  <c r="R212" i="84" s="1"/>
  <c r="T213" i="84"/>
  <c r="R213" i="84" s="1"/>
  <c r="T214" i="84"/>
  <c r="R214" i="84" s="1"/>
  <c r="T215" i="84"/>
  <c r="R215" i="84" s="1"/>
  <c r="T216" i="84"/>
  <c r="R216" i="84" s="1"/>
  <c r="T217" i="84"/>
  <c r="R217" i="84" s="1"/>
  <c r="T220" i="84"/>
  <c r="R220" i="84" s="1"/>
  <c r="T221" i="84"/>
  <c r="R221" i="84" s="1"/>
  <c r="T222" i="84"/>
  <c r="R222" i="84" s="1"/>
  <c r="T223" i="84"/>
  <c r="R223" i="84" s="1"/>
  <c r="T224" i="84"/>
  <c r="R224" i="84" s="1"/>
  <c r="T225" i="84"/>
  <c r="R225" i="84" s="1"/>
  <c r="T228" i="84"/>
  <c r="R228" i="84" s="1"/>
  <c r="T229" i="84"/>
  <c r="R229" i="84" s="1"/>
  <c r="T230" i="84"/>
  <c r="R230" i="84" s="1"/>
  <c r="T231" i="84"/>
  <c r="R231" i="84" s="1"/>
  <c r="T232" i="84"/>
  <c r="R232" i="84" s="1"/>
  <c r="T233" i="84"/>
  <c r="R233" i="84" s="1"/>
  <c r="T236" i="84"/>
  <c r="R236" i="84" s="1"/>
  <c r="T237" i="84"/>
  <c r="R237" i="84" s="1"/>
  <c r="T238" i="84"/>
  <c r="R238" i="84" s="1"/>
  <c r="T239" i="84"/>
  <c r="R239" i="84" s="1"/>
  <c r="T240" i="84"/>
  <c r="R240" i="84" s="1"/>
  <c r="T241" i="84"/>
  <c r="R241" i="84" s="1"/>
  <c r="T244" i="84"/>
  <c r="R244" i="84" s="1"/>
  <c r="T245" i="84"/>
  <c r="R245" i="84" s="1"/>
  <c r="T246" i="84"/>
  <c r="R246" i="84" s="1"/>
  <c r="T247" i="84"/>
  <c r="R247" i="84" s="1"/>
  <c r="T248" i="84"/>
  <c r="R248" i="84" s="1"/>
  <c r="T249" i="84"/>
  <c r="R249" i="84" s="1"/>
  <c r="T252" i="84"/>
  <c r="R252" i="84" s="1"/>
  <c r="T253" i="84"/>
  <c r="R253" i="84" s="1"/>
  <c r="T254" i="84"/>
  <c r="R254" i="84" s="1"/>
  <c r="T255" i="84"/>
  <c r="R255" i="84" s="1"/>
  <c r="T256" i="84"/>
  <c r="R256" i="84" s="1"/>
  <c r="T257" i="84"/>
  <c r="R257" i="84" s="1"/>
  <c r="T260" i="84"/>
  <c r="R260" i="84" s="1"/>
  <c r="T261" i="84"/>
  <c r="R261" i="84" s="1"/>
  <c r="T262" i="84"/>
  <c r="R262" i="84" s="1"/>
  <c r="T263" i="84"/>
  <c r="R263" i="84" s="1"/>
  <c r="T264" i="84"/>
  <c r="R264" i="84" s="1"/>
  <c r="T265" i="84"/>
  <c r="R265" i="84" s="1"/>
  <c r="T268" i="84"/>
  <c r="R268" i="84" s="1"/>
  <c r="T269" i="84"/>
  <c r="R269" i="84" s="1"/>
  <c r="T270" i="84"/>
  <c r="R270" i="84" s="1"/>
  <c r="T271" i="84"/>
  <c r="R271" i="84" s="1"/>
  <c r="T272" i="84"/>
  <c r="R272" i="84" s="1"/>
  <c r="T273" i="84"/>
  <c r="R273" i="84" s="1"/>
  <c r="T276" i="84"/>
  <c r="R276" i="84" s="1"/>
  <c r="T277" i="84"/>
  <c r="R277" i="84" s="1"/>
  <c r="T278" i="84"/>
  <c r="R278" i="84" s="1"/>
  <c r="T279" i="84"/>
  <c r="R279" i="84" s="1"/>
  <c r="T280" i="84"/>
  <c r="R280" i="84" s="1"/>
  <c r="T281" i="84"/>
  <c r="R281" i="84" s="1"/>
  <c r="D17" i="83"/>
  <c r="E17" i="83"/>
  <c r="F17" i="83"/>
  <c r="G17" i="83"/>
  <c r="H17" i="83"/>
  <c r="I17" i="83"/>
  <c r="Y17" i="83"/>
  <c r="Y18" i="83"/>
  <c r="Y19" i="83"/>
  <c r="Y20" i="83"/>
  <c r="Y21" i="83"/>
  <c r="Y22" i="83"/>
  <c r="D23" i="83"/>
  <c r="E23" i="83"/>
  <c r="F23" i="83"/>
  <c r="G23" i="83"/>
  <c r="H23" i="83"/>
  <c r="I23" i="83"/>
  <c r="Y23" i="83"/>
  <c r="Y24" i="83"/>
  <c r="Y25" i="83"/>
  <c r="Y26" i="83"/>
  <c r="Y27" i="83"/>
  <c r="Y28" i="83"/>
  <c r="Y29" i="83"/>
  <c r="D30" i="83"/>
  <c r="E30" i="83"/>
  <c r="F30" i="83"/>
  <c r="G30" i="83"/>
  <c r="H30" i="83"/>
  <c r="I30" i="83"/>
  <c r="Y30" i="83"/>
  <c r="Y31" i="83"/>
  <c r="Y32" i="83"/>
  <c r="D33" i="83"/>
  <c r="E33" i="83"/>
  <c r="F33" i="83"/>
  <c r="G33" i="83"/>
  <c r="H33" i="83"/>
  <c r="I33" i="83"/>
  <c r="Y34" i="83"/>
  <c r="Y35" i="83"/>
  <c r="Y36" i="83"/>
  <c r="Y37" i="83"/>
  <c r="N40" i="83"/>
  <c r="W40" i="83"/>
  <c r="W39" i="83" s="1"/>
  <c r="N57" i="83"/>
  <c r="T58" i="83"/>
  <c r="R58" i="83" s="1"/>
  <c r="T59" i="83"/>
  <c r="R59" i="83" s="1"/>
  <c r="T60" i="83"/>
  <c r="R60" i="83" s="1"/>
  <c r="T61" i="83"/>
  <c r="R61" i="83" s="1"/>
  <c r="T62" i="83"/>
  <c r="R62" i="83" s="1"/>
  <c r="T63" i="83"/>
  <c r="R63" i="83" s="1"/>
  <c r="Z65" i="83"/>
  <c r="Z73" i="83" s="1"/>
  <c r="T66" i="83"/>
  <c r="R66" i="83" s="1"/>
  <c r="T67" i="83"/>
  <c r="R67" i="83" s="1"/>
  <c r="T68" i="83"/>
  <c r="R68" i="83" s="1"/>
  <c r="T69" i="83"/>
  <c r="R69" i="83" s="1"/>
  <c r="T70" i="83"/>
  <c r="R70" i="83" s="1"/>
  <c r="T71" i="83"/>
  <c r="R71" i="83" s="1"/>
  <c r="T74" i="83"/>
  <c r="R74" i="83" s="1"/>
  <c r="T75" i="83"/>
  <c r="R75" i="83" s="1"/>
  <c r="T76" i="83"/>
  <c r="R76" i="83" s="1"/>
  <c r="T77" i="83"/>
  <c r="R77" i="83" s="1"/>
  <c r="T78" i="83"/>
  <c r="R78" i="83" s="1"/>
  <c r="T79" i="83"/>
  <c r="R79" i="83" s="1"/>
  <c r="T82" i="83"/>
  <c r="R82" i="83" s="1"/>
  <c r="T83" i="83"/>
  <c r="R83" i="83" s="1"/>
  <c r="T84" i="83"/>
  <c r="R84" i="83" s="1"/>
  <c r="T85" i="83"/>
  <c r="R85" i="83" s="1"/>
  <c r="T86" i="83"/>
  <c r="R86" i="83" s="1"/>
  <c r="T87" i="83"/>
  <c r="R87" i="83" s="1"/>
  <c r="T90" i="83"/>
  <c r="R90" i="83" s="1"/>
  <c r="T91" i="83"/>
  <c r="R91" i="83" s="1"/>
  <c r="T92" i="83"/>
  <c r="R92" i="83" s="1"/>
  <c r="T93" i="83"/>
  <c r="R93" i="83" s="1"/>
  <c r="T94" i="83"/>
  <c r="R94" i="83" s="1"/>
  <c r="T95" i="83"/>
  <c r="R95" i="83" s="1"/>
  <c r="T98" i="83"/>
  <c r="R98" i="83" s="1"/>
  <c r="T99" i="83"/>
  <c r="R99" i="83" s="1"/>
  <c r="T100" i="83"/>
  <c r="R100" i="83" s="1"/>
  <c r="T101" i="83"/>
  <c r="R101" i="83" s="1"/>
  <c r="T102" i="83"/>
  <c r="R102" i="83" s="1"/>
  <c r="T103" i="83"/>
  <c r="R103" i="83" s="1"/>
  <c r="T106" i="83"/>
  <c r="R106" i="83" s="1"/>
  <c r="T107" i="83"/>
  <c r="R107" i="83" s="1"/>
  <c r="T108" i="83"/>
  <c r="R108" i="83" s="1"/>
  <c r="T109" i="83"/>
  <c r="R109" i="83" s="1"/>
  <c r="T110" i="83"/>
  <c r="R110" i="83" s="1"/>
  <c r="T111" i="83"/>
  <c r="R111" i="83" s="1"/>
  <c r="T114" i="83"/>
  <c r="R114" i="83" s="1"/>
  <c r="T115" i="83"/>
  <c r="R115" i="83" s="1"/>
  <c r="T116" i="83"/>
  <c r="R116" i="83" s="1"/>
  <c r="T117" i="83"/>
  <c r="R117" i="83" s="1"/>
  <c r="T118" i="83"/>
  <c r="R118" i="83" s="1"/>
  <c r="T119" i="83"/>
  <c r="R119" i="83" s="1"/>
  <c r="T122" i="83"/>
  <c r="R122" i="83" s="1"/>
  <c r="T123" i="83"/>
  <c r="R123" i="83" s="1"/>
  <c r="T124" i="83"/>
  <c r="R124" i="83" s="1"/>
  <c r="T125" i="83"/>
  <c r="R125" i="83" s="1"/>
  <c r="T126" i="83"/>
  <c r="R126" i="83" s="1"/>
  <c r="T127" i="83"/>
  <c r="R127" i="83" s="1"/>
  <c r="T130" i="83"/>
  <c r="R130" i="83" s="1"/>
  <c r="T131" i="83"/>
  <c r="R131" i="83" s="1"/>
  <c r="T132" i="83"/>
  <c r="R132" i="83" s="1"/>
  <c r="T133" i="83"/>
  <c r="R133" i="83" s="1"/>
  <c r="T134" i="83"/>
  <c r="R134" i="83" s="1"/>
  <c r="T135" i="83"/>
  <c r="R135" i="83" s="1"/>
  <c r="T138" i="83"/>
  <c r="R138" i="83" s="1"/>
  <c r="T139" i="83"/>
  <c r="R139" i="83" s="1"/>
  <c r="T140" i="83"/>
  <c r="R140" i="83" s="1"/>
  <c r="T141" i="83"/>
  <c r="R141" i="83" s="1"/>
  <c r="T142" i="83"/>
  <c r="R142" i="83" s="1"/>
  <c r="T143" i="83"/>
  <c r="R143" i="83" s="1"/>
  <c r="T146" i="83"/>
  <c r="R146" i="83" s="1"/>
  <c r="T147" i="83"/>
  <c r="R147" i="83" s="1"/>
  <c r="T148" i="83"/>
  <c r="R148" i="83" s="1"/>
  <c r="T149" i="83"/>
  <c r="R149" i="83" s="1"/>
  <c r="T150" i="83"/>
  <c r="R150" i="83" s="1"/>
  <c r="T151" i="83"/>
  <c r="R151" i="83" s="1"/>
  <c r="T154" i="83"/>
  <c r="R154" i="83" s="1"/>
  <c r="T155" i="83"/>
  <c r="R155" i="83" s="1"/>
  <c r="T156" i="83"/>
  <c r="R156" i="83" s="1"/>
  <c r="T157" i="83"/>
  <c r="R157" i="83" s="1"/>
  <c r="T158" i="83"/>
  <c r="R158" i="83" s="1"/>
  <c r="T159" i="83"/>
  <c r="R159" i="83" s="1"/>
  <c r="T162" i="83"/>
  <c r="R162" i="83" s="1"/>
  <c r="T163" i="83"/>
  <c r="R163" i="83" s="1"/>
  <c r="T164" i="83"/>
  <c r="R164" i="83" s="1"/>
  <c r="T165" i="83"/>
  <c r="R165" i="83" s="1"/>
  <c r="T166" i="83"/>
  <c r="R166" i="83" s="1"/>
  <c r="T167" i="83"/>
  <c r="R167" i="83" s="1"/>
  <c r="T170" i="83"/>
  <c r="R170" i="83" s="1"/>
  <c r="T171" i="83"/>
  <c r="R171" i="83" s="1"/>
  <c r="T172" i="83"/>
  <c r="R172" i="83" s="1"/>
  <c r="T173" i="83"/>
  <c r="R173" i="83" s="1"/>
  <c r="T174" i="83"/>
  <c r="R174" i="83" s="1"/>
  <c r="T175" i="83"/>
  <c r="R175" i="83" s="1"/>
  <c r="T178" i="83"/>
  <c r="R178" i="83" s="1"/>
  <c r="T179" i="83"/>
  <c r="R179" i="83" s="1"/>
  <c r="T180" i="83"/>
  <c r="R180" i="83" s="1"/>
  <c r="T181" i="83"/>
  <c r="R181" i="83" s="1"/>
  <c r="T182" i="83"/>
  <c r="R182" i="83" s="1"/>
  <c r="T183" i="83"/>
  <c r="R183" i="83" s="1"/>
  <c r="T186" i="83"/>
  <c r="R186" i="83" s="1"/>
  <c r="T187" i="83"/>
  <c r="R187" i="83" s="1"/>
  <c r="T188" i="83"/>
  <c r="R188" i="83" s="1"/>
  <c r="T189" i="83"/>
  <c r="R189" i="83" s="1"/>
  <c r="T190" i="83"/>
  <c r="R190" i="83" s="1"/>
  <c r="T191" i="83"/>
  <c r="R191" i="83" s="1"/>
  <c r="F4" i="82"/>
  <c r="D5" i="82"/>
  <c r="D16" i="82"/>
  <c r="E16" i="82"/>
  <c r="F16" i="82"/>
  <c r="G16" i="82"/>
  <c r="H16" i="82"/>
  <c r="I16" i="82"/>
  <c r="Y19" i="82"/>
  <c r="Y20" i="82"/>
  <c r="D25" i="82"/>
  <c r="E25" i="82"/>
  <c r="F25" i="82"/>
  <c r="G25" i="82"/>
  <c r="H25" i="82"/>
  <c r="I25" i="82"/>
  <c r="D34" i="82"/>
  <c r="E34" i="82"/>
  <c r="F34" i="82"/>
  <c r="G34" i="82"/>
  <c r="H34" i="82"/>
  <c r="I34" i="82"/>
  <c r="D37" i="82"/>
  <c r="E37" i="82"/>
  <c r="F37" i="82"/>
  <c r="G37" i="82"/>
  <c r="H37" i="82"/>
  <c r="I37" i="82"/>
  <c r="N47" i="82"/>
  <c r="W47" i="82"/>
  <c r="W46" i="82" s="1"/>
  <c r="N64" i="82"/>
  <c r="T65" i="82"/>
  <c r="R65" i="82" s="1"/>
  <c r="T66" i="82"/>
  <c r="R66" i="82" s="1"/>
  <c r="T67" i="82"/>
  <c r="R67" i="82" s="1"/>
  <c r="T68" i="82"/>
  <c r="R68" i="82" s="1"/>
  <c r="T69" i="82"/>
  <c r="R69" i="82" s="1"/>
  <c r="T70" i="82"/>
  <c r="R70" i="82" s="1"/>
  <c r="Z72" i="82"/>
  <c r="T73" i="82"/>
  <c r="R73" i="82" s="1"/>
  <c r="T74" i="82"/>
  <c r="R74" i="82" s="1"/>
  <c r="T75" i="82"/>
  <c r="R75" i="82" s="1"/>
  <c r="T76" i="82"/>
  <c r="R76" i="82" s="1"/>
  <c r="T77" i="82"/>
  <c r="R77" i="82" s="1"/>
  <c r="T78" i="82"/>
  <c r="R78" i="82" s="1"/>
  <c r="T81" i="82"/>
  <c r="R81" i="82" s="1"/>
  <c r="T82" i="82"/>
  <c r="R82" i="82" s="1"/>
  <c r="T83" i="82"/>
  <c r="R83" i="82" s="1"/>
  <c r="T84" i="82"/>
  <c r="R84" i="82" s="1"/>
  <c r="T85" i="82"/>
  <c r="R85" i="82" s="1"/>
  <c r="T86" i="82"/>
  <c r="R86" i="82" s="1"/>
  <c r="T89" i="82"/>
  <c r="R89" i="82" s="1"/>
  <c r="T90" i="82"/>
  <c r="R90" i="82" s="1"/>
  <c r="T91" i="82"/>
  <c r="R91" i="82" s="1"/>
  <c r="T92" i="82"/>
  <c r="R92" i="82" s="1"/>
  <c r="T93" i="82"/>
  <c r="R93" i="82" s="1"/>
  <c r="T94" i="82"/>
  <c r="R94" i="82" s="1"/>
  <c r="T97" i="82"/>
  <c r="R97" i="82" s="1"/>
  <c r="T98" i="82"/>
  <c r="R98" i="82" s="1"/>
  <c r="T99" i="82"/>
  <c r="R99" i="82" s="1"/>
  <c r="T100" i="82"/>
  <c r="R100" i="82" s="1"/>
  <c r="T101" i="82"/>
  <c r="R101" i="82" s="1"/>
  <c r="T102" i="82"/>
  <c r="R102" i="82" s="1"/>
  <c r="T105" i="82"/>
  <c r="R105" i="82" s="1"/>
  <c r="T106" i="82"/>
  <c r="R106" i="82" s="1"/>
  <c r="T107" i="82"/>
  <c r="R107" i="82" s="1"/>
  <c r="T108" i="82"/>
  <c r="R108" i="82" s="1"/>
  <c r="T109" i="82"/>
  <c r="R109" i="82" s="1"/>
  <c r="T110" i="82"/>
  <c r="R110" i="82" s="1"/>
  <c r="T113" i="82"/>
  <c r="R113" i="82" s="1"/>
  <c r="T114" i="82"/>
  <c r="R114" i="82" s="1"/>
  <c r="T115" i="82"/>
  <c r="R115" i="82" s="1"/>
  <c r="T116" i="82"/>
  <c r="R116" i="82" s="1"/>
  <c r="T117" i="82"/>
  <c r="R117" i="82" s="1"/>
  <c r="T118" i="82"/>
  <c r="R118" i="82" s="1"/>
  <c r="T121" i="82"/>
  <c r="R121" i="82" s="1"/>
  <c r="T122" i="82"/>
  <c r="R122" i="82" s="1"/>
  <c r="T123" i="82"/>
  <c r="R123" i="82" s="1"/>
  <c r="T124" i="82"/>
  <c r="R124" i="82" s="1"/>
  <c r="T125" i="82"/>
  <c r="R125" i="82" s="1"/>
  <c r="T126" i="82"/>
  <c r="R126" i="82" s="1"/>
  <c r="T129" i="82"/>
  <c r="R129" i="82" s="1"/>
  <c r="T130" i="82"/>
  <c r="R130" i="82" s="1"/>
  <c r="T131" i="82"/>
  <c r="R131" i="82" s="1"/>
  <c r="T132" i="82"/>
  <c r="R132" i="82" s="1"/>
  <c r="T133" i="82"/>
  <c r="R133" i="82" s="1"/>
  <c r="T134" i="82"/>
  <c r="R134" i="82" s="1"/>
  <c r="T137" i="82"/>
  <c r="R137" i="82" s="1"/>
  <c r="T138" i="82"/>
  <c r="R138" i="82" s="1"/>
  <c r="T139" i="82"/>
  <c r="R139" i="82" s="1"/>
  <c r="T140" i="82"/>
  <c r="R140" i="82" s="1"/>
  <c r="T141" i="82"/>
  <c r="R141" i="82" s="1"/>
  <c r="T142" i="82"/>
  <c r="R142" i="82" s="1"/>
  <c r="T145" i="82"/>
  <c r="R145" i="82" s="1"/>
  <c r="T146" i="82"/>
  <c r="R146" i="82" s="1"/>
  <c r="T147" i="82"/>
  <c r="R147" i="82" s="1"/>
  <c r="T148" i="82"/>
  <c r="R148" i="82" s="1"/>
  <c r="T149" i="82"/>
  <c r="R149" i="82" s="1"/>
  <c r="T150" i="82"/>
  <c r="R150" i="82" s="1"/>
  <c r="T153" i="82"/>
  <c r="R153" i="82" s="1"/>
  <c r="T154" i="82"/>
  <c r="R154" i="82" s="1"/>
  <c r="T155" i="82"/>
  <c r="R155" i="82" s="1"/>
  <c r="T156" i="82"/>
  <c r="R156" i="82" s="1"/>
  <c r="T157" i="82"/>
  <c r="R157" i="82" s="1"/>
  <c r="T158" i="82"/>
  <c r="R158" i="82" s="1"/>
  <c r="T161" i="82"/>
  <c r="R161" i="82" s="1"/>
  <c r="T162" i="82"/>
  <c r="R162" i="82" s="1"/>
  <c r="T163" i="82"/>
  <c r="R163" i="82" s="1"/>
  <c r="T164" i="82"/>
  <c r="R164" i="82" s="1"/>
  <c r="T165" i="82"/>
  <c r="R165" i="82" s="1"/>
  <c r="T166" i="82"/>
  <c r="R166" i="82" s="1"/>
  <c r="T169" i="82"/>
  <c r="R169" i="82" s="1"/>
  <c r="T170" i="82"/>
  <c r="R170" i="82" s="1"/>
  <c r="T171" i="82"/>
  <c r="R171" i="82" s="1"/>
  <c r="T172" i="82"/>
  <c r="R172" i="82" s="1"/>
  <c r="T173" i="82"/>
  <c r="R173" i="82" s="1"/>
  <c r="T174" i="82"/>
  <c r="R174" i="82" s="1"/>
  <c r="T177" i="82"/>
  <c r="R177" i="82" s="1"/>
  <c r="T178" i="82"/>
  <c r="R178" i="82" s="1"/>
  <c r="T179" i="82"/>
  <c r="R179" i="82" s="1"/>
  <c r="T180" i="82"/>
  <c r="R180" i="82" s="1"/>
  <c r="T181" i="82"/>
  <c r="R181" i="82" s="1"/>
  <c r="T182" i="82"/>
  <c r="R182" i="82" s="1"/>
  <c r="T185" i="82"/>
  <c r="R185" i="82" s="1"/>
  <c r="T186" i="82"/>
  <c r="R186" i="82" s="1"/>
  <c r="T187" i="82"/>
  <c r="R187" i="82" s="1"/>
  <c r="T188" i="82"/>
  <c r="R188" i="82" s="1"/>
  <c r="T189" i="82"/>
  <c r="R189" i="82" s="1"/>
  <c r="T190" i="82"/>
  <c r="R190" i="82" s="1"/>
  <c r="T193" i="82"/>
  <c r="R193" i="82" s="1"/>
  <c r="T194" i="82"/>
  <c r="R194" i="82" s="1"/>
  <c r="T195" i="82"/>
  <c r="R195" i="82" s="1"/>
  <c r="T196" i="82"/>
  <c r="R196" i="82" s="1"/>
  <c r="T197" i="82"/>
  <c r="R197" i="82" s="1"/>
  <c r="T198" i="82"/>
  <c r="R198" i="82" s="1"/>
  <c r="T201" i="82"/>
  <c r="R201" i="82" s="1"/>
  <c r="T202" i="82"/>
  <c r="R202" i="82" s="1"/>
  <c r="T203" i="82"/>
  <c r="R203" i="82" s="1"/>
  <c r="T204" i="82"/>
  <c r="R204" i="82" s="1"/>
  <c r="T205" i="82"/>
  <c r="R205" i="82" s="1"/>
  <c r="T206" i="82"/>
  <c r="R206" i="82" s="1"/>
  <c r="T209" i="82"/>
  <c r="R209" i="82" s="1"/>
  <c r="T210" i="82"/>
  <c r="R210" i="82" s="1"/>
  <c r="T211" i="82"/>
  <c r="R211" i="82" s="1"/>
  <c r="T212" i="82"/>
  <c r="R212" i="82" s="1"/>
  <c r="T213" i="82"/>
  <c r="R213" i="82" s="1"/>
  <c r="T214" i="82"/>
  <c r="R214" i="82" s="1"/>
  <c r="T217" i="82"/>
  <c r="R217" i="82" s="1"/>
  <c r="T218" i="82"/>
  <c r="R218" i="82" s="1"/>
  <c r="T219" i="82"/>
  <c r="R219" i="82" s="1"/>
  <c r="T220" i="82"/>
  <c r="R220" i="82" s="1"/>
  <c r="T221" i="82"/>
  <c r="R221" i="82" s="1"/>
  <c r="T222" i="82"/>
  <c r="R222" i="82" s="1"/>
  <c r="T225" i="82"/>
  <c r="R225" i="82" s="1"/>
  <c r="T226" i="82"/>
  <c r="R226" i="82" s="1"/>
  <c r="T227" i="82"/>
  <c r="R227" i="82" s="1"/>
  <c r="T228" i="82"/>
  <c r="R228" i="82" s="1"/>
  <c r="T229" i="82"/>
  <c r="R229" i="82" s="1"/>
  <c r="T230" i="82"/>
  <c r="R230" i="82" s="1"/>
  <c r="T233" i="82"/>
  <c r="R233" i="82" s="1"/>
  <c r="T234" i="82"/>
  <c r="R234" i="82" s="1"/>
  <c r="T235" i="82"/>
  <c r="R235" i="82" s="1"/>
  <c r="T236" i="82"/>
  <c r="R236" i="82" s="1"/>
  <c r="T237" i="82"/>
  <c r="R237" i="82" s="1"/>
  <c r="T238" i="82"/>
  <c r="R238" i="82" s="1"/>
  <c r="F4" i="81"/>
  <c r="D5" i="81"/>
  <c r="D12" i="81"/>
  <c r="E12" i="81"/>
  <c r="F12" i="81"/>
  <c r="G12" i="81"/>
  <c r="H12" i="81"/>
  <c r="I12" i="81"/>
  <c r="Y12" i="81"/>
  <c r="Y13" i="81"/>
  <c r="D18" i="81"/>
  <c r="E18" i="81"/>
  <c r="F18" i="81"/>
  <c r="G18" i="81"/>
  <c r="H18" i="81"/>
  <c r="I18" i="81"/>
  <c r="D29" i="81"/>
  <c r="E29" i="81"/>
  <c r="F29" i="81"/>
  <c r="G29" i="81"/>
  <c r="H29" i="81"/>
  <c r="I29" i="81"/>
  <c r="D32" i="81"/>
  <c r="E32" i="81"/>
  <c r="F32" i="81"/>
  <c r="G32" i="81"/>
  <c r="H32" i="81"/>
  <c r="I32" i="81"/>
  <c r="N39" i="81"/>
  <c r="W39" i="81"/>
  <c r="W38" i="81" s="1"/>
  <c r="N56" i="81"/>
  <c r="T57" i="81"/>
  <c r="R57" i="81" s="1"/>
  <c r="T58" i="81"/>
  <c r="R58" i="81" s="1"/>
  <c r="T59" i="81"/>
  <c r="R59" i="81" s="1"/>
  <c r="T60" i="81"/>
  <c r="R60" i="81" s="1"/>
  <c r="T61" i="81"/>
  <c r="R61" i="81" s="1"/>
  <c r="T62" i="81"/>
  <c r="R62" i="81" s="1"/>
  <c r="Z64" i="81"/>
  <c r="N64" i="81" s="1"/>
  <c r="T65" i="81"/>
  <c r="R65" i="81" s="1"/>
  <c r="T66" i="81"/>
  <c r="R66" i="81" s="1"/>
  <c r="T67" i="81"/>
  <c r="R67" i="81" s="1"/>
  <c r="T68" i="81"/>
  <c r="R68" i="81" s="1"/>
  <c r="T69" i="81"/>
  <c r="R69" i="81" s="1"/>
  <c r="T70" i="81"/>
  <c r="R70" i="81" s="1"/>
  <c r="T73" i="81"/>
  <c r="R73" i="81" s="1"/>
  <c r="T74" i="81"/>
  <c r="R74" i="81" s="1"/>
  <c r="T75" i="81"/>
  <c r="R75" i="81" s="1"/>
  <c r="T76" i="81"/>
  <c r="R76" i="81" s="1"/>
  <c r="T77" i="81"/>
  <c r="R77" i="81" s="1"/>
  <c r="T78" i="81"/>
  <c r="R78" i="81" s="1"/>
  <c r="T81" i="81"/>
  <c r="R81" i="81" s="1"/>
  <c r="T82" i="81"/>
  <c r="R82" i="81" s="1"/>
  <c r="T83" i="81"/>
  <c r="R83" i="81" s="1"/>
  <c r="T84" i="81"/>
  <c r="R84" i="81" s="1"/>
  <c r="T85" i="81"/>
  <c r="R85" i="81" s="1"/>
  <c r="T86" i="81"/>
  <c r="R86" i="81" s="1"/>
  <c r="T89" i="81"/>
  <c r="R89" i="81" s="1"/>
  <c r="T90" i="81"/>
  <c r="R90" i="81" s="1"/>
  <c r="T91" i="81"/>
  <c r="R91" i="81" s="1"/>
  <c r="T92" i="81"/>
  <c r="R92" i="81" s="1"/>
  <c r="T93" i="81"/>
  <c r="R93" i="81" s="1"/>
  <c r="T94" i="81"/>
  <c r="R94" i="81" s="1"/>
  <c r="T97" i="81"/>
  <c r="R97" i="81" s="1"/>
  <c r="T98" i="81"/>
  <c r="R98" i="81" s="1"/>
  <c r="T99" i="81"/>
  <c r="R99" i="81" s="1"/>
  <c r="T100" i="81"/>
  <c r="R100" i="81" s="1"/>
  <c r="T101" i="81"/>
  <c r="R101" i="81" s="1"/>
  <c r="T102" i="81"/>
  <c r="R102" i="81" s="1"/>
  <c r="T105" i="81"/>
  <c r="R105" i="81" s="1"/>
  <c r="T106" i="81"/>
  <c r="R106" i="81" s="1"/>
  <c r="T107" i="81"/>
  <c r="R107" i="81" s="1"/>
  <c r="T108" i="81"/>
  <c r="R108" i="81" s="1"/>
  <c r="T109" i="81"/>
  <c r="R109" i="81" s="1"/>
  <c r="T110" i="81"/>
  <c r="R110" i="81" s="1"/>
  <c r="T113" i="81"/>
  <c r="R113" i="81" s="1"/>
  <c r="T114" i="81"/>
  <c r="R114" i="81" s="1"/>
  <c r="T115" i="81"/>
  <c r="R115" i="81" s="1"/>
  <c r="T116" i="81"/>
  <c r="R116" i="81" s="1"/>
  <c r="T117" i="81"/>
  <c r="R117" i="81" s="1"/>
  <c r="T118" i="81"/>
  <c r="R118" i="81" s="1"/>
  <c r="T121" i="81"/>
  <c r="R121" i="81" s="1"/>
  <c r="T122" i="81"/>
  <c r="R122" i="81" s="1"/>
  <c r="T123" i="81"/>
  <c r="R123" i="81" s="1"/>
  <c r="T124" i="81"/>
  <c r="R124" i="81" s="1"/>
  <c r="T125" i="81"/>
  <c r="R125" i="81" s="1"/>
  <c r="T126" i="81"/>
  <c r="R126" i="81" s="1"/>
  <c r="T129" i="81"/>
  <c r="R129" i="81" s="1"/>
  <c r="T130" i="81"/>
  <c r="R130" i="81" s="1"/>
  <c r="T131" i="81"/>
  <c r="R131" i="81" s="1"/>
  <c r="T132" i="81"/>
  <c r="R132" i="81" s="1"/>
  <c r="T133" i="81"/>
  <c r="R133" i="81" s="1"/>
  <c r="T134" i="81"/>
  <c r="R134" i="81" s="1"/>
  <c r="T137" i="81"/>
  <c r="R137" i="81" s="1"/>
  <c r="T138" i="81"/>
  <c r="R138" i="81" s="1"/>
  <c r="T139" i="81"/>
  <c r="R139" i="81" s="1"/>
  <c r="T140" i="81"/>
  <c r="R140" i="81" s="1"/>
  <c r="T141" i="81"/>
  <c r="R141" i="81" s="1"/>
  <c r="T142" i="81"/>
  <c r="R142" i="81" s="1"/>
  <c r="T145" i="81"/>
  <c r="R145" i="81" s="1"/>
  <c r="T146" i="81"/>
  <c r="R146" i="81" s="1"/>
  <c r="T147" i="81"/>
  <c r="R147" i="81" s="1"/>
  <c r="T148" i="81"/>
  <c r="R148" i="81" s="1"/>
  <c r="T149" i="81"/>
  <c r="R149" i="81" s="1"/>
  <c r="T150" i="81"/>
  <c r="R150" i="81" s="1"/>
  <c r="T153" i="81"/>
  <c r="R153" i="81" s="1"/>
  <c r="T154" i="81"/>
  <c r="R154" i="81" s="1"/>
  <c r="T155" i="81"/>
  <c r="R155" i="81" s="1"/>
  <c r="T156" i="81"/>
  <c r="R156" i="81" s="1"/>
  <c r="T157" i="81"/>
  <c r="R157" i="81" s="1"/>
  <c r="T158" i="81"/>
  <c r="R158" i="81" s="1"/>
  <c r="T161" i="81"/>
  <c r="R161" i="81" s="1"/>
  <c r="T162" i="81"/>
  <c r="R162" i="81" s="1"/>
  <c r="T163" i="81"/>
  <c r="R163" i="81" s="1"/>
  <c r="T164" i="81"/>
  <c r="R164" i="81" s="1"/>
  <c r="T165" i="81"/>
  <c r="R165" i="81" s="1"/>
  <c r="T166" i="81"/>
  <c r="R166" i="81" s="1"/>
  <c r="T169" i="81"/>
  <c r="R169" i="81" s="1"/>
  <c r="T170" i="81"/>
  <c r="R170" i="81" s="1"/>
  <c r="T171" i="81"/>
  <c r="R171" i="81" s="1"/>
  <c r="T172" i="81"/>
  <c r="R172" i="81" s="1"/>
  <c r="T173" i="81"/>
  <c r="R173" i="81" s="1"/>
  <c r="T174" i="81"/>
  <c r="R174" i="81" s="1"/>
  <c r="T177" i="81"/>
  <c r="R177" i="81" s="1"/>
  <c r="T178" i="81"/>
  <c r="R178" i="81" s="1"/>
  <c r="T179" i="81"/>
  <c r="R179" i="81" s="1"/>
  <c r="T180" i="81"/>
  <c r="R180" i="81" s="1"/>
  <c r="T181" i="81"/>
  <c r="R181" i="81" s="1"/>
  <c r="T182" i="81"/>
  <c r="R182" i="81" s="1"/>
  <c r="T185" i="81"/>
  <c r="R185" i="81" s="1"/>
  <c r="T186" i="81"/>
  <c r="R186" i="81" s="1"/>
  <c r="T187" i="81"/>
  <c r="R187" i="81" s="1"/>
  <c r="T188" i="81"/>
  <c r="R188" i="81" s="1"/>
  <c r="T189" i="81"/>
  <c r="R189" i="81" s="1"/>
  <c r="T190" i="81"/>
  <c r="R190" i="81" s="1"/>
  <c r="T193" i="81"/>
  <c r="R193" i="81" s="1"/>
  <c r="T194" i="81"/>
  <c r="R194" i="81" s="1"/>
  <c r="T195" i="81"/>
  <c r="R195" i="81" s="1"/>
  <c r="T196" i="81"/>
  <c r="R196" i="81" s="1"/>
  <c r="T197" i="81"/>
  <c r="R197" i="81" s="1"/>
  <c r="T198" i="81"/>
  <c r="R198" i="81" s="1"/>
  <c r="T201" i="81"/>
  <c r="R201" i="81" s="1"/>
  <c r="T202" i="81"/>
  <c r="R202" i="81" s="1"/>
  <c r="T203" i="81"/>
  <c r="R203" i="81" s="1"/>
  <c r="T204" i="81"/>
  <c r="R204" i="81" s="1"/>
  <c r="T205" i="81"/>
  <c r="R205" i="81" s="1"/>
  <c r="T206" i="81"/>
  <c r="R206" i="81" s="1"/>
  <c r="T209" i="81"/>
  <c r="R209" i="81" s="1"/>
  <c r="T210" i="81"/>
  <c r="R210" i="81" s="1"/>
  <c r="T211" i="81"/>
  <c r="R211" i="81" s="1"/>
  <c r="T212" i="81"/>
  <c r="R212" i="81" s="1"/>
  <c r="T213" i="81"/>
  <c r="R213" i="81" s="1"/>
  <c r="T214" i="81"/>
  <c r="R214" i="81" s="1"/>
  <c r="T217" i="81"/>
  <c r="R217" i="81" s="1"/>
  <c r="T218" i="81"/>
  <c r="R218" i="81" s="1"/>
  <c r="T219" i="81"/>
  <c r="R219" i="81" s="1"/>
  <c r="T220" i="81"/>
  <c r="R220" i="81" s="1"/>
  <c r="T221" i="81"/>
  <c r="R221" i="81" s="1"/>
  <c r="T222" i="81"/>
  <c r="R222" i="81" s="1"/>
  <c r="D17" i="79"/>
  <c r="E17" i="79"/>
  <c r="F17" i="79"/>
  <c r="G17" i="79"/>
  <c r="H17" i="79"/>
  <c r="I17" i="79"/>
  <c r="Y17" i="79"/>
  <c r="Y18" i="79"/>
  <c r="D33" i="79"/>
  <c r="E33" i="79"/>
  <c r="F33" i="79"/>
  <c r="G33" i="79"/>
  <c r="H33" i="79"/>
  <c r="I33" i="79"/>
  <c r="D36" i="79"/>
  <c r="E36" i="79"/>
  <c r="F36" i="79"/>
  <c r="G36" i="79"/>
  <c r="H36" i="79"/>
  <c r="I36" i="79"/>
  <c r="N42" i="79"/>
  <c r="W42" i="79"/>
  <c r="W41" i="79" s="1"/>
  <c r="N73" i="79"/>
  <c r="T74" i="79"/>
  <c r="R74" i="79" s="1"/>
  <c r="T75" i="79"/>
  <c r="R75" i="79" s="1"/>
  <c r="T76" i="79"/>
  <c r="R76" i="79" s="1"/>
  <c r="T77" i="79"/>
  <c r="R77" i="79" s="1"/>
  <c r="T78" i="79"/>
  <c r="R78" i="79" s="1"/>
  <c r="T79" i="79"/>
  <c r="R79" i="79" s="1"/>
  <c r="Z81" i="79"/>
  <c r="T82" i="79"/>
  <c r="R82" i="79" s="1"/>
  <c r="T83" i="79"/>
  <c r="R83" i="79" s="1"/>
  <c r="T84" i="79"/>
  <c r="R84" i="79" s="1"/>
  <c r="T85" i="79"/>
  <c r="R85" i="79" s="1"/>
  <c r="T86" i="79"/>
  <c r="R86" i="79" s="1"/>
  <c r="T87" i="79"/>
  <c r="R87" i="79" s="1"/>
  <c r="T90" i="79"/>
  <c r="R90" i="79" s="1"/>
  <c r="T91" i="79"/>
  <c r="R91" i="79" s="1"/>
  <c r="T92" i="79"/>
  <c r="R92" i="79" s="1"/>
  <c r="T93" i="79"/>
  <c r="R93" i="79" s="1"/>
  <c r="T94" i="79"/>
  <c r="R94" i="79" s="1"/>
  <c r="T95" i="79"/>
  <c r="R95" i="79" s="1"/>
  <c r="T98" i="79"/>
  <c r="R98" i="79" s="1"/>
  <c r="T99" i="79"/>
  <c r="R99" i="79" s="1"/>
  <c r="T100" i="79"/>
  <c r="R100" i="79" s="1"/>
  <c r="T101" i="79"/>
  <c r="R101" i="79" s="1"/>
  <c r="T102" i="79"/>
  <c r="R102" i="79" s="1"/>
  <c r="T103" i="79"/>
  <c r="R103" i="79" s="1"/>
  <c r="T106" i="79"/>
  <c r="R106" i="79" s="1"/>
  <c r="T107" i="79"/>
  <c r="R107" i="79" s="1"/>
  <c r="T108" i="79"/>
  <c r="R108" i="79" s="1"/>
  <c r="T109" i="79"/>
  <c r="R109" i="79" s="1"/>
  <c r="T110" i="79"/>
  <c r="R110" i="79" s="1"/>
  <c r="T111" i="79"/>
  <c r="R111" i="79" s="1"/>
  <c r="T114" i="79"/>
  <c r="R114" i="79" s="1"/>
  <c r="T115" i="79"/>
  <c r="R115" i="79" s="1"/>
  <c r="T116" i="79"/>
  <c r="R116" i="79" s="1"/>
  <c r="T117" i="79"/>
  <c r="R117" i="79" s="1"/>
  <c r="T118" i="79"/>
  <c r="R118" i="79" s="1"/>
  <c r="T119" i="79"/>
  <c r="R119" i="79" s="1"/>
  <c r="T122" i="79"/>
  <c r="R122" i="79" s="1"/>
  <c r="T123" i="79"/>
  <c r="R123" i="79" s="1"/>
  <c r="T124" i="79"/>
  <c r="R124" i="79" s="1"/>
  <c r="T125" i="79"/>
  <c r="R125" i="79" s="1"/>
  <c r="T126" i="79"/>
  <c r="R126" i="79" s="1"/>
  <c r="T127" i="79"/>
  <c r="R127" i="79" s="1"/>
  <c r="T130" i="79"/>
  <c r="R130" i="79" s="1"/>
  <c r="T131" i="79"/>
  <c r="R131" i="79" s="1"/>
  <c r="T132" i="79"/>
  <c r="R132" i="79" s="1"/>
  <c r="T133" i="79"/>
  <c r="R133" i="79" s="1"/>
  <c r="T134" i="79"/>
  <c r="R134" i="79" s="1"/>
  <c r="T135" i="79"/>
  <c r="R135" i="79" s="1"/>
  <c r="T138" i="79"/>
  <c r="R138" i="79" s="1"/>
  <c r="T139" i="79"/>
  <c r="R139" i="79" s="1"/>
  <c r="T140" i="79"/>
  <c r="R140" i="79" s="1"/>
  <c r="T141" i="79"/>
  <c r="R141" i="79" s="1"/>
  <c r="T142" i="79"/>
  <c r="R142" i="79" s="1"/>
  <c r="T143" i="79"/>
  <c r="R143" i="79" s="1"/>
  <c r="T146" i="79"/>
  <c r="R146" i="79" s="1"/>
  <c r="T147" i="79"/>
  <c r="R147" i="79" s="1"/>
  <c r="T148" i="79"/>
  <c r="R148" i="79" s="1"/>
  <c r="T149" i="79"/>
  <c r="R149" i="79" s="1"/>
  <c r="T150" i="79"/>
  <c r="R150" i="79" s="1"/>
  <c r="T151" i="79"/>
  <c r="R151" i="79" s="1"/>
  <c r="T154" i="79"/>
  <c r="R154" i="79" s="1"/>
  <c r="T155" i="79"/>
  <c r="R155" i="79" s="1"/>
  <c r="T156" i="79"/>
  <c r="R156" i="79" s="1"/>
  <c r="T157" i="79"/>
  <c r="R157" i="79" s="1"/>
  <c r="T158" i="79"/>
  <c r="R158" i="79" s="1"/>
  <c r="T159" i="79"/>
  <c r="R159" i="79" s="1"/>
  <c r="T162" i="79"/>
  <c r="R162" i="79" s="1"/>
  <c r="T163" i="79"/>
  <c r="R163" i="79" s="1"/>
  <c r="T164" i="79"/>
  <c r="R164" i="79" s="1"/>
  <c r="T165" i="79"/>
  <c r="R165" i="79" s="1"/>
  <c r="T166" i="79"/>
  <c r="R166" i="79" s="1"/>
  <c r="T167" i="79"/>
  <c r="R167" i="79" s="1"/>
  <c r="T170" i="79"/>
  <c r="R170" i="79" s="1"/>
  <c r="T171" i="79"/>
  <c r="R171" i="79" s="1"/>
  <c r="T172" i="79"/>
  <c r="R172" i="79" s="1"/>
  <c r="T173" i="79"/>
  <c r="R173" i="79" s="1"/>
  <c r="T174" i="79"/>
  <c r="R174" i="79" s="1"/>
  <c r="T175" i="79"/>
  <c r="R175" i="79" s="1"/>
  <c r="T178" i="79"/>
  <c r="R178" i="79" s="1"/>
  <c r="T179" i="79"/>
  <c r="R179" i="79" s="1"/>
  <c r="T180" i="79"/>
  <c r="R180" i="79" s="1"/>
  <c r="T181" i="79"/>
  <c r="R181" i="79" s="1"/>
  <c r="T182" i="79"/>
  <c r="R182" i="79" s="1"/>
  <c r="T183" i="79"/>
  <c r="R183" i="79" s="1"/>
  <c r="T186" i="79"/>
  <c r="R186" i="79" s="1"/>
  <c r="T187" i="79"/>
  <c r="R187" i="79" s="1"/>
  <c r="T188" i="79"/>
  <c r="R188" i="79" s="1"/>
  <c r="T189" i="79"/>
  <c r="R189" i="79" s="1"/>
  <c r="T190" i="79"/>
  <c r="R190" i="79" s="1"/>
  <c r="T191" i="79"/>
  <c r="R191" i="79" s="1"/>
  <c r="T194" i="79"/>
  <c r="R194" i="79" s="1"/>
  <c r="T195" i="79"/>
  <c r="R195" i="79" s="1"/>
  <c r="T196" i="79"/>
  <c r="R196" i="79" s="1"/>
  <c r="T197" i="79"/>
  <c r="R197" i="79" s="1"/>
  <c r="T198" i="79"/>
  <c r="R198" i="79" s="1"/>
  <c r="T199" i="79"/>
  <c r="R199" i="79" s="1"/>
  <c r="T202" i="79"/>
  <c r="R202" i="79" s="1"/>
  <c r="T203" i="79"/>
  <c r="R203" i="79" s="1"/>
  <c r="T204" i="79"/>
  <c r="R204" i="79" s="1"/>
  <c r="T205" i="79"/>
  <c r="R205" i="79" s="1"/>
  <c r="T206" i="79"/>
  <c r="R206" i="79" s="1"/>
  <c r="T207" i="79"/>
  <c r="R207" i="79" s="1"/>
  <c r="T210" i="79"/>
  <c r="R210" i="79" s="1"/>
  <c r="T211" i="79"/>
  <c r="R211" i="79" s="1"/>
  <c r="T212" i="79"/>
  <c r="R212" i="79" s="1"/>
  <c r="T213" i="79"/>
  <c r="R213" i="79" s="1"/>
  <c r="T214" i="79"/>
  <c r="R214" i="79" s="1"/>
  <c r="T215" i="79"/>
  <c r="R215" i="79" s="1"/>
  <c r="T218" i="79"/>
  <c r="R218" i="79" s="1"/>
  <c r="T219" i="79"/>
  <c r="R219" i="79" s="1"/>
  <c r="T220" i="79"/>
  <c r="R220" i="79" s="1"/>
  <c r="T221" i="79"/>
  <c r="R221" i="79" s="1"/>
  <c r="T222" i="79"/>
  <c r="R222" i="79" s="1"/>
  <c r="T223" i="79"/>
  <c r="R223" i="79" s="1"/>
  <c r="T226" i="79"/>
  <c r="R226" i="79" s="1"/>
  <c r="T227" i="79"/>
  <c r="R227" i="79" s="1"/>
  <c r="T228" i="79"/>
  <c r="R228" i="79" s="1"/>
  <c r="T229" i="79"/>
  <c r="R229" i="79" s="1"/>
  <c r="T230" i="79"/>
  <c r="R230" i="79" s="1"/>
  <c r="T231" i="79"/>
  <c r="R231" i="79" s="1"/>
  <c r="Y12" i="78"/>
  <c r="Y13" i="78"/>
  <c r="D12" i="78"/>
  <c r="E12" i="78"/>
  <c r="F12" i="78"/>
  <c r="G12" i="78"/>
  <c r="H12" i="78"/>
  <c r="I12" i="78"/>
  <c r="D31" i="78"/>
  <c r="E31" i="78"/>
  <c r="F31" i="78"/>
  <c r="G31" i="78"/>
  <c r="H31" i="78"/>
  <c r="I31" i="78"/>
  <c r="N40" i="78"/>
  <c r="W40" i="78"/>
  <c r="W39" i="78" s="1"/>
  <c r="D34" i="78"/>
  <c r="E34" i="78"/>
  <c r="F34" i="78"/>
  <c r="G34" i="78"/>
  <c r="H34" i="78"/>
  <c r="I34" i="78"/>
  <c r="N71" i="78"/>
  <c r="T72" i="78"/>
  <c r="R72" i="78" s="1"/>
  <c r="T73" i="78"/>
  <c r="R73" i="78" s="1"/>
  <c r="T74" i="78"/>
  <c r="R74" i="78" s="1"/>
  <c r="T75" i="78"/>
  <c r="R75" i="78" s="1"/>
  <c r="T76" i="78"/>
  <c r="R76" i="78" s="1"/>
  <c r="T77" i="78"/>
  <c r="R77" i="78" s="1"/>
  <c r="Z79" i="78"/>
  <c r="Z87" i="78" s="1"/>
  <c r="T80" i="78"/>
  <c r="R80" i="78" s="1"/>
  <c r="T81" i="78"/>
  <c r="R81" i="78" s="1"/>
  <c r="T82" i="78"/>
  <c r="R82" i="78" s="1"/>
  <c r="T83" i="78"/>
  <c r="R83" i="78" s="1"/>
  <c r="T84" i="78"/>
  <c r="R84" i="78" s="1"/>
  <c r="T85" i="78"/>
  <c r="R85" i="78" s="1"/>
  <c r="T88" i="78"/>
  <c r="R88" i="78" s="1"/>
  <c r="T89" i="78"/>
  <c r="R89" i="78" s="1"/>
  <c r="T90" i="78"/>
  <c r="R90" i="78" s="1"/>
  <c r="T91" i="78"/>
  <c r="R91" i="78" s="1"/>
  <c r="T92" i="78"/>
  <c r="R92" i="78" s="1"/>
  <c r="T93" i="78"/>
  <c r="R93" i="78" s="1"/>
  <c r="T96" i="78"/>
  <c r="R96" i="78" s="1"/>
  <c r="T97" i="78"/>
  <c r="R97" i="78" s="1"/>
  <c r="T98" i="78"/>
  <c r="R98" i="78" s="1"/>
  <c r="T99" i="78"/>
  <c r="R99" i="78" s="1"/>
  <c r="T100" i="78"/>
  <c r="R100" i="78" s="1"/>
  <c r="T101" i="78"/>
  <c r="R101" i="78" s="1"/>
  <c r="T104" i="78"/>
  <c r="R104" i="78" s="1"/>
  <c r="T105" i="78"/>
  <c r="R105" i="78" s="1"/>
  <c r="T106" i="78"/>
  <c r="R106" i="78" s="1"/>
  <c r="T107" i="78"/>
  <c r="R107" i="78" s="1"/>
  <c r="T108" i="78"/>
  <c r="R108" i="78" s="1"/>
  <c r="T109" i="78"/>
  <c r="R109" i="78" s="1"/>
  <c r="T112" i="78"/>
  <c r="R112" i="78" s="1"/>
  <c r="T113" i="78"/>
  <c r="R113" i="78" s="1"/>
  <c r="T114" i="78"/>
  <c r="R114" i="78" s="1"/>
  <c r="T115" i="78"/>
  <c r="R115" i="78" s="1"/>
  <c r="T116" i="78"/>
  <c r="R116" i="78" s="1"/>
  <c r="T117" i="78"/>
  <c r="R117" i="78" s="1"/>
  <c r="T120" i="78"/>
  <c r="R120" i="78" s="1"/>
  <c r="T121" i="78"/>
  <c r="R121" i="78" s="1"/>
  <c r="T122" i="78"/>
  <c r="R122" i="78" s="1"/>
  <c r="T123" i="78"/>
  <c r="R123" i="78" s="1"/>
  <c r="T124" i="78"/>
  <c r="R124" i="78" s="1"/>
  <c r="T125" i="78"/>
  <c r="R125" i="78" s="1"/>
  <c r="T128" i="78"/>
  <c r="R128" i="78" s="1"/>
  <c r="T129" i="78"/>
  <c r="R129" i="78" s="1"/>
  <c r="T130" i="78"/>
  <c r="R130" i="78" s="1"/>
  <c r="T131" i="78"/>
  <c r="R131" i="78" s="1"/>
  <c r="T132" i="78"/>
  <c r="R132" i="78" s="1"/>
  <c r="T133" i="78"/>
  <c r="R133" i="78" s="1"/>
  <c r="T136" i="78"/>
  <c r="R136" i="78" s="1"/>
  <c r="T137" i="78"/>
  <c r="R137" i="78" s="1"/>
  <c r="T138" i="78"/>
  <c r="R138" i="78" s="1"/>
  <c r="T139" i="78"/>
  <c r="R139" i="78" s="1"/>
  <c r="T140" i="78"/>
  <c r="R140" i="78" s="1"/>
  <c r="T141" i="78"/>
  <c r="R141" i="78" s="1"/>
  <c r="T144" i="78"/>
  <c r="R144" i="78" s="1"/>
  <c r="T145" i="78"/>
  <c r="R145" i="78" s="1"/>
  <c r="T146" i="78"/>
  <c r="R146" i="78" s="1"/>
  <c r="T147" i="78"/>
  <c r="R147" i="78" s="1"/>
  <c r="T148" i="78"/>
  <c r="R148" i="78" s="1"/>
  <c r="T149" i="78"/>
  <c r="R149" i="78" s="1"/>
  <c r="T152" i="78"/>
  <c r="R152" i="78" s="1"/>
  <c r="T153" i="78"/>
  <c r="R153" i="78" s="1"/>
  <c r="T154" i="78"/>
  <c r="R154" i="78" s="1"/>
  <c r="T155" i="78"/>
  <c r="R155" i="78" s="1"/>
  <c r="T156" i="78"/>
  <c r="R156" i="78" s="1"/>
  <c r="T157" i="78"/>
  <c r="R157" i="78" s="1"/>
  <c r="T160" i="78"/>
  <c r="R160" i="78" s="1"/>
  <c r="T161" i="78"/>
  <c r="R161" i="78" s="1"/>
  <c r="T162" i="78"/>
  <c r="R162" i="78" s="1"/>
  <c r="T163" i="78"/>
  <c r="R163" i="78" s="1"/>
  <c r="T164" i="78"/>
  <c r="R164" i="78" s="1"/>
  <c r="T165" i="78"/>
  <c r="R165" i="78" s="1"/>
  <c r="T168" i="78"/>
  <c r="R168" i="78" s="1"/>
  <c r="T169" i="78"/>
  <c r="R169" i="78" s="1"/>
  <c r="T170" i="78"/>
  <c r="R170" i="78" s="1"/>
  <c r="T171" i="78"/>
  <c r="R171" i="78" s="1"/>
  <c r="T172" i="78"/>
  <c r="R172" i="78" s="1"/>
  <c r="T173" i="78"/>
  <c r="R173" i="78" s="1"/>
  <c r="T176" i="78"/>
  <c r="R176" i="78" s="1"/>
  <c r="T177" i="78"/>
  <c r="R177" i="78" s="1"/>
  <c r="T178" i="78"/>
  <c r="R178" i="78" s="1"/>
  <c r="T179" i="78"/>
  <c r="R179" i="78" s="1"/>
  <c r="T180" i="78"/>
  <c r="R180" i="78" s="1"/>
  <c r="T181" i="78"/>
  <c r="R181" i="78" s="1"/>
  <c r="T184" i="78"/>
  <c r="R184" i="78" s="1"/>
  <c r="T185" i="78"/>
  <c r="R185" i="78" s="1"/>
  <c r="T186" i="78"/>
  <c r="R186" i="78" s="1"/>
  <c r="T187" i="78"/>
  <c r="R187" i="78" s="1"/>
  <c r="T188" i="78"/>
  <c r="R188" i="78" s="1"/>
  <c r="T189" i="78"/>
  <c r="R189" i="78" s="1"/>
  <c r="T192" i="78"/>
  <c r="R192" i="78" s="1"/>
  <c r="T193" i="78"/>
  <c r="R193" i="78" s="1"/>
  <c r="T194" i="78"/>
  <c r="R194" i="78" s="1"/>
  <c r="T195" i="78"/>
  <c r="R195" i="78" s="1"/>
  <c r="T196" i="78"/>
  <c r="R196" i="78" s="1"/>
  <c r="T197" i="78"/>
  <c r="R197" i="78" s="1"/>
  <c r="T200" i="78"/>
  <c r="R200" i="78" s="1"/>
  <c r="T201" i="78"/>
  <c r="R201" i="78" s="1"/>
  <c r="T202" i="78"/>
  <c r="R202" i="78" s="1"/>
  <c r="T203" i="78"/>
  <c r="R203" i="78" s="1"/>
  <c r="T204" i="78"/>
  <c r="R204" i="78" s="1"/>
  <c r="T205" i="78"/>
  <c r="R205" i="78" s="1"/>
  <c r="T208" i="78"/>
  <c r="R208" i="78" s="1"/>
  <c r="T209" i="78"/>
  <c r="R209" i="78" s="1"/>
  <c r="T210" i="78"/>
  <c r="R210" i="78" s="1"/>
  <c r="T211" i="78"/>
  <c r="R211" i="78" s="1"/>
  <c r="T212" i="78"/>
  <c r="R212" i="78" s="1"/>
  <c r="T213" i="78"/>
  <c r="R213" i="78" s="1"/>
  <c r="T216" i="78"/>
  <c r="R216" i="78" s="1"/>
  <c r="T217" i="78"/>
  <c r="R217" i="78" s="1"/>
  <c r="T218" i="78"/>
  <c r="R218" i="78" s="1"/>
  <c r="T219" i="78"/>
  <c r="R219" i="78" s="1"/>
  <c r="T220" i="78"/>
  <c r="R220" i="78" s="1"/>
  <c r="T221" i="78"/>
  <c r="R221" i="78" s="1"/>
  <c r="T224" i="78"/>
  <c r="R224" i="78" s="1"/>
  <c r="T225" i="78"/>
  <c r="R225" i="78" s="1"/>
  <c r="T226" i="78"/>
  <c r="R226" i="78" s="1"/>
  <c r="T227" i="78"/>
  <c r="R227" i="78" s="1"/>
  <c r="T228" i="78"/>
  <c r="R228" i="78" s="1"/>
  <c r="T229" i="78"/>
  <c r="R229" i="78" s="1"/>
  <c r="T232" i="78"/>
  <c r="R232" i="78" s="1"/>
  <c r="T233" i="78"/>
  <c r="R233" i="78" s="1"/>
  <c r="T234" i="78"/>
  <c r="R234" i="78" s="1"/>
  <c r="T235" i="78"/>
  <c r="R235" i="78" s="1"/>
  <c r="T236" i="78"/>
  <c r="R236" i="78" s="1"/>
  <c r="T237" i="78"/>
  <c r="R237" i="78" s="1"/>
  <c r="T240" i="78"/>
  <c r="R240" i="78" s="1"/>
  <c r="T241" i="78"/>
  <c r="R241" i="78" s="1"/>
  <c r="T242" i="78"/>
  <c r="R242" i="78" s="1"/>
  <c r="T243" i="78"/>
  <c r="R243" i="78" s="1"/>
  <c r="T244" i="78"/>
  <c r="R244" i="78" s="1"/>
  <c r="T245" i="78"/>
  <c r="R245" i="78" s="1"/>
  <c r="T248" i="78"/>
  <c r="R248" i="78" s="1"/>
  <c r="T249" i="78"/>
  <c r="R249" i="78" s="1"/>
  <c r="T250" i="78"/>
  <c r="R250" i="78" s="1"/>
  <c r="T251" i="78"/>
  <c r="R251" i="78" s="1"/>
  <c r="T252" i="78"/>
  <c r="R252" i="78" s="1"/>
  <c r="T253" i="78"/>
  <c r="R253" i="78" s="1"/>
  <c r="Y15" i="77"/>
  <c r="Y16" i="77"/>
  <c r="D15" i="77"/>
  <c r="E15" i="77"/>
  <c r="F15" i="77"/>
  <c r="G15" i="77"/>
  <c r="H15" i="77"/>
  <c r="I15" i="77"/>
  <c r="D33" i="77"/>
  <c r="E33" i="77"/>
  <c r="F33" i="77"/>
  <c r="G33" i="77"/>
  <c r="H33" i="77"/>
  <c r="I33" i="77"/>
  <c r="D36" i="77"/>
  <c r="E36" i="77"/>
  <c r="F36" i="77"/>
  <c r="G36" i="77"/>
  <c r="H36" i="77"/>
  <c r="I36" i="77"/>
  <c r="N42" i="77"/>
  <c r="W42" i="77"/>
  <c r="W41" i="77" s="1"/>
  <c r="N73" i="77"/>
  <c r="T74" i="77"/>
  <c r="R74" i="77" s="1"/>
  <c r="T75" i="77"/>
  <c r="R75" i="77" s="1"/>
  <c r="T76" i="77"/>
  <c r="R76" i="77" s="1"/>
  <c r="T77" i="77"/>
  <c r="R77" i="77" s="1"/>
  <c r="T78" i="77"/>
  <c r="R78" i="77" s="1"/>
  <c r="T79" i="77"/>
  <c r="R79" i="77" s="1"/>
  <c r="Z81" i="77"/>
  <c r="N81" i="77" s="1"/>
  <c r="T82" i="77"/>
  <c r="R82" i="77" s="1"/>
  <c r="T83" i="77"/>
  <c r="R83" i="77" s="1"/>
  <c r="T84" i="77"/>
  <c r="R84" i="77" s="1"/>
  <c r="T85" i="77"/>
  <c r="R85" i="77" s="1"/>
  <c r="T86" i="77"/>
  <c r="R86" i="77" s="1"/>
  <c r="T87" i="77"/>
  <c r="R87" i="77" s="1"/>
  <c r="T90" i="77"/>
  <c r="R90" i="77" s="1"/>
  <c r="T91" i="77"/>
  <c r="R91" i="77" s="1"/>
  <c r="T92" i="77"/>
  <c r="R92" i="77" s="1"/>
  <c r="T93" i="77"/>
  <c r="R93" i="77" s="1"/>
  <c r="T94" i="77"/>
  <c r="R94" i="77" s="1"/>
  <c r="T95" i="77"/>
  <c r="R95" i="77" s="1"/>
  <c r="T98" i="77"/>
  <c r="R98" i="77" s="1"/>
  <c r="T99" i="77"/>
  <c r="R99" i="77" s="1"/>
  <c r="T100" i="77"/>
  <c r="R100" i="77" s="1"/>
  <c r="T101" i="77"/>
  <c r="R101" i="77" s="1"/>
  <c r="T102" i="77"/>
  <c r="R102" i="77" s="1"/>
  <c r="T103" i="77"/>
  <c r="R103" i="77" s="1"/>
  <c r="T106" i="77"/>
  <c r="R106" i="77" s="1"/>
  <c r="T107" i="77"/>
  <c r="R107" i="77" s="1"/>
  <c r="T108" i="77"/>
  <c r="R108" i="77" s="1"/>
  <c r="T109" i="77"/>
  <c r="R109" i="77" s="1"/>
  <c r="T110" i="77"/>
  <c r="R110" i="77" s="1"/>
  <c r="T111" i="77"/>
  <c r="R111" i="77" s="1"/>
  <c r="T114" i="77"/>
  <c r="R114" i="77" s="1"/>
  <c r="T115" i="77"/>
  <c r="R115" i="77" s="1"/>
  <c r="T116" i="77"/>
  <c r="R116" i="77" s="1"/>
  <c r="T117" i="77"/>
  <c r="R117" i="77" s="1"/>
  <c r="T118" i="77"/>
  <c r="R118" i="77" s="1"/>
  <c r="T119" i="77"/>
  <c r="R119" i="77" s="1"/>
  <c r="T122" i="77"/>
  <c r="R122" i="77" s="1"/>
  <c r="T123" i="77"/>
  <c r="R123" i="77" s="1"/>
  <c r="T124" i="77"/>
  <c r="R124" i="77" s="1"/>
  <c r="T125" i="77"/>
  <c r="R125" i="77" s="1"/>
  <c r="T126" i="77"/>
  <c r="R126" i="77" s="1"/>
  <c r="T127" i="77"/>
  <c r="R127" i="77" s="1"/>
  <c r="T130" i="77"/>
  <c r="R130" i="77" s="1"/>
  <c r="T131" i="77"/>
  <c r="R131" i="77" s="1"/>
  <c r="T132" i="77"/>
  <c r="R132" i="77" s="1"/>
  <c r="T133" i="77"/>
  <c r="R133" i="77" s="1"/>
  <c r="T134" i="77"/>
  <c r="R134" i="77" s="1"/>
  <c r="T135" i="77"/>
  <c r="R135" i="77" s="1"/>
  <c r="T138" i="77"/>
  <c r="R138" i="77" s="1"/>
  <c r="T139" i="77"/>
  <c r="R139" i="77" s="1"/>
  <c r="T140" i="77"/>
  <c r="R140" i="77" s="1"/>
  <c r="T141" i="77"/>
  <c r="R141" i="77" s="1"/>
  <c r="T142" i="77"/>
  <c r="R142" i="77" s="1"/>
  <c r="T143" i="77"/>
  <c r="R143" i="77" s="1"/>
  <c r="T146" i="77"/>
  <c r="R146" i="77" s="1"/>
  <c r="T147" i="77"/>
  <c r="R147" i="77" s="1"/>
  <c r="T148" i="77"/>
  <c r="R148" i="77" s="1"/>
  <c r="T149" i="77"/>
  <c r="R149" i="77" s="1"/>
  <c r="T150" i="77"/>
  <c r="R150" i="77" s="1"/>
  <c r="T151" i="77"/>
  <c r="R151" i="77" s="1"/>
  <c r="T154" i="77"/>
  <c r="R154" i="77" s="1"/>
  <c r="T155" i="77"/>
  <c r="R155" i="77" s="1"/>
  <c r="T156" i="77"/>
  <c r="R156" i="77" s="1"/>
  <c r="T157" i="77"/>
  <c r="R157" i="77" s="1"/>
  <c r="T158" i="77"/>
  <c r="R158" i="77" s="1"/>
  <c r="T159" i="77"/>
  <c r="R159" i="77" s="1"/>
  <c r="T162" i="77"/>
  <c r="R162" i="77" s="1"/>
  <c r="T163" i="77"/>
  <c r="R163" i="77" s="1"/>
  <c r="T164" i="77"/>
  <c r="R164" i="77" s="1"/>
  <c r="T165" i="77"/>
  <c r="R165" i="77" s="1"/>
  <c r="T166" i="77"/>
  <c r="R166" i="77" s="1"/>
  <c r="T167" i="77"/>
  <c r="R167" i="77" s="1"/>
  <c r="T170" i="77"/>
  <c r="R170" i="77" s="1"/>
  <c r="T171" i="77"/>
  <c r="R171" i="77" s="1"/>
  <c r="T172" i="77"/>
  <c r="R172" i="77" s="1"/>
  <c r="T173" i="77"/>
  <c r="R173" i="77" s="1"/>
  <c r="T174" i="77"/>
  <c r="R174" i="77" s="1"/>
  <c r="T175" i="77"/>
  <c r="R175" i="77" s="1"/>
  <c r="T178" i="77"/>
  <c r="R178" i="77" s="1"/>
  <c r="T179" i="77"/>
  <c r="R179" i="77" s="1"/>
  <c r="T180" i="77"/>
  <c r="R180" i="77" s="1"/>
  <c r="T181" i="77"/>
  <c r="R181" i="77" s="1"/>
  <c r="T182" i="77"/>
  <c r="R182" i="77" s="1"/>
  <c r="T183" i="77"/>
  <c r="R183" i="77" s="1"/>
  <c r="T186" i="77"/>
  <c r="R186" i="77" s="1"/>
  <c r="T187" i="77"/>
  <c r="R187" i="77" s="1"/>
  <c r="T188" i="77"/>
  <c r="R188" i="77" s="1"/>
  <c r="T189" i="77"/>
  <c r="R189" i="77" s="1"/>
  <c r="T190" i="77"/>
  <c r="R190" i="77" s="1"/>
  <c r="T191" i="77"/>
  <c r="R191" i="77" s="1"/>
  <c r="T194" i="77"/>
  <c r="R194" i="77" s="1"/>
  <c r="T195" i="77"/>
  <c r="R195" i="77" s="1"/>
  <c r="T196" i="77"/>
  <c r="R196" i="77" s="1"/>
  <c r="T197" i="77"/>
  <c r="R197" i="77" s="1"/>
  <c r="T198" i="77"/>
  <c r="R198" i="77" s="1"/>
  <c r="T199" i="77"/>
  <c r="R199" i="77" s="1"/>
  <c r="T202" i="77"/>
  <c r="R202" i="77" s="1"/>
  <c r="T203" i="77"/>
  <c r="R203" i="77" s="1"/>
  <c r="T204" i="77"/>
  <c r="R204" i="77" s="1"/>
  <c r="T205" i="77"/>
  <c r="R205" i="77" s="1"/>
  <c r="T206" i="77"/>
  <c r="R206" i="77" s="1"/>
  <c r="T207" i="77"/>
  <c r="R207" i="77" s="1"/>
  <c r="T210" i="77"/>
  <c r="R210" i="77" s="1"/>
  <c r="T211" i="77"/>
  <c r="R211" i="77" s="1"/>
  <c r="T212" i="77"/>
  <c r="R212" i="77" s="1"/>
  <c r="T213" i="77"/>
  <c r="R213" i="77" s="1"/>
  <c r="T214" i="77"/>
  <c r="R214" i="77" s="1"/>
  <c r="T215" i="77"/>
  <c r="R215" i="77" s="1"/>
  <c r="T218" i="77"/>
  <c r="R218" i="77" s="1"/>
  <c r="T219" i="77"/>
  <c r="R219" i="77" s="1"/>
  <c r="T220" i="77"/>
  <c r="R220" i="77" s="1"/>
  <c r="T221" i="77"/>
  <c r="R221" i="77" s="1"/>
  <c r="T222" i="77"/>
  <c r="R222" i="77" s="1"/>
  <c r="T223" i="77"/>
  <c r="R223" i="77" s="1"/>
  <c r="T226" i="77"/>
  <c r="R226" i="77" s="1"/>
  <c r="T227" i="77"/>
  <c r="R227" i="77" s="1"/>
  <c r="T228" i="77"/>
  <c r="R228" i="77" s="1"/>
  <c r="T229" i="77"/>
  <c r="R229" i="77" s="1"/>
  <c r="T230" i="77"/>
  <c r="R230" i="77" s="1"/>
  <c r="T231" i="77"/>
  <c r="R231" i="77" s="1"/>
  <c r="T234" i="77"/>
  <c r="R234" i="77" s="1"/>
  <c r="T235" i="77"/>
  <c r="R235" i="77" s="1"/>
  <c r="T236" i="77"/>
  <c r="R236" i="77" s="1"/>
  <c r="T237" i="77"/>
  <c r="R237" i="77" s="1"/>
  <c r="T238" i="77"/>
  <c r="R238" i="77" s="1"/>
  <c r="T239" i="77"/>
  <c r="R239" i="77" s="1"/>
  <c r="T242" i="77"/>
  <c r="R242" i="77" s="1"/>
  <c r="T243" i="77"/>
  <c r="R243" i="77" s="1"/>
  <c r="T244" i="77"/>
  <c r="R244" i="77" s="1"/>
  <c r="T245" i="77"/>
  <c r="R245" i="77" s="1"/>
  <c r="T246" i="77"/>
  <c r="R246" i="77" s="1"/>
  <c r="T247" i="77"/>
  <c r="R247" i="77" s="1"/>
  <c r="G6" i="36"/>
  <c r="L24" i="36" s="1" a="1"/>
  <c r="AE20" i="36"/>
  <c r="AE21" i="36"/>
  <c r="F27" i="36"/>
  <c r="G27" i="36"/>
  <c r="H27" i="36"/>
  <c r="I27" i="36"/>
  <c r="J27" i="36"/>
  <c r="K27" i="36"/>
  <c r="F44" i="36"/>
  <c r="G44" i="36"/>
  <c r="H44" i="36"/>
  <c r="I44" i="36"/>
  <c r="J44" i="36"/>
  <c r="K44" i="36"/>
  <c r="F47" i="36"/>
  <c r="G47" i="36"/>
  <c r="H47" i="36"/>
  <c r="I47" i="36"/>
  <c r="J47" i="36"/>
  <c r="K47" i="36"/>
  <c r="T53" i="36"/>
  <c r="AC53" i="36"/>
  <c r="AC52" i="36" s="1"/>
  <c r="T64" i="36"/>
  <c r="Z65" i="36"/>
  <c r="X65" i="36" s="1"/>
  <c r="Z66" i="36"/>
  <c r="X66" i="36" s="1"/>
  <c r="Z67" i="36"/>
  <c r="X67" i="36" s="1"/>
  <c r="Z68" i="36"/>
  <c r="X68" i="36" s="1"/>
  <c r="Z69" i="36"/>
  <c r="X69" i="36" s="1"/>
  <c r="Z70" i="36"/>
  <c r="X70" i="36" s="1"/>
  <c r="AF72" i="36"/>
  <c r="Z73" i="36"/>
  <c r="X73" i="36" s="1"/>
  <c r="Z74" i="36"/>
  <c r="X74" i="36" s="1"/>
  <c r="Z75" i="36"/>
  <c r="X75" i="36" s="1"/>
  <c r="Z76" i="36"/>
  <c r="X76" i="36" s="1"/>
  <c r="Z77" i="36"/>
  <c r="X77" i="36" s="1"/>
  <c r="Z78" i="36"/>
  <c r="X78" i="36" s="1"/>
  <c r="Z81" i="36"/>
  <c r="X81" i="36" s="1"/>
  <c r="Z82" i="36"/>
  <c r="X82" i="36" s="1"/>
  <c r="Z83" i="36"/>
  <c r="X83" i="36" s="1"/>
  <c r="Z84" i="36"/>
  <c r="X84" i="36" s="1"/>
  <c r="Z85" i="36"/>
  <c r="X85" i="36" s="1"/>
  <c r="Z86" i="36"/>
  <c r="X86" i="36" s="1"/>
  <c r="Z89" i="36"/>
  <c r="X89" i="36" s="1"/>
  <c r="Z90" i="36"/>
  <c r="X90" i="36" s="1"/>
  <c r="Z91" i="36"/>
  <c r="X91" i="36" s="1"/>
  <c r="Z92" i="36"/>
  <c r="X92" i="36" s="1"/>
  <c r="Z93" i="36"/>
  <c r="X93" i="36" s="1"/>
  <c r="Z94" i="36"/>
  <c r="X94" i="36" s="1"/>
  <c r="Z97" i="36"/>
  <c r="X97" i="36" s="1"/>
  <c r="Z98" i="36"/>
  <c r="X98" i="36" s="1"/>
  <c r="Z99" i="36"/>
  <c r="X99" i="36" s="1"/>
  <c r="Z100" i="36"/>
  <c r="X100" i="36" s="1"/>
  <c r="Z101" i="36"/>
  <c r="X101" i="36" s="1"/>
  <c r="Z102" i="36"/>
  <c r="X102" i="36" s="1"/>
  <c r="Z105" i="36"/>
  <c r="X105" i="36" s="1"/>
  <c r="Z106" i="36"/>
  <c r="X106" i="36" s="1"/>
  <c r="Z107" i="36"/>
  <c r="X107" i="36" s="1"/>
  <c r="Z108" i="36"/>
  <c r="X108" i="36" s="1"/>
  <c r="Z109" i="36"/>
  <c r="X109" i="36" s="1"/>
  <c r="Z110" i="36"/>
  <c r="X110" i="36" s="1"/>
  <c r="Z113" i="36"/>
  <c r="X113" i="36" s="1"/>
  <c r="Z114" i="36"/>
  <c r="X114" i="36" s="1"/>
  <c r="Z115" i="36"/>
  <c r="X115" i="36" s="1"/>
  <c r="Z116" i="36"/>
  <c r="X116" i="36" s="1"/>
  <c r="Z117" i="36"/>
  <c r="X117" i="36" s="1"/>
  <c r="Z118" i="36"/>
  <c r="X118" i="36" s="1"/>
  <c r="Z121" i="36"/>
  <c r="X121" i="36" s="1"/>
  <c r="Z122" i="36"/>
  <c r="X122" i="36" s="1"/>
  <c r="Z123" i="36"/>
  <c r="X123" i="36" s="1"/>
  <c r="Z124" i="36"/>
  <c r="X124" i="36" s="1"/>
  <c r="Z125" i="36"/>
  <c r="X125" i="36" s="1"/>
  <c r="Z126" i="36"/>
  <c r="X126" i="36" s="1"/>
  <c r="Z129" i="36"/>
  <c r="X129" i="36" s="1"/>
  <c r="Z130" i="36"/>
  <c r="X130" i="36" s="1"/>
  <c r="Z131" i="36"/>
  <c r="X131" i="36" s="1"/>
  <c r="Z132" i="36"/>
  <c r="X132" i="36" s="1"/>
  <c r="Z133" i="36"/>
  <c r="X133" i="36" s="1"/>
  <c r="Z134" i="36"/>
  <c r="X134" i="36" s="1"/>
  <c r="Z137" i="36"/>
  <c r="X137" i="36" s="1"/>
  <c r="Z138" i="36"/>
  <c r="X138" i="36" s="1"/>
  <c r="Z139" i="36"/>
  <c r="X139" i="36" s="1"/>
  <c r="Z140" i="36"/>
  <c r="X140" i="36" s="1"/>
  <c r="Z141" i="36"/>
  <c r="X141" i="36" s="1"/>
  <c r="Z142" i="36"/>
  <c r="X142" i="36" s="1"/>
  <c r="Z145" i="36"/>
  <c r="X145" i="36" s="1"/>
  <c r="Z146" i="36"/>
  <c r="X146" i="36" s="1"/>
  <c r="Z147" i="36"/>
  <c r="X147" i="36" s="1"/>
  <c r="Z148" i="36"/>
  <c r="X148" i="36" s="1"/>
  <c r="Z149" i="36"/>
  <c r="X149" i="36" s="1"/>
  <c r="Z150" i="36"/>
  <c r="X150" i="36" s="1"/>
  <c r="Z153" i="36"/>
  <c r="X153" i="36" s="1"/>
  <c r="Z154" i="36"/>
  <c r="X154" i="36" s="1"/>
  <c r="Z155" i="36"/>
  <c r="X155" i="36" s="1"/>
  <c r="Z156" i="36"/>
  <c r="X156" i="36" s="1"/>
  <c r="Z157" i="36"/>
  <c r="X157" i="36" s="1"/>
  <c r="Z158" i="36"/>
  <c r="X158" i="36" s="1"/>
  <c r="Z161" i="36"/>
  <c r="X161" i="36" s="1"/>
  <c r="Z162" i="36"/>
  <c r="X162" i="36" s="1"/>
  <c r="Z163" i="36"/>
  <c r="X163" i="36" s="1"/>
  <c r="Z164" i="36"/>
  <c r="X164" i="36" s="1"/>
  <c r="Z165" i="36"/>
  <c r="X165" i="36" s="1"/>
  <c r="Z166" i="36"/>
  <c r="X166" i="36" s="1"/>
  <c r="Z169" i="36"/>
  <c r="X169" i="36" s="1"/>
  <c r="Z170" i="36"/>
  <c r="X170" i="36" s="1"/>
  <c r="Z171" i="36"/>
  <c r="X171" i="36" s="1"/>
  <c r="Z172" i="36"/>
  <c r="X172" i="36" s="1"/>
  <c r="Z173" i="36"/>
  <c r="X173" i="36" s="1"/>
  <c r="Z174" i="36"/>
  <c r="X174" i="36" s="1"/>
  <c r="Z177" i="36"/>
  <c r="X177" i="36" s="1"/>
  <c r="Z178" i="36"/>
  <c r="X178" i="36" s="1"/>
  <c r="Z179" i="36"/>
  <c r="X179" i="36" s="1"/>
  <c r="Z180" i="36"/>
  <c r="X180" i="36" s="1"/>
  <c r="Z181" i="36"/>
  <c r="X181" i="36" s="1"/>
  <c r="Z182" i="36"/>
  <c r="X182" i="36" s="1"/>
  <c r="Z185" i="36"/>
  <c r="X185" i="36" s="1"/>
  <c r="Z186" i="36"/>
  <c r="X186" i="36" s="1"/>
  <c r="Z187" i="36"/>
  <c r="X187" i="36" s="1"/>
  <c r="Z188" i="36"/>
  <c r="X188" i="36" s="1"/>
  <c r="Z189" i="36"/>
  <c r="X189" i="36" s="1"/>
  <c r="Z190" i="36"/>
  <c r="X190" i="36" s="1"/>
  <c r="Z193" i="36"/>
  <c r="X193" i="36" s="1"/>
  <c r="Z194" i="36"/>
  <c r="X194" i="36" s="1"/>
  <c r="Z195" i="36"/>
  <c r="X195" i="36" s="1"/>
  <c r="Z196" i="36"/>
  <c r="X196" i="36" s="1"/>
  <c r="Z197" i="36"/>
  <c r="X197" i="36" s="1"/>
  <c r="Z198" i="36"/>
  <c r="X198" i="36" s="1"/>
  <c r="Z201" i="36"/>
  <c r="X201" i="36" s="1"/>
  <c r="Z202" i="36"/>
  <c r="X202" i="36" s="1"/>
  <c r="Z203" i="36"/>
  <c r="X203" i="36" s="1"/>
  <c r="Z204" i="36"/>
  <c r="X204" i="36" s="1"/>
  <c r="Z205" i="36"/>
  <c r="X205" i="36" s="1"/>
  <c r="Z206" i="36"/>
  <c r="X206" i="36" s="1"/>
  <c r="Z209" i="36"/>
  <c r="X209" i="36" s="1"/>
  <c r="Z210" i="36"/>
  <c r="X210" i="36" s="1"/>
  <c r="Z211" i="36"/>
  <c r="X211" i="36" s="1"/>
  <c r="Z212" i="36"/>
  <c r="X212" i="36" s="1"/>
  <c r="Z213" i="36"/>
  <c r="X213" i="36" s="1"/>
  <c r="Z214" i="36"/>
  <c r="X214" i="36" s="1"/>
  <c r="Z217" i="36"/>
  <c r="X217" i="36" s="1"/>
  <c r="Z218" i="36"/>
  <c r="X218" i="36" s="1"/>
  <c r="Z219" i="36"/>
  <c r="X219" i="36" s="1"/>
  <c r="Z220" i="36"/>
  <c r="X220" i="36" s="1"/>
  <c r="Z221" i="36"/>
  <c r="X221" i="36" s="1"/>
  <c r="Z222" i="36"/>
  <c r="X222" i="36" s="1"/>
  <c r="Z225" i="36"/>
  <c r="X225" i="36" s="1"/>
  <c r="Z226" i="36"/>
  <c r="X226" i="36" s="1"/>
  <c r="Z227" i="36"/>
  <c r="X227" i="36" s="1"/>
  <c r="Z228" i="36"/>
  <c r="X228" i="36" s="1"/>
  <c r="Z229" i="36"/>
  <c r="X229" i="36" s="1"/>
  <c r="Z230" i="36"/>
  <c r="X230" i="36" s="1"/>
  <c r="F4" i="76"/>
  <c r="D5" i="76"/>
  <c r="D14" i="76"/>
  <c r="E14" i="76"/>
  <c r="F14" i="76"/>
  <c r="G14" i="76"/>
  <c r="H14" i="76"/>
  <c r="I14" i="76"/>
  <c r="Y14" i="76"/>
  <c r="Y15" i="76"/>
  <c r="D17" i="76"/>
  <c r="E17" i="76"/>
  <c r="F17" i="76"/>
  <c r="G17" i="76"/>
  <c r="H17" i="76"/>
  <c r="I17" i="76"/>
  <c r="D29" i="76"/>
  <c r="E29" i="76"/>
  <c r="F29" i="76"/>
  <c r="G29" i="76"/>
  <c r="H29" i="76"/>
  <c r="I29" i="76"/>
  <c r="D32" i="76"/>
  <c r="E32" i="76"/>
  <c r="F32" i="76"/>
  <c r="G32" i="76"/>
  <c r="H32" i="76"/>
  <c r="I32" i="76"/>
  <c r="N38" i="76"/>
  <c r="W38" i="76"/>
  <c r="W37" i="76" s="1"/>
  <c r="N69" i="76"/>
  <c r="T70" i="76"/>
  <c r="R70" i="76" s="1"/>
  <c r="T71" i="76"/>
  <c r="R71" i="76" s="1"/>
  <c r="T72" i="76"/>
  <c r="R72" i="76" s="1"/>
  <c r="T73" i="76"/>
  <c r="R73" i="76" s="1"/>
  <c r="T74" i="76"/>
  <c r="R74" i="76" s="1"/>
  <c r="T75" i="76"/>
  <c r="R75" i="76" s="1"/>
  <c r="Z77" i="76"/>
  <c r="Z85" i="76" s="1"/>
  <c r="Z93" i="76" s="1"/>
  <c r="T78" i="76"/>
  <c r="R78" i="76" s="1"/>
  <c r="T79" i="76"/>
  <c r="R79" i="76" s="1"/>
  <c r="T80" i="76"/>
  <c r="R80" i="76" s="1"/>
  <c r="T81" i="76"/>
  <c r="R81" i="76" s="1"/>
  <c r="T82" i="76"/>
  <c r="R82" i="76" s="1"/>
  <c r="T83" i="76"/>
  <c r="R83" i="76" s="1"/>
  <c r="T86" i="76"/>
  <c r="R86" i="76" s="1"/>
  <c r="T87" i="76"/>
  <c r="R87" i="76" s="1"/>
  <c r="T88" i="76"/>
  <c r="R88" i="76" s="1"/>
  <c r="T89" i="76"/>
  <c r="R89" i="76" s="1"/>
  <c r="T90" i="76"/>
  <c r="R90" i="76" s="1"/>
  <c r="T91" i="76"/>
  <c r="R91" i="76" s="1"/>
  <c r="T94" i="76"/>
  <c r="R94" i="76" s="1"/>
  <c r="T95" i="76"/>
  <c r="R95" i="76" s="1"/>
  <c r="T96" i="76"/>
  <c r="R96" i="76" s="1"/>
  <c r="T97" i="76"/>
  <c r="R97" i="76" s="1"/>
  <c r="T98" i="76"/>
  <c r="R98" i="76" s="1"/>
  <c r="T99" i="76"/>
  <c r="R99" i="76" s="1"/>
  <c r="T102" i="76"/>
  <c r="R102" i="76" s="1"/>
  <c r="T103" i="76"/>
  <c r="R103" i="76" s="1"/>
  <c r="T104" i="76"/>
  <c r="R104" i="76" s="1"/>
  <c r="T105" i="76"/>
  <c r="R105" i="76" s="1"/>
  <c r="T106" i="76"/>
  <c r="R106" i="76" s="1"/>
  <c r="T107" i="76"/>
  <c r="R107" i="76" s="1"/>
  <c r="T110" i="76"/>
  <c r="R110" i="76" s="1"/>
  <c r="T111" i="76"/>
  <c r="R111" i="76" s="1"/>
  <c r="T112" i="76"/>
  <c r="R112" i="76" s="1"/>
  <c r="T113" i="76"/>
  <c r="R113" i="76" s="1"/>
  <c r="T114" i="76"/>
  <c r="R114" i="76" s="1"/>
  <c r="T115" i="76"/>
  <c r="R115" i="76" s="1"/>
  <c r="T118" i="76"/>
  <c r="R118" i="76" s="1"/>
  <c r="T119" i="76"/>
  <c r="R119" i="76" s="1"/>
  <c r="T120" i="76"/>
  <c r="R120" i="76" s="1"/>
  <c r="T121" i="76"/>
  <c r="R121" i="76" s="1"/>
  <c r="T122" i="76"/>
  <c r="R122" i="76" s="1"/>
  <c r="T123" i="76"/>
  <c r="R123" i="76" s="1"/>
  <c r="T126" i="76"/>
  <c r="R126" i="76" s="1"/>
  <c r="T127" i="76"/>
  <c r="R127" i="76" s="1"/>
  <c r="T128" i="76"/>
  <c r="R128" i="76" s="1"/>
  <c r="T129" i="76"/>
  <c r="R129" i="76" s="1"/>
  <c r="T130" i="76"/>
  <c r="R130" i="76" s="1"/>
  <c r="T131" i="76"/>
  <c r="R131" i="76" s="1"/>
  <c r="T134" i="76"/>
  <c r="R134" i="76" s="1"/>
  <c r="T135" i="76"/>
  <c r="R135" i="76" s="1"/>
  <c r="T136" i="76"/>
  <c r="R136" i="76" s="1"/>
  <c r="T137" i="76"/>
  <c r="R137" i="76" s="1"/>
  <c r="T138" i="76"/>
  <c r="R138" i="76" s="1"/>
  <c r="T139" i="76"/>
  <c r="R139" i="76" s="1"/>
  <c r="T142" i="76"/>
  <c r="R142" i="76" s="1"/>
  <c r="T143" i="76"/>
  <c r="R143" i="76" s="1"/>
  <c r="T144" i="76"/>
  <c r="R144" i="76" s="1"/>
  <c r="T145" i="76"/>
  <c r="R145" i="76" s="1"/>
  <c r="T146" i="76"/>
  <c r="R146" i="76" s="1"/>
  <c r="T147" i="76"/>
  <c r="R147" i="76" s="1"/>
  <c r="T150" i="76"/>
  <c r="R150" i="76" s="1"/>
  <c r="T151" i="76"/>
  <c r="R151" i="76" s="1"/>
  <c r="T152" i="76"/>
  <c r="R152" i="76" s="1"/>
  <c r="T153" i="76"/>
  <c r="R153" i="76" s="1"/>
  <c r="T154" i="76"/>
  <c r="R154" i="76" s="1"/>
  <c r="T155" i="76"/>
  <c r="R155" i="76" s="1"/>
  <c r="T158" i="76"/>
  <c r="R158" i="76" s="1"/>
  <c r="T159" i="76"/>
  <c r="R159" i="76" s="1"/>
  <c r="T160" i="76"/>
  <c r="R160" i="76" s="1"/>
  <c r="T161" i="76"/>
  <c r="R161" i="76" s="1"/>
  <c r="T162" i="76"/>
  <c r="R162" i="76" s="1"/>
  <c r="T163" i="76"/>
  <c r="R163" i="76" s="1"/>
  <c r="T166" i="76"/>
  <c r="R166" i="76" s="1"/>
  <c r="T167" i="76"/>
  <c r="R167" i="76" s="1"/>
  <c r="T168" i="76"/>
  <c r="R168" i="76" s="1"/>
  <c r="T169" i="76"/>
  <c r="R169" i="76" s="1"/>
  <c r="T170" i="76"/>
  <c r="R170" i="76" s="1"/>
  <c r="T171" i="76"/>
  <c r="R171" i="76" s="1"/>
  <c r="T174" i="76"/>
  <c r="R174" i="76" s="1"/>
  <c r="T175" i="76"/>
  <c r="R175" i="76" s="1"/>
  <c r="T176" i="76"/>
  <c r="R176" i="76" s="1"/>
  <c r="T177" i="76"/>
  <c r="R177" i="76" s="1"/>
  <c r="T178" i="76"/>
  <c r="R178" i="76" s="1"/>
  <c r="T179" i="76"/>
  <c r="R179" i="76" s="1"/>
  <c r="T182" i="76"/>
  <c r="R182" i="76" s="1"/>
  <c r="T183" i="76"/>
  <c r="R183" i="76" s="1"/>
  <c r="T184" i="76"/>
  <c r="R184" i="76" s="1"/>
  <c r="T185" i="76"/>
  <c r="R185" i="76" s="1"/>
  <c r="T186" i="76"/>
  <c r="R186" i="76" s="1"/>
  <c r="T187" i="76"/>
  <c r="R187" i="76" s="1"/>
  <c r="T190" i="76"/>
  <c r="R190" i="76" s="1"/>
  <c r="T191" i="76"/>
  <c r="R191" i="76" s="1"/>
  <c r="T192" i="76"/>
  <c r="R192" i="76" s="1"/>
  <c r="T193" i="76"/>
  <c r="R193" i="76" s="1"/>
  <c r="T194" i="76"/>
  <c r="R194" i="76" s="1"/>
  <c r="T195" i="76"/>
  <c r="R195" i="76" s="1"/>
  <c r="T198" i="76"/>
  <c r="R198" i="76" s="1"/>
  <c r="T199" i="76"/>
  <c r="R199" i="76" s="1"/>
  <c r="T200" i="76"/>
  <c r="R200" i="76" s="1"/>
  <c r="T201" i="76"/>
  <c r="R201" i="76" s="1"/>
  <c r="T202" i="76"/>
  <c r="R202" i="76" s="1"/>
  <c r="T203" i="76"/>
  <c r="R203" i="76" s="1"/>
  <c r="F4" i="75"/>
  <c r="D5" i="75"/>
  <c r="D51" i="75" s="1" a="1"/>
  <c r="D13" i="75"/>
  <c r="E13" i="75"/>
  <c r="F13" i="75"/>
  <c r="G13" i="75"/>
  <c r="H13" i="75"/>
  <c r="I13" i="75"/>
  <c r="Y14" i="75"/>
  <c r="Y15" i="75"/>
  <c r="Y16" i="75"/>
  <c r="D17" i="75"/>
  <c r="E17" i="75"/>
  <c r="F17" i="75"/>
  <c r="G17" i="75"/>
  <c r="H17" i="75"/>
  <c r="I17" i="75"/>
  <c r="Y17" i="75"/>
  <c r="Y18" i="75"/>
  <c r="Y19" i="75"/>
  <c r="D20" i="75"/>
  <c r="E20" i="75"/>
  <c r="F20" i="75"/>
  <c r="G20" i="75"/>
  <c r="H20" i="75"/>
  <c r="I20" i="75"/>
  <c r="Y20" i="75"/>
  <c r="Y21" i="75"/>
  <c r="Y22" i="75"/>
  <c r="Y23" i="75"/>
  <c r="D24" i="75"/>
  <c r="E24" i="75"/>
  <c r="F24" i="75"/>
  <c r="G24" i="75"/>
  <c r="H24" i="75"/>
  <c r="I24" i="75"/>
  <c r="Y24" i="75"/>
  <c r="Y25" i="75"/>
  <c r="Y26" i="75"/>
  <c r="Y27" i="75"/>
  <c r="Y28" i="75"/>
  <c r="Y29" i="75"/>
  <c r="D30" i="75"/>
  <c r="E30" i="75"/>
  <c r="F30" i="75"/>
  <c r="G30" i="75"/>
  <c r="H30" i="75"/>
  <c r="I30" i="75"/>
  <c r="Y30" i="75"/>
  <c r="Y31" i="75"/>
  <c r="Y32" i="75"/>
  <c r="Y33" i="75"/>
  <c r="D33" i="75"/>
  <c r="E33" i="75"/>
  <c r="F33" i="75"/>
  <c r="G33" i="75"/>
  <c r="H33" i="75"/>
  <c r="I33" i="75"/>
  <c r="Y34" i="75"/>
  <c r="Y35" i="75"/>
  <c r="Y36" i="75"/>
  <c r="Y37" i="75"/>
  <c r="N40" i="75"/>
  <c r="W40" i="75"/>
  <c r="W39" i="75" s="1"/>
  <c r="N51" i="75"/>
  <c r="T52" i="75"/>
  <c r="R52" i="75" s="1"/>
  <c r="T53" i="75"/>
  <c r="R53" i="75" s="1"/>
  <c r="T54" i="75"/>
  <c r="R54" i="75" s="1"/>
  <c r="T55" i="75"/>
  <c r="R55" i="75" s="1"/>
  <c r="T56" i="75"/>
  <c r="R56" i="75" s="1"/>
  <c r="T57" i="75"/>
  <c r="R57" i="75" s="1"/>
  <c r="Z59" i="75"/>
  <c r="N59" i="75" s="1"/>
  <c r="T60" i="75"/>
  <c r="R60" i="75" s="1"/>
  <c r="T61" i="75"/>
  <c r="R61" i="75" s="1"/>
  <c r="T62" i="75"/>
  <c r="R62" i="75" s="1"/>
  <c r="T63" i="75"/>
  <c r="R63" i="75" s="1"/>
  <c r="T64" i="75"/>
  <c r="R64" i="75" s="1"/>
  <c r="T65" i="75"/>
  <c r="R65" i="75" s="1"/>
  <c r="T68" i="75"/>
  <c r="R68" i="75" s="1"/>
  <c r="T69" i="75"/>
  <c r="R69" i="75" s="1"/>
  <c r="T70" i="75"/>
  <c r="R70" i="75" s="1"/>
  <c r="T71" i="75"/>
  <c r="R71" i="75" s="1"/>
  <c r="T72" i="75"/>
  <c r="R72" i="75" s="1"/>
  <c r="T73" i="75"/>
  <c r="R73" i="75" s="1"/>
  <c r="T76" i="75"/>
  <c r="R76" i="75" s="1"/>
  <c r="T77" i="75"/>
  <c r="R77" i="75" s="1"/>
  <c r="T78" i="75"/>
  <c r="R78" i="75" s="1"/>
  <c r="T79" i="75"/>
  <c r="R79" i="75" s="1"/>
  <c r="T80" i="75"/>
  <c r="R80" i="75" s="1"/>
  <c r="T81" i="75"/>
  <c r="R81" i="75" s="1"/>
  <c r="T84" i="75"/>
  <c r="R84" i="75" s="1"/>
  <c r="T85" i="75"/>
  <c r="R85" i="75" s="1"/>
  <c r="T86" i="75"/>
  <c r="R86" i="75" s="1"/>
  <c r="T87" i="75"/>
  <c r="R87" i="75" s="1"/>
  <c r="T88" i="75"/>
  <c r="R88" i="75" s="1"/>
  <c r="T89" i="75"/>
  <c r="R89" i="75" s="1"/>
  <c r="T92" i="75"/>
  <c r="R92" i="75" s="1"/>
  <c r="T93" i="75"/>
  <c r="R93" i="75" s="1"/>
  <c r="T94" i="75"/>
  <c r="R94" i="75" s="1"/>
  <c r="T95" i="75"/>
  <c r="R95" i="75" s="1"/>
  <c r="T96" i="75"/>
  <c r="R96" i="75" s="1"/>
  <c r="T97" i="75"/>
  <c r="R97" i="75" s="1"/>
  <c r="T100" i="75"/>
  <c r="R100" i="75" s="1"/>
  <c r="T101" i="75"/>
  <c r="R101" i="75" s="1"/>
  <c r="T102" i="75"/>
  <c r="R102" i="75" s="1"/>
  <c r="T103" i="75"/>
  <c r="R103" i="75" s="1"/>
  <c r="T104" i="75"/>
  <c r="R104" i="75" s="1"/>
  <c r="T105" i="75"/>
  <c r="R105" i="75" s="1"/>
  <c r="T108" i="75"/>
  <c r="R108" i="75" s="1"/>
  <c r="T109" i="75"/>
  <c r="R109" i="75" s="1"/>
  <c r="T110" i="75"/>
  <c r="R110" i="75" s="1"/>
  <c r="T111" i="75"/>
  <c r="R111" i="75" s="1"/>
  <c r="T112" i="75"/>
  <c r="R112" i="75" s="1"/>
  <c r="T113" i="75"/>
  <c r="R113" i="75" s="1"/>
  <c r="T116" i="75"/>
  <c r="R116" i="75" s="1"/>
  <c r="T117" i="75"/>
  <c r="R117" i="75" s="1"/>
  <c r="T118" i="75"/>
  <c r="R118" i="75" s="1"/>
  <c r="T119" i="75"/>
  <c r="R119" i="75" s="1"/>
  <c r="T120" i="75"/>
  <c r="R120" i="75" s="1"/>
  <c r="T121" i="75"/>
  <c r="R121" i="75" s="1"/>
  <c r="T124" i="75"/>
  <c r="R124" i="75" s="1"/>
  <c r="T125" i="75"/>
  <c r="R125" i="75" s="1"/>
  <c r="T126" i="75"/>
  <c r="R126" i="75" s="1"/>
  <c r="T127" i="75"/>
  <c r="R127" i="75" s="1"/>
  <c r="T128" i="75"/>
  <c r="R128" i="75" s="1"/>
  <c r="T129" i="75"/>
  <c r="R129" i="75" s="1"/>
  <c r="T132" i="75"/>
  <c r="R132" i="75" s="1"/>
  <c r="T133" i="75"/>
  <c r="R133" i="75" s="1"/>
  <c r="T134" i="75"/>
  <c r="R134" i="75" s="1"/>
  <c r="T135" i="75"/>
  <c r="R135" i="75" s="1"/>
  <c r="T136" i="75"/>
  <c r="R136" i="75" s="1"/>
  <c r="T137" i="75"/>
  <c r="R137" i="75" s="1"/>
  <c r="T140" i="75"/>
  <c r="R140" i="75" s="1"/>
  <c r="T141" i="75"/>
  <c r="R141" i="75" s="1"/>
  <c r="T142" i="75"/>
  <c r="R142" i="75" s="1"/>
  <c r="T143" i="75"/>
  <c r="R143" i="75" s="1"/>
  <c r="T144" i="75"/>
  <c r="R144" i="75" s="1"/>
  <c r="T145" i="75"/>
  <c r="R145" i="75" s="1"/>
  <c r="T148" i="75"/>
  <c r="R148" i="75" s="1"/>
  <c r="T149" i="75"/>
  <c r="R149" i="75" s="1"/>
  <c r="T150" i="75"/>
  <c r="R150" i="75" s="1"/>
  <c r="T151" i="75"/>
  <c r="R151" i="75" s="1"/>
  <c r="T152" i="75"/>
  <c r="R152" i="75" s="1"/>
  <c r="T153" i="75"/>
  <c r="R153" i="75" s="1"/>
  <c r="T156" i="75"/>
  <c r="R156" i="75" s="1"/>
  <c r="T157" i="75"/>
  <c r="R157" i="75" s="1"/>
  <c r="T158" i="75"/>
  <c r="R158" i="75" s="1"/>
  <c r="T159" i="75"/>
  <c r="R159" i="75" s="1"/>
  <c r="T160" i="75"/>
  <c r="R160" i="75" s="1"/>
  <c r="T161" i="75"/>
  <c r="R161" i="75" s="1"/>
  <c r="T164" i="75"/>
  <c r="R164" i="75" s="1"/>
  <c r="T165" i="75"/>
  <c r="R165" i="75" s="1"/>
  <c r="T166" i="75"/>
  <c r="R166" i="75" s="1"/>
  <c r="T167" i="75"/>
  <c r="R167" i="75" s="1"/>
  <c r="T168" i="75"/>
  <c r="R168" i="75" s="1"/>
  <c r="T169" i="75"/>
  <c r="R169" i="75" s="1"/>
  <c r="T172" i="75"/>
  <c r="R172" i="75" s="1"/>
  <c r="T173" i="75"/>
  <c r="R173" i="75" s="1"/>
  <c r="T174" i="75"/>
  <c r="R174" i="75" s="1"/>
  <c r="T175" i="75"/>
  <c r="R175" i="75" s="1"/>
  <c r="T176" i="75"/>
  <c r="R176" i="75" s="1"/>
  <c r="T177" i="75"/>
  <c r="R177" i="75" s="1"/>
  <c r="T180" i="75"/>
  <c r="R180" i="75" s="1"/>
  <c r="T181" i="75"/>
  <c r="R181" i="75" s="1"/>
  <c r="T182" i="75"/>
  <c r="R182" i="75" s="1"/>
  <c r="T183" i="75"/>
  <c r="R183" i="75" s="1"/>
  <c r="T184" i="75"/>
  <c r="R184" i="75" s="1"/>
  <c r="T185" i="75"/>
  <c r="R185" i="75" s="1"/>
  <c r="T188" i="75"/>
  <c r="R188" i="75" s="1"/>
  <c r="T189" i="75"/>
  <c r="R189" i="75" s="1"/>
  <c r="T190" i="75"/>
  <c r="R190" i="75" s="1"/>
  <c r="T191" i="75"/>
  <c r="R191" i="75" s="1"/>
  <c r="T192" i="75"/>
  <c r="R192" i="75" s="1"/>
  <c r="T193" i="75"/>
  <c r="R193" i="75" s="1"/>
  <c r="T196" i="75"/>
  <c r="R196" i="75" s="1"/>
  <c r="T197" i="75"/>
  <c r="R197" i="75" s="1"/>
  <c r="T198" i="75"/>
  <c r="R198" i="75" s="1"/>
  <c r="T199" i="75"/>
  <c r="R199" i="75" s="1"/>
  <c r="T200" i="75"/>
  <c r="R200" i="75" s="1"/>
  <c r="T201" i="75"/>
  <c r="R201" i="75" s="1"/>
  <c r="F4" i="74"/>
  <c r="D5" i="74"/>
  <c r="D15" i="74"/>
  <c r="E15" i="74"/>
  <c r="F15" i="74"/>
  <c r="G15" i="74"/>
  <c r="H15" i="74"/>
  <c r="I15" i="74"/>
  <c r="Y15" i="74"/>
  <c r="Y16" i="74"/>
  <c r="D25" i="74"/>
  <c r="E25" i="74"/>
  <c r="F25" i="74"/>
  <c r="G25" i="74"/>
  <c r="H25" i="74"/>
  <c r="I25" i="74"/>
  <c r="D31" i="74"/>
  <c r="E31" i="74"/>
  <c r="F31" i="74"/>
  <c r="G31" i="74"/>
  <c r="H31" i="74"/>
  <c r="I31" i="74"/>
  <c r="D42" i="74"/>
  <c r="E42" i="74"/>
  <c r="F42" i="74"/>
  <c r="G42" i="74"/>
  <c r="H42" i="74"/>
  <c r="I42" i="74"/>
  <c r="D45" i="74"/>
  <c r="E45" i="74"/>
  <c r="F45" i="74"/>
  <c r="G45" i="74"/>
  <c r="H45" i="74"/>
  <c r="I45" i="74"/>
  <c r="D48" i="74"/>
  <c r="E48" i="74"/>
  <c r="F48" i="74"/>
  <c r="G48" i="74"/>
  <c r="H48" i="74"/>
  <c r="I48" i="74"/>
  <c r="N55" i="74"/>
  <c r="W55" i="74"/>
  <c r="W54" i="74" s="1"/>
  <c r="N72" i="74"/>
  <c r="T73" i="74"/>
  <c r="R73" i="74" s="1"/>
  <c r="T74" i="74"/>
  <c r="R74" i="74" s="1"/>
  <c r="T75" i="74"/>
  <c r="R75" i="74" s="1"/>
  <c r="T76" i="74"/>
  <c r="R76" i="74" s="1"/>
  <c r="T77" i="74"/>
  <c r="R77" i="74" s="1"/>
  <c r="T78" i="74"/>
  <c r="R78" i="74" s="1"/>
  <c r="Z80" i="74"/>
  <c r="N80" i="74" s="1"/>
  <c r="T81" i="74"/>
  <c r="R81" i="74" s="1"/>
  <c r="T82" i="74"/>
  <c r="R82" i="74" s="1"/>
  <c r="T83" i="74"/>
  <c r="R83" i="74" s="1"/>
  <c r="T84" i="74"/>
  <c r="R84" i="74" s="1"/>
  <c r="T85" i="74"/>
  <c r="R85" i="74" s="1"/>
  <c r="D85" i="74" a="1"/>
  <c r="T86" i="74"/>
  <c r="R86" i="74" s="1"/>
  <c r="T89" i="74"/>
  <c r="R89" i="74" s="1"/>
  <c r="T90" i="74"/>
  <c r="R90" i="74" s="1"/>
  <c r="T91" i="74"/>
  <c r="R91" i="74" s="1"/>
  <c r="T92" i="74"/>
  <c r="R92" i="74" s="1"/>
  <c r="T93" i="74"/>
  <c r="R93" i="74" s="1"/>
  <c r="T94" i="74"/>
  <c r="R94" i="74" s="1"/>
  <c r="T97" i="74"/>
  <c r="R97" i="74" s="1"/>
  <c r="T98" i="74"/>
  <c r="R98" i="74" s="1"/>
  <c r="T99" i="74"/>
  <c r="R99" i="74" s="1"/>
  <c r="T100" i="74"/>
  <c r="R100" i="74" s="1"/>
  <c r="T101" i="74"/>
  <c r="R101" i="74" s="1"/>
  <c r="T102" i="74"/>
  <c r="R102" i="74" s="1"/>
  <c r="T105" i="74"/>
  <c r="R105" i="74" s="1"/>
  <c r="T106" i="74"/>
  <c r="R106" i="74" s="1"/>
  <c r="T107" i="74"/>
  <c r="R107" i="74" s="1"/>
  <c r="T108" i="74"/>
  <c r="R108" i="74" s="1"/>
  <c r="T109" i="74"/>
  <c r="R109" i="74" s="1"/>
  <c r="T110" i="74"/>
  <c r="R110" i="74" s="1"/>
  <c r="T113" i="74"/>
  <c r="R113" i="74" s="1"/>
  <c r="T114" i="74"/>
  <c r="R114" i="74" s="1"/>
  <c r="T115" i="74"/>
  <c r="R115" i="74" s="1"/>
  <c r="T116" i="74"/>
  <c r="R116" i="74" s="1"/>
  <c r="T117" i="74"/>
  <c r="R117" i="74" s="1"/>
  <c r="T118" i="74"/>
  <c r="R118" i="74" s="1"/>
  <c r="T121" i="74"/>
  <c r="R121" i="74" s="1"/>
  <c r="T122" i="74"/>
  <c r="R122" i="74" s="1"/>
  <c r="T123" i="74"/>
  <c r="R123" i="74" s="1"/>
  <c r="T124" i="74"/>
  <c r="R124" i="74" s="1"/>
  <c r="T125" i="74"/>
  <c r="R125" i="74" s="1"/>
  <c r="T126" i="74"/>
  <c r="R126" i="74" s="1"/>
  <c r="T129" i="74"/>
  <c r="R129" i="74" s="1"/>
  <c r="T130" i="74"/>
  <c r="R130" i="74" s="1"/>
  <c r="T131" i="74"/>
  <c r="R131" i="74" s="1"/>
  <c r="T132" i="74"/>
  <c r="R132" i="74" s="1"/>
  <c r="T133" i="74"/>
  <c r="R133" i="74" s="1"/>
  <c r="T134" i="74"/>
  <c r="R134" i="74" s="1"/>
  <c r="T137" i="74"/>
  <c r="R137" i="74" s="1"/>
  <c r="T138" i="74"/>
  <c r="R138" i="74" s="1"/>
  <c r="T139" i="74"/>
  <c r="R139" i="74" s="1"/>
  <c r="T140" i="74"/>
  <c r="R140" i="74" s="1"/>
  <c r="T141" i="74"/>
  <c r="R141" i="74" s="1"/>
  <c r="T142" i="74"/>
  <c r="R142" i="74" s="1"/>
  <c r="T145" i="74"/>
  <c r="R145" i="74" s="1"/>
  <c r="T146" i="74"/>
  <c r="R146" i="74" s="1"/>
  <c r="T147" i="74"/>
  <c r="R147" i="74" s="1"/>
  <c r="T148" i="74"/>
  <c r="R148" i="74" s="1"/>
  <c r="T149" i="74"/>
  <c r="R149" i="74" s="1"/>
  <c r="T150" i="74"/>
  <c r="R150" i="74" s="1"/>
  <c r="T153" i="74"/>
  <c r="R153" i="74" s="1"/>
  <c r="T154" i="74"/>
  <c r="R154" i="74" s="1"/>
  <c r="T155" i="74"/>
  <c r="R155" i="74" s="1"/>
  <c r="T156" i="74"/>
  <c r="R156" i="74" s="1"/>
  <c r="T157" i="74"/>
  <c r="R157" i="74" s="1"/>
  <c r="T158" i="74"/>
  <c r="R158" i="74" s="1"/>
  <c r="T161" i="74"/>
  <c r="R161" i="74" s="1"/>
  <c r="T162" i="74"/>
  <c r="R162" i="74" s="1"/>
  <c r="T163" i="74"/>
  <c r="R163" i="74" s="1"/>
  <c r="T164" i="74"/>
  <c r="R164" i="74" s="1"/>
  <c r="T165" i="74"/>
  <c r="R165" i="74" s="1"/>
  <c r="T166" i="74"/>
  <c r="R166" i="74" s="1"/>
  <c r="T169" i="74"/>
  <c r="R169" i="74" s="1"/>
  <c r="T170" i="74"/>
  <c r="R170" i="74" s="1"/>
  <c r="T171" i="74"/>
  <c r="R171" i="74" s="1"/>
  <c r="T172" i="74"/>
  <c r="R172" i="74" s="1"/>
  <c r="T173" i="74"/>
  <c r="R173" i="74" s="1"/>
  <c r="T174" i="74"/>
  <c r="R174" i="74" s="1"/>
  <c r="T177" i="74"/>
  <c r="R177" i="74" s="1"/>
  <c r="T178" i="74"/>
  <c r="R178" i="74" s="1"/>
  <c r="T179" i="74"/>
  <c r="R179" i="74" s="1"/>
  <c r="T180" i="74"/>
  <c r="R180" i="74" s="1"/>
  <c r="T181" i="74"/>
  <c r="R181" i="74" s="1"/>
  <c r="T182" i="74"/>
  <c r="R182" i="74" s="1"/>
  <c r="T185" i="74"/>
  <c r="R185" i="74" s="1"/>
  <c r="T186" i="74"/>
  <c r="R186" i="74" s="1"/>
  <c r="T187" i="74"/>
  <c r="R187" i="74" s="1"/>
  <c r="T188" i="74"/>
  <c r="R188" i="74" s="1"/>
  <c r="T189" i="74"/>
  <c r="R189" i="74" s="1"/>
  <c r="T190" i="74"/>
  <c r="R190" i="74" s="1"/>
  <c r="T193" i="74"/>
  <c r="R193" i="74" s="1"/>
  <c r="T194" i="74"/>
  <c r="R194" i="74" s="1"/>
  <c r="T195" i="74"/>
  <c r="R195" i="74" s="1"/>
  <c r="T196" i="74"/>
  <c r="R196" i="74" s="1"/>
  <c r="T197" i="74"/>
  <c r="R197" i="74" s="1"/>
  <c r="T198" i="74"/>
  <c r="R198" i="74" s="1"/>
  <c r="T201" i="74"/>
  <c r="R201" i="74" s="1"/>
  <c r="T202" i="74"/>
  <c r="R202" i="74" s="1"/>
  <c r="T203" i="74"/>
  <c r="R203" i="74" s="1"/>
  <c r="T204" i="74"/>
  <c r="R204" i="74" s="1"/>
  <c r="T205" i="74"/>
  <c r="R205" i="74" s="1"/>
  <c r="T206" i="74"/>
  <c r="R206" i="74" s="1"/>
  <c r="T209" i="74"/>
  <c r="R209" i="74" s="1"/>
  <c r="T210" i="74"/>
  <c r="R210" i="74" s="1"/>
  <c r="T211" i="74"/>
  <c r="R211" i="74" s="1"/>
  <c r="T212" i="74"/>
  <c r="R212" i="74" s="1"/>
  <c r="T213" i="74"/>
  <c r="R213" i="74" s="1"/>
  <c r="T214" i="74"/>
  <c r="R214" i="74" s="1"/>
  <c r="T217" i="74"/>
  <c r="R217" i="74" s="1"/>
  <c r="T218" i="74"/>
  <c r="R218" i="74" s="1"/>
  <c r="T219" i="74"/>
  <c r="R219" i="74" s="1"/>
  <c r="T220" i="74"/>
  <c r="R220" i="74" s="1"/>
  <c r="T221" i="74"/>
  <c r="R221" i="74" s="1"/>
  <c r="T222" i="74"/>
  <c r="R222" i="74" s="1"/>
  <c r="T225" i="74"/>
  <c r="R225" i="74" s="1"/>
  <c r="T226" i="74"/>
  <c r="R226" i="74" s="1"/>
  <c r="T227" i="74"/>
  <c r="R227" i="74" s="1"/>
  <c r="T228" i="74"/>
  <c r="R228" i="74" s="1"/>
  <c r="T229" i="74"/>
  <c r="R229" i="74" s="1"/>
  <c r="T230" i="74"/>
  <c r="R230" i="74" s="1"/>
  <c r="T233" i="74"/>
  <c r="R233" i="74" s="1"/>
  <c r="T234" i="74"/>
  <c r="R234" i="74" s="1"/>
  <c r="T235" i="74"/>
  <c r="R235" i="74" s="1"/>
  <c r="T236" i="74"/>
  <c r="R236" i="74" s="1"/>
  <c r="T237" i="74"/>
  <c r="R237" i="74" s="1"/>
  <c r="T238" i="74"/>
  <c r="R238" i="74" s="1"/>
  <c r="T241" i="74"/>
  <c r="R241" i="74" s="1"/>
  <c r="T242" i="74"/>
  <c r="R242" i="74" s="1"/>
  <c r="T243" i="74"/>
  <c r="R243" i="74" s="1"/>
  <c r="T244" i="74"/>
  <c r="R244" i="74" s="1"/>
  <c r="T245" i="74"/>
  <c r="R245" i="74" s="1"/>
  <c r="T246" i="74"/>
  <c r="R246" i="74" s="1"/>
  <c r="T249" i="74"/>
  <c r="R249" i="74" s="1"/>
  <c r="T250" i="74"/>
  <c r="R250" i="74" s="1"/>
  <c r="T251" i="74"/>
  <c r="R251" i="74" s="1"/>
  <c r="T252" i="74"/>
  <c r="R252" i="74" s="1"/>
  <c r="T253" i="74"/>
  <c r="R253" i="74" s="1"/>
  <c r="T254" i="74"/>
  <c r="R254" i="74" s="1"/>
  <c r="T257" i="74"/>
  <c r="R257" i="74" s="1"/>
  <c r="T258" i="74"/>
  <c r="R258" i="74" s="1"/>
  <c r="T259" i="74"/>
  <c r="R259" i="74" s="1"/>
  <c r="T260" i="74"/>
  <c r="R260" i="74" s="1"/>
  <c r="T261" i="74"/>
  <c r="R261" i="74" s="1"/>
  <c r="T262" i="74"/>
  <c r="R262" i="74" s="1"/>
  <c r="T265" i="74"/>
  <c r="R265" i="74" s="1"/>
  <c r="T266" i="74"/>
  <c r="R266" i="74" s="1"/>
  <c r="T267" i="74"/>
  <c r="R267" i="74" s="1"/>
  <c r="T268" i="74"/>
  <c r="R268" i="74" s="1"/>
  <c r="T269" i="74"/>
  <c r="R269" i="74" s="1"/>
  <c r="T270" i="74"/>
  <c r="R270" i="74" s="1"/>
  <c r="T273" i="74"/>
  <c r="R273" i="74" s="1"/>
  <c r="T274" i="74"/>
  <c r="R274" i="74" s="1"/>
  <c r="T275" i="74"/>
  <c r="R275" i="74" s="1"/>
  <c r="T276" i="74"/>
  <c r="R276" i="74" s="1"/>
  <c r="T277" i="74"/>
  <c r="R277" i="74" s="1"/>
  <c r="T278" i="74"/>
  <c r="R278" i="74" s="1"/>
  <c r="T281" i="74"/>
  <c r="R281" i="74" s="1"/>
  <c r="T282" i="74"/>
  <c r="R282" i="74" s="1"/>
  <c r="T283" i="74"/>
  <c r="R283" i="74" s="1"/>
  <c r="T284" i="74"/>
  <c r="R284" i="74" s="1"/>
  <c r="T285" i="74"/>
  <c r="R285" i="74" s="1"/>
  <c r="T286" i="74"/>
  <c r="R286" i="74" s="1"/>
  <c r="T289" i="74"/>
  <c r="R289" i="74" s="1"/>
  <c r="T290" i="74"/>
  <c r="R290" i="74" s="1"/>
  <c r="T291" i="74"/>
  <c r="R291" i="74" s="1"/>
  <c r="T292" i="74"/>
  <c r="R292" i="74" s="1"/>
  <c r="T293" i="74"/>
  <c r="R293" i="74" s="1"/>
  <c r="T294" i="74"/>
  <c r="R294" i="74" s="1"/>
  <c r="T297" i="74"/>
  <c r="R297" i="74" s="1"/>
  <c r="T298" i="74"/>
  <c r="R298" i="74" s="1"/>
  <c r="T299" i="74"/>
  <c r="R299" i="74" s="1"/>
  <c r="T300" i="74"/>
  <c r="R300" i="74" s="1"/>
  <c r="T301" i="74"/>
  <c r="R301" i="74" s="1"/>
  <c r="T302" i="74"/>
  <c r="R302" i="74" s="1"/>
  <c r="T305" i="74"/>
  <c r="R305" i="74" s="1"/>
  <c r="T306" i="74"/>
  <c r="R306" i="74" s="1"/>
  <c r="T307" i="74"/>
  <c r="R307" i="74" s="1"/>
  <c r="T308" i="74"/>
  <c r="R308" i="74" s="1"/>
  <c r="T309" i="74"/>
  <c r="R309" i="74" s="1"/>
  <c r="T310" i="74"/>
  <c r="R310" i="74" s="1"/>
  <c r="T313" i="74"/>
  <c r="R313" i="74" s="1"/>
  <c r="T314" i="74"/>
  <c r="R314" i="74" s="1"/>
  <c r="T315" i="74"/>
  <c r="R315" i="74" s="1"/>
  <c r="T316" i="74"/>
  <c r="R316" i="74" s="1"/>
  <c r="T317" i="74"/>
  <c r="R317" i="74" s="1"/>
  <c r="T318" i="74"/>
  <c r="R318" i="74" s="1"/>
  <c r="T321" i="74"/>
  <c r="R321" i="74" s="1"/>
  <c r="T322" i="74"/>
  <c r="R322" i="74" s="1"/>
  <c r="T323" i="74"/>
  <c r="R323" i="74" s="1"/>
  <c r="T324" i="74"/>
  <c r="R324" i="74" s="1"/>
  <c r="T325" i="74"/>
  <c r="R325" i="74" s="1"/>
  <c r="T326" i="74"/>
  <c r="R326" i="74" s="1"/>
  <c r="F4" i="73"/>
  <c r="D5" i="73"/>
  <c r="D75" i="73" s="1" a="1"/>
  <c r="D15" i="73"/>
  <c r="E15" i="73"/>
  <c r="F15" i="73"/>
  <c r="G15" i="73"/>
  <c r="H15" i="73"/>
  <c r="I15" i="73"/>
  <c r="Y15" i="73"/>
  <c r="Y16" i="73"/>
  <c r="Y17" i="73"/>
  <c r="Y18" i="73"/>
  <c r="Y19" i="73"/>
  <c r="Y20" i="73"/>
  <c r="Y21" i="73"/>
  <c r="Y22" i="73"/>
  <c r="Y23" i="73"/>
  <c r="Y24" i="73"/>
  <c r="D25" i="73"/>
  <c r="E25" i="73"/>
  <c r="F25" i="73"/>
  <c r="G25" i="73"/>
  <c r="H25" i="73"/>
  <c r="I25" i="73"/>
  <c r="Y25" i="73"/>
  <c r="Y26" i="73"/>
  <c r="Y27" i="73"/>
  <c r="Y28" i="73"/>
  <c r="Y29" i="73"/>
  <c r="Y30" i="73"/>
  <c r="D31" i="73"/>
  <c r="E31" i="73"/>
  <c r="F31" i="73"/>
  <c r="G31" i="73"/>
  <c r="H31" i="73"/>
  <c r="I31" i="73"/>
  <c r="Y31" i="73"/>
  <c r="Y32" i="73"/>
  <c r="Y33" i="73"/>
  <c r="Y34" i="73"/>
  <c r="Y35" i="73"/>
  <c r="Y36" i="73"/>
  <c r="Y37" i="73"/>
  <c r="Y38" i="73"/>
  <c r="Y39" i="73"/>
  <c r="D40" i="73"/>
  <c r="E40" i="73"/>
  <c r="F40" i="73"/>
  <c r="G40" i="73"/>
  <c r="H40" i="73"/>
  <c r="I40" i="73"/>
  <c r="Y40" i="73"/>
  <c r="Y41" i="73"/>
  <c r="Y42" i="73"/>
  <c r="Y43" i="73"/>
  <c r="D43" i="73"/>
  <c r="E43" i="73"/>
  <c r="F43" i="73"/>
  <c r="G43" i="73"/>
  <c r="H43" i="73"/>
  <c r="I43" i="73"/>
  <c r="Y44" i="73"/>
  <c r="Y45" i="73"/>
  <c r="Y46" i="73"/>
  <c r="Y47" i="73"/>
  <c r="N50" i="73"/>
  <c r="W50" i="73"/>
  <c r="W49" i="73" s="1"/>
  <c r="N67" i="73"/>
  <c r="T68" i="73"/>
  <c r="R68" i="73" s="1"/>
  <c r="T69" i="73"/>
  <c r="R69" i="73" s="1"/>
  <c r="T70" i="73"/>
  <c r="R70" i="73" s="1"/>
  <c r="T71" i="73"/>
  <c r="R71" i="73" s="1"/>
  <c r="T72" i="73"/>
  <c r="R72" i="73" s="1"/>
  <c r="T73" i="73"/>
  <c r="R73" i="73" s="1"/>
  <c r="Z75" i="73"/>
  <c r="N75" i="73" s="1"/>
  <c r="T76" i="73"/>
  <c r="R76" i="73" s="1"/>
  <c r="T77" i="73"/>
  <c r="R77" i="73" s="1"/>
  <c r="T78" i="73"/>
  <c r="R78" i="73" s="1"/>
  <c r="T79" i="73"/>
  <c r="R79" i="73" s="1"/>
  <c r="T80" i="73"/>
  <c r="R80" i="73" s="1"/>
  <c r="T81" i="73"/>
  <c r="R81" i="73" s="1"/>
  <c r="T84" i="73"/>
  <c r="R84" i="73" s="1"/>
  <c r="T85" i="73"/>
  <c r="R85" i="73" s="1"/>
  <c r="T86" i="73"/>
  <c r="R86" i="73" s="1"/>
  <c r="T87" i="73"/>
  <c r="R87" i="73" s="1"/>
  <c r="T88" i="73"/>
  <c r="R88" i="73" s="1"/>
  <c r="T89" i="73"/>
  <c r="R89" i="73" s="1"/>
  <c r="T92" i="73"/>
  <c r="R92" i="73" s="1"/>
  <c r="T93" i="73"/>
  <c r="R93" i="73" s="1"/>
  <c r="T94" i="73"/>
  <c r="R94" i="73" s="1"/>
  <c r="T95" i="73"/>
  <c r="R95" i="73" s="1"/>
  <c r="T96" i="73"/>
  <c r="R96" i="73" s="1"/>
  <c r="T97" i="73"/>
  <c r="R97" i="73" s="1"/>
  <c r="T100" i="73"/>
  <c r="R100" i="73" s="1"/>
  <c r="T101" i="73"/>
  <c r="R101" i="73" s="1"/>
  <c r="T102" i="73"/>
  <c r="R102" i="73" s="1"/>
  <c r="T103" i="73"/>
  <c r="R103" i="73" s="1"/>
  <c r="T104" i="73"/>
  <c r="R104" i="73" s="1"/>
  <c r="T105" i="73"/>
  <c r="R105" i="73" s="1"/>
  <c r="T108" i="73"/>
  <c r="R108" i="73" s="1"/>
  <c r="T109" i="73"/>
  <c r="R109" i="73" s="1"/>
  <c r="T110" i="73"/>
  <c r="R110" i="73" s="1"/>
  <c r="T111" i="73"/>
  <c r="R111" i="73" s="1"/>
  <c r="T112" i="73"/>
  <c r="R112" i="73" s="1"/>
  <c r="T113" i="73"/>
  <c r="R113" i="73" s="1"/>
  <c r="T116" i="73"/>
  <c r="R116" i="73" s="1"/>
  <c r="T117" i="73"/>
  <c r="R117" i="73" s="1"/>
  <c r="T118" i="73"/>
  <c r="R118" i="73" s="1"/>
  <c r="T119" i="73"/>
  <c r="R119" i="73" s="1"/>
  <c r="T120" i="73"/>
  <c r="R120" i="73" s="1"/>
  <c r="T121" i="73"/>
  <c r="R121" i="73" s="1"/>
  <c r="T124" i="73"/>
  <c r="R124" i="73" s="1"/>
  <c r="T125" i="73"/>
  <c r="R125" i="73" s="1"/>
  <c r="T126" i="73"/>
  <c r="R126" i="73" s="1"/>
  <c r="T127" i="73"/>
  <c r="R127" i="73" s="1"/>
  <c r="T128" i="73"/>
  <c r="R128" i="73" s="1"/>
  <c r="T129" i="73"/>
  <c r="R129" i="73" s="1"/>
  <c r="T132" i="73"/>
  <c r="R132" i="73" s="1"/>
  <c r="T133" i="73"/>
  <c r="R133" i="73" s="1"/>
  <c r="T134" i="73"/>
  <c r="R134" i="73" s="1"/>
  <c r="T135" i="73"/>
  <c r="R135" i="73" s="1"/>
  <c r="T136" i="73"/>
  <c r="R136" i="73" s="1"/>
  <c r="T137" i="73"/>
  <c r="R137" i="73" s="1"/>
  <c r="T140" i="73"/>
  <c r="R140" i="73" s="1"/>
  <c r="T141" i="73"/>
  <c r="R141" i="73" s="1"/>
  <c r="T142" i="73"/>
  <c r="R142" i="73" s="1"/>
  <c r="T143" i="73"/>
  <c r="R143" i="73" s="1"/>
  <c r="T144" i="73"/>
  <c r="R144" i="73" s="1"/>
  <c r="T145" i="73"/>
  <c r="R145" i="73" s="1"/>
  <c r="T148" i="73"/>
  <c r="R148" i="73" s="1"/>
  <c r="T149" i="73"/>
  <c r="R149" i="73" s="1"/>
  <c r="T150" i="73"/>
  <c r="R150" i="73" s="1"/>
  <c r="T151" i="73"/>
  <c r="R151" i="73" s="1"/>
  <c r="T152" i="73"/>
  <c r="R152" i="73" s="1"/>
  <c r="T153" i="73"/>
  <c r="R153" i="73" s="1"/>
  <c r="T156" i="73"/>
  <c r="R156" i="73" s="1"/>
  <c r="T157" i="73"/>
  <c r="R157" i="73" s="1"/>
  <c r="T158" i="73"/>
  <c r="R158" i="73" s="1"/>
  <c r="T159" i="73"/>
  <c r="R159" i="73" s="1"/>
  <c r="T160" i="73"/>
  <c r="R160" i="73" s="1"/>
  <c r="T161" i="73"/>
  <c r="R161" i="73" s="1"/>
  <c r="T164" i="73"/>
  <c r="R164" i="73" s="1"/>
  <c r="T165" i="73"/>
  <c r="R165" i="73" s="1"/>
  <c r="T166" i="73"/>
  <c r="R166" i="73" s="1"/>
  <c r="T167" i="73"/>
  <c r="R167" i="73" s="1"/>
  <c r="T168" i="73"/>
  <c r="R168" i="73" s="1"/>
  <c r="T169" i="73"/>
  <c r="R169" i="73" s="1"/>
  <c r="T172" i="73"/>
  <c r="R172" i="73" s="1"/>
  <c r="T173" i="73"/>
  <c r="R173" i="73" s="1"/>
  <c r="T174" i="73"/>
  <c r="R174" i="73" s="1"/>
  <c r="T175" i="73"/>
  <c r="R175" i="73" s="1"/>
  <c r="T176" i="73"/>
  <c r="R176" i="73" s="1"/>
  <c r="T177" i="73"/>
  <c r="R177" i="73" s="1"/>
  <c r="T180" i="73"/>
  <c r="R180" i="73" s="1"/>
  <c r="T181" i="73"/>
  <c r="R181" i="73" s="1"/>
  <c r="T182" i="73"/>
  <c r="R182" i="73" s="1"/>
  <c r="T183" i="73"/>
  <c r="R183" i="73" s="1"/>
  <c r="T184" i="73"/>
  <c r="R184" i="73" s="1"/>
  <c r="T185" i="73"/>
  <c r="R185" i="73" s="1"/>
  <c r="T188" i="73"/>
  <c r="R188" i="73" s="1"/>
  <c r="T189" i="73"/>
  <c r="R189" i="73" s="1"/>
  <c r="T190" i="73"/>
  <c r="R190" i="73" s="1"/>
  <c r="T191" i="73"/>
  <c r="R191" i="73" s="1"/>
  <c r="T192" i="73"/>
  <c r="R192" i="73" s="1"/>
  <c r="T193" i="73"/>
  <c r="R193" i="73" s="1"/>
  <c r="T196" i="73"/>
  <c r="R196" i="73" s="1"/>
  <c r="T197" i="73"/>
  <c r="R197" i="73" s="1"/>
  <c r="T198" i="73"/>
  <c r="R198" i="73" s="1"/>
  <c r="T199" i="73"/>
  <c r="R199" i="73" s="1"/>
  <c r="T200" i="73"/>
  <c r="R200" i="73" s="1"/>
  <c r="T201" i="73"/>
  <c r="R201" i="73" s="1"/>
  <c r="T204" i="73"/>
  <c r="R204" i="73" s="1"/>
  <c r="T205" i="73"/>
  <c r="R205" i="73" s="1"/>
  <c r="T206" i="73"/>
  <c r="R206" i="73" s="1"/>
  <c r="T207" i="73"/>
  <c r="R207" i="73" s="1"/>
  <c r="T208" i="73"/>
  <c r="R208" i="73" s="1"/>
  <c r="T209" i="73"/>
  <c r="R209" i="73" s="1"/>
  <c r="T212" i="73"/>
  <c r="R212" i="73" s="1"/>
  <c r="T213" i="73"/>
  <c r="R213" i="73" s="1"/>
  <c r="T214" i="73"/>
  <c r="R214" i="73" s="1"/>
  <c r="T215" i="73"/>
  <c r="R215" i="73" s="1"/>
  <c r="T216" i="73"/>
  <c r="R216" i="73" s="1"/>
  <c r="T217" i="73"/>
  <c r="R217" i="73" s="1"/>
  <c r="T220" i="73"/>
  <c r="R220" i="73" s="1"/>
  <c r="T221" i="73"/>
  <c r="R221" i="73" s="1"/>
  <c r="T222" i="73"/>
  <c r="R222" i="73" s="1"/>
  <c r="T223" i="73"/>
  <c r="R223" i="73" s="1"/>
  <c r="T224" i="73"/>
  <c r="R224" i="73" s="1"/>
  <c r="T225" i="73"/>
  <c r="R225" i="73" s="1"/>
  <c r="T228" i="73"/>
  <c r="R228" i="73" s="1"/>
  <c r="T229" i="73"/>
  <c r="R229" i="73" s="1"/>
  <c r="T230" i="73"/>
  <c r="R230" i="73" s="1"/>
  <c r="T231" i="73"/>
  <c r="R231" i="73" s="1"/>
  <c r="T232" i="73"/>
  <c r="R232" i="73" s="1"/>
  <c r="T233" i="73"/>
  <c r="R233" i="73" s="1"/>
  <c r="T236" i="73"/>
  <c r="R236" i="73" s="1"/>
  <c r="T237" i="73"/>
  <c r="R237" i="73" s="1"/>
  <c r="T238" i="73"/>
  <c r="R238" i="73" s="1"/>
  <c r="T239" i="73"/>
  <c r="R239" i="73" s="1"/>
  <c r="T240" i="73"/>
  <c r="R240" i="73" s="1"/>
  <c r="T241" i="73"/>
  <c r="R241" i="73" s="1"/>
  <c r="T244" i="73"/>
  <c r="R244" i="73" s="1"/>
  <c r="T245" i="73"/>
  <c r="R245" i="73" s="1"/>
  <c r="T246" i="73"/>
  <c r="R246" i="73" s="1"/>
  <c r="T247" i="73"/>
  <c r="R247" i="73" s="1"/>
  <c r="T248" i="73"/>
  <c r="R248" i="73" s="1"/>
  <c r="T249" i="73"/>
  <c r="R249" i="73" s="1"/>
  <c r="T252" i="73"/>
  <c r="R252" i="73" s="1"/>
  <c r="T253" i="73"/>
  <c r="R253" i="73" s="1"/>
  <c r="T254" i="73"/>
  <c r="R254" i="73" s="1"/>
  <c r="T255" i="73"/>
  <c r="R255" i="73" s="1"/>
  <c r="T256" i="73"/>
  <c r="R256" i="73" s="1"/>
  <c r="T257" i="73"/>
  <c r="R257" i="73" s="1"/>
  <c r="T260" i="73"/>
  <c r="R260" i="73" s="1"/>
  <c r="T261" i="73"/>
  <c r="R261" i="73" s="1"/>
  <c r="T262" i="73"/>
  <c r="R262" i="73" s="1"/>
  <c r="T263" i="73"/>
  <c r="R263" i="73" s="1"/>
  <c r="T264" i="73"/>
  <c r="R264" i="73" s="1"/>
  <c r="T265" i="73"/>
  <c r="R265" i="73" s="1"/>
  <c r="T268" i="73"/>
  <c r="R268" i="73" s="1"/>
  <c r="T269" i="73"/>
  <c r="R269" i="73" s="1"/>
  <c r="T270" i="73"/>
  <c r="R270" i="73" s="1"/>
  <c r="T271" i="73"/>
  <c r="R271" i="73" s="1"/>
  <c r="T272" i="73"/>
  <c r="R272" i="73" s="1"/>
  <c r="T273" i="73"/>
  <c r="R273" i="73" s="1"/>
  <c r="T276" i="73"/>
  <c r="R276" i="73" s="1"/>
  <c r="T277" i="73"/>
  <c r="R277" i="73" s="1"/>
  <c r="T278" i="73"/>
  <c r="R278" i="73" s="1"/>
  <c r="T279" i="73"/>
  <c r="R279" i="73" s="1"/>
  <c r="T280" i="73"/>
  <c r="R280" i="73" s="1"/>
  <c r="T281" i="73"/>
  <c r="R281" i="73" s="1"/>
  <c r="T284" i="73"/>
  <c r="R284" i="73" s="1"/>
  <c r="T285" i="73"/>
  <c r="R285" i="73" s="1"/>
  <c r="T286" i="73"/>
  <c r="R286" i="73" s="1"/>
  <c r="T287" i="73"/>
  <c r="R287" i="73" s="1"/>
  <c r="T288" i="73"/>
  <c r="R288" i="73" s="1"/>
  <c r="T289" i="73"/>
  <c r="R289" i="73" s="1"/>
  <c r="F4" i="72"/>
  <c r="D5" i="72"/>
  <c r="D38" i="72" s="1" a="1"/>
  <c r="D13" i="72"/>
  <c r="E13" i="72"/>
  <c r="F13" i="72"/>
  <c r="G13" i="72"/>
  <c r="H13" i="72"/>
  <c r="I13" i="72"/>
  <c r="Y13" i="72"/>
  <c r="Y14" i="72"/>
  <c r="D16" i="72"/>
  <c r="E16" i="72"/>
  <c r="F16" i="72"/>
  <c r="G16" i="72"/>
  <c r="H16" i="72"/>
  <c r="I16" i="72"/>
  <c r="D18" i="72"/>
  <c r="E18" i="72"/>
  <c r="F18" i="72"/>
  <c r="G18" i="72"/>
  <c r="H18" i="72"/>
  <c r="I18" i="72"/>
  <c r="D21" i="72"/>
  <c r="E21" i="72"/>
  <c r="F21" i="72"/>
  <c r="G21" i="72"/>
  <c r="H21" i="72"/>
  <c r="I21" i="72"/>
  <c r="D23" i="72"/>
  <c r="E23" i="72"/>
  <c r="F23" i="72"/>
  <c r="G23" i="72"/>
  <c r="H23" i="72"/>
  <c r="I23" i="72"/>
  <c r="D26" i="72"/>
  <c r="E26" i="72"/>
  <c r="F26" i="72"/>
  <c r="G26" i="72"/>
  <c r="H26" i="72"/>
  <c r="I26" i="72"/>
  <c r="N33" i="72"/>
  <c r="W33" i="72"/>
  <c r="W32" i="72" s="1"/>
  <c r="N44" i="72"/>
  <c r="T45" i="72"/>
  <c r="R45" i="72" s="1"/>
  <c r="T46" i="72"/>
  <c r="R46" i="72" s="1"/>
  <c r="T47" i="72"/>
  <c r="R47" i="72" s="1"/>
  <c r="T48" i="72"/>
  <c r="R48" i="72" s="1"/>
  <c r="T49" i="72"/>
  <c r="R49" i="72" s="1"/>
  <c r="T50" i="72"/>
  <c r="R50" i="72" s="1"/>
  <c r="Z52" i="72"/>
  <c r="N52" i="72" s="1"/>
  <c r="T53" i="72"/>
  <c r="R53" i="72" s="1"/>
  <c r="T54" i="72"/>
  <c r="R54" i="72" s="1"/>
  <c r="T55" i="72"/>
  <c r="R55" i="72" s="1"/>
  <c r="T56" i="72"/>
  <c r="R56" i="72" s="1"/>
  <c r="T57" i="72"/>
  <c r="R57" i="72" s="1"/>
  <c r="T58" i="72"/>
  <c r="R58" i="72" s="1"/>
  <c r="T61" i="72"/>
  <c r="R61" i="72" s="1"/>
  <c r="T62" i="72"/>
  <c r="R62" i="72" s="1"/>
  <c r="T63" i="72"/>
  <c r="R63" i="72" s="1"/>
  <c r="T64" i="72"/>
  <c r="R64" i="72" s="1"/>
  <c r="T65" i="72"/>
  <c r="R65" i="72" s="1"/>
  <c r="T66" i="72"/>
  <c r="R66" i="72" s="1"/>
  <c r="T69" i="72"/>
  <c r="R69" i="72" s="1"/>
  <c r="T70" i="72"/>
  <c r="R70" i="72" s="1"/>
  <c r="T71" i="72"/>
  <c r="R71" i="72" s="1"/>
  <c r="T72" i="72"/>
  <c r="R72" i="72" s="1"/>
  <c r="T73" i="72"/>
  <c r="R73" i="72" s="1"/>
  <c r="T74" i="72"/>
  <c r="R74" i="72" s="1"/>
  <c r="T77" i="72"/>
  <c r="R77" i="72" s="1"/>
  <c r="T78" i="72"/>
  <c r="R78" i="72" s="1"/>
  <c r="T79" i="72"/>
  <c r="R79" i="72" s="1"/>
  <c r="T80" i="72"/>
  <c r="R80" i="72" s="1"/>
  <c r="T81" i="72"/>
  <c r="R81" i="72" s="1"/>
  <c r="T82" i="72"/>
  <c r="R82" i="72" s="1"/>
  <c r="T85" i="72"/>
  <c r="R85" i="72" s="1"/>
  <c r="T86" i="72"/>
  <c r="R86" i="72" s="1"/>
  <c r="T87" i="72"/>
  <c r="R87" i="72" s="1"/>
  <c r="T88" i="72"/>
  <c r="R88" i="72" s="1"/>
  <c r="T89" i="72"/>
  <c r="R89" i="72" s="1"/>
  <c r="T90" i="72"/>
  <c r="R90" i="72" s="1"/>
  <c r="T93" i="72"/>
  <c r="R93" i="72" s="1"/>
  <c r="T94" i="72"/>
  <c r="R94" i="72" s="1"/>
  <c r="T95" i="72"/>
  <c r="R95" i="72" s="1"/>
  <c r="T96" i="72"/>
  <c r="R96" i="72" s="1"/>
  <c r="T97" i="72"/>
  <c r="R97" i="72" s="1"/>
  <c r="T98" i="72"/>
  <c r="R98" i="72" s="1"/>
  <c r="T101" i="72"/>
  <c r="R101" i="72" s="1"/>
  <c r="T102" i="72"/>
  <c r="R102" i="72" s="1"/>
  <c r="T103" i="72"/>
  <c r="R103" i="72" s="1"/>
  <c r="T104" i="72"/>
  <c r="R104" i="72" s="1"/>
  <c r="T105" i="72"/>
  <c r="R105" i="72" s="1"/>
  <c r="T106" i="72"/>
  <c r="R106" i="72" s="1"/>
  <c r="T109" i="72"/>
  <c r="R109" i="72" s="1"/>
  <c r="T110" i="72"/>
  <c r="R110" i="72" s="1"/>
  <c r="T111" i="72"/>
  <c r="R111" i="72" s="1"/>
  <c r="T112" i="72"/>
  <c r="R112" i="72" s="1"/>
  <c r="T113" i="72"/>
  <c r="R113" i="72" s="1"/>
  <c r="T114" i="72"/>
  <c r="R114" i="72" s="1"/>
  <c r="T117" i="72"/>
  <c r="R117" i="72" s="1"/>
  <c r="T118" i="72"/>
  <c r="R118" i="72" s="1"/>
  <c r="T119" i="72"/>
  <c r="R119" i="72" s="1"/>
  <c r="T120" i="72"/>
  <c r="R120" i="72" s="1"/>
  <c r="T121" i="72"/>
  <c r="R121" i="72" s="1"/>
  <c r="T122" i="72"/>
  <c r="R122" i="72" s="1"/>
  <c r="T125" i="72"/>
  <c r="R125" i="72" s="1"/>
  <c r="T126" i="72"/>
  <c r="R126" i="72" s="1"/>
  <c r="T127" i="72"/>
  <c r="R127" i="72" s="1"/>
  <c r="T128" i="72"/>
  <c r="R128" i="72" s="1"/>
  <c r="T129" i="72"/>
  <c r="R129" i="72" s="1"/>
  <c r="T130" i="72"/>
  <c r="R130" i="72" s="1"/>
  <c r="T133" i="72"/>
  <c r="R133" i="72" s="1"/>
  <c r="T134" i="72"/>
  <c r="R134" i="72" s="1"/>
  <c r="T135" i="72"/>
  <c r="R135" i="72" s="1"/>
  <c r="T136" i="72"/>
  <c r="R136" i="72" s="1"/>
  <c r="T137" i="72"/>
  <c r="R137" i="72" s="1"/>
  <c r="T138" i="72"/>
  <c r="R138" i="72" s="1"/>
  <c r="F4" i="70"/>
  <c r="D5" i="70"/>
  <c r="D42" i="70" s="1" a="1"/>
  <c r="D13" i="70"/>
  <c r="E13" i="70"/>
  <c r="F13" i="70"/>
  <c r="G13" i="70"/>
  <c r="H13" i="70"/>
  <c r="I13" i="70"/>
  <c r="Y13" i="70"/>
  <c r="Y14" i="70"/>
  <c r="D17" i="70"/>
  <c r="E17" i="70"/>
  <c r="F17" i="70"/>
  <c r="G17" i="70"/>
  <c r="H17" i="70"/>
  <c r="I17" i="70"/>
  <c r="D29" i="70"/>
  <c r="E29" i="70"/>
  <c r="F29" i="70"/>
  <c r="G29" i="70"/>
  <c r="H29" i="70"/>
  <c r="I29" i="70"/>
  <c r="D31" i="70"/>
  <c r="E31" i="70"/>
  <c r="F31" i="70"/>
  <c r="G31" i="70"/>
  <c r="H31" i="70"/>
  <c r="I31" i="70"/>
  <c r="N37" i="70"/>
  <c r="W37" i="70"/>
  <c r="W36" i="70" s="1"/>
  <c r="N68" i="70"/>
  <c r="T69" i="70"/>
  <c r="R69" i="70" s="1"/>
  <c r="T70" i="70"/>
  <c r="R70" i="70" s="1"/>
  <c r="T71" i="70"/>
  <c r="R71" i="70" s="1"/>
  <c r="T72" i="70"/>
  <c r="R72" i="70" s="1"/>
  <c r="T73" i="70"/>
  <c r="R73" i="70" s="1"/>
  <c r="T74" i="70"/>
  <c r="R74" i="70" s="1"/>
  <c r="Z76" i="70"/>
  <c r="Z84" i="70" s="1"/>
  <c r="T77" i="70"/>
  <c r="R77" i="70" s="1"/>
  <c r="T78" i="70"/>
  <c r="R78" i="70" s="1"/>
  <c r="T79" i="70"/>
  <c r="R79" i="70" s="1"/>
  <c r="T80" i="70"/>
  <c r="R80" i="70" s="1"/>
  <c r="T81" i="70"/>
  <c r="R81" i="70" s="1"/>
  <c r="T82" i="70"/>
  <c r="R82" i="70" s="1"/>
  <c r="T85" i="70"/>
  <c r="R85" i="70" s="1"/>
  <c r="T86" i="70"/>
  <c r="R86" i="70" s="1"/>
  <c r="T87" i="70"/>
  <c r="R87" i="70" s="1"/>
  <c r="T88" i="70"/>
  <c r="R88" i="70" s="1"/>
  <c r="T89" i="70"/>
  <c r="R89" i="70" s="1"/>
  <c r="T90" i="70"/>
  <c r="R90" i="70" s="1"/>
  <c r="T93" i="70"/>
  <c r="R93" i="70" s="1"/>
  <c r="T94" i="70"/>
  <c r="R94" i="70" s="1"/>
  <c r="T95" i="70"/>
  <c r="R95" i="70" s="1"/>
  <c r="T96" i="70"/>
  <c r="R96" i="70" s="1"/>
  <c r="T97" i="70"/>
  <c r="R97" i="70" s="1"/>
  <c r="T98" i="70"/>
  <c r="R98" i="70" s="1"/>
  <c r="T101" i="70"/>
  <c r="R101" i="70" s="1"/>
  <c r="T102" i="70"/>
  <c r="R102" i="70" s="1"/>
  <c r="T103" i="70"/>
  <c r="R103" i="70" s="1"/>
  <c r="T104" i="70"/>
  <c r="R104" i="70" s="1"/>
  <c r="T105" i="70"/>
  <c r="R105" i="70" s="1"/>
  <c r="T106" i="70"/>
  <c r="R106" i="70" s="1"/>
  <c r="T109" i="70"/>
  <c r="R109" i="70" s="1"/>
  <c r="T110" i="70"/>
  <c r="R110" i="70" s="1"/>
  <c r="T111" i="70"/>
  <c r="R111" i="70" s="1"/>
  <c r="T112" i="70"/>
  <c r="R112" i="70" s="1"/>
  <c r="T113" i="70"/>
  <c r="R113" i="70" s="1"/>
  <c r="T114" i="70"/>
  <c r="R114" i="70" s="1"/>
  <c r="T117" i="70"/>
  <c r="R117" i="70" s="1"/>
  <c r="T118" i="70"/>
  <c r="R118" i="70" s="1"/>
  <c r="T119" i="70"/>
  <c r="R119" i="70" s="1"/>
  <c r="T120" i="70"/>
  <c r="R120" i="70" s="1"/>
  <c r="T121" i="70"/>
  <c r="R121" i="70" s="1"/>
  <c r="T122" i="70"/>
  <c r="R122" i="70" s="1"/>
  <c r="T125" i="70"/>
  <c r="R125" i="70" s="1"/>
  <c r="T126" i="70"/>
  <c r="R126" i="70" s="1"/>
  <c r="T127" i="70"/>
  <c r="R127" i="70" s="1"/>
  <c r="T128" i="70"/>
  <c r="R128" i="70" s="1"/>
  <c r="T129" i="70"/>
  <c r="R129" i="70" s="1"/>
  <c r="T130" i="70"/>
  <c r="R130" i="70" s="1"/>
  <c r="T133" i="70"/>
  <c r="R133" i="70" s="1"/>
  <c r="T134" i="70"/>
  <c r="R134" i="70" s="1"/>
  <c r="T135" i="70"/>
  <c r="R135" i="70" s="1"/>
  <c r="T136" i="70"/>
  <c r="R136" i="70" s="1"/>
  <c r="T137" i="70"/>
  <c r="R137" i="70" s="1"/>
  <c r="T138" i="70"/>
  <c r="R138" i="70" s="1"/>
  <c r="T141" i="70"/>
  <c r="R141" i="70" s="1"/>
  <c r="T142" i="70"/>
  <c r="R142" i="70" s="1"/>
  <c r="T143" i="70"/>
  <c r="R143" i="70" s="1"/>
  <c r="T144" i="70"/>
  <c r="R144" i="70" s="1"/>
  <c r="T145" i="70"/>
  <c r="R145" i="70" s="1"/>
  <c r="T146" i="70"/>
  <c r="R146" i="70" s="1"/>
  <c r="T149" i="70"/>
  <c r="R149" i="70" s="1"/>
  <c r="T150" i="70"/>
  <c r="R150" i="70" s="1"/>
  <c r="T151" i="70"/>
  <c r="R151" i="70" s="1"/>
  <c r="T152" i="70"/>
  <c r="R152" i="70" s="1"/>
  <c r="T153" i="70"/>
  <c r="R153" i="70" s="1"/>
  <c r="T154" i="70"/>
  <c r="R154" i="70" s="1"/>
  <c r="T157" i="70"/>
  <c r="R157" i="70" s="1"/>
  <c r="T158" i="70"/>
  <c r="R158" i="70" s="1"/>
  <c r="T159" i="70"/>
  <c r="R159" i="70" s="1"/>
  <c r="T160" i="70"/>
  <c r="R160" i="70" s="1"/>
  <c r="T161" i="70"/>
  <c r="R161" i="70" s="1"/>
  <c r="T162" i="70"/>
  <c r="R162" i="70" s="1"/>
  <c r="T165" i="70"/>
  <c r="R165" i="70" s="1"/>
  <c r="T166" i="70"/>
  <c r="R166" i="70" s="1"/>
  <c r="T167" i="70"/>
  <c r="R167" i="70" s="1"/>
  <c r="T168" i="70"/>
  <c r="R168" i="70" s="1"/>
  <c r="T169" i="70"/>
  <c r="R169" i="70" s="1"/>
  <c r="T170" i="70"/>
  <c r="R170" i="70" s="1"/>
  <c r="T173" i="70"/>
  <c r="R173" i="70" s="1"/>
  <c r="T174" i="70"/>
  <c r="R174" i="70" s="1"/>
  <c r="T175" i="70"/>
  <c r="R175" i="70" s="1"/>
  <c r="T176" i="70"/>
  <c r="R176" i="70" s="1"/>
  <c r="T177" i="70"/>
  <c r="R177" i="70" s="1"/>
  <c r="T178" i="70"/>
  <c r="R178" i="70" s="1"/>
  <c r="T181" i="70"/>
  <c r="R181" i="70" s="1"/>
  <c r="T182" i="70"/>
  <c r="R182" i="70" s="1"/>
  <c r="T183" i="70"/>
  <c r="R183" i="70" s="1"/>
  <c r="T184" i="70"/>
  <c r="R184" i="70" s="1"/>
  <c r="T185" i="70"/>
  <c r="R185" i="70" s="1"/>
  <c r="T186" i="70"/>
  <c r="R186" i="70" s="1"/>
  <c r="T189" i="70"/>
  <c r="R189" i="70" s="1"/>
  <c r="T190" i="70"/>
  <c r="R190" i="70" s="1"/>
  <c r="T191" i="70"/>
  <c r="R191" i="70" s="1"/>
  <c r="T192" i="70"/>
  <c r="R192" i="70" s="1"/>
  <c r="T193" i="70"/>
  <c r="R193" i="70" s="1"/>
  <c r="T194" i="70"/>
  <c r="R194" i="70" s="1"/>
  <c r="T197" i="70"/>
  <c r="R197" i="70" s="1"/>
  <c r="T198" i="70"/>
  <c r="R198" i="70" s="1"/>
  <c r="T199" i="70"/>
  <c r="R199" i="70" s="1"/>
  <c r="T200" i="70"/>
  <c r="R200" i="70" s="1"/>
  <c r="T201" i="70"/>
  <c r="R201" i="70" s="1"/>
  <c r="T202" i="70"/>
  <c r="R202" i="70" s="1"/>
  <c r="T205" i="70"/>
  <c r="R205" i="70" s="1"/>
  <c r="T206" i="70"/>
  <c r="R206" i="70" s="1"/>
  <c r="T207" i="70"/>
  <c r="R207" i="70" s="1"/>
  <c r="T208" i="70"/>
  <c r="R208" i="70" s="1"/>
  <c r="T209" i="70"/>
  <c r="R209" i="70" s="1"/>
  <c r="T210" i="70"/>
  <c r="R210" i="70" s="1"/>
  <c r="T213" i="70"/>
  <c r="R213" i="70" s="1"/>
  <c r="T214" i="70"/>
  <c r="R214" i="70" s="1"/>
  <c r="T215" i="70"/>
  <c r="R215" i="70" s="1"/>
  <c r="T216" i="70"/>
  <c r="R216" i="70" s="1"/>
  <c r="T217" i="70"/>
  <c r="R217" i="70" s="1"/>
  <c r="T218" i="70"/>
  <c r="R218" i="70" s="1"/>
  <c r="T221" i="70"/>
  <c r="R221" i="70" s="1"/>
  <c r="T222" i="70"/>
  <c r="R222" i="70" s="1"/>
  <c r="T223" i="70"/>
  <c r="R223" i="70" s="1"/>
  <c r="T224" i="70"/>
  <c r="R224" i="70" s="1"/>
  <c r="T225" i="70"/>
  <c r="R225" i="70" s="1"/>
  <c r="T226" i="70"/>
  <c r="R226" i="70" s="1"/>
  <c r="T229" i="70"/>
  <c r="R229" i="70" s="1"/>
  <c r="T230" i="70"/>
  <c r="R230" i="70" s="1"/>
  <c r="T231" i="70"/>
  <c r="R231" i="70" s="1"/>
  <c r="T232" i="70"/>
  <c r="R232" i="70" s="1"/>
  <c r="T233" i="70"/>
  <c r="R233" i="70" s="1"/>
  <c r="T234" i="70"/>
  <c r="R234" i="70" s="1"/>
  <c r="F4" i="69"/>
  <c r="D5" i="69"/>
  <c r="D44" i="69" s="1" a="1"/>
  <c r="H44" i="69" s="1"/>
  <c r="P60" i="69" s="1"/>
  <c r="D13" i="69"/>
  <c r="E13" i="69"/>
  <c r="F13" i="69"/>
  <c r="G13" i="69"/>
  <c r="H13" i="69"/>
  <c r="I13" i="69"/>
  <c r="Y14" i="69"/>
  <c r="D22" i="69"/>
  <c r="E22" i="69"/>
  <c r="F22" i="69"/>
  <c r="G22" i="69"/>
  <c r="H22" i="69"/>
  <c r="I22" i="69"/>
  <c r="D26" i="69"/>
  <c r="E26" i="69"/>
  <c r="F26" i="69"/>
  <c r="G26" i="69"/>
  <c r="H26" i="69"/>
  <c r="I26" i="69"/>
  <c r="D34" i="69"/>
  <c r="E34" i="69"/>
  <c r="F34" i="69"/>
  <c r="G34" i="69"/>
  <c r="H34" i="69"/>
  <c r="I34" i="69"/>
  <c r="D37" i="69"/>
  <c r="E37" i="69"/>
  <c r="F37" i="69"/>
  <c r="G37" i="69"/>
  <c r="H37" i="69"/>
  <c r="I37" i="69"/>
  <c r="N44" i="69"/>
  <c r="W44" i="69"/>
  <c r="W43" i="69" s="1"/>
  <c r="N55" i="69"/>
  <c r="T56" i="69"/>
  <c r="R56" i="69" s="1"/>
  <c r="T57" i="69"/>
  <c r="R57" i="69" s="1"/>
  <c r="T58" i="69"/>
  <c r="R58" i="69" s="1"/>
  <c r="T59" i="69"/>
  <c r="R59" i="69" s="1"/>
  <c r="T60" i="69"/>
  <c r="R60" i="69" s="1"/>
  <c r="T61" i="69"/>
  <c r="R61" i="69" s="1"/>
  <c r="Z63" i="69"/>
  <c r="N63" i="69" s="1"/>
  <c r="T64" i="69"/>
  <c r="R64" i="69" s="1"/>
  <c r="T65" i="69"/>
  <c r="R65" i="69" s="1"/>
  <c r="T66" i="69"/>
  <c r="R66" i="69" s="1"/>
  <c r="T67" i="69"/>
  <c r="R67" i="69" s="1"/>
  <c r="T68" i="69"/>
  <c r="R68" i="69" s="1"/>
  <c r="T69" i="69"/>
  <c r="R69" i="69" s="1"/>
  <c r="T72" i="69"/>
  <c r="R72" i="69" s="1"/>
  <c r="T73" i="69"/>
  <c r="R73" i="69" s="1"/>
  <c r="T74" i="69"/>
  <c r="R74" i="69" s="1"/>
  <c r="T75" i="69"/>
  <c r="R75" i="69" s="1"/>
  <c r="T76" i="69"/>
  <c r="R76" i="69" s="1"/>
  <c r="T77" i="69"/>
  <c r="R77" i="69" s="1"/>
  <c r="T80" i="69"/>
  <c r="R80" i="69" s="1"/>
  <c r="T81" i="69"/>
  <c r="R81" i="69" s="1"/>
  <c r="T82" i="69"/>
  <c r="R82" i="69" s="1"/>
  <c r="T83" i="69"/>
  <c r="R83" i="69" s="1"/>
  <c r="T84" i="69"/>
  <c r="R84" i="69" s="1"/>
  <c r="T85" i="69"/>
  <c r="R85" i="69" s="1"/>
  <c r="T88" i="69"/>
  <c r="R88" i="69" s="1"/>
  <c r="T89" i="69"/>
  <c r="R89" i="69" s="1"/>
  <c r="T90" i="69"/>
  <c r="R90" i="69" s="1"/>
  <c r="T91" i="69"/>
  <c r="R91" i="69" s="1"/>
  <c r="T92" i="69"/>
  <c r="R92" i="69" s="1"/>
  <c r="T93" i="69"/>
  <c r="R93" i="69" s="1"/>
  <c r="T96" i="69"/>
  <c r="R96" i="69" s="1"/>
  <c r="T97" i="69"/>
  <c r="R97" i="69" s="1"/>
  <c r="T98" i="69"/>
  <c r="R98" i="69" s="1"/>
  <c r="T99" i="69"/>
  <c r="R99" i="69" s="1"/>
  <c r="T100" i="69"/>
  <c r="R100" i="69" s="1"/>
  <c r="T101" i="69"/>
  <c r="R101" i="69" s="1"/>
  <c r="T104" i="69"/>
  <c r="R104" i="69" s="1"/>
  <c r="T105" i="69"/>
  <c r="R105" i="69" s="1"/>
  <c r="T106" i="69"/>
  <c r="R106" i="69" s="1"/>
  <c r="T107" i="69"/>
  <c r="R107" i="69" s="1"/>
  <c r="T108" i="69"/>
  <c r="R108" i="69" s="1"/>
  <c r="T109" i="69"/>
  <c r="R109" i="69" s="1"/>
  <c r="T112" i="69"/>
  <c r="R112" i="69" s="1"/>
  <c r="T113" i="69"/>
  <c r="R113" i="69" s="1"/>
  <c r="T114" i="69"/>
  <c r="R114" i="69" s="1"/>
  <c r="T115" i="69"/>
  <c r="R115" i="69" s="1"/>
  <c r="T116" i="69"/>
  <c r="R116" i="69" s="1"/>
  <c r="T117" i="69"/>
  <c r="R117" i="69" s="1"/>
  <c r="T120" i="69"/>
  <c r="R120" i="69" s="1"/>
  <c r="T121" i="69"/>
  <c r="R121" i="69" s="1"/>
  <c r="T122" i="69"/>
  <c r="R122" i="69" s="1"/>
  <c r="T123" i="69"/>
  <c r="R123" i="69" s="1"/>
  <c r="T124" i="69"/>
  <c r="R124" i="69" s="1"/>
  <c r="T125" i="69"/>
  <c r="R125" i="69" s="1"/>
  <c r="T128" i="69"/>
  <c r="R128" i="69" s="1"/>
  <c r="T129" i="69"/>
  <c r="R129" i="69" s="1"/>
  <c r="T130" i="69"/>
  <c r="R130" i="69" s="1"/>
  <c r="T131" i="69"/>
  <c r="R131" i="69" s="1"/>
  <c r="T132" i="69"/>
  <c r="R132" i="69" s="1"/>
  <c r="T133" i="69"/>
  <c r="R133" i="69" s="1"/>
  <c r="T136" i="69"/>
  <c r="R136" i="69" s="1"/>
  <c r="T137" i="69"/>
  <c r="R137" i="69" s="1"/>
  <c r="T138" i="69"/>
  <c r="R138" i="69" s="1"/>
  <c r="T139" i="69"/>
  <c r="R139" i="69" s="1"/>
  <c r="T140" i="69"/>
  <c r="R140" i="69" s="1"/>
  <c r="T141" i="69"/>
  <c r="R141" i="69" s="1"/>
  <c r="T144" i="69"/>
  <c r="R144" i="69" s="1"/>
  <c r="T145" i="69"/>
  <c r="R145" i="69" s="1"/>
  <c r="T146" i="69"/>
  <c r="R146" i="69" s="1"/>
  <c r="T147" i="69"/>
  <c r="R147" i="69" s="1"/>
  <c r="T148" i="69"/>
  <c r="R148" i="69" s="1"/>
  <c r="T149" i="69"/>
  <c r="R149" i="69" s="1"/>
  <c r="T152" i="69"/>
  <c r="R152" i="69" s="1"/>
  <c r="T153" i="69"/>
  <c r="R153" i="69" s="1"/>
  <c r="T154" i="69"/>
  <c r="R154" i="69" s="1"/>
  <c r="T155" i="69"/>
  <c r="R155" i="69" s="1"/>
  <c r="T156" i="69"/>
  <c r="R156" i="69" s="1"/>
  <c r="T157" i="69"/>
  <c r="R157" i="69" s="1"/>
  <c r="T160" i="69"/>
  <c r="R160" i="69" s="1"/>
  <c r="T161" i="69"/>
  <c r="R161" i="69" s="1"/>
  <c r="T162" i="69"/>
  <c r="R162" i="69" s="1"/>
  <c r="T163" i="69"/>
  <c r="R163" i="69" s="1"/>
  <c r="T164" i="69"/>
  <c r="R164" i="69" s="1"/>
  <c r="T165" i="69"/>
  <c r="R165" i="69" s="1"/>
  <c r="T168" i="69"/>
  <c r="R168" i="69" s="1"/>
  <c r="T169" i="69"/>
  <c r="R169" i="69" s="1"/>
  <c r="T170" i="69"/>
  <c r="R170" i="69" s="1"/>
  <c r="T171" i="69"/>
  <c r="R171" i="69" s="1"/>
  <c r="T172" i="69"/>
  <c r="R172" i="69" s="1"/>
  <c r="T173" i="69"/>
  <c r="R173" i="69" s="1"/>
  <c r="T176" i="69"/>
  <c r="R176" i="69" s="1"/>
  <c r="T177" i="69"/>
  <c r="R177" i="69" s="1"/>
  <c r="T178" i="69"/>
  <c r="R178" i="69" s="1"/>
  <c r="T179" i="69"/>
  <c r="R179" i="69" s="1"/>
  <c r="T180" i="69"/>
  <c r="R180" i="69" s="1"/>
  <c r="T181" i="69"/>
  <c r="R181" i="69" s="1"/>
  <c r="T184" i="69"/>
  <c r="R184" i="69" s="1"/>
  <c r="T185" i="69"/>
  <c r="R185" i="69" s="1"/>
  <c r="T186" i="69"/>
  <c r="R186" i="69" s="1"/>
  <c r="T187" i="69"/>
  <c r="R187" i="69" s="1"/>
  <c r="T188" i="69"/>
  <c r="R188" i="69" s="1"/>
  <c r="T189" i="69"/>
  <c r="R189" i="69" s="1"/>
  <c r="T192" i="69"/>
  <c r="R192" i="69" s="1"/>
  <c r="T193" i="69"/>
  <c r="R193" i="69" s="1"/>
  <c r="T194" i="69"/>
  <c r="R194" i="69" s="1"/>
  <c r="T195" i="69"/>
  <c r="R195" i="69" s="1"/>
  <c r="T196" i="69"/>
  <c r="R196" i="69" s="1"/>
  <c r="T197" i="69"/>
  <c r="R197" i="69" s="1"/>
  <c r="T200" i="69"/>
  <c r="R200" i="69" s="1"/>
  <c r="T201" i="69"/>
  <c r="R201" i="69" s="1"/>
  <c r="T202" i="69"/>
  <c r="R202" i="69" s="1"/>
  <c r="T203" i="69"/>
  <c r="R203" i="69" s="1"/>
  <c r="T204" i="69"/>
  <c r="R204" i="69" s="1"/>
  <c r="T205" i="69"/>
  <c r="R205" i="69" s="1"/>
  <c r="T208" i="69"/>
  <c r="R208" i="69" s="1"/>
  <c r="T209" i="69"/>
  <c r="R209" i="69" s="1"/>
  <c r="T210" i="69"/>
  <c r="R210" i="69" s="1"/>
  <c r="T211" i="69"/>
  <c r="R211" i="69" s="1"/>
  <c r="T212" i="69"/>
  <c r="R212" i="69" s="1"/>
  <c r="T213" i="69"/>
  <c r="R213" i="69" s="1"/>
  <c r="T216" i="69"/>
  <c r="R216" i="69" s="1"/>
  <c r="T217" i="69"/>
  <c r="R217" i="69" s="1"/>
  <c r="T218" i="69"/>
  <c r="R218" i="69" s="1"/>
  <c r="T219" i="69"/>
  <c r="R219" i="69" s="1"/>
  <c r="T220" i="69"/>
  <c r="R220" i="69" s="1"/>
  <c r="T221" i="69"/>
  <c r="R221" i="69" s="1"/>
  <c r="T224" i="69"/>
  <c r="R224" i="69" s="1"/>
  <c r="T225" i="69"/>
  <c r="R225" i="69" s="1"/>
  <c r="T226" i="69"/>
  <c r="R226" i="69" s="1"/>
  <c r="T227" i="69"/>
  <c r="R227" i="69" s="1"/>
  <c r="T228" i="69"/>
  <c r="R228" i="69" s="1"/>
  <c r="T229" i="69"/>
  <c r="R229" i="69" s="1"/>
  <c r="T232" i="69"/>
  <c r="R232" i="69" s="1"/>
  <c r="T233" i="69"/>
  <c r="R233" i="69" s="1"/>
  <c r="T234" i="69"/>
  <c r="R234" i="69" s="1"/>
  <c r="T235" i="69"/>
  <c r="R235" i="69" s="1"/>
  <c r="T236" i="69"/>
  <c r="R236" i="69" s="1"/>
  <c r="T237" i="69"/>
  <c r="R237" i="69" s="1"/>
  <c r="T240" i="69"/>
  <c r="R240" i="69" s="1"/>
  <c r="T241" i="69"/>
  <c r="R241" i="69" s="1"/>
  <c r="T242" i="69"/>
  <c r="R242" i="69" s="1"/>
  <c r="T243" i="69"/>
  <c r="R243" i="69" s="1"/>
  <c r="T244" i="69"/>
  <c r="R244" i="69" s="1"/>
  <c r="T245" i="69"/>
  <c r="R245" i="69" s="1"/>
  <c r="F4" i="68"/>
  <c r="D5" i="68"/>
  <c r="D35" i="68" s="1" a="1"/>
  <c r="H35" i="68" s="1"/>
  <c r="D13" i="68"/>
  <c r="E13" i="68"/>
  <c r="F13" i="68"/>
  <c r="G13" i="68"/>
  <c r="H13" i="68"/>
  <c r="I13" i="68"/>
  <c r="Y13" i="68"/>
  <c r="Y14" i="68"/>
  <c r="D15" i="68"/>
  <c r="E15" i="68"/>
  <c r="F15" i="68"/>
  <c r="G15" i="68"/>
  <c r="H15" i="68"/>
  <c r="I15" i="68"/>
  <c r="Y15" i="68"/>
  <c r="Y16" i="68"/>
  <c r="Y17" i="68"/>
  <c r="Y18" i="68"/>
  <c r="Y19" i="68"/>
  <c r="Y20" i="68"/>
  <c r="D21" i="68"/>
  <c r="E21" i="68"/>
  <c r="F21" i="68"/>
  <c r="G21" i="68"/>
  <c r="H21" i="68"/>
  <c r="I21" i="68"/>
  <c r="Y21" i="68"/>
  <c r="Y22" i="68"/>
  <c r="Y23" i="68"/>
  <c r="Y24" i="68"/>
  <c r="D25" i="68"/>
  <c r="E25" i="68"/>
  <c r="F25" i="68"/>
  <c r="G25" i="68"/>
  <c r="H25" i="68"/>
  <c r="I25" i="68"/>
  <c r="Y25" i="68"/>
  <c r="Y26" i="68"/>
  <c r="Y27" i="68"/>
  <c r="Y28" i="68"/>
  <c r="D28" i="68"/>
  <c r="E28" i="68"/>
  <c r="F28" i="68"/>
  <c r="G28" i="68"/>
  <c r="H28" i="68"/>
  <c r="I28" i="68"/>
  <c r="Y29" i="68"/>
  <c r="Y30" i="68"/>
  <c r="Y31" i="68"/>
  <c r="Y32" i="68"/>
  <c r="N35" i="68"/>
  <c r="W35" i="68"/>
  <c r="W34" i="68" s="1"/>
  <c r="N46" i="68"/>
  <c r="T47" i="68"/>
  <c r="R47" i="68" s="1"/>
  <c r="T48" i="68"/>
  <c r="R48" i="68" s="1"/>
  <c r="T49" i="68"/>
  <c r="R49" i="68" s="1"/>
  <c r="T50" i="68"/>
  <c r="R50" i="68" s="1"/>
  <c r="T51" i="68"/>
  <c r="R51" i="68" s="1"/>
  <c r="D50" i="68" a="1"/>
  <c r="D50" i="68" s="1"/>
  <c r="T52" i="68"/>
  <c r="R52" i="68" s="1"/>
  <c r="Z54" i="68"/>
  <c r="N54" i="68" s="1"/>
  <c r="T55" i="68"/>
  <c r="R55" i="68" s="1"/>
  <c r="T56" i="68"/>
  <c r="R56" i="68" s="1"/>
  <c r="T57" i="68"/>
  <c r="R57" i="68" s="1"/>
  <c r="T58" i="68"/>
  <c r="R58" i="68" s="1"/>
  <c r="T59" i="68"/>
  <c r="R59" i="68" s="1"/>
  <c r="T60" i="68"/>
  <c r="R60" i="68" s="1"/>
  <c r="Z62" i="68"/>
  <c r="N62" i="68" s="1"/>
  <c r="T63" i="68"/>
  <c r="R63" i="68" s="1"/>
  <c r="T64" i="68"/>
  <c r="R64" i="68" s="1"/>
  <c r="T65" i="68"/>
  <c r="R65" i="68" s="1"/>
  <c r="T66" i="68"/>
  <c r="R66" i="68" s="1"/>
  <c r="T67" i="68"/>
  <c r="R67" i="68" s="1"/>
  <c r="T68" i="68"/>
  <c r="R68" i="68" s="1"/>
  <c r="T71" i="68"/>
  <c r="R71" i="68" s="1"/>
  <c r="T72" i="68"/>
  <c r="R72" i="68" s="1"/>
  <c r="T73" i="68"/>
  <c r="R73" i="68" s="1"/>
  <c r="T74" i="68"/>
  <c r="R74" i="68" s="1"/>
  <c r="T75" i="68"/>
  <c r="R75" i="68" s="1"/>
  <c r="T76" i="68"/>
  <c r="R76" i="68" s="1"/>
  <c r="T79" i="68"/>
  <c r="R79" i="68" s="1"/>
  <c r="T80" i="68"/>
  <c r="R80" i="68" s="1"/>
  <c r="T81" i="68"/>
  <c r="R81" i="68" s="1"/>
  <c r="T82" i="68"/>
  <c r="R82" i="68" s="1"/>
  <c r="T83" i="68"/>
  <c r="R83" i="68" s="1"/>
  <c r="T84" i="68"/>
  <c r="R84" i="68" s="1"/>
  <c r="T87" i="68"/>
  <c r="R87" i="68" s="1"/>
  <c r="T88" i="68"/>
  <c r="R88" i="68" s="1"/>
  <c r="T89" i="68"/>
  <c r="R89" i="68" s="1"/>
  <c r="T90" i="68"/>
  <c r="R90" i="68" s="1"/>
  <c r="T91" i="68"/>
  <c r="R91" i="68" s="1"/>
  <c r="T92" i="68"/>
  <c r="R92" i="68" s="1"/>
  <c r="T95" i="68"/>
  <c r="R95" i="68" s="1"/>
  <c r="T96" i="68"/>
  <c r="R96" i="68" s="1"/>
  <c r="T97" i="68"/>
  <c r="R97" i="68" s="1"/>
  <c r="T98" i="68"/>
  <c r="R98" i="68" s="1"/>
  <c r="T99" i="68"/>
  <c r="R99" i="68" s="1"/>
  <c r="T100" i="68"/>
  <c r="R100" i="68" s="1"/>
  <c r="T103" i="68"/>
  <c r="R103" i="68" s="1"/>
  <c r="T104" i="68"/>
  <c r="R104" i="68" s="1"/>
  <c r="T105" i="68"/>
  <c r="R105" i="68" s="1"/>
  <c r="T106" i="68"/>
  <c r="R106" i="68" s="1"/>
  <c r="T107" i="68"/>
  <c r="R107" i="68" s="1"/>
  <c r="T108" i="68"/>
  <c r="R108" i="68" s="1"/>
  <c r="T111" i="68"/>
  <c r="R111" i="68" s="1"/>
  <c r="T112" i="68"/>
  <c r="R112" i="68" s="1"/>
  <c r="T113" i="68"/>
  <c r="R113" i="68" s="1"/>
  <c r="T114" i="68"/>
  <c r="R114" i="68" s="1"/>
  <c r="T115" i="68"/>
  <c r="R115" i="68" s="1"/>
  <c r="T116" i="68"/>
  <c r="R116" i="68" s="1"/>
  <c r="T119" i="68"/>
  <c r="R119" i="68" s="1"/>
  <c r="T120" i="68"/>
  <c r="R120" i="68" s="1"/>
  <c r="T121" i="68"/>
  <c r="R121" i="68" s="1"/>
  <c r="T122" i="68"/>
  <c r="R122" i="68" s="1"/>
  <c r="T123" i="68"/>
  <c r="R123" i="68" s="1"/>
  <c r="T124" i="68"/>
  <c r="R124" i="68" s="1"/>
  <c r="T127" i="68"/>
  <c r="R127" i="68" s="1"/>
  <c r="T128" i="68"/>
  <c r="R128" i="68" s="1"/>
  <c r="T129" i="68"/>
  <c r="R129" i="68" s="1"/>
  <c r="T130" i="68"/>
  <c r="R130" i="68" s="1"/>
  <c r="T131" i="68"/>
  <c r="R131" i="68" s="1"/>
  <c r="T132" i="68"/>
  <c r="R132" i="68" s="1"/>
  <c r="T135" i="68"/>
  <c r="R135" i="68" s="1"/>
  <c r="T136" i="68"/>
  <c r="R136" i="68" s="1"/>
  <c r="T137" i="68"/>
  <c r="R137" i="68" s="1"/>
  <c r="T138" i="68"/>
  <c r="R138" i="68" s="1"/>
  <c r="T139" i="68"/>
  <c r="R139" i="68" s="1"/>
  <c r="T140" i="68"/>
  <c r="R140" i="68" s="1"/>
  <c r="T143" i="68"/>
  <c r="R143" i="68" s="1"/>
  <c r="T144" i="68"/>
  <c r="R144" i="68" s="1"/>
  <c r="T145" i="68"/>
  <c r="R145" i="68" s="1"/>
  <c r="T146" i="68"/>
  <c r="R146" i="68" s="1"/>
  <c r="T147" i="68"/>
  <c r="R147" i="68" s="1"/>
  <c r="T148" i="68"/>
  <c r="R148" i="68" s="1"/>
  <c r="T151" i="68"/>
  <c r="R151" i="68" s="1"/>
  <c r="T152" i="68"/>
  <c r="R152" i="68" s="1"/>
  <c r="T153" i="68"/>
  <c r="R153" i="68" s="1"/>
  <c r="T154" i="68"/>
  <c r="R154" i="68" s="1"/>
  <c r="T155" i="68"/>
  <c r="R155" i="68" s="1"/>
  <c r="T156" i="68"/>
  <c r="R156" i="68" s="1"/>
  <c r="T159" i="68"/>
  <c r="R159" i="68" s="1"/>
  <c r="T160" i="68"/>
  <c r="R160" i="68" s="1"/>
  <c r="T161" i="68"/>
  <c r="R161" i="68" s="1"/>
  <c r="T162" i="68"/>
  <c r="R162" i="68" s="1"/>
  <c r="T163" i="68"/>
  <c r="R163" i="68" s="1"/>
  <c r="T164" i="68"/>
  <c r="R164" i="68" s="1"/>
  <c r="F4" i="49"/>
  <c r="D13" i="49"/>
  <c r="E13" i="49"/>
  <c r="F13" i="49"/>
  <c r="G13" i="49"/>
  <c r="H13" i="49"/>
  <c r="I13" i="49"/>
  <c r="Y13" i="49"/>
  <c r="Y14" i="49"/>
  <c r="D24" i="49"/>
  <c r="E24" i="49"/>
  <c r="F24" i="49"/>
  <c r="G24" i="49"/>
  <c r="H24" i="49"/>
  <c r="I24" i="49"/>
  <c r="N29" i="49"/>
  <c r="W29" i="49"/>
  <c r="W28" i="49" s="1"/>
  <c r="N46" i="49"/>
  <c r="T47" i="49"/>
  <c r="R47" i="49" s="1"/>
  <c r="T48" i="49"/>
  <c r="R48" i="49" s="1"/>
  <c r="T49" i="49"/>
  <c r="R49" i="49" s="1"/>
  <c r="T50" i="49"/>
  <c r="R50" i="49" s="1"/>
  <c r="T51" i="49"/>
  <c r="R51" i="49" s="1"/>
  <c r="T52" i="49"/>
  <c r="R52" i="49" s="1"/>
  <c r="Z54" i="49"/>
  <c r="Z62" i="49" s="1"/>
  <c r="T55" i="49"/>
  <c r="R55" i="49" s="1"/>
  <c r="T56" i="49"/>
  <c r="R56" i="49" s="1"/>
  <c r="T57" i="49"/>
  <c r="R57" i="49" s="1"/>
  <c r="T58" i="49"/>
  <c r="R58" i="49" s="1"/>
  <c r="T59" i="49"/>
  <c r="R59" i="49" s="1"/>
  <c r="T60" i="49"/>
  <c r="R60" i="49" s="1"/>
  <c r="T63" i="49"/>
  <c r="R63" i="49" s="1"/>
  <c r="T64" i="49"/>
  <c r="R64" i="49" s="1"/>
  <c r="T65" i="49"/>
  <c r="R65" i="49" s="1"/>
  <c r="T66" i="49"/>
  <c r="R66" i="49" s="1"/>
  <c r="T67" i="49"/>
  <c r="R67" i="49" s="1"/>
  <c r="T68" i="49"/>
  <c r="R68" i="49" s="1"/>
  <c r="T71" i="49"/>
  <c r="R71" i="49" s="1"/>
  <c r="T72" i="49"/>
  <c r="R72" i="49" s="1"/>
  <c r="T73" i="49"/>
  <c r="R73" i="49" s="1"/>
  <c r="T74" i="49"/>
  <c r="R74" i="49" s="1"/>
  <c r="T75" i="49"/>
  <c r="R75" i="49" s="1"/>
  <c r="T76" i="49"/>
  <c r="R76" i="49" s="1"/>
  <c r="T79" i="49"/>
  <c r="R79" i="49" s="1"/>
  <c r="T80" i="49"/>
  <c r="R80" i="49" s="1"/>
  <c r="T81" i="49"/>
  <c r="R81" i="49" s="1"/>
  <c r="T82" i="49"/>
  <c r="R82" i="49" s="1"/>
  <c r="T83" i="49"/>
  <c r="R83" i="49" s="1"/>
  <c r="T84" i="49"/>
  <c r="R84" i="49" s="1"/>
  <c r="T87" i="49"/>
  <c r="R87" i="49" s="1"/>
  <c r="T88" i="49"/>
  <c r="R88" i="49" s="1"/>
  <c r="T89" i="49"/>
  <c r="R89" i="49" s="1"/>
  <c r="T90" i="49"/>
  <c r="R90" i="49" s="1"/>
  <c r="T91" i="49"/>
  <c r="R91" i="49" s="1"/>
  <c r="T92" i="49"/>
  <c r="R92" i="49" s="1"/>
  <c r="T95" i="49"/>
  <c r="R95" i="49" s="1"/>
  <c r="T96" i="49"/>
  <c r="R96" i="49" s="1"/>
  <c r="T97" i="49"/>
  <c r="R97" i="49" s="1"/>
  <c r="T98" i="49"/>
  <c r="R98" i="49" s="1"/>
  <c r="T99" i="49"/>
  <c r="R99" i="49" s="1"/>
  <c r="T100" i="49"/>
  <c r="R100" i="49" s="1"/>
  <c r="T103" i="49"/>
  <c r="R103" i="49" s="1"/>
  <c r="T104" i="49"/>
  <c r="R104" i="49" s="1"/>
  <c r="T105" i="49"/>
  <c r="R105" i="49" s="1"/>
  <c r="T106" i="49"/>
  <c r="R106" i="49" s="1"/>
  <c r="T107" i="49"/>
  <c r="R107" i="49" s="1"/>
  <c r="T108" i="49"/>
  <c r="R108" i="49" s="1"/>
  <c r="T111" i="49"/>
  <c r="R111" i="49" s="1"/>
  <c r="T112" i="49"/>
  <c r="R112" i="49" s="1"/>
  <c r="T113" i="49"/>
  <c r="R113" i="49" s="1"/>
  <c r="T114" i="49"/>
  <c r="R114" i="49" s="1"/>
  <c r="T115" i="49"/>
  <c r="R115" i="49" s="1"/>
  <c r="T116" i="49"/>
  <c r="R116" i="49" s="1"/>
  <c r="T119" i="49"/>
  <c r="R119" i="49" s="1"/>
  <c r="T120" i="49"/>
  <c r="R120" i="49" s="1"/>
  <c r="T121" i="49"/>
  <c r="R121" i="49" s="1"/>
  <c r="T122" i="49"/>
  <c r="R122" i="49" s="1"/>
  <c r="T123" i="49"/>
  <c r="R123" i="49" s="1"/>
  <c r="T124" i="49"/>
  <c r="R124" i="49" s="1"/>
  <c r="T127" i="49"/>
  <c r="R127" i="49" s="1"/>
  <c r="T128" i="49"/>
  <c r="R128" i="49" s="1"/>
  <c r="T129" i="49"/>
  <c r="R129" i="49" s="1"/>
  <c r="T130" i="49"/>
  <c r="R130" i="49" s="1"/>
  <c r="T131" i="49"/>
  <c r="R131" i="49" s="1"/>
  <c r="T132" i="49"/>
  <c r="R132" i="49" s="1"/>
  <c r="T135" i="49"/>
  <c r="R135" i="49" s="1"/>
  <c r="T136" i="49"/>
  <c r="R136" i="49" s="1"/>
  <c r="T137" i="49"/>
  <c r="R137" i="49" s="1"/>
  <c r="T138" i="49"/>
  <c r="R138" i="49" s="1"/>
  <c r="T139" i="49"/>
  <c r="R139" i="49" s="1"/>
  <c r="T140" i="49"/>
  <c r="R140" i="49" s="1"/>
  <c r="D5" i="34"/>
  <c r="D13" i="34"/>
  <c r="E13" i="34"/>
  <c r="F13" i="34"/>
  <c r="G13" i="34"/>
  <c r="H13" i="34"/>
  <c r="I13" i="34"/>
  <c r="Y13" i="34"/>
  <c r="Y14" i="34"/>
  <c r="D34" i="34"/>
  <c r="D20" i="34" s="1"/>
  <c r="D17" i="34" s="1"/>
  <c r="E34" i="34"/>
  <c r="E20" i="34" s="1"/>
  <c r="E17" i="34" s="1"/>
  <c r="F34" i="34"/>
  <c r="F20" i="34" s="1"/>
  <c r="F17" i="34" s="1"/>
  <c r="G34" i="34"/>
  <c r="G20" i="34" s="1"/>
  <c r="G17" i="34" s="1"/>
  <c r="H34" i="34"/>
  <c r="I34" i="34"/>
  <c r="I20" i="34" s="1"/>
  <c r="I17" i="34" s="1"/>
  <c r="D37" i="34"/>
  <c r="E37" i="34"/>
  <c r="F37" i="34"/>
  <c r="G37" i="34"/>
  <c r="H37" i="34"/>
  <c r="I37" i="34"/>
  <c r="N43" i="34"/>
  <c r="W43" i="34"/>
  <c r="W42" i="34" s="1"/>
  <c r="N74" i="34"/>
  <c r="T75" i="34"/>
  <c r="R75" i="34" s="1"/>
  <c r="T76" i="34"/>
  <c r="R76" i="34" s="1"/>
  <c r="T77" i="34"/>
  <c r="R77" i="34" s="1"/>
  <c r="T78" i="34"/>
  <c r="R78" i="34" s="1"/>
  <c r="T79" i="34"/>
  <c r="R79" i="34" s="1"/>
  <c r="T80" i="34"/>
  <c r="R80" i="34" s="1"/>
  <c r="Z82" i="34"/>
  <c r="N82" i="34" s="1"/>
  <c r="T83" i="34"/>
  <c r="R83" i="34" s="1"/>
  <c r="T84" i="34"/>
  <c r="R84" i="34" s="1"/>
  <c r="T85" i="34"/>
  <c r="R85" i="34" s="1"/>
  <c r="T86" i="34"/>
  <c r="R86" i="34" s="1"/>
  <c r="T87" i="34"/>
  <c r="R87" i="34" s="1"/>
  <c r="T88" i="34"/>
  <c r="R88" i="34" s="1"/>
  <c r="T91" i="34"/>
  <c r="R91" i="34" s="1"/>
  <c r="T92" i="34"/>
  <c r="R92" i="34" s="1"/>
  <c r="T93" i="34"/>
  <c r="R93" i="34" s="1"/>
  <c r="T94" i="34"/>
  <c r="R94" i="34" s="1"/>
  <c r="T95" i="34"/>
  <c r="R95" i="34" s="1"/>
  <c r="T96" i="34"/>
  <c r="R96" i="34" s="1"/>
  <c r="T99" i="34"/>
  <c r="R99" i="34" s="1"/>
  <c r="T100" i="34"/>
  <c r="R100" i="34" s="1"/>
  <c r="T101" i="34"/>
  <c r="R101" i="34" s="1"/>
  <c r="T102" i="34"/>
  <c r="R102" i="34" s="1"/>
  <c r="T103" i="34"/>
  <c r="R103" i="34" s="1"/>
  <c r="T104" i="34"/>
  <c r="R104" i="34" s="1"/>
  <c r="T107" i="34"/>
  <c r="R107" i="34" s="1"/>
  <c r="T108" i="34"/>
  <c r="R108" i="34" s="1"/>
  <c r="T109" i="34"/>
  <c r="R109" i="34" s="1"/>
  <c r="T110" i="34"/>
  <c r="R110" i="34" s="1"/>
  <c r="T111" i="34"/>
  <c r="R111" i="34" s="1"/>
  <c r="T112" i="34"/>
  <c r="R112" i="34" s="1"/>
  <c r="T115" i="34"/>
  <c r="R115" i="34" s="1"/>
  <c r="T116" i="34"/>
  <c r="R116" i="34" s="1"/>
  <c r="T117" i="34"/>
  <c r="R117" i="34" s="1"/>
  <c r="T118" i="34"/>
  <c r="R118" i="34" s="1"/>
  <c r="T119" i="34"/>
  <c r="R119" i="34" s="1"/>
  <c r="T120" i="34"/>
  <c r="R120" i="34" s="1"/>
  <c r="T123" i="34"/>
  <c r="R123" i="34" s="1"/>
  <c r="T124" i="34"/>
  <c r="R124" i="34" s="1"/>
  <c r="T125" i="34"/>
  <c r="R125" i="34" s="1"/>
  <c r="T126" i="34"/>
  <c r="R126" i="34" s="1"/>
  <c r="T127" i="34"/>
  <c r="R127" i="34" s="1"/>
  <c r="T128" i="34"/>
  <c r="R128" i="34" s="1"/>
  <c r="T131" i="34"/>
  <c r="R131" i="34" s="1"/>
  <c r="T132" i="34"/>
  <c r="R132" i="34" s="1"/>
  <c r="T133" i="34"/>
  <c r="R133" i="34" s="1"/>
  <c r="T134" i="34"/>
  <c r="R134" i="34" s="1"/>
  <c r="T135" i="34"/>
  <c r="R135" i="34" s="1"/>
  <c r="T136" i="34"/>
  <c r="R136" i="34" s="1"/>
  <c r="T139" i="34"/>
  <c r="R139" i="34" s="1"/>
  <c r="T140" i="34"/>
  <c r="R140" i="34" s="1"/>
  <c r="T141" i="34"/>
  <c r="R141" i="34" s="1"/>
  <c r="T142" i="34"/>
  <c r="R142" i="34" s="1"/>
  <c r="T143" i="34"/>
  <c r="R143" i="34" s="1"/>
  <c r="T144" i="34"/>
  <c r="R144" i="34" s="1"/>
  <c r="T147" i="34"/>
  <c r="R147" i="34" s="1"/>
  <c r="T148" i="34"/>
  <c r="R148" i="34" s="1"/>
  <c r="T149" i="34"/>
  <c r="R149" i="34" s="1"/>
  <c r="T150" i="34"/>
  <c r="R150" i="34" s="1"/>
  <c r="T151" i="34"/>
  <c r="R151" i="34" s="1"/>
  <c r="T152" i="34"/>
  <c r="R152" i="34" s="1"/>
  <c r="T155" i="34"/>
  <c r="R155" i="34" s="1"/>
  <c r="T156" i="34"/>
  <c r="R156" i="34" s="1"/>
  <c r="T157" i="34"/>
  <c r="R157" i="34" s="1"/>
  <c r="T158" i="34"/>
  <c r="R158" i="34" s="1"/>
  <c r="T159" i="34"/>
  <c r="R159" i="34" s="1"/>
  <c r="T160" i="34"/>
  <c r="R160" i="34" s="1"/>
  <c r="T163" i="34"/>
  <c r="R163" i="34" s="1"/>
  <c r="T164" i="34"/>
  <c r="R164" i="34" s="1"/>
  <c r="T165" i="34"/>
  <c r="R165" i="34" s="1"/>
  <c r="T166" i="34"/>
  <c r="R166" i="34" s="1"/>
  <c r="T167" i="34"/>
  <c r="R167" i="34" s="1"/>
  <c r="T168" i="34"/>
  <c r="R168" i="34" s="1"/>
  <c r="T171" i="34"/>
  <c r="R171" i="34" s="1"/>
  <c r="T172" i="34"/>
  <c r="R172" i="34" s="1"/>
  <c r="T173" i="34"/>
  <c r="R173" i="34" s="1"/>
  <c r="T174" i="34"/>
  <c r="R174" i="34" s="1"/>
  <c r="T175" i="34"/>
  <c r="R175" i="34" s="1"/>
  <c r="T176" i="34"/>
  <c r="R176" i="34" s="1"/>
  <c r="T179" i="34"/>
  <c r="R179" i="34" s="1"/>
  <c r="T180" i="34"/>
  <c r="R180" i="34" s="1"/>
  <c r="T181" i="34"/>
  <c r="R181" i="34" s="1"/>
  <c r="T182" i="34"/>
  <c r="R182" i="34" s="1"/>
  <c r="T183" i="34"/>
  <c r="R183" i="34" s="1"/>
  <c r="T184" i="34"/>
  <c r="R184" i="34" s="1"/>
  <c r="T187" i="34"/>
  <c r="R187" i="34" s="1"/>
  <c r="T188" i="34"/>
  <c r="R188" i="34" s="1"/>
  <c r="T189" i="34"/>
  <c r="R189" i="34" s="1"/>
  <c r="T190" i="34"/>
  <c r="R190" i="34" s="1"/>
  <c r="T191" i="34"/>
  <c r="R191" i="34" s="1"/>
  <c r="T192" i="34"/>
  <c r="R192" i="34" s="1"/>
  <c r="T195" i="34"/>
  <c r="R195" i="34" s="1"/>
  <c r="T196" i="34"/>
  <c r="R196" i="34" s="1"/>
  <c r="T197" i="34"/>
  <c r="R197" i="34" s="1"/>
  <c r="T198" i="34"/>
  <c r="R198" i="34" s="1"/>
  <c r="T199" i="34"/>
  <c r="R199" i="34" s="1"/>
  <c r="T200" i="34"/>
  <c r="R200" i="34" s="1"/>
  <c r="T203" i="34"/>
  <c r="R203" i="34" s="1"/>
  <c r="T204" i="34"/>
  <c r="R204" i="34" s="1"/>
  <c r="T205" i="34"/>
  <c r="R205" i="34" s="1"/>
  <c r="T206" i="34"/>
  <c r="R206" i="34" s="1"/>
  <c r="T207" i="34"/>
  <c r="R207" i="34" s="1"/>
  <c r="T208" i="34"/>
  <c r="R208" i="34" s="1"/>
  <c r="T211" i="34"/>
  <c r="R211" i="34" s="1"/>
  <c r="T212" i="34"/>
  <c r="R212" i="34" s="1"/>
  <c r="T213" i="34"/>
  <c r="R213" i="34" s="1"/>
  <c r="T214" i="34"/>
  <c r="R214" i="34" s="1"/>
  <c r="T215" i="34"/>
  <c r="R215" i="34" s="1"/>
  <c r="T216" i="34"/>
  <c r="R216" i="34" s="1"/>
  <c r="T219" i="34"/>
  <c r="R219" i="34" s="1"/>
  <c r="T220" i="34"/>
  <c r="R220" i="34" s="1"/>
  <c r="T221" i="34"/>
  <c r="R221" i="34" s="1"/>
  <c r="T222" i="34"/>
  <c r="R222" i="34" s="1"/>
  <c r="T223" i="34"/>
  <c r="R223" i="34" s="1"/>
  <c r="T224" i="34"/>
  <c r="R224" i="34" s="1"/>
  <c r="T227" i="34"/>
  <c r="R227" i="34" s="1"/>
  <c r="T228" i="34"/>
  <c r="R228" i="34" s="1"/>
  <c r="T229" i="34"/>
  <c r="R229" i="34" s="1"/>
  <c r="T230" i="34"/>
  <c r="R230" i="34" s="1"/>
  <c r="T231" i="34"/>
  <c r="R231" i="34" s="1"/>
  <c r="T232" i="34"/>
  <c r="R232" i="34" s="1"/>
  <c r="T235" i="34"/>
  <c r="R235" i="34" s="1"/>
  <c r="T236" i="34"/>
  <c r="R236" i="34" s="1"/>
  <c r="T237" i="34"/>
  <c r="R237" i="34" s="1"/>
  <c r="T238" i="34"/>
  <c r="R238" i="34" s="1"/>
  <c r="T239" i="34"/>
  <c r="R239" i="34" s="1"/>
  <c r="T240" i="34"/>
  <c r="R240" i="34" s="1"/>
  <c r="T243" i="34"/>
  <c r="R243" i="34" s="1"/>
  <c r="T244" i="34"/>
  <c r="R244" i="34" s="1"/>
  <c r="T245" i="34"/>
  <c r="R245" i="34" s="1"/>
  <c r="T246" i="34"/>
  <c r="R246" i="34" s="1"/>
  <c r="T247" i="34"/>
  <c r="R247" i="34" s="1"/>
  <c r="T248" i="34"/>
  <c r="R248" i="34" s="1"/>
  <c r="T251" i="34"/>
  <c r="R251" i="34" s="1"/>
  <c r="T252" i="34"/>
  <c r="R252" i="34" s="1"/>
  <c r="T253" i="34"/>
  <c r="R253" i="34" s="1"/>
  <c r="T254" i="34"/>
  <c r="R254" i="34" s="1"/>
  <c r="T255" i="34"/>
  <c r="R255" i="34" s="1"/>
  <c r="T256" i="34"/>
  <c r="R256" i="34" s="1"/>
  <c r="T259" i="34"/>
  <c r="R259" i="34" s="1"/>
  <c r="T260" i="34"/>
  <c r="R260" i="34" s="1"/>
  <c r="T261" i="34"/>
  <c r="R261" i="34" s="1"/>
  <c r="T262" i="34"/>
  <c r="R262" i="34" s="1"/>
  <c r="T263" i="34"/>
  <c r="R263" i="34" s="1"/>
  <c r="T264" i="34"/>
  <c r="R264" i="34" s="1"/>
  <c r="B3" i="80"/>
  <c r="F3" i="80"/>
  <c r="B4" i="80"/>
  <c r="F4" i="80"/>
  <c r="D5" i="80"/>
  <c r="D15" i="80"/>
  <c r="E15" i="80"/>
  <c r="F15" i="80"/>
  <c r="G15" i="80"/>
  <c r="H15" i="80"/>
  <c r="I15" i="80"/>
  <c r="Y15" i="80"/>
  <c r="Y16" i="80"/>
  <c r="Y17" i="80"/>
  <c r="D18" i="80"/>
  <c r="E18" i="80"/>
  <c r="F18" i="80"/>
  <c r="G18" i="80"/>
  <c r="H18" i="80"/>
  <c r="I18" i="80"/>
  <c r="Y18" i="80"/>
  <c r="Y19" i="80"/>
  <c r="D20" i="80"/>
  <c r="E20" i="80"/>
  <c r="F20" i="80"/>
  <c r="G20" i="80"/>
  <c r="H20" i="80"/>
  <c r="I20" i="80"/>
  <c r="Y20" i="80"/>
  <c r="Y21" i="80"/>
  <c r="D22" i="80"/>
  <c r="E22" i="80"/>
  <c r="F22" i="80"/>
  <c r="G22" i="80"/>
  <c r="H22" i="80"/>
  <c r="I22" i="80"/>
  <c r="Y22" i="80"/>
  <c r="Y23" i="80"/>
  <c r="Y24" i="80"/>
  <c r="Y25" i="80"/>
  <c r="D26" i="80"/>
  <c r="E26" i="80"/>
  <c r="F26" i="80"/>
  <c r="G26" i="80"/>
  <c r="H26" i="80"/>
  <c r="I26" i="80"/>
  <c r="Y26" i="80"/>
  <c r="Y27" i="80"/>
  <c r="Y28" i="80"/>
  <c r="Y29" i="80"/>
  <c r="N32" i="80"/>
  <c r="W32" i="80"/>
  <c r="W31" i="80" s="1"/>
  <c r="D36" i="80" a="1"/>
  <c r="H36" i="80" s="1"/>
  <c r="H35" i="80" s="1"/>
  <c r="N43" i="80"/>
  <c r="D44" i="80" a="1"/>
  <c r="H44" i="80" s="1"/>
  <c r="T44" i="80"/>
  <c r="R44" i="80" s="1"/>
  <c r="T45" i="80"/>
  <c r="R45" i="80" s="1"/>
  <c r="T46" i="80"/>
  <c r="R46" i="80" s="1"/>
  <c r="T47" i="80"/>
  <c r="R47" i="80" s="1"/>
  <c r="T48" i="80"/>
  <c r="R48" i="80" s="1"/>
  <c r="T49" i="80"/>
  <c r="R49" i="80" s="1"/>
  <c r="Z51" i="80"/>
  <c r="Z59" i="80" s="1"/>
  <c r="T52" i="80"/>
  <c r="R52" i="80" s="1"/>
  <c r="T53" i="80"/>
  <c r="R53" i="80" s="1"/>
  <c r="T54" i="80"/>
  <c r="R54" i="80" s="1"/>
  <c r="T55" i="80"/>
  <c r="R55" i="80" s="1"/>
  <c r="T56" i="80"/>
  <c r="R56" i="80" s="1"/>
  <c r="T57" i="80"/>
  <c r="R57" i="80" s="1"/>
  <c r="T60" i="80"/>
  <c r="R60" i="80" s="1"/>
  <c r="T61" i="80"/>
  <c r="R61" i="80" s="1"/>
  <c r="T62" i="80"/>
  <c r="R62" i="80" s="1"/>
  <c r="T63" i="80"/>
  <c r="R63" i="80" s="1"/>
  <c r="T64" i="80"/>
  <c r="R64" i="80" s="1"/>
  <c r="T65" i="80"/>
  <c r="R65" i="80" s="1"/>
  <c r="T68" i="80"/>
  <c r="R68" i="80" s="1"/>
  <c r="T69" i="80"/>
  <c r="R69" i="80" s="1"/>
  <c r="T70" i="80"/>
  <c r="R70" i="80" s="1"/>
  <c r="T71" i="80"/>
  <c r="R71" i="80" s="1"/>
  <c r="T72" i="80"/>
  <c r="R72" i="80" s="1"/>
  <c r="T73" i="80"/>
  <c r="R73" i="80" s="1"/>
  <c r="T76" i="80"/>
  <c r="R76" i="80" s="1"/>
  <c r="T77" i="80"/>
  <c r="R77" i="80" s="1"/>
  <c r="T78" i="80"/>
  <c r="R78" i="80" s="1"/>
  <c r="T79" i="80"/>
  <c r="R79" i="80" s="1"/>
  <c r="T80" i="80"/>
  <c r="R80" i="80" s="1"/>
  <c r="T81" i="80"/>
  <c r="R81" i="80" s="1"/>
  <c r="T84" i="80"/>
  <c r="R84" i="80" s="1"/>
  <c r="T85" i="80"/>
  <c r="R85" i="80" s="1"/>
  <c r="T86" i="80"/>
  <c r="R86" i="80" s="1"/>
  <c r="T87" i="80"/>
  <c r="R87" i="80" s="1"/>
  <c r="T88" i="80"/>
  <c r="R88" i="80" s="1"/>
  <c r="T89" i="80"/>
  <c r="R89" i="80" s="1"/>
  <c r="T92" i="80"/>
  <c r="R92" i="80" s="1"/>
  <c r="T93" i="80"/>
  <c r="R93" i="80" s="1"/>
  <c r="T94" i="80"/>
  <c r="R94" i="80" s="1"/>
  <c r="T95" i="80"/>
  <c r="R95" i="80" s="1"/>
  <c r="T96" i="80"/>
  <c r="R96" i="80" s="1"/>
  <c r="T97" i="80"/>
  <c r="R97" i="80" s="1"/>
  <c r="T100" i="80"/>
  <c r="R100" i="80" s="1"/>
  <c r="T101" i="80"/>
  <c r="R101" i="80" s="1"/>
  <c r="T102" i="80"/>
  <c r="R102" i="80" s="1"/>
  <c r="T103" i="80"/>
  <c r="R103" i="80" s="1"/>
  <c r="T104" i="80"/>
  <c r="R104" i="80" s="1"/>
  <c r="T105" i="80"/>
  <c r="R105" i="80" s="1"/>
  <c r="T108" i="80"/>
  <c r="R108" i="80" s="1"/>
  <c r="T109" i="80"/>
  <c r="R109" i="80" s="1"/>
  <c r="T110" i="80"/>
  <c r="R110" i="80" s="1"/>
  <c r="T111" i="80"/>
  <c r="R111" i="80" s="1"/>
  <c r="T112" i="80"/>
  <c r="R112" i="80" s="1"/>
  <c r="T113" i="80"/>
  <c r="R113" i="80" s="1"/>
  <c r="T116" i="80"/>
  <c r="R116" i="80" s="1"/>
  <c r="T117" i="80"/>
  <c r="R117" i="80" s="1"/>
  <c r="T118" i="80"/>
  <c r="R118" i="80" s="1"/>
  <c r="T119" i="80"/>
  <c r="R119" i="80" s="1"/>
  <c r="T120" i="80"/>
  <c r="R120" i="80" s="1"/>
  <c r="T121" i="80"/>
  <c r="R121" i="80" s="1"/>
  <c r="F4" i="66"/>
  <c r="D38" i="66" a="1"/>
  <c r="D16" i="66"/>
  <c r="E16" i="66"/>
  <c r="F16" i="66"/>
  <c r="G16" i="66"/>
  <c r="H16" i="66"/>
  <c r="I16" i="66"/>
  <c r="Y16" i="66"/>
  <c r="Y17" i="66"/>
  <c r="D19" i="66"/>
  <c r="E19" i="66"/>
  <c r="F19" i="66"/>
  <c r="G19" i="66"/>
  <c r="H19" i="66"/>
  <c r="I19" i="66"/>
  <c r="D21" i="66"/>
  <c r="E21" i="66"/>
  <c r="F21" i="66"/>
  <c r="G21" i="66"/>
  <c r="H21" i="66"/>
  <c r="I21" i="66"/>
  <c r="D23" i="66"/>
  <c r="E23" i="66"/>
  <c r="F23" i="66"/>
  <c r="G23" i="66"/>
  <c r="H23" i="66"/>
  <c r="I23" i="66"/>
  <c r="D26" i="66"/>
  <c r="E26" i="66"/>
  <c r="F26" i="66"/>
  <c r="G26" i="66"/>
  <c r="H26" i="66"/>
  <c r="I26" i="66"/>
  <c r="N33" i="66"/>
  <c r="W33" i="66"/>
  <c r="W32" i="66" s="1"/>
  <c r="H35" i="66"/>
  <c r="N44" i="66"/>
  <c r="T45" i="66"/>
  <c r="R45" i="66" s="1"/>
  <c r="T46" i="66"/>
  <c r="R46" i="66" s="1"/>
  <c r="T47" i="66"/>
  <c r="R47" i="66" s="1"/>
  <c r="T48" i="66"/>
  <c r="R48" i="66" s="1"/>
  <c r="T49" i="66"/>
  <c r="R49" i="66" s="1"/>
  <c r="T50" i="66"/>
  <c r="R50" i="66" s="1"/>
  <c r="Z52" i="66"/>
  <c r="N52" i="66" s="1"/>
  <c r="T53" i="66"/>
  <c r="R53" i="66" s="1"/>
  <c r="T54" i="66"/>
  <c r="R54" i="66" s="1"/>
  <c r="T55" i="66"/>
  <c r="R55" i="66" s="1"/>
  <c r="T56" i="66"/>
  <c r="R56" i="66" s="1"/>
  <c r="T57" i="66"/>
  <c r="R57" i="66" s="1"/>
  <c r="T58" i="66"/>
  <c r="R58" i="66" s="1"/>
  <c r="T61" i="66"/>
  <c r="R61" i="66" s="1"/>
  <c r="T62" i="66"/>
  <c r="R62" i="66" s="1"/>
  <c r="T63" i="66"/>
  <c r="R63" i="66" s="1"/>
  <c r="T64" i="66"/>
  <c r="R64" i="66" s="1"/>
  <c r="T65" i="66"/>
  <c r="R65" i="66" s="1"/>
  <c r="T66" i="66"/>
  <c r="R66" i="66" s="1"/>
  <c r="T69" i="66"/>
  <c r="R69" i="66" s="1"/>
  <c r="T70" i="66"/>
  <c r="R70" i="66" s="1"/>
  <c r="T71" i="66"/>
  <c r="R71" i="66" s="1"/>
  <c r="T72" i="66"/>
  <c r="R72" i="66" s="1"/>
  <c r="T73" i="66"/>
  <c r="R73" i="66" s="1"/>
  <c r="T74" i="66"/>
  <c r="R74" i="66" s="1"/>
  <c r="T77" i="66"/>
  <c r="R77" i="66" s="1"/>
  <c r="T78" i="66"/>
  <c r="R78" i="66" s="1"/>
  <c r="T79" i="66"/>
  <c r="R79" i="66" s="1"/>
  <c r="T80" i="66"/>
  <c r="R80" i="66" s="1"/>
  <c r="T81" i="66"/>
  <c r="R81" i="66" s="1"/>
  <c r="T82" i="66"/>
  <c r="R82" i="66" s="1"/>
  <c r="T85" i="66"/>
  <c r="R85" i="66" s="1"/>
  <c r="T86" i="66"/>
  <c r="R86" i="66" s="1"/>
  <c r="T87" i="66"/>
  <c r="R87" i="66" s="1"/>
  <c r="T88" i="66"/>
  <c r="R88" i="66" s="1"/>
  <c r="T89" i="66"/>
  <c r="R89" i="66" s="1"/>
  <c r="T90" i="66"/>
  <c r="R90" i="66" s="1"/>
  <c r="T93" i="66"/>
  <c r="R93" i="66" s="1"/>
  <c r="T94" i="66"/>
  <c r="R94" i="66" s="1"/>
  <c r="T95" i="66"/>
  <c r="R95" i="66" s="1"/>
  <c r="T96" i="66"/>
  <c r="R96" i="66" s="1"/>
  <c r="T97" i="66"/>
  <c r="R97" i="66" s="1"/>
  <c r="T98" i="66"/>
  <c r="R98" i="66" s="1"/>
  <c r="T101" i="66"/>
  <c r="R101" i="66" s="1"/>
  <c r="T102" i="66"/>
  <c r="R102" i="66" s="1"/>
  <c r="T103" i="66"/>
  <c r="R103" i="66" s="1"/>
  <c r="T104" i="66"/>
  <c r="R104" i="66" s="1"/>
  <c r="T105" i="66"/>
  <c r="R105" i="66" s="1"/>
  <c r="T106" i="66"/>
  <c r="R106" i="66" s="1"/>
  <c r="T109" i="66"/>
  <c r="R109" i="66" s="1"/>
  <c r="T110" i="66"/>
  <c r="R110" i="66" s="1"/>
  <c r="T111" i="66"/>
  <c r="R111" i="66" s="1"/>
  <c r="T112" i="66"/>
  <c r="R112" i="66" s="1"/>
  <c r="T113" i="66"/>
  <c r="R113" i="66" s="1"/>
  <c r="T114" i="66"/>
  <c r="R114" i="66" s="1"/>
  <c r="T117" i="66"/>
  <c r="R117" i="66" s="1"/>
  <c r="T118" i="66"/>
  <c r="R118" i="66" s="1"/>
  <c r="T119" i="66"/>
  <c r="R119" i="66" s="1"/>
  <c r="T120" i="66"/>
  <c r="R120" i="66" s="1"/>
  <c r="T121" i="66"/>
  <c r="R121" i="66" s="1"/>
  <c r="T122" i="66"/>
  <c r="R122" i="66" s="1"/>
  <c r="F4" i="35"/>
  <c r="D5" i="35"/>
  <c r="D15" i="35"/>
  <c r="E15" i="35"/>
  <c r="F15" i="35"/>
  <c r="G15" i="35"/>
  <c r="H15" i="35"/>
  <c r="I15" i="35"/>
  <c r="Y16" i="35"/>
  <c r="D17" i="35"/>
  <c r="E17" i="35"/>
  <c r="F17" i="35"/>
  <c r="G17" i="35"/>
  <c r="H17" i="35"/>
  <c r="I17" i="35"/>
  <c r="Y17" i="35"/>
  <c r="Y18" i="35"/>
  <c r="Y19" i="35"/>
  <c r="Y20" i="35"/>
  <c r="D21" i="35"/>
  <c r="E21" i="35"/>
  <c r="F21" i="35"/>
  <c r="G21" i="35"/>
  <c r="H21" i="35"/>
  <c r="I21" i="35"/>
  <c r="Y21" i="35"/>
  <c r="Y22" i="35"/>
  <c r="N25" i="35"/>
  <c r="W25" i="35"/>
  <c r="W24" i="35" s="1"/>
  <c r="N37" i="35"/>
  <c r="T38" i="35"/>
  <c r="R38" i="35" s="1"/>
  <c r="T39" i="35"/>
  <c r="R39" i="35" s="1"/>
  <c r="T40" i="35"/>
  <c r="R40" i="35" s="1"/>
  <c r="T41" i="35"/>
  <c r="R41" i="35" s="1"/>
  <c r="T42" i="35"/>
  <c r="R42" i="35" s="1"/>
  <c r="T43" i="35"/>
  <c r="R43" i="35" s="1"/>
  <c r="Z45" i="35"/>
  <c r="N45" i="35" s="1"/>
  <c r="T46" i="35"/>
  <c r="R46" i="35" s="1"/>
  <c r="T47" i="35"/>
  <c r="R47" i="35" s="1"/>
  <c r="T48" i="35"/>
  <c r="R48" i="35" s="1"/>
  <c r="T49" i="35"/>
  <c r="R49" i="35" s="1"/>
  <c r="T50" i="35"/>
  <c r="R50" i="35" s="1"/>
  <c r="T51" i="35"/>
  <c r="R51" i="35" s="1"/>
  <c r="T54" i="35"/>
  <c r="R54" i="35" s="1"/>
  <c r="T55" i="35"/>
  <c r="R55" i="35" s="1"/>
  <c r="T56" i="35"/>
  <c r="R56" i="35" s="1"/>
  <c r="T57" i="35"/>
  <c r="R57" i="35" s="1"/>
  <c r="T58" i="35"/>
  <c r="R58" i="35" s="1"/>
  <c r="T59" i="35"/>
  <c r="R59" i="35" s="1"/>
  <c r="T62" i="35"/>
  <c r="R62" i="35" s="1"/>
  <c r="T63" i="35"/>
  <c r="R63" i="35" s="1"/>
  <c r="T64" i="35"/>
  <c r="R64" i="35" s="1"/>
  <c r="T65" i="35"/>
  <c r="R65" i="35" s="1"/>
  <c r="T66" i="35"/>
  <c r="R66" i="35" s="1"/>
  <c r="T67" i="35"/>
  <c r="R67" i="35" s="1"/>
  <c r="T70" i="35"/>
  <c r="R70" i="35" s="1"/>
  <c r="T71" i="35"/>
  <c r="R71" i="35" s="1"/>
  <c r="T72" i="35"/>
  <c r="R72" i="35" s="1"/>
  <c r="T73" i="35"/>
  <c r="R73" i="35" s="1"/>
  <c r="T74" i="35"/>
  <c r="R74" i="35" s="1"/>
  <c r="T75" i="35"/>
  <c r="R75" i="35" s="1"/>
  <c r="F4" i="63"/>
  <c r="D5" i="63"/>
  <c r="D52" i="63" s="1" a="1"/>
  <c r="D13" i="63"/>
  <c r="E13" i="63"/>
  <c r="F13" i="63"/>
  <c r="G13" i="63"/>
  <c r="H13" i="63"/>
  <c r="I13" i="63"/>
  <c r="Y13" i="63"/>
  <c r="Y14" i="63"/>
  <c r="Y15" i="63"/>
  <c r="Y16" i="63"/>
  <c r="D17" i="63"/>
  <c r="D69" i="63" s="1" a="1"/>
  <c r="H71" i="63" s="1"/>
  <c r="E17" i="63"/>
  <c r="F17" i="63"/>
  <c r="G17" i="63"/>
  <c r="H17" i="63"/>
  <c r="I17" i="63"/>
  <c r="Y17" i="63"/>
  <c r="Y18" i="63"/>
  <c r="Y19" i="63"/>
  <c r="Y20" i="63"/>
  <c r="Y21" i="63"/>
  <c r="D22" i="63"/>
  <c r="E22" i="63"/>
  <c r="F22" i="63"/>
  <c r="G22" i="63"/>
  <c r="H22" i="63"/>
  <c r="I22" i="63"/>
  <c r="Y22" i="63"/>
  <c r="Y23" i="63"/>
  <c r="Y24" i="63"/>
  <c r="Y25" i="63"/>
  <c r="Y26" i="63"/>
  <c r="D27" i="63"/>
  <c r="E27" i="63"/>
  <c r="F27" i="63"/>
  <c r="G27" i="63"/>
  <c r="H27" i="63"/>
  <c r="I27" i="63"/>
  <c r="Y27" i="63"/>
  <c r="Y28" i="63"/>
  <c r="Y29" i="63"/>
  <c r="Y30" i="63"/>
  <c r="Y31" i="63"/>
  <c r="Y32" i="63"/>
  <c r="Y33" i="63"/>
  <c r="D34" i="63"/>
  <c r="E34" i="63"/>
  <c r="F34" i="63"/>
  <c r="G34" i="63"/>
  <c r="H34" i="63"/>
  <c r="I34" i="63"/>
  <c r="Y34" i="63"/>
  <c r="Y35" i="63"/>
  <c r="Y36" i="63"/>
  <c r="Y37" i="63"/>
  <c r="D38" i="63"/>
  <c r="E38" i="63"/>
  <c r="F38" i="63"/>
  <c r="G38" i="63"/>
  <c r="H38" i="63"/>
  <c r="I38" i="63"/>
  <c r="Y38" i="63"/>
  <c r="Y39" i="63"/>
  <c r="Y40" i="63"/>
  <c r="D41" i="63"/>
  <c r="E41" i="63"/>
  <c r="F41" i="63"/>
  <c r="G41" i="63"/>
  <c r="H41" i="63"/>
  <c r="I41" i="63"/>
  <c r="Y41" i="63"/>
  <c r="Y42" i="63"/>
  <c r="Y43" i="63"/>
  <c r="Y44" i="63"/>
  <c r="N47" i="63"/>
  <c r="W47" i="63"/>
  <c r="W46" i="63" s="1"/>
  <c r="H55" i="63"/>
  <c r="N60" i="63"/>
  <c r="T61" i="63"/>
  <c r="R61" i="63" s="1"/>
  <c r="T62" i="63"/>
  <c r="R62" i="63" s="1"/>
  <c r="T63" i="63"/>
  <c r="R63" i="63" s="1"/>
  <c r="T64" i="63"/>
  <c r="R64" i="63" s="1"/>
  <c r="T65" i="63"/>
  <c r="R65" i="63" s="1"/>
  <c r="T66" i="63"/>
  <c r="R66" i="63" s="1"/>
  <c r="Z68" i="63"/>
  <c r="T69" i="63"/>
  <c r="R69" i="63" s="1"/>
  <c r="T70" i="63"/>
  <c r="R70" i="63" s="1"/>
  <c r="T71" i="63"/>
  <c r="R71" i="63" s="1"/>
  <c r="T72" i="63"/>
  <c r="R72" i="63" s="1"/>
  <c r="T73" i="63"/>
  <c r="R73" i="63" s="1"/>
  <c r="T74" i="63"/>
  <c r="R74" i="63" s="1"/>
  <c r="D76" i="63" a="1"/>
  <c r="F76" i="63" s="1"/>
  <c r="H76" i="63"/>
  <c r="D77" i="63"/>
  <c r="F77" i="63"/>
  <c r="T77" i="63"/>
  <c r="R77" i="63" s="1"/>
  <c r="E78" i="63"/>
  <c r="G78" i="63"/>
  <c r="T78" i="63"/>
  <c r="R78" i="63" s="1"/>
  <c r="F79" i="63"/>
  <c r="T79" i="63"/>
  <c r="R79" i="63" s="1"/>
  <c r="T80" i="63"/>
  <c r="R80" i="63" s="1"/>
  <c r="T81" i="63"/>
  <c r="R81" i="63" s="1"/>
  <c r="T82" i="63"/>
  <c r="R82" i="63" s="1"/>
  <c r="T85" i="63"/>
  <c r="R85" i="63" s="1"/>
  <c r="T86" i="63"/>
  <c r="R86" i="63" s="1"/>
  <c r="T87" i="63"/>
  <c r="R87" i="63" s="1"/>
  <c r="T88" i="63"/>
  <c r="R88" i="63" s="1"/>
  <c r="T89" i="63"/>
  <c r="R89" i="63" s="1"/>
  <c r="T90" i="63"/>
  <c r="R90" i="63" s="1"/>
  <c r="T93" i="63"/>
  <c r="R93" i="63" s="1"/>
  <c r="T94" i="63"/>
  <c r="R94" i="63" s="1"/>
  <c r="T95" i="63"/>
  <c r="R95" i="63" s="1"/>
  <c r="T96" i="63"/>
  <c r="R96" i="63" s="1"/>
  <c r="T97" i="63"/>
  <c r="R97" i="63" s="1"/>
  <c r="T98" i="63"/>
  <c r="R98" i="63" s="1"/>
  <c r="T101" i="63"/>
  <c r="R101" i="63" s="1"/>
  <c r="T102" i="63"/>
  <c r="R102" i="63" s="1"/>
  <c r="T103" i="63"/>
  <c r="R103" i="63" s="1"/>
  <c r="T104" i="63"/>
  <c r="R104" i="63" s="1"/>
  <c r="T105" i="63"/>
  <c r="R105" i="63" s="1"/>
  <c r="T106" i="63"/>
  <c r="R106" i="63" s="1"/>
  <c r="T109" i="63"/>
  <c r="R109" i="63" s="1"/>
  <c r="T110" i="63"/>
  <c r="R110" i="63" s="1"/>
  <c r="T111" i="63"/>
  <c r="R111" i="63" s="1"/>
  <c r="T112" i="63"/>
  <c r="R112" i="63" s="1"/>
  <c r="T113" i="63"/>
  <c r="R113" i="63" s="1"/>
  <c r="T114" i="63"/>
  <c r="R114" i="63" s="1"/>
  <c r="T117" i="63"/>
  <c r="R117" i="63" s="1"/>
  <c r="T118" i="63"/>
  <c r="R118" i="63" s="1"/>
  <c r="T119" i="63"/>
  <c r="R119" i="63" s="1"/>
  <c r="T120" i="63"/>
  <c r="R120" i="63" s="1"/>
  <c r="T121" i="63"/>
  <c r="R121" i="63" s="1"/>
  <c r="T122" i="63"/>
  <c r="R122" i="63" s="1"/>
  <c r="T125" i="63"/>
  <c r="R125" i="63" s="1"/>
  <c r="T126" i="63"/>
  <c r="R126" i="63" s="1"/>
  <c r="T127" i="63"/>
  <c r="R127" i="63" s="1"/>
  <c r="T128" i="63"/>
  <c r="R128" i="63" s="1"/>
  <c r="T129" i="63"/>
  <c r="R129" i="63" s="1"/>
  <c r="T130" i="63"/>
  <c r="R130" i="63" s="1"/>
  <c r="T133" i="63"/>
  <c r="R133" i="63" s="1"/>
  <c r="T134" i="63"/>
  <c r="R134" i="63" s="1"/>
  <c r="T135" i="63"/>
  <c r="R135" i="63" s="1"/>
  <c r="T136" i="63"/>
  <c r="R136" i="63" s="1"/>
  <c r="T137" i="63"/>
  <c r="R137" i="63" s="1"/>
  <c r="T138" i="63"/>
  <c r="R138" i="63" s="1"/>
  <c r="T141" i="63"/>
  <c r="R141" i="63" s="1"/>
  <c r="T142" i="63"/>
  <c r="R142" i="63" s="1"/>
  <c r="T143" i="63"/>
  <c r="R143" i="63" s="1"/>
  <c r="T144" i="63"/>
  <c r="R144" i="63" s="1"/>
  <c r="T145" i="63"/>
  <c r="R145" i="63" s="1"/>
  <c r="T146" i="63"/>
  <c r="R146" i="63" s="1"/>
  <c r="T149" i="63"/>
  <c r="R149" i="63" s="1"/>
  <c r="T150" i="63"/>
  <c r="R150" i="63" s="1"/>
  <c r="T151" i="63"/>
  <c r="R151" i="63" s="1"/>
  <c r="T152" i="63"/>
  <c r="R152" i="63" s="1"/>
  <c r="T153" i="63"/>
  <c r="R153" i="63" s="1"/>
  <c r="T154" i="63"/>
  <c r="R154" i="63" s="1"/>
  <c r="T157" i="63"/>
  <c r="R157" i="63" s="1"/>
  <c r="T158" i="63"/>
  <c r="R158" i="63" s="1"/>
  <c r="T159" i="63"/>
  <c r="R159" i="63" s="1"/>
  <c r="T160" i="63"/>
  <c r="R160" i="63" s="1"/>
  <c r="T161" i="63"/>
  <c r="R161" i="63" s="1"/>
  <c r="T162" i="63"/>
  <c r="R162" i="63" s="1"/>
  <c r="T165" i="63"/>
  <c r="R165" i="63" s="1"/>
  <c r="T166" i="63"/>
  <c r="R166" i="63" s="1"/>
  <c r="T167" i="63"/>
  <c r="R167" i="63" s="1"/>
  <c r="T168" i="63"/>
  <c r="R168" i="63" s="1"/>
  <c r="T169" i="63"/>
  <c r="R169" i="63" s="1"/>
  <c r="T170" i="63"/>
  <c r="R170" i="63" s="1"/>
  <c r="T173" i="63"/>
  <c r="R173" i="63" s="1"/>
  <c r="T174" i="63"/>
  <c r="R174" i="63" s="1"/>
  <c r="T175" i="63"/>
  <c r="R175" i="63" s="1"/>
  <c r="T176" i="63"/>
  <c r="R176" i="63" s="1"/>
  <c r="T177" i="63"/>
  <c r="R177" i="63" s="1"/>
  <c r="T178" i="63"/>
  <c r="R178" i="63" s="1"/>
  <c r="T181" i="63"/>
  <c r="R181" i="63" s="1"/>
  <c r="T182" i="63"/>
  <c r="R182" i="63" s="1"/>
  <c r="T183" i="63"/>
  <c r="R183" i="63" s="1"/>
  <c r="T184" i="63"/>
  <c r="R184" i="63" s="1"/>
  <c r="T185" i="63"/>
  <c r="R185" i="63" s="1"/>
  <c r="T186" i="63"/>
  <c r="R186" i="63" s="1"/>
  <c r="T189" i="63"/>
  <c r="R189" i="63" s="1"/>
  <c r="T190" i="63"/>
  <c r="R190" i="63" s="1"/>
  <c r="T191" i="63"/>
  <c r="R191" i="63" s="1"/>
  <c r="T192" i="63"/>
  <c r="R192" i="63" s="1"/>
  <c r="T193" i="63"/>
  <c r="R193" i="63" s="1"/>
  <c r="T194" i="63"/>
  <c r="R194" i="63" s="1"/>
  <c r="T197" i="63"/>
  <c r="R197" i="63" s="1"/>
  <c r="T198" i="63"/>
  <c r="R198" i="63" s="1"/>
  <c r="T199" i="63"/>
  <c r="R199" i="63" s="1"/>
  <c r="T200" i="63"/>
  <c r="R200" i="63" s="1"/>
  <c r="T201" i="63"/>
  <c r="R201" i="63" s="1"/>
  <c r="T202" i="63"/>
  <c r="R202" i="63" s="1"/>
  <c r="T205" i="63"/>
  <c r="R205" i="63" s="1"/>
  <c r="T206" i="63"/>
  <c r="R206" i="63" s="1"/>
  <c r="T207" i="63"/>
  <c r="R207" i="63" s="1"/>
  <c r="T208" i="63"/>
  <c r="R208" i="63" s="1"/>
  <c r="T209" i="63"/>
  <c r="R209" i="63" s="1"/>
  <c r="T210" i="63"/>
  <c r="R210" i="63" s="1"/>
  <c r="T213" i="63"/>
  <c r="R213" i="63" s="1"/>
  <c r="T214" i="63"/>
  <c r="R214" i="63" s="1"/>
  <c r="T215" i="63"/>
  <c r="R215" i="63" s="1"/>
  <c r="T216" i="63"/>
  <c r="R216" i="63" s="1"/>
  <c r="T217" i="63"/>
  <c r="R217" i="63" s="1"/>
  <c r="T218" i="63"/>
  <c r="R218" i="63" s="1"/>
  <c r="T221" i="63"/>
  <c r="R221" i="63" s="1"/>
  <c r="T222" i="63"/>
  <c r="R222" i="63" s="1"/>
  <c r="T223" i="63"/>
  <c r="R223" i="63" s="1"/>
  <c r="T224" i="63"/>
  <c r="R224" i="63" s="1"/>
  <c r="T225" i="63"/>
  <c r="R225" i="63" s="1"/>
  <c r="T226" i="63"/>
  <c r="R226" i="63" s="1"/>
  <c r="T229" i="63"/>
  <c r="R229" i="63" s="1"/>
  <c r="T230" i="63"/>
  <c r="R230" i="63" s="1"/>
  <c r="T231" i="63"/>
  <c r="R231" i="63" s="1"/>
  <c r="T232" i="63"/>
  <c r="R232" i="63" s="1"/>
  <c r="T233" i="63"/>
  <c r="R233" i="63" s="1"/>
  <c r="T234" i="63"/>
  <c r="R234" i="63" s="1"/>
  <c r="T237" i="63"/>
  <c r="R237" i="63" s="1"/>
  <c r="T238" i="63"/>
  <c r="R238" i="63" s="1"/>
  <c r="T239" i="63"/>
  <c r="R239" i="63" s="1"/>
  <c r="T240" i="63"/>
  <c r="R240" i="63" s="1"/>
  <c r="T241" i="63"/>
  <c r="R241" i="63" s="1"/>
  <c r="T242" i="63"/>
  <c r="R242" i="63" s="1"/>
  <c r="T245" i="63"/>
  <c r="R245" i="63" s="1"/>
  <c r="T246" i="63"/>
  <c r="R246" i="63" s="1"/>
  <c r="T247" i="63"/>
  <c r="R247" i="63" s="1"/>
  <c r="T248" i="63"/>
  <c r="R248" i="63" s="1"/>
  <c r="T249" i="63"/>
  <c r="R249" i="63" s="1"/>
  <c r="T250" i="63"/>
  <c r="R250" i="63" s="1"/>
  <c r="T253" i="63"/>
  <c r="R253" i="63" s="1"/>
  <c r="T254" i="63"/>
  <c r="R254" i="63" s="1"/>
  <c r="T255" i="63"/>
  <c r="R255" i="63" s="1"/>
  <c r="T256" i="63"/>
  <c r="R256" i="63" s="1"/>
  <c r="T257" i="63"/>
  <c r="R257" i="63" s="1"/>
  <c r="T258" i="63"/>
  <c r="R258" i="63" s="1"/>
  <c r="F4" i="62"/>
  <c r="D5" i="62"/>
  <c r="D37" i="62" s="1" a="1"/>
  <c r="D13" i="62"/>
  <c r="E13" i="62"/>
  <c r="F13" i="62"/>
  <c r="G13" i="62"/>
  <c r="H13" i="62"/>
  <c r="I13" i="62"/>
  <c r="D16" i="62"/>
  <c r="E16" i="62"/>
  <c r="F16" i="62"/>
  <c r="G16" i="62"/>
  <c r="H16" i="62"/>
  <c r="I16" i="62"/>
  <c r="D24" i="62"/>
  <c r="E24" i="62"/>
  <c r="F24" i="62"/>
  <c r="G24" i="62"/>
  <c r="H24" i="62"/>
  <c r="I24" i="62"/>
  <c r="D27" i="62"/>
  <c r="E27" i="62"/>
  <c r="F27" i="62"/>
  <c r="G27" i="62"/>
  <c r="H27" i="62"/>
  <c r="I27" i="62"/>
  <c r="N34" i="62"/>
  <c r="W34" i="62"/>
  <c r="W33" i="62" s="1"/>
  <c r="N45" i="62"/>
  <c r="T46" i="62"/>
  <c r="R46" i="62" s="1"/>
  <c r="T47" i="62"/>
  <c r="R47" i="62" s="1"/>
  <c r="T48" i="62"/>
  <c r="R48" i="62" s="1"/>
  <c r="T49" i="62"/>
  <c r="R49" i="62" s="1"/>
  <c r="T50" i="62"/>
  <c r="R50" i="62" s="1"/>
  <c r="T51" i="62"/>
  <c r="R51" i="62" s="1"/>
  <c r="Z53" i="62"/>
  <c r="Z61" i="62" s="1"/>
  <c r="N61" i="62" s="1"/>
  <c r="T54" i="62"/>
  <c r="R54" i="62" s="1"/>
  <c r="T55" i="62"/>
  <c r="R55" i="62" s="1"/>
  <c r="T56" i="62"/>
  <c r="R56" i="62" s="1"/>
  <c r="T57" i="62"/>
  <c r="R57" i="62" s="1"/>
  <c r="T58" i="62"/>
  <c r="R58" i="62" s="1"/>
  <c r="T59" i="62"/>
  <c r="R59" i="62" s="1"/>
  <c r="T62" i="62"/>
  <c r="R62" i="62" s="1"/>
  <c r="T63" i="62"/>
  <c r="R63" i="62" s="1"/>
  <c r="T64" i="62"/>
  <c r="R64" i="62" s="1"/>
  <c r="T65" i="62"/>
  <c r="R65" i="62" s="1"/>
  <c r="T66" i="62"/>
  <c r="R66" i="62" s="1"/>
  <c r="T67" i="62"/>
  <c r="R67" i="62" s="1"/>
  <c r="T70" i="62"/>
  <c r="R70" i="62" s="1"/>
  <c r="T71" i="62"/>
  <c r="R71" i="62" s="1"/>
  <c r="T72" i="62"/>
  <c r="R72" i="62" s="1"/>
  <c r="T73" i="62"/>
  <c r="R73" i="62" s="1"/>
  <c r="T74" i="62"/>
  <c r="R74" i="62" s="1"/>
  <c r="T75" i="62"/>
  <c r="R75" i="62" s="1"/>
  <c r="T78" i="62"/>
  <c r="R78" i="62" s="1"/>
  <c r="T79" i="62"/>
  <c r="R79" i="62" s="1"/>
  <c r="T80" i="62"/>
  <c r="R80" i="62" s="1"/>
  <c r="T81" i="62"/>
  <c r="R81" i="62" s="1"/>
  <c r="T82" i="62"/>
  <c r="R82" i="62" s="1"/>
  <c r="T83" i="62"/>
  <c r="R83" i="62" s="1"/>
  <c r="T86" i="62"/>
  <c r="R86" i="62" s="1"/>
  <c r="T87" i="62"/>
  <c r="R87" i="62" s="1"/>
  <c r="T88" i="62"/>
  <c r="R88" i="62" s="1"/>
  <c r="T89" i="62"/>
  <c r="R89" i="62" s="1"/>
  <c r="T90" i="62"/>
  <c r="R90" i="62" s="1"/>
  <c r="T91" i="62"/>
  <c r="R91" i="62" s="1"/>
  <c r="T94" i="62"/>
  <c r="R94" i="62" s="1"/>
  <c r="T95" i="62"/>
  <c r="R95" i="62" s="1"/>
  <c r="T96" i="62"/>
  <c r="R96" i="62" s="1"/>
  <c r="T97" i="62"/>
  <c r="R97" i="62" s="1"/>
  <c r="T98" i="62"/>
  <c r="R98" i="62" s="1"/>
  <c r="T99" i="62"/>
  <c r="R99" i="62" s="1"/>
  <c r="T102" i="62"/>
  <c r="R102" i="62" s="1"/>
  <c r="T103" i="62"/>
  <c r="R103" i="62" s="1"/>
  <c r="T104" i="62"/>
  <c r="R104" i="62" s="1"/>
  <c r="T105" i="62"/>
  <c r="R105" i="62" s="1"/>
  <c r="T106" i="62"/>
  <c r="R106" i="62" s="1"/>
  <c r="T107" i="62"/>
  <c r="R107" i="62" s="1"/>
  <c r="T110" i="62"/>
  <c r="R110" i="62" s="1"/>
  <c r="T111" i="62"/>
  <c r="R111" i="62" s="1"/>
  <c r="T112" i="62"/>
  <c r="R112" i="62" s="1"/>
  <c r="T113" i="62"/>
  <c r="R113" i="62" s="1"/>
  <c r="T114" i="62"/>
  <c r="R114" i="62" s="1"/>
  <c r="T115" i="62"/>
  <c r="R115" i="62" s="1"/>
  <c r="T118" i="62"/>
  <c r="R118" i="62" s="1"/>
  <c r="T119" i="62"/>
  <c r="R119" i="62" s="1"/>
  <c r="T120" i="62"/>
  <c r="R120" i="62" s="1"/>
  <c r="T121" i="62"/>
  <c r="R121" i="62" s="1"/>
  <c r="T122" i="62"/>
  <c r="R122" i="62" s="1"/>
  <c r="T123" i="62"/>
  <c r="R123" i="62" s="1"/>
  <c r="T126" i="62"/>
  <c r="R126" i="62" s="1"/>
  <c r="T127" i="62"/>
  <c r="R127" i="62" s="1"/>
  <c r="T128" i="62"/>
  <c r="R128" i="62" s="1"/>
  <c r="T129" i="62"/>
  <c r="R129" i="62" s="1"/>
  <c r="T130" i="62"/>
  <c r="R130" i="62" s="1"/>
  <c r="T131" i="62"/>
  <c r="R131" i="62" s="1"/>
  <c r="T134" i="62"/>
  <c r="R134" i="62" s="1"/>
  <c r="T135" i="62"/>
  <c r="R135" i="62" s="1"/>
  <c r="T136" i="62"/>
  <c r="R136" i="62" s="1"/>
  <c r="T137" i="62"/>
  <c r="R137" i="62" s="1"/>
  <c r="T138" i="62"/>
  <c r="R138" i="62" s="1"/>
  <c r="T139" i="62"/>
  <c r="R139" i="62" s="1"/>
  <c r="T142" i="62"/>
  <c r="R142" i="62" s="1"/>
  <c r="T143" i="62"/>
  <c r="R143" i="62" s="1"/>
  <c r="T144" i="62"/>
  <c r="R144" i="62" s="1"/>
  <c r="T145" i="62"/>
  <c r="R145" i="62" s="1"/>
  <c r="T146" i="62"/>
  <c r="R146" i="62" s="1"/>
  <c r="T147" i="62"/>
  <c r="R147" i="62" s="1"/>
  <c r="T150" i="62"/>
  <c r="R150" i="62" s="1"/>
  <c r="T151" i="62"/>
  <c r="R151" i="62" s="1"/>
  <c r="T152" i="62"/>
  <c r="R152" i="62" s="1"/>
  <c r="T153" i="62"/>
  <c r="R153" i="62" s="1"/>
  <c r="T154" i="62"/>
  <c r="R154" i="62" s="1"/>
  <c r="T155" i="62"/>
  <c r="R155" i="62" s="1"/>
  <c r="T158" i="62"/>
  <c r="R158" i="62" s="1"/>
  <c r="T159" i="62"/>
  <c r="R159" i="62" s="1"/>
  <c r="T160" i="62"/>
  <c r="R160" i="62" s="1"/>
  <c r="T161" i="62"/>
  <c r="R161" i="62" s="1"/>
  <c r="T162" i="62"/>
  <c r="R162" i="62" s="1"/>
  <c r="T163" i="62"/>
  <c r="R163" i="62" s="1"/>
  <c r="F4" i="61"/>
  <c r="D5" i="61"/>
  <c r="Y13" i="61"/>
  <c r="D14" i="61"/>
  <c r="E14" i="61"/>
  <c r="F14" i="61"/>
  <c r="G14" i="61"/>
  <c r="H14" i="61"/>
  <c r="I14" i="61"/>
  <c r="Y14" i="61"/>
  <c r="Y15" i="61"/>
  <c r="D17" i="61"/>
  <c r="E17" i="61"/>
  <c r="F17" i="61"/>
  <c r="G17" i="61"/>
  <c r="H17" i="61"/>
  <c r="I17" i="61"/>
  <c r="Y17" i="61"/>
  <c r="D27" i="61"/>
  <c r="E27" i="61"/>
  <c r="F27" i="61"/>
  <c r="G27" i="61"/>
  <c r="H27" i="61"/>
  <c r="I27" i="61"/>
  <c r="D30" i="61"/>
  <c r="E30" i="61"/>
  <c r="F30" i="61"/>
  <c r="G30" i="61"/>
  <c r="H30" i="61"/>
  <c r="I30" i="61"/>
  <c r="N37" i="61"/>
  <c r="W37" i="61"/>
  <c r="W36" i="61" s="1"/>
  <c r="N48" i="61"/>
  <c r="T49" i="61"/>
  <c r="R49" i="61" s="1"/>
  <c r="T50" i="61"/>
  <c r="R50" i="61" s="1"/>
  <c r="T51" i="61"/>
  <c r="R51" i="61" s="1"/>
  <c r="T52" i="61"/>
  <c r="R52" i="61" s="1"/>
  <c r="T53" i="61"/>
  <c r="R53" i="61" s="1"/>
  <c r="T54" i="61"/>
  <c r="R54" i="61" s="1"/>
  <c r="Z56" i="61"/>
  <c r="T57" i="61"/>
  <c r="R57" i="61" s="1"/>
  <c r="T58" i="61"/>
  <c r="R58" i="61" s="1"/>
  <c r="T59" i="61"/>
  <c r="R59" i="61" s="1"/>
  <c r="T60" i="61"/>
  <c r="R60" i="61" s="1"/>
  <c r="T61" i="61"/>
  <c r="R61" i="61" s="1"/>
  <c r="T62" i="61"/>
  <c r="R62" i="61" s="1"/>
  <c r="T65" i="61"/>
  <c r="R65" i="61" s="1"/>
  <c r="T66" i="61"/>
  <c r="R66" i="61" s="1"/>
  <c r="T67" i="61"/>
  <c r="R67" i="61" s="1"/>
  <c r="T68" i="61"/>
  <c r="R68" i="61" s="1"/>
  <c r="T69" i="61"/>
  <c r="R69" i="61" s="1"/>
  <c r="T70" i="61"/>
  <c r="R70" i="61" s="1"/>
  <c r="T73" i="61"/>
  <c r="R73" i="61" s="1"/>
  <c r="T74" i="61"/>
  <c r="R74" i="61" s="1"/>
  <c r="T75" i="61"/>
  <c r="R75" i="61" s="1"/>
  <c r="T76" i="61"/>
  <c r="R76" i="61" s="1"/>
  <c r="T77" i="61"/>
  <c r="R77" i="61" s="1"/>
  <c r="T78" i="61"/>
  <c r="R78" i="61" s="1"/>
  <c r="T81" i="61"/>
  <c r="R81" i="61" s="1"/>
  <c r="T82" i="61"/>
  <c r="R82" i="61" s="1"/>
  <c r="T83" i="61"/>
  <c r="R83" i="61" s="1"/>
  <c r="T84" i="61"/>
  <c r="R84" i="61" s="1"/>
  <c r="T85" i="61"/>
  <c r="R85" i="61" s="1"/>
  <c r="T86" i="61"/>
  <c r="R86" i="61" s="1"/>
  <c r="T89" i="61"/>
  <c r="R89" i="61" s="1"/>
  <c r="T90" i="61"/>
  <c r="R90" i="61" s="1"/>
  <c r="T91" i="61"/>
  <c r="R91" i="61" s="1"/>
  <c r="T92" i="61"/>
  <c r="R92" i="61" s="1"/>
  <c r="T93" i="61"/>
  <c r="R93" i="61" s="1"/>
  <c r="T94" i="61"/>
  <c r="R94" i="61" s="1"/>
  <c r="T97" i="61"/>
  <c r="R97" i="61" s="1"/>
  <c r="T98" i="61"/>
  <c r="R98" i="61" s="1"/>
  <c r="T99" i="61"/>
  <c r="R99" i="61" s="1"/>
  <c r="T100" i="61"/>
  <c r="R100" i="61" s="1"/>
  <c r="T101" i="61"/>
  <c r="R101" i="61" s="1"/>
  <c r="T102" i="61"/>
  <c r="R102" i="61" s="1"/>
  <c r="T105" i="61"/>
  <c r="R105" i="61" s="1"/>
  <c r="T106" i="61"/>
  <c r="R106" i="61" s="1"/>
  <c r="T107" i="61"/>
  <c r="R107" i="61" s="1"/>
  <c r="T108" i="61"/>
  <c r="R108" i="61" s="1"/>
  <c r="T109" i="61"/>
  <c r="R109" i="61" s="1"/>
  <c r="T110" i="61"/>
  <c r="R110" i="61" s="1"/>
  <c r="T113" i="61"/>
  <c r="R113" i="61" s="1"/>
  <c r="T114" i="61"/>
  <c r="R114" i="61" s="1"/>
  <c r="T115" i="61"/>
  <c r="R115" i="61" s="1"/>
  <c r="T116" i="61"/>
  <c r="R116" i="61" s="1"/>
  <c r="T117" i="61"/>
  <c r="R117" i="61" s="1"/>
  <c r="T118" i="61"/>
  <c r="R118" i="61" s="1"/>
  <c r="T121" i="61"/>
  <c r="R121" i="61" s="1"/>
  <c r="T122" i="61"/>
  <c r="R122" i="61" s="1"/>
  <c r="T123" i="61"/>
  <c r="R123" i="61" s="1"/>
  <c r="T124" i="61"/>
  <c r="R124" i="61" s="1"/>
  <c r="T125" i="61"/>
  <c r="R125" i="61" s="1"/>
  <c r="T126" i="61"/>
  <c r="R126" i="61" s="1"/>
  <c r="T129" i="61"/>
  <c r="R129" i="61" s="1"/>
  <c r="T130" i="61"/>
  <c r="R130" i="61" s="1"/>
  <c r="T131" i="61"/>
  <c r="R131" i="61" s="1"/>
  <c r="T132" i="61"/>
  <c r="R132" i="61" s="1"/>
  <c r="T133" i="61"/>
  <c r="R133" i="61" s="1"/>
  <c r="T134" i="61"/>
  <c r="R134" i="61" s="1"/>
  <c r="T137" i="61"/>
  <c r="R137" i="61" s="1"/>
  <c r="T138" i="61"/>
  <c r="R138" i="61" s="1"/>
  <c r="T139" i="61"/>
  <c r="R139" i="61" s="1"/>
  <c r="T140" i="61"/>
  <c r="R140" i="61" s="1"/>
  <c r="T141" i="61"/>
  <c r="R141" i="61" s="1"/>
  <c r="T142" i="61"/>
  <c r="R142" i="61" s="1"/>
  <c r="T145" i="61"/>
  <c r="R145" i="61" s="1"/>
  <c r="T146" i="61"/>
  <c r="R146" i="61" s="1"/>
  <c r="T147" i="61"/>
  <c r="R147" i="61" s="1"/>
  <c r="T148" i="61"/>
  <c r="R148" i="61" s="1"/>
  <c r="T149" i="61"/>
  <c r="R149" i="61" s="1"/>
  <c r="T150" i="61"/>
  <c r="R150" i="61" s="1"/>
  <c r="T153" i="61"/>
  <c r="R153" i="61" s="1"/>
  <c r="T154" i="61"/>
  <c r="R154" i="61" s="1"/>
  <c r="T155" i="61"/>
  <c r="R155" i="61" s="1"/>
  <c r="T156" i="61"/>
  <c r="R156" i="61" s="1"/>
  <c r="T157" i="61"/>
  <c r="R157" i="61" s="1"/>
  <c r="T158" i="61"/>
  <c r="R158" i="61" s="1"/>
  <c r="T161" i="61"/>
  <c r="R161" i="61" s="1"/>
  <c r="T162" i="61"/>
  <c r="R162" i="61" s="1"/>
  <c r="T163" i="61"/>
  <c r="R163" i="61" s="1"/>
  <c r="T164" i="61"/>
  <c r="R164" i="61" s="1"/>
  <c r="T165" i="61"/>
  <c r="R165" i="61" s="1"/>
  <c r="T166" i="61"/>
  <c r="R166" i="61" s="1"/>
  <c r="T169" i="61"/>
  <c r="R169" i="61" s="1"/>
  <c r="T170" i="61"/>
  <c r="R170" i="61" s="1"/>
  <c r="T171" i="61"/>
  <c r="R171" i="61" s="1"/>
  <c r="T172" i="61"/>
  <c r="R172" i="61" s="1"/>
  <c r="T173" i="61"/>
  <c r="R173" i="61" s="1"/>
  <c r="T174" i="61"/>
  <c r="R174" i="61" s="1"/>
  <c r="T177" i="61"/>
  <c r="R177" i="61" s="1"/>
  <c r="T178" i="61"/>
  <c r="R178" i="61" s="1"/>
  <c r="T179" i="61"/>
  <c r="R179" i="61" s="1"/>
  <c r="T180" i="61"/>
  <c r="R180" i="61" s="1"/>
  <c r="T181" i="61"/>
  <c r="R181" i="61" s="1"/>
  <c r="T182" i="61"/>
  <c r="R182" i="61" s="1"/>
  <c r="F4" i="60"/>
  <c r="D5" i="60"/>
  <c r="D13" i="60"/>
  <c r="E13" i="60"/>
  <c r="F13" i="60"/>
  <c r="G13" i="60"/>
  <c r="H13" i="60"/>
  <c r="I13" i="60"/>
  <c r="Y14" i="60"/>
  <c r="D15" i="60"/>
  <c r="E15" i="60"/>
  <c r="F15" i="60"/>
  <c r="G15" i="60"/>
  <c r="H15" i="60"/>
  <c r="I15" i="60"/>
  <c r="D18" i="60"/>
  <c r="E18" i="60"/>
  <c r="F18" i="60"/>
  <c r="G18" i="60"/>
  <c r="H18" i="60"/>
  <c r="I18" i="60"/>
  <c r="D30" i="60"/>
  <c r="E30" i="60"/>
  <c r="F30" i="60"/>
  <c r="G30" i="60"/>
  <c r="H30" i="60"/>
  <c r="I30" i="60"/>
  <c r="D33" i="60"/>
  <c r="E33" i="60"/>
  <c r="F33" i="60"/>
  <c r="G33" i="60"/>
  <c r="H33" i="60"/>
  <c r="I33" i="60"/>
  <c r="N40" i="60"/>
  <c r="W40" i="60"/>
  <c r="W39" i="60" s="1"/>
  <c r="N51" i="60"/>
  <c r="T52" i="60"/>
  <c r="R52" i="60" s="1"/>
  <c r="T53" i="60"/>
  <c r="R53" i="60" s="1"/>
  <c r="T54" i="60"/>
  <c r="R54" i="60" s="1"/>
  <c r="T55" i="60"/>
  <c r="R55" i="60" s="1"/>
  <c r="T56" i="60"/>
  <c r="R56" i="60" s="1"/>
  <c r="T57" i="60"/>
  <c r="R57" i="60" s="1"/>
  <c r="Z59" i="60"/>
  <c r="T60" i="60"/>
  <c r="R60" i="60" s="1"/>
  <c r="T61" i="60"/>
  <c r="R61" i="60" s="1"/>
  <c r="T62" i="60"/>
  <c r="R62" i="60" s="1"/>
  <c r="T63" i="60"/>
  <c r="R63" i="60" s="1"/>
  <c r="T64" i="60"/>
  <c r="R64" i="60" s="1"/>
  <c r="T65" i="60"/>
  <c r="R65" i="60" s="1"/>
  <c r="T68" i="60"/>
  <c r="R68" i="60" s="1"/>
  <c r="T69" i="60"/>
  <c r="R69" i="60" s="1"/>
  <c r="T70" i="60"/>
  <c r="R70" i="60" s="1"/>
  <c r="T71" i="60"/>
  <c r="R71" i="60" s="1"/>
  <c r="T72" i="60"/>
  <c r="R72" i="60" s="1"/>
  <c r="T73" i="60"/>
  <c r="R73" i="60" s="1"/>
  <c r="T76" i="60"/>
  <c r="R76" i="60" s="1"/>
  <c r="T77" i="60"/>
  <c r="R77" i="60" s="1"/>
  <c r="T78" i="60"/>
  <c r="R78" i="60" s="1"/>
  <c r="T79" i="60"/>
  <c r="R79" i="60" s="1"/>
  <c r="T80" i="60"/>
  <c r="R80" i="60" s="1"/>
  <c r="T81" i="60"/>
  <c r="R81" i="60" s="1"/>
  <c r="T84" i="60"/>
  <c r="R84" i="60" s="1"/>
  <c r="T85" i="60"/>
  <c r="R85" i="60" s="1"/>
  <c r="T86" i="60"/>
  <c r="R86" i="60" s="1"/>
  <c r="T87" i="60"/>
  <c r="R87" i="60" s="1"/>
  <c r="T88" i="60"/>
  <c r="R88" i="60" s="1"/>
  <c r="T89" i="60"/>
  <c r="R89" i="60" s="1"/>
  <c r="T92" i="60"/>
  <c r="R92" i="60" s="1"/>
  <c r="T93" i="60"/>
  <c r="R93" i="60" s="1"/>
  <c r="T94" i="60"/>
  <c r="R94" i="60" s="1"/>
  <c r="T95" i="60"/>
  <c r="R95" i="60" s="1"/>
  <c r="T96" i="60"/>
  <c r="R96" i="60" s="1"/>
  <c r="T97" i="60"/>
  <c r="R97" i="60" s="1"/>
  <c r="T100" i="60"/>
  <c r="R100" i="60" s="1"/>
  <c r="T101" i="60"/>
  <c r="R101" i="60" s="1"/>
  <c r="T102" i="60"/>
  <c r="R102" i="60" s="1"/>
  <c r="T103" i="60"/>
  <c r="R103" i="60" s="1"/>
  <c r="T104" i="60"/>
  <c r="R104" i="60" s="1"/>
  <c r="T105" i="60"/>
  <c r="R105" i="60" s="1"/>
  <c r="T108" i="60"/>
  <c r="R108" i="60" s="1"/>
  <c r="T109" i="60"/>
  <c r="R109" i="60" s="1"/>
  <c r="T110" i="60"/>
  <c r="R110" i="60" s="1"/>
  <c r="T111" i="60"/>
  <c r="R111" i="60" s="1"/>
  <c r="T112" i="60"/>
  <c r="R112" i="60" s="1"/>
  <c r="T113" i="60"/>
  <c r="R113" i="60" s="1"/>
  <c r="T116" i="60"/>
  <c r="R116" i="60" s="1"/>
  <c r="T117" i="60"/>
  <c r="R117" i="60" s="1"/>
  <c r="T118" i="60"/>
  <c r="R118" i="60" s="1"/>
  <c r="T119" i="60"/>
  <c r="R119" i="60" s="1"/>
  <c r="T120" i="60"/>
  <c r="R120" i="60" s="1"/>
  <c r="T121" i="60"/>
  <c r="R121" i="60" s="1"/>
  <c r="T124" i="60"/>
  <c r="R124" i="60" s="1"/>
  <c r="T125" i="60"/>
  <c r="R125" i="60" s="1"/>
  <c r="T126" i="60"/>
  <c r="R126" i="60" s="1"/>
  <c r="T127" i="60"/>
  <c r="R127" i="60" s="1"/>
  <c r="T128" i="60"/>
  <c r="R128" i="60" s="1"/>
  <c r="T129" i="60"/>
  <c r="R129" i="60" s="1"/>
  <c r="T132" i="60"/>
  <c r="R132" i="60" s="1"/>
  <c r="T133" i="60"/>
  <c r="R133" i="60" s="1"/>
  <c r="T134" i="60"/>
  <c r="R134" i="60" s="1"/>
  <c r="T135" i="60"/>
  <c r="R135" i="60" s="1"/>
  <c r="T136" i="60"/>
  <c r="R136" i="60" s="1"/>
  <c r="T137" i="60"/>
  <c r="R137" i="60" s="1"/>
  <c r="T140" i="60"/>
  <c r="R140" i="60" s="1"/>
  <c r="T141" i="60"/>
  <c r="R141" i="60" s="1"/>
  <c r="T142" i="60"/>
  <c r="R142" i="60" s="1"/>
  <c r="T143" i="60"/>
  <c r="R143" i="60" s="1"/>
  <c r="T144" i="60"/>
  <c r="R144" i="60" s="1"/>
  <c r="T145" i="60"/>
  <c r="R145" i="60" s="1"/>
  <c r="T148" i="60"/>
  <c r="R148" i="60" s="1"/>
  <c r="T149" i="60"/>
  <c r="R149" i="60" s="1"/>
  <c r="T150" i="60"/>
  <c r="R150" i="60" s="1"/>
  <c r="T151" i="60"/>
  <c r="R151" i="60" s="1"/>
  <c r="T152" i="60"/>
  <c r="R152" i="60" s="1"/>
  <c r="T153" i="60"/>
  <c r="R153" i="60" s="1"/>
  <c r="T156" i="60"/>
  <c r="R156" i="60" s="1"/>
  <c r="T157" i="60"/>
  <c r="R157" i="60" s="1"/>
  <c r="T158" i="60"/>
  <c r="R158" i="60" s="1"/>
  <c r="T159" i="60"/>
  <c r="R159" i="60" s="1"/>
  <c r="T160" i="60"/>
  <c r="R160" i="60" s="1"/>
  <c r="T161" i="60"/>
  <c r="R161" i="60" s="1"/>
  <c r="T164" i="60"/>
  <c r="R164" i="60" s="1"/>
  <c r="T165" i="60"/>
  <c r="R165" i="60" s="1"/>
  <c r="T166" i="60"/>
  <c r="R166" i="60" s="1"/>
  <c r="T167" i="60"/>
  <c r="R167" i="60" s="1"/>
  <c r="T168" i="60"/>
  <c r="R168" i="60" s="1"/>
  <c r="T169" i="60"/>
  <c r="R169" i="60" s="1"/>
  <c r="T172" i="60"/>
  <c r="R172" i="60" s="1"/>
  <c r="T173" i="60"/>
  <c r="R173" i="60" s="1"/>
  <c r="T174" i="60"/>
  <c r="R174" i="60" s="1"/>
  <c r="T175" i="60"/>
  <c r="R175" i="60" s="1"/>
  <c r="T176" i="60"/>
  <c r="R176" i="60" s="1"/>
  <c r="T177" i="60"/>
  <c r="R177" i="60" s="1"/>
  <c r="T180" i="60"/>
  <c r="R180" i="60" s="1"/>
  <c r="T181" i="60"/>
  <c r="R181" i="60" s="1"/>
  <c r="T182" i="60"/>
  <c r="R182" i="60" s="1"/>
  <c r="T183" i="60"/>
  <c r="R183" i="60" s="1"/>
  <c r="T184" i="60"/>
  <c r="R184" i="60" s="1"/>
  <c r="T185" i="60"/>
  <c r="R185" i="60" s="1"/>
  <c r="T188" i="60"/>
  <c r="R188" i="60" s="1"/>
  <c r="T189" i="60"/>
  <c r="R189" i="60" s="1"/>
  <c r="T190" i="60"/>
  <c r="R190" i="60" s="1"/>
  <c r="T191" i="60"/>
  <c r="R191" i="60" s="1"/>
  <c r="T192" i="60"/>
  <c r="R192" i="60" s="1"/>
  <c r="T193" i="60"/>
  <c r="R193" i="60" s="1"/>
  <c r="T196" i="60"/>
  <c r="R196" i="60" s="1"/>
  <c r="T197" i="60"/>
  <c r="R197" i="60" s="1"/>
  <c r="T198" i="60"/>
  <c r="R198" i="60" s="1"/>
  <c r="T199" i="60"/>
  <c r="R199" i="60" s="1"/>
  <c r="T200" i="60"/>
  <c r="R200" i="60" s="1"/>
  <c r="T201" i="60"/>
  <c r="R201" i="60" s="1"/>
  <c r="T204" i="60"/>
  <c r="R204" i="60" s="1"/>
  <c r="T205" i="60"/>
  <c r="R205" i="60" s="1"/>
  <c r="T206" i="60"/>
  <c r="R206" i="60" s="1"/>
  <c r="T207" i="60"/>
  <c r="R207" i="60" s="1"/>
  <c r="T208" i="60"/>
  <c r="R208" i="60" s="1"/>
  <c r="T209" i="60"/>
  <c r="R209" i="60" s="1"/>
  <c r="F4" i="59"/>
  <c r="D5" i="59"/>
  <c r="D13" i="59"/>
  <c r="E13" i="59"/>
  <c r="F13" i="59"/>
  <c r="G13" i="59"/>
  <c r="H13" i="59"/>
  <c r="I13" i="59"/>
  <c r="D23" i="59"/>
  <c r="E23" i="59"/>
  <c r="F23" i="59"/>
  <c r="G23" i="59"/>
  <c r="H23" i="59"/>
  <c r="I23" i="59"/>
  <c r="D27" i="59"/>
  <c r="E27" i="59"/>
  <c r="F27" i="59"/>
  <c r="G27" i="59"/>
  <c r="H27" i="59"/>
  <c r="I27" i="59"/>
  <c r="D36" i="59"/>
  <c r="E36" i="59"/>
  <c r="F36" i="59"/>
  <c r="G36" i="59"/>
  <c r="H36" i="59"/>
  <c r="I36" i="59"/>
  <c r="D40" i="59"/>
  <c r="E40" i="59"/>
  <c r="F40" i="59"/>
  <c r="G40" i="59"/>
  <c r="H40" i="59"/>
  <c r="I40" i="59"/>
  <c r="D43" i="59"/>
  <c r="E43" i="59"/>
  <c r="F43" i="59"/>
  <c r="G43" i="59"/>
  <c r="H43" i="59"/>
  <c r="I43" i="59"/>
  <c r="N50" i="59"/>
  <c r="W50" i="59"/>
  <c r="W49" i="59" s="1"/>
  <c r="N61" i="59"/>
  <c r="T62" i="59"/>
  <c r="R62" i="59" s="1"/>
  <c r="T63" i="59"/>
  <c r="R63" i="59" s="1"/>
  <c r="T64" i="59"/>
  <c r="R64" i="59" s="1"/>
  <c r="T65" i="59"/>
  <c r="R65" i="59" s="1"/>
  <c r="T66" i="59"/>
  <c r="R66" i="59" s="1"/>
  <c r="T67" i="59"/>
  <c r="R67" i="59" s="1"/>
  <c r="Z69" i="59"/>
  <c r="Z77" i="59" s="1"/>
  <c r="T70" i="59"/>
  <c r="R70" i="59" s="1"/>
  <c r="T71" i="59"/>
  <c r="R71" i="59" s="1"/>
  <c r="T72" i="59"/>
  <c r="R72" i="59" s="1"/>
  <c r="T73" i="59"/>
  <c r="R73" i="59" s="1"/>
  <c r="T74" i="59"/>
  <c r="R74" i="59" s="1"/>
  <c r="D73" i="59" a="1"/>
  <c r="I73" i="59" s="1"/>
  <c r="T75" i="59"/>
  <c r="R75" i="59" s="1"/>
  <c r="T78" i="59"/>
  <c r="R78" i="59" s="1"/>
  <c r="T79" i="59"/>
  <c r="R79" i="59" s="1"/>
  <c r="T80" i="59"/>
  <c r="R80" i="59" s="1"/>
  <c r="T81" i="59"/>
  <c r="R81" i="59" s="1"/>
  <c r="T82" i="59"/>
  <c r="R82" i="59" s="1"/>
  <c r="T83" i="59"/>
  <c r="R83" i="59" s="1"/>
  <c r="T86" i="59"/>
  <c r="R86" i="59" s="1"/>
  <c r="T87" i="59"/>
  <c r="R87" i="59" s="1"/>
  <c r="T88" i="59"/>
  <c r="R88" i="59" s="1"/>
  <c r="T89" i="59"/>
  <c r="R89" i="59" s="1"/>
  <c r="T90" i="59"/>
  <c r="R90" i="59" s="1"/>
  <c r="T91" i="59"/>
  <c r="R91" i="59" s="1"/>
  <c r="T94" i="59"/>
  <c r="R94" i="59" s="1"/>
  <c r="T95" i="59"/>
  <c r="R95" i="59" s="1"/>
  <c r="T96" i="59"/>
  <c r="R96" i="59" s="1"/>
  <c r="T97" i="59"/>
  <c r="R97" i="59" s="1"/>
  <c r="T98" i="59"/>
  <c r="R98" i="59" s="1"/>
  <c r="T99" i="59"/>
  <c r="R99" i="59" s="1"/>
  <c r="T102" i="59"/>
  <c r="R102" i="59" s="1"/>
  <c r="T103" i="59"/>
  <c r="R103" i="59" s="1"/>
  <c r="T104" i="59"/>
  <c r="R104" i="59" s="1"/>
  <c r="T105" i="59"/>
  <c r="R105" i="59" s="1"/>
  <c r="T106" i="59"/>
  <c r="R106" i="59" s="1"/>
  <c r="T107" i="59"/>
  <c r="R107" i="59" s="1"/>
  <c r="T110" i="59"/>
  <c r="R110" i="59" s="1"/>
  <c r="T111" i="59"/>
  <c r="R111" i="59" s="1"/>
  <c r="T112" i="59"/>
  <c r="R112" i="59" s="1"/>
  <c r="T113" i="59"/>
  <c r="R113" i="59" s="1"/>
  <c r="T114" i="59"/>
  <c r="R114" i="59" s="1"/>
  <c r="T115" i="59"/>
  <c r="R115" i="59" s="1"/>
  <c r="T118" i="59"/>
  <c r="R118" i="59" s="1"/>
  <c r="T119" i="59"/>
  <c r="R119" i="59" s="1"/>
  <c r="T120" i="59"/>
  <c r="R120" i="59" s="1"/>
  <c r="T121" i="59"/>
  <c r="R121" i="59" s="1"/>
  <c r="T122" i="59"/>
  <c r="R122" i="59" s="1"/>
  <c r="T123" i="59"/>
  <c r="R123" i="59" s="1"/>
  <c r="T126" i="59"/>
  <c r="R126" i="59" s="1"/>
  <c r="T127" i="59"/>
  <c r="R127" i="59" s="1"/>
  <c r="T128" i="59"/>
  <c r="R128" i="59" s="1"/>
  <c r="T129" i="59"/>
  <c r="R129" i="59" s="1"/>
  <c r="T130" i="59"/>
  <c r="R130" i="59" s="1"/>
  <c r="T131" i="59"/>
  <c r="R131" i="59" s="1"/>
  <c r="T134" i="59"/>
  <c r="R134" i="59" s="1"/>
  <c r="T135" i="59"/>
  <c r="R135" i="59" s="1"/>
  <c r="T136" i="59"/>
  <c r="R136" i="59" s="1"/>
  <c r="T137" i="59"/>
  <c r="R137" i="59" s="1"/>
  <c r="T138" i="59"/>
  <c r="R138" i="59" s="1"/>
  <c r="T139" i="59"/>
  <c r="R139" i="59" s="1"/>
  <c r="T142" i="59"/>
  <c r="R142" i="59" s="1"/>
  <c r="T143" i="59"/>
  <c r="R143" i="59" s="1"/>
  <c r="T144" i="59"/>
  <c r="R144" i="59" s="1"/>
  <c r="T145" i="59"/>
  <c r="R145" i="59" s="1"/>
  <c r="T146" i="59"/>
  <c r="R146" i="59" s="1"/>
  <c r="T147" i="59"/>
  <c r="R147" i="59" s="1"/>
  <c r="T150" i="59"/>
  <c r="R150" i="59" s="1"/>
  <c r="T151" i="59"/>
  <c r="R151" i="59" s="1"/>
  <c r="T152" i="59"/>
  <c r="R152" i="59" s="1"/>
  <c r="T153" i="59"/>
  <c r="R153" i="59" s="1"/>
  <c r="T154" i="59"/>
  <c r="R154" i="59" s="1"/>
  <c r="T155" i="59"/>
  <c r="R155" i="59" s="1"/>
  <c r="T158" i="59"/>
  <c r="R158" i="59" s="1"/>
  <c r="T159" i="59"/>
  <c r="R159" i="59" s="1"/>
  <c r="T160" i="59"/>
  <c r="R160" i="59" s="1"/>
  <c r="T161" i="59"/>
  <c r="R161" i="59" s="1"/>
  <c r="T162" i="59"/>
  <c r="R162" i="59" s="1"/>
  <c r="T163" i="59"/>
  <c r="R163" i="59" s="1"/>
  <c r="T166" i="59"/>
  <c r="R166" i="59" s="1"/>
  <c r="T167" i="59"/>
  <c r="R167" i="59" s="1"/>
  <c r="T168" i="59"/>
  <c r="R168" i="59" s="1"/>
  <c r="T169" i="59"/>
  <c r="R169" i="59" s="1"/>
  <c r="T170" i="59"/>
  <c r="R170" i="59" s="1"/>
  <c r="T171" i="59"/>
  <c r="R171" i="59" s="1"/>
  <c r="T174" i="59"/>
  <c r="R174" i="59" s="1"/>
  <c r="T175" i="59"/>
  <c r="R175" i="59" s="1"/>
  <c r="T176" i="59"/>
  <c r="R176" i="59" s="1"/>
  <c r="T177" i="59"/>
  <c r="R177" i="59" s="1"/>
  <c r="T178" i="59"/>
  <c r="R178" i="59" s="1"/>
  <c r="T179" i="59"/>
  <c r="R179" i="59" s="1"/>
  <c r="T182" i="59"/>
  <c r="R182" i="59" s="1"/>
  <c r="T183" i="59"/>
  <c r="R183" i="59" s="1"/>
  <c r="T184" i="59"/>
  <c r="R184" i="59" s="1"/>
  <c r="T185" i="59"/>
  <c r="R185" i="59" s="1"/>
  <c r="T186" i="59"/>
  <c r="R186" i="59" s="1"/>
  <c r="T187" i="59"/>
  <c r="R187" i="59" s="1"/>
  <c r="T190" i="59"/>
  <c r="R190" i="59" s="1"/>
  <c r="T191" i="59"/>
  <c r="R191" i="59" s="1"/>
  <c r="T192" i="59"/>
  <c r="R192" i="59" s="1"/>
  <c r="T193" i="59"/>
  <c r="R193" i="59" s="1"/>
  <c r="T194" i="59"/>
  <c r="R194" i="59" s="1"/>
  <c r="T195" i="59"/>
  <c r="R195" i="59" s="1"/>
  <c r="T198" i="59"/>
  <c r="R198" i="59" s="1"/>
  <c r="T199" i="59"/>
  <c r="R199" i="59" s="1"/>
  <c r="T200" i="59"/>
  <c r="R200" i="59" s="1"/>
  <c r="T201" i="59"/>
  <c r="R201" i="59" s="1"/>
  <c r="T202" i="59"/>
  <c r="R202" i="59" s="1"/>
  <c r="T203" i="59"/>
  <c r="R203" i="59" s="1"/>
  <c r="T206" i="59"/>
  <c r="R206" i="59" s="1"/>
  <c r="T207" i="59"/>
  <c r="R207" i="59" s="1"/>
  <c r="T208" i="59"/>
  <c r="R208" i="59" s="1"/>
  <c r="T209" i="59"/>
  <c r="R209" i="59" s="1"/>
  <c r="T210" i="59"/>
  <c r="R210" i="59" s="1"/>
  <c r="T211" i="59"/>
  <c r="R211" i="59" s="1"/>
  <c r="T214" i="59"/>
  <c r="R214" i="59" s="1"/>
  <c r="T215" i="59"/>
  <c r="R215" i="59" s="1"/>
  <c r="T216" i="59"/>
  <c r="R216" i="59" s="1"/>
  <c r="T217" i="59"/>
  <c r="R217" i="59" s="1"/>
  <c r="T218" i="59"/>
  <c r="R218" i="59" s="1"/>
  <c r="T219" i="59"/>
  <c r="R219" i="59" s="1"/>
  <c r="T222" i="59"/>
  <c r="R222" i="59" s="1"/>
  <c r="T223" i="59"/>
  <c r="R223" i="59" s="1"/>
  <c r="T224" i="59"/>
  <c r="R224" i="59" s="1"/>
  <c r="T225" i="59"/>
  <c r="R225" i="59" s="1"/>
  <c r="T226" i="59"/>
  <c r="R226" i="59" s="1"/>
  <c r="T227" i="59"/>
  <c r="R227" i="59" s="1"/>
  <c r="T230" i="59"/>
  <c r="R230" i="59" s="1"/>
  <c r="T231" i="59"/>
  <c r="R231" i="59" s="1"/>
  <c r="T232" i="59"/>
  <c r="R232" i="59" s="1"/>
  <c r="T233" i="59"/>
  <c r="R233" i="59" s="1"/>
  <c r="T234" i="59"/>
  <c r="R234" i="59" s="1"/>
  <c r="T235" i="59"/>
  <c r="R235" i="59" s="1"/>
  <c r="T238" i="59"/>
  <c r="R238" i="59" s="1"/>
  <c r="T239" i="59"/>
  <c r="R239" i="59" s="1"/>
  <c r="T240" i="59"/>
  <c r="R240" i="59" s="1"/>
  <c r="T241" i="59"/>
  <c r="R241" i="59" s="1"/>
  <c r="T242" i="59"/>
  <c r="R242" i="59" s="1"/>
  <c r="T243" i="59"/>
  <c r="R243" i="59" s="1"/>
  <c r="T246" i="59"/>
  <c r="R246" i="59" s="1"/>
  <c r="T247" i="59"/>
  <c r="R247" i="59" s="1"/>
  <c r="T248" i="59"/>
  <c r="R248" i="59" s="1"/>
  <c r="T249" i="59"/>
  <c r="R249" i="59" s="1"/>
  <c r="T250" i="59"/>
  <c r="R250" i="59" s="1"/>
  <c r="T251" i="59"/>
  <c r="R251" i="59" s="1"/>
  <c r="T254" i="59"/>
  <c r="R254" i="59" s="1"/>
  <c r="T255" i="59"/>
  <c r="R255" i="59" s="1"/>
  <c r="T256" i="59"/>
  <c r="R256" i="59" s="1"/>
  <c r="T257" i="59"/>
  <c r="R257" i="59" s="1"/>
  <c r="T258" i="59"/>
  <c r="R258" i="59" s="1"/>
  <c r="T259" i="59"/>
  <c r="R259" i="59" s="1"/>
  <c r="T262" i="59"/>
  <c r="R262" i="59" s="1"/>
  <c r="T263" i="59"/>
  <c r="R263" i="59" s="1"/>
  <c r="T264" i="59"/>
  <c r="R264" i="59" s="1"/>
  <c r="T265" i="59"/>
  <c r="R265" i="59" s="1"/>
  <c r="T266" i="59"/>
  <c r="R266" i="59" s="1"/>
  <c r="T267" i="59"/>
  <c r="R267" i="59" s="1"/>
  <c r="T270" i="59"/>
  <c r="R270" i="59" s="1"/>
  <c r="T271" i="59"/>
  <c r="R271" i="59" s="1"/>
  <c r="T272" i="59"/>
  <c r="R272" i="59" s="1"/>
  <c r="T273" i="59"/>
  <c r="R273" i="59" s="1"/>
  <c r="T274" i="59"/>
  <c r="R274" i="59" s="1"/>
  <c r="T275" i="59"/>
  <c r="R275" i="59" s="1"/>
  <c r="T278" i="59"/>
  <c r="R278" i="59" s="1"/>
  <c r="T279" i="59"/>
  <c r="R279" i="59" s="1"/>
  <c r="T280" i="59"/>
  <c r="R280" i="59" s="1"/>
  <c r="T281" i="59"/>
  <c r="R281" i="59" s="1"/>
  <c r="T282" i="59"/>
  <c r="R282" i="59" s="1"/>
  <c r="T283" i="59"/>
  <c r="R283" i="59" s="1"/>
  <c r="T286" i="59"/>
  <c r="R286" i="59" s="1"/>
  <c r="T287" i="59"/>
  <c r="R287" i="59" s="1"/>
  <c r="T288" i="59"/>
  <c r="R288" i="59" s="1"/>
  <c r="T289" i="59"/>
  <c r="R289" i="59" s="1"/>
  <c r="T290" i="59"/>
  <c r="R290" i="59" s="1"/>
  <c r="T291" i="59"/>
  <c r="R291" i="59" s="1"/>
  <c r="F4" i="57"/>
  <c r="D5" i="57"/>
  <c r="D77" i="57" s="1" a="1"/>
  <c r="D79" i="57" s="1"/>
  <c r="D13" i="57"/>
  <c r="E13" i="57"/>
  <c r="F13" i="57"/>
  <c r="G13" i="57"/>
  <c r="H13" i="57"/>
  <c r="I13" i="57"/>
  <c r="Y13" i="57"/>
  <c r="W17" i="57" a="1"/>
  <c r="W17" i="57" s="1"/>
  <c r="W18" i="57" a="1"/>
  <c r="W18" i="57" s="1"/>
  <c r="W19" i="57" a="1"/>
  <c r="W19" i="57" s="1"/>
  <c r="D20" i="57"/>
  <c r="E20" i="57"/>
  <c r="F20" i="57"/>
  <c r="G20" i="57"/>
  <c r="H20" i="57"/>
  <c r="I20" i="57"/>
  <c r="D25" i="57"/>
  <c r="E25" i="57"/>
  <c r="F25" i="57"/>
  <c r="G25" i="57"/>
  <c r="H25" i="57"/>
  <c r="I25" i="57"/>
  <c r="D30" i="57"/>
  <c r="E30" i="57"/>
  <c r="F30" i="57"/>
  <c r="G30" i="57"/>
  <c r="H30" i="57"/>
  <c r="I30" i="57"/>
  <c r="D37" i="57"/>
  <c r="E37" i="57"/>
  <c r="F37" i="57"/>
  <c r="G37" i="57"/>
  <c r="H37" i="57"/>
  <c r="I37" i="57"/>
  <c r="D43" i="57"/>
  <c r="E43" i="57"/>
  <c r="F43" i="57"/>
  <c r="G43" i="57"/>
  <c r="H43" i="57"/>
  <c r="I43" i="57"/>
  <c r="Y46" i="57"/>
  <c r="D46" i="57"/>
  <c r="E46" i="57"/>
  <c r="F46" i="57"/>
  <c r="G46" i="57"/>
  <c r="H46" i="57"/>
  <c r="I46" i="57"/>
  <c r="N53" i="57"/>
  <c r="W53" i="57"/>
  <c r="W52" i="57" s="1"/>
  <c r="N64" i="57"/>
  <c r="T65" i="57"/>
  <c r="R65" i="57" s="1"/>
  <c r="T66" i="57"/>
  <c r="R66" i="57" s="1"/>
  <c r="T67" i="57"/>
  <c r="R67" i="57" s="1"/>
  <c r="T68" i="57"/>
  <c r="R68" i="57" s="1"/>
  <c r="T69" i="57"/>
  <c r="R69" i="57" s="1"/>
  <c r="T70" i="57"/>
  <c r="R70" i="57" s="1"/>
  <c r="Z72" i="57"/>
  <c r="N72" i="57" s="1"/>
  <c r="T73" i="57"/>
  <c r="R73" i="57" s="1"/>
  <c r="T74" i="57"/>
  <c r="R74" i="57" s="1"/>
  <c r="T75" i="57"/>
  <c r="R75" i="57" s="1"/>
  <c r="T76" i="57"/>
  <c r="R76" i="57" s="1"/>
  <c r="T77" i="57"/>
  <c r="R77" i="57" s="1"/>
  <c r="T78" i="57"/>
  <c r="R78" i="57" s="1"/>
  <c r="T81" i="57"/>
  <c r="R81" i="57" s="1"/>
  <c r="T82" i="57"/>
  <c r="R82" i="57" s="1"/>
  <c r="T83" i="57"/>
  <c r="R83" i="57" s="1"/>
  <c r="T84" i="57"/>
  <c r="R84" i="57" s="1"/>
  <c r="T85" i="57"/>
  <c r="R85" i="57" s="1"/>
  <c r="T86" i="57"/>
  <c r="R86" i="57" s="1"/>
  <c r="T89" i="57"/>
  <c r="R89" i="57" s="1"/>
  <c r="T90" i="57"/>
  <c r="R90" i="57" s="1"/>
  <c r="T91" i="57"/>
  <c r="R91" i="57" s="1"/>
  <c r="T92" i="57"/>
  <c r="R92" i="57" s="1"/>
  <c r="T93" i="57"/>
  <c r="R93" i="57" s="1"/>
  <c r="T94" i="57"/>
  <c r="R94" i="57" s="1"/>
  <c r="T97" i="57"/>
  <c r="R97" i="57" s="1"/>
  <c r="T98" i="57"/>
  <c r="R98" i="57" s="1"/>
  <c r="T99" i="57"/>
  <c r="R99" i="57" s="1"/>
  <c r="T100" i="57"/>
  <c r="R100" i="57" s="1"/>
  <c r="T101" i="57"/>
  <c r="R101" i="57" s="1"/>
  <c r="T102" i="57"/>
  <c r="R102" i="57" s="1"/>
  <c r="T105" i="57"/>
  <c r="R105" i="57" s="1"/>
  <c r="T106" i="57"/>
  <c r="R106" i="57" s="1"/>
  <c r="T107" i="57"/>
  <c r="R107" i="57" s="1"/>
  <c r="T108" i="57"/>
  <c r="R108" i="57" s="1"/>
  <c r="T109" i="57"/>
  <c r="R109" i="57" s="1"/>
  <c r="T110" i="57"/>
  <c r="R110" i="57" s="1"/>
  <c r="T113" i="57"/>
  <c r="R113" i="57" s="1"/>
  <c r="T114" i="57"/>
  <c r="R114" i="57" s="1"/>
  <c r="T115" i="57"/>
  <c r="R115" i="57" s="1"/>
  <c r="T116" i="57"/>
  <c r="R116" i="57" s="1"/>
  <c r="T117" i="57"/>
  <c r="R117" i="57" s="1"/>
  <c r="T118" i="57"/>
  <c r="R118" i="57" s="1"/>
  <c r="T121" i="57"/>
  <c r="R121" i="57" s="1"/>
  <c r="T122" i="57"/>
  <c r="R122" i="57" s="1"/>
  <c r="T123" i="57"/>
  <c r="R123" i="57" s="1"/>
  <c r="T124" i="57"/>
  <c r="R124" i="57" s="1"/>
  <c r="T125" i="57"/>
  <c r="R125" i="57" s="1"/>
  <c r="T126" i="57"/>
  <c r="R126" i="57" s="1"/>
  <c r="T129" i="57"/>
  <c r="R129" i="57" s="1"/>
  <c r="T130" i="57"/>
  <c r="R130" i="57" s="1"/>
  <c r="T131" i="57"/>
  <c r="R131" i="57" s="1"/>
  <c r="T132" i="57"/>
  <c r="R132" i="57" s="1"/>
  <c r="T133" i="57"/>
  <c r="R133" i="57" s="1"/>
  <c r="T134" i="57"/>
  <c r="R134" i="57" s="1"/>
  <c r="T137" i="57"/>
  <c r="R137" i="57" s="1"/>
  <c r="T138" i="57"/>
  <c r="R138" i="57" s="1"/>
  <c r="T139" i="57"/>
  <c r="R139" i="57" s="1"/>
  <c r="T140" i="57"/>
  <c r="R140" i="57" s="1"/>
  <c r="T141" i="57"/>
  <c r="R141" i="57" s="1"/>
  <c r="T142" i="57"/>
  <c r="R142" i="57" s="1"/>
  <c r="T145" i="57"/>
  <c r="R145" i="57" s="1"/>
  <c r="T146" i="57"/>
  <c r="R146" i="57" s="1"/>
  <c r="T147" i="57"/>
  <c r="R147" i="57" s="1"/>
  <c r="T148" i="57"/>
  <c r="R148" i="57" s="1"/>
  <c r="T149" i="57"/>
  <c r="R149" i="57" s="1"/>
  <c r="T150" i="57"/>
  <c r="R150" i="57" s="1"/>
  <c r="T153" i="57"/>
  <c r="R153" i="57" s="1"/>
  <c r="T154" i="57"/>
  <c r="R154" i="57" s="1"/>
  <c r="T155" i="57"/>
  <c r="R155" i="57" s="1"/>
  <c r="T156" i="57"/>
  <c r="R156" i="57" s="1"/>
  <c r="T157" i="57"/>
  <c r="R157" i="57" s="1"/>
  <c r="T158" i="57"/>
  <c r="R158" i="57" s="1"/>
  <c r="T161" i="57"/>
  <c r="R161" i="57" s="1"/>
  <c r="T162" i="57"/>
  <c r="R162" i="57" s="1"/>
  <c r="T163" i="57"/>
  <c r="R163" i="57" s="1"/>
  <c r="T164" i="57"/>
  <c r="R164" i="57" s="1"/>
  <c r="T165" i="57"/>
  <c r="R165" i="57" s="1"/>
  <c r="T166" i="57"/>
  <c r="R166" i="57" s="1"/>
  <c r="T169" i="57"/>
  <c r="R169" i="57" s="1"/>
  <c r="T170" i="57"/>
  <c r="R170" i="57" s="1"/>
  <c r="T171" i="57"/>
  <c r="R171" i="57" s="1"/>
  <c r="T172" i="57"/>
  <c r="R172" i="57" s="1"/>
  <c r="T173" i="57"/>
  <c r="R173" i="57" s="1"/>
  <c r="T174" i="57"/>
  <c r="R174" i="57" s="1"/>
  <c r="T177" i="57"/>
  <c r="R177" i="57" s="1"/>
  <c r="T178" i="57"/>
  <c r="R178" i="57" s="1"/>
  <c r="T179" i="57"/>
  <c r="R179" i="57" s="1"/>
  <c r="T180" i="57"/>
  <c r="R180" i="57" s="1"/>
  <c r="T181" i="57"/>
  <c r="R181" i="57" s="1"/>
  <c r="T182" i="57"/>
  <c r="R182" i="57" s="1"/>
  <c r="T185" i="57"/>
  <c r="R185" i="57" s="1"/>
  <c r="T186" i="57"/>
  <c r="R186" i="57" s="1"/>
  <c r="T187" i="57"/>
  <c r="R187" i="57" s="1"/>
  <c r="T188" i="57"/>
  <c r="R188" i="57" s="1"/>
  <c r="T189" i="57"/>
  <c r="R189" i="57" s="1"/>
  <c r="T190" i="57"/>
  <c r="R190" i="57" s="1"/>
  <c r="T193" i="57"/>
  <c r="R193" i="57" s="1"/>
  <c r="T194" i="57"/>
  <c r="R194" i="57" s="1"/>
  <c r="T195" i="57"/>
  <c r="R195" i="57" s="1"/>
  <c r="T196" i="57"/>
  <c r="R196" i="57" s="1"/>
  <c r="T197" i="57"/>
  <c r="R197" i="57" s="1"/>
  <c r="T198" i="57"/>
  <c r="R198" i="57" s="1"/>
  <c r="T201" i="57"/>
  <c r="R201" i="57" s="1"/>
  <c r="T202" i="57"/>
  <c r="R202" i="57" s="1"/>
  <c r="T203" i="57"/>
  <c r="R203" i="57" s="1"/>
  <c r="T204" i="57"/>
  <c r="R204" i="57" s="1"/>
  <c r="T205" i="57"/>
  <c r="R205" i="57" s="1"/>
  <c r="T206" i="57"/>
  <c r="R206" i="57" s="1"/>
  <c r="T209" i="57"/>
  <c r="R209" i="57" s="1"/>
  <c r="T210" i="57"/>
  <c r="R210" i="57" s="1"/>
  <c r="T211" i="57"/>
  <c r="R211" i="57" s="1"/>
  <c r="T212" i="57"/>
  <c r="R212" i="57" s="1"/>
  <c r="T213" i="57"/>
  <c r="R213" i="57" s="1"/>
  <c r="T214" i="57"/>
  <c r="R214" i="57" s="1"/>
  <c r="T217" i="57"/>
  <c r="R217" i="57" s="1"/>
  <c r="T218" i="57"/>
  <c r="R218" i="57" s="1"/>
  <c r="T219" i="57"/>
  <c r="R219" i="57" s="1"/>
  <c r="T220" i="57"/>
  <c r="R220" i="57" s="1"/>
  <c r="T221" i="57"/>
  <c r="R221" i="57" s="1"/>
  <c r="T222" i="57"/>
  <c r="R222" i="57" s="1"/>
  <c r="T225" i="57"/>
  <c r="R225" i="57" s="1"/>
  <c r="T226" i="57"/>
  <c r="R226" i="57" s="1"/>
  <c r="T227" i="57"/>
  <c r="R227" i="57" s="1"/>
  <c r="T228" i="57"/>
  <c r="R228" i="57" s="1"/>
  <c r="T229" i="57"/>
  <c r="R229" i="57" s="1"/>
  <c r="T230" i="57"/>
  <c r="R230" i="57" s="1"/>
  <c r="T233" i="57"/>
  <c r="R233" i="57" s="1"/>
  <c r="T234" i="57"/>
  <c r="R234" i="57" s="1"/>
  <c r="T235" i="57"/>
  <c r="R235" i="57" s="1"/>
  <c r="T236" i="57"/>
  <c r="R236" i="57" s="1"/>
  <c r="T237" i="57"/>
  <c r="R237" i="57" s="1"/>
  <c r="T238" i="57"/>
  <c r="R238" i="57" s="1"/>
  <c r="T241" i="57"/>
  <c r="R241" i="57" s="1"/>
  <c r="T242" i="57"/>
  <c r="R242" i="57" s="1"/>
  <c r="T243" i="57"/>
  <c r="R243" i="57" s="1"/>
  <c r="T244" i="57"/>
  <c r="R244" i="57" s="1"/>
  <c r="T245" i="57"/>
  <c r="R245" i="57" s="1"/>
  <c r="T246" i="57"/>
  <c r="R246" i="57" s="1"/>
  <c r="T249" i="57"/>
  <c r="R249" i="57" s="1"/>
  <c r="T250" i="57"/>
  <c r="R250" i="57" s="1"/>
  <c r="T251" i="57"/>
  <c r="R251" i="57" s="1"/>
  <c r="T252" i="57"/>
  <c r="R252" i="57" s="1"/>
  <c r="T253" i="57"/>
  <c r="R253" i="57" s="1"/>
  <c r="T254" i="57"/>
  <c r="R254" i="57" s="1"/>
  <c r="T257" i="57"/>
  <c r="R257" i="57" s="1"/>
  <c r="T258" i="57"/>
  <c r="R258" i="57" s="1"/>
  <c r="T259" i="57"/>
  <c r="R259" i="57" s="1"/>
  <c r="T260" i="57"/>
  <c r="R260" i="57" s="1"/>
  <c r="T261" i="57"/>
  <c r="R261" i="57" s="1"/>
  <c r="T262" i="57"/>
  <c r="R262" i="57" s="1"/>
  <c r="T265" i="57"/>
  <c r="R265" i="57" s="1"/>
  <c r="T266" i="57"/>
  <c r="R266" i="57" s="1"/>
  <c r="T267" i="57"/>
  <c r="R267" i="57" s="1"/>
  <c r="T268" i="57"/>
  <c r="R268" i="57" s="1"/>
  <c r="T269" i="57"/>
  <c r="R269" i="57" s="1"/>
  <c r="T270" i="57"/>
  <c r="R270" i="57" s="1"/>
  <c r="T273" i="57"/>
  <c r="R273" i="57" s="1"/>
  <c r="T274" i="57"/>
  <c r="R274" i="57" s="1"/>
  <c r="T275" i="57"/>
  <c r="R275" i="57" s="1"/>
  <c r="T276" i="57"/>
  <c r="R276" i="57" s="1"/>
  <c r="T277" i="57"/>
  <c r="R277" i="57" s="1"/>
  <c r="T278" i="57"/>
  <c r="R278" i="57" s="1"/>
  <c r="T281" i="57"/>
  <c r="R281" i="57" s="1"/>
  <c r="T282" i="57"/>
  <c r="R282" i="57" s="1"/>
  <c r="T283" i="57"/>
  <c r="R283" i="57" s="1"/>
  <c r="T284" i="57"/>
  <c r="R284" i="57" s="1"/>
  <c r="T285" i="57"/>
  <c r="R285" i="57" s="1"/>
  <c r="T286" i="57"/>
  <c r="R286" i="57" s="1"/>
  <c r="T289" i="57"/>
  <c r="R289" i="57" s="1"/>
  <c r="T290" i="57"/>
  <c r="R290" i="57" s="1"/>
  <c r="T291" i="57"/>
  <c r="R291" i="57" s="1"/>
  <c r="T292" i="57"/>
  <c r="R292" i="57" s="1"/>
  <c r="T293" i="57"/>
  <c r="R293" i="57" s="1"/>
  <c r="T294" i="57"/>
  <c r="R294" i="57" s="1"/>
  <c r="T297" i="57"/>
  <c r="R297" i="57" s="1"/>
  <c r="T298" i="57"/>
  <c r="R298" i="57" s="1"/>
  <c r="T299" i="57"/>
  <c r="R299" i="57" s="1"/>
  <c r="T300" i="57"/>
  <c r="R300" i="57" s="1"/>
  <c r="T301" i="57"/>
  <c r="R301" i="57" s="1"/>
  <c r="T302" i="57"/>
  <c r="R302" i="57" s="1"/>
  <c r="T305" i="57"/>
  <c r="R305" i="57" s="1"/>
  <c r="T306" i="57"/>
  <c r="R306" i="57" s="1"/>
  <c r="T307" i="57"/>
  <c r="R307" i="57" s="1"/>
  <c r="T308" i="57"/>
  <c r="R308" i="57" s="1"/>
  <c r="T309" i="57"/>
  <c r="R309" i="57" s="1"/>
  <c r="T310" i="57"/>
  <c r="R310" i="57" s="1"/>
  <c r="Z63" i="118"/>
  <c r="F15" i="118"/>
  <c r="Z75" i="123"/>
  <c r="Z83" i="123" s="1"/>
  <c r="Z91" i="123" s="1"/>
  <c r="G22" i="122"/>
  <c r="D34" i="122" a="1"/>
  <c r="F37" i="122" s="1"/>
  <c r="F22" i="122"/>
  <c r="D22" i="122"/>
  <c r="E41" i="122"/>
  <c r="D43" i="122"/>
  <c r="H41" i="122"/>
  <c r="H43" i="122"/>
  <c r="F42" i="122"/>
  <c r="I43" i="122"/>
  <c r="D41" i="122"/>
  <c r="G42" i="122"/>
  <c r="F44" i="122"/>
  <c r="E22" i="122"/>
  <c r="I22" i="122"/>
  <c r="I41" i="122"/>
  <c r="E43" i="122"/>
  <c r="G44" i="122"/>
  <c r="Z63" i="122"/>
  <c r="N55" i="122"/>
  <c r="F41" i="122"/>
  <c r="D42" i="122"/>
  <c r="H42" i="122"/>
  <c r="F43" i="122"/>
  <c r="D44" i="122"/>
  <c r="H44" i="122"/>
  <c r="G41" i="122"/>
  <c r="E42" i="122"/>
  <c r="I42" i="122"/>
  <c r="G43" i="122"/>
  <c r="E44" i="122"/>
  <c r="E30" i="121"/>
  <c r="P50" i="121" s="1"/>
  <c r="H30" i="121"/>
  <c r="P53" i="121" s="1"/>
  <c r="H31" i="121"/>
  <c r="P61" i="121" s="1"/>
  <c r="G32" i="121"/>
  <c r="D30" i="121"/>
  <c r="D31" i="121"/>
  <c r="P57" i="121" s="1"/>
  <c r="I31" i="121"/>
  <c r="P62" i="121" s="1"/>
  <c r="H32" i="121"/>
  <c r="F30" i="121"/>
  <c r="P51" i="121" s="1"/>
  <c r="E31" i="121"/>
  <c r="P58" i="121" s="1"/>
  <c r="D32" i="121"/>
  <c r="G30" i="121"/>
  <c r="F31" i="121"/>
  <c r="P59" i="121" s="1"/>
  <c r="F32" i="121"/>
  <c r="I32" i="121"/>
  <c r="E32" i="121"/>
  <c r="G31" i="121"/>
  <c r="P60" i="121" s="1"/>
  <c r="I30" i="121"/>
  <c r="D34" i="121" a="1"/>
  <c r="F37" i="121" s="1"/>
  <c r="Z64" i="121"/>
  <c r="N59" i="80"/>
  <c r="P64" i="80"/>
  <c r="Z67" i="80"/>
  <c r="D38" i="61" a="1"/>
  <c r="F38" i="61" s="1"/>
  <c r="D51" i="61" a="1"/>
  <c r="F51" i="61" s="1"/>
  <c r="D31" i="35" a="1"/>
  <c r="H31" i="35" s="1"/>
  <c r="H30" i="35" s="1"/>
  <c r="D25" i="35" a="1"/>
  <c r="D25" i="35" s="1"/>
  <c r="D27" i="35" a="1"/>
  <c r="D28" i="35" s="1"/>
  <c r="P49" i="66"/>
  <c r="E44" i="80"/>
  <c r="I44" i="80"/>
  <c r="G45" i="80"/>
  <c r="D46" i="80"/>
  <c r="H46" i="80"/>
  <c r="E47" i="80"/>
  <c r="I47" i="80"/>
  <c r="F44" i="80"/>
  <c r="W26" i="80" s="1" a="1"/>
  <c r="W26" i="80" s="1"/>
  <c r="D45" i="80"/>
  <c r="H45" i="80"/>
  <c r="E46" i="80"/>
  <c r="I46" i="80"/>
  <c r="I43" i="80" s="1"/>
  <c r="F47" i="80"/>
  <c r="D44" i="80"/>
  <c r="G44" i="80"/>
  <c r="E45" i="80"/>
  <c r="E43" i="80" s="1"/>
  <c r="I45" i="80"/>
  <c r="F46" i="80"/>
  <c r="G47" i="80"/>
  <c r="N59" i="60"/>
  <c r="Z67" i="60"/>
  <c r="N67" i="60" s="1"/>
  <c r="H40" i="63"/>
  <c r="D40" i="63"/>
  <c r="Z53" i="35"/>
  <c r="N53" i="35" s="1"/>
  <c r="F25" i="80"/>
  <c r="D77" i="59" a="1"/>
  <c r="I78" i="59" s="1"/>
  <c r="D41" i="61" a="1"/>
  <c r="I41" i="61" s="1"/>
  <c r="H47" i="80"/>
  <c r="Z69" i="62"/>
  <c r="Z76" i="63"/>
  <c r="N68" i="63"/>
  <c r="F35" i="66"/>
  <c r="N51" i="80"/>
  <c r="H25" i="80"/>
  <c r="D25" i="80"/>
  <c r="D44" i="34" a="1"/>
  <c r="D45" i="34" s="1"/>
  <c r="D65" i="34" a="1"/>
  <c r="H66" i="34" s="1"/>
  <c r="Z70" i="49"/>
  <c r="N62" i="49"/>
  <c r="F35" i="68"/>
  <c r="P49" i="68" s="1"/>
  <c r="G79" i="63"/>
  <c r="H78" i="63"/>
  <c r="D78" i="63"/>
  <c r="I77" i="63"/>
  <c r="E77" i="63"/>
  <c r="I76" i="63"/>
  <c r="E76" i="63"/>
  <c r="I71" i="63"/>
  <c r="E71" i="63"/>
  <c r="H70" i="63"/>
  <c r="D70" i="63"/>
  <c r="I69" i="63"/>
  <c r="E69" i="63"/>
  <c r="I36" i="80"/>
  <c r="I35" i="80" s="1"/>
  <c r="E36" i="80"/>
  <c r="E35" i="80" s="1"/>
  <c r="I79" i="63"/>
  <c r="E79" i="63"/>
  <c r="F78" i="63"/>
  <c r="F75" i="63" s="1"/>
  <c r="G77" i="63"/>
  <c r="G76" i="63"/>
  <c r="G71" i="63"/>
  <c r="F70" i="63"/>
  <c r="G69" i="63"/>
  <c r="F55" i="63"/>
  <c r="I54" i="63"/>
  <c r="E54" i="63"/>
  <c r="H53" i="63"/>
  <c r="D53" i="63"/>
  <c r="Z60" i="66"/>
  <c r="P65" i="66" s="1"/>
  <c r="G36" i="80"/>
  <c r="G35" i="80" s="1"/>
  <c r="H38" i="72"/>
  <c r="F39" i="72"/>
  <c r="E38" i="72"/>
  <c r="I38" i="72"/>
  <c r="I37" i="72" s="1"/>
  <c r="G39" i="72"/>
  <c r="F38" i="72"/>
  <c r="F37" i="72" s="1"/>
  <c r="D39" i="72"/>
  <c r="D37" i="72" s="1"/>
  <c r="H39" i="72"/>
  <c r="H37" i="72" s="1"/>
  <c r="D38" i="72"/>
  <c r="G38" i="72"/>
  <c r="E39" i="72"/>
  <c r="I39" i="72"/>
  <c r="F86" i="74"/>
  <c r="G85" i="74"/>
  <c r="D85" i="74"/>
  <c r="N77" i="76"/>
  <c r="D43" i="72" a="1"/>
  <c r="I44" i="72" s="1"/>
  <c r="F87" i="74"/>
  <c r="I86" i="74"/>
  <c r="E86" i="74"/>
  <c r="Z67" i="75"/>
  <c r="Z75" i="75" s="1"/>
  <c r="Z95" i="78"/>
  <c r="Z103" i="78" s="1"/>
  <c r="N87" i="78"/>
  <c r="N79" i="78"/>
  <c r="H52" i="83"/>
  <c r="N81" i="79"/>
  <c r="Z80" i="82"/>
  <c r="Z88" i="82" s="1"/>
  <c r="N72" i="82"/>
  <c r="Z89" i="79"/>
  <c r="Z97" i="79" s="1"/>
  <c r="G58" i="81"/>
  <c r="Z83" i="84"/>
  <c r="P87" i="84" s="1"/>
  <c r="N75" i="84"/>
  <c r="P90" i="86"/>
  <c r="N73" i="83"/>
  <c r="N65" i="83"/>
  <c r="N84" i="86"/>
  <c r="Z92" i="86"/>
  <c r="Z100" i="86" s="1"/>
  <c r="P79" i="86"/>
  <c r="P89" i="86"/>
  <c r="P78" i="86"/>
  <c r="P82" i="86"/>
  <c r="P98" i="86"/>
  <c r="Z81" i="83"/>
  <c r="Z89" i="83" s="1"/>
  <c r="Z97" i="83" s="1"/>
  <c r="I81" i="88"/>
  <c r="P58" i="90"/>
  <c r="H50" i="95"/>
  <c r="F81" i="98"/>
  <c r="N77" i="102"/>
  <c r="Z85" i="102"/>
  <c r="Z93" i="102" s="1"/>
  <c r="Z70" i="103"/>
  <c r="N70" i="103" s="1"/>
  <c r="D41" i="105"/>
  <c r="D40" i="105"/>
  <c r="I41" i="105"/>
  <c r="Z90" i="109"/>
  <c r="N90" i="109" s="1"/>
  <c r="P74" i="95"/>
  <c r="E52" i="83"/>
  <c r="W32" i="83" a="1"/>
  <c r="W32" i="83" s="1"/>
  <c r="D49" i="84"/>
  <c r="P77" i="84"/>
  <c r="P81" i="84"/>
  <c r="P78" i="84"/>
  <c r="P79" i="84"/>
  <c r="W22" i="84" a="1"/>
  <c r="W22" i="84" s="1"/>
  <c r="P76" i="84"/>
  <c r="P80" i="84"/>
  <c r="N80" i="82"/>
  <c r="D45" i="72"/>
  <c r="G37" i="72"/>
  <c r="Z68" i="66"/>
  <c r="N68" i="66" s="1"/>
  <c r="G75" i="63"/>
  <c r="N70" i="49"/>
  <c r="Z78" i="49"/>
  <c r="F65" i="34"/>
  <c r="D66" i="34"/>
  <c r="G65" i="34"/>
  <c r="E66" i="34"/>
  <c r="H65" i="34"/>
  <c r="I65" i="34"/>
  <c r="E65" i="34"/>
  <c r="Z84" i="63"/>
  <c r="N76" i="63"/>
  <c r="E41" i="61"/>
  <c r="F48" i="61"/>
  <c r="F43" i="61"/>
  <c r="D41" i="61"/>
  <c r="E44" i="61"/>
  <c r="H45" i="61"/>
  <c r="H41" i="61"/>
  <c r="F77" i="59"/>
  <c r="E77" i="59"/>
  <c r="Z61" i="35"/>
  <c r="N61" i="35" s="1"/>
  <c r="P61" i="80"/>
  <c r="P55" i="90"/>
  <c r="W30" i="84" a="1"/>
  <c r="W30" i="84" s="1"/>
  <c r="W34" i="84" a="1"/>
  <c r="W34" i="84" s="1"/>
  <c r="W35" i="84" a="1"/>
  <c r="W35" i="84" s="1"/>
  <c r="W27" i="84" a="1"/>
  <c r="W27" i="84" s="1"/>
  <c r="W38" i="84" a="1"/>
  <c r="W38" i="84" s="1"/>
  <c r="W24" i="84" a="1"/>
  <c r="W24" i="84" s="1"/>
  <c r="G55" i="84"/>
  <c r="E55" i="84"/>
  <c r="P60" i="83"/>
  <c r="W21" i="83" a="1"/>
  <c r="W21" i="83" s="1"/>
  <c r="P62" i="83"/>
  <c r="H43" i="72"/>
  <c r="I43" i="72"/>
  <c r="D43" i="72"/>
  <c r="E39" i="49"/>
  <c r="N67" i="80"/>
  <c r="Z75" i="80"/>
  <c r="N75" i="80" s="1"/>
  <c r="P65" i="80"/>
  <c r="P71" i="95"/>
  <c r="D45" i="83"/>
  <c r="E45" i="83"/>
  <c r="G45" i="83"/>
  <c r="F45" i="83"/>
  <c r="W27" i="83" a="1"/>
  <c r="W27" i="83" s="1"/>
  <c r="F45" i="72"/>
  <c r="I39" i="49"/>
  <c r="E75" i="63"/>
  <c r="N69" i="62"/>
  <c r="Z77" i="62"/>
  <c r="Z85" i="62" s="1"/>
  <c r="F27" i="35"/>
  <c r="D27" i="35"/>
  <c r="P46" i="35" s="1"/>
  <c r="G29" i="35"/>
  <c r="H29" i="35"/>
  <c r="G28" i="35"/>
  <c r="I38" i="61"/>
  <c r="N93" i="102"/>
  <c r="N84" i="63"/>
  <c r="Z92" i="63"/>
  <c r="Z100" i="63" s="1"/>
  <c r="P69" i="84"/>
  <c r="W28" i="83" a="1"/>
  <c r="W28" i="83" s="1"/>
  <c r="Z83" i="80"/>
  <c r="N83" i="80" s="1"/>
  <c r="N78" i="49"/>
  <c r="Z86" i="49"/>
  <c r="Z94" i="49" s="1"/>
  <c r="P71" i="84"/>
  <c r="W36" i="84" a="1"/>
  <c r="W36" i="84" s="1"/>
  <c r="W28" i="84" a="1"/>
  <c r="W28" i="84" s="1"/>
  <c r="P72" i="84"/>
  <c r="P54" i="61"/>
  <c r="N92" i="63"/>
  <c r="P102" i="63" l="1"/>
  <c r="N100" i="63"/>
  <c r="F32" i="122"/>
  <c r="I32" i="122"/>
  <c r="P69" i="122" s="1"/>
  <c r="U69" i="122" s="1"/>
  <c r="S69" i="122" s="1"/>
  <c r="E30" i="122"/>
  <c r="P49" i="122" s="1"/>
  <c r="H30" i="122"/>
  <c r="P52" i="122" s="1"/>
  <c r="I31" i="122"/>
  <c r="P61" i="122" s="1"/>
  <c r="D31" i="122"/>
  <c r="P56" i="122" s="1"/>
  <c r="G31" i="122"/>
  <c r="G32" i="122"/>
  <c r="H31" i="122"/>
  <c r="P60" i="122" s="1"/>
  <c r="E32" i="122"/>
  <c r="H32" i="122"/>
  <c r="D30" i="122"/>
  <c r="P48" i="122" s="1"/>
  <c r="G30" i="122"/>
  <c r="P51" i="122" s="1"/>
  <c r="F30" i="122"/>
  <c r="P50" i="122" s="1"/>
  <c r="I30" i="122"/>
  <c r="F31" i="122"/>
  <c r="P58" i="122" s="1"/>
  <c r="E31" i="122"/>
  <c r="P57" i="122" s="1"/>
  <c r="D32" i="122"/>
  <c r="E76" i="73"/>
  <c r="D76" i="73"/>
  <c r="I75" i="73"/>
  <c r="G75" i="73"/>
  <c r="F75" i="73"/>
  <c r="I76" i="73"/>
  <c r="H76" i="73"/>
  <c r="G76" i="73"/>
  <c r="D75" i="73"/>
  <c r="P57" i="35"/>
  <c r="H44" i="72"/>
  <c r="G44" i="72"/>
  <c r="E43" i="72"/>
  <c r="P97" i="63"/>
  <c r="Z91" i="80"/>
  <c r="N95" i="78"/>
  <c r="D44" i="34"/>
  <c r="G43" i="72"/>
  <c r="G42" i="72" s="1"/>
  <c r="F44" i="72"/>
  <c r="E44" i="72"/>
  <c r="F42" i="61"/>
  <c r="E46" i="61"/>
  <c r="F45" i="61"/>
  <c r="E43" i="61"/>
  <c r="D53" i="82" a="1"/>
  <c r="D62" i="82" a="1"/>
  <c r="D44" i="82" a="1"/>
  <c r="D50" i="109"/>
  <c r="G58" i="109"/>
  <c r="I55" i="109"/>
  <c r="E53" i="109"/>
  <c r="G50" i="109"/>
  <c r="F56" i="109"/>
  <c r="H53" i="109"/>
  <c r="D51" i="109"/>
  <c r="G57" i="109"/>
  <c r="I54" i="109"/>
  <c r="E52" i="109"/>
  <c r="H58" i="109"/>
  <c r="D56" i="109"/>
  <c r="F53" i="109"/>
  <c r="H50" i="109"/>
  <c r="E57" i="109"/>
  <c r="G54" i="109"/>
  <c r="I51" i="109"/>
  <c r="H57" i="109"/>
  <c r="D55" i="109"/>
  <c r="F52" i="109"/>
  <c r="I58" i="109"/>
  <c r="E56" i="109"/>
  <c r="G53" i="109"/>
  <c r="I50" i="109"/>
  <c r="F57" i="109"/>
  <c r="I57" i="109"/>
  <c r="E55" i="109"/>
  <c r="G52" i="109"/>
  <c r="F58" i="109"/>
  <c r="H55" i="109"/>
  <c r="D53" i="109"/>
  <c r="W22" i="109" s="1" a="1"/>
  <c r="W22" i="109" s="1"/>
  <c r="F50" i="109"/>
  <c r="I56" i="109"/>
  <c r="E54" i="109"/>
  <c r="G51" i="109"/>
  <c r="D58" i="109"/>
  <c r="F55" i="109"/>
  <c r="H52" i="109"/>
  <c r="D57" i="109"/>
  <c r="W26" i="109" s="1" a="1"/>
  <c r="W26" i="109" s="1"/>
  <c r="G55" i="109"/>
  <c r="H54" i="109"/>
  <c r="I53" i="109"/>
  <c r="E50" i="109"/>
  <c r="D52" i="109"/>
  <c r="G56" i="109"/>
  <c r="F54" i="109"/>
  <c r="I52" i="109"/>
  <c r="D54" i="109"/>
  <c r="W23" i="109" s="1" a="1"/>
  <c r="W23" i="109" s="1"/>
  <c r="H51" i="109"/>
  <c r="E51" i="109"/>
  <c r="E58" i="109"/>
  <c r="H56" i="109"/>
  <c r="F51" i="109"/>
  <c r="D60" i="102" a="1"/>
  <c r="D73" i="102" a="1"/>
  <c r="D55" i="102" a="1"/>
  <c r="D50" i="102" a="1"/>
  <c r="D70" i="102" a="1"/>
  <c r="D65" i="102" a="1"/>
  <c r="P93" i="63"/>
  <c r="E37" i="72"/>
  <c r="D51" i="34" a="1"/>
  <c r="D48" i="34" a="1"/>
  <c r="D50" i="73" a="1"/>
  <c r="D66" i="73" a="1"/>
  <c r="D41" i="101" a="1"/>
  <c r="D50" i="101" a="1"/>
  <c r="D44" i="101" a="1"/>
  <c r="D36" i="101" a="1"/>
  <c r="D47" i="101" a="1"/>
  <c r="D45" i="111" a="1"/>
  <c r="D58" i="111" a="1"/>
  <c r="D55" i="111" a="1"/>
  <c r="D48" i="111" a="1"/>
  <c r="D41" i="111" a="1"/>
  <c r="D52" i="111" a="1"/>
  <c r="D44" i="72"/>
  <c r="D42" i="72" s="1"/>
  <c r="F43" i="72"/>
  <c r="E49" i="61"/>
  <c r="G48" i="61"/>
  <c r="G46" i="61"/>
  <c r="P63" i="80"/>
  <c r="E38" i="122"/>
  <c r="G37" i="121"/>
  <c r="D79" i="63"/>
  <c r="D76" i="63"/>
  <c r="W41" i="63" s="1" a="1"/>
  <c r="W41" i="63" s="1"/>
  <c r="D36" i="72" a="1"/>
  <c r="D37" i="91" a="1"/>
  <c r="D42" i="91" a="1"/>
  <c r="D45" i="91" a="1"/>
  <c r="D53" i="103" a="1"/>
  <c r="D63" i="103" a="1"/>
  <c r="D48" i="103" a="1"/>
  <c r="D56" i="103" a="1"/>
  <c r="D60" i="103" a="1"/>
  <c r="D44" i="103" a="1"/>
  <c r="Z69" i="25"/>
  <c r="P71" i="25" s="1"/>
  <c r="U71" i="25" s="1"/>
  <c r="S71" i="25" s="1"/>
  <c r="P67" i="25"/>
  <c r="U67" i="25" s="1"/>
  <c r="S67" i="25" s="1"/>
  <c r="P64" i="25"/>
  <c r="U64" i="25" s="1"/>
  <c r="S64" i="25" s="1"/>
  <c r="P65" i="25"/>
  <c r="U65" i="25" s="1"/>
  <c r="S65" i="25" s="1"/>
  <c r="P63" i="25"/>
  <c r="U63" i="25" s="1"/>
  <c r="S63" i="25" s="1"/>
  <c r="P57" i="25"/>
  <c r="U57" i="25" s="1"/>
  <c r="S57" i="25" s="1"/>
  <c r="P56" i="25"/>
  <c r="U56" i="25" s="1"/>
  <c r="S56" i="25" s="1"/>
  <c r="P66" i="25"/>
  <c r="U66" i="25" s="1"/>
  <c r="P55" i="25"/>
  <c r="U55" i="25" s="1"/>
  <c r="S55" i="25" s="1"/>
  <c r="F31" i="35"/>
  <c r="F30" i="35" s="1"/>
  <c r="E25" i="35"/>
  <c r="P39" i="35" s="1"/>
  <c r="U39" i="35" s="1"/>
  <c r="S39" i="35" s="1"/>
  <c r="D24" i="35"/>
  <c r="P38" i="35"/>
  <c r="U38" i="35" s="1"/>
  <c r="S38" i="35" s="1"/>
  <c r="H25" i="35"/>
  <c r="F25" i="35"/>
  <c r="G25" i="35"/>
  <c r="I25" i="35"/>
  <c r="P65" i="35"/>
  <c r="U65" i="35" s="1"/>
  <c r="S65" i="35" s="1"/>
  <c r="I31" i="35"/>
  <c r="I30" i="35" s="1"/>
  <c r="D31" i="35"/>
  <c r="D30" i="35" s="1"/>
  <c r="E31" i="35"/>
  <c r="E30" i="35" s="1"/>
  <c r="P54" i="35"/>
  <c r="U54" i="35" s="1"/>
  <c r="S54" i="35" s="1"/>
  <c r="G31" i="35"/>
  <c r="G30" i="35" s="1"/>
  <c r="P66" i="35"/>
  <c r="U66" i="35" s="1"/>
  <c r="S66" i="35" s="1"/>
  <c r="I27" i="35"/>
  <c r="D29" i="35"/>
  <c r="I28" i="35"/>
  <c r="P59" i="35" s="1"/>
  <c r="U59" i="35" s="1"/>
  <c r="S59" i="35" s="1"/>
  <c r="F29" i="35"/>
  <c r="P64" i="35" s="1"/>
  <c r="U64" i="35" s="1"/>
  <c r="S64" i="35" s="1"/>
  <c r="E24" i="35"/>
  <c r="P48" i="35"/>
  <c r="U48" i="35" s="1"/>
  <c r="S48" i="35" s="1"/>
  <c r="Z69" i="35"/>
  <c r="I29" i="35"/>
  <c r="P67" i="35" s="1"/>
  <c r="U67" i="35" s="1"/>
  <c r="S67" i="35" s="1"/>
  <c r="F28" i="35"/>
  <c r="P56" i="35" s="1"/>
  <c r="U56" i="35" s="1"/>
  <c r="S56" i="35" s="1"/>
  <c r="E28" i="35"/>
  <c r="P55" i="35" s="1"/>
  <c r="U55" i="35" s="1"/>
  <c r="S55" i="35" s="1"/>
  <c r="H28" i="35"/>
  <c r="P58" i="35" s="1"/>
  <c r="U58" i="35" s="1"/>
  <c r="S58" i="35" s="1"/>
  <c r="E29" i="35"/>
  <c r="P63" i="35" s="1"/>
  <c r="U63" i="35" s="1"/>
  <c r="S63" i="35" s="1"/>
  <c r="E27" i="35"/>
  <c r="P47" i="35" s="1"/>
  <c r="U47" i="35" s="1"/>
  <c r="S47" i="35" s="1"/>
  <c r="H27" i="35"/>
  <c r="G27" i="35"/>
  <c r="G34" i="121"/>
  <c r="D38" i="121"/>
  <c r="I29" i="121"/>
  <c r="G39" i="121"/>
  <c r="I38" i="121"/>
  <c r="D40" i="66" a="1"/>
  <c r="G40" i="66" s="1"/>
  <c r="P50" i="66"/>
  <c r="U50" i="66" s="1"/>
  <c r="S50" i="66" s="1"/>
  <c r="D32" i="66"/>
  <c r="P58" i="66"/>
  <c r="U58" i="66" s="1"/>
  <c r="S58" i="66" s="1"/>
  <c r="P46" i="66"/>
  <c r="U46" i="66" s="1"/>
  <c r="S46" i="66" s="1"/>
  <c r="P53" i="66"/>
  <c r="U53" i="66" s="1"/>
  <c r="S53" i="66" s="1"/>
  <c r="D35" i="66"/>
  <c r="G38" i="66"/>
  <c r="H38" i="66"/>
  <c r="D38" i="66"/>
  <c r="I38" i="66"/>
  <c r="I37" i="66" s="1"/>
  <c r="F38" i="66"/>
  <c r="F37" i="66" s="1"/>
  <c r="E38" i="66"/>
  <c r="E37" i="66" s="1"/>
  <c r="P45" i="66"/>
  <c r="U45" i="66" s="1"/>
  <c r="S45" i="66" s="1"/>
  <c r="P74" i="66"/>
  <c r="U74" i="66" s="1"/>
  <c r="S74" i="66" s="1"/>
  <c r="P71" i="66"/>
  <c r="U71" i="66" s="1"/>
  <c r="S71" i="66" s="1"/>
  <c r="P54" i="66"/>
  <c r="U54" i="66" s="1"/>
  <c r="S54" i="66" s="1"/>
  <c r="P55" i="66"/>
  <c r="U55" i="66" s="1"/>
  <c r="S55" i="66" s="1"/>
  <c r="I35" i="66"/>
  <c r="Z76" i="66"/>
  <c r="N60" i="66"/>
  <c r="P56" i="66"/>
  <c r="U56" i="66" s="1"/>
  <c r="S56" i="66" s="1"/>
  <c r="P63" i="66"/>
  <c r="U63" i="66" s="1"/>
  <c r="S63" i="66" s="1"/>
  <c r="D44" i="109" a="1"/>
  <c r="D66" i="109" a="1"/>
  <c r="Z98" i="109"/>
  <c r="E68" i="109"/>
  <c r="F68" i="109"/>
  <c r="Z102" i="49"/>
  <c r="N86" i="49"/>
  <c r="D30" i="118" a="1"/>
  <c r="D36" i="118" a="1"/>
  <c r="D34" i="118" a="1"/>
  <c r="G37" i="118"/>
  <c r="H37" i="118"/>
  <c r="Z70" i="116"/>
  <c r="N70" i="116" s="1"/>
  <c r="D30" i="106" a="1"/>
  <c r="D38" i="106" a="1"/>
  <c r="D33" i="106" a="1"/>
  <c r="D32" i="106" a="1"/>
  <c r="I41" i="106"/>
  <c r="Z63" i="106"/>
  <c r="N55" i="106"/>
  <c r="G40" i="106"/>
  <c r="E41" i="106"/>
  <c r="D32" i="105" a="1"/>
  <c r="D35" i="105" a="1"/>
  <c r="D30" i="105" a="1"/>
  <c r="D39" i="105"/>
  <c r="N76" i="105"/>
  <c r="H40" i="105"/>
  <c r="E41" i="105"/>
  <c r="E39" i="105" s="1"/>
  <c r="Z84" i="105"/>
  <c r="G41" i="105"/>
  <c r="G40" i="105"/>
  <c r="G39" i="105" s="1"/>
  <c r="H65" i="103"/>
  <c r="G65" i="103"/>
  <c r="Z78" i="103"/>
  <c r="N78" i="103" s="1"/>
  <c r="D65" i="103"/>
  <c r="Z90" i="101"/>
  <c r="N90" i="101" s="1"/>
  <c r="N82" i="101"/>
  <c r="Z88" i="96"/>
  <c r="Z96" i="96" s="1"/>
  <c r="N96" i="96" s="1"/>
  <c r="D86" i="96" a="1"/>
  <c r="D73" i="96" a="1"/>
  <c r="D62" i="96" a="1"/>
  <c r="D77" i="96" a="1"/>
  <c r="D67" i="96" a="1"/>
  <c r="D55" i="96" a="1"/>
  <c r="N88" i="96"/>
  <c r="Z104" i="96"/>
  <c r="P80" i="95"/>
  <c r="U80" i="95" s="1"/>
  <c r="S80" i="95" s="1"/>
  <c r="P77" i="95"/>
  <c r="U77" i="95" s="1"/>
  <c r="S77" i="95" s="1"/>
  <c r="P81" i="95"/>
  <c r="U81" i="95" s="1"/>
  <c r="S81" i="95" s="1"/>
  <c r="Y45" i="92"/>
  <c r="A87" i="92"/>
  <c r="I94" i="92"/>
  <c r="Z93" i="92"/>
  <c r="Z101" i="92" s="1"/>
  <c r="D37" i="91"/>
  <c r="I38" i="91"/>
  <c r="D38" i="91"/>
  <c r="E37" i="91"/>
  <c r="E38" i="91"/>
  <c r="F37" i="91"/>
  <c r="F38" i="91"/>
  <c r="G37" i="91"/>
  <c r="G38" i="91"/>
  <c r="H37" i="91"/>
  <c r="H38" i="91"/>
  <c r="I37" i="91"/>
  <c r="Z70" i="91"/>
  <c r="P66" i="90"/>
  <c r="U66" i="90" s="1"/>
  <c r="S66" i="90" s="1"/>
  <c r="P59" i="90"/>
  <c r="U59" i="90" s="1"/>
  <c r="S59" i="90" s="1"/>
  <c r="P67" i="90"/>
  <c r="U67" i="90" s="1"/>
  <c r="S67" i="90" s="1"/>
  <c r="P68" i="90"/>
  <c r="U68" i="90" s="1"/>
  <c r="S68" i="90" s="1"/>
  <c r="P60" i="90"/>
  <c r="U60" i="90" s="1"/>
  <c r="S60" i="90" s="1"/>
  <c r="P64" i="90"/>
  <c r="U64" i="90" s="1"/>
  <c r="S64" i="90" s="1"/>
  <c r="G36" i="90"/>
  <c r="P65" i="90"/>
  <c r="U65" i="90" s="1"/>
  <c r="S65" i="90" s="1"/>
  <c r="G66" i="89"/>
  <c r="I66" i="89"/>
  <c r="W38" i="89" a="1"/>
  <c r="W38" i="89" s="1"/>
  <c r="H51" i="89"/>
  <c r="F51" i="89"/>
  <c r="E69" i="86"/>
  <c r="N100" i="86"/>
  <c r="P104" i="86"/>
  <c r="U104" i="86" s="1"/>
  <c r="S104" i="86" s="1"/>
  <c r="Z108" i="86"/>
  <c r="N92" i="86"/>
  <c r="W31" i="84" a="1"/>
  <c r="W31" i="84" s="1"/>
  <c r="P84" i="84"/>
  <c r="U84" i="84" s="1"/>
  <c r="S84" i="84" s="1"/>
  <c r="W20" i="84" a="1"/>
  <c r="W20" i="84" s="1"/>
  <c r="W29" i="84" a="1"/>
  <c r="W29" i="84" s="1"/>
  <c r="W26" i="84" a="1"/>
  <c r="W26" i="84" s="1"/>
  <c r="W39" i="84" a="1"/>
  <c r="W39" i="84" s="1"/>
  <c r="W37" i="84" a="1"/>
  <c r="W37" i="84" s="1"/>
  <c r="W32" i="84" a="1"/>
  <c r="W32" i="84" s="1"/>
  <c r="Z91" i="84"/>
  <c r="H55" i="84"/>
  <c r="P68" i="84"/>
  <c r="U68" i="84" s="1"/>
  <c r="S68" i="84" s="1"/>
  <c r="G49" i="84"/>
  <c r="N83" i="84"/>
  <c r="P89" i="84"/>
  <c r="U89" i="84" s="1"/>
  <c r="S89" i="84" s="1"/>
  <c r="P86" i="84"/>
  <c r="U86" i="84" s="1"/>
  <c r="S86" i="84" s="1"/>
  <c r="P85" i="84"/>
  <c r="U85" i="84" s="1"/>
  <c r="S85" i="84" s="1"/>
  <c r="E49" i="84"/>
  <c r="P93" i="84"/>
  <c r="U93" i="84" s="1"/>
  <c r="S93" i="84" s="1"/>
  <c r="W19" i="84" a="1"/>
  <c r="W19" i="84" s="1"/>
  <c r="D55" i="84"/>
  <c r="I55" i="84"/>
  <c r="F55" i="84"/>
  <c r="H72" i="84"/>
  <c r="F49" i="84"/>
  <c r="W18" i="84" a="1"/>
  <c r="W18" i="84" s="1"/>
  <c r="F72" i="84"/>
  <c r="G72" i="84"/>
  <c r="P77" i="83"/>
  <c r="U77" i="83" s="1"/>
  <c r="S77" i="83" s="1"/>
  <c r="N89" i="83"/>
  <c r="P69" i="83"/>
  <c r="U69" i="83" s="1"/>
  <c r="S69" i="83" s="1"/>
  <c r="G55" i="83"/>
  <c r="P66" i="83"/>
  <c r="U66" i="83" s="1"/>
  <c r="S66" i="83" s="1"/>
  <c r="W19" i="83" a="1"/>
  <c r="W19" i="83" s="1"/>
  <c r="P63" i="83"/>
  <c r="U63" i="83" s="1"/>
  <c r="S63" i="83" s="1"/>
  <c r="P78" i="83"/>
  <c r="U78" i="83" s="1"/>
  <c r="S78" i="83" s="1"/>
  <c r="P71" i="83"/>
  <c r="U71" i="83" s="1"/>
  <c r="S71" i="83" s="1"/>
  <c r="P79" i="83"/>
  <c r="U79" i="83" s="1"/>
  <c r="S79" i="83" s="1"/>
  <c r="P67" i="83"/>
  <c r="U67" i="83" s="1"/>
  <c r="S67" i="83" s="1"/>
  <c r="P70" i="83"/>
  <c r="U70" i="83" s="1"/>
  <c r="S70" i="83" s="1"/>
  <c r="P84" i="83"/>
  <c r="U84" i="83" s="1"/>
  <c r="S84" i="83" s="1"/>
  <c r="P90" i="83"/>
  <c r="U90" i="83" s="1"/>
  <c r="S90" i="83" s="1"/>
  <c r="P75" i="83"/>
  <c r="U75" i="83" s="1"/>
  <c r="S75" i="83" s="1"/>
  <c r="P68" i="83"/>
  <c r="U68" i="83" s="1"/>
  <c r="S68" i="83" s="1"/>
  <c r="P83" i="83"/>
  <c r="U83" i="83" s="1"/>
  <c r="S83" i="83" s="1"/>
  <c r="P99" i="83"/>
  <c r="U99" i="83" s="1"/>
  <c r="S99" i="83" s="1"/>
  <c r="Z105" i="83"/>
  <c r="P102" i="83"/>
  <c r="U102" i="83" s="1"/>
  <c r="S102" i="83" s="1"/>
  <c r="P98" i="83"/>
  <c r="U98" i="83" s="1"/>
  <c r="S98" i="83" s="1"/>
  <c r="P93" i="83"/>
  <c r="U93" i="83" s="1"/>
  <c r="S93" i="83" s="1"/>
  <c r="P91" i="83"/>
  <c r="U91" i="83" s="1"/>
  <c r="S91" i="83" s="1"/>
  <c r="W24" i="83" a="1"/>
  <c r="W24" i="83" s="1"/>
  <c r="P85" i="83"/>
  <c r="U85" i="83" s="1"/>
  <c r="S85" i="83" s="1"/>
  <c r="P82" i="83"/>
  <c r="U82" i="83" s="1"/>
  <c r="S82" i="83" s="1"/>
  <c r="I52" i="83"/>
  <c r="P94" i="83"/>
  <c r="U94" i="83" s="1"/>
  <c r="S94" i="83" s="1"/>
  <c r="H39" i="83"/>
  <c r="P86" i="83"/>
  <c r="U86" i="83" s="1"/>
  <c r="S86" i="83" s="1"/>
  <c r="P87" i="83"/>
  <c r="U87" i="83" s="1"/>
  <c r="S87" i="83" s="1"/>
  <c r="G52" i="83"/>
  <c r="F52" i="83"/>
  <c r="P95" i="83"/>
  <c r="U95" i="83" s="1"/>
  <c r="S95" i="83" s="1"/>
  <c r="I45" i="83"/>
  <c r="W25" i="83" a="1"/>
  <c r="W25" i="83" s="1"/>
  <c r="N81" i="83"/>
  <c r="Z96" i="82"/>
  <c r="Z104" i="82" s="1"/>
  <c r="N88" i="82"/>
  <c r="N104" i="82"/>
  <c r="Z112" i="82"/>
  <c r="N112" i="82" s="1"/>
  <c r="D39" i="81" a="1"/>
  <c r="I43" i="81" s="1"/>
  <c r="D56" i="81" a="1"/>
  <c r="D45" i="81" a="1"/>
  <c r="E42" i="81"/>
  <c r="G43" i="81"/>
  <c r="H42" i="81"/>
  <c r="I42" i="81"/>
  <c r="H41" i="81"/>
  <c r="F43" i="81"/>
  <c r="D40" i="81"/>
  <c r="E39" i="81"/>
  <c r="Z72" i="81"/>
  <c r="N72" i="81" s="1"/>
  <c r="L24" i="36"/>
  <c r="Q25" i="36"/>
  <c r="N24" i="36"/>
  <c r="N25" i="36"/>
  <c r="M25" i="36"/>
  <c r="O25" i="36"/>
  <c r="P24" i="36"/>
  <c r="M24" i="36"/>
  <c r="O24" i="36"/>
  <c r="Q24" i="36"/>
  <c r="P25" i="36"/>
  <c r="L25" i="36"/>
  <c r="J20" i="36"/>
  <c r="F20" i="36"/>
  <c r="K29" i="36"/>
  <c r="G29" i="36"/>
  <c r="N89" i="79"/>
  <c r="Z105" i="79"/>
  <c r="N97" i="79"/>
  <c r="Z111" i="78"/>
  <c r="N103" i="78"/>
  <c r="D42" i="76" a="1"/>
  <c r="D39" i="76" a="1"/>
  <c r="D51" i="76" a="1"/>
  <c r="D54" i="76" a="1"/>
  <c r="F54" i="76" s="1"/>
  <c r="N93" i="76"/>
  <c r="Z101" i="76"/>
  <c r="G54" i="76"/>
  <c r="I56" i="76"/>
  <c r="N85" i="76"/>
  <c r="I55" i="76"/>
  <c r="H54" i="76"/>
  <c r="G59" i="75"/>
  <c r="G55" i="75"/>
  <c r="E53" i="75"/>
  <c r="H54" i="75"/>
  <c r="F52" i="75"/>
  <c r="D54" i="75"/>
  <c r="G51" i="75"/>
  <c r="I53" i="75"/>
  <c r="Z83" i="75"/>
  <c r="N75" i="75"/>
  <c r="N67" i="75"/>
  <c r="Z88" i="74"/>
  <c r="D74" i="73"/>
  <c r="I74" i="73"/>
  <c r="Z83" i="73"/>
  <c r="G77" i="73"/>
  <c r="E36" i="72"/>
  <c r="E35" i="72" s="1"/>
  <c r="W19" i="72" a="1"/>
  <c r="W19" i="72" s="1"/>
  <c r="F42" i="72"/>
  <c r="W25" i="72" a="1"/>
  <c r="W25" i="72" s="1"/>
  <c r="H42" i="72"/>
  <c r="W29" i="72" a="1"/>
  <c r="W29" i="72" s="1"/>
  <c r="W20" i="72" a="1"/>
  <c r="W20" i="72" s="1"/>
  <c r="W24" i="72" a="1"/>
  <c r="W24" i="72" s="1"/>
  <c r="G45" i="72"/>
  <c r="Z60" i="72"/>
  <c r="D41" i="72" a="1"/>
  <c r="D33" i="72" a="1"/>
  <c r="G36" i="72"/>
  <c r="G35" i="72" s="1"/>
  <c r="I36" i="72"/>
  <c r="D42" i="70"/>
  <c r="G50" i="70"/>
  <c r="E45" i="70"/>
  <c r="F50" i="70"/>
  <c r="D45" i="70"/>
  <c r="E52" i="70"/>
  <c r="G49" i="70"/>
  <c r="I46" i="70"/>
  <c r="E44" i="70"/>
  <c r="G52" i="70"/>
  <c r="E47" i="70"/>
  <c r="F52" i="70"/>
  <c r="D47" i="70"/>
  <c r="H52" i="70"/>
  <c r="D50" i="70"/>
  <c r="F47" i="70"/>
  <c r="H44" i="70"/>
  <c r="F42" i="70"/>
  <c r="G45" i="70"/>
  <c r="I49" i="70"/>
  <c r="H49" i="70"/>
  <c r="H48" i="70"/>
  <c r="G46" i="70"/>
  <c r="F46" i="70"/>
  <c r="G47" i="70"/>
  <c r="G48" i="70"/>
  <c r="D43" i="70"/>
  <c r="F45" i="70"/>
  <c r="E49" i="70"/>
  <c r="I43" i="70"/>
  <c r="D49" i="70"/>
  <c r="H43" i="70"/>
  <c r="G51" i="70"/>
  <c r="I48" i="70"/>
  <c r="E46" i="70"/>
  <c r="G43" i="70"/>
  <c r="E51" i="70"/>
  <c r="I45" i="70"/>
  <c r="D51" i="70"/>
  <c r="H45" i="70"/>
  <c r="D52" i="70"/>
  <c r="F49" i="70"/>
  <c r="H46" i="70"/>
  <c r="D44" i="70"/>
  <c r="I47" i="70"/>
  <c r="E43" i="70"/>
  <c r="H47" i="70"/>
  <c r="I50" i="70"/>
  <c r="I42" i="70"/>
  <c r="G44" i="70"/>
  <c r="F51" i="70"/>
  <c r="F43" i="70"/>
  <c r="H51" i="70"/>
  <c r="E50" i="70"/>
  <c r="E42" i="70"/>
  <c r="F48" i="70"/>
  <c r="D48" i="70"/>
  <c r="E48" i="70"/>
  <c r="F44" i="70"/>
  <c r="D46" i="70"/>
  <c r="I51" i="70"/>
  <c r="I52" i="70"/>
  <c r="I44" i="70"/>
  <c r="G42" i="70"/>
  <c r="H50" i="70"/>
  <c r="H42" i="70"/>
  <c r="D54" i="70" a="1"/>
  <c r="D38" i="70" a="1"/>
  <c r="I40" i="70" s="1"/>
  <c r="P90" i="70" s="1"/>
  <c r="U90" i="70" s="1"/>
  <c r="S90" i="70" s="1"/>
  <c r="D55" i="70"/>
  <c r="D53" i="69" a="1"/>
  <c r="D54" i="69" s="1"/>
  <c r="D57" i="69" a="1"/>
  <c r="F51" i="69"/>
  <c r="I67" i="69"/>
  <c r="F50" i="69"/>
  <c r="G51" i="69"/>
  <c r="I48" i="69"/>
  <c r="Z71" i="69"/>
  <c r="E54" i="69"/>
  <c r="G47" i="69"/>
  <c r="F48" i="69"/>
  <c r="F46" i="69"/>
  <c r="G53" i="69"/>
  <c r="I45" i="69"/>
  <c r="P69" i="69" s="1"/>
  <c r="U69" i="69" s="1"/>
  <c r="S69" i="69" s="1"/>
  <c r="G45" i="69"/>
  <c r="P67" i="69" s="1"/>
  <c r="U67" i="69" s="1"/>
  <c r="S67" i="69" s="1"/>
  <c r="H48" i="69"/>
  <c r="I50" i="69"/>
  <c r="I47" i="69"/>
  <c r="E45" i="69"/>
  <c r="P65" i="69" s="1"/>
  <c r="U65" i="69" s="1"/>
  <c r="S65" i="69" s="1"/>
  <c r="H50" i="69"/>
  <c r="E48" i="69"/>
  <c r="H45" i="69"/>
  <c r="P68" i="69" s="1"/>
  <c r="U68" i="69" s="1"/>
  <c r="S68" i="69" s="1"/>
  <c r="I46" i="69"/>
  <c r="H51" i="69"/>
  <c r="G55" i="69"/>
  <c r="D53" i="69"/>
  <c r="I44" i="69"/>
  <c r="P61" i="69" s="1"/>
  <c r="U61" i="69" s="1"/>
  <c r="S61" i="69" s="1"/>
  <c r="H49" i="69"/>
  <c r="D65" i="69" a="1"/>
  <c r="E50" i="69"/>
  <c r="E47" i="69"/>
  <c r="G44" i="69"/>
  <c r="D50" i="69"/>
  <c r="H47" i="69"/>
  <c r="D45" i="69"/>
  <c r="P64" i="69" s="1"/>
  <c r="U64" i="69" s="1"/>
  <c r="S64" i="69" s="1"/>
  <c r="D48" i="69"/>
  <c r="H53" i="69"/>
  <c r="H55" i="69"/>
  <c r="G50" i="69"/>
  <c r="E46" i="69"/>
  <c r="D51" i="69"/>
  <c r="G49" i="69"/>
  <c r="G46" i="69"/>
  <c r="D44" i="69"/>
  <c r="P56" i="69" s="1"/>
  <c r="U56" i="69" s="1"/>
  <c r="S56" i="69" s="1"/>
  <c r="F49" i="69"/>
  <c r="D47" i="69"/>
  <c r="F44" i="69"/>
  <c r="P58" i="69" s="1"/>
  <c r="U58" i="69" s="1"/>
  <c r="S58" i="69" s="1"/>
  <c r="D49" i="69"/>
  <c r="H54" i="69"/>
  <c r="D55" i="69"/>
  <c r="G48" i="69"/>
  <c r="P51" i="68"/>
  <c r="U51" i="68" s="1"/>
  <c r="S51" i="68" s="1"/>
  <c r="H34" i="68"/>
  <c r="I53" i="68"/>
  <c r="D52" i="68"/>
  <c r="F34" i="68"/>
  <c r="I35" i="68"/>
  <c r="H53" i="68"/>
  <c r="G51" i="68"/>
  <c r="D47" i="68" a="1"/>
  <c r="D43" i="68" a="1"/>
  <c r="E44" i="68" s="1"/>
  <c r="E35" i="68"/>
  <c r="P48" i="68" s="1"/>
  <c r="U48" i="68" s="1"/>
  <c r="S48" i="68" s="1"/>
  <c r="I52" i="68"/>
  <c r="I50" i="68"/>
  <c r="G43" i="68"/>
  <c r="F43" i="68"/>
  <c r="I43" i="68"/>
  <c r="G45" i="68"/>
  <c r="I45" i="68"/>
  <c r="F53" i="68"/>
  <c r="G52" i="68"/>
  <c r="F51" i="68"/>
  <c r="H50" i="68"/>
  <c r="I44" i="68"/>
  <c r="G44" i="68"/>
  <c r="D53" i="68"/>
  <c r="E52" i="68"/>
  <c r="E51" i="68"/>
  <c r="F50" i="68"/>
  <c r="F66" i="34"/>
  <c r="F64" i="34" s="1"/>
  <c r="D65" i="34"/>
  <c r="G66" i="34"/>
  <c r="I66" i="34"/>
  <c r="I64" i="34" s="1"/>
  <c r="G46" i="34"/>
  <c r="D64" i="34"/>
  <c r="E44" i="34"/>
  <c r="F44" i="34"/>
  <c r="P77" i="34" s="1"/>
  <c r="U77" i="34" s="1"/>
  <c r="S77" i="34" s="1"/>
  <c r="G64" i="34"/>
  <c r="H64" i="34"/>
  <c r="Z90" i="34"/>
  <c r="H46" i="34"/>
  <c r="P83" i="34"/>
  <c r="U83" i="34" s="1"/>
  <c r="S83" i="34" s="1"/>
  <c r="W35" i="34" a="1"/>
  <c r="W35" i="34" s="1"/>
  <c r="P75" i="34"/>
  <c r="U75" i="34" s="1"/>
  <c r="S75" i="34" s="1"/>
  <c r="E46" i="34"/>
  <c r="D46" i="34"/>
  <c r="I45" i="34"/>
  <c r="P88" i="34" s="1"/>
  <c r="U88" i="34" s="1"/>
  <c r="S88" i="34" s="1"/>
  <c r="F46" i="34"/>
  <c r="H20" i="34"/>
  <c r="H17" i="34" s="1"/>
  <c r="G45" i="34"/>
  <c r="P86" i="34" s="1"/>
  <c r="U86" i="34" s="1"/>
  <c r="S86" i="34" s="1"/>
  <c r="F45" i="34"/>
  <c r="P85" i="34" s="1"/>
  <c r="U85" i="34" s="1"/>
  <c r="S85" i="34" s="1"/>
  <c r="E45" i="34"/>
  <c r="P84" i="34" s="1"/>
  <c r="U84" i="34" s="1"/>
  <c r="S84" i="34" s="1"/>
  <c r="H45" i="34"/>
  <c r="P87" i="34" s="1"/>
  <c r="U87" i="34" s="1"/>
  <c r="S87" i="34" s="1"/>
  <c r="P76" i="34"/>
  <c r="U76" i="34" s="1"/>
  <c r="S76" i="34" s="1"/>
  <c r="I46" i="34"/>
  <c r="P96" i="34" s="1"/>
  <c r="U96" i="34" s="1"/>
  <c r="S96" i="34" s="1"/>
  <c r="I44" i="34"/>
  <c r="H44" i="34"/>
  <c r="G44" i="34"/>
  <c r="F37" i="62"/>
  <c r="D38" i="62"/>
  <c r="H38" i="62"/>
  <c r="F39" i="62"/>
  <c r="D40" i="62"/>
  <c r="H40" i="62"/>
  <c r="F41" i="62"/>
  <c r="D42" i="62"/>
  <c r="H42" i="62"/>
  <c r="F43" i="62"/>
  <c r="G38" i="62"/>
  <c r="G42" i="62"/>
  <c r="G37" i="62"/>
  <c r="E38" i="62"/>
  <c r="I38" i="62"/>
  <c r="G39" i="62"/>
  <c r="E40" i="62"/>
  <c r="I40" i="62"/>
  <c r="G41" i="62"/>
  <c r="E42" i="62"/>
  <c r="I42" i="62"/>
  <c r="G43" i="62"/>
  <c r="I37" i="62"/>
  <c r="I39" i="62"/>
  <c r="P83" i="62" s="1"/>
  <c r="U83" i="62" s="1"/>
  <c r="S83" i="62" s="1"/>
  <c r="E41" i="62"/>
  <c r="E43" i="62"/>
  <c r="D37" i="62"/>
  <c r="H37" i="62"/>
  <c r="P66" i="62" s="1"/>
  <c r="U66" i="62" s="1"/>
  <c r="S66" i="62" s="1"/>
  <c r="F38" i="62"/>
  <c r="D39" i="62"/>
  <c r="H39" i="62"/>
  <c r="F40" i="62"/>
  <c r="D41" i="62"/>
  <c r="H41" i="62"/>
  <c r="F42" i="62"/>
  <c r="D43" i="62"/>
  <c r="H43" i="62"/>
  <c r="E37" i="62"/>
  <c r="E39" i="62"/>
  <c r="G40" i="62"/>
  <c r="P89" i="62" s="1"/>
  <c r="U89" i="62" s="1"/>
  <c r="S89" i="62" s="1"/>
  <c r="I41" i="62"/>
  <c r="I43" i="62"/>
  <c r="N53" i="62"/>
  <c r="N77" i="62"/>
  <c r="P65" i="62"/>
  <c r="U65" i="62" s="1"/>
  <c r="S65" i="62" s="1"/>
  <c r="P79" i="62"/>
  <c r="U79" i="62" s="1"/>
  <c r="S79" i="62" s="1"/>
  <c r="D34" i="62" a="1"/>
  <c r="D45" i="62" a="1"/>
  <c r="H46" i="62" s="1"/>
  <c r="H42" i="61"/>
  <c r="H38" i="61"/>
  <c r="P53" i="61" s="1"/>
  <c r="U53" i="61" s="1"/>
  <c r="S53" i="61" s="1"/>
  <c r="F49" i="61"/>
  <c r="H48" i="61"/>
  <c r="G43" i="61"/>
  <c r="I47" i="61"/>
  <c r="I45" i="61"/>
  <c r="D38" i="61"/>
  <c r="P49" i="61" s="1"/>
  <c r="U49" i="61" s="1"/>
  <c r="S49" i="61" s="1"/>
  <c r="D45" i="61"/>
  <c r="H43" i="61"/>
  <c r="I46" i="61"/>
  <c r="G41" i="61"/>
  <c r="D46" i="61"/>
  <c r="G49" i="61"/>
  <c r="I43" i="61"/>
  <c r="I39" i="61"/>
  <c r="I37" i="61" s="1"/>
  <c r="G39" i="61"/>
  <c r="P60" i="61" s="1"/>
  <c r="U60" i="61" s="1"/>
  <c r="S60" i="61" s="1"/>
  <c r="E39" i="61"/>
  <c r="D39" i="61"/>
  <c r="I48" i="61"/>
  <c r="E48" i="61"/>
  <c r="D43" i="61"/>
  <c r="D48" i="61"/>
  <c r="G45" i="61"/>
  <c r="I42" i="61"/>
  <c r="H49" i="61"/>
  <c r="E47" i="61"/>
  <c r="H44" i="61"/>
  <c r="D42" i="61"/>
  <c r="H47" i="61"/>
  <c r="E45" i="61"/>
  <c r="G42" i="61"/>
  <c r="W19" i="61" s="1" a="1"/>
  <c r="W19" i="61" s="1"/>
  <c r="E38" i="61"/>
  <c r="H39" i="61"/>
  <c r="H37" i="61" s="1"/>
  <c r="F39" i="61"/>
  <c r="F37" i="61" s="1"/>
  <c r="G38" i="61"/>
  <c r="P52" i="61" s="1"/>
  <c r="U52" i="61" s="1"/>
  <c r="S52" i="61" s="1"/>
  <c r="G47" i="61"/>
  <c r="F44" i="61"/>
  <c r="F46" i="61"/>
  <c r="W23" i="61" s="1" a="1"/>
  <c r="W23" i="61" s="1"/>
  <c r="I49" i="61"/>
  <c r="F47" i="61"/>
  <c r="I44" i="61"/>
  <c r="E42" i="61"/>
  <c r="E40" i="61" s="1"/>
  <c r="D49" i="61"/>
  <c r="H46" i="61"/>
  <c r="D44" i="61"/>
  <c r="F41" i="61"/>
  <c r="D47" i="61"/>
  <c r="G44" i="61"/>
  <c r="D52" i="61"/>
  <c r="I51" i="61"/>
  <c r="H51" i="61"/>
  <c r="E51" i="61"/>
  <c r="F52" i="61"/>
  <c r="F50" i="61" s="1"/>
  <c r="I52" i="61"/>
  <c r="N56" i="61"/>
  <c r="P51" i="61"/>
  <c r="U51" i="61" s="1"/>
  <c r="S51" i="61" s="1"/>
  <c r="P62" i="61"/>
  <c r="U62" i="61" s="1"/>
  <c r="S62" i="61" s="1"/>
  <c r="D51" i="61"/>
  <c r="G51" i="61"/>
  <c r="E52" i="61"/>
  <c r="Z64" i="61"/>
  <c r="H52" i="61"/>
  <c r="G52" i="61"/>
  <c r="D42" i="60" a="1"/>
  <c r="H42" i="60" s="1"/>
  <c r="D40" i="60" a="1"/>
  <c r="Z75" i="60"/>
  <c r="N75" i="60" s="1"/>
  <c r="D56" i="59" a="1"/>
  <c r="G57" i="59" s="1"/>
  <c r="D64" i="59" a="1"/>
  <c r="D78" i="59"/>
  <c r="D75" i="59"/>
  <c r="H77" i="59"/>
  <c r="G78" i="59"/>
  <c r="E78" i="59"/>
  <c r="E76" i="59" s="1"/>
  <c r="F73" i="59"/>
  <c r="D60" i="59" a="1"/>
  <c r="F62" i="59" s="1"/>
  <c r="H75" i="59"/>
  <c r="E75" i="59"/>
  <c r="G74" i="59"/>
  <c r="D73" i="59"/>
  <c r="I56" i="59"/>
  <c r="D50" i="59" a="1"/>
  <c r="D74" i="59"/>
  <c r="H78" i="59"/>
  <c r="F78" i="59"/>
  <c r="F76" i="59" s="1"/>
  <c r="D77" i="59"/>
  <c r="F75" i="59"/>
  <c r="F74" i="59"/>
  <c r="N69" i="59"/>
  <c r="G77" i="59"/>
  <c r="I77" i="59"/>
  <c r="I76" i="59" s="1"/>
  <c r="G73" i="59"/>
  <c r="Z80" i="57"/>
  <c r="Z88" i="57" s="1"/>
  <c r="P93" i="57" s="1"/>
  <c r="U93" i="57" s="1"/>
  <c r="S93" i="57" s="1"/>
  <c r="P90" i="57"/>
  <c r="U90" i="57" s="1"/>
  <c r="S90" i="57" s="1"/>
  <c r="P89" i="57"/>
  <c r="U89" i="57" s="1"/>
  <c r="Z96" i="57"/>
  <c r="P100" i="57" s="1"/>
  <c r="U100" i="57" s="1"/>
  <c r="S100" i="57" s="1"/>
  <c r="P92" i="57"/>
  <c r="U92" i="57" s="1"/>
  <c r="S92" i="57" s="1"/>
  <c r="G74" i="73"/>
  <c r="W39" i="73" a="1"/>
  <c r="W39" i="73" s="1"/>
  <c r="D29" i="122"/>
  <c r="H29" i="122"/>
  <c r="I40" i="122"/>
  <c r="W25" i="122" a="1"/>
  <c r="W25" i="122" s="1"/>
  <c r="P54" i="121"/>
  <c r="U54" i="121" s="1"/>
  <c r="S54" i="121" s="1"/>
  <c r="W14" i="121" a="1"/>
  <c r="W14" i="121" s="1"/>
  <c r="I40" i="121"/>
  <c r="G40" i="121"/>
  <c r="F29" i="121"/>
  <c r="E29" i="121"/>
  <c r="W13" i="121" a="1"/>
  <c r="W13" i="121" s="1"/>
  <c r="H29" i="121"/>
  <c r="N76" i="66"/>
  <c r="P57" i="61"/>
  <c r="U57" i="61" s="1"/>
  <c r="S57" i="61" s="1"/>
  <c r="Z98" i="101"/>
  <c r="W15" i="90" a="1"/>
  <c r="W15" i="90" s="1"/>
  <c r="Z84" i="66"/>
  <c r="N94" i="49"/>
  <c r="P111" i="83"/>
  <c r="U111" i="83" s="1"/>
  <c r="S111" i="83" s="1"/>
  <c r="P106" i="83"/>
  <c r="U106" i="83" s="1"/>
  <c r="S106" i="83" s="1"/>
  <c r="P110" i="83"/>
  <c r="U110" i="83" s="1"/>
  <c r="S110" i="83" s="1"/>
  <c r="P56" i="90"/>
  <c r="U56" i="90" s="1"/>
  <c r="S56" i="90" s="1"/>
  <c r="N105" i="79"/>
  <c r="Z113" i="79"/>
  <c r="Z93" i="62"/>
  <c r="N85" i="62"/>
  <c r="I39" i="83"/>
  <c r="W18" i="83" a="1"/>
  <c r="W18" i="83" s="1"/>
  <c r="P92" i="83"/>
  <c r="U92" i="83" s="1"/>
  <c r="S92" i="83" s="1"/>
  <c r="P76" i="83"/>
  <c r="U76" i="83" s="1"/>
  <c r="S76" i="83" s="1"/>
  <c r="F39" i="83"/>
  <c r="D36" i="90"/>
  <c r="P92" i="84"/>
  <c r="U92" i="84" s="1"/>
  <c r="S92" i="84" s="1"/>
  <c r="W21" i="84" a="1"/>
  <c r="W21" i="84" s="1"/>
  <c r="Z120" i="82"/>
  <c r="N120" i="82" s="1"/>
  <c r="Z110" i="49"/>
  <c r="N97" i="83"/>
  <c r="P101" i="83"/>
  <c r="U101" i="83" s="1"/>
  <c r="S101" i="83" s="1"/>
  <c r="P100" i="83"/>
  <c r="U100" i="83" s="1"/>
  <c r="S100" i="83" s="1"/>
  <c r="P103" i="83"/>
  <c r="U103" i="83" s="1"/>
  <c r="S103" i="83" s="1"/>
  <c r="P70" i="84"/>
  <c r="U70" i="84" s="1"/>
  <c r="S70" i="84" s="1"/>
  <c r="Z104" i="57"/>
  <c r="I49" i="84"/>
  <c r="P73" i="84"/>
  <c r="U73" i="84" s="1"/>
  <c r="S73" i="84" s="1"/>
  <c r="P88" i="84"/>
  <c r="U88" i="84" s="1"/>
  <c r="S88" i="84" s="1"/>
  <c r="H49" i="84"/>
  <c r="G37" i="66"/>
  <c r="P72" i="66"/>
  <c r="U72" i="66" s="1"/>
  <c r="S72" i="66" s="1"/>
  <c r="Z83" i="60"/>
  <c r="W26" i="83" a="1"/>
  <c r="W26" i="83" s="1"/>
  <c r="W21" i="61" a="1"/>
  <c r="W21" i="61" s="1"/>
  <c r="F40" i="61"/>
  <c r="Z101" i="102"/>
  <c r="P80" i="34"/>
  <c r="U80" i="34" s="1"/>
  <c r="S80" i="34" s="1"/>
  <c r="P57" i="66"/>
  <c r="U57" i="66" s="1"/>
  <c r="S57" i="66" s="1"/>
  <c r="H32" i="66"/>
  <c r="N85" i="102"/>
  <c r="W25" i="84" a="1"/>
  <c r="W25" i="84" s="1"/>
  <c r="F42" i="105"/>
  <c r="E65" i="103"/>
  <c r="I81" i="98"/>
  <c r="W20" i="61" a="1"/>
  <c r="W20" i="61" s="1"/>
  <c r="P94" i="86"/>
  <c r="U94" i="86" s="1"/>
  <c r="S94" i="86" s="1"/>
  <c r="W15" i="121" a="1"/>
  <c r="W15" i="121" s="1"/>
  <c r="E35" i="122"/>
  <c r="G94" i="92"/>
  <c r="P67" i="121"/>
  <c r="U67" i="121" s="1"/>
  <c r="S67" i="121" s="1"/>
  <c r="Z72" i="121"/>
  <c r="P70" i="121"/>
  <c r="U70" i="121" s="1"/>
  <c r="S70" i="121" s="1"/>
  <c r="N64" i="121"/>
  <c r="P68" i="121"/>
  <c r="U68" i="121" s="1"/>
  <c r="S68" i="121" s="1"/>
  <c r="P66" i="121"/>
  <c r="U66" i="121" s="1"/>
  <c r="S66" i="121" s="1"/>
  <c r="W25" i="121" a="1"/>
  <c r="W25" i="121" s="1"/>
  <c r="P52" i="121"/>
  <c r="U52" i="121" s="1"/>
  <c r="S52" i="121" s="1"/>
  <c r="G29" i="121"/>
  <c r="P67" i="122"/>
  <c r="U67" i="122" s="1"/>
  <c r="S67" i="122" s="1"/>
  <c r="Z71" i="122"/>
  <c r="N71" i="122" s="1"/>
  <c r="W13" i="122" a="1"/>
  <c r="W13" i="122" s="1"/>
  <c r="P53" i="122"/>
  <c r="U53" i="122" s="1"/>
  <c r="S53" i="122" s="1"/>
  <c r="W26" i="122" a="1"/>
  <c r="W26" i="122" s="1"/>
  <c r="F38" i="122"/>
  <c r="E34" i="122"/>
  <c r="P73" i="122" s="1"/>
  <c r="U73" i="122" s="1"/>
  <c r="S73" i="122" s="1"/>
  <c r="I38" i="122"/>
  <c r="G37" i="122"/>
  <c r="H38" i="122"/>
  <c r="G34" i="122"/>
  <c r="P75" i="122" s="1"/>
  <c r="U75" i="122" s="1"/>
  <c r="S75" i="122" s="1"/>
  <c r="H37" i="122"/>
  <c r="H36" i="122"/>
  <c r="I36" i="122"/>
  <c r="I77" i="73"/>
  <c r="P69" i="121"/>
  <c r="U69" i="121" s="1"/>
  <c r="S69" i="121" s="1"/>
  <c r="Z85" i="59"/>
  <c r="N77" i="59"/>
  <c r="F58" i="59"/>
  <c r="D57" i="59"/>
  <c r="W26" i="121" a="1"/>
  <c r="W26" i="121" s="1"/>
  <c r="H40" i="121"/>
  <c r="P65" i="121"/>
  <c r="U65" i="121" s="1"/>
  <c r="D40" i="122"/>
  <c r="G29" i="122"/>
  <c r="H74" i="59"/>
  <c r="H73" i="59"/>
  <c r="I74" i="59"/>
  <c r="G39" i="49"/>
  <c r="E35" i="121"/>
  <c r="D39" i="121"/>
  <c r="W24" i="122" a="1"/>
  <c r="W24" i="122" s="1"/>
  <c r="G40" i="122"/>
  <c r="H40" i="122"/>
  <c r="P70" i="25"/>
  <c r="U70" i="25" s="1"/>
  <c r="S70" i="25" s="1"/>
  <c r="N69" i="25"/>
  <c r="D35" i="121"/>
  <c r="F35" i="121"/>
  <c r="E40" i="121"/>
  <c r="F40" i="121"/>
  <c r="D29" i="121"/>
  <c r="E40" i="122"/>
  <c r="F40" i="122"/>
  <c r="W15" i="122" a="1"/>
  <c r="W15" i="122" s="1"/>
  <c r="G34" i="25"/>
  <c r="H58" i="59"/>
  <c r="D74" i="92"/>
  <c r="F74" i="92"/>
  <c r="E40" i="63"/>
  <c r="Z80" i="81"/>
  <c r="N80" i="81" s="1"/>
  <c r="H79" i="63"/>
  <c r="W44" i="63" s="1" a="1"/>
  <c r="W44" i="63" s="1"/>
  <c r="I78" i="63"/>
  <c r="H77" i="63"/>
  <c r="H75" i="63" s="1"/>
  <c r="D47" i="80"/>
  <c r="D43" i="80" s="1"/>
  <c r="F45" i="80"/>
  <c r="W27" i="80" s="1" a="1"/>
  <c r="W27" i="80" s="1"/>
  <c r="E53" i="68"/>
  <c r="H52" i="68"/>
  <c r="I51" i="68"/>
  <c r="I49" i="68" s="1"/>
  <c r="E50" i="68"/>
  <c r="E44" i="69"/>
  <c r="H45" i="72"/>
  <c r="H36" i="72"/>
  <c r="E33" i="72"/>
  <c r="W44" i="73" a="1"/>
  <c r="W44" i="73" s="1"/>
  <c r="D71" i="74" a="1"/>
  <c r="D82" i="74" a="1"/>
  <c r="D36" i="72"/>
  <c r="H59" i="75"/>
  <c r="F59" i="75"/>
  <c r="Z80" i="85"/>
  <c r="N72" i="85"/>
  <c r="G46" i="80"/>
  <c r="E56" i="76"/>
  <c r="D56" i="76"/>
  <c r="AF80" i="36"/>
  <c r="AF88" i="36" s="1"/>
  <c r="F55" i="83"/>
  <c r="H55" i="83"/>
  <c r="N77" i="88"/>
  <c r="Z85" i="88"/>
  <c r="D55" i="74" a="1"/>
  <c r="K23" i="36"/>
  <c r="I23" i="36"/>
  <c r="H23" i="36"/>
  <c r="J29" i="36"/>
  <c r="D68" i="109"/>
  <c r="P87" i="62"/>
  <c r="U87" i="62" s="1"/>
  <c r="S87" i="62" s="1"/>
  <c r="P63" i="62"/>
  <c r="U63" i="62" s="1"/>
  <c r="S63" i="62" s="1"/>
  <c r="P67" i="62"/>
  <c r="U67" i="62" s="1"/>
  <c r="S67" i="62" s="1"/>
  <c r="P98" i="62"/>
  <c r="U98" i="62" s="1"/>
  <c r="S98" i="62" s="1"/>
  <c r="P96" i="62"/>
  <c r="U96" i="62" s="1"/>
  <c r="S96" i="62" s="1"/>
  <c r="P90" i="62"/>
  <c r="U90" i="62" s="1"/>
  <c r="S90" i="62" s="1"/>
  <c r="D35" i="62"/>
  <c r="E34" i="62"/>
  <c r="E35" i="62"/>
  <c r="P55" i="62" s="1"/>
  <c r="U55" i="62" s="1"/>
  <c r="S55" i="62" s="1"/>
  <c r="I45" i="62"/>
  <c r="P99" i="62"/>
  <c r="U99" i="62" s="1"/>
  <c r="S99" i="62" s="1"/>
  <c r="P91" i="62"/>
  <c r="U91" i="62" s="1"/>
  <c r="S91" i="62" s="1"/>
  <c r="P72" i="62"/>
  <c r="U72" i="62" s="1"/>
  <c r="S72" i="62" s="1"/>
  <c r="P86" i="62"/>
  <c r="U86" i="62" s="1"/>
  <c r="S86" i="62" s="1"/>
  <c r="P71" i="62"/>
  <c r="U71" i="62" s="1"/>
  <c r="S71" i="62" s="1"/>
  <c r="F34" i="62"/>
  <c r="F35" i="62"/>
  <c r="P56" i="62" s="1"/>
  <c r="U56" i="62" s="1"/>
  <c r="S56" i="62" s="1"/>
  <c r="G34" i="62"/>
  <c r="Z128" i="82"/>
  <c r="N96" i="82"/>
  <c r="P106" i="63"/>
  <c r="U106" i="63" s="1"/>
  <c r="S106" i="63" s="1"/>
  <c r="Z108" i="63"/>
  <c r="P109" i="83"/>
  <c r="U109" i="83" s="1"/>
  <c r="S109" i="83" s="1"/>
  <c r="Z113" i="83"/>
  <c r="W29" i="83" a="1"/>
  <c r="W29" i="83" s="1"/>
  <c r="P107" i="83"/>
  <c r="U107" i="83" s="1"/>
  <c r="S107" i="83" s="1"/>
  <c r="H45" i="83"/>
  <c r="I42" i="72"/>
  <c r="W33" i="84" a="1"/>
  <c r="W33" i="84" s="1"/>
  <c r="G50" i="61"/>
  <c r="W19" i="62" a="1"/>
  <c r="W19" i="62" s="1"/>
  <c r="H76" i="59"/>
  <c r="E64" i="34"/>
  <c r="E80" i="57"/>
  <c r="H78" i="57"/>
  <c r="G77" i="57"/>
  <c r="G80" i="57"/>
  <c r="D80" i="57"/>
  <c r="H80" i="57"/>
  <c r="E78" i="57"/>
  <c r="F81" i="57"/>
  <c r="I81" i="57"/>
  <c r="F79" i="57"/>
  <c r="E79" i="57"/>
  <c r="G81" i="57"/>
  <c r="D78" i="57"/>
  <c r="I78" i="57"/>
  <c r="D81" i="57"/>
  <c r="G78" i="57"/>
  <c r="F78" i="57"/>
  <c r="F80" i="57"/>
  <c r="E77" i="57"/>
  <c r="D77" i="57"/>
  <c r="G79" i="57"/>
  <c r="I80" i="57"/>
  <c r="H77" i="57"/>
  <c r="H81" i="57"/>
  <c r="F77" i="57"/>
  <c r="I79" i="57"/>
  <c r="N63" i="106"/>
  <c r="I65" i="103"/>
  <c r="E94" i="92"/>
  <c r="P95" i="86"/>
  <c r="U95" i="86" s="1"/>
  <c r="S95" i="86" s="1"/>
  <c r="H77" i="73"/>
  <c r="F65" i="103"/>
  <c r="P103" i="86"/>
  <c r="U103" i="86" s="1"/>
  <c r="S103" i="86" s="1"/>
  <c r="W23" i="122" a="1"/>
  <c r="W23" i="122" s="1"/>
  <c r="Z71" i="106"/>
  <c r="P113" i="86"/>
  <c r="U113" i="86" s="1"/>
  <c r="S113" i="86" s="1"/>
  <c r="P106" i="86"/>
  <c r="U106" i="86" s="1"/>
  <c r="S106" i="86" s="1"/>
  <c r="P49" i="121"/>
  <c r="U49" i="121" s="1"/>
  <c r="S49" i="121" s="1"/>
  <c r="N72" i="121"/>
  <c r="E38" i="121"/>
  <c r="F34" i="121"/>
  <c r="D37" i="121"/>
  <c r="I35" i="121"/>
  <c r="I34" i="121"/>
  <c r="P78" i="121" s="1"/>
  <c r="U78" i="121" s="1"/>
  <c r="S78" i="121" s="1"/>
  <c r="G38" i="121"/>
  <c r="H39" i="121"/>
  <c r="D36" i="121"/>
  <c r="H38" i="121"/>
  <c r="N63" i="122"/>
  <c r="P64" i="122"/>
  <c r="U64" i="122" s="1"/>
  <c r="S64" i="122" s="1"/>
  <c r="W14" i="122" a="1"/>
  <c r="W14" i="122" s="1"/>
  <c r="F29" i="122"/>
  <c r="G38" i="122"/>
  <c r="W21" i="122" s="1" a="1"/>
  <c r="W21" i="122" s="1"/>
  <c r="I37" i="122"/>
  <c r="E37" i="122"/>
  <c r="D38" i="122"/>
  <c r="D34" i="122"/>
  <c r="P72" i="122" s="1"/>
  <c r="U72" i="122" s="1"/>
  <c r="S72" i="122" s="1"/>
  <c r="G35" i="122"/>
  <c r="P59" i="122"/>
  <c r="U59" i="122" s="1"/>
  <c r="S59" i="122" s="1"/>
  <c r="D52" i="63"/>
  <c r="P85" i="63" s="1"/>
  <c r="U85" i="63" s="1"/>
  <c r="S85" i="63" s="1"/>
  <c r="F53" i="63"/>
  <c r="P95" i="63" s="1"/>
  <c r="U95" i="63" s="1"/>
  <c r="S95" i="63" s="1"/>
  <c r="D54" i="63"/>
  <c r="P101" i="63" s="1"/>
  <c r="U101" i="63" s="1"/>
  <c r="S101" i="63" s="1"/>
  <c r="H43" i="80"/>
  <c r="Z79" i="122"/>
  <c r="G35" i="121"/>
  <c r="E36" i="121"/>
  <c r="E39" i="121"/>
  <c r="I36" i="121"/>
  <c r="H35" i="121"/>
  <c r="I39" i="121"/>
  <c r="D34" i="121"/>
  <c r="H36" i="121"/>
  <c r="F39" i="121"/>
  <c r="E29" i="122"/>
  <c r="P65" i="122"/>
  <c r="U65" i="122" s="1"/>
  <c r="S65" i="122" s="1"/>
  <c r="P68" i="122"/>
  <c r="U68" i="122" s="1"/>
  <c r="S68" i="122" s="1"/>
  <c r="N63" i="118"/>
  <c r="Z71" i="118"/>
  <c r="D60" i="57" a="1"/>
  <c r="D53" i="57" a="1"/>
  <c r="F55" i="57" s="1"/>
  <c r="D65" i="57" a="1"/>
  <c r="F66" i="57" s="1"/>
  <c r="D70" i="57" a="1"/>
  <c r="D83" i="57" a="1"/>
  <c r="H69" i="63"/>
  <c r="H68" i="63" s="1"/>
  <c r="I70" i="63"/>
  <c r="I68" i="63" s="1"/>
  <c r="F40" i="63"/>
  <c r="D87" i="74"/>
  <c r="W51" i="74" a="1"/>
  <c r="W51" i="74" s="1"/>
  <c r="I87" i="74"/>
  <c r="E67" i="34"/>
  <c r="F43" i="80"/>
  <c r="H35" i="122"/>
  <c r="F36" i="121"/>
  <c r="E37" i="121"/>
  <c r="I37" i="121"/>
  <c r="E34" i="121"/>
  <c r="H37" i="121"/>
  <c r="G36" i="121"/>
  <c r="F38" i="121"/>
  <c r="H34" i="121"/>
  <c r="P66" i="122"/>
  <c r="U66" i="122" s="1"/>
  <c r="S66" i="122" s="1"/>
  <c r="D35" i="122"/>
  <c r="D37" i="122"/>
  <c r="F36" i="122"/>
  <c r="H34" i="122"/>
  <c r="D36" i="122"/>
  <c r="N80" i="57"/>
  <c r="W27" i="121" a="1"/>
  <c r="W27" i="121" s="1"/>
  <c r="D40" i="121"/>
  <c r="I29" i="122"/>
  <c r="W27" i="66" a="1"/>
  <c r="W27" i="66" s="1"/>
  <c r="E75" i="73"/>
  <c r="H75" i="73"/>
  <c r="H74" i="73" s="1"/>
  <c r="F76" i="73"/>
  <c r="W42" i="73" s="1" a="1"/>
  <c r="W42" i="73" s="1"/>
  <c r="D51" i="75"/>
  <c r="H51" i="75"/>
  <c r="H53" i="75"/>
  <c r="E55" i="75"/>
  <c r="E52" i="75"/>
  <c r="G54" i="75"/>
  <c r="D40" i="75" a="1"/>
  <c r="D44" i="75" a="1"/>
  <c r="D57" i="75" a="1"/>
  <c r="I58" i="75" s="1"/>
  <c r="D47" i="75" a="1"/>
  <c r="D36" i="80"/>
  <c r="F36" i="80"/>
  <c r="D33" i="80" a="1"/>
  <c r="D38" i="80" a="1"/>
  <c r="I35" i="72"/>
  <c r="P66" i="72"/>
  <c r="U66" i="72" s="1"/>
  <c r="S66" i="72" s="1"/>
  <c r="W25" i="118" a="1"/>
  <c r="W25" i="118" s="1"/>
  <c r="D37" i="118"/>
  <c r="H85" i="57"/>
  <c r="D85" i="57"/>
  <c r="D53" i="61"/>
  <c r="G40" i="63"/>
  <c r="D73" i="63" a="1"/>
  <c r="D48" i="63" a="1"/>
  <c r="D40" i="80" a="1"/>
  <c r="P50" i="49"/>
  <c r="U50" i="49" s="1"/>
  <c r="P72" i="49"/>
  <c r="U72" i="49" s="1"/>
  <c r="S72" i="49" s="1"/>
  <c r="P96" i="49"/>
  <c r="U96" i="49" s="1"/>
  <c r="S96" i="49" s="1"/>
  <c r="F85" i="74"/>
  <c r="F84" i="74" s="1"/>
  <c r="G86" i="74"/>
  <c r="G84" i="74" s="1"/>
  <c r="P82" i="78"/>
  <c r="U82" i="78" s="1"/>
  <c r="S82" i="78" s="1"/>
  <c r="N62" i="90"/>
  <c r="Z70" i="90"/>
  <c r="N93" i="92"/>
  <c r="I40" i="63"/>
  <c r="I25" i="80"/>
  <c r="E25" i="80"/>
  <c r="E49" i="68"/>
  <c r="H46" i="69"/>
  <c r="H41" i="72"/>
  <c r="F36" i="72"/>
  <c r="D60" i="73" a="1"/>
  <c r="N85" i="88"/>
  <c r="Z93" i="88"/>
  <c r="G25" i="80"/>
  <c r="G53" i="68"/>
  <c r="W32" i="68" s="1" a="1"/>
  <c r="W32" i="68" s="1"/>
  <c r="F52" i="68"/>
  <c r="H51" i="68"/>
  <c r="H49" i="68" s="1"/>
  <c r="D51" i="68"/>
  <c r="G50" i="68"/>
  <c r="E51" i="69"/>
  <c r="D46" i="69"/>
  <c r="P108" i="78"/>
  <c r="U108" i="78" s="1"/>
  <c r="S108" i="78" s="1"/>
  <c r="W35" i="83" a="1"/>
  <c r="W35" i="83" s="1"/>
  <c r="F71" i="85"/>
  <c r="E71" i="85"/>
  <c r="D44" i="109"/>
  <c r="I45" i="109"/>
  <c r="H44" i="109"/>
  <c r="E45" i="109"/>
  <c r="J23" i="36"/>
  <c r="F23" i="36"/>
  <c r="H20" i="36"/>
  <c r="I71" i="85"/>
  <c r="Z84" i="95"/>
  <c r="P86" i="95" s="1"/>
  <c r="U86" i="95" s="1"/>
  <c r="S86" i="95" s="1"/>
  <c r="E53" i="95"/>
  <c r="Z85" i="98"/>
  <c r="Z93" i="98" s="1"/>
  <c r="P81" i="98"/>
  <c r="U81" i="98" s="1"/>
  <c r="S81" i="98" s="1"/>
  <c r="P75" i="98"/>
  <c r="U75" i="98" s="1"/>
  <c r="S75" i="98" s="1"/>
  <c r="I88" i="96"/>
  <c r="E52" i="101"/>
  <c r="G75" i="102"/>
  <c r="F41" i="106"/>
  <c r="H22" i="122"/>
  <c r="D41" i="106"/>
  <c r="D39" i="106" s="1"/>
  <c r="E73" i="108"/>
  <c r="D62" i="109" a="1"/>
  <c r="I68" i="109"/>
  <c r="N74" i="101"/>
  <c r="I52" i="101"/>
  <c r="I40" i="105"/>
  <c r="I39" i="105" s="1"/>
  <c r="F40" i="106"/>
  <c r="D60" i="109" a="1"/>
  <c r="H60" i="109" s="1"/>
  <c r="D47" i="109" a="1"/>
  <c r="D47" i="109" s="1"/>
  <c r="D75" i="108"/>
  <c r="I50" i="108"/>
  <c r="F75" i="108"/>
  <c r="Z84" i="108"/>
  <c r="N75" i="123"/>
  <c r="U60" i="122"/>
  <c r="S60" i="122" s="1"/>
  <c r="N91" i="123"/>
  <c r="Z99" i="123"/>
  <c r="N83" i="123"/>
  <c r="G51" i="89"/>
  <c r="W40" i="89" a="1"/>
  <c r="W40" i="89" s="1"/>
  <c r="W39" i="89" a="1"/>
  <c r="W39" i="89" s="1"/>
  <c r="H66" i="89"/>
  <c r="D66" i="89"/>
  <c r="W24" i="89" a="1"/>
  <c r="W24" i="89" s="1"/>
  <c r="W41" i="89" a="1"/>
  <c r="W41" i="89" s="1"/>
  <c r="W23" i="89" a="1"/>
  <c r="W23" i="89" s="1"/>
  <c r="E66" i="89"/>
  <c r="E51" i="89"/>
  <c r="I51" i="89"/>
  <c r="I45" i="86"/>
  <c r="P111" i="86"/>
  <c r="U111" i="86" s="1"/>
  <c r="S111" i="86" s="1"/>
  <c r="P80" i="86"/>
  <c r="U80" i="86" s="1"/>
  <c r="D69" i="86"/>
  <c r="W26" i="86" a="1"/>
  <c r="W26" i="86" s="1"/>
  <c r="P112" i="86"/>
  <c r="U112" i="86" s="1"/>
  <c r="S112" i="86" s="1"/>
  <c r="P88" i="86"/>
  <c r="U88" i="86" s="1"/>
  <c r="S88" i="86" s="1"/>
  <c r="P109" i="86"/>
  <c r="U109" i="86" s="1"/>
  <c r="S109" i="86" s="1"/>
  <c r="P85" i="86"/>
  <c r="U85" i="86" s="1"/>
  <c r="S85" i="86" s="1"/>
  <c r="W38" i="86" a="1"/>
  <c r="W38" i="86" s="1"/>
  <c r="P96" i="86"/>
  <c r="U96" i="86" s="1"/>
  <c r="S96" i="86" s="1"/>
  <c r="P87" i="86"/>
  <c r="U87" i="86" s="1"/>
  <c r="S87" i="86" s="1"/>
  <c r="P102" i="86"/>
  <c r="U102" i="86" s="1"/>
  <c r="S102" i="86" s="1"/>
  <c r="U51" i="122"/>
  <c r="S51" i="122" s="1"/>
  <c r="U56" i="122"/>
  <c r="S56" i="122" s="1"/>
  <c r="U71" i="95"/>
  <c r="S71" i="95" s="1"/>
  <c r="U61" i="122"/>
  <c r="S61" i="122" s="1"/>
  <c r="U55" i="90"/>
  <c r="S55" i="90" s="1"/>
  <c r="U57" i="122"/>
  <c r="S57" i="122" s="1"/>
  <c r="U60" i="121"/>
  <c r="S60" i="121" s="1"/>
  <c r="U52" i="122"/>
  <c r="S52" i="122" s="1"/>
  <c r="U48" i="122"/>
  <c r="S48" i="122" s="1"/>
  <c r="U93" i="63"/>
  <c r="S93" i="63" s="1"/>
  <c r="U102" i="63"/>
  <c r="S102" i="63" s="1"/>
  <c r="U98" i="86"/>
  <c r="S98" i="86" s="1"/>
  <c r="U53" i="121"/>
  <c r="S53" i="121" s="1"/>
  <c r="U57" i="121"/>
  <c r="S57" i="121" s="1"/>
  <c r="U61" i="80"/>
  <c r="S61" i="80" s="1"/>
  <c r="U61" i="121"/>
  <c r="S61" i="121" s="1"/>
  <c r="U49" i="122"/>
  <c r="S49" i="122" s="1"/>
  <c r="U58" i="122"/>
  <c r="S58" i="122" s="1"/>
  <c r="U46" i="35"/>
  <c r="S46" i="35" s="1"/>
  <c r="U54" i="61"/>
  <c r="S54" i="61" s="1"/>
  <c r="U49" i="66"/>
  <c r="S49" i="66" s="1"/>
  <c r="U69" i="84"/>
  <c r="S69" i="84" s="1"/>
  <c r="U49" i="68"/>
  <c r="S49" i="68" s="1"/>
  <c r="U78" i="86"/>
  <c r="S78" i="86" s="1"/>
  <c r="U60" i="83"/>
  <c r="S60" i="83" s="1"/>
  <c r="U58" i="90"/>
  <c r="S58" i="90" s="1"/>
  <c r="U82" i="86"/>
  <c r="S82" i="86" s="1"/>
  <c r="U65" i="80"/>
  <c r="S65" i="80" s="1"/>
  <c r="U72" i="84"/>
  <c r="S72" i="84" s="1"/>
  <c r="U81" i="86"/>
  <c r="S81" i="86" s="1"/>
  <c r="U79" i="84"/>
  <c r="S79" i="84" s="1"/>
  <c r="U77" i="84"/>
  <c r="S77" i="84" s="1"/>
  <c r="U90" i="86"/>
  <c r="S90" i="86" s="1"/>
  <c r="U62" i="121"/>
  <c r="S62" i="121" s="1"/>
  <c r="U62" i="83"/>
  <c r="S62" i="83" s="1"/>
  <c r="U87" i="84"/>
  <c r="S87" i="84" s="1"/>
  <c r="U81" i="84"/>
  <c r="S81" i="84" s="1"/>
  <c r="U50" i="121"/>
  <c r="S50" i="121" s="1"/>
  <c r="U79" i="86"/>
  <c r="S79" i="86" s="1"/>
  <c r="U74" i="95"/>
  <c r="S74" i="95" s="1"/>
  <c r="U58" i="121"/>
  <c r="S58" i="121" s="1"/>
  <c r="U80" i="84"/>
  <c r="S80" i="84" s="1"/>
  <c r="U78" i="84"/>
  <c r="S78" i="84" s="1"/>
  <c r="U64" i="80"/>
  <c r="S64" i="80" s="1"/>
  <c r="U97" i="63"/>
  <c r="S97" i="63" s="1"/>
  <c r="U71" i="84"/>
  <c r="S71" i="84" s="1"/>
  <c r="U76" i="84"/>
  <c r="S76" i="84" s="1"/>
  <c r="U57" i="35"/>
  <c r="S57" i="35" s="1"/>
  <c r="U60" i="69"/>
  <c r="S60" i="69" s="1"/>
  <c r="U50" i="122"/>
  <c r="S50" i="122" s="1"/>
  <c r="U59" i="121"/>
  <c r="S59" i="121" s="1"/>
  <c r="U65" i="66"/>
  <c r="U63" i="80"/>
  <c r="S63" i="80" s="1"/>
  <c r="U51" i="121"/>
  <c r="S51" i="121" s="1"/>
  <c r="H68" i="109"/>
  <c r="W42" i="63" a="1"/>
  <c r="W42" i="63" s="1"/>
  <c r="N99" i="123"/>
  <c r="I35" i="122"/>
  <c r="P85" i="122" s="1"/>
  <c r="U85" i="122" s="1"/>
  <c r="S85" i="122" s="1"/>
  <c r="I34" i="122"/>
  <c r="F34" i="122"/>
  <c r="E36" i="122"/>
  <c r="F35" i="122"/>
  <c r="G36" i="122"/>
  <c r="G43" i="60"/>
  <c r="F42" i="60"/>
  <c r="E43" i="60"/>
  <c r="I33" i="80"/>
  <c r="G34" i="80"/>
  <c r="E33" i="80"/>
  <c r="D73" i="63"/>
  <c r="G73" i="63"/>
  <c r="Z77" i="25"/>
  <c r="P75" i="25"/>
  <c r="U75" i="25" s="1"/>
  <c r="S75" i="25" s="1"/>
  <c r="G84" i="57"/>
  <c r="E83" i="57"/>
  <c r="E81" i="57"/>
  <c r="H79" i="57"/>
  <c r="I77" i="57"/>
  <c r="I63" i="57"/>
  <c r="H62" i="57"/>
  <c r="F61" i="57"/>
  <c r="E60" i="57"/>
  <c r="F54" i="57"/>
  <c r="G75" i="59"/>
  <c r="E74" i="59"/>
  <c r="E73" i="59"/>
  <c r="I57" i="59"/>
  <c r="G56" i="59"/>
  <c r="D57" i="60" a="1"/>
  <c r="D71" i="63"/>
  <c r="E70" i="63"/>
  <c r="F69" i="63"/>
  <c r="D62" i="63" a="1"/>
  <c r="D57" i="63" a="1"/>
  <c r="E55" i="63"/>
  <c r="P110" i="63" s="1"/>
  <c r="U110" i="63" s="1"/>
  <c r="S110" i="63" s="1"/>
  <c r="G54" i="63"/>
  <c r="P104" i="63" s="1"/>
  <c r="U104" i="63" s="1"/>
  <c r="S104" i="63" s="1"/>
  <c r="I53" i="63"/>
  <c r="P98" i="63" s="1"/>
  <c r="U98" i="63" s="1"/>
  <c r="S98" i="63" s="1"/>
  <c r="I52" i="63"/>
  <c r="E52" i="63"/>
  <c r="H50" i="63"/>
  <c r="P81" i="63" s="1"/>
  <c r="U81" i="63" s="1"/>
  <c r="S81" i="63" s="1"/>
  <c r="F49" i="63"/>
  <c r="P71" i="63" s="1"/>
  <c r="U71" i="63" s="1"/>
  <c r="S71" i="63" s="1"/>
  <c r="F48" i="63"/>
  <c r="D41" i="80"/>
  <c r="N54" i="49"/>
  <c r="F57" i="59"/>
  <c r="F56" i="59"/>
  <c r="D69" i="63"/>
  <c r="I55" i="63"/>
  <c r="P114" i="63" s="1"/>
  <c r="U114" i="63" s="1"/>
  <c r="S114" i="63" s="1"/>
  <c r="D55" i="63"/>
  <c r="F54" i="63"/>
  <c r="P103" i="63" s="1"/>
  <c r="U103" i="63" s="1"/>
  <c r="S103" i="63" s="1"/>
  <c r="G53" i="63"/>
  <c r="P96" i="63" s="1"/>
  <c r="U96" i="63" s="1"/>
  <c r="S96" i="63" s="1"/>
  <c r="H52" i="63"/>
  <c r="F52" i="63"/>
  <c r="F50" i="63"/>
  <c r="P79" i="63" s="1"/>
  <c r="U79" i="63" s="1"/>
  <c r="S79" i="63" s="1"/>
  <c r="D49" i="63"/>
  <c r="D48" i="63"/>
  <c r="P56" i="49"/>
  <c r="U56" i="49" s="1"/>
  <c r="D37" i="68" a="1"/>
  <c r="I83" i="57"/>
  <c r="D47" i="68"/>
  <c r="E48" i="68"/>
  <c r="F47" i="68"/>
  <c r="G48" i="68"/>
  <c r="G35" i="68"/>
  <c r="D35" i="68"/>
  <c r="N84" i="70"/>
  <c r="Z92" i="70"/>
  <c r="H54" i="70"/>
  <c r="H53" i="70" s="1"/>
  <c r="D54" i="70"/>
  <c r="G54" i="70"/>
  <c r="G53" i="70" s="1"/>
  <c r="E60" i="73"/>
  <c r="H62" i="73"/>
  <c r="H60" i="73"/>
  <c r="F63" i="73"/>
  <c r="F61" i="73"/>
  <c r="D64" i="73"/>
  <c r="D62" i="73"/>
  <c r="H64" i="73"/>
  <c r="E55" i="74"/>
  <c r="H57" i="74"/>
  <c r="P93" i="74" s="1"/>
  <c r="U93" i="74" s="1"/>
  <c r="S93" i="74" s="1"/>
  <c r="D62" i="74"/>
  <c r="H55" i="74"/>
  <c r="F58" i="74"/>
  <c r="D60" i="74"/>
  <c r="H62" i="74"/>
  <c r="F56" i="74"/>
  <c r="H60" i="74"/>
  <c r="F63" i="74"/>
  <c r="D57" i="74"/>
  <c r="G59" i="74"/>
  <c r="F61" i="74"/>
  <c r="H29" i="36"/>
  <c r="F29" i="36"/>
  <c r="I84" i="57"/>
  <c r="G66" i="57"/>
  <c r="I62" i="57"/>
  <c r="I61" i="57"/>
  <c r="I75" i="59"/>
  <c r="D45" i="60" a="1"/>
  <c r="F71" i="63"/>
  <c r="G70" i="63"/>
  <c r="G55" i="63"/>
  <c r="P112" i="63" s="1"/>
  <c r="U112" i="63" s="1"/>
  <c r="S112" i="63" s="1"/>
  <c r="H54" i="63"/>
  <c r="P105" i="63" s="1"/>
  <c r="U105" i="63" s="1"/>
  <c r="S105" i="63" s="1"/>
  <c r="E53" i="63"/>
  <c r="G52" i="63"/>
  <c r="H49" i="63"/>
  <c r="P73" i="63" s="1"/>
  <c r="U73" i="63" s="1"/>
  <c r="S73" i="63" s="1"/>
  <c r="P116" i="49"/>
  <c r="U116" i="49" s="1"/>
  <c r="S116" i="49" s="1"/>
  <c r="I48" i="68"/>
  <c r="I29" i="36"/>
  <c r="P62" i="72"/>
  <c r="U62" i="72" s="1"/>
  <c r="S62" i="72" s="1"/>
  <c r="W28" i="72" a="1"/>
  <c r="W28" i="72" s="1"/>
  <c r="I33" i="72"/>
  <c r="F33" i="72"/>
  <c r="D86" i="74"/>
  <c r="H85" i="74"/>
  <c r="G83" i="74"/>
  <c r="F82" i="74"/>
  <c r="D82" i="74"/>
  <c r="G76" i="74"/>
  <c r="D73" i="74"/>
  <c r="D65" i="74" a="1"/>
  <c r="E59" i="75"/>
  <c r="G57" i="75"/>
  <c r="I55" i="75"/>
  <c r="D55" i="75"/>
  <c r="F54" i="75"/>
  <c r="G53" i="75"/>
  <c r="I52" i="75"/>
  <c r="D52" i="75"/>
  <c r="F51" i="75"/>
  <c r="I48" i="75"/>
  <c r="F41" i="75"/>
  <c r="P62" i="75" s="1"/>
  <c r="U62" i="75" s="1"/>
  <c r="S62" i="75" s="1"/>
  <c r="G55" i="76"/>
  <c r="E54" i="76"/>
  <c r="I49" i="69"/>
  <c r="F45" i="69"/>
  <c r="N76" i="70"/>
  <c r="W35" i="70" a="1"/>
  <c r="W35" i="70" s="1"/>
  <c r="Z68" i="72"/>
  <c r="E85" i="74"/>
  <c r="H82" i="74"/>
  <c r="G79" i="74"/>
  <c r="F77" i="74"/>
  <c r="G74" i="74"/>
  <c r="H71" i="74"/>
  <c r="H55" i="75"/>
  <c r="E54" i="75"/>
  <c r="F53" i="75"/>
  <c r="H52" i="75"/>
  <c r="E51" i="75"/>
  <c r="F55" i="76"/>
  <c r="K20" i="36"/>
  <c r="P99" i="88"/>
  <c r="U99" i="88" s="1"/>
  <c r="S99" i="88" s="1"/>
  <c r="Z70" i="68"/>
  <c r="I51" i="69"/>
  <c r="E49" i="69"/>
  <c r="F47" i="69"/>
  <c r="H40" i="70"/>
  <c r="W30" i="72" a="1"/>
  <c r="W30" i="72" s="1"/>
  <c r="G34" i="72"/>
  <c r="W52" i="74" a="1"/>
  <c r="W52" i="74" s="1"/>
  <c r="H86" i="74"/>
  <c r="I85" i="74"/>
  <c r="F83" i="74"/>
  <c r="I78" i="74"/>
  <c r="H75" i="74"/>
  <c r="I72" i="74"/>
  <c r="F55" i="75"/>
  <c r="I54" i="75"/>
  <c r="D53" i="75"/>
  <c r="G52" i="75"/>
  <c r="I51" i="75"/>
  <c r="I54" i="76"/>
  <c r="G20" i="36"/>
  <c r="G23" i="36"/>
  <c r="I20" i="36"/>
  <c r="Z89" i="77"/>
  <c r="G63" i="77"/>
  <c r="I58" i="81"/>
  <c r="P105" i="86"/>
  <c r="U105" i="86" s="1"/>
  <c r="S105" i="86" s="1"/>
  <c r="P97" i="86"/>
  <c r="U97" i="86" s="1"/>
  <c r="S97" i="86" s="1"/>
  <c r="P86" i="86"/>
  <c r="U86" i="86" s="1"/>
  <c r="S86" i="86" s="1"/>
  <c r="H81" i="88"/>
  <c r="E81" i="88"/>
  <c r="F81" i="88"/>
  <c r="Z101" i="88"/>
  <c r="D81" i="88"/>
  <c r="P88" i="95"/>
  <c r="U88" i="95" s="1"/>
  <c r="S88" i="95" s="1"/>
  <c r="P89" i="95"/>
  <c r="U89" i="95" s="1"/>
  <c r="S89" i="95" s="1"/>
  <c r="Z77" i="89"/>
  <c r="P78" i="95"/>
  <c r="U78" i="95" s="1"/>
  <c r="D88" i="96"/>
  <c r="N77" i="98"/>
  <c r="H47" i="109"/>
  <c r="N68" i="105"/>
  <c r="H41" i="106"/>
  <c r="I40" i="106"/>
  <c r="E40" i="106"/>
  <c r="D64" i="109"/>
  <c r="H62" i="109"/>
  <c r="D62" i="109"/>
  <c r="F44" i="109"/>
  <c r="G44" i="109"/>
  <c r="F45" i="109"/>
  <c r="H41" i="105"/>
  <c r="F40" i="105"/>
  <c r="G41" i="106"/>
  <c r="H40" i="106"/>
  <c r="I63" i="109"/>
  <c r="G62" i="109"/>
  <c r="F41" i="105"/>
  <c r="N82" i="109"/>
  <c r="H64" i="109"/>
  <c r="F63" i="109"/>
  <c r="I48" i="109"/>
  <c r="Z74" i="111"/>
  <c r="U89" i="86"/>
  <c r="S89" i="86" s="1"/>
  <c r="E56" i="59" l="1"/>
  <c r="H43" i="68"/>
  <c r="F44" i="68"/>
  <c r="D40" i="66"/>
  <c r="P77" i="66" s="1"/>
  <c r="U77" i="66" s="1"/>
  <c r="S77" i="66" s="1"/>
  <c r="D60" i="103"/>
  <c r="G60" i="103"/>
  <c r="G61" i="103"/>
  <c r="H60" i="103"/>
  <c r="H59" i="103" s="1"/>
  <c r="D61" i="103"/>
  <c r="H61" i="103"/>
  <c r="I60" i="103"/>
  <c r="I61" i="103"/>
  <c r="E60" i="103"/>
  <c r="E61" i="103"/>
  <c r="F60" i="103"/>
  <c r="F61" i="103"/>
  <c r="D53" i="103"/>
  <c r="H54" i="103"/>
  <c r="E53" i="103"/>
  <c r="H53" i="103"/>
  <c r="H52" i="103" s="1"/>
  <c r="I54" i="103"/>
  <c r="D54" i="103"/>
  <c r="F53" i="103"/>
  <c r="E54" i="103"/>
  <c r="G54" i="103"/>
  <c r="G53" i="103"/>
  <c r="I53" i="103"/>
  <c r="F54" i="103"/>
  <c r="E41" i="111"/>
  <c r="I41" i="111"/>
  <c r="G42" i="111"/>
  <c r="E43" i="111"/>
  <c r="I43" i="111"/>
  <c r="F41" i="111"/>
  <c r="D42" i="111"/>
  <c r="H42" i="111"/>
  <c r="F43" i="111"/>
  <c r="H43" i="111"/>
  <c r="G41" i="111"/>
  <c r="E42" i="111"/>
  <c r="I42" i="111"/>
  <c r="G43" i="111"/>
  <c r="D41" i="111"/>
  <c r="H41" i="111"/>
  <c r="F42" i="111"/>
  <c r="D43" i="111"/>
  <c r="D45" i="111"/>
  <c r="F45" i="111"/>
  <c r="H46" i="111"/>
  <c r="E46" i="111"/>
  <c r="G45" i="111"/>
  <c r="I46" i="111"/>
  <c r="D46" i="111"/>
  <c r="I45" i="111"/>
  <c r="F46" i="111"/>
  <c r="E45" i="111"/>
  <c r="H45" i="111"/>
  <c r="G46" i="111"/>
  <c r="D50" i="101"/>
  <c r="G50" i="101"/>
  <c r="G51" i="101"/>
  <c r="I50" i="101"/>
  <c r="H51" i="101"/>
  <c r="E50" i="101"/>
  <c r="D51" i="101"/>
  <c r="I51" i="101"/>
  <c r="F50" i="101"/>
  <c r="E51" i="101"/>
  <c r="H50" i="101"/>
  <c r="F51" i="101"/>
  <c r="D48" i="34"/>
  <c r="F48" i="34"/>
  <c r="F47" i="34" s="1"/>
  <c r="E49" i="34"/>
  <c r="I49" i="34"/>
  <c r="G49" i="34"/>
  <c r="D49" i="34"/>
  <c r="G48" i="34"/>
  <c r="G47" i="34" s="1"/>
  <c r="I48" i="34"/>
  <c r="I47" i="34" s="1"/>
  <c r="F49" i="34"/>
  <c r="H49" i="34"/>
  <c r="E48" i="34"/>
  <c r="E47" i="34" s="1"/>
  <c r="H48" i="34"/>
  <c r="D55" i="102"/>
  <c r="E56" i="102"/>
  <c r="G58" i="102"/>
  <c r="I55" i="102"/>
  <c r="G55" i="102"/>
  <c r="F58" i="102"/>
  <c r="H55" i="102"/>
  <c r="I58" i="102"/>
  <c r="H56" i="102"/>
  <c r="P106" i="102" s="1"/>
  <c r="U106" i="102" s="1"/>
  <c r="S106" i="102" s="1"/>
  <c r="E57" i="102"/>
  <c r="E58" i="102"/>
  <c r="F57" i="102"/>
  <c r="D57" i="102"/>
  <c r="D58" i="102"/>
  <c r="I57" i="102"/>
  <c r="E55" i="102"/>
  <c r="H58" i="102"/>
  <c r="H57" i="102"/>
  <c r="G56" i="102"/>
  <c r="F55" i="102"/>
  <c r="I56" i="102"/>
  <c r="G57" i="102"/>
  <c r="D56" i="102"/>
  <c r="P102" i="102" s="1"/>
  <c r="U102" i="102" s="1"/>
  <c r="F56" i="102"/>
  <c r="W21" i="109" a="1"/>
  <c r="W21" i="109" s="1"/>
  <c r="W27" i="109" a="1"/>
  <c r="W27" i="109" s="1"/>
  <c r="W25" i="109" a="1"/>
  <c r="W25" i="109" s="1"/>
  <c r="W15" i="61" a="1"/>
  <c r="W15" i="61" s="1"/>
  <c r="P91" i="57"/>
  <c r="U91" i="57" s="1"/>
  <c r="S91" i="57" s="1"/>
  <c r="E58" i="59"/>
  <c r="G56" i="103"/>
  <c r="G55" i="103" s="1"/>
  <c r="F56" i="103"/>
  <c r="F55" i="103" s="1"/>
  <c r="I56" i="103"/>
  <c r="F57" i="103"/>
  <c r="I57" i="103"/>
  <c r="H57" i="103"/>
  <c r="H58" i="103"/>
  <c r="F58" i="103"/>
  <c r="I58" i="103"/>
  <c r="E56" i="103"/>
  <c r="H56" i="103"/>
  <c r="H55" i="103" s="1"/>
  <c r="E57" i="103"/>
  <c r="E58" i="103"/>
  <c r="D56" i="103"/>
  <c r="D57" i="103"/>
  <c r="G57" i="103"/>
  <c r="D58" i="103"/>
  <c r="W32" i="103" s="1" a="1"/>
  <c r="W32" i="103" s="1"/>
  <c r="G58" i="103"/>
  <c r="D45" i="91"/>
  <c r="E46" i="91"/>
  <c r="D46" i="91"/>
  <c r="G46" i="91"/>
  <c r="D47" i="91"/>
  <c r="G45" i="91"/>
  <c r="F45" i="91"/>
  <c r="I45" i="91"/>
  <c r="F46" i="91"/>
  <c r="G47" i="91"/>
  <c r="F47" i="91"/>
  <c r="I47" i="91"/>
  <c r="E45" i="91"/>
  <c r="H45" i="91"/>
  <c r="I46" i="91"/>
  <c r="H46" i="91"/>
  <c r="E47" i="91"/>
  <c r="H47" i="91"/>
  <c r="D48" i="111"/>
  <c r="G48" i="111"/>
  <c r="I49" i="111"/>
  <c r="D49" i="111"/>
  <c r="F50" i="111"/>
  <c r="F48" i="111"/>
  <c r="H49" i="111"/>
  <c r="E49" i="111"/>
  <c r="G50" i="111"/>
  <c r="G49" i="111"/>
  <c r="D50" i="111"/>
  <c r="I50" i="111"/>
  <c r="E48" i="111"/>
  <c r="H48" i="111"/>
  <c r="I48" i="111"/>
  <c r="F49" i="111"/>
  <c r="H50" i="111"/>
  <c r="E50" i="111"/>
  <c r="D47" i="101"/>
  <c r="E47" i="101"/>
  <c r="D48" i="101"/>
  <c r="I48" i="101"/>
  <c r="F47" i="101"/>
  <c r="E48" i="101"/>
  <c r="G47" i="101"/>
  <c r="G48" i="101"/>
  <c r="I47" i="101"/>
  <c r="H48" i="101"/>
  <c r="H47" i="101"/>
  <c r="F48" i="101"/>
  <c r="D41" i="101"/>
  <c r="D40" i="101" s="1"/>
  <c r="E42" i="101"/>
  <c r="F41" i="101"/>
  <c r="H42" i="101"/>
  <c r="G41" i="101"/>
  <c r="I42" i="101"/>
  <c r="D42" i="101"/>
  <c r="E41" i="101"/>
  <c r="E40" i="101" s="1"/>
  <c r="G42" i="101"/>
  <c r="H41" i="101"/>
  <c r="F42" i="101"/>
  <c r="I41" i="101"/>
  <c r="D51" i="34"/>
  <c r="I62" i="34"/>
  <c r="E60" i="34"/>
  <c r="G57" i="34"/>
  <c r="I54" i="34"/>
  <c r="E52" i="34"/>
  <c r="D62" i="34"/>
  <c r="F59" i="34"/>
  <c r="H56" i="34"/>
  <c r="D54" i="34"/>
  <c r="F51" i="34"/>
  <c r="I61" i="34"/>
  <c r="E59" i="34"/>
  <c r="G56" i="34"/>
  <c r="I53" i="34"/>
  <c r="E51" i="34"/>
  <c r="H61" i="34"/>
  <c r="D59" i="34"/>
  <c r="F56" i="34"/>
  <c r="H53" i="34"/>
  <c r="E62" i="34"/>
  <c r="G59" i="34"/>
  <c r="I56" i="34"/>
  <c r="E54" i="34"/>
  <c r="G51" i="34"/>
  <c r="F61" i="34"/>
  <c r="H58" i="34"/>
  <c r="D56" i="34"/>
  <c r="F53" i="34"/>
  <c r="I63" i="34"/>
  <c r="E61" i="34"/>
  <c r="G58" i="34"/>
  <c r="I55" i="34"/>
  <c r="E53" i="34"/>
  <c r="H63" i="34"/>
  <c r="D61" i="34"/>
  <c r="F58" i="34"/>
  <c r="H55" i="34"/>
  <c r="D53" i="34"/>
  <c r="G61" i="34"/>
  <c r="I58" i="34"/>
  <c r="E56" i="34"/>
  <c r="G53" i="34"/>
  <c r="F63" i="34"/>
  <c r="H60" i="34"/>
  <c r="D58" i="34"/>
  <c r="F55" i="34"/>
  <c r="H52" i="34"/>
  <c r="E63" i="34"/>
  <c r="G60" i="34"/>
  <c r="I57" i="34"/>
  <c r="E55" i="34"/>
  <c r="G52" i="34"/>
  <c r="D63" i="34"/>
  <c r="F60" i="34"/>
  <c r="H57" i="34"/>
  <c r="D55" i="34"/>
  <c r="F52" i="34"/>
  <c r="G63" i="34"/>
  <c r="I60" i="34"/>
  <c r="E58" i="34"/>
  <c r="G55" i="34"/>
  <c r="I52" i="34"/>
  <c r="H62" i="34"/>
  <c r="D60" i="34"/>
  <c r="F57" i="34"/>
  <c r="H54" i="34"/>
  <c r="D52" i="34"/>
  <c r="G62" i="34"/>
  <c r="I59" i="34"/>
  <c r="E57" i="34"/>
  <c r="G54" i="34"/>
  <c r="I51" i="34"/>
  <c r="I50" i="34" s="1"/>
  <c r="F62" i="34"/>
  <c r="H59" i="34"/>
  <c r="D57" i="34"/>
  <c r="F54" i="34"/>
  <c r="H51" i="34"/>
  <c r="D65" i="102"/>
  <c r="I68" i="102"/>
  <c r="E66" i="102"/>
  <c r="F67" i="102"/>
  <c r="G68" i="102"/>
  <c r="I65" i="102"/>
  <c r="D67" i="102"/>
  <c r="G67" i="102"/>
  <c r="H68" i="102"/>
  <c r="D66" i="102"/>
  <c r="E67" i="102"/>
  <c r="F68" i="102"/>
  <c r="H65" i="102"/>
  <c r="E68" i="102"/>
  <c r="G65" i="102"/>
  <c r="H66" i="102"/>
  <c r="I67" i="102"/>
  <c r="E65" i="102"/>
  <c r="F66" i="102"/>
  <c r="D68" i="102"/>
  <c r="I66" i="102"/>
  <c r="F65" i="102"/>
  <c r="G66" i="102"/>
  <c r="H67" i="102"/>
  <c r="D73" i="102"/>
  <c r="H74" i="102"/>
  <c r="E73" i="102"/>
  <c r="E72" i="102" s="1"/>
  <c r="H73" i="102"/>
  <c r="I74" i="102"/>
  <c r="G74" i="102"/>
  <c r="D74" i="102"/>
  <c r="F73" i="102"/>
  <c r="E74" i="102"/>
  <c r="G73" i="102"/>
  <c r="I73" i="102"/>
  <c r="F74" i="102"/>
  <c r="W24" i="109" a="1"/>
  <c r="W24" i="109" s="1"/>
  <c r="W20" i="109" a="1"/>
  <c r="W20" i="109" s="1"/>
  <c r="I49" i="82"/>
  <c r="H45" i="82"/>
  <c r="G44" i="82"/>
  <c r="H50" i="82"/>
  <c r="E46" i="82"/>
  <c r="E51" i="82"/>
  <c r="H46" i="82"/>
  <c r="E44" i="82"/>
  <c r="D47" i="82"/>
  <c r="F51" i="82"/>
  <c r="H44" i="82"/>
  <c r="E49" i="82"/>
  <c r="D45" i="82"/>
  <c r="G50" i="82"/>
  <c r="F48" i="82"/>
  <c r="D48" i="82"/>
  <c r="G46" i="82"/>
  <c r="I45" i="82"/>
  <c r="F44" i="82"/>
  <c r="D51" i="82"/>
  <c r="G48" i="82"/>
  <c r="D44" i="82"/>
  <c r="I50" i="82"/>
  <c r="E48" i="82"/>
  <c r="G51" i="82"/>
  <c r="F49" i="82"/>
  <c r="I46" i="82"/>
  <c r="F50" i="82"/>
  <c r="I51" i="82"/>
  <c r="F47" i="82"/>
  <c r="I44" i="82"/>
  <c r="H47" i="82"/>
  <c r="F45" i="82"/>
  <c r="G45" i="82"/>
  <c r="E45" i="82"/>
  <c r="H48" i="82"/>
  <c r="H49" i="82"/>
  <c r="D49" i="82"/>
  <c r="G49" i="82"/>
  <c r="E47" i="82"/>
  <c r="I48" i="82"/>
  <c r="D50" i="82"/>
  <c r="G47" i="82"/>
  <c r="H51" i="82"/>
  <c r="I47" i="82"/>
  <c r="D46" i="82"/>
  <c r="F46" i="82"/>
  <c r="E50" i="82"/>
  <c r="N91" i="80"/>
  <c r="P95" i="80"/>
  <c r="U95" i="80" s="1"/>
  <c r="S95" i="80" s="1"/>
  <c r="P96" i="80"/>
  <c r="U96" i="80" s="1"/>
  <c r="S96" i="80" s="1"/>
  <c r="P94" i="80"/>
  <c r="U94" i="80" s="1"/>
  <c r="S94" i="80" s="1"/>
  <c r="P97" i="80"/>
  <c r="U97" i="80" s="1"/>
  <c r="S97" i="80" s="1"/>
  <c r="P93" i="80"/>
  <c r="U93" i="80" s="1"/>
  <c r="S93" i="80" s="1"/>
  <c r="Z99" i="80"/>
  <c r="P92" i="80"/>
  <c r="U92" i="80" s="1"/>
  <c r="S92" i="80" s="1"/>
  <c r="P96" i="101"/>
  <c r="U96" i="101" s="1"/>
  <c r="S96" i="101" s="1"/>
  <c r="D48" i="103"/>
  <c r="F48" i="103"/>
  <c r="I48" i="103"/>
  <c r="F50" i="103"/>
  <c r="F49" i="103"/>
  <c r="E50" i="103"/>
  <c r="H50" i="103"/>
  <c r="I49" i="103"/>
  <c r="I50" i="103"/>
  <c r="E48" i="103"/>
  <c r="D49" i="103"/>
  <c r="H48" i="103"/>
  <c r="E49" i="103"/>
  <c r="G50" i="103"/>
  <c r="H49" i="103"/>
  <c r="G49" i="103"/>
  <c r="G48" i="103"/>
  <c r="D50" i="103"/>
  <c r="D42" i="91"/>
  <c r="E43" i="91"/>
  <c r="F42" i="91"/>
  <c r="F43" i="91"/>
  <c r="G42" i="91"/>
  <c r="G43" i="91"/>
  <c r="H42" i="91"/>
  <c r="D43" i="91"/>
  <c r="H43" i="91"/>
  <c r="I42" i="91"/>
  <c r="I43" i="91"/>
  <c r="E42" i="91"/>
  <c r="D55" i="111"/>
  <c r="H56" i="111"/>
  <c r="G56" i="111"/>
  <c r="H55" i="111"/>
  <c r="H54" i="111" s="1"/>
  <c r="I56" i="111"/>
  <c r="F55" i="111"/>
  <c r="E55" i="111"/>
  <c r="D56" i="111"/>
  <c r="I55" i="111"/>
  <c r="I54" i="111" s="1"/>
  <c r="G55" i="111"/>
  <c r="E56" i="111"/>
  <c r="F56" i="111"/>
  <c r="D36" i="101"/>
  <c r="F36" i="101"/>
  <c r="P69" i="101" s="1"/>
  <c r="U69" i="101" s="1"/>
  <c r="S69" i="101" s="1"/>
  <c r="H37" i="101"/>
  <c r="P79" i="101" s="1"/>
  <c r="U79" i="101" s="1"/>
  <c r="S79" i="101" s="1"/>
  <c r="D39" i="101"/>
  <c r="P91" i="101" s="1"/>
  <c r="U91" i="101" s="1"/>
  <c r="S91" i="101" s="1"/>
  <c r="G36" i="101"/>
  <c r="P70" i="101" s="1"/>
  <c r="U70" i="101" s="1"/>
  <c r="S70" i="101" s="1"/>
  <c r="I37" i="101"/>
  <c r="P80" i="101" s="1"/>
  <c r="U80" i="101" s="1"/>
  <c r="S80" i="101" s="1"/>
  <c r="E39" i="101"/>
  <c r="P92" i="101" s="1"/>
  <c r="U92" i="101" s="1"/>
  <c r="S92" i="101" s="1"/>
  <c r="D37" i="101"/>
  <c r="F38" i="101"/>
  <c r="P85" i="101" s="1"/>
  <c r="U85" i="101" s="1"/>
  <c r="S85" i="101" s="1"/>
  <c r="H39" i="101"/>
  <c r="P95" i="101" s="1"/>
  <c r="U95" i="101" s="1"/>
  <c r="S95" i="101" s="1"/>
  <c r="I39" i="101"/>
  <c r="G38" i="101"/>
  <c r="P86" i="101" s="1"/>
  <c r="U86" i="101" s="1"/>
  <c r="S86" i="101" s="1"/>
  <c r="E37" i="101"/>
  <c r="P76" i="101" s="1"/>
  <c r="U76" i="101" s="1"/>
  <c r="S76" i="101" s="1"/>
  <c r="I38" i="101"/>
  <c r="P88" i="101" s="1"/>
  <c r="U88" i="101" s="1"/>
  <c r="S88" i="101" s="1"/>
  <c r="E36" i="101"/>
  <c r="P68" i="101" s="1"/>
  <c r="U68" i="101" s="1"/>
  <c r="S68" i="101" s="1"/>
  <c r="F37" i="101"/>
  <c r="G37" i="101"/>
  <c r="P78" i="101" s="1"/>
  <c r="U78" i="101" s="1"/>
  <c r="S78" i="101" s="1"/>
  <c r="H38" i="101"/>
  <c r="G39" i="101"/>
  <c r="P94" i="101" s="1"/>
  <c r="U94" i="101" s="1"/>
  <c r="S94" i="101" s="1"/>
  <c r="I36" i="101"/>
  <c r="D38" i="101"/>
  <c r="P83" i="101" s="1"/>
  <c r="U83" i="101" s="1"/>
  <c r="S83" i="101" s="1"/>
  <c r="E38" i="101"/>
  <c r="P84" i="101" s="1"/>
  <c r="U84" i="101" s="1"/>
  <c r="S84" i="101" s="1"/>
  <c r="F39" i="101"/>
  <c r="H36" i="101"/>
  <c r="P71" i="101" s="1"/>
  <c r="U71" i="101" s="1"/>
  <c r="S71" i="101" s="1"/>
  <c r="F70" i="73"/>
  <c r="I72" i="73"/>
  <c r="E70" i="73"/>
  <c r="G67" i="73"/>
  <c r="I71" i="73"/>
  <c r="E69" i="73"/>
  <c r="G66" i="73"/>
  <c r="F68" i="73"/>
  <c r="F71" i="73"/>
  <c r="H68" i="73"/>
  <c r="D69" i="73"/>
  <c r="E72" i="73"/>
  <c r="G69" i="73"/>
  <c r="I66" i="73"/>
  <c r="E71" i="73"/>
  <c r="G68" i="73"/>
  <c r="F72" i="73"/>
  <c r="D67" i="73"/>
  <c r="H70" i="73"/>
  <c r="D68" i="73"/>
  <c r="H67" i="73"/>
  <c r="G71" i="73"/>
  <c r="I68" i="73"/>
  <c r="E66" i="73"/>
  <c r="G70" i="73"/>
  <c r="I67" i="73"/>
  <c r="D71" i="73"/>
  <c r="H72" i="73"/>
  <c r="D70" i="73"/>
  <c r="F67" i="73"/>
  <c r="D66" i="73"/>
  <c r="H71" i="73"/>
  <c r="I70" i="73"/>
  <c r="E68" i="73"/>
  <c r="G72" i="73"/>
  <c r="I69" i="73"/>
  <c r="E67" i="73"/>
  <c r="H69" i="73"/>
  <c r="D72" i="73"/>
  <c r="F69" i="73"/>
  <c r="F66" i="73"/>
  <c r="H66" i="73"/>
  <c r="H65" i="73" s="1"/>
  <c r="D75" i="63"/>
  <c r="D70" i="102"/>
  <c r="G71" i="102"/>
  <c r="G70" i="102"/>
  <c r="H71" i="102"/>
  <c r="E70" i="102"/>
  <c r="F71" i="102"/>
  <c r="E71" i="102"/>
  <c r="I70" i="102"/>
  <c r="D71" i="102"/>
  <c r="F70" i="102"/>
  <c r="I71" i="102"/>
  <c r="H70" i="102"/>
  <c r="D60" i="102"/>
  <c r="I61" i="102"/>
  <c r="F60" i="102"/>
  <c r="G61" i="102"/>
  <c r="G62" i="102"/>
  <c r="D61" i="102"/>
  <c r="F61" i="102"/>
  <c r="D63" i="102"/>
  <c r="I62" i="102"/>
  <c r="E60" i="102"/>
  <c r="H63" i="102"/>
  <c r="H62" i="102"/>
  <c r="G60" i="102"/>
  <c r="G63" i="102"/>
  <c r="I60" i="102"/>
  <c r="E61" i="102"/>
  <c r="F63" i="102"/>
  <c r="H60" i="102"/>
  <c r="E63" i="102"/>
  <c r="F62" i="102"/>
  <c r="E62" i="102"/>
  <c r="I63" i="102"/>
  <c r="H61" i="102"/>
  <c r="D62" i="102"/>
  <c r="D63" i="82"/>
  <c r="H62" i="82"/>
  <c r="G62" i="82"/>
  <c r="F62" i="82"/>
  <c r="I63" i="82"/>
  <c r="D62" i="82"/>
  <c r="F63" i="82"/>
  <c r="H63" i="82"/>
  <c r="I62" i="82"/>
  <c r="E63" i="82"/>
  <c r="E62" i="82"/>
  <c r="G63" i="82"/>
  <c r="E34" i="68"/>
  <c r="D55" i="76"/>
  <c r="D43" i="81"/>
  <c r="G42" i="81"/>
  <c r="F42" i="81"/>
  <c r="G44" i="103"/>
  <c r="D45" i="103"/>
  <c r="G45" i="103"/>
  <c r="D46" i="103"/>
  <c r="G46" i="103"/>
  <c r="I46" i="103"/>
  <c r="H44" i="103"/>
  <c r="F44" i="103"/>
  <c r="I44" i="103"/>
  <c r="F45" i="103"/>
  <c r="I45" i="103"/>
  <c r="F46" i="103"/>
  <c r="E44" i="103"/>
  <c r="E45" i="103"/>
  <c r="H45" i="103"/>
  <c r="E46" i="103"/>
  <c r="H46" i="103"/>
  <c r="D44" i="103"/>
  <c r="D63" i="103"/>
  <c r="E64" i="103"/>
  <c r="I63" i="103"/>
  <c r="F64" i="103"/>
  <c r="G63" i="103"/>
  <c r="H64" i="103"/>
  <c r="E63" i="103"/>
  <c r="H63" i="103"/>
  <c r="F63" i="103"/>
  <c r="I64" i="103"/>
  <c r="G64" i="103"/>
  <c r="D64" i="103"/>
  <c r="W38" i="103" s="1" a="1"/>
  <c r="W38" i="103" s="1"/>
  <c r="D52" i="111"/>
  <c r="F52" i="111"/>
  <c r="H53" i="111"/>
  <c r="G52" i="111"/>
  <c r="I53" i="111"/>
  <c r="E53" i="111"/>
  <c r="D53" i="111"/>
  <c r="F53" i="111"/>
  <c r="I52" i="111"/>
  <c r="G53" i="111"/>
  <c r="H52" i="111"/>
  <c r="E52" i="111"/>
  <c r="D58" i="111"/>
  <c r="E59" i="111"/>
  <c r="I59" i="111"/>
  <c r="G58" i="111"/>
  <c r="F58" i="111"/>
  <c r="F59" i="111"/>
  <c r="H59" i="111"/>
  <c r="I58" i="111"/>
  <c r="G59" i="111"/>
  <c r="H58" i="111"/>
  <c r="H57" i="111" s="1"/>
  <c r="E58" i="111"/>
  <c r="D59" i="111"/>
  <c r="D44" i="101"/>
  <c r="D45" i="101"/>
  <c r="E45" i="101"/>
  <c r="F44" i="101"/>
  <c r="H45" i="101"/>
  <c r="I45" i="101"/>
  <c r="G44" i="101"/>
  <c r="F45" i="101"/>
  <c r="I44" i="101"/>
  <c r="E44" i="101"/>
  <c r="E43" i="101" s="1"/>
  <c r="G45" i="101"/>
  <c r="H44" i="101"/>
  <c r="D52" i="73"/>
  <c r="D55" i="73"/>
  <c r="W21" i="73" s="1" a="1"/>
  <c r="W21" i="73" s="1"/>
  <c r="H57" i="73"/>
  <c r="G51" i="73"/>
  <c r="P79" i="73" s="1"/>
  <c r="U79" i="73" s="1"/>
  <c r="S79" i="73" s="1"/>
  <c r="D54" i="73"/>
  <c r="G56" i="73"/>
  <c r="F50" i="73"/>
  <c r="D53" i="73"/>
  <c r="F55" i="73"/>
  <c r="D58" i="73"/>
  <c r="E51" i="73"/>
  <c r="P77" i="73" s="1"/>
  <c r="U77" i="73" s="1"/>
  <c r="I53" i="73"/>
  <c r="I56" i="73"/>
  <c r="F53" i="73"/>
  <c r="I52" i="73"/>
  <c r="I57" i="73"/>
  <c r="E54" i="73"/>
  <c r="D50" i="73"/>
  <c r="G55" i="73"/>
  <c r="H52" i="73"/>
  <c r="H55" i="73"/>
  <c r="F58" i="73"/>
  <c r="E52" i="73"/>
  <c r="H54" i="73"/>
  <c r="E57" i="73"/>
  <c r="D51" i="73"/>
  <c r="H53" i="73"/>
  <c r="D56" i="73"/>
  <c r="H58" i="73"/>
  <c r="I51" i="73"/>
  <c r="P81" i="73" s="1"/>
  <c r="U81" i="73" s="1"/>
  <c r="S81" i="73" s="1"/>
  <c r="F54" i="73"/>
  <c r="G57" i="73"/>
  <c r="H50" i="73"/>
  <c r="E50" i="73"/>
  <c r="E55" i="73"/>
  <c r="H51" i="73"/>
  <c r="P80" i="73" s="1"/>
  <c r="U80" i="73" s="1"/>
  <c r="S80" i="73" s="1"/>
  <c r="H56" i="73"/>
  <c r="G52" i="73"/>
  <c r="P87" i="73" s="1"/>
  <c r="U87" i="73" s="1"/>
  <c r="S87" i="73" s="1"/>
  <c r="E58" i="73"/>
  <c r="F51" i="73"/>
  <c r="P78" i="73" s="1"/>
  <c r="U78" i="73" s="1"/>
  <c r="S78" i="73" s="1"/>
  <c r="G54" i="73"/>
  <c r="D57" i="73"/>
  <c r="I50" i="73"/>
  <c r="G53" i="73"/>
  <c r="I55" i="73"/>
  <c r="G58" i="73"/>
  <c r="F52" i="73"/>
  <c r="I54" i="73"/>
  <c r="F57" i="73"/>
  <c r="G50" i="73"/>
  <c r="E53" i="73"/>
  <c r="E56" i="73"/>
  <c r="I58" i="73"/>
  <c r="F56" i="73"/>
  <c r="G52" i="102"/>
  <c r="P81" i="102" s="1"/>
  <c r="U81" i="102" s="1"/>
  <c r="S81" i="102" s="1"/>
  <c r="G50" i="102"/>
  <c r="P65" i="102" s="1"/>
  <c r="U65" i="102" s="1"/>
  <c r="S65" i="102" s="1"/>
  <c r="I51" i="102"/>
  <c r="P75" i="102" s="1"/>
  <c r="U75" i="102" s="1"/>
  <c r="S75" i="102" s="1"/>
  <c r="H50" i="102"/>
  <c r="H52" i="102"/>
  <c r="P82" i="102" s="1"/>
  <c r="U82" i="102" s="1"/>
  <c r="S82" i="102" s="1"/>
  <c r="D50" i="102"/>
  <c r="P62" i="102" s="1"/>
  <c r="U62" i="102" s="1"/>
  <c r="S62" i="102" s="1"/>
  <c r="F51" i="102"/>
  <c r="P72" i="102" s="1"/>
  <c r="U72" i="102" s="1"/>
  <c r="S72" i="102" s="1"/>
  <c r="E51" i="102"/>
  <c r="P71" i="102" s="1"/>
  <c r="U71" i="102" s="1"/>
  <c r="S71" i="102" s="1"/>
  <c r="H51" i="102"/>
  <c r="P74" i="102" s="1"/>
  <c r="U74" i="102" s="1"/>
  <c r="S74" i="102" s="1"/>
  <c r="I52" i="102"/>
  <c r="P83" i="102" s="1"/>
  <c r="U83" i="102" s="1"/>
  <c r="S83" i="102" s="1"/>
  <c r="E50" i="102"/>
  <c r="E53" i="102"/>
  <c r="P87" i="102" s="1"/>
  <c r="U87" i="102" s="1"/>
  <c r="S87" i="102" s="1"/>
  <c r="D53" i="102"/>
  <c r="P86" i="102" s="1"/>
  <c r="U86" i="102" s="1"/>
  <c r="S86" i="102" s="1"/>
  <c r="F50" i="102"/>
  <c r="P64" i="102" s="1"/>
  <c r="U64" i="102" s="1"/>
  <c r="S64" i="102" s="1"/>
  <c r="G51" i="102"/>
  <c r="P73" i="102" s="1"/>
  <c r="U73" i="102" s="1"/>
  <c r="S73" i="102" s="1"/>
  <c r="D52" i="102"/>
  <c r="P78" i="102" s="1"/>
  <c r="U78" i="102" s="1"/>
  <c r="S78" i="102" s="1"/>
  <c r="H53" i="102"/>
  <c r="P90" i="102" s="1"/>
  <c r="U90" i="102" s="1"/>
  <c r="S90" i="102" s="1"/>
  <c r="D51" i="102"/>
  <c r="P70" i="102" s="1"/>
  <c r="U70" i="102" s="1"/>
  <c r="S70" i="102" s="1"/>
  <c r="E52" i="102"/>
  <c r="P79" i="102" s="1"/>
  <c r="U79" i="102" s="1"/>
  <c r="S79" i="102" s="1"/>
  <c r="F53" i="102"/>
  <c r="P88" i="102" s="1"/>
  <c r="U88" i="102" s="1"/>
  <c r="S88" i="102" s="1"/>
  <c r="F52" i="102"/>
  <c r="P80" i="102" s="1"/>
  <c r="U80" i="102" s="1"/>
  <c r="S80" i="102" s="1"/>
  <c r="I53" i="102"/>
  <c r="P91" i="102" s="1"/>
  <c r="U91" i="102" s="1"/>
  <c r="S91" i="102" s="1"/>
  <c r="G53" i="102"/>
  <c r="P89" i="102" s="1"/>
  <c r="U89" i="102" s="1"/>
  <c r="S89" i="102" s="1"/>
  <c r="I50" i="102"/>
  <c r="H57" i="82"/>
  <c r="D56" i="82"/>
  <c r="G56" i="82"/>
  <c r="D60" i="82"/>
  <c r="F56" i="82"/>
  <c r="I59" i="82"/>
  <c r="E58" i="82"/>
  <c r="F54" i="82"/>
  <c r="I57" i="82"/>
  <c r="E54" i="82"/>
  <c r="F60" i="82"/>
  <c r="E53" i="82"/>
  <c r="H56" i="82"/>
  <c r="E57" i="82"/>
  <c r="D58" i="82"/>
  <c r="E60" i="82"/>
  <c r="D55" i="82"/>
  <c r="E55" i="82"/>
  <c r="F53" i="82"/>
  <c r="I54" i="82"/>
  <c r="H55" i="82"/>
  <c r="E59" i="82"/>
  <c r="I56" i="82"/>
  <c r="D59" i="82"/>
  <c r="H54" i="82"/>
  <c r="F59" i="82"/>
  <c r="D57" i="82"/>
  <c r="G60" i="82"/>
  <c r="G59" i="82"/>
  <c r="G58" i="82"/>
  <c r="I60" i="82"/>
  <c r="H58" i="82"/>
  <c r="F58" i="82"/>
  <c r="D54" i="82"/>
  <c r="I55" i="82"/>
  <c r="I53" i="82"/>
  <c r="F57" i="82"/>
  <c r="G57" i="82"/>
  <c r="D53" i="82"/>
  <c r="H59" i="82"/>
  <c r="F55" i="82"/>
  <c r="G53" i="82"/>
  <c r="G55" i="82"/>
  <c r="E56" i="82"/>
  <c r="H53" i="82"/>
  <c r="H60" i="82"/>
  <c r="G54" i="82"/>
  <c r="I58" i="82"/>
  <c r="E42" i="72"/>
  <c r="F40" i="25"/>
  <c r="F34" i="25"/>
  <c r="P74" i="25"/>
  <c r="U74" i="25" s="1"/>
  <c r="S74" i="25" s="1"/>
  <c r="E34" i="25"/>
  <c r="P58" i="25"/>
  <c r="U58" i="25" s="1"/>
  <c r="S58" i="25" s="1"/>
  <c r="H34" i="25"/>
  <c r="P59" i="25"/>
  <c r="U59" i="25" s="1"/>
  <c r="S59" i="25" s="1"/>
  <c r="I34" i="25"/>
  <c r="P73" i="25"/>
  <c r="U73" i="25" s="1"/>
  <c r="S73" i="25" s="1"/>
  <c r="I40" i="25"/>
  <c r="H40" i="25"/>
  <c r="E26" i="35"/>
  <c r="W18" i="35" a="1"/>
  <c r="W18" i="35" s="1"/>
  <c r="H26" i="35"/>
  <c r="H24" i="35"/>
  <c r="P42" i="35"/>
  <c r="U42" i="35" s="1"/>
  <c r="S42" i="35" s="1"/>
  <c r="P40" i="35"/>
  <c r="U40" i="35" s="1"/>
  <c r="S40" i="35" s="1"/>
  <c r="F24" i="35"/>
  <c r="W19" i="35" a="1"/>
  <c r="W19" i="35" s="1"/>
  <c r="P50" i="35"/>
  <c r="U50" i="35" s="1"/>
  <c r="S50" i="35" s="1"/>
  <c r="W16" i="35" a="1"/>
  <c r="W16" i="35" s="1"/>
  <c r="W15" i="35" s="1"/>
  <c r="I24" i="35"/>
  <c r="P43" i="35"/>
  <c r="U43" i="35" s="1"/>
  <c r="S43" i="35" s="1"/>
  <c r="G24" i="35"/>
  <c r="P41" i="35"/>
  <c r="U41" i="35" s="1"/>
  <c r="S41" i="35" s="1"/>
  <c r="W22" i="35" a="1"/>
  <c r="W22" i="35" s="1"/>
  <c r="W21" i="35" s="1"/>
  <c r="W20" i="35" a="1"/>
  <c r="W20" i="35" s="1"/>
  <c r="P51" i="35"/>
  <c r="U51" i="35" s="1"/>
  <c r="S51" i="35" s="1"/>
  <c r="I26" i="35"/>
  <c r="G26" i="35"/>
  <c r="P49" i="35"/>
  <c r="U49" i="35" s="1"/>
  <c r="S49" i="35" s="1"/>
  <c r="P71" i="35"/>
  <c r="U71" i="35" s="1"/>
  <c r="S71" i="35" s="1"/>
  <c r="P72" i="35"/>
  <c r="U72" i="35" s="1"/>
  <c r="S72" i="35" s="1"/>
  <c r="N69" i="35"/>
  <c r="P73" i="35"/>
  <c r="U73" i="35" s="1"/>
  <c r="S73" i="35" s="1"/>
  <c r="P75" i="35"/>
  <c r="U75" i="35" s="1"/>
  <c r="S75" i="35" s="1"/>
  <c r="P70" i="35"/>
  <c r="U70" i="35" s="1"/>
  <c r="S70" i="35" s="1"/>
  <c r="P74" i="35"/>
  <c r="U74" i="35" s="1"/>
  <c r="S74" i="35" s="1"/>
  <c r="P62" i="35"/>
  <c r="U62" i="35" s="1"/>
  <c r="S62" i="35" s="1"/>
  <c r="S68" i="35" s="1"/>
  <c r="F26" i="35"/>
  <c r="D26" i="35"/>
  <c r="W24" i="121" a="1"/>
  <c r="W24" i="121" s="1"/>
  <c r="W23" i="121" s="1"/>
  <c r="P70" i="66"/>
  <c r="U70" i="66" s="1"/>
  <c r="S70" i="66" s="1"/>
  <c r="W20" i="66" a="1"/>
  <c r="W20" i="66" s="1"/>
  <c r="W19" i="66" s="1"/>
  <c r="P61" i="66"/>
  <c r="U61" i="66" s="1"/>
  <c r="S61" i="66" s="1"/>
  <c r="F40" i="66"/>
  <c r="P79" i="66" s="1"/>
  <c r="U79" i="66" s="1"/>
  <c r="S79" i="66" s="1"/>
  <c r="H40" i="66"/>
  <c r="P81" i="66" s="1"/>
  <c r="U81" i="66" s="1"/>
  <c r="S81" i="66" s="1"/>
  <c r="F41" i="66"/>
  <c r="P80" i="66"/>
  <c r="U80" i="66" s="1"/>
  <c r="S80" i="66" s="1"/>
  <c r="G41" i="66"/>
  <c r="P88" i="66" s="1"/>
  <c r="U88" i="66" s="1"/>
  <c r="S88" i="66" s="1"/>
  <c r="D41" i="66"/>
  <c r="P85" i="66" s="1"/>
  <c r="U85" i="66" s="1"/>
  <c r="S85" i="66" s="1"/>
  <c r="I40" i="66"/>
  <c r="I41" i="66"/>
  <c r="P90" i="66" s="1"/>
  <c r="U90" i="66" s="1"/>
  <c r="S90" i="66" s="1"/>
  <c r="H41" i="66"/>
  <c r="P89" i="66" s="1"/>
  <c r="U89" i="66" s="1"/>
  <c r="S89" i="66" s="1"/>
  <c r="E40" i="66"/>
  <c r="E41" i="66"/>
  <c r="P86" i="66" s="1"/>
  <c r="U86" i="66" s="1"/>
  <c r="S86" i="66" s="1"/>
  <c r="I32" i="66"/>
  <c r="E35" i="66"/>
  <c r="P62" i="66"/>
  <c r="U62" i="66" s="1"/>
  <c r="S62" i="66" s="1"/>
  <c r="E32" i="66"/>
  <c r="P69" i="66"/>
  <c r="U69" i="66" s="1"/>
  <c r="S69" i="66" s="1"/>
  <c r="D37" i="66"/>
  <c r="W22" i="66" a="1"/>
  <c r="W22" i="66" s="1"/>
  <c r="W21" i="66" s="1"/>
  <c r="G35" i="66"/>
  <c r="P64" i="66"/>
  <c r="U64" i="66" s="1"/>
  <c r="S64" i="66" s="1"/>
  <c r="G32" i="66"/>
  <c r="P48" i="66"/>
  <c r="U48" i="66" s="1"/>
  <c r="S48" i="66" s="1"/>
  <c r="H37" i="66"/>
  <c r="P73" i="66"/>
  <c r="U73" i="66" s="1"/>
  <c r="S73" i="66" s="1"/>
  <c r="F32" i="66"/>
  <c r="P47" i="66"/>
  <c r="U47" i="66" s="1"/>
  <c r="S47" i="66" s="1"/>
  <c r="W18" i="66" a="1"/>
  <c r="W18" i="66" s="1"/>
  <c r="P66" i="66"/>
  <c r="U66" i="66" s="1"/>
  <c r="S66" i="66" s="1"/>
  <c r="W17" i="66" a="1"/>
  <c r="W17" i="66" s="1"/>
  <c r="G57" i="111"/>
  <c r="D54" i="111"/>
  <c r="I67" i="109"/>
  <c r="E67" i="109"/>
  <c r="G66" i="109"/>
  <c r="H67" i="109"/>
  <c r="D67" i="109"/>
  <c r="W36" i="109" s="1" a="1"/>
  <c r="W36" i="109" s="1"/>
  <c r="F66" i="109"/>
  <c r="G67" i="109"/>
  <c r="I66" i="109"/>
  <c r="E66" i="109"/>
  <c r="F67" i="109"/>
  <c r="H66" i="109"/>
  <c r="H65" i="109" s="1"/>
  <c r="D66" i="109"/>
  <c r="E44" i="109"/>
  <c r="P76" i="109" s="1"/>
  <c r="U76" i="109" s="1"/>
  <c r="S76" i="109" s="1"/>
  <c r="H45" i="109"/>
  <c r="P87" i="109" s="1"/>
  <c r="U87" i="109" s="1"/>
  <c r="S87" i="109" s="1"/>
  <c r="I44" i="109"/>
  <c r="P80" i="109" s="1"/>
  <c r="U80" i="109" s="1"/>
  <c r="S80" i="109" s="1"/>
  <c r="G45" i="109"/>
  <c r="P86" i="109" s="1"/>
  <c r="U86" i="109" s="1"/>
  <c r="S86" i="109" s="1"/>
  <c r="D45" i="109"/>
  <c r="P83" i="109" s="1"/>
  <c r="U83" i="109" s="1"/>
  <c r="S83" i="109" s="1"/>
  <c r="D48" i="109"/>
  <c r="G47" i="109"/>
  <c r="F47" i="109"/>
  <c r="P93" i="109" s="1"/>
  <c r="U93" i="109" s="1"/>
  <c r="S93" i="109" s="1"/>
  <c r="E48" i="109"/>
  <c r="P100" i="109" s="1"/>
  <c r="U100" i="109" s="1"/>
  <c r="S100" i="109" s="1"/>
  <c r="P84" i="109"/>
  <c r="U84" i="109" s="1"/>
  <c r="S84" i="109" s="1"/>
  <c r="N98" i="109"/>
  <c r="Z106" i="109"/>
  <c r="P107" i="109" s="1"/>
  <c r="U107" i="109" s="1"/>
  <c r="S107" i="109" s="1"/>
  <c r="G68" i="109"/>
  <c r="P57" i="49"/>
  <c r="U57" i="49" s="1"/>
  <c r="S57" i="49" s="1"/>
  <c r="P82" i="49"/>
  <c r="U82" i="49" s="1"/>
  <c r="S82" i="49" s="1"/>
  <c r="P64" i="49"/>
  <c r="U64" i="49" s="1"/>
  <c r="S64" i="49" s="1"/>
  <c r="P83" i="49"/>
  <c r="U83" i="49" s="1"/>
  <c r="S83" i="49" s="1"/>
  <c r="P65" i="49"/>
  <c r="U65" i="49" s="1"/>
  <c r="S65" i="49" s="1"/>
  <c r="P84" i="49"/>
  <c r="U84" i="49" s="1"/>
  <c r="S84" i="49" s="1"/>
  <c r="P79" i="49"/>
  <c r="U79" i="49" s="1"/>
  <c r="S79" i="49" s="1"/>
  <c r="P90" i="49"/>
  <c r="U90" i="49" s="1"/>
  <c r="S90" i="49" s="1"/>
  <c r="P63" i="49"/>
  <c r="U63" i="49" s="1"/>
  <c r="S63" i="49" s="1"/>
  <c r="P107" i="49"/>
  <c r="U107" i="49" s="1"/>
  <c r="S107" i="49" s="1"/>
  <c r="P48" i="49"/>
  <c r="U48" i="49" s="1"/>
  <c r="S48" i="49" s="1"/>
  <c r="P68" i="49"/>
  <c r="U68" i="49" s="1"/>
  <c r="S68" i="49" s="1"/>
  <c r="P88" i="49"/>
  <c r="U88" i="49" s="1"/>
  <c r="S88" i="49" s="1"/>
  <c r="P49" i="49"/>
  <c r="U49" i="49" s="1"/>
  <c r="S49" i="49" s="1"/>
  <c r="P71" i="49"/>
  <c r="U71" i="49" s="1"/>
  <c r="S71" i="49" s="1"/>
  <c r="P89" i="49"/>
  <c r="U89" i="49" s="1"/>
  <c r="S89" i="49" s="1"/>
  <c r="P99" i="49"/>
  <c r="U99" i="49" s="1"/>
  <c r="S99" i="49" s="1"/>
  <c r="P76" i="49"/>
  <c r="U76" i="49" s="1"/>
  <c r="S76" i="49" s="1"/>
  <c r="P67" i="49"/>
  <c r="U67" i="49" s="1"/>
  <c r="S67" i="49" s="1"/>
  <c r="P91" i="49"/>
  <c r="U91" i="49" s="1"/>
  <c r="S91" i="49" s="1"/>
  <c r="P52" i="49"/>
  <c r="U52" i="49" s="1"/>
  <c r="S52" i="49" s="1"/>
  <c r="P74" i="49"/>
  <c r="U74" i="49" s="1"/>
  <c r="S74" i="49" s="1"/>
  <c r="P92" i="49"/>
  <c r="U92" i="49" s="1"/>
  <c r="S92" i="49" s="1"/>
  <c r="P55" i="49"/>
  <c r="U55" i="49" s="1"/>
  <c r="S55" i="49" s="1"/>
  <c r="P75" i="49"/>
  <c r="U75" i="49" s="1"/>
  <c r="S75" i="49" s="1"/>
  <c r="P95" i="49"/>
  <c r="U95" i="49" s="1"/>
  <c r="S95" i="49" s="1"/>
  <c r="P97" i="49"/>
  <c r="U97" i="49" s="1"/>
  <c r="S97" i="49" s="1"/>
  <c r="P58" i="49"/>
  <c r="U58" i="49" s="1"/>
  <c r="S58" i="49" s="1"/>
  <c r="P98" i="49"/>
  <c r="U98" i="49" s="1"/>
  <c r="S98" i="49" s="1"/>
  <c r="P80" i="49"/>
  <c r="U80" i="49" s="1"/>
  <c r="S80" i="49" s="1"/>
  <c r="P73" i="49"/>
  <c r="U73" i="49" s="1"/>
  <c r="S73" i="49" s="1"/>
  <c r="P59" i="49"/>
  <c r="U59" i="49" s="1"/>
  <c r="S59" i="49" s="1"/>
  <c r="P108" i="49"/>
  <c r="U108" i="49" s="1"/>
  <c r="S108" i="49" s="1"/>
  <c r="P103" i="49"/>
  <c r="U103" i="49" s="1"/>
  <c r="S103" i="49" s="1"/>
  <c r="P105" i="49"/>
  <c r="U105" i="49" s="1"/>
  <c r="S105" i="49" s="1"/>
  <c r="P104" i="49"/>
  <c r="U104" i="49" s="1"/>
  <c r="S104" i="49" s="1"/>
  <c r="N102" i="49"/>
  <c r="H34" i="118"/>
  <c r="D34" i="118"/>
  <c r="E34" i="118"/>
  <c r="G34" i="118"/>
  <c r="F34" i="118"/>
  <c r="I34" i="118"/>
  <c r="E36" i="118"/>
  <c r="G36" i="118"/>
  <c r="G35" i="118" s="1"/>
  <c r="H36" i="118"/>
  <c r="H35" i="118" s="1"/>
  <c r="D36" i="118"/>
  <c r="F36" i="118"/>
  <c r="I36" i="118"/>
  <c r="I35" i="118" s="1"/>
  <c r="E30" i="118"/>
  <c r="H30" i="118"/>
  <c r="E31" i="118"/>
  <c r="P57" i="118" s="1"/>
  <c r="U57" i="118" s="1"/>
  <c r="S57" i="118" s="1"/>
  <c r="D30" i="118"/>
  <c r="P48" i="118" s="1"/>
  <c r="U48" i="118" s="1"/>
  <c r="S48" i="118" s="1"/>
  <c r="F31" i="118"/>
  <c r="G30" i="118"/>
  <c r="P51" i="118" s="1"/>
  <c r="U51" i="118" s="1"/>
  <c r="S51" i="118" s="1"/>
  <c r="I31" i="118"/>
  <c r="P61" i="118" s="1"/>
  <c r="U61" i="118" s="1"/>
  <c r="S61" i="118" s="1"/>
  <c r="H31" i="118"/>
  <c r="P60" i="118" s="1"/>
  <c r="U60" i="118" s="1"/>
  <c r="S60" i="118" s="1"/>
  <c r="I30" i="118"/>
  <c r="D31" i="118"/>
  <c r="P56" i="118" s="1"/>
  <c r="U56" i="118" s="1"/>
  <c r="S56" i="118" s="1"/>
  <c r="G31" i="118"/>
  <c r="F30" i="118"/>
  <c r="P50" i="118" s="1"/>
  <c r="U50" i="118" s="1"/>
  <c r="S50" i="118" s="1"/>
  <c r="D29" i="118"/>
  <c r="P53" i="118"/>
  <c r="U53" i="118" s="1"/>
  <c r="S53" i="118" s="1"/>
  <c r="E37" i="118"/>
  <c r="W24" i="118" a="1"/>
  <c r="W24" i="118" s="1"/>
  <c r="E35" i="118"/>
  <c r="P52" i="118"/>
  <c r="U52" i="118" s="1"/>
  <c r="S52" i="118" s="1"/>
  <c r="H29" i="118"/>
  <c r="Z78" i="116"/>
  <c r="E52" i="108"/>
  <c r="G73" i="108"/>
  <c r="D52" i="108"/>
  <c r="H73" i="108"/>
  <c r="D73" i="108"/>
  <c r="F73" i="108"/>
  <c r="D77" i="108" a="1"/>
  <c r="H77" i="108" s="1"/>
  <c r="I73" i="108"/>
  <c r="D32" i="106"/>
  <c r="G32" i="106"/>
  <c r="H32" i="106"/>
  <c r="F32" i="106"/>
  <c r="E32" i="106"/>
  <c r="I32" i="106"/>
  <c r="E34" i="106"/>
  <c r="G33" i="106"/>
  <c r="P67" i="106" s="1"/>
  <c r="U67" i="106" s="1"/>
  <c r="S67" i="106" s="1"/>
  <c r="H33" i="106"/>
  <c r="P68" i="106" s="1"/>
  <c r="U68" i="106" s="1"/>
  <c r="S68" i="106" s="1"/>
  <c r="I34" i="106"/>
  <c r="D33" i="106"/>
  <c r="H34" i="106"/>
  <c r="I35" i="106"/>
  <c r="E33" i="106"/>
  <c r="F34" i="106"/>
  <c r="D36" i="106"/>
  <c r="G34" i="106"/>
  <c r="E36" i="106"/>
  <c r="F35" i="106"/>
  <c r="I33" i="106"/>
  <c r="P69" i="106" s="1"/>
  <c r="U69" i="106" s="1"/>
  <c r="S69" i="106" s="1"/>
  <c r="G35" i="106"/>
  <c r="H36" i="106"/>
  <c r="D34" i="106"/>
  <c r="E35" i="106"/>
  <c r="F36" i="106"/>
  <c r="I36" i="106"/>
  <c r="F33" i="106"/>
  <c r="H35" i="106"/>
  <c r="G36" i="106"/>
  <c r="D35" i="106"/>
  <c r="D38" i="106"/>
  <c r="G38" i="106"/>
  <c r="G37" i="106" s="1"/>
  <c r="H38" i="106"/>
  <c r="F38" i="106"/>
  <c r="F37" i="106" s="1"/>
  <c r="I38" i="106"/>
  <c r="E38" i="106"/>
  <c r="E37" i="106" s="1"/>
  <c r="E30" i="106"/>
  <c r="D30" i="106"/>
  <c r="G30" i="106"/>
  <c r="H30" i="106"/>
  <c r="I30" i="106"/>
  <c r="F30" i="106"/>
  <c r="P60" i="106"/>
  <c r="U60" i="106" s="1"/>
  <c r="S60" i="106" s="1"/>
  <c r="P58" i="106"/>
  <c r="U58" i="106" s="1"/>
  <c r="S58" i="106" s="1"/>
  <c r="P66" i="106"/>
  <c r="U66" i="106" s="1"/>
  <c r="S66" i="106" s="1"/>
  <c r="P59" i="106"/>
  <c r="U59" i="106" s="1"/>
  <c r="S59" i="106" s="1"/>
  <c r="P65" i="106"/>
  <c r="U65" i="106" s="1"/>
  <c r="S65" i="106" s="1"/>
  <c r="D30" i="105"/>
  <c r="I30" i="105"/>
  <c r="E30" i="105"/>
  <c r="G30" i="105"/>
  <c r="H30" i="105"/>
  <c r="F30" i="105"/>
  <c r="D35" i="105"/>
  <c r="G37" i="105"/>
  <c r="D36" i="105"/>
  <c r="G36" i="105"/>
  <c r="I36" i="105"/>
  <c r="F35" i="105"/>
  <c r="P87" i="105" s="1"/>
  <c r="U87" i="105" s="1"/>
  <c r="S87" i="105" s="1"/>
  <c r="F36" i="105"/>
  <c r="E37" i="105"/>
  <c r="E36" i="105"/>
  <c r="G38" i="105"/>
  <c r="I35" i="105"/>
  <c r="G35" i="105"/>
  <c r="F38" i="105"/>
  <c r="H35" i="105"/>
  <c r="P89" i="105" s="1"/>
  <c r="U89" i="105" s="1"/>
  <c r="S89" i="105" s="1"/>
  <c r="H38" i="105"/>
  <c r="I37" i="105"/>
  <c r="E35" i="105"/>
  <c r="P86" i="105" s="1"/>
  <c r="U86" i="105" s="1"/>
  <c r="S86" i="105" s="1"/>
  <c r="D38" i="105"/>
  <c r="H37" i="105"/>
  <c r="I38" i="105"/>
  <c r="F37" i="105"/>
  <c r="E38" i="105"/>
  <c r="H36" i="105"/>
  <c r="D37" i="105"/>
  <c r="G32" i="105"/>
  <c r="P72" i="105" s="1"/>
  <c r="U72" i="105" s="1"/>
  <c r="S72" i="105" s="1"/>
  <c r="E33" i="105"/>
  <c r="P78" i="105" s="1"/>
  <c r="U78" i="105" s="1"/>
  <c r="S78" i="105" s="1"/>
  <c r="I33" i="105"/>
  <c r="P82" i="105" s="1"/>
  <c r="U82" i="105" s="1"/>
  <c r="S82" i="105" s="1"/>
  <c r="D32" i="105"/>
  <c r="H32" i="105"/>
  <c r="P73" i="105" s="1"/>
  <c r="U73" i="105" s="1"/>
  <c r="S73" i="105" s="1"/>
  <c r="F33" i="105"/>
  <c r="P79" i="105" s="1"/>
  <c r="U79" i="105" s="1"/>
  <c r="S79" i="105" s="1"/>
  <c r="E32" i="105"/>
  <c r="P70" i="105" s="1"/>
  <c r="U70" i="105" s="1"/>
  <c r="S70" i="105" s="1"/>
  <c r="I32" i="105"/>
  <c r="G33" i="105"/>
  <c r="F32" i="105"/>
  <c r="P71" i="105" s="1"/>
  <c r="U71" i="105" s="1"/>
  <c r="S71" i="105" s="1"/>
  <c r="D33" i="105"/>
  <c r="P77" i="105" s="1"/>
  <c r="U77" i="105" s="1"/>
  <c r="S77" i="105" s="1"/>
  <c r="H33" i="105"/>
  <c r="P81" i="105" s="1"/>
  <c r="U81" i="105" s="1"/>
  <c r="S81" i="105" s="1"/>
  <c r="H31" i="105"/>
  <c r="Z92" i="105"/>
  <c r="P95" i="105" s="1"/>
  <c r="U95" i="105" s="1"/>
  <c r="S95" i="105" s="1"/>
  <c r="N84" i="105"/>
  <c r="P85" i="105"/>
  <c r="U85" i="105" s="1"/>
  <c r="S85" i="105" s="1"/>
  <c r="P90" i="105"/>
  <c r="U90" i="105" s="1"/>
  <c r="S90" i="105" s="1"/>
  <c r="E34" i="105"/>
  <c r="P69" i="105"/>
  <c r="U69" i="105" s="1"/>
  <c r="S69" i="105" s="1"/>
  <c r="E59" i="103"/>
  <c r="Z86" i="103"/>
  <c r="I59" i="103"/>
  <c r="W39" i="103"/>
  <c r="D59" i="103"/>
  <c r="Z94" i="103"/>
  <c r="P95" i="103" s="1"/>
  <c r="U95" i="103" s="1"/>
  <c r="N86" i="103"/>
  <c r="W21" i="102" a="1"/>
  <c r="W21" i="102" s="1"/>
  <c r="W18" i="102" a="1"/>
  <c r="W18" i="102" s="1"/>
  <c r="G49" i="102"/>
  <c r="D49" i="102"/>
  <c r="F49" i="102"/>
  <c r="W20" i="102" a="1"/>
  <c r="W20" i="102" s="1"/>
  <c r="W42" i="102" a="1"/>
  <c r="W42" i="102" s="1"/>
  <c r="W19" i="102" a="1"/>
  <c r="W19" i="102" s="1"/>
  <c r="F72" i="102"/>
  <c r="H72" i="102"/>
  <c r="G72" i="102"/>
  <c r="H75" i="102"/>
  <c r="G59" i="102"/>
  <c r="W30" i="102" a="1"/>
  <c r="W30" i="102" s="1"/>
  <c r="I59" i="102"/>
  <c r="I72" i="102"/>
  <c r="D72" i="102"/>
  <c r="P97" i="102"/>
  <c r="U97" i="102" s="1"/>
  <c r="S97" i="102" s="1"/>
  <c r="W26" i="102" a="1"/>
  <c r="W26" i="102" s="1"/>
  <c r="P98" i="102"/>
  <c r="U98" i="102" s="1"/>
  <c r="S98" i="102" s="1"/>
  <c r="P103" i="102"/>
  <c r="U103" i="102" s="1"/>
  <c r="S103" i="102" s="1"/>
  <c r="W25" i="102" a="1"/>
  <c r="W25" i="102" s="1"/>
  <c r="W23" i="102" a="1"/>
  <c r="W23" i="102" s="1"/>
  <c r="P94" i="102"/>
  <c r="U94" i="102" s="1"/>
  <c r="S94" i="102" s="1"/>
  <c r="I40" i="101"/>
  <c r="P77" i="101"/>
  <c r="U77" i="101" s="1"/>
  <c r="S77" i="101" s="1"/>
  <c r="E49" i="101"/>
  <c r="G35" i="101"/>
  <c r="E35" i="101"/>
  <c r="D35" i="101"/>
  <c r="P67" i="101"/>
  <c r="U67" i="101" s="1"/>
  <c r="S67" i="101" s="1"/>
  <c r="W13" i="101" a="1"/>
  <c r="W13" i="101" s="1"/>
  <c r="D81" i="98"/>
  <c r="N85" i="98"/>
  <c r="D55" i="96"/>
  <c r="D56" i="96"/>
  <c r="F57" i="96"/>
  <c r="H58" i="96"/>
  <c r="P101" i="96" s="1"/>
  <c r="U101" i="96" s="1"/>
  <c r="S101" i="96" s="1"/>
  <c r="D60" i="96"/>
  <c r="H56" i="96"/>
  <c r="D58" i="96"/>
  <c r="F59" i="96"/>
  <c r="P107" i="96" s="1"/>
  <c r="U107" i="96" s="1"/>
  <c r="S107" i="96" s="1"/>
  <c r="G55" i="96"/>
  <c r="I56" i="96"/>
  <c r="E58" i="96"/>
  <c r="G59" i="96"/>
  <c r="P108" i="96" s="1"/>
  <c r="U108" i="96" s="1"/>
  <c r="S108" i="96" s="1"/>
  <c r="I60" i="96"/>
  <c r="E56" i="96"/>
  <c r="G57" i="96"/>
  <c r="I58" i="96"/>
  <c r="P102" i="96" s="1"/>
  <c r="U102" i="96" s="1"/>
  <c r="S102" i="96" s="1"/>
  <c r="E60" i="96"/>
  <c r="F55" i="96"/>
  <c r="H60" i="96"/>
  <c r="E59" i="96"/>
  <c r="G56" i="96"/>
  <c r="H59" i="96"/>
  <c r="D57" i="96"/>
  <c r="I55" i="96"/>
  <c r="F56" i="96"/>
  <c r="G60" i="96"/>
  <c r="E55" i="96"/>
  <c r="H55" i="96"/>
  <c r="I59" i="96"/>
  <c r="E57" i="96"/>
  <c r="F60" i="96"/>
  <c r="H57" i="96"/>
  <c r="P93" i="96" s="1"/>
  <c r="U93" i="96" s="1"/>
  <c r="S93" i="96" s="1"/>
  <c r="G58" i="96"/>
  <c r="D59" i="96"/>
  <c r="I57" i="96"/>
  <c r="F58" i="96"/>
  <c r="D73" i="96"/>
  <c r="E74" i="96"/>
  <c r="G75" i="96"/>
  <c r="G73" i="96"/>
  <c r="I74" i="96"/>
  <c r="D74" i="96"/>
  <c r="F75" i="96"/>
  <c r="F73" i="96"/>
  <c r="H74" i="96"/>
  <c r="E75" i="96"/>
  <c r="H75" i="96"/>
  <c r="G74" i="96"/>
  <c r="I73" i="96"/>
  <c r="I75" i="96"/>
  <c r="E73" i="96"/>
  <c r="H73" i="96"/>
  <c r="D75" i="96"/>
  <c r="F74" i="96"/>
  <c r="D62" i="96"/>
  <c r="E63" i="96"/>
  <c r="G64" i="96"/>
  <c r="I65" i="96"/>
  <c r="G62" i="96"/>
  <c r="I63" i="96"/>
  <c r="E65" i="96"/>
  <c r="D63" i="96"/>
  <c r="F64" i="96"/>
  <c r="H65" i="96"/>
  <c r="F62" i="96"/>
  <c r="H63" i="96"/>
  <c r="D65" i="96"/>
  <c r="I64" i="96"/>
  <c r="E62" i="96"/>
  <c r="F63" i="96"/>
  <c r="E64" i="96"/>
  <c r="H62" i="96"/>
  <c r="G63" i="96"/>
  <c r="G65" i="96"/>
  <c r="I62" i="96"/>
  <c r="D64" i="96"/>
  <c r="F65" i="96"/>
  <c r="H64" i="96"/>
  <c r="D67" i="96"/>
  <c r="D68" i="96"/>
  <c r="F69" i="96"/>
  <c r="H70" i="96"/>
  <c r="F67" i="96"/>
  <c r="H68" i="96"/>
  <c r="D70" i="96"/>
  <c r="F71" i="96"/>
  <c r="G67" i="96"/>
  <c r="I68" i="96"/>
  <c r="I66" i="96" s="1"/>
  <c r="E70" i="96"/>
  <c r="G71" i="96"/>
  <c r="E68" i="96"/>
  <c r="G69" i="96"/>
  <c r="I70" i="96"/>
  <c r="I71" i="96"/>
  <c r="E69" i="96"/>
  <c r="H71" i="96"/>
  <c r="W31" i="96" s="1" a="1"/>
  <c r="W31" i="96" s="1"/>
  <c r="D69" i="96"/>
  <c r="E71" i="96"/>
  <c r="D71" i="96"/>
  <c r="G70" i="96"/>
  <c r="W30" i="96" s="1" a="1"/>
  <c r="W30" i="96" s="1"/>
  <c r="F70" i="96"/>
  <c r="I69" i="96"/>
  <c r="E67" i="96"/>
  <c r="H69" i="96"/>
  <c r="G68" i="96"/>
  <c r="F68" i="96"/>
  <c r="I67" i="96"/>
  <c r="H67" i="96"/>
  <c r="H66" i="96" s="1"/>
  <c r="D86" i="96"/>
  <c r="E87" i="96"/>
  <c r="G86" i="96"/>
  <c r="I87" i="96"/>
  <c r="D87" i="96"/>
  <c r="F86" i="96"/>
  <c r="H87" i="96"/>
  <c r="I86" i="96"/>
  <c r="F87" i="96"/>
  <c r="G87" i="96"/>
  <c r="H86" i="96"/>
  <c r="E86" i="96"/>
  <c r="D77" i="96"/>
  <c r="F77" i="96"/>
  <c r="H78" i="96"/>
  <c r="D80" i="96"/>
  <c r="F81" i="96"/>
  <c r="H82" i="96"/>
  <c r="D84" i="96"/>
  <c r="D78" i="96"/>
  <c r="F79" i="96"/>
  <c r="H80" i="96"/>
  <c r="D82" i="96"/>
  <c r="F83" i="96"/>
  <c r="F76" i="96" s="1"/>
  <c r="H84" i="96"/>
  <c r="E78" i="96"/>
  <c r="G79" i="96"/>
  <c r="I80" i="96"/>
  <c r="E82" i="96"/>
  <c r="G83" i="96"/>
  <c r="I84" i="96"/>
  <c r="G77" i="96"/>
  <c r="I78" i="96"/>
  <c r="E80" i="96"/>
  <c r="G81" i="96"/>
  <c r="I82" i="96"/>
  <c r="E84" i="96"/>
  <c r="G84" i="96"/>
  <c r="I81" i="96"/>
  <c r="E79" i="96"/>
  <c r="E76" i="96" s="1"/>
  <c r="F84" i="96"/>
  <c r="H81" i="96"/>
  <c r="D79" i="96"/>
  <c r="I83" i="96"/>
  <c r="E81" i="96"/>
  <c r="H83" i="96"/>
  <c r="F78" i="96"/>
  <c r="G80" i="96"/>
  <c r="I77" i="96"/>
  <c r="F80" i="96"/>
  <c r="G82" i="96"/>
  <c r="I79" i="96"/>
  <c r="E77" i="96"/>
  <c r="F82" i="96"/>
  <c r="H79" i="96"/>
  <c r="G78" i="96"/>
  <c r="D81" i="96"/>
  <c r="E83" i="96"/>
  <c r="D83" i="96"/>
  <c r="H77" i="96"/>
  <c r="H76" i="96" s="1"/>
  <c r="F88" i="96"/>
  <c r="N104" i="96"/>
  <c r="Z112" i="96"/>
  <c r="H88" i="96"/>
  <c r="E88" i="96"/>
  <c r="G53" i="95"/>
  <c r="I53" i="95"/>
  <c r="A88" i="92"/>
  <c r="Y46" i="92"/>
  <c r="W54" i="92" a="1"/>
  <c r="W54" i="92" s="1"/>
  <c r="W48" i="92" a="1"/>
  <c r="W48" i="92" s="1"/>
  <c r="W32" i="92" a="1"/>
  <c r="W32" i="92" s="1"/>
  <c r="W30" i="92" a="1"/>
  <c r="W30" i="92" s="1"/>
  <c r="H70" i="92"/>
  <c r="I74" i="92"/>
  <c r="G74" i="92"/>
  <c r="W38" i="92" a="1"/>
  <c r="W38" i="92" s="1"/>
  <c r="W37" i="92" a="1"/>
  <c r="W37" i="92" s="1"/>
  <c r="W36" i="92" a="1"/>
  <c r="W36" i="92" s="1"/>
  <c r="E50" i="91"/>
  <c r="G50" i="91"/>
  <c r="Z78" i="91"/>
  <c r="N70" i="91"/>
  <c r="H36" i="90"/>
  <c r="E36" i="90"/>
  <c r="W19" i="90" a="1"/>
  <c r="W19" i="90" s="1"/>
  <c r="F36" i="90"/>
  <c r="W17" i="90" a="1"/>
  <c r="W17" i="90" s="1"/>
  <c r="W18" i="90" a="1"/>
  <c r="W18" i="90" s="1"/>
  <c r="W16" i="90" a="1"/>
  <c r="W16" i="90" s="1"/>
  <c r="P75" i="90"/>
  <c r="U75" i="90" s="1"/>
  <c r="S75" i="90" s="1"/>
  <c r="P57" i="90"/>
  <c r="U57" i="90" s="1"/>
  <c r="S57" i="90" s="1"/>
  <c r="S61" i="90" s="1"/>
  <c r="I36" i="90"/>
  <c r="P63" i="90"/>
  <c r="U63" i="90" s="1"/>
  <c r="S63" i="90" s="1"/>
  <c r="S69" i="90" s="1"/>
  <c r="F66" i="89"/>
  <c r="W25" i="89" a="1"/>
  <c r="W25" i="89" s="1"/>
  <c r="W22" i="89" s="1"/>
  <c r="D51" i="89"/>
  <c r="F63" i="89"/>
  <c r="P79" i="88"/>
  <c r="U79" i="88" s="1"/>
  <c r="P90" i="88"/>
  <c r="U90" i="88" s="1"/>
  <c r="S90" i="88" s="1"/>
  <c r="P83" i="88"/>
  <c r="U83" i="88" s="1"/>
  <c r="S83" i="88" s="1"/>
  <c r="P75" i="88"/>
  <c r="U75" i="88" s="1"/>
  <c r="S75" i="88" s="1"/>
  <c r="P88" i="88"/>
  <c r="U88" i="88" s="1"/>
  <c r="S88" i="88" s="1"/>
  <c r="P91" i="88"/>
  <c r="U91" i="88" s="1"/>
  <c r="S91" i="88" s="1"/>
  <c r="P82" i="88"/>
  <c r="U82" i="88" s="1"/>
  <c r="S82" i="88" s="1"/>
  <c r="P74" i="88"/>
  <c r="U74" i="88" s="1"/>
  <c r="S74" i="88" s="1"/>
  <c r="P81" i="88"/>
  <c r="U81" i="88" s="1"/>
  <c r="S81" i="88" s="1"/>
  <c r="P72" i="88"/>
  <c r="U72" i="88" s="1"/>
  <c r="S72" i="88" s="1"/>
  <c r="W18" i="88" a="1"/>
  <c r="W18" i="88" s="1"/>
  <c r="P96" i="88"/>
  <c r="U96" i="88" s="1"/>
  <c r="S96" i="88" s="1"/>
  <c r="P95" i="88"/>
  <c r="U95" i="88" s="1"/>
  <c r="S95" i="88" s="1"/>
  <c r="P104" i="88"/>
  <c r="U104" i="88" s="1"/>
  <c r="S104" i="88" s="1"/>
  <c r="P87" i="88"/>
  <c r="U87" i="88" s="1"/>
  <c r="S87" i="88" s="1"/>
  <c r="P78" i="88"/>
  <c r="U78" i="88" s="1"/>
  <c r="S78" i="88" s="1"/>
  <c r="P71" i="88"/>
  <c r="U71" i="88" s="1"/>
  <c r="S71" i="88" s="1"/>
  <c r="P114" i="86"/>
  <c r="U114" i="86" s="1"/>
  <c r="S114" i="86" s="1"/>
  <c r="N108" i="86"/>
  <c r="Z116" i="86"/>
  <c r="P121" i="86" s="1"/>
  <c r="U121" i="86" s="1"/>
  <c r="S121" i="86" s="1"/>
  <c r="P118" i="86"/>
  <c r="U118" i="86" s="1"/>
  <c r="S118" i="86" s="1"/>
  <c r="H75" i="84"/>
  <c r="P94" i="84"/>
  <c r="U94" i="84" s="1"/>
  <c r="S94" i="84" s="1"/>
  <c r="Z99" i="84"/>
  <c r="P95" i="84"/>
  <c r="U95" i="84" s="1"/>
  <c r="S95" i="84" s="1"/>
  <c r="N91" i="84"/>
  <c r="P97" i="84"/>
  <c r="U97" i="84" s="1"/>
  <c r="S97" i="84" s="1"/>
  <c r="W17" i="84"/>
  <c r="D75" i="84"/>
  <c r="P96" i="84"/>
  <c r="U96" i="84" s="1"/>
  <c r="S96" i="84" s="1"/>
  <c r="W42" i="84" a="1"/>
  <c r="W42" i="84" s="1"/>
  <c r="D72" i="84"/>
  <c r="G75" i="84"/>
  <c r="W47" i="84" a="1"/>
  <c r="W47" i="84" s="1"/>
  <c r="W41" i="84" a="1"/>
  <c r="W41" i="84" s="1"/>
  <c r="E72" i="84"/>
  <c r="I72" i="84"/>
  <c r="W22" i="83" a="1"/>
  <c r="W22" i="83" s="1"/>
  <c r="D39" i="83"/>
  <c r="P58" i="83"/>
  <c r="U58" i="83" s="1"/>
  <c r="S58" i="83" s="1"/>
  <c r="P74" i="83"/>
  <c r="U74" i="83" s="1"/>
  <c r="S74" i="83" s="1"/>
  <c r="S80" i="83" s="1"/>
  <c r="W20" i="83" a="1"/>
  <c r="W20" i="83" s="1"/>
  <c r="W17" i="83" s="1"/>
  <c r="G39" i="83"/>
  <c r="P61" i="83"/>
  <c r="U61" i="83" s="1"/>
  <c r="S61" i="83" s="1"/>
  <c r="E39" i="83"/>
  <c r="P59" i="83"/>
  <c r="U59" i="83" s="1"/>
  <c r="S59" i="83" s="1"/>
  <c r="D52" i="83"/>
  <c r="W31" i="83" a="1"/>
  <c r="W31" i="83" s="1"/>
  <c r="W30" i="83" s="1"/>
  <c r="W37" i="83" a="1"/>
  <c r="W37" i="83" s="1"/>
  <c r="N105" i="83"/>
  <c r="P108" i="83"/>
  <c r="U108" i="83" s="1"/>
  <c r="S108" i="83" s="1"/>
  <c r="S112" i="83" s="1"/>
  <c r="D42" i="81"/>
  <c r="H43" i="81"/>
  <c r="F41" i="81"/>
  <c r="G40" i="81"/>
  <c r="E40" i="81"/>
  <c r="D39" i="81"/>
  <c r="F40" i="81"/>
  <c r="I41" i="81"/>
  <c r="G41" i="81"/>
  <c r="G39" i="81"/>
  <c r="H39" i="81"/>
  <c r="E41" i="81"/>
  <c r="D45" i="81"/>
  <c r="E52" i="81"/>
  <c r="I46" i="81"/>
  <c r="F51" i="81"/>
  <c r="F47" i="81"/>
  <c r="I53" i="81"/>
  <c r="E51" i="81"/>
  <c r="G48" i="81"/>
  <c r="I45" i="81"/>
  <c r="G51" i="81"/>
  <c r="E46" i="81"/>
  <c r="H50" i="81"/>
  <c r="H53" i="81"/>
  <c r="D51" i="81"/>
  <c r="F48" i="81"/>
  <c r="H45" i="81"/>
  <c r="I50" i="81"/>
  <c r="G45" i="81"/>
  <c r="D50" i="81"/>
  <c r="H46" i="81"/>
  <c r="E53" i="81"/>
  <c r="G50" i="81"/>
  <c r="I47" i="81"/>
  <c r="E45" i="81"/>
  <c r="E50" i="81"/>
  <c r="H54" i="81"/>
  <c r="F49" i="81"/>
  <c r="D53" i="81"/>
  <c r="F50" i="81"/>
  <c r="H47" i="81"/>
  <c r="I54" i="81"/>
  <c r="G49" i="81"/>
  <c r="D54" i="81"/>
  <c r="H48" i="81"/>
  <c r="F45" i="81"/>
  <c r="F44" i="81" s="1"/>
  <c r="G52" i="81"/>
  <c r="I49" i="81"/>
  <c r="E47" i="81"/>
  <c r="E54" i="81"/>
  <c r="I48" i="81"/>
  <c r="F53" i="81"/>
  <c r="D46" i="81"/>
  <c r="F52" i="81"/>
  <c r="H49" i="81"/>
  <c r="D47" i="81"/>
  <c r="G53" i="81"/>
  <c r="E48" i="81"/>
  <c r="H52" i="81"/>
  <c r="D48" i="81"/>
  <c r="G54" i="81"/>
  <c r="I51" i="81"/>
  <c r="E49" i="81"/>
  <c r="G46" i="81"/>
  <c r="I52" i="81"/>
  <c r="G47" i="81"/>
  <c r="D52" i="81"/>
  <c r="F54" i="81"/>
  <c r="H51" i="81"/>
  <c r="D49" i="81"/>
  <c r="F46" i="81"/>
  <c r="I40" i="81"/>
  <c r="D41" i="81"/>
  <c r="I39" i="81"/>
  <c r="F39" i="81"/>
  <c r="E43" i="81"/>
  <c r="H40" i="81"/>
  <c r="D56" i="81"/>
  <c r="H57" i="81"/>
  <c r="I57" i="81"/>
  <c r="F57" i="81"/>
  <c r="G57" i="81"/>
  <c r="G56" i="81"/>
  <c r="H56" i="81"/>
  <c r="I56" i="81"/>
  <c r="I55" i="81" s="1"/>
  <c r="D57" i="81"/>
  <c r="E57" i="81"/>
  <c r="E56" i="81"/>
  <c r="F56" i="81"/>
  <c r="F55" i="81" s="1"/>
  <c r="W19" i="81" a="1"/>
  <c r="W19" i="81" s="1"/>
  <c r="F58" i="81"/>
  <c r="Z88" i="81"/>
  <c r="N88" i="81" s="1"/>
  <c r="W35" i="81" a="1"/>
  <c r="W35" i="81" s="1"/>
  <c r="H58" i="81"/>
  <c r="AC25" i="36" a="1"/>
  <c r="AC25" i="36" s="1"/>
  <c r="AC24" i="36" a="1"/>
  <c r="AC24" i="36" s="1"/>
  <c r="W23" i="72"/>
  <c r="L47" i="36"/>
  <c r="AC50" i="36" a="1"/>
  <c r="AC50" i="36" s="1"/>
  <c r="AC48" i="36" a="1"/>
  <c r="AC48" i="36" s="1"/>
  <c r="O47" i="36"/>
  <c r="M47" i="36"/>
  <c r="AC33" i="36" a="1"/>
  <c r="AC33" i="36" s="1"/>
  <c r="P103" i="79"/>
  <c r="U103" i="79" s="1"/>
  <c r="S103" i="79" s="1"/>
  <c r="F42" i="79"/>
  <c r="P108" i="79"/>
  <c r="U108" i="79" s="1"/>
  <c r="F61" i="79"/>
  <c r="P118" i="79"/>
  <c r="U118" i="79" s="1"/>
  <c r="S118" i="79" s="1"/>
  <c r="Z119" i="78"/>
  <c r="N111" i="78"/>
  <c r="E62" i="78"/>
  <c r="W37" i="78" a="1"/>
  <c r="W37" i="78" s="1"/>
  <c r="G62" i="78"/>
  <c r="I62" i="78"/>
  <c r="D62" i="78"/>
  <c r="W35" i="78" a="1"/>
  <c r="W35" i="78" s="1"/>
  <c r="F63" i="77"/>
  <c r="W40" i="77" a="1"/>
  <c r="W40" i="77" s="1"/>
  <c r="H63" i="77"/>
  <c r="E55" i="76"/>
  <c r="H55" i="76"/>
  <c r="H53" i="76" s="1"/>
  <c r="D54" i="76"/>
  <c r="D51" i="76"/>
  <c r="F51" i="76"/>
  <c r="G51" i="76"/>
  <c r="I51" i="76"/>
  <c r="E51" i="76"/>
  <c r="H51" i="76"/>
  <c r="D39" i="76"/>
  <c r="W15" i="76" s="1" a="1"/>
  <c r="W15" i="76" s="1"/>
  <c r="F39" i="76"/>
  <c r="E40" i="76"/>
  <c r="P79" i="76" s="1"/>
  <c r="U79" i="76" s="1"/>
  <c r="S79" i="76" s="1"/>
  <c r="G39" i="76"/>
  <c r="G40" i="76"/>
  <c r="P81" i="76" s="1"/>
  <c r="U81" i="76" s="1"/>
  <c r="S81" i="76" s="1"/>
  <c r="E39" i="76"/>
  <c r="D40" i="76"/>
  <c r="P78" i="76" s="1"/>
  <c r="U78" i="76" s="1"/>
  <c r="S78" i="76" s="1"/>
  <c r="I40" i="76"/>
  <c r="I39" i="76"/>
  <c r="P75" i="76" s="1"/>
  <c r="U75" i="76" s="1"/>
  <c r="S75" i="76" s="1"/>
  <c r="H40" i="76"/>
  <c r="P82" i="76" s="1"/>
  <c r="U82" i="76" s="1"/>
  <c r="S82" i="76" s="1"/>
  <c r="H39" i="76"/>
  <c r="P74" i="76" s="1"/>
  <c r="U74" i="76" s="1"/>
  <c r="S74" i="76" s="1"/>
  <c r="F40" i="76"/>
  <c r="D53" i="76"/>
  <c r="D42" i="76"/>
  <c r="D43" i="76"/>
  <c r="F44" i="76"/>
  <c r="H45" i="76"/>
  <c r="D47" i="76"/>
  <c r="F48" i="76"/>
  <c r="H49" i="76"/>
  <c r="E43" i="76"/>
  <c r="P95" i="76" s="1"/>
  <c r="U95" i="76" s="1"/>
  <c r="S95" i="76" s="1"/>
  <c r="G44" i="76"/>
  <c r="I45" i="76"/>
  <c r="E47" i="76"/>
  <c r="G48" i="76"/>
  <c r="I49" i="76"/>
  <c r="G42" i="76"/>
  <c r="I43" i="76"/>
  <c r="E45" i="76"/>
  <c r="G46" i="76"/>
  <c r="I47" i="76"/>
  <c r="E49" i="76"/>
  <c r="F42" i="76"/>
  <c r="H43" i="76"/>
  <c r="D45" i="76"/>
  <c r="F46" i="76"/>
  <c r="H47" i="76"/>
  <c r="D49" i="76"/>
  <c r="G49" i="76"/>
  <c r="I46" i="76"/>
  <c r="E44" i="76"/>
  <c r="P103" i="76" s="1"/>
  <c r="U103" i="76" s="1"/>
  <c r="S103" i="76" s="1"/>
  <c r="F49" i="76"/>
  <c r="H46" i="76"/>
  <c r="D44" i="76"/>
  <c r="I44" i="76"/>
  <c r="P107" i="76" s="1"/>
  <c r="U107" i="76" s="1"/>
  <c r="S107" i="76" s="1"/>
  <c r="F47" i="76"/>
  <c r="I48" i="76"/>
  <c r="E46" i="76"/>
  <c r="G43" i="76"/>
  <c r="P97" i="76" s="1"/>
  <c r="U97" i="76" s="1"/>
  <c r="S97" i="76" s="1"/>
  <c r="H48" i="76"/>
  <c r="D46" i="76"/>
  <c r="F43" i="76"/>
  <c r="E48" i="76"/>
  <c r="G45" i="76"/>
  <c r="I42" i="76"/>
  <c r="D48" i="76"/>
  <c r="F45" i="76"/>
  <c r="H42" i="76"/>
  <c r="G47" i="76"/>
  <c r="E42" i="76"/>
  <c r="H44" i="76"/>
  <c r="P83" i="76"/>
  <c r="U83" i="76" s="1"/>
  <c r="S83" i="76" s="1"/>
  <c r="P71" i="76"/>
  <c r="U71" i="76" s="1"/>
  <c r="S71" i="76" s="1"/>
  <c r="H50" i="76"/>
  <c r="D50" i="76"/>
  <c r="I50" i="76"/>
  <c r="E50" i="76"/>
  <c r="H38" i="76"/>
  <c r="P99" i="76"/>
  <c r="U99" i="76" s="1"/>
  <c r="S99" i="76" s="1"/>
  <c r="P98" i="76"/>
  <c r="U98" i="76" s="1"/>
  <c r="S98" i="76" s="1"/>
  <c r="P96" i="76"/>
  <c r="U96" i="76" s="1"/>
  <c r="S96" i="76" s="1"/>
  <c r="P104" i="76"/>
  <c r="U104" i="76" s="1"/>
  <c r="S104" i="76" s="1"/>
  <c r="P106" i="76"/>
  <c r="U106" i="76" s="1"/>
  <c r="G56" i="76"/>
  <c r="P80" i="76"/>
  <c r="U80" i="76" s="1"/>
  <c r="S80" i="76" s="1"/>
  <c r="N101" i="76"/>
  <c r="Z109" i="76"/>
  <c r="P105" i="76"/>
  <c r="U105" i="76" s="1"/>
  <c r="S105" i="76" s="1"/>
  <c r="P102" i="76"/>
  <c r="U102" i="76" s="1"/>
  <c r="S102" i="76" s="1"/>
  <c r="P72" i="76"/>
  <c r="U72" i="76" s="1"/>
  <c r="S72" i="76" s="1"/>
  <c r="F38" i="76"/>
  <c r="P73" i="76"/>
  <c r="U73" i="76" s="1"/>
  <c r="S73" i="76" s="1"/>
  <c r="H57" i="75"/>
  <c r="I57" i="75"/>
  <c r="D58" i="75"/>
  <c r="E58" i="75"/>
  <c r="E56" i="75" s="1"/>
  <c r="G58" i="75"/>
  <c r="E57" i="75"/>
  <c r="W34" i="75" a="1"/>
  <c r="W34" i="75" s="1"/>
  <c r="Z91" i="75"/>
  <c r="N83" i="75"/>
  <c r="H87" i="74"/>
  <c r="W50" i="74" a="1"/>
  <c r="W50" i="74" s="1"/>
  <c r="Z96" i="74"/>
  <c r="N88" i="74"/>
  <c r="P89" i="73"/>
  <c r="U89" i="73" s="1"/>
  <c r="S89" i="73" s="1"/>
  <c r="E77" i="73"/>
  <c r="P85" i="73"/>
  <c r="U85" i="73" s="1"/>
  <c r="S85" i="73" s="1"/>
  <c r="N83" i="73"/>
  <c r="Z91" i="73"/>
  <c r="P88" i="73"/>
  <c r="U88" i="73" s="1"/>
  <c r="S88" i="73" s="1"/>
  <c r="P86" i="73"/>
  <c r="U86" i="73" s="1"/>
  <c r="S86" i="73" s="1"/>
  <c r="W45" i="73" a="1"/>
  <c r="W45" i="73" s="1"/>
  <c r="E41" i="72"/>
  <c r="E40" i="72" s="1"/>
  <c r="D41" i="72"/>
  <c r="D40" i="72" s="1"/>
  <c r="G41" i="72"/>
  <c r="G40" i="72" s="1"/>
  <c r="F41" i="72"/>
  <c r="F40" i="72" s="1"/>
  <c r="I41" i="72"/>
  <c r="I40" i="72" s="1"/>
  <c r="N60" i="72"/>
  <c r="P64" i="72"/>
  <c r="U64" i="72" s="1"/>
  <c r="S64" i="72" s="1"/>
  <c r="H33" i="72"/>
  <c r="P49" i="72" s="1"/>
  <c r="U49" i="72" s="1"/>
  <c r="S49" i="72" s="1"/>
  <c r="I34" i="72"/>
  <c r="P58" i="72" s="1"/>
  <c r="U58" i="72" s="1"/>
  <c r="S58" i="72" s="1"/>
  <c r="E34" i="72"/>
  <c r="P54" i="72" s="1"/>
  <c r="U54" i="72" s="1"/>
  <c r="S54" i="72" s="1"/>
  <c r="H34" i="72"/>
  <c r="F34" i="72"/>
  <c r="P55" i="72" s="1"/>
  <c r="U55" i="72" s="1"/>
  <c r="S55" i="72" s="1"/>
  <c r="G33" i="72"/>
  <c r="P48" i="72" s="1"/>
  <c r="U48" i="72" s="1"/>
  <c r="S48" i="72" s="1"/>
  <c r="D34" i="72"/>
  <c r="P53" i="72" s="1"/>
  <c r="U53" i="72" s="1"/>
  <c r="S53" i="72" s="1"/>
  <c r="D33" i="72"/>
  <c r="D38" i="70"/>
  <c r="E39" i="70"/>
  <c r="F39" i="70"/>
  <c r="P79" i="70" s="1"/>
  <c r="U79" i="70" s="1"/>
  <c r="S79" i="70" s="1"/>
  <c r="I39" i="70"/>
  <c r="G40" i="70"/>
  <c r="E54" i="70"/>
  <c r="E53" i="70" s="1"/>
  <c r="I54" i="70"/>
  <c r="I53" i="70" s="1"/>
  <c r="F54" i="70"/>
  <c r="F53" i="70" s="1"/>
  <c r="I55" i="70"/>
  <c r="H39" i="70"/>
  <c r="P81" i="70" s="1"/>
  <c r="U81" i="70" s="1"/>
  <c r="S81" i="70" s="1"/>
  <c r="E55" i="70"/>
  <c r="W34" i="70" a="1"/>
  <c r="W34" i="70" s="1"/>
  <c r="G55" i="70"/>
  <c r="D39" i="70"/>
  <c r="P77" i="70" s="1"/>
  <c r="U77" i="70" s="1"/>
  <c r="S77" i="70" s="1"/>
  <c r="F40" i="70"/>
  <c r="P87" i="70" s="1"/>
  <c r="U87" i="70" s="1"/>
  <c r="S87" i="70" s="1"/>
  <c r="D40" i="70"/>
  <c r="P85" i="70" s="1"/>
  <c r="U85" i="70" s="1"/>
  <c r="S85" i="70" s="1"/>
  <c r="H38" i="70"/>
  <c r="P73" i="70" s="1"/>
  <c r="U73" i="70" s="1"/>
  <c r="S73" i="70" s="1"/>
  <c r="G39" i="70"/>
  <c r="P80" i="70" s="1"/>
  <c r="U80" i="70" s="1"/>
  <c r="S80" i="70" s="1"/>
  <c r="E38" i="70"/>
  <c r="P70" i="70" s="1"/>
  <c r="U70" i="70" s="1"/>
  <c r="S70" i="70" s="1"/>
  <c r="F38" i="70"/>
  <c r="P71" i="70" s="1"/>
  <c r="U71" i="70" s="1"/>
  <c r="S71" i="70" s="1"/>
  <c r="E40" i="70"/>
  <c r="P86" i="70" s="1"/>
  <c r="U86" i="70" s="1"/>
  <c r="S86" i="70" s="1"/>
  <c r="G38" i="70"/>
  <c r="P72" i="70" s="1"/>
  <c r="U72" i="70" s="1"/>
  <c r="S72" i="70" s="1"/>
  <c r="I38" i="70"/>
  <c r="P74" i="70" s="1"/>
  <c r="U74" i="70" s="1"/>
  <c r="S74" i="70" s="1"/>
  <c r="F55" i="69"/>
  <c r="W25" i="69" s="1" a="1"/>
  <c r="W25" i="69" s="1"/>
  <c r="E55" i="69"/>
  <c r="I53" i="69"/>
  <c r="F53" i="69"/>
  <c r="F52" i="69" s="1"/>
  <c r="I54" i="69"/>
  <c r="W24" i="69" s="1" a="1"/>
  <c r="W24" i="69" s="1"/>
  <c r="E53" i="69"/>
  <c r="E52" i="69" s="1"/>
  <c r="I55" i="69"/>
  <c r="D57" i="69"/>
  <c r="I60" i="69"/>
  <c r="G61" i="69"/>
  <c r="E58" i="69"/>
  <c r="D62" i="69"/>
  <c r="F59" i="69"/>
  <c r="I63" i="69"/>
  <c r="G60" i="69"/>
  <c r="I57" i="69"/>
  <c r="F62" i="69"/>
  <c r="H59" i="69"/>
  <c r="G63" i="69"/>
  <c r="F63" i="69"/>
  <c r="H60" i="69"/>
  <c r="G62" i="69"/>
  <c r="H63" i="69"/>
  <c r="F58" i="69"/>
  <c r="I62" i="69"/>
  <c r="I58" i="69"/>
  <c r="D60" i="69"/>
  <c r="I61" i="69"/>
  <c r="D63" i="69"/>
  <c r="H57" i="69"/>
  <c r="E61" i="69"/>
  <c r="E60" i="69"/>
  <c r="G57" i="69"/>
  <c r="F61" i="69"/>
  <c r="H58" i="69"/>
  <c r="E63" i="69"/>
  <c r="I59" i="69"/>
  <c r="E57" i="69"/>
  <c r="H61" i="69"/>
  <c r="D59" i="69"/>
  <c r="G59" i="69"/>
  <c r="D58" i="69"/>
  <c r="E59" i="69"/>
  <c r="D61" i="69"/>
  <c r="E62" i="69"/>
  <c r="H62" i="69"/>
  <c r="F57" i="69"/>
  <c r="G58" i="69"/>
  <c r="F60" i="69"/>
  <c r="F54" i="69"/>
  <c r="G54" i="69"/>
  <c r="G52" i="69" s="1"/>
  <c r="P75" i="69"/>
  <c r="U75" i="69" s="1"/>
  <c r="S75" i="69" s="1"/>
  <c r="P73" i="69"/>
  <c r="U73" i="69" s="1"/>
  <c r="S73" i="69" s="1"/>
  <c r="Z79" i="69"/>
  <c r="P85" i="69" s="1"/>
  <c r="U85" i="69" s="1"/>
  <c r="S85" i="69" s="1"/>
  <c r="P74" i="69"/>
  <c r="U74" i="69" s="1"/>
  <c r="S74" i="69" s="1"/>
  <c r="N71" i="69"/>
  <c r="P80" i="69"/>
  <c r="U80" i="69" s="1"/>
  <c r="S80" i="69" s="1"/>
  <c r="P77" i="69"/>
  <c r="U77" i="69" s="1"/>
  <c r="S77" i="69" s="1"/>
  <c r="I52" i="69"/>
  <c r="W20" i="69" a="1"/>
  <c r="W20" i="69" s="1"/>
  <c r="D65" i="69"/>
  <c r="G66" i="69"/>
  <c r="E66" i="69"/>
  <c r="H65" i="69"/>
  <c r="G65" i="69"/>
  <c r="F65" i="69"/>
  <c r="H66" i="69"/>
  <c r="I65" i="69"/>
  <c r="I66" i="69"/>
  <c r="F66" i="69"/>
  <c r="D66" i="69"/>
  <c r="E65" i="69"/>
  <c r="W18" i="69" a="1"/>
  <c r="W18" i="69" s="1"/>
  <c r="G43" i="69"/>
  <c r="P59" i="69"/>
  <c r="U59" i="69" s="1"/>
  <c r="S59" i="69" s="1"/>
  <c r="H52" i="69"/>
  <c r="D52" i="69"/>
  <c r="W23" i="69" a="1"/>
  <c r="W23" i="69" s="1"/>
  <c r="W31" i="68" a="1"/>
  <c r="W31" i="68" s="1"/>
  <c r="D44" i="68"/>
  <c r="E43" i="68"/>
  <c r="E42" i="68" s="1"/>
  <c r="D45" i="68"/>
  <c r="H45" i="68"/>
  <c r="E45" i="68"/>
  <c r="D43" i="68"/>
  <c r="H44" i="68"/>
  <c r="H42" i="68" s="1"/>
  <c r="P52" i="68"/>
  <c r="U52" i="68" s="1"/>
  <c r="S52" i="68" s="1"/>
  <c r="I34" i="68"/>
  <c r="F45" i="68"/>
  <c r="F42" i="68" s="1"/>
  <c r="H47" i="68"/>
  <c r="D48" i="68"/>
  <c r="G47" i="68"/>
  <c r="G46" i="68" s="1"/>
  <c r="H48" i="68"/>
  <c r="I47" i="68"/>
  <c r="I46" i="68" s="1"/>
  <c r="E47" i="68"/>
  <c r="F48" i="68"/>
  <c r="F46" i="68" s="1"/>
  <c r="I42" i="68"/>
  <c r="G42" i="68"/>
  <c r="W36" i="34" a="1"/>
  <c r="W36" i="34" s="1"/>
  <c r="W34" i="34" s="1"/>
  <c r="P94" i="34"/>
  <c r="U94" i="34" s="1"/>
  <c r="S94" i="34" s="1"/>
  <c r="W41" i="34" a="1"/>
  <c r="W41" i="34" s="1"/>
  <c r="I43" i="34"/>
  <c r="P92" i="34"/>
  <c r="U92" i="34" s="1"/>
  <c r="S92" i="34" s="1"/>
  <c r="P95" i="34"/>
  <c r="U95" i="34" s="1"/>
  <c r="S95" i="34" s="1"/>
  <c r="W39" i="34" a="1"/>
  <c r="W39" i="34" s="1"/>
  <c r="I67" i="34"/>
  <c r="G67" i="34"/>
  <c r="N90" i="34"/>
  <c r="Z98" i="34"/>
  <c r="P93" i="34"/>
  <c r="U93" i="34" s="1"/>
  <c r="S93" i="34" s="1"/>
  <c r="P91" i="34"/>
  <c r="U91" i="34" s="1"/>
  <c r="S91" i="34" s="1"/>
  <c r="W16" i="34" a="1"/>
  <c r="W16" i="34" s="1"/>
  <c r="W15" i="34" a="1"/>
  <c r="W15" i="34" s="1"/>
  <c r="F43" i="34"/>
  <c r="W14" i="34" a="1"/>
  <c r="W14" i="34" s="1"/>
  <c r="P78" i="34"/>
  <c r="U78" i="34" s="1"/>
  <c r="S78" i="34" s="1"/>
  <c r="G43" i="34"/>
  <c r="E43" i="34"/>
  <c r="F67" i="34"/>
  <c r="P79" i="34"/>
  <c r="U79" i="34" s="1"/>
  <c r="S79" i="34" s="1"/>
  <c r="H43" i="34"/>
  <c r="D43" i="34"/>
  <c r="P80" i="62"/>
  <c r="U80" i="62" s="1"/>
  <c r="S80" i="62" s="1"/>
  <c r="E45" i="62"/>
  <c r="D45" i="62"/>
  <c r="G46" i="62"/>
  <c r="P88" i="62"/>
  <c r="U88" i="62" s="1"/>
  <c r="S88" i="62" s="1"/>
  <c r="S92" i="62" s="1"/>
  <c r="H45" i="62"/>
  <c r="P97" i="62"/>
  <c r="U97" i="62" s="1"/>
  <c r="S97" i="62" s="1"/>
  <c r="P74" i="62"/>
  <c r="U74" i="62" s="1"/>
  <c r="S74" i="62" s="1"/>
  <c r="P82" i="62"/>
  <c r="U82" i="62" s="1"/>
  <c r="S82" i="62" s="1"/>
  <c r="P81" i="62"/>
  <c r="U81" i="62" s="1"/>
  <c r="S81" i="62" s="1"/>
  <c r="P75" i="62"/>
  <c r="U75" i="62" s="1"/>
  <c r="S75" i="62" s="1"/>
  <c r="P94" i="62"/>
  <c r="U94" i="62" s="1"/>
  <c r="S94" i="62" s="1"/>
  <c r="P78" i="62"/>
  <c r="U78" i="62" s="1"/>
  <c r="S78" i="62" s="1"/>
  <c r="I35" i="62"/>
  <c r="P59" i="62" s="1"/>
  <c r="U59" i="62" s="1"/>
  <c r="S59" i="62" s="1"/>
  <c r="H35" i="62"/>
  <c r="P58" i="62" s="1"/>
  <c r="U58" i="62" s="1"/>
  <c r="S58" i="62" s="1"/>
  <c r="D34" i="62"/>
  <c r="H34" i="62"/>
  <c r="I34" i="62"/>
  <c r="G35" i="62"/>
  <c r="P57" i="62" s="1"/>
  <c r="U57" i="62" s="1"/>
  <c r="S57" i="62" s="1"/>
  <c r="I46" i="62"/>
  <c r="I44" i="62" s="1"/>
  <c r="F45" i="62"/>
  <c r="G45" i="62"/>
  <c r="F46" i="62"/>
  <c r="D46" i="62"/>
  <c r="E46" i="62"/>
  <c r="H44" i="62"/>
  <c r="G40" i="61"/>
  <c r="W22" i="61" a="1"/>
  <c r="W22" i="61" s="1"/>
  <c r="D40" i="61"/>
  <c r="W16" i="61" a="1"/>
  <c r="W16" i="61" s="1"/>
  <c r="W14" i="61" s="1"/>
  <c r="I50" i="61"/>
  <c r="D37" i="61"/>
  <c r="P59" i="61"/>
  <c r="U59" i="61" s="1"/>
  <c r="S59" i="61" s="1"/>
  <c r="E37" i="61"/>
  <c r="P50" i="61"/>
  <c r="U50" i="61" s="1"/>
  <c r="S50" i="61" s="1"/>
  <c r="S55" i="61" s="1"/>
  <c r="I40" i="61"/>
  <c r="P61" i="61"/>
  <c r="U61" i="61" s="1"/>
  <c r="S61" i="61" s="1"/>
  <c r="H50" i="61"/>
  <c r="P58" i="61"/>
  <c r="U58" i="61" s="1"/>
  <c r="S58" i="61" s="1"/>
  <c r="W26" i="61" a="1"/>
  <c r="W26" i="61" s="1"/>
  <c r="P68" i="61"/>
  <c r="U68" i="61" s="1"/>
  <c r="S68" i="61" s="1"/>
  <c r="W18" i="61" a="1"/>
  <c r="W18" i="61" s="1"/>
  <c r="W24" i="61" a="1"/>
  <c r="W24" i="61" s="1"/>
  <c r="W25" i="61" a="1"/>
  <c r="W25" i="61" s="1"/>
  <c r="P70" i="61"/>
  <c r="U70" i="61" s="1"/>
  <c r="S70" i="61" s="1"/>
  <c r="G37" i="61"/>
  <c r="H40" i="61"/>
  <c r="P69" i="61"/>
  <c r="U69" i="61" s="1"/>
  <c r="S69" i="61" s="1"/>
  <c r="P65" i="61"/>
  <c r="U65" i="61" s="1"/>
  <c r="S65" i="61" s="1"/>
  <c r="W29" i="61" a="1"/>
  <c r="W29" i="61" s="1"/>
  <c r="P66" i="61"/>
  <c r="U66" i="61" s="1"/>
  <c r="S66" i="61" s="1"/>
  <c r="W28" i="61" a="1"/>
  <c r="W28" i="61" s="1"/>
  <c r="D50" i="61"/>
  <c r="E50" i="61"/>
  <c r="Z72" i="61"/>
  <c r="N64" i="61"/>
  <c r="P67" i="61"/>
  <c r="U67" i="61" s="1"/>
  <c r="S67" i="61" s="1"/>
  <c r="D43" i="60"/>
  <c r="F43" i="60"/>
  <c r="I42" i="60"/>
  <c r="H43" i="60"/>
  <c r="H41" i="60" s="1"/>
  <c r="E40" i="60"/>
  <c r="I40" i="60"/>
  <c r="F40" i="60"/>
  <c r="G40" i="60"/>
  <c r="D40" i="60"/>
  <c r="H40" i="60"/>
  <c r="G42" i="60"/>
  <c r="E42" i="60"/>
  <c r="I43" i="60"/>
  <c r="D42" i="60"/>
  <c r="G76" i="59"/>
  <c r="D58" i="59"/>
  <c r="I58" i="59"/>
  <c r="I55" i="59" s="1"/>
  <c r="G58" i="59"/>
  <c r="E57" i="59"/>
  <c r="D56" i="59"/>
  <c r="D61" i="59"/>
  <c r="H62" i="59"/>
  <c r="H61" i="59"/>
  <c r="H56" i="59"/>
  <c r="H57" i="59"/>
  <c r="W21" i="59" s="1" a="1"/>
  <c r="W21" i="59" s="1"/>
  <c r="F60" i="59"/>
  <c r="D64" i="59"/>
  <c r="I71" i="59"/>
  <c r="E69" i="59"/>
  <c r="G66" i="59"/>
  <c r="H71" i="59"/>
  <c r="F66" i="59"/>
  <c r="E70" i="59"/>
  <c r="G67" i="59"/>
  <c r="I64" i="59"/>
  <c r="F68" i="59"/>
  <c r="F71" i="59"/>
  <c r="H68" i="59"/>
  <c r="D66" i="59"/>
  <c r="E67" i="59"/>
  <c r="E71" i="59"/>
  <c r="G68" i="59"/>
  <c r="I65" i="59"/>
  <c r="F70" i="59"/>
  <c r="F64" i="59"/>
  <c r="G69" i="59"/>
  <c r="I66" i="59"/>
  <c r="E64" i="59"/>
  <c r="D67" i="59"/>
  <c r="H70" i="59"/>
  <c r="D68" i="59"/>
  <c r="F65" i="59"/>
  <c r="I69" i="59"/>
  <c r="H67" i="59"/>
  <c r="G65" i="59"/>
  <c r="D65" i="59"/>
  <c r="H66" i="59"/>
  <c r="G70" i="59"/>
  <c r="I67" i="59"/>
  <c r="E65" i="59"/>
  <c r="D69" i="59"/>
  <c r="G71" i="59"/>
  <c r="I68" i="59"/>
  <c r="E66" i="59"/>
  <c r="D71" i="59"/>
  <c r="H65" i="59"/>
  <c r="D70" i="59"/>
  <c r="F67" i="59"/>
  <c r="H64" i="59"/>
  <c r="G64" i="59"/>
  <c r="I70" i="59"/>
  <c r="E68" i="59"/>
  <c r="H69" i="59"/>
  <c r="F69" i="59"/>
  <c r="D62" i="59"/>
  <c r="E79" i="59"/>
  <c r="G61" i="59"/>
  <c r="F79" i="59"/>
  <c r="F72" i="59"/>
  <c r="D79" i="59"/>
  <c r="D60" i="59"/>
  <c r="E62" i="59"/>
  <c r="I60" i="59"/>
  <c r="D55" i="59"/>
  <c r="W47" i="59" a="1"/>
  <c r="W47" i="59" s="1"/>
  <c r="F61" i="59"/>
  <c r="E61" i="59"/>
  <c r="G60" i="59"/>
  <c r="D72" i="59"/>
  <c r="I61" i="59"/>
  <c r="H60" i="59"/>
  <c r="E60" i="59"/>
  <c r="I62" i="59"/>
  <c r="G62" i="59"/>
  <c r="G79" i="59"/>
  <c r="W42" i="59" a="1"/>
  <c r="W42" i="59" s="1"/>
  <c r="H51" i="59"/>
  <c r="F54" i="59"/>
  <c r="E53" i="59"/>
  <c r="G51" i="59"/>
  <c r="E50" i="59"/>
  <c r="P63" i="59" s="1"/>
  <c r="U63" i="59" s="1"/>
  <c r="S63" i="59" s="1"/>
  <c r="G54" i="59"/>
  <c r="I52" i="59"/>
  <c r="D50" i="59"/>
  <c r="P62" i="59" s="1"/>
  <c r="U62" i="59" s="1"/>
  <c r="S62" i="59" s="1"/>
  <c r="F52" i="59"/>
  <c r="H50" i="59"/>
  <c r="P66" i="59" s="1"/>
  <c r="U66" i="59" s="1"/>
  <c r="S66" i="59" s="1"/>
  <c r="D54" i="59"/>
  <c r="G52" i="59"/>
  <c r="I51" i="59"/>
  <c r="F50" i="59"/>
  <c r="I53" i="59"/>
  <c r="G50" i="59"/>
  <c r="D53" i="59"/>
  <c r="F51" i="59"/>
  <c r="I54" i="59"/>
  <c r="F53" i="59"/>
  <c r="P88" i="59" s="1"/>
  <c r="U88" i="59" s="1"/>
  <c r="S88" i="59" s="1"/>
  <c r="H52" i="59"/>
  <c r="E51" i="59"/>
  <c r="H54" i="59"/>
  <c r="D51" i="59"/>
  <c r="H53" i="59"/>
  <c r="P90" i="59" s="1"/>
  <c r="U90" i="59" s="1"/>
  <c r="S90" i="59" s="1"/>
  <c r="E52" i="59"/>
  <c r="I50" i="59"/>
  <c r="P67" i="59" s="1"/>
  <c r="U67" i="59" s="1"/>
  <c r="S67" i="59" s="1"/>
  <c r="E54" i="59"/>
  <c r="G53" i="59"/>
  <c r="P89" i="59" s="1"/>
  <c r="U89" i="59" s="1"/>
  <c r="S89" i="59" s="1"/>
  <c r="D52" i="59"/>
  <c r="E55" i="59"/>
  <c r="H72" i="59"/>
  <c r="D76" i="59"/>
  <c r="W41" i="59" a="1"/>
  <c r="W41" i="59" s="1"/>
  <c r="W23" i="84"/>
  <c r="I68" i="57"/>
  <c r="E65" i="57"/>
  <c r="N88" i="57"/>
  <c r="H67" i="57"/>
  <c r="P94" i="57"/>
  <c r="U94" i="57" s="1"/>
  <c r="S94" i="57" s="1"/>
  <c r="P75" i="57"/>
  <c r="U75" i="57" s="1"/>
  <c r="S75" i="57" s="1"/>
  <c r="F53" i="57"/>
  <c r="H55" i="57"/>
  <c r="P85" i="57" s="1"/>
  <c r="U85" i="57" s="1"/>
  <c r="S85" i="57" s="1"/>
  <c r="P97" i="57"/>
  <c r="U97" i="57" s="1"/>
  <c r="S97" i="57" s="1"/>
  <c r="I54" i="57"/>
  <c r="E54" i="57"/>
  <c r="E85" i="57"/>
  <c r="N96" i="57"/>
  <c r="F76" i="57"/>
  <c r="W41" i="57" a="1"/>
  <c r="W41" i="57" s="1"/>
  <c r="P102" i="57"/>
  <c r="U102" i="57" s="1"/>
  <c r="S102" i="57" s="1"/>
  <c r="I67" i="57"/>
  <c r="H68" i="57"/>
  <c r="P98" i="57"/>
  <c r="U98" i="57" s="1"/>
  <c r="S98" i="57" s="1"/>
  <c r="P99" i="57"/>
  <c r="U99" i="57" s="1"/>
  <c r="S99" i="57" s="1"/>
  <c r="P101" i="57"/>
  <c r="U101" i="57" s="1"/>
  <c r="S101" i="57" s="1"/>
  <c r="G33" i="122"/>
  <c r="G39" i="122" s="1"/>
  <c r="W18" i="122" a="1"/>
  <c r="W18" i="122" s="1"/>
  <c r="W12" i="121"/>
  <c r="G33" i="121"/>
  <c r="W22" i="122"/>
  <c r="W23" i="83"/>
  <c r="W12" i="122"/>
  <c r="G40" i="25"/>
  <c r="H33" i="122"/>
  <c r="H39" i="122" s="1"/>
  <c r="W43" i="92" a="1"/>
  <c r="W43" i="92" s="1"/>
  <c r="F83" i="92"/>
  <c r="D37" i="106"/>
  <c r="P86" i="98"/>
  <c r="U86" i="98" s="1"/>
  <c r="S86" i="98" s="1"/>
  <c r="P73" i="98"/>
  <c r="U73" i="98" s="1"/>
  <c r="S73" i="98" s="1"/>
  <c r="P78" i="98"/>
  <c r="U78" i="98" s="1"/>
  <c r="S78" i="98" s="1"/>
  <c r="P79" i="98"/>
  <c r="U79" i="98" s="1"/>
  <c r="S79" i="98" s="1"/>
  <c r="P80" i="98"/>
  <c r="U80" i="98" s="1"/>
  <c r="S80" i="98" s="1"/>
  <c r="P82" i="98"/>
  <c r="U82" i="98" s="1"/>
  <c r="S82" i="98" s="1"/>
  <c r="W28" i="80" a="1"/>
  <c r="W28" i="80" s="1"/>
  <c r="G43" i="80"/>
  <c r="W15" i="101" a="1"/>
  <c r="W15" i="101" s="1"/>
  <c r="P87" i="101"/>
  <c r="U87" i="101" s="1"/>
  <c r="S87" i="101" s="1"/>
  <c r="S89" i="101" s="1"/>
  <c r="H35" i="101"/>
  <c r="E71" i="74"/>
  <c r="H73" i="74"/>
  <c r="E72" i="74"/>
  <c r="D75" i="74"/>
  <c r="E78" i="74"/>
  <c r="W39" i="74" s="1" a="1"/>
  <c r="W39" i="74" s="1"/>
  <c r="G80" i="74"/>
  <c r="H78" i="74"/>
  <c r="F76" i="74"/>
  <c r="H72" i="74"/>
  <c r="W33" i="74" s="1" a="1"/>
  <c r="W33" i="74" s="1"/>
  <c r="I80" i="74"/>
  <c r="G78" i="74"/>
  <c r="E76" i="74"/>
  <c r="F73" i="74"/>
  <c r="W34" i="74" s="1" a="1"/>
  <c r="W34" i="74" s="1"/>
  <c r="D78" i="74"/>
  <c r="F74" i="74"/>
  <c r="D71" i="74"/>
  <c r="E79" i="74"/>
  <c r="F75" i="74"/>
  <c r="F71" i="74"/>
  <c r="D79" i="74"/>
  <c r="D76" i="74"/>
  <c r="W37" i="74" s="1" a="1"/>
  <c r="W37" i="74" s="1"/>
  <c r="D74" i="74"/>
  <c r="F72" i="74"/>
  <c r="F80" i="74"/>
  <c r="I77" i="74"/>
  <c r="G73" i="74"/>
  <c r="H77" i="74"/>
  <c r="I74" i="74"/>
  <c r="H80" i="74"/>
  <c r="F78" i="74"/>
  <c r="I75" i="74"/>
  <c r="I73" i="74"/>
  <c r="I71" i="74"/>
  <c r="I70" i="74" s="1"/>
  <c r="E77" i="74"/>
  <c r="D72" i="74"/>
  <c r="E80" i="74"/>
  <c r="D77" i="74"/>
  <c r="W38" i="74" s="1" a="1"/>
  <c r="W38" i="74" s="1"/>
  <c r="E74" i="74"/>
  <c r="D80" i="74"/>
  <c r="G77" i="74"/>
  <c r="E75" i="74"/>
  <c r="W36" i="74" s="1" a="1"/>
  <c r="W36" i="74" s="1"/>
  <c r="E73" i="74"/>
  <c r="F79" i="74"/>
  <c r="G75" i="74"/>
  <c r="G71" i="74"/>
  <c r="I79" i="74"/>
  <c r="I76" i="74"/>
  <c r="G72" i="74"/>
  <c r="H79" i="74"/>
  <c r="H76" i="74"/>
  <c r="H74" i="74"/>
  <c r="P46" i="72"/>
  <c r="U46" i="72" s="1"/>
  <c r="S46" i="72" s="1"/>
  <c r="E32" i="72"/>
  <c r="I75" i="63"/>
  <c r="W43" i="63" a="1"/>
  <c r="W43" i="63" s="1"/>
  <c r="W40" i="63" s="1"/>
  <c r="P62" i="25"/>
  <c r="U62" i="25" s="1"/>
  <c r="S62" i="25" s="1"/>
  <c r="W29" i="80" a="1"/>
  <c r="W29" i="80" s="1"/>
  <c r="Z93" i="59"/>
  <c r="N85" i="59"/>
  <c r="H59" i="102"/>
  <c r="E59" i="102"/>
  <c r="W28" i="102" a="1"/>
  <c r="W28" i="102" s="1"/>
  <c r="N101" i="102"/>
  <c r="P105" i="102"/>
  <c r="U105" i="102" s="1"/>
  <c r="S105" i="102" s="1"/>
  <c r="P107" i="102"/>
  <c r="U107" i="102" s="1"/>
  <c r="S107" i="102" s="1"/>
  <c r="P104" i="102"/>
  <c r="U104" i="102" s="1"/>
  <c r="S104" i="102" s="1"/>
  <c r="Z109" i="102"/>
  <c r="P114" i="102" s="1"/>
  <c r="U114" i="102" s="1"/>
  <c r="S114" i="102" s="1"/>
  <c r="Z91" i="60"/>
  <c r="N83" i="60"/>
  <c r="Z101" i="62"/>
  <c r="P95" i="62"/>
  <c r="U95" i="62" s="1"/>
  <c r="S95" i="62" s="1"/>
  <c r="N93" i="62"/>
  <c r="P115" i="102"/>
  <c r="U115" i="102" s="1"/>
  <c r="S115" i="102" s="1"/>
  <c r="W33" i="95" a="1"/>
  <c r="W33" i="95" s="1"/>
  <c r="W51" i="96" a="1"/>
  <c r="W51" i="96" s="1"/>
  <c r="W34" i="95" a="1"/>
  <c r="W34" i="95" s="1"/>
  <c r="I55" i="83"/>
  <c r="F49" i="68"/>
  <c r="P74" i="90"/>
  <c r="U74" i="90" s="1"/>
  <c r="S74" i="90" s="1"/>
  <c r="I63" i="74"/>
  <c r="E61" i="74"/>
  <c r="E58" i="74"/>
  <c r="P98" i="74" s="1"/>
  <c r="U98" i="74" s="1"/>
  <c r="S98" i="74" s="1"/>
  <c r="G55" i="74"/>
  <c r="P76" i="74" s="1"/>
  <c r="U76" i="74" s="1"/>
  <c r="S76" i="74" s="1"/>
  <c r="D63" i="74"/>
  <c r="F60" i="74"/>
  <c r="D58" i="74"/>
  <c r="P97" i="74" s="1"/>
  <c r="U97" i="74" s="1"/>
  <c r="S97" i="74" s="1"/>
  <c r="F55" i="74"/>
  <c r="P75" i="74" s="1"/>
  <c r="U75" i="74" s="1"/>
  <c r="S75" i="74" s="1"/>
  <c r="G60" i="74"/>
  <c r="I56" i="74"/>
  <c r="P86" i="74" s="1"/>
  <c r="U86" i="74" s="1"/>
  <c r="S86" i="74" s="1"/>
  <c r="D61" i="74"/>
  <c r="F57" i="74"/>
  <c r="P91" i="74" s="1"/>
  <c r="U91" i="74" s="1"/>
  <c r="S91" i="74" s="1"/>
  <c r="E62" i="74"/>
  <c r="H59" i="74"/>
  <c r="E57" i="74"/>
  <c r="P90" i="74" s="1"/>
  <c r="U90" i="74" s="1"/>
  <c r="S90" i="74" s="1"/>
  <c r="E63" i="74"/>
  <c r="F59" i="74"/>
  <c r="E56" i="74"/>
  <c r="P82" i="74" s="1"/>
  <c r="U82" i="74" s="1"/>
  <c r="S82" i="74" s="1"/>
  <c r="H63" i="74"/>
  <c r="I59" i="74"/>
  <c r="H56" i="74"/>
  <c r="P85" i="74" s="1"/>
  <c r="U85" i="74" s="1"/>
  <c r="S85" i="74" s="1"/>
  <c r="G61" i="74"/>
  <c r="D59" i="74"/>
  <c r="G56" i="74"/>
  <c r="P84" i="74" s="1"/>
  <c r="U84" i="74" s="1"/>
  <c r="S84" i="74" s="1"/>
  <c r="G62" i="74"/>
  <c r="I58" i="74"/>
  <c r="P102" i="74" s="1"/>
  <c r="U102" i="74" s="1"/>
  <c r="S102" i="74" s="1"/>
  <c r="D55" i="74"/>
  <c r="P73" i="74" s="1"/>
  <c r="U73" i="74" s="1"/>
  <c r="S73" i="74" s="1"/>
  <c r="F62" i="74"/>
  <c r="E59" i="74"/>
  <c r="D56" i="74"/>
  <c r="P81" i="74" s="1"/>
  <c r="U81" i="74" s="1"/>
  <c r="S81" i="74" s="1"/>
  <c r="G63" i="74"/>
  <c r="W24" i="74" s="1" a="1"/>
  <c r="W24" i="74" s="1"/>
  <c r="I60" i="74"/>
  <c r="G58" i="74"/>
  <c r="P100" i="74" s="1"/>
  <c r="U100" i="74" s="1"/>
  <c r="S100" i="74" s="1"/>
  <c r="I55" i="74"/>
  <c r="I61" i="74"/>
  <c r="G57" i="74"/>
  <c r="P92" i="74" s="1"/>
  <c r="U92" i="74" s="1"/>
  <c r="S92" i="74" s="1"/>
  <c r="H61" i="74"/>
  <c r="H58" i="74"/>
  <c r="P101" i="74" s="1"/>
  <c r="U101" i="74" s="1"/>
  <c r="S101" i="74" s="1"/>
  <c r="I62" i="74"/>
  <c r="W23" i="74" s="1" a="1"/>
  <c r="W23" i="74" s="1"/>
  <c r="E60" i="74"/>
  <c r="I57" i="74"/>
  <c r="P94" i="74" s="1"/>
  <c r="U94" i="74" s="1"/>
  <c r="S94" i="74" s="1"/>
  <c r="P92" i="78"/>
  <c r="U92" i="78" s="1"/>
  <c r="S92" i="78" s="1"/>
  <c r="P113" i="78"/>
  <c r="U113" i="78" s="1"/>
  <c r="S113" i="78" s="1"/>
  <c r="P91" i="78"/>
  <c r="U91" i="78" s="1"/>
  <c r="S91" i="78" s="1"/>
  <c r="P106" i="78"/>
  <c r="U106" i="78" s="1"/>
  <c r="S106" i="78" s="1"/>
  <c r="P84" i="78"/>
  <c r="U84" i="78" s="1"/>
  <c r="S84" i="78" s="1"/>
  <c r="P115" i="78"/>
  <c r="U115" i="78" s="1"/>
  <c r="S115" i="78" s="1"/>
  <c r="P93" i="78"/>
  <c r="U93" i="78" s="1"/>
  <c r="S93" i="78" s="1"/>
  <c r="P107" i="78"/>
  <c r="U107" i="78" s="1"/>
  <c r="S107" i="78" s="1"/>
  <c r="P85" i="78"/>
  <c r="U85" i="78" s="1"/>
  <c r="S85" i="78" s="1"/>
  <c r="P72" i="78"/>
  <c r="U72" i="78" s="1"/>
  <c r="S72" i="78" s="1"/>
  <c r="P122" i="78"/>
  <c r="U122" i="78" s="1"/>
  <c r="S122" i="78" s="1"/>
  <c r="P100" i="78"/>
  <c r="U100" i="78" s="1"/>
  <c r="S100" i="78" s="1"/>
  <c r="P123" i="78"/>
  <c r="U123" i="78" s="1"/>
  <c r="S123" i="78" s="1"/>
  <c r="P101" i="78"/>
  <c r="U101" i="78" s="1"/>
  <c r="S101" i="78" s="1"/>
  <c r="P81" i="78"/>
  <c r="U81" i="78" s="1"/>
  <c r="S81" i="78" s="1"/>
  <c r="P116" i="78"/>
  <c r="U116" i="78" s="1"/>
  <c r="S116" i="78" s="1"/>
  <c r="P96" i="78"/>
  <c r="U96" i="78" s="1"/>
  <c r="S96" i="78" s="1"/>
  <c r="P74" i="78"/>
  <c r="U74" i="78" s="1"/>
  <c r="S74" i="78" s="1"/>
  <c r="P125" i="78"/>
  <c r="U125" i="78" s="1"/>
  <c r="S125" i="78" s="1"/>
  <c r="P105" i="78"/>
  <c r="U105" i="78" s="1"/>
  <c r="S105" i="78" s="1"/>
  <c r="P83" i="78"/>
  <c r="U83" i="78" s="1"/>
  <c r="S83" i="78" s="1"/>
  <c r="P117" i="78"/>
  <c r="U117" i="78" s="1"/>
  <c r="S117" i="78" s="1"/>
  <c r="P97" i="78"/>
  <c r="U97" i="78" s="1"/>
  <c r="S97" i="78" s="1"/>
  <c r="P112" i="78"/>
  <c r="U112" i="78" s="1"/>
  <c r="S112" i="78" s="1"/>
  <c r="P90" i="78"/>
  <c r="U90" i="78" s="1"/>
  <c r="S90" i="78" s="1"/>
  <c r="P121" i="78"/>
  <c r="U121" i="78" s="1"/>
  <c r="S121" i="78" s="1"/>
  <c r="P99" i="78"/>
  <c r="U99" i="78" s="1"/>
  <c r="S99" i="78" s="1"/>
  <c r="P89" i="78"/>
  <c r="U89" i="78" s="1"/>
  <c r="S89" i="78" s="1"/>
  <c r="P80" i="78"/>
  <c r="U80" i="78" s="1"/>
  <c r="S80" i="78" s="1"/>
  <c r="P109" i="78"/>
  <c r="U109" i="78" s="1"/>
  <c r="S109" i="78" s="1"/>
  <c r="G29" i="105"/>
  <c r="P64" i="105"/>
  <c r="U64" i="105" s="1"/>
  <c r="S64" i="105" s="1"/>
  <c r="Z88" i="85"/>
  <c r="N80" i="85"/>
  <c r="D35" i="72"/>
  <c r="P61" i="72"/>
  <c r="U61" i="72" s="1"/>
  <c r="S61" i="72" s="1"/>
  <c r="W34" i="82" a="1"/>
  <c r="W34" i="82" s="1"/>
  <c r="H35" i="72"/>
  <c r="P65" i="72"/>
  <c r="U65" i="72" s="1"/>
  <c r="S65" i="72" s="1"/>
  <c r="P57" i="69"/>
  <c r="U57" i="69" s="1"/>
  <c r="S57" i="69" s="1"/>
  <c r="W14" i="69" a="1"/>
  <c r="W14" i="69" s="1"/>
  <c r="F90" i="92"/>
  <c r="H90" i="92"/>
  <c r="I90" i="92"/>
  <c r="E90" i="92"/>
  <c r="G90" i="92"/>
  <c r="F59" i="102"/>
  <c r="D59" i="102"/>
  <c r="W29" i="102" a="1"/>
  <c r="W29" i="102" s="1"/>
  <c r="Z112" i="57"/>
  <c r="N104" i="57"/>
  <c r="N113" i="79"/>
  <c r="Z121" i="79"/>
  <c r="N84" i="66"/>
  <c r="P87" i="66"/>
  <c r="U87" i="66" s="1"/>
  <c r="S87" i="66" s="1"/>
  <c r="Z92" i="66"/>
  <c r="P101" i="101"/>
  <c r="U101" i="101" s="1"/>
  <c r="S101" i="101" s="1"/>
  <c r="P102" i="101"/>
  <c r="U102" i="101" s="1"/>
  <c r="S102" i="101" s="1"/>
  <c r="P99" i="101"/>
  <c r="U99" i="101" s="1"/>
  <c r="S99" i="101" s="1"/>
  <c r="Z106" i="101"/>
  <c r="P109" i="101" s="1"/>
  <c r="U109" i="101" s="1"/>
  <c r="S109" i="101" s="1"/>
  <c r="P104" i="101"/>
  <c r="U104" i="101" s="1"/>
  <c r="S104" i="101" s="1"/>
  <c r="P100" i="101"/>
  <c r="U100" i="101" s="1"/>
  <c r="S100" i="101" s="1"/>
  <c r="N98" i="101"/>
  <c r="W35" i="95" a="1"/>
  <c r="W35" i="95" s="1"/>
  <c r="W21" i="121" a="1"/>
  <c r="W21" i="121" s="1"/>
  <c r="W21" i="62" a="1"/>
  <c r="W21" i="62" s="1"/>
  <c r="P67" i="118"/>
  <c r="U67" i="118" s="1"/>
  <c r="S67" i="118" s="1"/>
  <c r="P77" i="118"/>
  <c r="U77" i="118" s="1"/>
  <c r="S77" i="118" s="1"/>
  <c r="P74" i="118"/>
  <c r="U74" i="118" s="1"/>
  <c r="S74" i="118" s="1"/>
  <c r="W32" i="111" a="1"/>
  <c r="W32" i="111" s="1"/>
  <c r="I57" i="111"/>
  <c r="D92" i="92"/>
  <c r="H92" i="92"/>
  <c r="I92" i="92"/>
  <c r="G92" i="92"/>
  <c r="E92" i="92"/>
  <c r="H44" i="111"/>
  <c r="F44" i="111"/>
  <c r="P72" i="89"/>
  <c r="U72" i="89" s="1"/>
  <c r="S72" i="89" s="1"/>
  <c r="P74" i="89"/>
  <c r="U74" i="89" s="1"/>
  <c r="S74" i="89" s="1"/>
  <c r="P75" i="89"/>
  <c r="U75" i="89" s="1"/>
  <c r="S75" i="89" s="1"/>
  <c r="P73" i="89"/>
  <c r="U73" i="89" s="1"/>
  <c r="S73" i="89" s="1"/>
  <c r="P71" i="89"/>
  <c r="U71" i="89" s="1"/>
  <c r="S71" i="89" s="1"/>
  <c r="P86" i="88"/>
  <c r="U86" i="88" s="1"/>
  <c r="S86" i="88" s="1"/>
  <c r="I59" i="78"/>
  <c r="E29" i="105"/>
  <c r="P62" i="105"/>
  <c r="U62" i="105" s="1"/>
  <c r="S62" i="105" s="1"/>
  <c r="W22" i="59" a="1"/>
  <c r="W22" i="59" s="1"/>
  <c r="W31" i="102" a="1"/>
  <c r="W31" i="102" s="1"/>
  <c r="F52" i="101"/>
  <c r="H53" i="95"/>
  <c r="W45" i="84" a="1"/>
  <c r="W45" i="84" s="1"/>
  <c r="P97" i="66"/>
  <c r="U97" i="66" s="1"/>
  <c r="S97" i="66" s="1"/>
  <c r="P95" i="66"/>
  <c r="U95" i="66" s="1"/>
  <c r="S95" i="66" s="1"/>
  <c r="W22" i="121" a="1"/>
  <c r="W22" i="121" s="1"/>
  <c r="G70" i="92"/>
  <c r="E70" i="92"/>
  <c r="W31" i="92" a="1"/>
  <c r="W31" i="92" s="1"/>
  <c r="H67" i="34"/>
  <c r="W38" i="34" a="1"/>
  <c r="W38" i="34" s="1"/>
  <c r="E82" i="74"/>
  <c r="I83" i="74"/>
  <c r="E83" i="74"/>
  <c r="G82" i="74"/>
  <c r="D83" i="74"/>
  <c r="D81" i="74" s="1"/>
  <c r="I82" i="74"/>
  <c r="I81" i="74" s="1"/>
  <c r="H83" i="74"/>
  <c r="P72" i="25"/>
  <c r="U72" i="25" s="1"/>
  <c r="S72" i="25" s="1"/>
  <c r="S76" i="25" s="1"/>
  <c r="D34" i="25"/>
  <c r="P54" i="25"/>
  <c r="U54" i="25" s="1"/>
  <c r="S54" i="25" s="1"/>
  <c r="W16" i="25" a="1"/>
  <c r="W16" i="25" s="1"/>
  <c r="P59" i="118"/>
  <c r="U59" i="118" s="1"/>
  <c r="S59" i="118" s="1"/>
  <c r="G29" i="118"/>
  <c r="P76" i="121"/>
  <c r="U76" i="121" s="1"/>
  <c r="S76" i="121" s="1"/>
  <c r="Z80" i="121"/>
  <c r="P102" i="80"/>
  <c r="U102" i="80" s="1"/>
  <c r="S102" i="80" s="1"/>
  <c r="P115" i="49"/>
  <c r="U115" i="49" s="1"/>
  <c r="S115" i="49" s="1"/>
  <c r="Z118" i="49"/>
  <c r="P112" i="49"/>
  <c r="U112" i="49" s="1"/>
  <c r="S112" i="49" s="1"/>
  <c r="P111" i="49"/>
  <c r="U111" i="49" s="1"/>
  <c r="S111" i="49" s="1"/>
  <c r="P114" i="49"/>
  <c r="U114" i="49" s="1"/>
  <c r="S114" i="49" s="1"/>
  <c r="N110" i="49"/>
  <c r="P113" i="49"/>
  <c r="U113" i="49" s="1"/>
  <c r="S113" i="49" s="1"/>
  <c r="W36" i="111" a="1"/>
  <c r="W36" i="111" s="1"/>
  <c r="G44" i="111"/>
  <c r="W13" i="109" a="1"/>
  <c r="W13" i="109" s="1"/>
  <c r="G44" i="62"/>
  <c r="P73" i="62"/>
  <c r="U73" i="62" s="1"/>
  <c r="S73" i="62" s="1"/>
  <c r="G36" i="62"/>
  <c r="P49" i="62" s="1"/>
  <c r="U49" i="62" s="1"/>
  <c r="S49" i="62" s="1"/>
  <c r="W20" i="62" a="1"/>
  <c r="W20" i="62" s="1"/>
  <c r="G33" i="62"/>
  <c r="W23" i="62" a="1"/>
  <c r="W23" i="62" s="1"/>
  <c r="W25" i="62" a="1"/>
  <c r="W25" i="62" s="1"/>
  <c r="E33" i="62"/>
  <c r="I36" i="62"/>
  <c r="W18" i="62" a="1"/>
  <c r="W18" i="62" s="1"/>
  <c r="P70" i="62"/>
  <c r="U70" i="62" s="1"/>
  <c r="S70" i="62" s="1"/>
  <c r="W15" i="62" a="1"/>
  <c r="W15" i="62" s="1"/>
  <c r="P54" i="62"/>
  <c r="U54" i="62" s="1"/>
  <c r="S54" i="62" s="1"/>
  <c r="H36" i="62"/>
  <c r="E36" i="62"/>
  <c r="P47" i="62" s="1"/>
  <c r="U47" i="62" s="1"/>
  <c r="S47" i="62" s="1"/>
  <c r="F33" i="62"/>
  <c r="F36" i="62"/>
  <c r="P48" i="62" s="1"/>
  <c r="U48" i="62" s="1"/>
  <c r="S48" i="62" s="1"/>
  <c r="P64" i="62"/>
  <c r="U64" i="62" s="1"/>
  <c r="S64" i="62" s="1"/>
  <c r="D36" i="62"/>
  <c r="P62" i="62"/>
  <c r="U62" i="62" s="1"/>
  <c r="S62" i="62" s="1"/>
  <c r="W17" i="62" a="1"/>
  <c r="W17" i="62" s="1"/>
  <c r="W22" i="62" a="1"/>
  <c r="W22" i="62" s="1"/>
  <c r="P67" i="91"/>
  <c r="U67" i="91" s="1"/>
  <c r="S67" i="91" s="1"/>
  <c r="P66" i="91"/>
  <c r="U66" i="91" s="1"/>
  <c r="S66" i="91" s="1"/>
  <c r="P64" i="91"/>
  <c r="U64" i="91" s="1"/>
  <c r="S64" i="91" s="1"/>
  <c r="P65" i="91"/>
  <c r="U65" i="91" s="1"/>
  <c r="S65" i="91" s="1"/>
  <c r="P68" i="91"/>
  <c r="U68" i="91" s="1"/>
  <c r="S68" i="91" s="1"/>
  <c r="E75" i="84"/>
  <c r="W44" i="84" a="1"/>
  <c r="W44" i="84" s="1"/>
  <c r="W46" i="73" a="1"/>
  <c r="W46" i="73" s="1"/>
  <c r="F77" i="73"/>
  <c r="G49" i="68"/>
  <c r="W29" i="68" a="1"/>
  <c r="W29" i="68" s="1"/>
  <c r="E40" i="75"/>
  <c r="P53" i="75" s="1"/>
  <c r="U53" i="75" s="1"/>
  <c r="S53" i="75" s="1"/>
  <c r="I40" i="75"/>
  <c r="W14" i="75" s="1" a="1"/>
  <c r="W14" i="75" s="1"/>
  <c r="D42" i="75"/>
  <c r="P68" i="75" s="1"/>
  <c r="U68" i="75" s="1"/>
  <c r="S68" i="75" s="1"/>
  <c r="D40" i="75"/>
  <c r="D41" i="75"/>
  <c r="P60" i="75" s="1"/>
  <c r="U60" i="75" s="1"/>
  <c r="S60" i="75" s="1"/>
  <c r="F42" i="75"/>
  <c r="P70" i="75" s="1"/>
  <c r="U70" i="75" s="1"/>
  <c r="S70" i="75" s="1"/>
  <c r="F40" i="75"/>
  <c r="P54" i="75" s="1"/>
  <c r="U54" i="75" s="1"/>
  <c r="S54" i="75" s="1"/>
  <c r="G41" i="75"/>
  <c r="P63" i="75" s="1"/>
  <c r="U63" i="75" s="1"/>
  <c r="S63" i="75" s="1"/>
  <c r="H42" i="75"/>
  <c r="P72" i="75" s="1"/>
  <c r="U72" i="75" s="1"/>
  <c r="S72" i="75" s="1"/>
  <c r="I42" i="75"/>
  <c r="P73" i="75" s="1"/>
  <c r="U73" i="75" s="1"/>
  <c r="S73" i="75" s="1"/>
  <c r="H41" i="75"/>
  <c r="P64" i="75" s="1"/>
  <c r="U64" i="75" s="1"/>
  <c r="S64" i="75" s="1"/>
  <c r="G42" i="75"/>
  <c r="P71" i="75" s="1"/>
  <c r="U71" i="75" s="1"/>
  <c r="S71" i="75" s="1"/>
  <c r="G40" i="75"/>
  <c r="I41" i="75"/>
  <c r="P65" i="75" s="1"/>
  <c r="U65" i="75" s="1"/>
  <c r="S65" i="75" s="1"/>
  <c r="E41" i="75"/>
  <c r="P61" i="75" s="1"/>
  <c r="U61" i="75" s="1"/>
  <c r="S61" i="75" s="1"/>
  <c r="W28" i="66" a="1"/>
  <c r="W28" i="66" s="1"/>
  <c r="E42" i="66"/>
  <c r="W37" i="111" a="1"/>
  <c r="W37" i="111" s="1"/>
  <c r="G47" i="25"/>
  <c r="H51" i="116"/>
  <c r="W49" i="88" a="1"/>
  <c r="W49" i="88" s="1"/>
  <c r="F82" i="88"/>
  <c r="I63" i="77"/>
  <c r="W22" i="88" a="1"/>
  <c r="W22" i="88" s="1"/>
  <c r="E42" i="75"/>
  <c r="W18" i="63" a="1"/>
  <c r="W18" i="63" s="1"/>
  <c r="W37" i="86" a="1"/>
  <c r="W37" i="86" s="1"/>
  <c r="W36" i="86" s="1"/>
  <c r="E47" i="25"/>
  <c r="H60" i="111"/>
  <c r="W20" i="111" a="1"/>
  <c r="W20" i="111" s="1"/>
  <c r="W43" i="82" a="1"/>
  <c r="W43" i="82" s="1"/>
  <c r="H40" i="75"/>
  <c r="W21" i="86" a="1"/>
  <c r="W21" i="86" s="1"/>
  <c r="W35" i="86" a="1"/>
  <c r="W35" i="86" s="1"/>
  <c r="G69" i="86"/>
  <c r="I64" i="102"/>
  <c r="I43" i="101"/>
  <c r="P99" i="102"/>
  <c r="U99" i="102" s="1"/>
  <c r="S99" i="102" s="1"/>
  <c r="I54" i="102"/>
  <c r="H73" i="63"/>
  <c r="H72" i="63" s="1"/>
  <c r="I73" i="63"/>
  <c r="I72" i="63" s="1"/>
  <c r="E73" i="63"/>
  <c r="E72" i="63" s="1"/>
  <c r="F73" i="63"/>
  <c r="F72" i="63" s="1"/>
  <c r="H34" i="80"/>
  <c r="P56" i="80" s="1"/>
  <c r="U56" i="80" s="1"/>
  <c r="S56" i="80" s="1"/>
  <c r="I34" i="80"/>
  <c r="P57" i="80" s="1"/>
  <c r="U57" i="80" s="1"/>
  <c r="S57" i="80" s="1"/>
  <c r="D33" i="80"/>
  <c r="H33" i="80"/>
  <c r="F33" i="80"/>
  <c r="G33" i="80"/>
  <c r="P47" i="80" s="1"/>
  <c r="U47" i="80" s="1"/>
  <c r="S47" i="80" s="1"/>
  <c r="F34" i="80"/>
  <c r="P54" i="80" s="1"/>
  <c r="U54" i="80" s="1"/>
  <c r="S54" i="80" s="1"/>
  <c r="D34" i="80"/>
  <c r="P52" i="80" s="1"/>
  <c r="U52" i="80" s="1"/>
  <c r="S52" i="80" s="1"/>
  <c r="E34" i="80"/>
  <c r="P53" i="80" s="1"/>
  <c r="U53" i="80" s="1"/>
  <c r="S53" i="80" s="1"/>
  <c r="W29" i="66" a="1"/>
  <c r="W29" i="66" s="1"/>
  <c r="F70" i="57"/>
  <c r="H71" i="57"/>
  <c r="I74" i="57"/>
  <c r="I75" i="57"/>
  <c r="I70" i="57"/>
  <c r="F72" i="57"/>
  <c r="E73" i="57"/>
  <c r="D74" i="57"/>
  <c r="D71" i="57"/>
  <c r="G72" i="57"/>
  <c r="G73" i="57"/>
  <c r="E74" i="57"/>
  <c r="E75" i="57"/>
  <c r="I73" i="57"/>
  <c r="G75" i="57"/>
  <c r="D70" i="57"/>
  <c r="E72" i="57"/>
  <c r="G74" i="57"/>
  <c r="F75" i="57"/>
  <c r="E70" i="57"/>
  <c r="G70" i="57"/>
  <c r="I72" i="57"/>
  <c r="D75" i="57"/>
  <c r="H74" i="57"/>
  <c r="D72" i="57"/>
  <c r="F71" i="57"/>
  <c r="H72" i="57"/>
  <c r="F74" i="57"/>
  <c r="E71" i="57"/>
  <c r="D73" i="57"/>
  <c r="H75" i="57"/>
  <c r="F73" i="57"/>
  <c r="G71" i="57"/>
  <c r="I71" i="57"/>
  <c r="H73" i="57"/>
  <c r="H70" i="57"/>
  <c r="P76" i="118"/>
  <c r="U76" i="118" s="1"/>
  <c r="S76" i="118" s="1"/>
  <c r="P72" i="118"/>
  <c r="U72" i="118" s="1"/>
  <c r="S72" i="118" s="1"/>
  <c r="P73" i="118"/>
  <c r="U73" i="118" s="1"/>
  <c r="S73" i="118" s="1"/>
  <c r="P75" i="118"/>
  <c r="U75" i="118" s="1"/>
  <c r="S75" i="118" s="1"/>
  <c r="N71" i="118"/>
  <c r="Z79" i="118"/>
  <c r="P84" i="123"/>
  <c r="U84" i="123" s="1"/>
  <c r="S84" i="123" s="1"/>
  <c r="P104" i="123"/>
  <c r="U104" i="123" s="1"/>
  <c r="S104" i="123" s="1"/>
  <c r="P93" i="123"/>
  <c r="U93" i="123" s="1"/>
  <c r="S93" i="123" s="1"/>
  <c r="P88" i="123"/>
  <c r="U88" i="123" s="1"/>
  <c r="S88" i="123" s="1"/>
  <c r="P92" i="123"/>
  <c r="U92" i="123" s="1"/>
  <c r="S92" i="123" s="1"/>
  <c r="P87" i="123"/>
  <c r="U87" i="123" s="1"/>
  <c r="S87" i="123" s="1"/>
  <c r="P97" i="123"/>
  <c r="U97" i="123" s="1"/>
  <c r="S97" i="123" s="1"/>
  <c r="P94" i="123"/>
  <c r="U94" i="123" s="1"/>
  <c r="S94" i="123" s="1"/>
  <c r="P96" i="123"/>
  <c r="U96" i="123" s="1"/>
  <c r="S96" i="123" s="1"/>
  <c r="P105" i="123"/>
  <c r="U105" i="123" s="1"/>
  <c r="S105" i="123" s="1"/>
  <c r="P103" i="123"/>
  <c r="U103" i="123" s="1"/>
  <c r="S103" i="123" s="1"/>
  <c r="P86" i="123"/>
  <c r="U86" i="123" s="1"/>
  <c r="S86" i="123" s="1"/>
  <c r="P95" i="123"/>
  <c r="U95" i="123" s="1"/>
  <c r="S95" i="123" s="1"/>
  <c r="D60" i="109"/>
  <c r="E60" i="109"/>
  <c r="I60" i="109"/>
  <c r="G60" i="109"/>
  <c r="F60" i="109"/>
  <c r="F39" i="106"/>
  <c r="P89" i="103"/>
  <c r="U89" i="103" s="1"/>
  <c r="S89" i="103" s="1"/>
  <c r="P91" i="103"/>
  <c r="U91" i="103" s="1"/>
  <c r="S91" i="103" s="1"/>
  <c r="P90" i="103"/>
  <c r="U90" i="103" s="1"/>
  <c r="S90" i="103" s="1"/>
  <c r="P92" i="103"/>
  <c r="U92" i="103" s="1"/>
  <c r="S92" i="103" s="1"/>
  <c r="P88" i="103"/>
  <c r="U88" i="103" s="1"/>
  <c r="S88" i="103" s="1"/>
  <c r="H75" i="108"/>
  <c r="G75" i="108"/>
  <c r="I75" i="108"/>
  <c r="E75" i="108"/>
  <c r="D50" i="108"/>
  <c r="H50" i="108"/>
  <c r="G50" i="108"/>
  <c r="F50" i="108"/>
  <c r="E50" i="108"/>
  <c r="W18" i="101" a="1"/>
  <c r="W18" i="101" s="1"/>
  <c r="P103" i="101"/>
  <c r="U103" i="101" s="1"/>
  <c r="S103" i="101" s="1"/>
  <c r="H40" i="101"/>
  <c r="P88" i="109"/>
  <c r="U88" i="109" s="1"/>
  <c r="S88" i="109" s="1"/>
  <c r="I43" i="109"/>
  <c r="W46" i="84" a="1"/>
  <c r="W46" i="84" s="1"/>
  <c r="W36" i="83" a="1"/>
  <c r="W36" i="83" s="1"/>
  <c r="D55" i="83"/>
  <c r="W20" i="121" a="1"/>
  <c r="W20" i="121" s="1"/>
  <c r="W23" i="86" a="1"/>
  <c r="W23" i="86" s="1"/>
  <c r="W27" i="86" a="1"/>
  <c r="W27" i="86" s="1"/>
  <c r="W34" i="86" a="1"/>
  <c r="W34" i="86" s="1"/>
  <c r="H81" i="98"/>
  <c r="D77" i="73"/>
  <c r="W47" i="73" a="1"/>
  <c r="W47" i="73" s="1"/>
  <c r="W47" i="92" a="1"/>
  <c r="W47" i="92" s="1"/>
  <c r="W39" i="57" a="1"/>
  <c r="W39" i="57" s="1"/>
  <c r="H56" i="108"/>
  <c r="P70" i="123"/>
  <c r="U70" i="123" s="1"/>
  <c r="S70" i="123" s="1"/>
  <c r="P73" i="123"/>
  <c r="U73" i="123" s="1"/>
  <c r="S73" i="123" s="1"/>
  <c r="P71" i="123"/>
  <c r="U71" i="123" s="1"/>
  <c r="S71" i="123" s="1"/>
  <c r="P69" i="123"/>
  <c r="U69" i="123" s="1"/>
  <c r="S69" i="123" s="1"/>
  <c r="P72" i="123"/>
  <c r="U72" i="123" s="1"/>
  <c r="S72" i="123" s="1"/>
  <c r="G43" i="101"/>
  <c r="W22" i="101" a="1"/>
  <c r="W22" i="101" s="1"/>
  <c r="P49" i="106"/>
  <c r="U49" i="106" s="1"/>
  <c r="S49" i="106" s="1"/>
  <c r="E29" i="106"/>
  <c r="H43" i="101"/>
  <c r="W21" i="101" a="1"/>
  <c r="W21" i="101" s="1"/>
  <c r="P112" i="109"/>
  <c r="U112" i="109" s="1"/>
  <c r="S112" i="109" s="1"/>
  <c r="W39" i="102" a="1"/>
  <c r="W39" i="102" s="1"/>
  <c r="E59" i="98"/>
  <c r="F59" i="98"/>
  <c r="P95" i="102"/>
  <c r="U95" i="102" s="1"/>
  <c r="S95" i="102" s="1"/>
  <c r="W49" i="96" a="1"/>
  <c r="W49" i="96" s="1"/>
  <c r="I75" i="84"/>
  <c r="P75" i="109"/>
  <c r="U75" i="109" s="1"/>
  <c r="S75" i="109" s="1"/>
  <c r="D43" i="109"/>
  <c r="F75" i="84"/>
  <c r="M27" i="36"/>
  <c r="P27" i="36"/>
  <c r="N27" i="36"/>
  <c r="O27" i="36"/>
  <c r="Q27" i="36"/>
  <c r="W30" i="68" a="1"/>
  <c r="W30" i="68" s="1"/>
  <c r="D49" i="68"/>
  <c r="I63" i="73"/>
  <c r="E61" i="73"/>
  <c r="D63" i="73"/>
  <c r="F60" i="73"/>
  <c r="G63" i="73"/>
  <c r="I60" i="73"/>
  <c r="G62" i="73"/>
  <c r="D60" i="73"/>
  <c r="F64" i="73"/>
  <c r="H61" i="73"/>
  <c r="I64" i="73"/>
  <c r="E62" i="73"/>
  <c r="E63" i="73"/>
  <c r="H63" i="73"/>
  <c r="E64" i="73"/>
  <c r="I61" i="73"/>
  <c r="F62" i="73"/>
  <c r="I62" i="73"/>
  <c r="G60" i="73"/>
  <c r="D61" i="73"/>
  <c r="G61" i="73"/>
  <c r="G64" i="73"/>
  <c r="F35" i="72"/>
  <c r="P63" i="72"/>
  <c r="U63" i="72" s="1"/>
  <c r="S63" i="72" s="1"/>
  <c r="W17" i="72" a="1"/>
  <c r="W17" i="72" s="1"/>
  <c r="W16" i="72" s="1"/>
  <c r="N70" i="90"/>
  <c r="Z78" i="90"/>
  <c r="P71" i="90"/>
  <c r="U71" i="90" s="1"/>
  <c r="S71" i="90" s="1"/>
  <c r="P76" i="90"/>
  <c r="U76" i="90" s="1"/>
  <c r="S76" i="90" s="1"/>
  <c r="P73" i="90"/>
  <c r="U73" i="90" s="1"/>
  <c r="S73" i="90" s="1"/>
  <c r="W18" i="78" a="1"/>
  <c r="W18" i="78" s="1"/>
  <c r="P114" i="78"/>
  <c r="U114" i="78" s="1"/>
  <c r="S114" i="78" s="1"/>
  <c r="P47" i="49"/>
  <c r="U47" i="49" s="1"/>
  <c r="S47" i="49" s="1"/>
  <c r="W14" i="49" a="1"/>
  <c r="W14" i="49" s="1"/>
  <c r="F35" i="80"/>
  <c r="P62" i="80"/>
  <c r="U62" i="80" s="1"/>
  <c r="S62" i="80" s="1"/>
  <c r="G47" i="75"/>
  <c r="H47" i="75"/>
  <c r="G49" i="75"/>
  <c r="D47" i="75"/>
  <c r="E48" i="75"/>
  <c r="H49" i="75"/>
  <c r="F48" i="75"/>
  <c r="D49" i="75"/>
  <c r="E47" i="75"/>
  <c r="F49" i="75"/>
  <c r="F47" i="75"/>
  <c r="D48" i="75"/>
  <c r="W22" i="75" s="1" a="1"/>
  <c r="W22" i="75" s="1"/>
  <c r="E49" i="75"/>
  <c r="I47" i="75"/>
  <c r="H48" i="75"/>
  <c r="I49" i="75"/>
  <c r="I46" i="75" s="1"/>
  <c r="G48" i="75"/>
  <c r="E74" i="73"/>
  <c r="W41" i="73" a="1"/>
  <c r="W41" i="73" s="1"/>
  <c r="W40" i="73" s="1"/>
  <c r="E40" i="25"/>
  <c r="I42" i="66"/>
  <c r="E87" i="74"/>
  <c r="W49" i="74" a="1"/>
  <c r="W49" i="74" s="1"/>
  <c r="H65" i="57"/>
  <c r="D67" i="57"/>
  <c r="I65" i="57"/>
  <c r="F67" i="57"/>
  <c r="E66" i="57"/>
  <c r="G65" i="57"/>
  <c r="F68" i="57"/>
  <c r="D68" i="57"/>
  <c r="F65" i="57"/>
  <c r="E67" i="57"/>
  <c r="D66" i="57"/>
  <c r="G68" i="57"/>
  <c r="I66" i="57"/>
  <c r="H66" i="57"/>
  <c r="D65" i="57"/>
  <c r="G67" i="57"/>
  <c r="G64" i="57" s="1"/>
  <c r="E68" i="57"/>
  <c r="W18" i="121" a="1"/>
  <c r="W18" i="121" s="1"/>
  <c r="P84" i="121"/>
  <c r="U84" i="121" s="1"/>
  <c r="S84" i="121" s="1"/>
  <c r="P75" i="121"/>
  <c r="U75" i="121" s="1"/>
  <c r="S75" i="121" s="1"/>
  <c r="F33" i="121"/>
  <c r="H42" i="66"/>
  <c r="P90" i="95"/>
  <c r="U90" i="95" s="1"/>
  <c r="S90" i="95" s="1"/>
  <c r="G42" i="66"/>
  <c r="D76" i="57"/>
  <c r="E51" i="86"/>
  <c r="F56" i="108"/>
  <c r="G68" i="108"/>
  <c r="G64" i="123"/>
  <c r="E64" i="123"/>
  <c r="I64" i="123"/>
  <c r="H64" i="123"/>
  <c r="F64" i="123"/>
  <c r="F29" i="106"/>
  <c r="P50" i="106"/>
  <c r="U50" i="106" s="1"/>
  <c r="S50" i="106" s="1"/>
  <c r="H47" i="111"/>
  <c r="F35" i="101"/>
  <c r="P93" i="101"/>
  <c r="U93" i="101" s="1"/>
  <c r="S93" i="101" s="1"/>
  <c r="S97" i="101" s="1"/>
  <c r="P91" i="98"/>
  <c r="U91" i="98" s="1"/>
  <c r="S91" i="98" s="1"/>
  <c r="W17" i="98" a="1"/>
  <c r="W17" i="98" s="1"/>
  <c r="G51" i="98"/>
  <c r="G88" i="96"/>
  <c r="W52" i="96" a="1"/>
  <c r="W52" i="96" s="1"/>
  <c r="W32" i="95" a="1"/>
  <c r="W32" i="95" s="1"/>
  <c r="F53" i="95"/>
  <c r="W50" i="96" a="1"/>
  <c r="W50" i="96" s="1"/>
  <c r="P106" i="82"/>
  <c r="U106" i="82" s="1"/>
  <c r="S106" i="82" s="1"/>
  <c r="P126" i="82"/>
  <c r="U126" i="82" s="1"/>
  <c r="S126" i="82" s="1"/>
  <c r="P74" i="82"/>
  <c r="U74" i="82" s="1"/>
  <c r="S74" i="82" s="1"/>
  <c r="P90" i="82"/>
  <c r="U90" i="82" s="1"/>
  <c r="S90" i="82" s="1"/>
  <c r="P114" i="82"/>
  <c r="U114" i="82" s="1"/>
  <c r="S114" i="82" s="1"/>
  <c r="P75" i="82"/>
  <c r="U75" i="82" s="1"/>
  <c r="S75" i="82" s="1"/>
  <c r="P91" i="82"/>
  <c r="U91" i="82" s="1"/>
  <c r="S91" i="82" s="1"/>
  <c r="P115" i="82"/>
  <c r="U115" i="82" s="1"/>
  <c r="S115" i="82" s="1"/>
  <c r="P73" i="82"/>
  <c r="U73" i="82" s="1"/>
  <c r="S73" i="82" s="1"/>
  <c r="P93" i="82"/>
  <c r="U93" i="82" s="1"/>
  <c r="S93" i="82" s="1"/>
  <c r="P116" i="82"/>
  <c r="U116" i="82" s="1"/>
  <c r="S116" i="82" s="1"/>
  <c r="P110" i="82"/>
  <c r="U110" i="82" s="1"/>
  <c r="S110" i="82" s="1"/>
  <c r="P94" i="82"/>
  <c r="U94" i="82" s="1"/>
  <c r="S94" i="82" s="1"/>
  <c r="P118" i="82"/>
  <c r="U118" i="82" s="1"/>
  <c r="S118" i="82" s="1"/>
  <c r="P100" i="82"/>
  <c r="U100" i="82" s="1"/>
  <c r="S100" i="82" s="1"/>
  <c r="P121" i="82"/>
  <c r="U121" i="82" s="1"/>
  <c r="S121" i="82" s="1"/>
  <c r="P77" i="82"/>
  <c r="U77" i="82" s="1"/>
  <c r="S77" i="82" s="1"/>
  <c r="P98" i="82"/>
  <c r="U98" i="82" s="1"/>
  <c r="S98" i="82" s="1"/>
  <c r="P117" i="82"/>
  <c r="U117" i="82" s="1"/>
  <c r="S117" i="82" s="1"/>
  <c r="P101" i="82"/>
  <c r="U101" i="82" s="1"/>
  <c r="S101" i="82" s="1"/>
  <c r="W20" i="82" a="1"/>
  <c r="W20" i="82" s="1"/>
  <c r="P78" i="82"/>
  <c r="U78" i="82" s="1"/>
  <c r="S78" i="82" s="1"/>
  <c r="P99" i="82"/>
  <c r="U99" i="82" s="1"/>
  <c r="S99" i="82" s="1"/>
  <c r="P124" i="82"/>
  <c r="U124" i="82" s="1"/>
  <c r="S124" i="82" s="1"/>
  <c r="P125" i="82"/>
  <c r="U125" i="82" s="1"/>
  <c r="S125" i="82" s="1"/>
  <c r="P83" i="82"/>
  <c r="U83" i="82" s="1"/>
  <c r="S83" i="82" s="1"/>
  <c r="P102" i="82"/>
  <c r="U102" i="82" s="1"/>
  <c r="S102" i="82" s="1"/>
  <c r="P123" i="82"/>
  <c r="U123" i="82" s="1"/>
  <c r="S123" i="82" s="1"/>
  <c r="P86" i="82"/>
  <c r="U86" i="82" s="1"/>
  <c r="S86" i="82" s="1"/>
  <c r="P82" i="82"/>
  <c r="U82" i="82" s="1"/>
  <c r="S82" i="82" s="1"/>
  <c r="P68" i="82"/>
  <c r="U68" i="82" s="1"/>
  <c r="S68" i="82" s="1"/>
  <c r="P84" i="82"/>
  <c r="U84" i="82" s="1"/>
  <c r="S84" i="82" s="1"/>
  <c r="P108" i="82"/>
  <c r="U108" i="82" s="1"/>
  <c r="S108" i="82" s="1"/>
  <c r="P85" i="82"/>
  <c r="U85" i="82" s="1"/>
  <c r="S85" i="82" s="1"/>
  <c r="P109" i="82"/>
  <c r="U109" i="82" s="1"/>
  <c r="S109" i="82" s="1"/>
  <c r="P89" i="82"/>
  <c r="U89" i="82" s="1"/>
  <c r="S89" i="82" s="1"/>
  <c r="P107" i="82"/>
  <c r="U107" i="82" s="1"/>
  <c r="S107" i="82" s="1"/>
  <c r="P66" i="82"/>
  <c r="U66" i="82" s="1"/>
  <c r="S66" i="82" s="1"/>
  <c r="E55" i="83"/>
  <c r="W34" i="83" a="1"/>
  <c r="W34" i="83" s="1"/>
  <c r="W16" i="69" a="1"/>
  <c r="W16" i="69" s="1"/>
  <c r="P72" i="69"/>
  <c r="U72" i="69" s="1"/>
  <c r="S72" i="69" s="1"/>
  <c r="D43" i="69"/>
  <c r="W35" i="75" a="1"/>
  <c r="W35" i="75" s="1"/>
  <c r="D59" i="75"/>
  <c r="H40" i="72"/>
  <c r="H43" i="69"/>
  <c r="P76" i="69"/>
  <c r="U76" i="69" s="1"/>
  <c r="S76" i="69" s="1"/>
  <c r="H39" i="49"/>
  <c r="P88" i="78"/>
  <c r="U88" i="78" s="1"/>
  <c r="S88" i="78" s="1"/>
  <c r="W15" i="78" a="1"/>
  <c r="W15" i="78" s="1"/>
  <c r="P73" i="78"/>
  <c r="U73" i="78" s="1"/>
  <c r="S73" i="78" s="1"/>
  <c r="D40" i="80"/>
  <c r="H40" i="80"/>
  <c r="F40" i="80"/>
  <c r="F41" i="80"/>
  <c r="P86" i="80" s="1"/>
  <c r="U86" i="80" s="1"/>
  <c r="S86" i="80" s="1"/>
  <c r="H41" i="80"/>
  <c r="P88" i="80" s="1"/>
  <c r="U88" i="80" s="1"/>
  <c r="S88" i="80" s="1"/>
  <c r="E41" i="80"/>
  <c r="P85" i="80" s="1"/>
  <c r="U85" i="80" s="1"/>
  <c r="S85" i="80" s="1"/>
  <c r="G41" i="80"/>
  <c r="P87" i="80" s="1"/>
  <c r="U87" i="80" s="1"/>
  <c r="S87" i="80" s="1"/>
  <c r="I40" i="80"/>
  <c r="G40" i="80"/>
  <c r="E40" i="80"/>
  <c r="I41" i="80"/>
  <c r="P89" i="80" s="1"/>
  <c r="U89" i="80" s="1"/>
  <c r="S89" i="80" s="1"/>
  <c r="G85" i="57"/>
  <c r="D35" i="80"/>
  <c r="P60" i="80"/>
  <c r="U60" i="80" s="1"/>
  <c r="S60" i="80" s="1"/>
  <c r="W19" i="80" a="1"/>
  <c r="W19" i="80" s="1"/>
  <c r="W18" i="80" s="1"/>
  <c r="F57" i="75"/>
  <c r="D57" i="75"/>
  <c r="F58" i="75"/>
  <c r="H58" i="75"/>
  <c r="D40" i="25"/>
  <c r="D42" i="66"/>
  <c r="P93" i="66"/>
  <c r="U93" i="66" s="1"/>
  <c r="S93" i="66" s="1"/>
  <c r="H33" i="121"/>
  <c r="P74" i="121"/>
  <c r="U74" i="121" s="1"/>
  <c r="S74" i="121" s="1"/>
  <c r="E33" i="121"/>
  <c r="P77" i="121"/>
  <c r="U77" i="121" s="1"/>
  <c r="S77" i="121" s="1"/>
  <c r="G53" i="57"/>
  <c r="W14" i="57" s="1" a="1"/>
  <c r="W14" i="57" s="1"/>
  <c r="D54" i="57"/>
  <c r="E55" i="57"/>
  <c r="P82" i="57" s="1"/>
  <c r="U82" i="57" s="1"/>
  <c r="S82" i="57" s="1"/>
  <c r="E53" i="57"/>
  <c r="P66" i="57" s="1"/>
  <c r="U66" i="57" s="1"/>
  <c r="S66" i="57" s="1"/>
  <c r="I55" i="57"/>
  <c r="P86" i="57" s="1"/>
  <c r="U86" i="57" s="1"/>
  <c r="S86" i="57" s="1"/>
  <c r="G55" i="57"/>
  <c r="P84" i="57" s="1"/>
  <c r="U84" i="57" s="1"/>
  <c r="S84" i="57" s="1"/>
  <c r="D53" i="57"/>
  <c r="I53" i="57"/>
  <c r="P70" i="57" s="1"/>
  <c r="U70" i="57" s="1"/>
  <c r="S70" i="57" s="1"/>
  <c r="H54" i="57"/>
  <c r="P77" i="57" s="1"/>
  <c r="U77" i="57" s="1"/>
  <c r="S77" i="57" s="1"/>
  <c r="D55" i="57"/>
  <c r="P81" i="57" s="1"/>
  <c r="U81" i="57" s="1"/>
  <c r="S81" i="57" s="1"/>
  <c r="G54" i="57"/>
  <c r="H53" i="57"/>
  <c r="P69" i="57" s="1"/>
  <c r="U69" i="57" s="1"/>
  <c r="S69" i="57" s="1"/>
  <c r="P83" i="122"/>
  <c r="U83" i="122" s="1"/>
  <c r="S83" i="122" s="1"/>
  <c r="Z87" i="122"/>
  <c r="P80" i="122"/>
  <c r="U80" i="122" s="1"/>
  <c r="S80" i="122" s="1"/>
  <c r="P81" i="122"/>
  <c r="U81" i="122" s="1"/>
  <c r="S81" i="122" s="1"/>
  <c r="N79" i="122"/>
  <c r="P84" i="122"/>
  <c r="U84" i="122" s="1"/>
  <c r="S84" i="122" s="1"/>
  <c r="D33" i="122"/>
  <c r="D39" i="122" s="1"/>
  <c r="I33" i="121"/>
  <c r="F42" i="66"/>
  <c r="W16" i="101" a="1"/>
  <c r="W16" i="101" s="1"/>
  <c r="P76" i="106"/>
  <c r="U76" i="106" s="1"/>
  <c r="S76" i="106" s="1"/>
  <c r="N71" i="106"/>
  <c r="P77" i="106"/>
  <c r="U77" i="106" s="1"/>
  <c r="S77" i="106" s="1"/>
  <c r="P73" i="106"/>
  <c r="U73" i="106" s="1"/>
  <c r="S73" i="106" s="1"/>
  <c r="P74" i="106"/>
  <c r="U74" i="106" s="1"/>
  <c r="S74" i="106" s="1"/>
  <c r="Z79" i="106"/>
  <c r="P84" i="106" s="1"/>
  <c r="U84" i="106" s="1"/>
  <c r="P72" i="106"/>
  <c r="U72" i="106" s="1"/>
  <c r="S72" i="106" s="1"/>
  <c r="P75" i="106"/>
  <c r="U75" i="106" s="1"/>
  <c r="S75" i="106" s="1"/>
  <c r="H59" i="59"/>
  <c r="G76" i="57"/>
  <c r="W17" i="49" a="1"/>
  <c r="W17" i="49" s="1"/>
  <c r="P102" i="123"/>
  <c r="U102" i="123" s="1"/>
  <c r="S102" i="123" s="1"/>
  <c r="H48" i="109"/>
  <c r="P103" i="109" s="1"/>
  <c r="U103" i="109" s="1"/>
  <c r="S103" i="109" s="1"/>
  <c r="F48" i="109"/>
  <c r="P101" i="109" s="1"/>
  <c r="U101" i="109" s="1"/>
  <c r="S101" i="109" s="1"/>
  <c r="I47" i="109"/>
  <c r="P96" i="109" s="1"/>
  <c r="U96" i="109" s="1"/>
  <c r="S96" i="109" s="1"/>
  <c r="G48" i="109"/>
  <c r="P102" i="109" s="1"/>
  <c r="U102" i="109" s="1"/>
  <c r="S102" i="109" s="1"/>
  <c r="E47" i="109"/>
  <c r="P92" i="109" s="1"/>
  <c r="U92" i="109" s="1"/>
  <c r="S92" i="109" s="1"/>
  <c r="F62" i="109"/>
  <c r="G64" i="109"/>
  <c r="E63" i="109"/>
  <c r="G63" i="109"/>
  <c r="H63" i="109"/>
  <c r="I62" i="109"/>
  <c r="D63" i="109"/>
  <c r="W32" i="109" s="1" a="1"/>
  <c r="W32" i="109" s="1"/>
  <c r="I64" i="109"/>
  <c r="E62" i="109"/>
  <c r="W31" i="109" s="1" a="1"/>
  <c r="W31" i="109" s="1"/>
  <c r="E64" i="109"/>
  <c r="W33" i="109" s="1" a="1"/>
  <c r="W33" i="109" s="1"/>
  <c r="F64" i="109"/>
  <c r="I29" i="106"/>
  <c r="P53" i="106"/>
  <c r="U53" i="106" s="1"/>
  <c r="S53" i="106" s="1"/>
  <c r="F40" i="101"/>
  <c r="W19" i="101" a="1"/>
  <c r="W19" i="101" s="1"/>
  <c r="W30" i="101" a="1"/>
  <c r="W30" i="101" s="1"/>
  <c r="D53" i="95"/>
  <c r="H56" i="98"/>
  <c r="P90" i="98"/>
  <c r="U90" i="98" s="1"/>
  <c r="S90" i="98" s="1"/>
  <c r="P89" i="98"/>
  <c r="U89" i="98" s="1"/>
  <c r="S89" i="98" s="1"/>
  <c r="P88" i="98"/>
  <c r="U88" i="98" s="1"/>
  <c r="S88" i="98" s="1"/>
  <c r="N84" i="95"/>
  <c r="Z92" i="95"/>
  <c r="P94" i="95" s="1"/>
  <c r="U94" i="95" s="1"/>
  <c r="P79" i="109"/>
  <c r="U79" i="109" s="1"/>
  <c r="S79" i="109" s="1"/>
  <c r="H43" i="109"/>
  <c r="P78" i="79"/>
  <c r="U78" i="79" s="1"/>
  <c r="S78" i="79" s="1"/>
  <c r="P123" i="79"/>
  <c r="U123" i="79" s="1"/>
  <c r="S123" i="79" s="1"/>
  <c r="P102" i="79"/>
  <c r="U102" i="79" s="1"/>
  <c r="S102" i="79" s="1"/>
  <c r="P83" i="79"/>
  <c r="U83" i="79" s="1"/>
  <c r="S83" i="79" s="1"/>
  <c r="P111" i="79"/>
  <c r="U111" i="79" s="1"/>
  <c r="S111" i="79" s="1"/>
  <c r="P87" i="79"/>
  <c r="U87" i="79" s="1"/>
  <c r="S87" i="79" s="1"/>
  <c r="P101" i="79"/>
  <c r="U101" i="79" s="1"/>
  <c r="S101" i="79" s="1"/>
  <c r="P76" i="79"/>
  <c r="U76" i="79" s="1"/>
  <c r="S76" i="79" s="1"/>
  <c r="P100" i="79"/>
  <c r="U100" i="79" s="1"/>
  <c r="S100" i="79" s="1"/>
  <c r="P107" i="79"/>
  <c r="U107" i="79" s="1"/>
  <c r="S107" i="79" s="1"/>
  <c r="P116" i="79"/>
  <c r="U116" i="79" s="1"/>
  <c r="S116" i="79" s="1"/>
  <c r="P92" i="79"/>
  <c r="U92" i="79" s="1"/>
  <c r="S92" i="79" s="1"/>
  <c r="P119" i="79"/>
  <c r="U119" i="79" s="1"/>
  <c r="S119" i="79" s="1"/>
  <c r="P95" i="79"/>
  <c r="U95" i="79" s="1"/>
  <c r="S95" i="79" s="1"/>
  <c r="P79" i="79"/>
  <c r="U79" i="79" s="1"/>
  <c r="S79" i="79" s="1"/>
  <c r="P98" i="79"/>
  <c r="U98" i="79" s="1"/>
  <c r="S98" i="79" s="1"/>
  <c r="P74" i="79"/>
  <c r="U74" i="79" s="1"/>
  <c r="S74" i="79" s="1"/>
  <c r="P110" i="79"/>
  <c r="U110" i="79" s="1"/>
  <c r="S110" i="79" s="1"/>
  <c r="P86" i="79"/>
  <c r="U86" i="79" s="1"/>
  <c r="S86" i="79" s="1"/>
  <c r="P115" i="79"/>
  <c r="U115" i="79" s="1"/>
  <c r="S115" i="79" s="1"/>
  <c r="P91" i="79"/>
  <c r="U91" i="79" s="1"/>
  <c r="S91" i="79" s="1"/>
  <c r="P117" i="79"/>
  <c r="U117" i="79" s="1"/>
  <c r="S117" i="79" s="1"/>
  <c r="P93" i="79"/>
  <c r="U93" i="79" s="1"/>
  <c r="S93" i="79" s="1"/>
  <c r="P126" i="79"/>
  <c r="U126" i="79" s="1"/>
  <c r="S126" i="79" s="1"/>
  <c r="P106" i="79"/>
  <c r="U106" i="79" s="1"/>
  <c r="S106" i="79" s="1"/>
  <c r="P82" i="79"/>
  <c r="U82" i="79" s="1"/>
  <c r="S82" i="79" s="1"/>
  <c r="P109" i="79"/>
  <c r="U109" i="79" s="1"/>
  <c r="S109" i="79" s="1"/>
  <c r="P85" i="79"/>
  <c r="U85" i="79" s="1"/>
  <c r="S85" i="79" s="1"/>
  <c r="N93" i="88"/>
  <c r="P98" i="88"/>
  <c r="U98" i="88" s="1"/>
  <c r="S98" i="88" s="1"/>
  <c r="P97" i="88"/>
  <c r="U97" i="88" s="1"/>
  <c r="S97" i="88" s="1"/>
  <c r="P94" i="88"/>
  <c r="U94" i="88" s="1"/>
  <c r="S94" i="88" s="1"/>
  <c r="N101" i="92"/>
  <c r="Z109" i="92"/>
  <c r="H48" i="63"/>
  <c r="P65" i="63" s="1"/>
  <c r="U65" i="63" s="1"/>
  <c r="S65" i="63" s="1"/>
  <c r="D50" i="63"/>
  <c r="P77" i="63" s="1"/>
  <c r="U77" i="63" s="1"/>
  <c r="S77" i="63" s="1"/>
  <c r="G49" i="63"/>
  <c r="P72" i="63" s="1"/>
  <c r="U72" i="63" s="1"/>
  <c r="S72" i="63" s="1"/>
  <c r="E49" i="63"/>
  <c r="P70" i="63" s="1"/>
  <c r="U70" i="63" s="1"/>
  <c r="S70" i="63" s="1"/>
  <c r="I48" i="63"/>
  <c r="I50" i="63"/>
  <c r="P82" i="63" s="1"/>
  <c r="U82" i="63" s="1"/>
  <c r="S82" i="63" s="1"/>
  <c r="E48" i="63"/>
  <c r="G50" i="63"/>
  <c r="P80" i="63" s="1"/>
  <c r="U80" i="63" s="1"/>
  <c r="S80" i="63" s="1"/>
  <c r="G48" i="63"/>
  <c r="I49" i="63"/>
  <c r="P74" i="63" s="1"/>
  <c r="U74" i="63" s="1"/>
  <c r="S74" i="63" s="1"/>
  <c r="E50" i="63"/>
  <c r="P78" i="63" s="1"/>
  <c r="U78" i="63" s="1"/>
  <c r="S78" i="63" s="1"/>
  <c r="G38" i="80"/>
  <c r="I38" i="80"/>
  <c r="F38" i="80"/>
  <c r="E38" i="80"/>
  <c r="H38" i="80"/>
  <c r="D38" i="80"/>
  <c r="D44" i="75"/>
  <c r="H44" i="75"/>
  <c r="P80" i="75" s="1"/>
  <c r="U80" i="75" s="1"/>
  <c r="S80" i="75" s="1"/>
  <c r="I45" i="75"/>
  <c r="P89" i="75" s="1"/>
  <c r="U89" i="75" s="1"/>
  <c r="S89" i="75" s="1"/>
  <c r="D45" i="75"/>
  <c r="E44" i="75"/>
  <c r="E45" i="75"/>
  <c r="P85" i="75" s="1"/>
  <c r="U85" i="75" s="1"/>
  <c r="S85" i="75" s="1"/>
  <c r="G44" i="75"/>
  <c r="H45" i="75"/>
  <c r="F44" i="75"/>
  <c r="G45" i="75"/>
  <c r="P87" i="75" s="1"/>
  <c r="U87" i="75" s="1"/>
  <c r="S87" i="75" s="1"/>
  <c r="F45" i="75"/>
  <c r="P86" i="75" s="1"/>
  <c r="U86" i="75" s="1"/>
  <c r="S86" i="75" s="1"/>
  <c r="I44" i="75"/>
  <c r="W30" i="66" a="1"/>
  <c r="W30" i="66" s="1"/>
  <c r="W20" i="122" a="1"/>
  <c r="W20" i="122" s="1"/>
  <c r="H83" i="57"/>
  <c r="H82" i="57" s="1"/>
  <c r="G83" i="57"/>
  <c r="G82" i="57" s="1"/>
  <c r="F84" i="57"/>
  <c r="E84" i="57"/>
  <c r="D84" i="57"/>
  <c r="F83" i="57"/>
  <c r="H84" i="57"/>
  <c r="D83" i="57"/>
  <c r="G60" i="57"/>
  <c r="E62" i="57"/>
  <c r="I60" i="57"/>
  <c r="P118" i="57" s="1"/>
  <c r="U118" i="57" s="1"/>
  <c r="S118" i="57" s="1"/>
  <c r="E63" i="57"/>
  <c r="E61" i="57"/>
  <c r="G63" i="57"/>
  <c r="D62" i="57"/>
  <c r="D61" i="57"/>
  <c r="H63" i="57"/>
  <c r="H61" i="57"/>
  <c r="G62" i="57"/>
  <c r="F62" i="57"/>
  <c r="G61" i="57"/>
  <c r="F60" i="57"/>
  <c r="P115" i="57" s="1"/>
  <c r="U115" i="57" s="1"/>
  <c r="S115" i="57" s="1"/>
  <c r="D63" i="57"/>
  <c r="H60" i="57"/>
  <c r="D60" i="57"/>
  <c r="F63" i="57"/>
  <c r="W17" i="121" a="1"/>
  <c r="W17" i="121" s="1"/>
  <c r="P73" i="121"/>
  <c r="U73" i="121" s="1"/>
  <c r="S73" i="121" s="1"/>
  <c r="D33" i="121"/>
  <c r="W19" i="121" a="1"/>
  <c r="W19" i="121" s="1"/>
  <c r="P87" i="95"/>
  <c r="U87" i="95" s="1"/>
  <c r="S87" i="95" s="1"/>
  <c r="P76" i="122"/>
  <c r="U76" i="122" s="1"/>
  <c r="S76" i="122" s="1"/>
  <c r="F74" i="73"/>
  <c r="P72" i="90"/>
  <c r="U72" i="90" s="1"/>
  <c r="S72" i="90" s="1"/>
  <c r="P116" i="83"/>
  <c r="U116" i="83" s="1"/>
  <c r="S116" i="83" s="1"/>
  <c r="P115" i="83"/>
  <c r="U115" i="83" s="1"/>
  <c r="S115" i="83" s="1"/>
  <c r="P119" i="83"/>
  <c r="U119" i="83" s="1"/>
  <c r="S119" i="83" s="1"/>
  <c r="P117" i="83"/>
  <c r="U117" i="83" s="1"/>
  <c r="S117" i="83" s="1"/>
  <c r="Z121" i="83"/>
  <c r="P118" i="83"/>
  <c r="U118" i="83" s="1"/>
  <c r="S118" i="83" s="1"/>
  <c r="P114" i="83"/>
  <c r="U114" i="83" s="1"/>
  <c r="S114" i="83" s="1"/>
  <c r="N113" i="83"/>
  <c r="P113" i="63"/>
  <c r="U113" i="63" s="1"/>
  <c r="S113" i="63" s="1"/>
  <c r="Z116" i="63"/>
  <c r="N108" i="63"/>
  <c r="P111" i="63"/>
  <c r="U111" i="63" s="1"/>
  <c r="S111" i="63" s="1"/>
  <c r="P129" i="82"/>
  <c r="U129" i="82" s="1"/>
  <c r="S129" i="82" s="1"/>
  <c r="Z136" i="82"/>
  <c r="P131" i="82"/>
  <c r="U131" i="82" s="1"/>
  <c r="S131" i="82" s="1"/>
  <c r="P132" i="82"/>
  <c r="U132" i="82" s="1"/>
  <c r="S132" i="82" s="1"/>
  <c r="P130" i="82"/>
  <c r="U130" i="82" s="1"/>
  <c r="S130" i="82" s="1"/>
  <c r="N128" i="82"/>
  <c r="P134" i="82"/>
  <c r="U134" i="82" s="1"/>
  <c r="S134" i="82" s="1"/>
  <c r="D68" i="108"/>
  <c r="F52" i="108"/>
  <c r="I56" i="108"/>
  <c r="G77" i="108"/>
  <c r="I52" i="108"/>
  <c r="H52" i="108"/>
  <c r="G56" i="108"/>
  <c r="G52" i="108"/>
  <c r="E56" i="108"/>
  <c r="P71" i="108"/>
  <c r="U71" i="108" s="1"/>
  <c r="S71" i="108" s="1"/>
  <c r="P77" i="108"/>
  <c r="U77" i="108" s="1"/>
  <c r="S77" i="108" s="1"/>
  <c r="P89" i="108"/>
  <c r="U89" i="108" s="1"/>
  <c r="S89" i="108" s="1"/>
  <c r="P80" i="108"/>
  <c r="U80" i="108" s="1"/>
  <c r="S80" i="108" s="1"/>
  <c r="P90" i="108"/>
  <c r="U90" i="108" s="1"/>
  <c r="S90" i="108" s="1"/>
  <c r="Z92" i="108"/>
  <c r="P98" i="108" s="1"/>
  <c r="U98" i="108" s="1"/>
  <c r="S98" i="108" s="1"/>
  <c r="N84" i="108"/>
  <c r="P88" i="108"/>
  <c r="U88" i="108" s="1"/>
  <c r="S88" i="108" s="1"/>
  <c r="P78" i="108"/>
  <c r="U78" i="108" s="1"/>
  <c r="S78" i="108" s="1"/>
  <c r="P101" i="123"/>
  <c r="U101" i="123" s="1"/>
  <c r="S101" i="123" s="1"/>
  <c r="P100" i="123"/>
  <c r="U100" i="123" s="1"/>
  <c r="S100" i="123" s="1"/>
  <c r="Z107" i="123"/>
  <c r="W37" i="89"/>
  <c r="W29" i="86" a="1"/>
  <c r="W29" i="86" s="1"/>
  <c r="G45" i="86"/>
  <c r="H51" i="86"/>
  <c r="G51" i="86"/>
  <c r="W19" i="86" a="1"/>
  <c r="W19" i="86" s="1"/>
  <c r="I51" i="86"/>
  <c r="W22" i="86" a="1"/>
  <c r="W22" i="86" s="1"/>
  <c r="D51" i="86"/>
  <c r="F51" i="86"/>
  <c r="H69" i="86"/>
  <c r="F69" i="86"/>
  <c r="W24" i="86" a="1"/>
  <c r="W24" i="86" s="1"/>
  <c r="W28" i="86" a="1"/>
  <c r="W28" i="86" s="1"/>
  <c r="W33" i="86" a="1"/>
  <c r="W33" i="86" s="1"/>
  <c r="W25" i="86" a="1"/>
  <c r="W25" i="86" s="1"/>
  <c r="W30" i="86" a="1"/>
  <c r="W30" i="86" s="1"/>
  <c r="I69" i="86"/>
  <c r="W20" i="86" a="1"/>
  <c r="W20" i="86" s="1"/>
  <c r="W31" i="86" a="1"/>
  <c r="W31" i="86" s="1"/>
  <c r="W32" i="86" a="1"/>
  <c r="W32" i="86" s="1"/>
  <c r="F45" i="86"/>
  <c r="S104" i="83"/>
  <c r="U96" i="83"/>
  <c r="S63" i="121"/>
  <c r="S96" i="83"/>
  <c r="U104" i="83"/>
  <c r="U54" i="122"/>
  <c r="S54" i="122"/>
  <c r="S74" i="84"/>
  <c r="S102" i="102"/>
  <c r="U74" i="84"/>
  <c r="U63" i="121"/>
  <c r="S55" i="121"/>
  <c r="U72" i="83"/>
  <c r="U89" i="34"/>
  <c r="U55" i="121"/>
  <c r="S88" i="83"/>
  <c r="U90" i="84"/>
  <c r="S72" i="83"/>
  <c r="U62" i="122"/>
  <c r="S62" i="122"/>
  <c r="S82" i="84"/>
  <c r="U88" i="83"/>
  <c r="S60" i="35"/>
  <c r="U82" i="84"/>
  <c r="U60" i="35"/>
  <c r="S90" i="84"/>
  <c r="S59" i="66"/>
  <c r="U71" i="121"/>
  <c r="U107" i="63"/>
  <c r="S107" i="63"/>
  <c r="S65" i="121"/>
  <c r="S71" i="121" s="1"/>
  <c r="S70" i="122"/>
  <c r="S89" i="34"/>
  <c r="U70" i="122"/>
  <c r="U59" i="66"/>
  <c r="S89" i="57"/>
  <c r="S66" i="25"/>
  <c r="S65" i="66"/>
  <c r="S77" i="73"/>
  <c r="U91" i="86"/>
  <c r="D51" i="116"/>
  <c r="W34" i="116" a="1"/>
  <c r="W34" i="116" s="1"/>
  <c r="W27" i="118" a="1"/>
  <c r="W27" i="118" s="1"/>
  <c r="F37" i="118"/>
  <c r="E60" i="111"/>
  <c r="I60" i="111"/>
  <c r="W38" i="111" a="1"/>
  <c r="W38" i="111" s="1"/>
  <c r="F60" i="111"/>
  <c r="G54" i="111"/>
  <c r="W29" i="111" a="1"/>
  <c r="W29" i="111" s="1"/>
  <c r="I47" i="25"/>
  <c r="E51" i="116"/>
  <c r="F51" i="116"/>
  <c r="F47" i="116"/>
  <c r="G47" i="116"/>
  <c r="I47" i="116"/>
  <c r="H47" i="116"/>
  <c r="E47" i="116"/>
  <c r="P104" i="109"/>
  <c r="U104" i="109" s="1"/>
  <c r="S104" i="109" s="1"/>
  <c r="P72" i="108"/>
  <c r="U72" i="108" s="1"/>
  <c r="S72" i="108" s="1"/>
  <c r="I34" i="105"/>
  <c r="W19" i="105" a="1"/>
  <c r="W19" i="105" s="1"/>
  <c r="D61" i="109"/>
  <c r="D54" i="102"/>
  <c r="F47" i="111"/>
  <c r="E47" i="111"/>
  <c r="W22" i="111" a="1"/>
  <c r="W22" i="111" s="1"/>
  <c r="P99" i="109"/>
  <c r="U99" i="109" s="1"/>
  <c r="P70" i="108"/>
  <c r="U70" i="108" s="1"/>
  <c r="S70" i="108" s="1"/>
  <c r="W45" i="102" a="1"/>
  <c r="W45" i="102" s="1"/>
  <c r="H49" i="101"/>
  <c r="W32" i="101" a="1"/>
  <c r="W32" i="101" s="1"/>
  <c r="W24" i="95" a="1"/>
  <c r="W24" i="95" s="1"/>
  <c r="P79" i="108"/>
  <c r="U79" i="108" s="1"/>
  <c r="I46" i="101"/>
  <c r="G49" i="101"/>
  <c r="P71" i="98"/>
  <c r="U71" i="98" s="1"/>
  <c r="W16" i="98" a="1"/>
  <c r="W16" i="98" s="1"/>
  <c r="W21" i="95" a="1"/>
  <c r="W21" i="95" s="1"/>
  <c r="W27" i="95" a="1"/>
  <c r="W27" i="95" s="1"/>
  <c r="S78" i="95"/>
  <c r="Z85" i="89"/>
  <c r="P83" i="89"/>
  <c r="U83" i="89" s="1"/>
  <c r="S83" i="89" s="1"/>
  <c r="P80" i="89"/>
  <c r="U80" i="89" s="1"/>
  <c r="S80" i="89" s="1"/>
  <c r="P81" i="89"/>
  <c r="U81" i="89" s="1"/>
  <c r="S81" i="89" s="1"/>
  <c r="P78" i="89"/>
  <c r="U78" i="89" s="1"/>
  <c r="N77" i="89"/>
  <c r="P79" i="89"/>
  <c r="U79" i="89" s="1"/>
  <c r="S79" i="89" s="1"/>
  <c r="P82" i="89"/>
  <c r="U82" i="89" s="1"/>
  <c r="S82" i="89" s="1"/>
  <c r="W19" i="95" a="1"/>
  <c r="W19" i="95" s="1"/>
  <c r="I50" i="95"/>
  <c r="W30" i="95" a="1"/>
  <c r="W30" i="95" s="1"/>
  <c r="P81" i="91"/>
  <c r="U81" i="91" s="1"/>
  <c r="S81" i="91" s="1"/>
  <c r="P84" i="91"/>
  <c r="U84" i="91" s="1"/>
  <c r="S84" i="91" s="1"/>
  <c r="P80" i="91"/>
  <c r="U80" i="91" s="1"/>
  <c r="S80" i="91" s="1"/>
  <c r="P82" i="91"/>
  <c r="U82" i="91" s="1"/>
  <c r="S82" i="91" s="1"/>
  <c r="P83" i="91"/>
  <c r="U83" i="91" s="1"/>
  <c r="S83" i="91" s="1"/>
  <c r="I52" i="90"/>
  <c r="W31" i="90" a="1"/>
  <c r="W31" i="90" s="1"/>
  <c r="E56" i="98"/>
  <c r="P104" i="92"/>
  <c r="U104" i="92" s="1"/>
  <c r="S104" i="92" s="1"/>
  <c r="P88" i="92"/>
  <c r="U88" i="92" s="1"/>
  <c r="S88" i="92" s="1"/>
  <c r="P98" i="92"/>
  <c r="U98" i="92" s="1"/>
  <c r="S98" i="92" s="1"/>
  <c r="P89" i="92"/>
  <c r="U89" i="92" s="1"/>
  <c r="S89" i="92" s="1"/>
  <c r="P99" i="92"/>
  <c r="U99" i="92" s="1"/>
  <c r="S99" i="92" s="1"/>
  <c r="P105" i="92"/>
  <c r="U105" i="92" s="1"/>
  <c r="S105" i="92" s="1"/>
  <c r="P95" i="92"/>
  <c r="U95" i="92" s="1"/>
  <c r="S95" i="92" s="1"/>
  <c r="P90" i="92"/>
  <c r="U90" i="92" s="1"/>
  <c r="S90" i="92" s="1"/>
  <c r="P107" i="92"/>
  <c r="U107" i="92" s="1"/>
  <c r="S107" i="92" s="1"/>
  <c r="P97" i="92"/>
  <c r="U97" i="92" s="1"/>
  <c r="S97" i="92" s="1"/>
  <c r="P87" i="92"/>
  <c r="U87" i="92" s="1"/>
  <c r="S87" i="92" s="1"/>
  <c r="P96" i="92"/>
  <c r="U96" i="92" s="1"/>
  <c r="S96" i="92" s="1"/>
  <c r="P106" i="92"/>
  <c r="U106" i="92" s="1"/>
  <c r="S106" i="92" s="1"/>
  <c r="P103" i="92"/>
  <c r="U103" i="92" s="1"/>
  <c r="S103" i="92" s="1"/>
  <c r="P91" i="92"/>
  <c r="U91" i="92" s="1"/>
  <c r="S91" i="92" s="1"/>
  <c r="D94" i="92"/>
  <c r="W55" i="92" a="1"/>
  <c r="W55" i="92" s="1"/>
  <c r="I50" i="91"/>
  <c r="G52" i="90"/>
  <c r="H94" i="92"/>
  <c r="W44" i="88" a="1"/>
  <c r="W44" i="88" s="1"/>
  <c r="W43" i="88" s="1"/>
  <c r="H72" i="86"/>
  <c r="F64" i="82"/>
  <c r="W34" i="81" a="1"/>
  <c r="W34" i="81" s="1"/>
  <c r="G61" i="79"/>
  <c r="W25" i="78" a="1"/>
  <c r="W25" i="78" s="1"/>
  <c r="E82" i="88"/>
  <c r="E80" i="88" s="1"/>
  <c r="W48" i="88" a="1"/>
  <c r="W48" i="88" s="1"/>
  <c r="W16" i="86" a="1"/>
  <c r="W16" i="86" s="1"/>
  <c r="P101" i="86"/>
  <c r="U101" i="86" s="1"/>
  <c r="W41" i="86" a="1"/>
  <c r="W41" i="86" s="1"/>
  <c r="H64" i="82"/>
  <c r="W36" i="81" a="1"/>
  <c r="W36" i="81" s="1"/>
  <c r="E58" i="81"/>
  <c r="W42" i="85" a="1"/>
  <c r="W42" i="85" s="1"/>
  <c r="D71" i="85"/>
  <c r="W44" i="85" a="1"/>
  <c r="W44" i="85" s="1"/>
  <c r="E64" i="82"/>
  <c r="W37" i="79" a="1"/>
  <c r="W37" i="79" s="1"/>
  <c r="E61" i="79"/>
  <c r="W40" i="79" a="1"/>
  <c r="W40" i="79" s="1"/>
  <c r="W21" i="78" a="1"/>
  <c r="W21" i="78" s="1"/>
  <c r="F62" i="78"/>
  <c r="W36" i="78" a="1"/>
  <c r="W36" i="78" s="1"/>
  <c r="W23" i="81" a="1"/>
  <c r="W23" i="81" s="1"/>
  <c r="W39" i="85" a="1"/>
  <c r="W39" i="85" s="1"/>
  <c r="I68" i="85"/>
  <c r="W23" i="82" a="1"/>
  <c r="W23" i="82" s="1"/>
  <c r="P92" i="82"/>
  <c r="U92" i="82" s="1"/>
  <c r="W35" i="76" a="1"/>
  <c r="W35" i="76" s="1"/>
  <c r="W32" i="75" a="1"/>
  <c r="W32" i="75" s="1"/>
  <c r="W21" i="88" a="1"/>
  <c r="W21" i="88" s="1"/>
  <c r="Q47" i="36"/>
  <c r="AC51" i="36" a="1"/>
  <c r="AC51" i="36" s="1"/>
  <c r="W36" i="76" a="1"/>
  <c r="W36" i="76" s="1"/>
  <c r="W28" i="75" a="1"/>
  <c r="W28" i="75" s="1"/>
  <c r="W35" i="74" a="1"/>
  <c r="W35" i="74" s="1"/>
  <c r="G70" i="74"/>
  <c r="W46" i="74" a="1"/>
  <c r="W46" i="74" s="1"/>
  <c r="E84" i="74"/>
  <c r="P69" i="70"/>
  <c r="U69" i="70" s="1"/>
  <c r="W14" i="70" a="1"/>
  <c r="W14" i="70" s="1"/>
  <c r="D37" i="70"/>
  <c r="H55" i="70"/>
  <c r="W32" i="70" a="1"/>
  <c r="W32" i="70" s="1"/>
  <c r="P66" i="69"/>
  <c r="U66" i="69" s="1"/>
  <c r="S66" i="69" s="1"/>
  <c r="S70" i="69" s="1"/>
  <c r="F43" i="69"/>
  <c r="W15" i="69" a="1"/>
  <c r="W15" i="69" s="1"/>
  <c r="D42" i="79"/>
  <c r="P90" i="79"/>
  <c r="U90" i="79" s="1"/>
  <c r="P23" i="36"/>
  <c r="AF96" i="36"/>
  <c r="G53" i="76"/>
  <c r="W16" i="75" a="1"/>
  <c r="W16" i="75" s="1"/>
  <c r="P69" i="75"/>
  <c r="U69" i="75" s="1"/>
  <c r="E39" i="75"/>
  <c r="F65" i="74"/>
  <c r="F66" i="74"/>
  <c r="H67" i="74"/>
  <c r="D69" i="74"/>
  <c r="E65" i="74"/>
  <c r="G66" i="74"/>
  <c r="I67" i="74"/>
  <c r="E69" i="74"/>
  <c r="H65" i="74"/>
  <c r="D67" i="74"/>
  <c r="F68" i="74"/>
  <c r="H69" i="74"/>
  <c r="I65" i="74"/>
  <c r="E67" i="74"/>
  <c r="G68" i="74"/>
  <c r="I69" i="74"/>
  <c r="I68" i="74"/>
  <c r="D68" i="74"/>
  <c r="E68" i="74"/>
  <c r="E66" i="74"/>
  <c r="D65" i="74"/>
  <c r="F69" i="74"/>
  <c r="F67" i="74"/>
  <c r="D66" i="74"/>
  <c r="G67" i="74"/>
  <c r="G69" i="74"/>
  <c r="I66" i="74"/>
  <c r="G65" i="74"/>
  <c r="H68" i="74"/>
  <c r="H66" i="74"/>
  <c r="F81" i="74"/>
  <c r="P47" i="72"/>
  <c r="U47" i="72" s="1"/>
  <c r="S47" i="72" s="1"/>
  <c r="F55" i="70"/>
  <c r="W33" i="70" a="1"/>
  <c r="W33" i="70" s="1"/>
  <c r="E59" i="60"/>
  <c r="W34" i="60" a="1"/>
  <c r="W34" i="60" s="1"/>
  <c r="P78" i="57"/>
  <c r="U78" i="57" s="1"/>
  <c r="S78" i="57" s="1"/>
  <c r="W20" i="74" a="1"/>
  <c r="W20" i="74" s="1"/>
  <c r="P83" i="74"/>
  <c r="U83" i="74" s="1"/>
  <c r="W17" i="74" a="1"/>
  <c r="W17" i="74" s="1"/>
  <c r="F54" i="74"/>
  <c r="P77" i="74"/>
  <c r="U77" i="74" s="1"/>
  <c r="S77" i="74" s="1"/>
  <c r="P89" i="70"/>
  <c r="U89" i="70" s="1"/>
  <c r="S89" i="70" s="1"/>
  <c r="G34" i="68"/>
  <c r="P50" i="68"/>
  <c r="U50" i="68" s="1"/>
  <c r="S50" i="68" s="1"/>
  <c r="D46" i="68"/>
  <c r="I28" i="49"/>
  <c r="F47" i="62"/>
  <c r="E53" i="61"/>
  <c r="W34" i="61" a="1"/>
  <c r="W34" i="61" s="1"/>
  <c r="W35" i="60" a="1"/>
  <c r="W35" i="60" s="1"/>
  <c r="D59" i="60"/>
  <c r="F55" i="59"/>
  <c r="P64" i="59"/>
  <c r="U64" i="59" s="1"/>
  <c r="W21" i="49" a="1"/>
  <c r="W21" i="49" s="1"/>
  <c r="P106" i="49"/>
  <c r="U106" i="49" s="1"/>
  <c r="W40" i="34" a="1"/>
  <c r="W40" i="34" s="1"/>
  <c r="D67" i="34"/>
  <c r="F62" i="63"/>
  <c r="I62" i="63"/>
  <c r="F63" i="63"/>
  <c r="I64" i="63"/>
  <c r="G65" i="63"/>
  <c r="H66" i="63"/>
  <c r="E67" i="63"/>
  <c r="E62" i="63"/>
  <c r="H63" i="63"/>
  <c r="E64" i="63"/>
  <c r="H65" i="63"/>
  <c r="D66" i="63"/>
  <c r="I66" i="63"/>
  <c r="G67" i="63"/>
  <c r="D62" i="63"/>
  <c r="G62" i="63"/>
  <c r="D63" i="63"/>
  <c r="I63" i="63"/>
  <c r="F64" i="63"/>
  <c r="D65" i="63"/>
  <c r="E66" i="63"/>
  <c r="H67" i="63"/>
  <c r="H62" i="63"/>
  <c r="E63" i="63"/>
  <c r="G64" i="63"/>
  <c r="F65" i="63"/>
  <c r="F66" i="63"/>
  <c r="D67" i="63"/>
  <c r="I67" i="63"/>
  <c r="F67" i="63"/>
  <c r="I65" i="63"/>
  <c r="H64" i="63"/>
  <c r="G66" i="63"/>
  <c r="D64" i="63"/>
  <c r="E65" i="63"/>
  <c r="G63" i="63"/>
  <c r="I47" i="62"/>
  <c r="E72" i="59"/>
  <c r="W37" i="59" a="1"/>
  <c r="W37" i="59" s="1"/>
  <c r="H79" i="59"/>
  <c r="W46" i="59" a="1"/>
  <c r="W46" i="59" s="1"/>
  <c r="P114" i="57"/>
  <c r="U114" i="57" s="1"/>
  <c r="E64" i="57"/>
  <c r="W26" i="57" a="1"/>
  <c r="W26" i="57" s="1"/>
  <c r="I76" i="57"/>
  <c r="W38" i="57" a="1"/>
  <c r="W38" i="57" s="1"/>
  <c r="E29" i="118"/>
  <c r="P49" i="118"/>
  <c r="U49" i="118" s="1"/>
  <c r="D72" i="63"/>
  <c r="W39" i="63" a="1"/>
  <c r="W39" i="63" s="1"/>
  <c r="W38" i="63" s="1"/>
  <c r="P45" i="80"/>
  <c r="U45" i="80" s="1"/>
  <c r="S45" i="80" s="1"/>
  <c r="E32" i="80"/>
  <c r="W16" i="80" a="1"/>
  <c r="W16" i="80" s="1"/>
  <c r="W17" i="60" a="1"/>
  <c r="W17" i="60" s="1"/>
  <c r="W19" i="122" a="1"/>
  <c r="W19" i="122" s="1"/>
  <c r="E33" i="122"/>
  <c r="E39" i="122" s="1"/>
  <c r="W45" i="59" a="1"/>
  <c r="W45" i="59" s="1"/>
  <c r="W16" i="63" a="1"/>
  <c r="W16" i="63" s="1"/>
  <c r="W16" i="70" a="1"/>
  <c r="W16" i="70" s="1"/>
  <c r="I45" i="72"/>
  <c r="W26" i="95" a="1"/>
  <c r="W26" i="95" s="1"/>
  <c r="W38" i="78" a="1"/>
  <c r="W38" i="78" s="1"/>
  <c r="W21" i="69" a="1"/>
  <c r="W21" i="69" s="1"/>
  <c r="E46" i="109"/>
  <c r="E81" i="98"/>
  <c r="H39" i="105"/>
  <c r="F54" i="111"/>
  <c r="W30" i="111" a="1"/>
  <c r="W30" i="111" s="1"/>
  <c r="P110" i="109"/>
  <c r="U110" i="109" s="1"/>
  <c r="W35" i="111" a="1"/>
  <c r="W35" i="111" s="1"/>
  <c r="D60" i="111"/>
  <c r="H47" i="25"/>
  <c r="E57" i="111"/>
  <c r="G60" i="111"/>
  <c r="I51" i="116"/>
  <c r="P84" i="116"/>
  <c r="U84" i="116" s="1"/>
  <c r="S84" i="116" s="1"/>
  <c r="P80" i="116"/>
  <c r="U80" i="116" s="1"/>
  <c r="S80" i="116" s="1"/>
  <c r="P83" i="116"/>
  <c r="U83" i="116" s="1"/>
  <c r="S83" i="116" s="1"/>
  <c r="P81" i="116"/>
  <c r="U81" i="116" s="1"/>
  <c r="S81" i="116" s="1"/>
  <c r="P82" i="116"/>
  <c r="U82" i="116" s="1"/>
  <c r="S82" i="116" s="1"/>
  <c r="H59" i="109"/>
  <c r="H37" i="106"/>
  <c r="H29" i="105"/>
  <c r="P65" i="105"/>
  <c r="U65" i="105" s="1"/>
  <c r="S65" i="105" s="1"/>
  <c r="W21" i="105" a="1"/>
  <c r="W21" i="105" s="1"/>
  <c r="E42" i="105"/>
  <c r="P85" i="109"/>
  <c r="U85" i="109" s="1"/>
  <c r="S85" i="109" s="1"/>
  <c r="W14" i="109" a="1"/>
  <c r="W14" i="109" s="1"/>
  <c r="H61" i="109"/>
  <c r="I37" i="106"/>
  <c r="P63" i="105"/>
  <c r="U63" i="105" s="1"/>
  <c r="F29" i="105"/>
  <c r="W13" i="105" a="1"/>
  <c r="W13" i="105" s="1"/>
  <c r="W12" i="105" s="1"/>
  <c r="P88" i="105"/>
  <c r="U88" i="105" s="1"/>
  <c r="W18" i="105" a="1"/>
  <c r="W18" i="105" s="1"/>
  <c r="G34" i="105"/>
  <c r="W26" i="105" a="1"/>
  <c r="W26" i="105" s="1"/>
  <c r="D42" i="105"/>
  <c r="P68" i="103"/>
  <c r="U68" i="103" s="1"/>
  <c r="S68" i="103" s="1"/>
  <c r="P75" i="103"/>
  <c r="U75" i="103" s="1"/>
  <c r="S75" i="103" s="1"/>
  <c r="P64" i="103"/>
  <c r="U64" i="103" s="1"/>
  <c r="S64" i="103" s="1"/>
  <c r="P76" i="103"/>
  <c r="U76" i="103" s="1"/>
  <c r="S76" i="103" s="1"/>
  <c r="P65" i="103"/>
  <c r="U65" i="103" s="1"/>
  <c r="S65" i="103" s="1"/>
  <c r="P72" i="103"/>
  <c r="U72" i="103" s="1"/>
  <c r="S72" i="103" s="1"/>
  <c r="P74" i="103"/>
  <c r="U74" i="103" s="1"/>
  <c r="S74" i="103" s="1"/>
  <c r="P66" i="103"/>
  <c r="U66" i="103" s="1"/>
  <c r="S66" i="103" s="1"/>
  <c r="P67" i="103"/>
  <c r="U67" i="103" s="1"/>
  <c r="S67" i="103" s="1"/>
  <c r="P73" i="103"/>
  <c r="U73" i="103" s="1"/>
  <c r="S73" i="103" s="1"/>
  <c r="H54" i="102"/>
  <c r="W24" i="111" a="1"/>
  <c r="W24" i="111" s="1"/>
  <c r="G46" i="109"/>
  <c r="P94" i="109"/>
  <c r="U94" i="109" s="1"/>
  <c r="S94" i="109" s="1"/>
  <c r="P74" i="108"/>
  <c r="U74" i="108" s="1"/>
  <c r="S74" i="108" s="1"/>
  <c r="I69" i="102"/>
  <c r="W46" i="102" a="1"/>
  <c r="W46" i="102" s="1"/>
  <c r="D75" i="102"/>
  <c r="W28" i="101" a="1"/>
  <c r="W28" i="101" s="1"/>
  <c r="W33" i="101" a="1"/>
  <c r="W33" i="101" s="1"/>
  <c r="G52" i="101"/>
  <c r="W25" i="95" a="1"/>
  <c r="W25" i="95" s="1"/>
  <c r="P96" i="108"/>
  <c r="U96" i="108" s="1"/>
  <c r="W22" i="95" a="1"/>
  <c r="W22" i="95" s="1"/>
  <c r="H64" i="102"/>
  <c r="E75" i="102"/>
  <c r="W44" i="102" a="1"/>
  <c r="W44" i="102" s="1"/>
  <c r="I76" i="96"/>
  <c r="F70" i="92"/>
  <c r="H52" i="101"/>
  <c r="P82" i="95"/>
  <c r="U82" i="95" s="1"/>
  <c r="S82" i="95" s="1"/>
  <c r="I37" i="95"/>
  <c r="G50" i="95"/>
  <c r="E50" i="95"/>
  <c r="W46" i="92" a="1"/>
  <c r="W46" i="92" s="1"/>
  <c r="W57" i="92" a="1"/>
  <c r="W57" i="92" s="1"/>
  <c r="H50" i="91"/>
  <c r="W32" i="90" a="1"/>
  <c r="W32" i="90" s="1"/>
  <c r="P87" i="98"/>
  <c r="U87" i="98" s="1"/>
  <c r="G80" i="92"/>
  <c r="I80" i="92"/>
  <c r="F80" i="92"/>
  <c r="W35" i="92" a="1"/>
  <c r="W35" i="92" s="1"/>
  <c r="W33" i="91" a="1"/>
  <c r="W33" i="91" s="1"/>
  <c r="W33" i="90" a="1"/>
  <c r="W33" i="90" s="1"/>
  <c r="D52" i="90"/>
  <c r="P104" i="78"/>
  <c r="U104" i="78" s="1"/>
  <c r="G82" i="88"/>
  <c r="G80" i="88" s="1"/>
  <c r="W17" i="86" a="1"/>
  <c r="W17" i="86" s="1"/>
  <c r="P110" i="86"/>
  <c r="U110" i="86" s="1"/>
  <c r="F52" i="82"/>
  <c r="I64" i="82"/>
  <c r="W47" i="88" a="1"/>
  <c r="W47" i="88" s="1"/>
  <c r="F94" i="92"/>
  <c r="I82" i="88"/>
  <c r="I80" i="88" s="1"/>
  <c r="W42" i="86" a="1"/>
  <c r="W42" i="86" s="1"/>
  <c r="W42" i="82" a="1"/>
  <c r="W42" i="82" s="1"/>
  <c r="W30" i="81" a="1"/>
  <c r="W30" i="81" s="1"/>
  <c r="D55" i="81"/>
  <c r="Z96" i="81"/>
  <c r="I61" i="79"/>
  <c r="P76" i="78"/>
  <c r="U76" i="78" s="1"/>
  <c r="W13" i="78" a="1"/>
  <c r="W13" i="78" s="1"/>
  <c r="H62" i="78"/>
  <c r="W27" i="81" a="1"/>
  <c r="W27" i="81" s="1"/>
  <c r="V65" i="36"/>
  <c r="AA65" i="36" s="1"/>
  <c r="Y65" i="36" s="1"/>
  <c r="F68" i="85"/>
  <c r="W27" i="82" a="1"/>
  <c r="W27" i="82" s="1"/>
  <c r="E43" i="82"/>
  <c r="P122" i="82"/>
  <c r="U122" i="82" s="1"/>
  <c r="I50" i="75"/>
  <c r="W17" i="69" a="1"/>
  <c r="W17" i="69" s="1"/>
  <c r="P82" i="69"/>
  <c r="U82" i="69" s="1"/>
  <c r="Z78" i="68"/>
  <c r="N70" i="68"/>
  <c r="P80" i="88"/>
  <c r="U80" i="88" s="1"/>
  <c r="S80" i="88" s="1"/>
  <c r="N44" i="36"/>
  <c r="E50" i="75"/>
  <c r="W25" i="75" a="1"/>
  <c r="W25" i="75" s="1"/>
  <c r="F70" i="74"/>
  <c r="Z76" i="72"/>
  <c r="P69" i="72"/>
  <c r="U69" i="72" s="1"/>
  <c r="S69" i="72" s="1"/>
  <c r="N68" i="72"/>
  <c r="P71" i="72"/>
  <c r="U71" i="72" s="1"/>
  <c r="S71" i="72" s="1"/>
  <c r="P72" i="72"/>
  <c r="U72" i="72" s="1"/>
  <c r="S72" i="72" s="1"/>
  <c r="P73" i="72"/>
  <c r="U73" i="72" s="1"/>
  <c r="S73" i="72" s="1"/>
  <c r="P70" i="72"/>
  <c r="U70" i="72" s="1"/>
  <c r="S70" i="72" s="1"/>
  <c r="P74" i="72"/>
  <c r="U74" i="72" s="1"/>
  <c r="S74" i="72" s="1"/>
  <c r="W15" i="70" a="1"/>
  <c r="W15" i="70" s="1"/>
  <c r="E37" i="70"/>
  <c r="I43" i="69"/>
  <c r="P84" i="79"/>
  <c r="U84" i="79" s="1"/>
  <c r="P94" i="79"/>
  <c r="U94" i="79" s="1"/>
  <c r="S94" i="79" s="1"/>
  <c r="H61" i="79"/>
  <c r="F56" i="76"/>
  <c r="W34" i="76" a="1"/>
  <c r="W34" i="76" s="1"/>
  <c r="W31" i="75" a="1"/>
  <c r="W31" i="75" s="1"/>
  <c r="D70" i="74"/>
  <c r="P50" i="72"/>
  <c r="U50" i="72" s="1"/>
  <c r="S50" i="72" s="1"/>
  <c r="I32" i="72"/>
  <c r="P78" i="70"/>
  <c r="U78" i="70" s="1"/>
  <c r="S78" i="70" s="1"/>
  <c r="P66" i="49"/>
  <c r="U66" i="49" s="1"/>
  <c r="G28" i="49"/>
  <c r="W16" i="49" a="1"/>
  <c r="W16" i="49" s="1"/>
  <c r="G51" i="63"/>
  <c r="P88" i="63"/>
  <c r="U88" i="63" s="1"/>
  <c r="S88" i="63" s="1"/>
  <c r="G68" i="63"/>
  <c r="I59" i="57"/>
  <c r="P110" i="57" s="1"/>
  <c r="U110" i="57" s="1"/>
  <c r="S110" i="57" s="1"/>
  <c r="D54" i="74"/>
  <c r="P89" i="74"/>
  <c r="U89" i="74" s="1"/>
  <c r="D53" i="70"/>
  <c r="W30" i="70" a="1"/>
  <c r="W30" i="70" s="1"/>
  <c r="W29" i="70" s="1"/>
  <c r="W40" i="69" a="1"/>
  <c r="W40" i="69" s="1"/>
  <c r="G67" i="69"/>
  <c r="E67" i="69"/>
  <c r="W38" i="69" a="1"/>
  <c r="W38" i="69" s="1"/>
  <c r="W20" i="49" a="1"/>
  <c r="W20" i="49" s="1"/>
  <c r="P100" i="49"/>
  <c r="U100" i="49" s="1"/>
  <c r="F51" i="63"/>
  <c r="P87" i="63"/>
  <c r="U87" i="63" s="1"/>
  <c r="S87" i="63" s="1"/>
  <c r="W21" i="63" a="1"/>
  <c r="W21" i="63" s="1"/>
  <c r="D51" i="63"/>
  <c r="P109" i="63"/>
  <c r="U109" i="63" s="1"/>
  <c r="H47" i="62"/>
  <c r="F53" i="61"/>
  <c r="W31" i="61" a="1"/>
  <c r="W31" i="61" s="1"/>
  <c r="P65" i="60"/>
  <c r="U65" i="60" s="1"/>
  <c r="S65" i="60" s="1"/>
  <c r="P64" i="60"/>
  <c r="U64" i="60" s="1"/>
  <c r="S64" i="60" s="1"/>
  <c r="F52" i="57"/>
  <c r="P67" i="57"/>
  <c r="U67" i="57" s="1"/>
  <c r="D39" i="49"/>
  <c r="W25" i="49" a="1"/>
  <c r="W25" i="49" s="1"/>
  <c r="D39" i="80"/>
  <c r="W24" i="80" a="1"/>
  <c r="W24" i="80" s="1"/>
  <c r="P84" i="80"/>
  <c r="U84" i="80" s="1"/>
  <c r="F68" i="63"/>
  <c r="G47" i="62"/>
  <c r="H53" i="61"/>
  <c r="F57" i="60"/>
  <c r="H57" i="60"/>
  <c r="E58" i="60"/>
  <c r="D57" i="60"/>
  <c r="E57" i="60"/>
  <c r="I57" i="60"/>
  <c r="G58" i="60"/>
  <c r="G57" i="60"/>
  <c r="H58" i="60"/>
  <c r="D58" i="60"/>
  <c r="I58" i="60"/>
  <c r="F58" i="60"/>
  <c r="W38" i="59" a="1"/>
  <c r="W38" i="59" s="1"/>
  <c r="W27" i="57" a="1"/>
  <c r="W27" i="57" s="1"/>
  <c r="W40" i="57" a="1"/>
  <c r="W40" i="57" s="1"/>
  <c r="H76" i="57"/>
  <c r="F85" i="57"/>
  <c r="W47" i="57" a="1"/>
  <c r="W47" i="57" s="1"/>
  <c r="P55" i="80"/>
  <c r="U55" i="80" s="1"/>
  <c r="G32" i="80"/>
  <c r="W17" i="80" a="1"/>
  <c r="W17" i="80" s="1"/>
  <c r="F41" i="60"/>
  <c r="W16" i="60" a="1"/>
  <c r="W16" i="60" s="1"/>
  <c r="F35" i="118"/>
  <c r="P82" i="118"/>
  <c r="U82" i="118" s="1"/>
  <c r="S82" i="118" s="1"/>
  <c r="P74" i="122"/>
  <c r="U74" i="122" s="1"/>
  <c r="F33" i="122"/>
  <c r="F39" i="122" s="1"/>
  <c r="W17" i="122" a="1"/>
  <c r="W17" i="122" s="1"/>
  <c r="P91" i="122"/>
  <c r="U91" i="122" s="1"/>
  <c r="S91" i="122" s="1"/>
  <c r="H45" i="86"/>
  <c r="G41" i="60"/>
  <c r="G87" i="74"/>
  <c r="W44" i="82" a="1"/>
  <c r="W44" i="82" s="1"/>
  <c r="I49" i="109"/>
  <c r="P68" i="111"/>
  <c r="U68" i="111" s="1"/>
  <c r="S68" i="111" s="1"/>
  <c r="P77" i="111"/>
  <c r="U77" i="111" s="1"/>
  <c r="S77" i="111" s="1"/>
  <c r="P78" i="111"/>
  <c r="U78" i="111" s="1"/>
  <c r="S78" i="111" s="1"/>
  <c r="P69" i="111"/>
  <c r="U69" i="111" s="1"/>
  <c r="S69" i="111" s="1"/>
  <c r="P71" i="111"/>
  <c r="U71" i="111" s="1"/>
  <c r="S71" i="111" s="1"/>
  <c r="P70" i="111"/>
  <c r="U70" i="111" s="1"/>
  <c r="S70" i="111" s="1"/>
  <c r="P80" i="111"/>
  <c r="U80" i="111" s="1"/>
  <c r="S80" i="111" s="1"/>
  <c r="P72" i="111"/>
  <c r="U72" i="111" s="1"/>
  <c r="S72" i="111" s="1"/>
  <c r="W24" i="105" a="1"/>
  <c r="W24" i="105" s="1"/>
  <c r="H39" i="106"/>
  <c r="I31" i="105"/>
  <c r="P74" i="105"/>
  <c r="U74" i="105" s="1"/>
  <c r="S74" i="105" s="1"/>
  <c r="F34" i="105"/>
  <c r="G42" i="105"/>
  <c r="G43" i="109"/>
  <c r="P78" i="109"/>
  <c r="U78" i="109" s="1"/>
  <c r="S78" i="109" s="1"/>
  <c r="W26" i="106" a="1"/>
  <c r="W26" i="106" s="1"/>
  <c r="E39" i="106"/>
  <c r="I29" i="105"/>
  <c r="P66" i="105"/>
  <c r="U66" i="105" s="1"/>
  <c r="S66" i="105" s="1"/>
  <c r="W20" i="105" a="1"/>
  <c r="W20" i="105" s="1"/>
  <c r="H42" i="105"/>
  <c r="D47" i="103"/>
  <c r="P87" i="103"/>
  <c r="U87" i="103" s="1"/>
  <c r="D46" i="109"/>
  <c r="P91" i="109"/>
  <c r="U91" i="109" s="1"/>
  <c r="H46" i="101"/>
  <c r="G81" i="98"/>
  <c r="W23" i="95" a="1"/>
  <c r="W23" i="95" s="1"/>
  <c r="W27" i="101" a="1"/>
  <c r="W27" i="101" s="1"/>
  <c r="D49" i="101"/>
  <c r="F46" i="101"/>
  <c r="P84" i="96"/>
  <c r="U84" i="96" s="1"/>
  <c r="S84" i="96" s="1"/>
  <c r="P90" i="96"/>
  <c r="U90" i="96" s="1"/>
  <c r="S90" i="96" s="1"/>
  <c r="P98" i="96"/>
  <c r="U98" i="96" s="1"/>
  <c r="S98" i="96" s="1"/>
  <c r="P106" i="96"/>
  <c r="U106" i="96" s="1"/>
  <c r="S106" i="96" s="1"/>
  <c r="P110" i="96"/>
  <c r="U110" i="96" s="1"/>
  <c r="S110" i="96" s="1"/>
  <c r="P85" i="96"/>
  <c r="U85" i="96" s="1"/>
  <c r="S85" i="96" s="1"/>
  <c r="P94" i="96"/>
  <c r="U94" i="96" s="1"/>
  <c r="S94" i="96" s="1"/>
  <c r="P99" i="96"/>
  <c r="U99" i="96" s="1"/>
  <c r="S99" i="96" s="1"/>
  <c r="P82" i="96"/>
  <c r="U82" i="96" s="1"/>
  <c r="S82" i="96" s="1"/>
  <c r="P86" i="96"/>
  <c r="U86" i="96" s="1"/>
  <c r="S86" i="96" s="1"/>
  <c r="P91" i="96"/>
  <c r="U91" i="96" s="1"/>
  <c r="S91" i="96" s="1"/>
  <c r="P100" i="96"/>
  <c r="U100" i="96" s="1"/>
  <c r="S100" i="96" s="1"/>
  <c r="P83" i="96"/>
  <c r="U83" i="96" s="1"/>
  <c r="S83" i="96" s="1"/>
  <c r="P92" i="96"/>
  <c r="U92" i="96" s="1"/>
  <c r="S92" i="96" s="1"/>
  <c r="P109" i="96"/>
  <c r="U109" i="96" s="1"/>
  <c r="S109" i="96" s="1"/>
  <c r="W47" i="102" a="1"/>
  <c r="W47" i="102" s="1"/>
  <c r="H83" i="92"/>
  <c r="D66" i="96"/>
  <c r="P73" i="95"/>
  <c r="U73" i="95" s="1"/>
  <c r="S73" i="95" s="1"/>
  <c r="H37" i="95"/>
  <c r="P79" i="95"/>
  <c r="U79" i="95" s="1"/>
  <c r="S79" i="95" s="1"/>
  <c r="W17" i="95" a="1"/>
  <c r="W17" i="95" s="1"/>
  <c r="F37" i="95"/>
  <c r="P70" i="95"/>
  <c r="U70" i="95" s="1"/>
  <c r="S70" i="95" s="1"/>
  <c r="E37" i="95"/>
  <c r="W29" i="95" a="1"/>
  <c r="W29" i="95" s="1"/>
  <c r="D50" i="95"/>
  <c r="E74" i="92"/>
  <c r="W45" i="92" a="1"/>
  <c r="W45" i="92" s="1"/>
  <c r="W32" i="91" a="1"/>
  <c r="W32" i="91" s="1"/>
  <c r="W34" i="91" a="1"/>
  <c r="W34" i="91" s="1"/>
  <c r="H52" i="90"/>
  <c r="H74" i="92"/>
  <c r="W34" i="92" a="1"/>
  <c r="W34" i="92" s="1"/>
  <c r="W31" i="91" a="1"/>
  <c r="W31" i="91" s="1"/>
  <c r="D50" i="91"/>
  <c r="E61" i="88"/>
  <c r="I61" i="88"/>
  <c r="N101" i="88"/>
  <c r="P102" i="88"/>
  <c r="U102" i="88" s="1"/>
  <c r="P105" i="88"/>
  <c r="U105" i="88" s="1"/>
  <c r="S105" i="88" s="1"/>
  <c r="Z109" i="88"/>
  <c r="P106" i="88"/>
  <c r="U106" i="88" s="1"/>
  <c r="S106" i="88" s="1"/>
  <c r="P107" i="88"/>
  <c r="U107" i="88" s="1"/>
  <c r="S107" i="88" s="1"/>
  <c r="P103" i="88"/>
  <c r="U103" i="88" s="1"/>
  <c r="S103" i="88" s="1"/>
  <c r="D61" i="79"/>
  <c r="W38" i="79" a="1"/>
  <c r="W38" i="79" s="1"/>
  <c r="W39" i="77" a="1"/>
  <c r="W39" i="77" s="1"/>
  <c r="D63" i="77"/>
  <c r="D82" i="88"/>
  <c r="D80" i="88" s="1"/>
  <c r="W46" i="88" a="1"/>
  <c r="W46" i="88" s="1"/>
  <c r="P91" i="85"/>
  <c r="U91" i="85" s="1"/>
  <c r="S91" i="85" s="1"/>
  <c r="P82" i="85"/>
  <c r="U82" i="85" s="1"/>
  <c r="S82" i="85" s="1"/>
  <c r="P92" i="85"/>
  <c r="U92" i="85" s="1"/>
  <c r="S92" i="85" s="1"/>
  <c r="P75" i="85"/>
  <c r="U75" i="85" s="1"/>
  <c r="S75" i="85" s="1"/>
  <c r="P85" i="85"/>
  <c r="U85" i="85" s="1"/>
  <c r="S85" i="85" s="1"/>
  <c r="P76" i="85"/>
  <c r="U76" i="85" s="1"/>
  <c r="S76" i="85" s="1"/>
  <c r="P86" i="85"/>
  <c r="U86" i="85" s="1"/>
  <c r="S86" i="85" s="1"/>
  <c r="P90" i="85"/>
  <c r="U90" i="85" s="1"/>
  <c r="S90" i="85" s="1"/>
  <c r="P93" i="85"/>
  <c r="U93" i="85" s="1"/>
  <c r="S93" i="85" s="1"/>
  <c r="P77" i="85"/>
  <c r="U77" i="85" s="1"/>
  <c r="S77" i="85" s="1"/>
  <c r="P84" i="85"/>
  <c r="U84" i="85" s="1"/>
  <c r="S84" i="85" s="1"/>
  <c r="P74" i="85"/>
  <c r="U74" i="85" s="1"/>
  <c r="S74" i="85" s="1"/>
  <c r="P83" i="85"/>
  <c r="U83" i="85" s="1"/>
  <c r="S83" i="85" s="1"/>
  <c r="P94" i="85"/>
  <c r="U94" i="85" s="1"/>
  <c r="S94" i="85" s="1"/>
  <c r="P78" i="85"/>
  <c r="U78" i="85" s="1"/>
  <c r="S78" i="85" s="1"/>
  <c r="W40" i="86" a="1"/>
  <c r="W40" i="86" s="1"/>
  <c r="D72" i="86"/>
  <c r="P69" i="81"/>
  <c r="U69" i="81" s="1"/>
  <c r="S69" i="81" s="1"/>
  <c r="P75" i="81"/>
  <c r="U75" i="81" s="1"/>
  <c r="S75" i="81" s="1"/>
  <c r="P85" i="81"/>
  <c r="U85" i="81" s="1"/>
  <c r="S85" i="81" s="1"/>
  <c r="P67" i="81"/>
  <c r="U67" i="81" s="1"/>
  <c r="S67" i="81" s="1"/>
  <c r="P77" i="81"/>
  <c r="U77" i="81" s="1"/>
  <c r="S77" i="81" s="1"/>
  <c r="P83" i="81"/>
  <c r="U83" i="81" s="1"/>
  <c r="S83" i="81" s="1"/>
  <c r="P68" i="81"/>
  <c r="U68" i="81" s="1"/>
  <c r="S68" i="81" s="1"/>
  <c r="P74" i="81"/>
  <c r="U74" i="81" s="1"/>
  <c r="S74" i="81" s="1"/>
  <c r="P78" i="81"/>
  <c r="U78" i="81" s="1"/>
  <c r="S78" i="81" s="1"/>
  <c r="P84" i="81"/>
  <c r="U84" i="81" s="1"/>
  <c r="S84" i="81" s="1"/>
  <c r="P94" i="81"/>
  <c r="U94" i="81" s="1"/>
  <c r="S94" i="81" s="1"/>
  <c r="P86" i="81"/>
  <c r="U86" i="81" s="1"/>
  <c r="S86" i="81" s="1"/>
  <c r="P76" i="81"/>
  <c r="U76" i="81" s="1"/>
  <c r="S76" i="81" s="1"/>
  <c r="P66" i="81"/>
  <c r="U66" i="81" s="1"/>
  <c r="S66" i="81" s="1"/>
  <c r="P82" i="81"/>
  <c r="U82" i="81" s="1"/>
  <c r="S82" i="81" s="1"/>
  <c r="P70" i="81"/>
  <c r="U70" i="81" s="1"/>
  <c r="S70" i="81" s="1"/>
  <c r="E52" i="90"/>
  <c r="W43" i="85" a="1"/>
  <c r="W43" i="85" s="1"/>
  <c r="P77" i="86"/>
  <c r="U77" i="86" s="1"/>
  <c r="S77" i="86" s="1"/>
  <c r="W13" i="86" a="1"/>
  <c r="W13" i="86" s="1"/>
  <c r="D45" i="86"/>
  <c r="E72" i="86"/>
  <c r="G64" i="82"/>
  <c r="W31" i="81" a="1"/>
  <c r="W31" i="81" s="1"/>
  <c r="P98" i="78"/>
  <c r="U98" i="78" s="1"/>
  <c r="W27" i="78" a="1"/>
  <c r="W27" i="78" s="1"/>
  <c r="W28" i="81" a="1"/>
  <c r="W28" i="81" s="1"/>
  <c r="W21" i="81" a="1"/>
  <c r="W21" i="81" s="1"/>
  <c r="W22" i="81" a="1"/>
  <c r="W22" i="81" s="1"/>
  <c r="N89" i="77"/>
  <c r="Z97" i="77"/>
  <c r="V69" i="36"/>
  <c r="AA69" i="36" s="1"/>
  <c r="Y69" i="36" s="1"/>
  <c r="E68" i="85"/>
  <c r="W38" i="85" a="1"/>
  <c r="W38" i="85" s="1"/>
  <c r="I43" i="82"/>
  <c r="P70" i="82"/>
  <c r="U70" i="82" s="1"/>
  <c r="G50" i="75"/>
  <c r="P56" i="72"/>
  <c r="U56" i="72" s="1"/>
  <c r="W15" i="72" a="1"/>
  <c r="W15" i="72" s="1"/>
  <c r="G32" i="72"/>
  <c r="W19" i="69" a="1"/>
  <c r="W19" i="69" s="1"/>
  <c r="E43" i="69"/>
  <c r="P89" i="88"/>
  <c r="U89" i="88" s="1"/>
  <c r="P70" i="88"/>
  <c r="U70" i="88" s="1"/>
  <c r="D51" i="88"/>
  <c r="N47" i="36"/>
  <c r="AC49" i="36" a="1"/>
  <c r="AC49" i="36" s="1"/>
  <c r="W31" i="76" a="1"/>
  <c r="W31" i="76" s="1"/>
  <c r="H50" i="75"/>
  <c r="P82" i="70"/>
  <c r="U82" i="70" s="1"/>
  <c r="S82" i="70" s="1"/>
  <c r="P75" i="79"/>
  <c r="U75" i="79" s="1"/>
  <c r="P93" i="77"/>
  <c r="U93" i="77" s="1"/>
  <c r="S93" i="77" s="1"/>
  <c r="P84" i="77"/>
  <c r="U84" i="77" s="1"/>
  <c r="S84" i="77" s="1"/>
  <c r="P83" i="77"/>
  <c r="U83" i="77" s="1"/>
  <c r="S83" i="77" s="1"/>
  <c r="P91" i="77"/>
  <c r="U91" i="77" s="1"/>
  <c r="S91" i="77" s="1"/>
  <c r="P92" i="77"/>
  <c r="U92" i="77" s="1"/>
  <c r="S92" i="77" s="1"/>
  <c r="P87" i="77"/>
  <c r="U87" i="77" s="1"/>
  <c r="S87" i="77" s="1"/>
  <c r="P94" i="77"/>
  <c r="U94" i="77" s="1"/>
  <c r="S94" i="77" s="1"/>
  <c r="P85" i="77"/>
  <c r="U85" i="77" s="1"/>
  <c r="S85" i="77" s="1"/>
  <c r="P95" i="77"/>
  <c r="U95" i="77" s="1"/>
  <c r="S95" i="77" s="1"/>
  <c r="P86" i="77"/>
  <c r="U86" i="77" s="1"/>
  <c r="S86" i="77" s="1"/>
  <c r="H39" i="75"/>
  <c r="P56" i="75"/>
  <c r="U56" i="75" s="1"/>
  <c r="F50" i="75"/>
  <c r="G56" i="75"/>
  <c r="I59" i="75"/>
  <c r="W36" i="75" a="1"/>
  <c r="W36" i="75" s="1"/>
  <c r="H84" i="74"/>
  <c r="E45" i="72"/>
  <c r="W27" i="72" a="1"/>
  <c r="W27" i="72" s="1"/>
  <c r="W26" i="72" s="1"/>
  <c r="G81" i="74"/>
  <c r="W39" i="69" a="1"/>
  <c r="W39" i="69" s="1"/>
  <c r="D67" i="69"/>
  <c r="P94" i="63"/>
  <c r="U94" i="63" s="1"/>
  <c r="W19" i="63" a="1"/>
  <c r="W19" i="63" s="1"/>
  <c r="W36" i="60" a="1"/>
  <c r="W36" i="60" s="1"/>
  <c r="D56" i="75"/>
  <c r="W21" i="74" a="1"/>
  <c r="W21" i="74" s="1"/>
  <c r="P88" i="70"/>
  <c r="U88" i="70" s="1"/>
  <c r="I82" i="57"/>
  <c r="H67" i="69"/>
  <c r="F37" i="68"/>
  <c r="F38" i="68"/>
  <c r="P65" i="68" s="1"/>
  <c r="U65" i="68" s="1"/>
  <c r="S65" i="68" s="1"/>
  <c r="E39" i="68"/>
  <c r="P72" i="68" s="1"/>
  <c r="U72" i="68" s="1"/>
  <c r="H40" i="68"/>
  <c r="H37" i="68"/>
  <c r="H38" i="68"/>
  <c r="P67" i="68" s="1"/>
  <c r="U67" i="68" s="1"/>
  <c r="S67" i="68" s="1"/>
  <c r="D41" i="68"/>
  <c r="D38" i="68"/>
  <c r="G39" i="68"/>
  <c r="P74" i="68" s="1"/>
  <c r="U74" i="68" s="1"/>
  <c r="S74" i="68" s="1"/>
  <c r="F40" i="68"/>
  <c r="I39" i="68"/>
  <c r="P76" i="68" s="1"/>
  <c r="U76" i="68" s="1"/>
  <c r="S76" i="68" s="1"/>
  <c r="F41" i="68"/>
  <c r="H41" i="68"/>
  <c r="D37" i="68"/>
  <c r="D40" i="68"/>
  <c r="E37" i="68"/>
  <c r="E41" i="68"/>
  <c r="F39" i="68"/>
  <c r="P73" i="68" s="1"/>
  <c r="U73" i="68" s="1"/>
  <c r="S73" i="68" s="1"/>
  <c r="G41" i="68"/>
  <c r="I37" i="68"/>
  <c r="G40" i="68"/>
  <c r="I38" i="68"/>
  <c r="P68" i="68" s="1"/>
  <c r="U68" i="68" s="1"/>
  <c r="S68" i="68" s="1"/>
  <c r="I40" i="68"/>
  <c r="D39" i="68"/>
  <c r="P71" i="68" s="1"/>
  <c r="U71" i="68" s="1"/>
  <c r="S71" i="68" s="1"/>
  <c r="I41" i="68"/>
  <c r="E38" i="68"/>
  <c r="P64" i="68" s="1"/>
  <c r="U64" i="68" s="1"/>
  <c r="S64" i="68" s="1"/>
  <c r="E40" i="68"/>
  <c r="G38" i="68"/>
  <c r="P66" i="68" s="1"/>
  <c r="U66" i="68" s="1"/>
  <c r="S66" i="68" s="1"/>
  <c r="H39" i="68"/>
  <c r="P75" i="68" s="1"/>
  <c r="U75" i="68" s="1"/>
  <c r="S75" i="68" s="1"/>
  <c r="G37" i="68"/>
  <c r="P61" i="63"/>
  <c r="U61" i="63" s="1"/>
  <c r="D47" i="63"/>
  <c r="W14" i="63" a="1"/>
  <c r="W14" i="63" s="1"/>
  <c r="H51" i="63"/>
  <c r="P89" i="63"/>
  <c r="U89" i="63" s="1"/>
  <c r="S89" i="63" s="1"/>
  <c r="W29" i="62" a="1"/>
  <c r="W29" i="62" s="1"/>
  <c r="G53" i="61"/>
  <c r="W32" i="61" a="1"/>
  <c r="W32" i="61" s="1"/>
  <c r="F59" i="60"/>
  <c r="G59" i="60"/>
  <c r="P74" i="57"/>
  <c r="U74" i="57" s="1"/>
  <c r="E52" i="57"/>
  <c r="P60" i="49"/>
  <c r="U60" i="49" s="1"/>
  <c r="S60" i="49" s="1"/>
  <c r="W26" i="49" a="1"/>
  <c r="W26" i="49" s="1"/>
  <c r="E51" i="63"/>
  <c r="P86" i="63"/>
  <c r="U86" i="63" s="1"/>
  <c r="E68" i="63"/>
  <c r="W36" i="63" a="1"/>
  <c r="W36" i="63" s="1"/>
  <c r="I53" i="61"/>
  <c r="I59" i="60"/>
  <c r="P65" i="59"/>
  <c r="U65" i="59" s="1"/>
  <c r="S65" i="59" s="1"/>
  <c r="G55" i="59"/>
  <c r="G72" i="59"/>
  <c r="W39" i="59" a="1"/>
  <c r="W39" i="59" s="1"/>
  <c r="E76" i="57"/>
  <c r="W42" i="57" a="1"/>
  <c r="W42" i="57" s="1"/>
  <c r="I85" i="57"/>
  <c r="W50" i="57" a="1"/>
  <c r="W50" i="57" s="1"/>
  <c r="P78" i="25"/>
  <c r="U78" i="25" s="1"/>
  <c r="P82" i="25"/>
  <c r="U82" i="25" s="1"/>
  <c r="S82" i="25" s="1"/>
  <c r="P81" i="25"/>
  <c r="U81" i="25" s="1"/>
  <c r="S81" i="25" s="1"/>
  <c r="P79" i="25"/>
  <c r="U79" i="25" s="1"/>
  <c r="S79" i="25" s="1"/>
  <c r="N77" i="25"/>
  <c r="P80" i="25"/>
  <c r="U80" i="25" s="1"/>
  <c r="S80" i="25" s="1"/>
  <c r="Z85" i="25"/>
  <c r="P83" i="25"/>
  <c r="U83" i="25" s="1"/>
  <c r="S83" i="25" s="1"/>
  <c r="P58" i="118"/>
  <c r="U58" i="118" s="1"/>
  <c r="W17" i="118" a="1"/>
  <c r="W17" i="118" s="1"/>
  <c r="I72" i="59"/>
  <c r="P49" i="80"/>
  <c r="U49" i="80" s="1"/>
  <c r="S49" i="80" s="1"/>
  <c r="I32" i="80"/>
  <c r="W49" i="57" a="1"/>
  <c r="W49" i="57" s="1"/>
  <c r="H47" i="63"/>
  <c r="I33" i="122"/>
  <c r="I39" i="122" s="1"/>
  <c r="P77" i="122"/>
  <c r="U77" i="122" s="1"/>
  <c r="S77" i="122" s="1"/>
  <c r="P82" i="122"/>
  <c r="U82" i="122" s="1"/>
  <c r="E41" i="60"/>
  <c r="W22" i="49" a="1"/>
  <c r="W22" i="49" s="1"/>
  <c r="W38" i="77" a="1"/>
  <c r="W38" i="77" s="1"/>
  <c r="H69" i="102"/>
  <c r="S91" i="86"/>
  <c r="W33" i="111" a="1"/>
  <c r="W33" i="111" s="1"/>
  <c r="I37" i="118"/>
  <c r="W26" i="118" a="1"/>
  <c r="W26" i="118" s="1"/>
  <c r="E44" i="111"/>
  <c r="W19" i="111" a="1"/>
  <c r="W19" i="111" s="1"/>
  <c r="N74" i="111"/>
  <c r="Z82" i="111"/>
  <c r="P79" i="111"/>
  <c r="U79" i="111" s="1"/>
  <c r="S79" i="111" s="1"/>
  <c r="P76" i="111"/>
  <c r="U76" i="111" s="1"/>
  <c r="S76" i="111" s="1"/>
  <c r="F47" i="25"/>
  <c r="D47" i="25"/>
  <c r="G51" i="116"/>
  <c r="H49" i="116"/>
  <c r="G49" i="116"/>
  <c r="F49" i="116"/>
  <c r="E49" i="116"/>
  <c r="I49" i="116"/>
  <c r="W27" i="105" a="1"/>
  <c r="W27" i="105" s="1"/>
  <c r="D44" i="111"/>
  <c r="W27" i="106" a="1"/>
  <c r="W27" i="106" s="1"/>
  <c r="G39" i="106"/>
  <c r="P80" i="105"/>
  <c r="U80" i="105" s="1"/>
  <c r="W16" i="105" a="1"/>
  <c r="W16" i="105" s="1"/>
  <c r="G31" i="105"/>
  <c r="F39" i="105"/>
  <c r="W23" i="105" a="1"/>
  <c r="W23" i="105" s="1"/>
  <c r="F43" i="109"/>
  <c r="P77" i="109"/>
  <c r="U77" i="109" s="1"/>
  <c r="S77" i="109" s="1"/>
  <c r="I39" i="106"/>
  <c r="F31" i="105"/>
  <c r="W15" i="105" a="1"/>
  <c r="W15" i="105" s="1"/>
  <c r="D34" i="105"/>
  <c r="I42" i="105"/>
  <c r="I47" i="111"/>
  <c r="D47" i="111"/>
  <c r="W23" i="111" a="1"/>
  <c r="W23" i="111" s="1"/>
  <c r="P95" i="109"/>
  <c r="U95" i="109" s="1"/>
  <c r="S95" i="109" s="1"/>
  <c r="F75" i="102"/>
  <c r="G46" i="101"/>
  <c r="D52" i="101"/>
  <c r="W31" i="101" a="1"/>
  <c r="W31" i="101" s="1"/>
  <c r="P94" i="98"/>
  <c r="U94" i="98" s="1"/>
  <c r="S94" i="98" s="1"/>
  <c r="Z101" i="98"/>
  <c r="P95" i="98"/>
  <c r="U95" i="98" s="1"/>
  <c r="S95" i="98" s="1"/>
  <c r="N93" i="98"/>
  <c r="P98" i="98"/>
  <c r="U98" i="98" s="1"/>
  <c r="S98" i="98" s="1"/>
  <c r="P97" i="98"/>
  <c r="U97" i="98" s="1"/>
  <c r="S97" i="98" s="1"/>
  <c r="P99" i="98"/>
  <c r="U99" i="98" s="1"/>
  <c r="S99" i="98" s="1"/>
  <c r="P96" i="98"/>
  <c r="U96" i="98" s="1"/>
  <c r="P87" i="108"/>
  <c r="U87" i="108" s="1"/>
  <c r="E46" i="101"/>
  <c r="W24" i="101" a="1"/>
  <c r="W24" i="101" s="1"/>
  <c r="I49" i="101"/>
  <c r="G56" i="98"/>
  <c r="D46" i="101"/>
  <c r="W25" i="101" a="1"/>
  <c r="W25" i="101" s="1"/>
  <c r="E66" i="96"/>
  <c r="F66" i="96"/>
  <c r="P69" i="95"/>
  <c r="U69" i="95" s="1"/>
  <c r="W16" i="95" a="1"/>
  <c r="W16" i="95" s="1"/>
  <c r="D37" i="95"/>
  <c r="P72" i="95"/>
  <c r="U72" i="95" s="1"/>
  <c r="S72" i="95" s="1"/>
  <c r="G37" i="95"/>
  <c r="F50" i="95"/>
  <c r="W44" i="92" a="1"/>
  <c r="W44" i="92" s="1"/>
  <c r="F52" i="90"/>
  <c r="W34" i="90" a="1"/>
  <c r="W34" i="90" s="1"/>
  <c r="D59" i="98"/>
  <c r="P85" i="95"/>
  <c r="U85" i="95" s="1"/>
  <c r="W18" i="95" a="1"/>
  <c r="W18" i="95" s="1"/>
  <c r="I70" i="92"/>
  <c r="F92" i="92"/>
  <c r="W52" i="92" a="1"/>
  <c r="W52" i="92" s="1"/>
  <c r="W51" i="92" s="1"/>
  <c r="F50" i="91"/>
  <c r="G77" i="88"/>
  <c r="W22" i="78" a="1"/>
  <c r="W22" i="78" s="1"/>
  <c r="F80" i="88"/>
  <c r="W15" i="86" a="1"/>
  <c r="W15" i="86" s="1"/>
  <c r="P93" i="86"/>
  <c r="U93" i="86" s="1"/>
  <c r="F72" i="86"/>
  <c r="W43" i="86" a="1"/>
  <c r="W43" i="86" s="1"/>
  <c r="W41" i="82" a="1"/>
  <c r="W41" i="82" s="1"/>
  <c r="D64" i="82"/>
  <c r="H82" i="88"/>
  <c r="H80" i="88" s="1"/>
  <c r="G71" i="85"/>
  <c r="W41" i="85" a="1"/>
  <c r="W41" i="85" s="1"/>
  <c r="E45" i="86"/>
  <c r="W14" i="86" a="1"/>
  <c r="W14" i="86" s="1"/>
  <c r="G72" i="86"/>
  <c r="H52" i="82"/>
  <c r="W29" i="82" a="1"/>
  <c r="W29" i="82" s="1"/>
  <c r="P133" i="82"/>
  <c r="U133" i="82" s="1"/>
  <c r="W33" i="81" a="1"/>
  <c r="W33" i="81" s="1"/>
  <c r="D58" i="81"/>
  <c r="W39" i="79" a="1"/>
  <c r="W39" i="79" s="1"/>
  <c r="P120" i="78"/>
  <c r="U120" i="78" s="1"/>
  <c r="E63" i="77"/>
  <c r="W37" i="77" a="1"/>
  <c r="W37" i="77" s="1"/>
  <c r="W25" i="81" a="1"/>
  <c r="W25" i="81" s="1"/>
  <c r="W26" i="81" a="1"/>
  <c r="W26" i="81" s="1"/>
  <c r="D44" i="81"/>
  <c r="G68" i="85"/>
  <c r="P76" i="82"/>
  <c r="U76" i="82" s="1"/>
  <c r="S76" i="82" s="1"/>
  <c r="W21" i="82" a="1"/>
  <c r="W21" i="82" s="1"/>
  <c r="I53" i="76"/>
  <c r="W27" i="75" a="1"/>
  <c r="W27" i="75" s="1"/>
  <c r="H56" i="75"/>
  <c r="I84" i="74"/>
  <c r="W20" i="70" a="1"/>
  <c r="W20" i="70" s="1"/>
  <c r="D41" i="70"/>
  <c r="P73" i="88"/>
  <c r="U73" i="88" s="1"/>
  <c r="S73" i="88" s="1"/>
  <c r="H56" i="76"/>
  <c r="W33" i="76" a="1"/>
  <c r="W33" i="76" s="1"/>
  <c r="H70" i="74"/>
  <c r="H81" i="74"/>
  <c r="H41" i="70"/>
  <c r="W18" i="70" a="1"/>
  <c r="W18" i="70" s="1"/>
  <c r="H71" i="85"/>
  <c r="W23" i="79" a="1"/>
  <c r="W23" i="79" s="1"/>
  <c r="P114" i="79"/>
  <c r="U114" i="79" s="1"/>
  <c r="I42" i="79"/>
  <c r="E53" i="76"/>
  <c r="W30" i="76" a="1"/>
  <c r="W30" i="76" s="1"/>
  <c r="W26" i="75" a="1"/>
  <c r="W26" i="75" s="1"/>
  <c r="D50" i="75"/>
  <c r="W29" i="75" a="1"/>
  <c r="W29" i="75" s="1"/>
  <c r="I56" i="75"/>
  <c r="W37" i="75" a="1"/>
  <c r="W37" i="75" s="1"/>
  <c r="W43" i="74" a="1"/>
  <c r="W43" i="74" s="1"/>
  <c r="W47" i="74" a="1"/>
  <c r="W47" i="74" s="1"/>
  <c r="D84" i="74"/>
  <c r="W19" i="70" a="1"/>
  <c r="W19" i="70" s="1"/>
  <c r="F41" i="70"/>
  <c r="E47" i="62"/>
  <c r="W28" i="62" a="1"/>
  <c r="W28" i="62" s="1"/>
  <c r="H45" i="60"/>
  <c r="G46" i="60"/>
  <c r="G47" i="60"/>
  <c r="F48" i="60"/>
  <c r="E49" i="60"/>
  <c r="H50" i="60"/>
  <c r="E51" i="60"/>
  <c r="H52" i="60"/>
  <c r="F53" i="60"/>
  <c r="D54" i="60"/>
  <c r="G55" i="60"/>
  <c r="F45" i="60"/>
  <c r="I45" i="60"/>
  <c r="I46" i="60"/>
  <c r="H47" i="60"/>
  <c r="G48" i="60"/>
  <c r="G49" i="60"/>
  <c r="D50" i="60"/>
  <c r="I50" i="60"/>
  <c r="F51" i="60"/>
  <c r="D52" i="60"/>
  <c r="G53" i="60"/>
  <c r="F54" i="60"/>
  <c r="H55" i="60"/>
  <c r="D45" i="60"/>
  <c r="E45" i="60"/>
  <c r="E46" i="60"/>
  <c r="D47" i="60"/>
  <c r="I47" i="60"/>
  <c r="I48" i="60"/>
  <c r="H49" i="60"/>
  <c r="E50" i="60"/>
  <c r="G51" i="60"/>
  <c r="F52" i="60"/>
  <c r="I53" i="60"/>
  <c r="G54" i="60"/>
  <c r="D55" i="60"/>
  <c r="I55" i="60"/>
  <c r="G45" i="60"/>
  <c r="F46" i="60"/>
  <c r="E47" i="60"/>
  <c r="E48" i="60"/>
  <c r="D49" i="60"/>
  <c r="I49" i="60"/>
  <c r="F50" i="60"/>
  <c r="I51" i="60"/>
  <c r="G52" i="60"/>
  <c r="E53" i="60"/>
  <c r="H54" i="60"/>
  <c r="E55" i="60"/>
  <c r="H53" i="60"/>
  <c r="E52" i="60"/>
  <c r="G50" i="60"/>
  <c r="H48" i="60"/>
  <c r="E54" i="60"/>
  <c r="F47" i="60"/>
  <c r="F49" i="60"/>
  <c r="H46" i="60"/>
  <c r="F55" i="60"/>
  <c r="D53" i="60"/>
  <c r="H51" i="60"/>
  <c r="D46" i="60"/>
  <c r="I54" i="60"/>
  <c r="I52" i="60"/>
  <c r="D51" i="60"/>
  <c r="D48" i="60"/>
  <c r="P99" i="74"/>
  <c r="U99" i="74" s="1"/>
  <c r="P74" i="74"/>
  <c r="U74" i="74" s="1"/>
  <c r="N92" i="70"/>
  <c r="Z100" i="70"/>
  <c r="P94" i="70"/>
  <c r="U94" i="70" s="1"/>
  <c r="S94" i="70" s="1"/>
  <c r="P97" i="70"/>
  <c r="U97" i="70" s="1"/>
  <c r="S97" i="70" s="1"/>
  <c r="P98" i="70"/>
  <c r="U98" i="70" s="1"/>
  <c r="S98" i="70" s="1"/>
  <c r="P93" i="70"/>
  <c r="U93" i="70" s="1"/>
  <c r="P96" i="70"/>
  <c r="U96" i="70" s="1"/>
  <c r="S96" i="70" s="1"/>
  <c r="P95" i="70"/>
  <c r="U95" i="70" s="1"/>
  <c r="S95" i="70" s="1"/>
  <c r="P47" i="68"/>
  <c r="U47" i="68" s="1"/>
  <c r="D34" i="68"/>
  <c r="W14" i="68" a="1"/>
  <c r="W14" i="68" s="1"/>
  <c r="W13" i="68" s="1"/>
  <c r="E46" i="68"/>
  <c r="W27" i="68" a="1"/>
  <c r="W27" i="68" s="1"/>
  <c r="F53" i="76"/>
  <c r="F67" i="69"/>
  <c r="W41" i="69" a="1"/>
  <c r="W41" i="69" s="1"/>
  <c r="W15" i="49" a="1"/>
  <c r="W15" i="49" s="1"/>
  <c r="E28" i="49"/>
  <c r="P69" i="63"/>
  <c r="U69" i="63" s="1"/>
  <c r="S69" i="63" s="1"/>
  <c r="W15" i="63" a="1"/>
  <c r="W15" i="63" s="1"/>
  <c r="D68" i="63"/>
  <c r="W35" i="63" a="1"/>
  <c r="W35" i="63" s="1"/>
  <c r="W30" i="62" a="1"/>
  <c r="W30" i="62" s="1"/>
  <c r="W33" i="61" a="1"/>
  <c r="W33" i="61" s="1"/>
  <c r="H59" i="60"/>
  <c r="W37" i="60" a="1"/>
  <c r="W37" i="60" s="1"/>
  <c r="P83" i="57"/>
  <c r="U83" i="57" s="1"/>
  <c r="S83" i="57" s="1"/>
  <c r="W18" i="49" a="1"/>
  <c r="W18" i="49" s="1"/>
  <c r="P81" i="49"/>
  <c r="U81" i="49" s="1"/>
  <c r="F28" i="49"/>
  <c r="P63" i="63"/>
  <c r="U63" i="63" s="1"/>
  <c r="S63" i="63" s="1"/>
  <c r="F47" i="63"/>
  <c r="I51" i="63"/>
  <c r="P90" i="63"/>
  <c r="U90" i="63" s="1"/>
  <c r="S90" i="63" s="1"/>
  <c r="H57" i="63"/>
  <c r="F58" i="63"/>
  <c r="H59" i="63"/>
  <c r="F60" i="63"/>
  <c r="I57" i="63"/>
  <c r="G60" i="63"/>
  <c r="D57" i="63"/>
  <c r="I58" i="63"/>
  <c r="G58" i="63"/>
  <c r="F57" i="63"/>
  <c r="F59" i="63"/>
  <c r="G57" i="63"/>
  <c r="G59" i="63"/>
  <c r="D59" i="63"/>
  <c r="E59" i="63"/>
  <c r="D58" i="63"/>
  <c r="D60" i="63"/>
  <c r="E60" i="63"/>
  <c r="E57" i="63"/>
  <c r="I59" i="63"/>
  <c r="H58" i="63"/>
  <c r="H60" i="63"/>
  <c r="E58" i="63"/>
  <c r="I60" i="63"/>
  <c r="W37" i="63" a="1"/>
  <c r="W37" i="63" s="1"/>
  <c r="W31" i="62" a="1"/>
  <c r="W31" i="62" s="1"/>
  <c r="D47" i="62"/>
  <c r="I79" i="59"/>
  <c r="W44" i="59" a="1"/>
  <c r="W44" i="59" s="1"/>
  <c r="E82" i="57"/>
  <c r="W48" i="57" a="1"/>
  <c r="W48" i="57" s="1"/>
  <c r="F39" i="49"/>
  <c r="W22" i="118" a="1"/>
  <c r="W22" i="118" s="1"/>
  <c r="W21" i="118" s="1"/>
  <c r="D35" i="118"/>
  <c r="G72" i="63"/>
  <c r="P80" i="118"/>
  <c r="U80" i="118" s="1"/>
  <c r="P89" i="122"/>
  <c r="U89" i="122" s="1"/>
  <c r="W20" i="63" a="1"/>
  <c r="W20" i="63" s="1"/>
  <c r="E55" i="81"/>
  <c r="I72" i="86"/>
  <c r="W29" i="78" a="1"/>
  <c r="W29" i="78" s="1"/>
  <c r="P47" i="36"/>
  <c r="W56" i="92" a="1"/>
  <c r="W56" i="92" s="1"/>
  <c r="W19" i="109" a="1"/>
  <c r="W19" i="109" s="1"/>
  <c r="I75" i="102"/>
  <c r="S80" i="86"/>
  <c r="S50" i="49"/>
  <c r="S56" i="49"/>
  <c r="U92" i="102" l="1"/>
  <c r="S92" i="102"/>
  <c r="S84" i="102"/>
  <c r="S76" i="102"/>
  <c r="S98" i="80"/>
  <c r="U76" i="102"/>
  <c r="U98" i="80"/>
  <c r="U84" i="102"/>
  <c r="W29" i="57" a="1"/>
  <c r="W29" i="57" s="1"/>
  <c r="I41" i="60"/>
  <c r="W26" i="62" a="1"/>
  <c r="W26" i="62" s="1"/>
  <c r="W26" i="68" a="1"/>
  <c r="W26" i="68" s="1"/>
  <c r="I29" i="118"/>
  <c r="P67" i="102"/>
  <c r="U67" i="102" s="1"/>
  <c r="S67" i="102" s="1"/>
  <c r="I49" i="102"/>
  <c r="H49" i="102"/>
  <c r="P66" i="102"/>
  <c r="U66" i="102" s="1"/>
  <c r="S66" i="102" s="1"/>
  <c r="P71" i="73"/>
  <c r="U71" i="73" s="1"/>
  <c r="S71" i="73" s="1"/>
  <c r="G49" i="73"/>
  <c r="W23" i="73" a="1"/>
  <c r="W23" i="73" s="1"/>
  <c r="P69" i="73"/>
  <c r="U69" i="73" s="1"/>
  <c r="S69" i="73" s="1"/>
  <c r="E49" i="73"/>
  <c r="W17" i="73" a="1"/>
  <c r="W17" i="73" s="1"/>
  <c r="P76" i="73"/>
  <c r="U76" i="73" s="1"/>
  <c r="P68" i="73"/>
  <c r="U68" i="73" s="1"/>
  <c r="W16" i="73" a="1"/>
  <c r="W16" i="73" s="1"/>
  <c r="D49" i="73"/>
  <c r="W24" i="73" a="1"/>
  <c r="W24" i="73" s="1"/>
  <c r="W20" i="103" a="1"/>
  <c r="W20" i="103" s="1"/>
  <c r="E65" i="73"/>
  <c r="W34" i="73" a="1"/>
  <c r="W34" i="73" s="1"/>
  <c r="I35" i="101"/>
  <c r="P72" i="101"/>
  <c r="U72" i="101" s="1"/>
  <c r="S72" i="101" s="1"/>
  <c r="S73" i="101" s="1"/>
  <c r="P75" i="101"/>
  <c r="U75" i="101" s="1"/>
  <c r="S75" i="101" s="1"/>
  <c r="W14" i="101" a="1"/>
  <c r="W14" i="101" s="1"/>
  <c r="W24" i="103" a="1"/>
  <c r="W24" i="103" s="1"/>
  <c r="P100" i="80"/>
  <c r="U100" i="80" s="1"/>
  <c r="S100" i="80" s="1"/>
  <c r="Z107" i="80"/>
  <c r="N99" i="80"/>
  <c r="P104" i="80"/>
  <c r="U104" i="80" s="1"/>
  <c r="S104" i="80" s="1"/>
  <c r="P101" i="80"/>
  <c r="U101" i="80" s="1"/>
  <c r="S101" i="80" s="1"/>
  <c r="P105" i="80"/>
  <c r="U105" i="80" s="1"/>
  <c r="S105" i="80" s="1"/>
  <c r="P103" i="80"/>
  <c r="U103" i="80" s="1"/>
  <c r="S103" i="80" s="1"/>
  <c r="F50" i="34"/>
  <c r="D47" i="34"/>
  <c r="F49" i="101"/>
  <c r="I52" i="103"/>
  <c r="F52" i="103"/>
  <c r="E52" i="103"/>
  <c r="F59" i="103"/>
  <c r="W45" i="57" a="1"/>
  <c r="W45" i="57" s="1"/>
  <c r="F59" i="73"/>
  <c r="H54" i="74"/>
  <c r="W22" i="74" a="1"/>
  <c r="W22" i="74" s="1"/>
  <c r="D59" i="59"/>
  <c r="D41" i="60"/>
  <c r="G55" i="81"/>
  <c r="W20" i="81" a="1"/>
  <c r="W20" i="81" s="1"/>
  <c r="W41" i="96" a="1"/>
  <c r="W41" i="96" s="1"/>
  <c r="P63" i="102"/>
  <c r="U63" i="102" s="1"/>
  <c r="E49" i="102"/>
  <c r="P72" i="73"/>
  <c r="U72" i="73" s="1"/>
  <c r="S72" i="73" s="1"/>
  <c r="H49" i="73"/>
  <c r="W20" i="73" a="1"/>
  <c r="W20" i="73" s="1"/>
  <c r="P84" i="73"/>
  <c r="U84" i="73" s="1"/>
  <c r="S84" i="73" s="1"/>
  <c r="S90" i="73" s="1"/>
  <c r="W18" i="73" a="1"/>
  <c r="W18" i="73" s="1"/>
  <c r="D43" i="101"/>
  <c r="F57" i="111"/>
  <c r="W37" i="103" a="1"/>
  <c r="W37" i="103" s="1"/>
  <c r="W38" i="73" a="1"/>
  <c r="W38" i="73" s="1"/>
  <c r="D65" i="73"/>
  <c r="W32" i="73" a="1"/>
  <c r="W32" i="73" s="1"/>
  <c r="W37" i="73" a="1"/>
  <c r="W37" i="73" s="1"/>
  <c r="W35" i="73" a="1"/>
  <c r="W35" i="73" s="1"/>
  <c r="G65" i="73"/>
  <c r="E54" i="111"/>
  <c r="W22" i="103" a="1"/>
  <c r="W22" i="103" s="1"/>
  <c r="H50" i="34"/>
  <c r="H47" i="34"/>
  <c r="I44" i="111"/>
  <c r="G52" i="103"/>
  <c r="W28" i="103" a="1"/>
  <c r="W28" i="103" s="1"/>
  <c r="G59" i="103"/>
  <c r="W32" i="74" a="1"/>
  <c r="W32" i="74" s="1"/>
  <c r="D76" i="96"/>
  <c r="W38" i="96" a="1"/>
  <c r="W38" i="96" s="1"/>
  <c r="W40" i="96" a="1"/>
  <c r="W40" i="96" s="1"/>
  <c r="W22" i="73" a="1"/>
  <c r="W22" i="73" s="1"/>
  <c r="W19" i="73" a="1"/>
  <c r="W19" i="73" s="1"/>
  <c r="F43" i="101"/>
  <c r="W19" i="103" a="1"/>
  <c r="W19" i="103" s="1"/>
  <c r="W33" i="73" a="1"/>
  <c r="W33" i="73" s="1"/>
  <c r="I65" i="73"/>
  <c r="G50" i="34"/>
  <c r="G40" i="101"/>
  <c r="W31" i="103" a="1"/>
  <c r="W31" i="103" s="1"/>
  <c r="I55" i="103"/>
  <c r="W27" i="103" a="1"/>
  <c r="W27" i="103" s="1"/>
  <c r="W26" i="103" s="1"/>
  <c r="D52" i="103"/>
  <c r="W35" i="103" a="1"/>
  <c r="W35" i="103" s="1"/>
  <c r="W34" i="103" a="1"/>
  <c r="W34" i="103" s="1"/>
  <c r="H64" i="57"/>
  <c r="E44" i="62"/>
  <c r="I38" i="76"/>
  <c r="W43" i="96" a="1"/>
  <c r="W43" i="96" s="1"/>
  <c r="W39" i="96" a="1"/>
  <c r="W39" i="96" s="1"/>
  <c r="W42" i="96" a="1"/>
  <c r="W42" i="96" s="1"/>
  <c r="W44" i="96" a="1"/>
  <c r="W44" i="96" s="1"/>
  <c r="D31" i="105"/>
  <c r="H34" i="105"/>
  <c r="W22" i="106" a="1"/>
  <c r="W22" i="106" s="1"/>
  <c r="W20" i="106" a="1"/>
  <c r="W20" i="106" s="1"/>
  <c r="D65" i="109"/>
  <c r="W35" i="109" a="1"/>
  <c r="W35" i="109" s="1"/>
  <c r="W34" i="109" s="1"/>
  <c r="I65" i="109"/>
  <c r="I49" i="73"/>
  <c r="P73" i="73"/>
  <c r="U73" i="73" s="1"/>
  <c r="S73" i="73" s="1"/>
  <c r="P70" i="73"/>
  <c r="U70" i="73" s="1"/>
  <c r="S70" i="73" s="1"/>
  <c r="F49" i="73"/>
  <c r="F65" i="73"/>
  <c r="W36" i="73" a="1"/>
  <c r="W36" i="73" s="1"/>
  <c r="W23" i="103" a="1"/>
  <c r="W23" i="103" s="1"/>
  <c r="D50" i="34"/>
  <c r="E50" i="34"/>
  <c r="D55" i="103"/>
  <c r="W30" i="103" a="1"/>
  <c r="W30" i="103" s="1"/>
  <c r="W29" i="103" s="1"/>
  <c r="E55" i="103"/>
  <c r="S52" i="35"/>
  <c r="W25" i="25"/>
  <c r="S60" i="25"/>
  <c r="S44" i="35"/>
  <c r="W17" i="35"/>
  <c r="W14" i="35" s="1"/>
  <c r="W31" i="35" s="1"/>
  <c r="W32" i="35" s="1"/>
  <c r="U52" i="35"/>
  <c r="U68" i="35"/>
  <c r="U44" i="35"/>
  <c r="U76" i="35"/>
  <c r="S76" i="35"/>
  <c r="U75" i="66"/>
  <c r="S75" i="66"/>
  <c r="D39" i="66"/>
  <c r="F39" i="66"/>
  <c r="W24" i="66" a="1"/>
  <c r="W24" i="66" s="1"/>
  <c r="E39" i="66"/>
  <c r="W25" i="66" a="1"/>
  <c r="W25" i="66" s="1"/>
  <c r="S51" i="66"/>
  <c r="S67" i="66"/>
  <c r="U51" i="66"/>
  <c r="U67" i="66"/>
  <c r="I39" i="66"/>
  <c r="P82" i="66"/>
  <c r="U82" i="66" s="1"/>
  <c r="S82" i="66" s="1"/>
  <c r="P78" i="66"/>
  <c r="U78" i="66" s="1"/>
  <c r="H39" i="66"/>
  <c r="G39" i="66"/>
  <c r="W16" i="66"/>
  <c r="F46" i="123"/>
  <c r="W18" i="123"/>
  <c r="D46" i="123"/>
  <c r="I50" i="123"/>
  <c r="G46" i="123"/>
  <c r="W37" i="109"/>
  <c r="G65" i="109"/>
  <c r="F65" i="109"/>
  <c r="E65" i="109"/>
  <c r="E43" i="109"/>
  <c r="F61" i="109"/>
  <c r="I61" i="109"/>
  <c r="H46" i="109"/>
  <c r="G61" i="109"/>
  <c r="F46" i="109"/>
  <c r="W17" i="109" a="1"/>
  <c r="W17" i="109" s="1"/>
  <c r="W29" i="109" a="1"/>
  <c r="W29" i="109" s="1"/>
  <c r="W28" i="109" s="1"/>
  <c r="N106" i="109"/>
  <c r="Z114" i="109"/>
  <c r="P118" i="109" s="1"/>
  <c r="U118" i="109" s="1"/>
  <c r="S118" i="109" s="1"/>
  <c r="W16" i="109" a="1"/>
  <c r="W16" i="109" s="1"/>
  <c r="I46" i="109"/>
  <c r="G49" i="109"/>
  <c r="W23" i="49" a="1"/>
  <c r="W23" i="49" s="1"/>
  <c r="S77" i="49"/>
  <c r="U77" i="49"/>
  <c r="W19" i="49" a="1"/>
  <c r="W19" i="49" s="1"/>
  <c r="P87" i="49"/>
  <c r="U87" i="49" s="1"/>
  <c r="H28" i="49"/>
  <c r="P51" i="49"/>
  <c r="U51" i="49" s="1"/>
  <c r="S51" i="49" s="1"/>
  <c r="S53" i="49" s="1"/>
  <c r="D28" i="49"/>
  <c r="P85" i="118"/>
  <c r="U85" i="118" s="1"/>
  <c r="S85" i="118" s="1"/>
  <c r="F29" i="118"/>
  <c r="W16" i="118" a="1"/>
  <c r="W16" i="118" s="1"/>
  <c r="W15" i="118" s="1"/>
  <c r="G32" i="118"/>
  <c r="N78" i="116"/>
  <c r="Z86" i="116"/>
  <c r="E68" i="108"/>
  <c r="W22" i="108" a="1"/>
  <c r="W22" i="108" s="1"/>
  <c r="F68" i="108"/>
  <c r="D56" i="108"/>
  <c r="W25" i="108" s="1"/>
  <c r="H68" i="108"/>
  <c r="D77" i="108"/>
  <c r="F77" i="108"/>
  <c r="W20" i="108" a="1"/>
  <c r="W20" i="108" s="1"/>
  <c r="W19" i="108" s="1"/>
  <c r="P82" i="108"/>
  <c r="U82" i="108" s="1"/>
  <c r="S82" i="108" s="1"/>
  <c r="P86" i="108"/>
  <c r="U86" i="108" s="1"/>
  <c r="S86" i="108" s="1"/>
  <c r="E77" i="108"/>
  <c r="I77" i="108"/>
  <c r="I68" i="108"/>
  <c r="P73" i="108"/>
  <c r="U73" i="108" s="1"/>
  <c r="S73" i="108" s="1"/>
  <c r="P69" i="108"/>
  <c r="U69" i="108" s="1"/>
  <c r="S69" i="108" s="1"/>
  <c r="P85" i="108"/>
  <c r="U85" i="108" s="1"/>
  <c r="S85" i="108" s="1"/>
  <c r="W21" i="106" a="1"/>
  <c r="W21" i="106" s="1"/>
  <c r="F31" i="106"/>
  <c r="W24" i="106" a="1"/>
  <c r="W24" i="106" s="1"/>
  <c r="W23" i="106" s="1"/>
  <c r="G31" i="106"/>
  <c r="H31" i="106"/>
  <c r="W16" i="106" a="1"/>
  <c r="W16" i="106" s="1"/>
  <c r="W15" i="106" s="1"/>
  <c r="P61" i="106"/>
  <c r="U61" i="106" s="1"/>
  <c r="S61" i="106" s="1"/>
  <c r="I31" i="106"/>
  <c r="P56" i="106"/>
  <c r="U56" i="106" s="1"/>
  <c r="W18" i="106" a="1"/>
  <c r="W18" i="106" s="1"/>
  <c r="D31" i="106"/>
  <c r="E31" i="106"/>
  <c r="P57" i="106"/>
  <c r="U57" i="106" s="1"/>
  <c r="S57" i="106" s="1"/>
  <c r="P64" i="106"/>
  <c r="U64" i="106" s="1"/>
  <c r="W19" i="106" a="1"/>
  <c r="W19" i="106" s="1"/>
  <c r="E31" i="105"/>
  <c r="P61" i="105"/>
  <c r="U61" i="105" s="1"/>
  <c r="S61" i="105" s="1"/>
  <c r="D29" i="105"/>
  <c r="P98" i="105"/>
  <c r="U98" i="105" s="1"/>
  <c r="S98" i="105" s="1"/>
  <c r="N92" i="105"/>
  <c r="P93" i="105"/>
  <c r="U93" i="105" s="1"/>
  <c r="S93" i="105" s="1"/>
  <c r="P97" i="105"/>
  <c r="U97" i="105" s="1"/>
  <c r="S97" i="105" s="1"/>
  <c r="P94" i="105"/>
  <c r="U94" i="105" s="1"/>
  <c r="S94" i="105" s="1"/>
  <c r="P96" i="105"/>
  <c r="U96" i="105" s="1"/>
  <c r="S96" i="105" s="1"/>
  <c r="Z100" i="105"/>
  <c r="P96" i="103"/>
  <c r="U96" i="103" s="1"/>
  <c r="S96" i="103" s="1"/>
  <c r="P98" i="103"/>
  <c r="U98" i="103" s="1"/>
  <c r="S98" i="103" s="1"/>
  <c r="N94" i="103"/>
  <c r="P99" i="103"/>
  <c r="U99" i="103" s="1"/>
  <c r="S99" i="103" s="1"/>
  <c r="Z102" i="103"/>
  <c r="P97" i="103"/>
  <c r="U97" i="103" s="1"/>
  <c r="S97" i="103" s="1"/>
  <c r="P100" i="103"/>
  <c r="U100" i="103" s="1"/>
  <c r="S100" i="103" s="1"/>
  <c r="W17" i="102"/>
  <c r="U81" i="101"/>
  <c r="S81" i="101"/>
  <c r="P110" i="102"/>
  <c r="U110" i="102" s="1"/>
  <c r="S110" i="102" s="1"/>
  <c r="W41" i="102" a="1"/>
  <c r="W41" i="102" s="1"/>
  <c r="W40" i="102" s="1"/>
  <c r="W24" i="102" a="1"/>
  <c r="W24" i="102" s="1"/>
  <c r="W22" i="102" s="1"/>
  <c r="W15" i="98"/>
  <c r="W33" i="102" a="1"/>
  <c r="W33" i="102" s="1"/>
  <c r="W35" i="102" a="1"/>
  <c r="W35" i="102" s="1"/>
  <c r="D64" i="102"/>
  <c r="W38" i="102" a="1"/>
  <c r="W38" i="102" s="1"/>
  <c r="W37" i="102" s="1"/>
  <c r="G64" i="102"/>
  <c r="W36" i="102" a="1"/>
  <c r="W36" i="102" s="1"/>
  <c r="E54" i="102"/>
  <c r="D69" i="102"/>
  <c r="G69" i="102"/>
  <c r="F54" i="102"/>
  <c r="P96" i="102"/>
  <c r="U96" i="102" s="1"/>
  <c r="S96" i="102" s="1"/>
  <c r="S100" i="102" s="1"/>
  <c r="G54" i="102"/>
  <c r="W42" i="98"/>
  <c r="F65" i="98"/>
  <c r="G65" i="98"/>
  <c r="H65" i="98"/>
  <c r="H59" i="98"/>
  <c r="I59" i="98"/>
  <c r="G59" i="98"/>
  <c r="E51" i="98"/>
  <c r="I65" i="98"/>
  <c r="F56" i="98"/>
  <c r="W20" i="98"/>
  <c r="W37" i="96" a="1"/>
  <c r="W37" i="96" s="1"/>
  <c r="W29" i="96" a="1"/>
  <c r="W29" i="96" s="1"/>
  <c r="W28" i="96" a="1"/>
  <c r="W28" i="96" s="1"/>
  <c r="W27" i="96" a="1"/>
  <c r="W27" i="96" s="1"/>
  <c r="G76" i="96"/>
  <c r="G66" i="96"/>
  <c r="W19" i="96" a="1"/>
  <c r="W19" i="96" s="1"/>
  <c r="U61" i="90"/>
  <c r="N112" i="96"/>
  <c r="Z120" i="96"/>
  <c r="P123" i="96" s="1"/>
  <c r="U123" i="96" s="1"/>
  <c r="S123" i="96" s="1"/>
  <c r="Y47" i="92"/>
  <c r="A89" i="92"/>
  <c r="D70" i="92"/>
  <c r="D83" i="92"/>
  <c r="Z86" i="91"/>
  <c r="N78" i="91"/>
  <c r="W14" i="90"/>
  <c r="U69" i="90"/>
  <c r="H42" i="90"/>
  <c r="W17" i="89" a="1"/>
  <c r="W17" i="89" s="1"/>
  <c r="W20" i="89" a="1"/>
  <c r="W20" i="89" s="1"/>
  <c r="W18" i="89" a="1"/>
  <c r="W18" i="89" s="1"/>
  <c r="H63" i="89"/>
  <c r="D63" i="89"/>
  <c r="W35" i="89" a="1"/>
  <c r="W35" i="89" s="1"/>
  <c r="E63" i="89"/>
  <c r="I63" i="89"/>
  <c r="G63" i="89"/>
  <c r="W36" i="89" a="1"/>
  <c r="W36" i="89" s="1"/>
  <c r="G51" i="88"/>
  <c r="W16" i="88" a="1"/>
  <c r="W16" i="88" s="1"/>
  <c r="W15" i="88" a="1"/>
  <c r="W15" i="88" s="1"/>
  <c r="E51" i="88"/>
  <c r="F51" i="88"/>
  <c r="H51" i="88"/>
  <c r="I51" i="88"/>
  <c r="W20" i="88" a="1"/>
  <c r="W20" i="88" s="1"/>
  <c r="W23" i="88" a="1"/>
  <c r="W23" i="88" s="1"/>
  <c r="W40" i="84"/>
  <c r="W17" i="88" a="1"/>
  <c r="W17" i="88" s="1"/>
  <c r="W19" i="88" a="1"/>
  <c r="W19" i="88" s="1"/>
  <c r="D68" i="85"/>
  <c r="U98" i="84"/>
  <c r="P122" i="86"/>
  <c r="U122" i="86" s="1"/>
  <c r="S122" i="86" s="1"/>
  <c r="Z124" i="86"/>
  <c r="N116" i="86"/>
  <c r="P120" i="86"/>
  <c r="U120" i="86" s="1"/>
  <c r="S120" i="86" s="1"/>
  <c r="P117" i="86"/>
  <c r="U117" i="86" s="1"/>
  <c r="P119" i="86"/>
  <c r="U119" i="86" s="1"/>
  <c r="S119" i="86" s="1"/>
  <c r="U112" i="83"/>
  <c r="U64" i="83"/>
  <c r="S64" i="83"/>
  <c r="S98" i="84"/>
  <c r="P103" i="84"/>
  <c r="U103" i="84" s="1"/>
  <c r="S103" i="84" s="1"/>
  <c r="N99" i="84"/>
  <c r="P102" i="84"/>
  <c r="U102" i="84" s="1"/>
  <c r="S102" i="84" s="1"/>
  <c r="P104" i="84"/>
  <c r="U104" i="84" s="1"/>
  <c r="S104" i="84" s="1"/>
  <c r="Z107" i="84"/>
  <c r="P100" i="84"/>
  <c r="U100" i="84" s="1"/>
  <c r="P105" i="84"/>
  <c r="U105" i="84" s="1"/>
  <c r="S105" i="84" s="1"/>
  <c r="P101" i="84"/>
  <c r="U101" i="84" s="1"/>
  <c r="S101" i="84" s="1"/>
  <c r="U80" i="83"/>
  <c r="G43" i="82"/>
  <c r="H44" i="81"/>
  <c r="H55" i="81"/>
  <c r="P89" i="81"/>
  <c r="U89" i="81" s="1"/>
  <c r="S89" i="81" s="1"/>
  <c r="W24" i="81" a="1"/>
  <c r="W24" i="81" s="1"/>
  <c r="W18" i="81" s="1"/>
  <c r="P93" i="81"/>
  <c r="U93" i="81" s="1"/>
  <c r="S93" i="81" s="1"/>
  <c r="P92" i="81"/>
  <c r="U92" i="81" s="1"/>
  <c r="S92" i="81" s="1"/>
  <c r="P91" i="81"/>
  <c r="U91" i="81" s="1"/>
  <c r="S91" i="81" s="1"/>
  <c r="P90" i="81"/>
  <c r="U90" i="81" s="1"/>
  <c r="S90" i="81" s="1"/>
  <c r="O23" i="36"/>
  <c r="AC32" i="36"/>
  <c r="Q23" i="36"/>
  <c r="N23" i="36"/>
  <c r="L20" i="36"/>
  <c r="W25" i="79" a="1"/>
  <c r="W25" i="79" s="1"/>
  <c r="W27" i="79" a="1"/>
  <c r="W27" i="79" s="1"/>
  <c r="W21" i="79" a="1"/>
  <c r="W21" i="79" s="1"/>
  <c r="P124" i="79"/>
  <c r="U124" i="79" s="1"/>
  <c r="S124" i="79" s="1"/>
  <c r="W20" i="79" a="1"/>
  <c r="W20" i="79" s="1"/>
  <c r="W30" i="79" a="1"/>
  <c r="W30" i="79" s="1"/>
  <c r="W28" i="79" a="1"/>
  <c r="W28" i="79" s="1"/>
  <c r="W29" i="79" a="1"/>
  <c r="W29" i="79" s="1"/>
  <c r="P99" i="79"/>
  <c r="U99" i="79" s="1"/>
  <c r="S99" i="79" s="1"/>
  <c r="S104" i="79" s="1"/>
  <c r="W22" i="79" a="1"/>
  <c r="W22" i="79" s="1"/>
  <c r="W26" i="79" a="1"/>
  <c r="W26" i="79" s="1"/>
  <c r="W31" i="79" a="1"/>
  <c r="W31" i="79" s="1"/>
  <c r="W18" i="79" a="1"/>
  <c r="W18" i="79" s="1"/>
  <c r="W19" i="79" a="1"/>
  <c r="W19" i="79" s="1"/>
  <c r="E42" i="79"/>
  <c r="P125" i="79"/>
  <c r="U125" i="79" s="1"/>
  <c r="S125" i="79" s="1"/>
  <c r="H42" i="79"/>
  <c r="W24" i="79" a="1"/>
  <c r="W24" i="79" s="1"/>
  <c r="P127" i="79"/>
  <c r="U127" i="79" s="1"/>
  <c r="S127" i="79" s="1"/>
  <c r="P122" i="79"/>
  <c r="U122" i="79" s="1"/>
  <c r="S122" i="79" s="1"/>
  <c r="Z127" i="78"/>
  <c r="N119" i="78"/>
  <c r="P124" i="78"/>
  <c r="U124" i="78" s="1"/>
  <c r="S124" i="78" s="1"/>
  <c r="W24" i="78" a="1"/>
  <c r="W24" i="78" s="1"/>
  <c r="W23" i="78" a="1"/>
  <c r="W23" i="78" s="1"/>
  <c r="F40" i="78"/>
  <c r="H40" i="78"/>
  <c r="W17" i="78" a="1"/>
  <c r="W17" i="78" s="1"/>
  <c r="W20" i="78" a="1"/>
  <c r="W20" i="78" s="1"/>
  <c r="W28" i="78" a="1"/>
  <c r="W28" i="78" s="1"/>
  <c r="W14" i="78" a="1"/>
  <c r="W14" i="78" s="1"/>
  <c r="W19" i="78" a="1"/>
  <c r="W19" i="78" s="1"/>
  <c r="W16" i="78" a="1"/>
  <c r="W16" i="78" s="1"/>
  <c r="D40" i="78"/>
  <c r="E40" i="78"/>
  <c r="W27" i="76" a="1"/>
  <c r="W27" i="76" s="1"/>
  <c r="W26" i="76" s="1"/>
  <c r="W16" i="76" a="1"/>
  <c r="W16" i="76" s="1"/>
  <c r="W14" i="76" s="1"/>
  <c r="D38" i="76"/>
  <c r="U84" i="76"/>
  <c r="S84" i="76"/>
  <c r="P70" i="76"/>
  <c r="U70" i="76" s="1"/>
  <c r="S70" i="76" s="1"/>
  <c r="S76" i="76" s="1"/>
  <c r="E38" i="76"/>
  <c r="G38" i="76"/>
  <c r="G50" i="76"/>
  <c r="F50" i="76"/>
  <c r="W48" i="74"/>
  <c r="S106" i="76"/>
  <c r="S108" i="76" s="1"/>
  <c r="U108" i="76"/>
  <c r="G41" i="76"/>
  <c r="P89" i="76"/>
  <c r="U89" i="76" s="1"/>
  <c r="S89" i="76" s="1"/>
  <c r="W18" i="76" a="1"/>
  <c r="W18" i="76" s="1"/>
  <c r="D41" i="76"/>
  <c r="P86" i="76"/>
  <c r="U86" i="76" s="1"/>
  <c r="F41" i="76"/>
  <c r="P88" i="76"/>
  <c r="U88" i="76" s="1"/>
  <c r="S88" i="76" s="1"/>
  <c r="W21" i="76" a="1"/>
  <c r="W21" i="76" s="1"/>
  <c r="W25" i="76" a="1"/>
  <c r="W25" i="76" s="1"/>
  <c r="P115" i="76"/>
  <c r="U115" i="76" s="1"/>
  <c r="S115" i="76" s="1"/>
  <c r="Z117" i="76"/>
  <c r="P112" i="76"/>
  <c r="U112" i="76" s="1"/>
  <c r="S112" i="76" s="1"/>
  <c r="N109" i="76"/>
  <c r="P111" i="76"/>
  <c r="U111" i="76" s="1"/>
  <c r="S111" i="76" s="1"/>
  <c r="P110" i="76"/>
  <c r="U110" i="76" s="1"/>
  <c r="P114" i="76"/>
  <c r="U114" i="76" s="1"/>
  <c r="S114" i="76" s="1"/>
  <c r="P113" i="76"/>
  <c r="U113" i="76" s="1"/>
  <c r="S113" i="76" s="1"/>
  <c r="P87" i="76"/>
  <c r="U87" i="76" s="1"/>
  <c r="S87" i="76" s="1"/>
  <c r="E41" i="76"/>
  <c r="W22" i="76" a="1"/>
  <c r="W22" i="76" s="1"/>
  <c r="I41" i="76"/>
  <c r="P91" i="76"/>
  <c r="U91" i="76" s="1"/>
  <c r="S91" i="76" s="1"/>
  <c r="W23" i="76" a="1"/>
  <c r="W23" i="76" s="1"/>
  <c r="W20" i="76" a="1"/>
  <c r="W20" i="76" s="1"/>
  <c r="P90" i="76"/>
  <c r="U90" i="76" s="1"/>
  <c r="S90" i="76" s="1"/>
  <c r="H41" i="76"/>
  <c r="W24" i="76" a="1"/>
  <c r="W24" i="76" s="1"/>
  <c r="P94" i="76"/>
  <c r="U94" i="76" s="1"/>
  <c r="W19" i="76" a="1"/>
  <c r="W19" i="76" s="1"/>
  <c r="W15" i="75" a="1"/>
  <c r="W15" i="75" s="1"/>
  <c r="W13" i="75" s="1"/>
  <c r="F39" i="75"/>
  <c r="P97" i="75"/>
  <c r="U97" i="75" s="1"/>
  <c r="S97" i="75" s="1"/>
  <c r="P96" i="75"/>
  <c r="U96" i="75" s="1"/>
  <c r="S96" i="75" s="1"/>
  <c r="N91" i="75"/>
  <c r="Z99" i="75"/>
  <c r="W18" i="74" a="1"/>
  <c r="W18" i="74" s="1"/>
  <c r="E54" i="74"/>
  <c r="W19" i="74" a="1"/>
  <c r="W19" i="74" s="1"/>
  <c r="W44" i="74" a="1"/>
  <c r="W44" i="74" s="1"/>
  <c r="W42" i="74" s="1"/>
  <c r="W16" i="74" a="1"/>
  <c r="W16" i="74" s="1"/>
  <c r="W40" i="74" a="1"/>
  <c r="W40" i="74" s="1"/>
  <c r="G54" i="74"/>
  <c r="Z104" i="74"/>
  <c r="N96" i="74"/>
  <c r="W29" i="73" a="1"/>
  <c r="W29" i="73" s="1"/>
  <c r="H59" i="73"/>
  <c r="W27" i="73" a="1"/>
  <c r="W27" i="73" s="1"/>
  <c r="E59" i="73"/>
  <c r="D59" i="73"/>
  <c r="W26" i="73" a="1"/>
  <c r="W26" i="73" s="1"/>
  <c r="Z99" i="73"/>
  <c r="N91" i="73"/>
  <c r="P94" i="73"/>
  <c r="U94" i="73" s="1"/>
  <c r="S94" i="73" s="1"/>
  <c r="P93" i="73"/>
  <c r="U93" i="73" s="1"/>
  <c r="S93" i="73" s="1"/>
  <c r="P97" i="73"/>
  <c r="U97" i="73" s="1"/>
  <c r="S97" i="73" s="1"/>
  <c r="P96" i="73"/>
  <c r="U96" i="73" s="1"/>
  <c r="S96" i="73" s="1"/>
  <c r="P95" i="73"/>
  <c r="U95" i="73" s="1"/>
  <c r="S95" i="73" s="1"/>
  <c r="P92" i="73"/>
  <c r="U92" i="73" s="1"/>
  <c r="W30" i="73" a="1"/>
  <c r="W30" i="73" s="1"/>
  <c r="W28" i="73" a="1"/>
  <c r="W28" i="73" s="1"/>
  <c r="F32" i="72"/>
  <c r="W22" i="72" a="1"/>
  <c r="W22" i="72" s="1"/>
  <c r="W21" i="72" s="1"/>
  <c r="W18" i="72" s="1"/>
  <c r="W14" i="72" a="1"/>
  <c r="W14" i="72" s="1"/>
  <c r="W13" i="72" s="1"/>
  <c r="D32" i="72"/>
  <c r="P45" i="72"/>
  <c r="U45" i="72" s="1"/>
  <c r="S45" i="72" s="1"/>
  <c r="S51" i="72" s="1"/>
  <c r="H32" i="72"/>
  <c r="P57" i="72"/>
  <c r="U57" i="72" s="1"/>
  <c r="S57" i="72" s="1"/>
  <c r="G37" i="70"/>
  <c r="F37" i="70"/>
  <c r="H37" i="70"/>
  <c r="I37" i="70"/>
  <c r="W26" i="70" a="1"/>
  <c r="W26" i="70" s="1"/>
  <c r="W28" i="70" a="1"/>
  <c r="W28" i="70" s="1"/>
  <c r="W21" i="70" a="1"/>
  <c r="W21" i="70" s="1"/>
  <c r="W22" i="70" a="1"/>
  <c r="W22" i="70" s="1"/>
  <c r="W25" i="70" a="1"/>
  <c r="W25" i="70" s="1"/>
  <c r="W24" i="70" a="1"/>
  <c r="W24" i="70" s="1"/>
  <c r="W23" i="70" a="1"/>
  <c r="W23" i="70" s="1"/>
  <c r="E64" i="69"/>
  <c r="H64" i="69"/>
  <c r="I64" i="69"/>
  <c r="W36" i="69" a="1"/>
  <c r="W36" i="69" s="1"/>
  <c r="S62" i="69"/>
  <c r="G64" i="69"/>
  <c r="N79" i="69"/>
  <c r="Z87" i="69"/>
  <c r="W33" i="69" a="1"/>
  <c r="W33" i="69" s="1"/>
  <c r="G56" i="69"/>
  <c r="W30" i="69" a="1"/>
  <c r="W30" i="69" s="1"/>
  <c r="P83" i="69"/>
  <c r="U83" i="69" s="1"/>
  <c r="S83" i="69" s="1"/>
  <c r="P81" i="69"/>
  <c r="U81" i="69" s="1"/>
  <c r="S81" i="69" s="1"/>
  <c r="W31" i="69" a="1"/>
  <c r="W31" i="69" s="1"/>
  <c r="P84" i="69"/>
  <c r="U84" i="69" s="1"/>
  <c r="S84" i="69" s="1"/>
  <c r="W22" i="69"/>
  <c r="E56" i="69"/>
  <c r="W29" i="69" a="1"/>
  <c r="W29" i="69" s="1"/>
  <c r="W27" i="69" a="1"/>
  <c r="W27" i="69" s="1"/>
  <c r="D56" i="69"/>
  <c r="W28" i="69" a="1"/>
  <c r="W28" i="69" s="1"/>
  <c r="I56" i="69"/>
  <c r="F64" i="69"/>
  <c r="F56" i="69"/>
  <c r="D64" i="69"/>
  <c r="W35" i="69" a="1"/>
  <c r="W35" i="69" s="1"/>
  <c r="H56" i="69"/>
  <c r="W32" i="69" a="1"/>
  <c r="W32" i="69" s="1"/>
  <c r="U81" i="34"/>
  <c r="H46" i="68"/>
  <c r="W23" i="68" a="1"/>
  <c r="W23" i="68" s="1"/>
  <c r="D42" i="68"/>
  <c r="W22" i="68" a="1"/>
  <c r="W22" i="68" s="1"/>
  <c r="W24" i="68" a="1"/>
  <c r="W24" i="68" s="1"/>
  <c r="S81" i="34"/>
  <c r="S97" i="34"/>
  <c r="U92" i="62"/>
  <c r="U97" i="34"/>
  <c r="W13" i="34"/>
  <c r="N98" i="34"/>
  <c r="Z106" i="34"/>
  <c r="P112" i="34" s="1"/>
  <c r="U112" i="34" s="1"/>
  <c r="S112" i="34" s="1"/>
  <c r="U55" i="61"/>
  <c r="P111" i="34"/>
  <c r="U111" i="34" s="1"/>
  <c r="S111" i="34" s="1"/>
  <c r="S60" i="62"/>
  <c r="U84" i="62"/>
  <c r="S84" i="62"/>
  <c r="U63" i="61"/>
  <c r="W14" i="62" a="1"/>
  <c r="W14" i="62" s="1"/>
  <c r="W13" i="62" s="1"/>
  <c r="S63" i="61"/>
  <c r="D44" i="62"/>
  <c r="S100" i="62"/>
  <c r="S76" i="62"/>
  <c r="F44" i="62"/>
  <c r="P46" i="62"/>
  <c r="U46" i="62" s="1"/>
  <c r="S46" i="62" s="1"/>
  <c r="D33" i="62"/>
  <c r="I33" i="62"/>
  <c r="P51" i="62"/>
  <c r="U51" i="62" s="1"/>
  <c r="S51" i="62" s="1"/>
  <c r="H33" i="62"/>
  <c r="P50" i="62"/>
  <c r="U50" i="62" s="1"/>
  <c r="S50" i="62" s="1"/>
  <c r="W17" i="61"/>
  <c r="S71" i="61"/>
  <c r="U71" i="61"/>
  <c r="W27" i="61"/>
  <c r="P77" i="61"/>
  <c r="U77" i="61" s="1"/>
  <c r="S77" i="61" s="1"/>
  <c r="P78" i="61"/>
  <c r="U78" i="61" s="1"/>
  <c r="S78" i="61" s="1"/>
  <c r="N72" i="61"/>
  <c r="P73" i="61"/>
  <c r="U73" i="61" s="1"/>
  <c r="P74" i="61"/>
  <c r="U74" i="61" s="1"/>
  <c r="S74" i="61" s="1"/>
  <c r="P75" i="61"/>
  <c r="U75" i="61" s="1"/>
  <c r="S75" i="61" s="1"/>
  <c r="Z80" i="61"/>
  <c r="P76" i="61"/>
  <c r="U76" i="61" s="1"/>
  <c r="S76" i="61" s="1"/>
  <c r="P96" i="60"/>
  <c r="U96" i="60" s="1"/>
  <c r="S96" i="60" s="1"/>
  <c r="P95" i="60"/>
  <c r="U95" i="60" s="1"/>
  <c r="S95" i="60" s="1"/>
  <c r="P97" i="60"/>
  <c r="U97" i="60" s="1"/>
  <c r="S97" i="60" s="1"/>
  <c r="P63" i="60"/>
  <c r="U63" i="60" s="1"/>
  <c r="S63" i="60" s="1"/>
  <c r="P94" i="60"/>
  <c r="U94" i="60" s="1"/>
  <c r="S94" i="60" s="1"/>
  <c r="P61" i="60"/>
  <c r="U61" i="60" s="1"/>
  <c r="S61" i="60" s="1"/>
  <c r="P93" i="60"/>
  <c r="U93" i="60" s="1"/>
  <c r="S93" i="60" s="1"/>
  <c r="P62" i="60"/>
  <c r="U62" i="60" s="1"/>
  <c r="S62" i="60" s="1"/>
  <c r="W24" i="59" a="1"/>
  <c r="W24" i="59" s="1"/>
  <c r="W32" i="59" a="1"/>
  <c r="W32" i="59" s="1"/>
  <c r="W30" i="59" a="1"/>
  <c r="W30" i="59" s="1"/>
  <c r="H55" i="59"/>
  <c r="F59" i="59"/>
  <c r="W20" i="59" a="1"/>
  <c r="W20" i="59" s="1"/>
  <c r="W19" i="59" s="1"/>
  <c r="S95" i="57"/>
  <c r="G59" i="59"/>
  <c r="P86" i="59"/>
  <c r="U86" i="59" s="1"/>
  <c r="S86" i="59" s="1"/>
  <c r="P87" i="59"/>
  <c r="U87" i="59" s="1"/>
  <c r="S87" i="59" s="1"/>
  <c r="W26" i="59" a="1"/>
  <c r="W26" i="59" s="1"/>
  <c r="E59" i="59"/>
  <c r="E63" i="59"/>
  <c r="W25" i="59" a="1"/>
  <c r="W25" i="59" s="1"/>
  <c r="W15" i="59" a="1"/>
  <c r="W15" i="59" s="1"/>
  <c r="G49" i="59"/>
  <c r="W28" i="59" a="1"/>
  <c r="W28" i="59" s="1"/>
  <c r="U95" i="57"/>
  <c r="G63" i="59"/>
  <c r="I63" i="59"/>
  <c r="F63" i="59"/>
  <c r="W29" i="59" a="1"/>
  <c r="W29" i="59" s="1"/>
  <c r="H63" i="59"/>
  <c r="W33" i="59" a="1"/>
  <c r="W33" i="59" s="1"/>
  <c r="W35" i="59" a="1"/>
  <c r="W35" i="59" s="1"/>
  <c r="W34" i="59" a="1"/>
  <c r="W34" i="59" s="1"/>
  <c r="D63" i="59"/>
  <c r="W31" i="59" a="1"/>
  <c r="W31" i="59" s="1"/>
  <c r="I59" i="59"/>
  <c r="W40" i="59"/>
  <c r="I49" i="59"/>
  <c r="P75" i="59" s="1"/>
  <c r="U75" i="59" s="1"/>
  <c r="S75" i="59" s="1"/>
  <c r="P91" i="59"/>
  <c r="U91" i="59" s="1"/>
  <c r="S91" i="59" s="1"/>
  <c r="W18" i="59" a="1"/>
  <c r="W18" i="59" s="1"/>
  <c r="W16" i="59" a="1"/>
  <c r="W16" i="59" s="1"/>
  <c r="F49" i="59"/>
  <c r="H49" i="59"/>
  <c r="P74" i="59" s="1"/>
  <c r="U74" i="59" s="1"/>
  <c r="S74" i="59" s="1"/>
  <c r="W17" i="59" a="1"/>
  <c r="W17" i="59" s="1"/>
  <c r="E49" i="59"/>
  <c r="P71" i="59" s="1"/>
  <c r="U71" i="59" s="1"/>
  <c r="S71" i="59" s="1"/>
  <c r="D49" i="59"/>
  <c r="P70" i="59" s="1"/>
  <c r="U70" i="59" s="1"/>
  <c r="S70" i="59" s="1"/>
  <c r="W14" i="59" a="1"/>
  <c r="W14" i="59" s="1"/>
  <c r="W15" i="57" a="1"/>
  <c r="W15" i="57" s="1"/>
  <c r="F64" i="57"/>
  <c r="H52" i="57"/>
  <c r="I52" i="57"/>
  <c r="W24" i="57" a="1"/>
  <c r="W24" i="57" s="1"/>
  <c r="W22" i="57" a="1"/>
  <c r="W22" i="57" s="1"/>
  <c r="E59" i="57"/>
  <c r="P106" i="57" s="1"/>
  <c r="U106" i="57" s="1"/>
  <c r="S106" i="57" s="1"/>
  <c r="W44" i="57" a="1"/>
  <c r="W44" i="57" s="1"/>
  <c r="W43" i="57" s="1"/>
  <c r="W28" i="57" a="1"/>
  <c r="W28" i="57" s="1"/>
  <c r="I64" i="57"/>
  <c r="S67" i="72"/>
  <c r="W12" i="101"/>
  <c r="S103" i="57"/>
  <c r="W16" i="57" a="1"/>
  <c r="W16" i="57" s="1"/>
  <c r="H59" i="57"/>
  <c r="P109" i="57" s="1"/>
  <c r="U109" i="57" s="1"/>
  <c r="S109" i="57" s="1"/>
  <c r="W21" i="57" a="1"/>
  <c r="W21" i="57" s="1"/>
  <c r="F59" i="57"/>
  <c r="P107" i="57" s="1"/>
  <c r="U107" i="57" s="1"/>
  <c r="S107" i="57" s="1"/>
  <c r="P117" i="57"/>
  <c r="U117" i="57" s="1"/>
  <c r="S117" i="57" s="1"/>
  <c r="U103" i="57"/>
  <c r="P76" i="57"/>
  <c r="U76" i="57" s="1"/>
  <c r="S76" i="57" s="1"/>
  <c r="P73" i="57"/>
  <c r="U73" i="57" s="1"/>
  <c r="S73" i="57" s="1"/>
  <c r="P116" i="57"/>
  <c r="U116" i="57" s="1"/>
  <c r="S116" i="57" s="1"/>
  <c r="W24" i="62"/>
  <c r="S91" i="66"/>
  <c r="W12" i="109"/>
  <c r="U62" i="69"/>
  <c r="U60" i="25"/>
  <c r="W37" i="34"/>
  <c r="U89" i="101"/>
  <c r="S66" i="80"/>
  <c r="S86" i="78"/>
  <c r="U117" i="49"/>
  <c r="S108" i="102"/>
  <c r="S68" i="62"/>
  <c r="S117" i="49"/>
  <c r="S68" i="25"/>
  <c r="U86" i="78"/>
  <c r="U68" i="25"/>
  <c r="U100" i="62"/>
  <c r="U60" i="62"/>
  <c r="W31" i="95"/>
  <c r="U76" i="25"/>
  <c r="W45" i="98"/>
  <c r="U91" i="66"/>
  <c r="U108" i="102"/>
  <c r="S118" i="78"/>
  <c r="S105" i="101"/>
  <c r="W15" i="25"/>
  <c r="F77" i="88"/>
  <c r="H77" i="88"/>
  <c r="W31" i="111"/>
  <c r="W22" i="90" a="1"/>
  <c r="W22" i="90" s="1"/>
  <c r="W23" i="90" a="1"/>
  <c r="W23" i="90" s="1"/>
  <c r="H55" i="89"/>
  <c r="I55" i="89"/>
  <c r="W32" i="57" a="1"/>
  <c r="W32" i="57" s="1"/>
  <c r="W33" i="57" a="1"/>
  <c r="W33" i="57" s="1"/>
  <c r="I69" i="57"/>
  <c r="F69" i="57"/>
  <c r="P120" i="49"/>
  <c r="U120" i="49" s="1"/>
  <c r="S120" i="49" s="1"/>
  <c r="P119" i="49"/>
  <c r="U119" i="49" s="1"/>
  <c r="P122" i="49"/>
  <c r="U122" i="49" s="1"/>
  <c r="S122" i="49" s="1"/>
  <c r="P123" i="49"/>
  <c r="U123" i="49" s="1"/>
  <c r="S123" i="49" s="1"/>
  <c r="P124" i="49"/>
  <c r="U124" i="49" s="1"/>
  <c r="S124" i="49" s="1"/>
  <c r="N118" i="49"/>
  <c r="P121" i="49"/>
  <c r="U121" i="49" s="1"/>
  <c r="S121" i="49" s="1"/>
  <c r="Z126" i="49"/>
  <c r="P82" i="121"/>
  <c r="U82" i="121" s="1"/>
  <c r="S82" i="121" s="1"/>
  <c r="P81" i="121"/>
  <c r="U81" i="121" s="1"/>
  <c r="N80" i="121"/>
  <c r="P86" i="121"/>
  <c r="U86" i="121" s="1"/>
  <c r="S86" i="121" s="1"/>
  <c r="Z88" i="121"/>
  <c r="P83" i="121"/>
  <c r="U83" i="121" s="1"/>
  <c r="S83" i="121" s="1"/>
  <c r="E81" i="74"/>
  <c r="H29" i="106"/>
  <c r="P52" i="106"/>
  <c r="U52" i="106" s="1"/>
  <c r="S52" i="106" s="1"/>
  <c r="D59" i="78"/>
  <c r="W32" i="78" a="1"/>
  <c r="W32" i="78" s="1"/>
  <c r="I56" i="98"/>
  <c r="P70" i="89"/>
  <c r="U70" i="89" s="1"/>
  <c r="W16" i="89" a="1"/>
  <c r="W16" i="89" s="1"/>
  <c r="P65" i="89"/>
  <c r="U65" i="89" s="1"/>
  <c r="S65" i="89" s="1"/>
  <c r="G43" i="89"/>
  <c r="H43" i="89"/>
  <c r="P66" i="89"/>
  <c r="U66" i="89" s="1"/>
  <c r="S66" i="89" s="1"/>
  <c r="I32" i="118"/>
  <c r="P69" i="118"/>
  <c r="U69" i="118" s="1"/>
  <c r="S69" i="118" s="1"/>
  <c r="W20" i="118" a="1"/>
  <c r="W20" i="118" s="1"/>
  <c r="Z129" i="79"/>
  <c r="N121" i="79"/>
  <c r="D90" i="92"/>
  <c r="W50" i="92" a="1"/>
  <c r="W50" i="92" s="1"/>
  <c r="W49" i="92" s="1"/>
  <c r="E52" i="82"/>
  <c r="W31" i="82" a="1"/>
  <c r="W31" i="82" s="1"/>
  <c r="W32" i="82" a="1"/>
  <c r="W32" i="82" s="1"/>
  <c r="I40" i="78"/>
  <c r="P77" i="78"/>
  <c r="U77" i="78" s="1"/>
  <c r="S77" i="78" s="1"/>
  <c r="I54" i="74"/>
  <c r="P78" i="74"/>
  <c r="U78" i="74" s="1"/>
  <c r="S78" i="74" s="1"/>
  <c r="Z117" i="102"/>
  <c r="P111" i="102"/>
  <c r="U111" i="102" s="1"/>
  <c r="S111" i="102" s="1"/>
  <c r="P112" i="102"/>
  <c r="U112" i="102" s="1"/>
  <c r="S112" i="102" s="1"/>
  <c r="N109" i="102"/>
  <c r="P113" i="102"/>
  <c r="U113" i="102" s="1"/>
  <c r="S113" i="102" s="1"/>
  <c r="P95" i="59"/>
  <c r="U95" i="59" s="1"/>
  <c r="S95" i="59" s="1"/>
  <c r="P98" i="59"/>
  <c r="U98" i="59" s="1"/>
  <c r="S98" i="59" s="1"/>
  <c r="P97" i="59"/>
  <c r="U97" i="59" s="1"/>
  <c r="S97" i="59" s="1"/>
  <c r="N93" i="59"/>
  <c r="Z101" i="59"/>
  <c r="P94" i="59"/>
  <c r="U94" i="59" s="1"/>
  <c r="P99" i="59"/>
  <c r="U99" i="59" s="1"/>
  <c r="S99" i="59" s="1"/>
  <c r="P96" i="59"/>
  <c r="U96" i="59" s="1"/>
  <c r="S96" i="59" s="1"/>
  <c r="G41" i="70"/>
  <c r="P83" i="98"/>
  <c r="U83" i="98" s="1"/>
  <c r="I51" i="98"/>
  <c r="P66" i="116"/>
  <c r="U66" i="116" s="1"/>
  <c r="S66" i="116" s="1"/>
  <c r="G38" i="116"/>
  <c r="F61" i="88"/>
  <c r="P132" i="79"/>
  <c r="U132" i="79" s="1"/>
  <c r="S132" i="79" s="1"/>
  <c r="G42" i="90"/>
  <c r="F42" i="90"/>
  <c r="W33" i="89" a="1"/>
  <c r="W33" i="89" s="1"/>
  <c r="E65" i="98"/>
  <c r="W33" i="78" a="1"/>
  <c r="W33" i="78" s="1"/>
  <c r="F59" i="78"/>
  <c r="P67" i="89"/>
  <c r="U67" i="89" s="1"/>
  <c r="S67" i="89" s="1"/>
  <c r="I43" i="89"/>
  <c r="E32" i="118"/>
  <c r="P65" i="118"/>
  <c r="U65" i="118" s="1"/>
  <c r="S65" i="118" s="1"/>
  <c r="P96" i="66"/>
  <c r="U96" i="66" s="1"/>
  <c r="S96" i="66" s="1"/>
  <c r="N92" i="66"/>
  <c r="P98" i="66"/>
  <c r="U98" i="66" s="1"/>
  <c r="S98" i="66" s="1"/>
  <c r="Z100" i="66"/>
  <c r="P94" i="66"/>
  <c r="U94" i="66" s="1"/>
  <c r="Z120" i="57"/>
  <c r="P125" i="57" s="1"/>
  <c r="U125" i="57" s="1"/>
  <c r="S125" i="57" s="1"/>
  <c r="N112" i="57"/>
  <c r="W35" i="82" a="1"/>
  <c r="W35" i="82" s="1"/>
  <c r="Z109" i="62"/>
  <c r="P104" i="62"/>
  <c r="U104" i="62" s="1"/>
  <c r="S104" i="62" s="1"/>
  <c r="N101" i="62"/>
  <c r="P103" i="62"/>
  <c r="U103" i="62" s="1"/>
  <c r="S103" i="62" s="1"/>
  <c r="P105" i="62"/>
  <c r="U105" i="62" s="1"/>
  <c r="S105" i="62" s="1"/>
  <c r="P107" i="62"/>
  <c r="U107" i="62" s="1"/>
  <c r="S107" i="62" s="1"/>
  <c r="P102" i="62"/>
  <c r="U102" i="62" s="1"/>
  <c r="E41" i="70"/>
  <c r="E70" i="74"/>
  <c r="H51" i="98"/>
  <c r="P74" i="98"/>
  <c r="U74" i="98" s="1"/>
  <c r="S74" i="98" s="1"/>
  <c r="D51" i="98"/>
  <c r="P70" i="98"/>
  <c r="U70" i="98" s="1"/>
  <c r="S70" i="98" s="1"/>
  <c r="G83" i="92"/>
  <c r="E83" i="92"/>
  <c r="P63" i="116"/>
  <c r="U63" i="116" s="1"/>
  <c r="D38" i="116"/>
  <c r="W21" i="116" a="1"/>
  <c r="W21" i="116" s="1"/>
  <c r="W20" i="116" s="1"/>
  <c r="P121" i="57"/>
  <c r="U121" i="57" s="1"/>
  <c r="S121" i="57" s="1"/>
  <c r="P131" i="79"/>
  <c r="U131" i="79" s="1"/>
  <c r="S131" i="79" s="1"/>
  <c r="P133" i="79"/>
  <c r="U133" i="79" s="1"/>
  <c r="S133" i="79" s="1"/>
  <c r="P48" i="106"/>
  <c r="U48" i="106" s="1"/>
  <c r="S48" i="106" s="1"/>
  <c r="D29" i="106"/>
  <c r="H59" i="78"/>
  <c r="P62" i="89"/>
  <c r="U62" i="89" s="1"/>
  <c r="D43" i="89"/>
  <c r="W15" i="89" a="1"/>
  <c r="W15" i="89" s="1"/>
  <c r="D32" i="118"/>
  <c r="W19" i="118" a="1"/>
  <c r="W19" i="118" s="1"/>
  <c r="P64" i="118"/>
  <c r="U64" i="118" s="1"/>
  <c r="H32" i="118"/>
  <c r="P68" i="118"/>
  <c r="U68" i="118" s="1"/>
  <c r="S68" i="118" s="1"/>
  <c r="I52" i="82"/>
  <c r="W36" i="82" a="1"/>
  <c r="W36" i="82" s="1"/>
  <c r="D52" i="82"/>
  <c r="G40" i="78"/>
  <c r="P75" i="78"/>
  <c r="U75" i="78" s="1"/>
  <c r="S75" i="78" s="1"/>
  <c r="P85" i="121"/>
  <c r="U85" i="121" s="1"/>
  <c r="S85" i="121" s="1"/>
  <c r="W27" i="102"/>
  <c r="W25" i="80"/>
  <c r="P72" i="98"/>
  <c r="U72" i="98" s="1"/>
  <c r="S72" i="98" s="1"/>
  <c r="F51" i="98"/>
  <c r="P65" i="116"/>
  <c r="U65" i="116" s="1"/>
  <c r="S65" i="116" s="1"/>
  <c r="F38" i="116"/>
  <c r="E38" i="116"/>
  <c r="P64" i="116"/>
  <c r="U64" i="116" s="1"/>
  <c r="S64" i="116" s="1"/>
  <c r="P106" i="62"/>
  <c r="U106" i="62" s="1"/>
  <c r="S106" i="62" s="1"/>
  <c r="W35" i="88" a="1"/>
  <c r="W35" i="88" s="1"/>
  <c r="F51" i="111"/>
  <c r="W31" i="77" a="1"/>
  <c r="W31" i="77" s="1"/>
  <c r="W19" i="77" a="1"/>
  <c r="W19" i="77" s="1"/>
  <c r="D59" i="108" a="1"/>
  <c r="W34" i="102" a="1"/>
  <c r="W34" i="102" s="1"/>
  <c r="D65" i="98"/>
  <c r="P51" i="106"/>
  <c r="U51" i="106" s="1"/>
  <c r="S51" i="106" s="1"/>
  <c r="G29" i="106"/>
  <c r="E59" i="78"/>
  <c r="G59" i="78"/>
  <c r="W19" i="89" a="1"/>
  <c r="W19" i="89" s="1"/>
  <c r="W21" i="89" a="1"/>
  <c r="W21" i="89" s="1"/>
  <c r="P63" i="89"/>
  <c r="U63" i="89" s="1"/>
  <c r="S63" i="89" s="1"/>
  <c r="E43" i="89"/>
  <c r="P64" i="89"/>
  <c r="U64" i="89" s="1"/>
  <c r="S64" i="89" s="1"/>
  <c r="F43" i="89"/>
  <c r="D57" i="111"/>
  <c r="F32" i="118"/>
  <c r="P66" i="118"/>
  <c r="U66" i="118" s="1"/>
  <c r="S66" i="118" s="1"/>
  <c r="P107" i="101"/>
  <c r="U107" i="101" s="1"/>
  <c r="P111" i="101"/>
  <c r="U111" i="101" s="1"/>
  <c r="S111" i="101" s="1"/>
  <c r="P108" i="101"/>
  <c r="U108" i="101" s="1"/>
  <c r="S108" i="101" s="1"/>
  <c r="P110" i="101"/>
  <c r="U110" i="101" s="1"/>
  <c r="S110" i="101" s="1"/>
  <c r="Z114" i="101"/>
  <c r="N106" i="101"/>
  <c r="P112" i="101"/>
  <c r="U112" i="101" s="1"/>
  <c r="S112" i="101" s="1"/>
  <c r="G52" i="82"/>
  <c r="W30" i="82" a="1"/>
  <c r="W30" i="82" s="1"/>
  <c r="W33" i="82" a="1"/>
  <c r="W33" i="82" s="1"/>
  <c r="N88" i="85"/>
  <c r="Z96" i="85"/>
  <c r="P101" i="85" s="1"/>
  <c r="U101" i="85" s="1"/>
  <c r="S101" i="85" s="1"/>
  <c r="W26" i="78" a="1"/>
  <c r="W26" i="78" s="1"/>
  <c r="H68" i="85"/>
  <c r="D56" i="98"/>
  <c r="N91" i="60"/>
  <c r="Z99" i="60"/>
  <c r="W27" i="70" a="1"/>
  <c r="W27" i="70" s="1"/>
  <c r="I41" i="70"/>
  <c r="W41" i="74" a="1"/>
  <c r="W41" i="74" s="1"/>
  <c r="I83" i="92"/>
  <c r="P67" i="116"/>
  <c r="U67" i="116" s="1"/>
  <c r="S67" i="116" s="1"/>
  <c r="H38" i="116"/>
  <c r="P68" i="116"/>
  <c r="U68" i="116" s="1"/>
  <c r="S68" i="116" s="1"/>
  <c r="I38" i="116"/>
  <c r="W27" i="111" a="1"/>
  <c r="W27" i="111" s="1"/>
  <c r="H51" i="111"/>
  <c r="G47" i="111"/>
  <c r="E61" i="109"/>
  <c r="U68" i="62"/>
  <c r="W16" i="62"/>
  <c r="U76" i="62"/>
  <c r="U67" i="72"/>
  <c r="S83" i="63"/>
  <c r="S79" i="121"/>
  <c r="U97" i="101"/>
  <c r="W18" i="111"/>
  <c r="U118" i="78"/>
  <c r="U66" i="80"/>
  <c r="W21" i="25"/>
  <c r="S94" i="78"/>
  <c r="U79" i="121"/>
  <c r="W33" i="83"/>
  <c r="W16" i="83" s="1"/>
  <c r="W44" i="83" s="1"/>
  <c r="W45" i="83" s="1"/>
  <c r="U94" i="78"/>
  <c r="U105" i="101"/>
  <c r="S78" i="69"/>
  <c r="S98" i="123"/>
  <c r="U78" i="118"/>
  <c r="S120" i="83"/>
  <c r="S100" i="88"/>
  <c r="S78" i="106"/>
  <c r="S77" i="90"/>
  <c r="S78" i="118"/>
  <c r="S66" i="75"/>
  <c r="U83" i="63"/>
  <c r="U66" i="75"/>
  <c r="U100" i="88"/>
  <c r="S75" i="63"/>
  <c r="U98" i="123"/>
  <c r="U78" i="106"/>
  <c r="U78" i="69"/>
  <c r="U77" i="90"/>
  <c r="U120" i="83"/>
  <c r="W20" i="101"/>
  <c r="W28" i="68"/>
  <c r="H59" i="108"/>
  <c r="G59" i="108"/>
  <c r="E59" i="108"/>
  <c r="F59" i="108"/>
  <c r="D59" i="108"/>
  <c r="I59" i="108"/>
  <c r="F60" i="77"/>
  <c r="H60" i="77"/>
  <c r="W17" i="111" a="1"/>
  <c r="W17" i="111" s="1"/>
  <c r="D82" i="57"/>
  <c r="G43" i="75"/>
  <c r="P79" i="75"/>
  <c r="U79" i="75" s="1"/>
  <c r="S79" i="75" s="1"/>
  <c r="H37" i="80"/>
  <c r="P72" i="80"/>
  <c r="U72" i="80" s="1"/>
  <c r="S72" i="80" s="1"/>
  <c r="G37" i="80"/>
  <c r="P71" i="80"/>
  <c r="U71" i="80" s="1"/>
  <c r="S71" i="80" s="1"/>
  <c r="Z117" i="92"/>
  <c r="P122" i="92" s="1"/>
  <c r="U122" i="92" s="1"/>
  <c r="S122" i="92" s="1"/>
  <c r="N109" i="92"/>
  <c r="M23" i="36"/>
  <c r="H50" i="123"/>
  <c r="N87" i="122"/>
  <c r="Z95" i="122"/>
  <c r="P92" i="122"/>
  <c r="U92" i="122" s="1"/>
  <c r="S92" i="122" s="1"/>
  <c r="P93" i="122"/>
  <c r="U93" i="122" s="1"/>
  <c r="S93" i="122" s="1"/>
  <c r="P88" i="122"/>
  <c r="U88" i="122" s="1"/>
  <c r="S88" i="122" s="1"/>
  <c r="P90" i="122"/>
  <c r="U90" i="122" s="1"/>
  <c r="S90" i="122" s="1"/>
  <c r="P77" i="80"/>
  <c r="U77" i="80" s="1"/>
  <c r="S77" i="80" s="1"/>
  <c r="E39" i="80"/>
  <c r="H39" i="80"/>
  <c r="P80" i="80"/>
  <c r="U80" i="80" s="1"/>
  <c r="S80" i="80" s="1"/>
  <c r="O20" i="36"/>
  <c r="Q20" i="36"/>
  <c r="W25" i="82" a="1"/>
  <c r="W25" i="82" s="1"/>
  <c r="P105" i="82"/>
  <c r="U105" i="82" s="1"/>
  <c r="E46" i="75"/>
  <c r="P93" i="75"/>
  <c r="U93" i="75" s="1"/>
  <c r="S93" i="75" s="1"/>
  <c r="G46" i="75"/>
  <c r="P95" i="75"/>
  <c r="U95" i="75" s="1"/>
  <c r="S95" i="75" s="1"/>
  <c r="L27" i="36"/>
  <c r="AC27" i="36"/>
  <c r="D55" i="89"/>
  <c r="W27" i="89" a="1"/>
  <c r="W27" i="89" s="1"/>
  <c r="W48" i="96"/>
  <c r="D49" i="109"/>
  <c r="F41" i="123"/>
  <c r="P62" i="123"/>
  <c r="U62" i="123" s="1"/>
  <c r="S62" i="123" s="1"/>
  <c r="D41" i="123"/>
  <c r="P68" i="123"/>
  <c r="U68" i="123" s="1"/>
  <c r="E47" i="103"/>
  <c r="P80" i="103"/>
  <c r="U80" i="103" s="1"/>
  <c r="S80" i="103" s="1"/>
  <c r="G59" i="109"/>
  <c r="G44" i="123"/>
  <c r="P79" i="123"/>
  <c r="U79" i="123" s="1"/>
  <c r="S79" i="123" s="1"/>
  <c r="F44" i="123"/>
  <c r="P78" i="123"/>
  <c r="U78" i="123" s="1"/>
  <c r="S78" i="123" s="1"/>
  <c r="I46" i="123"/>
  <c r="P89" i="123"/>
  <c r="U89" i="123" s="1"/>
  <c r="S89" i="123" s="1"/>
  <c r="Z87" i="118"/>
  <c r="N79" i="118"/>
  <c r="P84" i="118"/>
  <c r="U84" i="118" s="1"/>
  <c r="S84" i="118" s="1"/>
  <c r="P83" i="118"/>
  <c r="U83" i="118" s="1"/>
  <c r="S83" i="118" s="1"/>
  <c r="P81" i="118"/>
  <c r="U81" i="118" s="1"/>
  <c r="S81" i="118" s="1"/>
  <c r="G69" i="57"/>
  <c r="D32" i="80"/>
  <c r="P44" i="80"/>
  <c r="U44" i="80" s="1"/>
  <c r="S44" i="80" s="1"/>
  <c r="W26" i="66"/>
  <c r="D39" i="75"/>
  <c r="P52" i="75"/>
  <c r="U52" i="75" s="1"/>
  <c r="S52" i="75" s="1"/>
  <c r="W43" i="84"/>
  <c r="P60" i="91"/>
  <c r="U60" i="91" s="1"/>
  <c r="S60" i="91" s="1"/>
  <c r="I36" i="91"/>
  <c r="W16" i="121"/>
  <c r="W11" i="121" s="1"/>
  <c r="W10" i="121" s="1"/>
  <c r="E37" i="80"/>
  <c r="E42" i="80" s="1"/>
  <c r="P69" i="80"/>
  <c r="U69" i="80" s="1"/>
  <c r="S69" i="80" s="1"/>
  <c r="P62" i="63"/>
  <c r="U62" i="63" s="1"/>
  <c r="S62" i="63" s="1"/>
  <c r="E47" i="63"/>
  <c r="G50" i="123"/>
  <c r="E50" i="123"/>
  <c r="D50" i="123"/>
  <c r="P68" i="57"/>
  <c r="U68" i="57" s="1"/>
  <c r="S68" i="57" s="1"/>
  <c r="G52" i="57"/>
  <c r="G39" i="80"/>
  <c r="P79" i="80"/>
  <c r="U79" i="80" s="1"/>
  <c r="S79" i="80" s="1"/>
  <c r="W23" i="80" a="1"/>
  <c r="W23" i="80" s="1"/>
  <c r="W22" i="80" s="1"/>
  <c r="P76" i="80"/>
  <c r="U76" i="80" s="1"/>
  <c r="W22" i="82" a="1"/>
  <c r="W22" i="82" s="1"/>
  <c r="P81" i="82"/>
  <c r="U81" i="82" s="1"/>
  <c r="D43" i="82"/>
  <c r="P65" i="82"/>
  <c r="U65" i="82" s="1"/>
  <c r="S65" i="82" s="1"/>
  <c r="W26" i="82" a="1"/>
  <c r="W26" i="82" s="1"/>
  <c r="P113" i="82"/>
  <c r="U113" i="82" s="1"/>
  <c r="W23" i="75" a="1"/>
  <c r="W23" i="75" s="1"/>
  <c r="D46" i="75"/>
  <c r="W21" i="75" a="1"/>
  <c r="W21" i="75" s="1"/>
  <c r="P92" i="75"/>
  <c r="U92" i="75" s="1"/>
  <c r="G44" i="81"/>
  <c r="D42" i="90"/>
  <c r="W21" i="90" a="1"/>
  <c r="W21" i="90" s="1"/>
  <c r="W30" i="89" a="1"/>
  <c r="W30" i="89" s="1"/>
  <c r="W31" i="89" a="1"/>
  <c r="W31" i="89" s="1"/>
  <c r="E55" i="89"/>
  <c r="F49" i="109"/>
  <c r="P109" i="109"/>
  <c r="U109" i="109" s="1"/>
  <c r="S109" i="109" s="1"/>
  <c r="H41" i="123"/>
  <c r="P64" i="123"/>
  <c r="U64" i="123" s="1"/>
  <c r="S64" i="123" s="1"/>
  <c r="I41" i="123"/>
  <c r="P65" i="123"/>
  <c r="U65" i="123" s="1"/>
  <c r="S65" i="123" s="1"/>
  <c r="W17" i="101"/>
  <c r="H47" i="103"/>
  <c r="P83" i="103"/>
  <c r="U83" i="103" s="1"/>
  <c r="S83" i="103" s="1"/>
  <c r="P79" i="103"/>
  <c r="U79" i="103" s="1"/>
  <c r="I59" i="109"/>
  <c r="H44" i="123"/>
  <c r="P80" i="123"/>
  <c r="U80" i="123" s="1"/>
  <c r="S80" i="123" s="1"/>
  <c r="D44" i="123"/>
  <c r="P76" i="123"/>
  <c r="U76" i="123" s="1"/>
  <c r="H69" i="57"/>
  <c r="E69" i="57"/>
  <c r="D69" i="57"/>
  <c r="W31" i="57" a="1"/>
  <c r="W31" i="57" s="1"/>
  <c r="E64" i="102"/>
  <c r="F36" i="91"/>
  <c r="P57" i="91"/>
  <c r="U57" i="91" s="1"/>
  <c r="S57" i="91" s="1"/>
  <c r="H36" i="91"/>
  <c r="P59" i="91"/>
  <c r="U59" i="91" s="1"/>
  <c r="S59" i="91" s="1"/>
  <c r="D36" i="91"/>
  <c r="W17" i="91" a="1"/>
  <c r="W17" i="91" s="1"/>
  <c r="P55" i="91"/>
  <c r="U55" i="91" s="1"/>
  <c r="I60" i="77"/>
  <c r="P123" i="92"/>
  <c r="U123" i="92" s="1"/>
  <c r="S123" i="92" s="1"/>
  <c r="G42" i="80"/>
  <c r="Q44" i="36"/>
  <c r="O44" i="36"/>
  <c r="P44" i="36"/>
  <c r="P139" i="82"/>
  <c r="U139" i="82" s="1"/>
  <c r="S139" i="82" s="1"/>
  <c r="P140" i="82"/>
  <c r="U140" i="82" s="1"/>
  <c r="S140" i="82" s="1"/>
  <c r="P141" i="82"/>
  <c r="U141" i="82" s="1"/>
  <c r="S141" i="82" s="1"/>
  <c r="P142" i="82"/>
  <c r="U142" i="82" s="1"/>
  <c r="S142" i="82" s="1"/>
  <c r="P137" i="82"/>
  <c r="U137" i="82" s="1"/>
  <c r="Z144" i="82"/>
  <c r="P138" i="82"/>
  <c r="U138" i="82" s="1"/>
  <c r="S138" i="82" s="1"/>
  <c r="N136" i="82"/>
  <c r="F82" i="57"/>
  <c r="P78" i="75"/>
  <c r="U78" i="75" s="1"/>
  <c r="S78" i="75" s="1"/>
  <c r="F43" i="75"/>
  <c r="E43" i="75"/>
  <c r="P77" i="75"/>
  <c r="U77" i="75" s="1"/>
  <c r="S77" i="75" s="1"/>
  <c r="D43" i="75"/>
  <c r="W18" i="75" a="1"/>
  <c r="W18" i="75" s="1"/>
  <c r="P76" i="75"/>
  <c r="U76" i="75" s="1"/>
  <c r="F37" i="80"/>
  <c r="P70" i="80"/>
  <c r="U70" i="80" s="1"/>
  <c r="S70" i="80" s="1"/>
  <c r="G42" i="79"/>
  <c r="P77" i="79"/>
  <c r="U77" i="79" s="1"/>
  <c r="S77" i="79" s="1"/>
  <c r="P93" i="95"/>
  <c r="U93" i="95" s="1"/>
  <c r="S93" i="95" s="1"/>
  <c r="N92" i="95"/>
  <c r="P96" i="95"/>
  <c r="U96" i="95" s="1"/>
  <c r="S96" i="95" s="1"/>
  <c r="P95" i="95"/>
  <c r="U95" i="95" s="1"/>
  <c r="S95" i="95" s="1"/>
  <c r="Z100" i="95"/>
  <c r="F50" i="123"/>
  <c r="N79" i="106"/>
  <c r="P82" i="106"/>
  <c r="U82" i="106" s="1"/>
  <c r="S82" i="106" s="1"/>
  <c r="P81" i="106"/>
  <c r="U81" i="106" s="1"/>
  <c r="S81" i="106" s="1"/>
  <c r="Z87" i="106"/>
  <c r="P80" i="106"/>
  <c r="U80" i="106" s="1"/>
  <c r="S80" i="106" s="1"/>
  <c r="P83" i="106"/>
  <c r="U83" i="106" s="1"/>
  <c r="S83" i="106" s="1"/>
  <c r="P85" i="106"/>
  <c r="U85" i="106" s="1"/>
  <c r="S85" i="106" s="1"/>
  <c r="F56" i="75"/>
  <c r="I39" i="80"/>
  <c r="P81" i="80"/>
  <c r="U81" i="80" s="1"/>
  <c r="S81" i="80" s="1"/>
  <c r="N20" i="36"/>
  <c r="P69" i="82"/>
  <c r="U69" i="82" s="1"/>
  <c r="S69" i="82" s="1"/>
  <c r="H43" i="82"/>
  <c r="W24" i="82" a="1"/>
  <c r="W24" i="82" s="1"/>
  <c r="P97" i="82"/>
  <c r="U97" i="82" s="1"/>
  <c r="D64" i="57"/>
  <c r="H46" i="75"/>
  <c r="F46" i="75"/>
  <c r="P94" i="75"/>
  <c r="U94" i="75" s="1"/>
  <c r="S94" i="75" s="1"/>
  <c r="N78" i="90"/>
  <c r="Z86" i="90"/>
  <c r="P81" i="90"/>
  <c r="U81" i="90" s="1"/>
  <c r="S81" i="90" s="1"/>
  <c r="P79" i="90"/>
  <c r="U79" i="90" s="1"/>
  <c r="P80" i="90"/>
  <c r="U80" i="90" s="1"/>
  <c r="S80" i="90" s="1"/>
  <c r="P84" i="90"/>
  <c r="U84" i="90" s="1"/>
  <c r="S84" i="90" s="1"/>
  <c r="P82" i="90"/>
  <c r="U82" i="90" s="1"/>
  <c r="S82" i="90" s="1"/>
  <c r="P83" i="90"/>
  <c r="U83" i="90" s="1"/>
  <c r="S83" i="90" s="1"/>
  <c r="G59" i="73"/>
  <c r="I44" i="81"/>
  <c r="I42" i="90"/>
  <c r="F55" i="89"/>
  <c r="G55" i="89"/>
  <c r="W32" i="89" a="1"/>
  <c r="W32" i="89" s="1"/>
  <c r="W28" i="89" a="1"/>
  <c r="W28" i="89" s="1"/>
  <c r="F69" i="102"/>
  <c r="E69" i="102"/>
  <c r="E49" i="109"/>
  <c r="P108" i="109"/>
  <c r="U108" i="109" s="1"/>
  <c r="S108" i="109" s="1"/>
  <c r="E41" i="123"/>
  <c r="P61" i="123"/>
  <c r="U61" i="123" s="1"/>
  <c r="S61" i="123" s="1"/>
  <c r="P60" i="123"/>
  <c r="U60" i="123" s="1"/>
  <c r="I47" i="103"/>
  <c r="P84" i="103"/>
  <c r="U84" i="103" s="1"/>
  <c r="S84" i="103" s="1"/>
  <c r="F47" i="103"/>
  <c r="P81" i="103"/>
  <c r="U81" i="103" s="1"/>
  <c r="S81" i="103" s="1"/>
  <c r="E59" i="109"/>
  <c r="E44" i="123"/>
  <c r="P77" i="123"/>
  <c r="U77" i="123" s="1"/>
  <c r="S77" i="123" s="1"/>
  <c r="P85" i="123"/>
  <c r="U85" i="123" s="1"/>
  <c r="S85" i="123" s="1"/>
  <c r="E46" i="123"/>
  <c r="W36" i="57" a="1"/>
  <c r="W36" i="57" s="1"/>
  <c r="P46" i="80"/>
  <c r="U46" i="80" s="1"/>
  <c r="S46" i="80" s="1"/>
  <c r="F32" i="80"/>
  <c r="W23" i="57" a="1"/>
  <c r="W23" i="57" s="1"/>
  <c r="P97" i="95"/>
  <c r="U97" i="95" s="1"/>
  <c r="S97" i="95" s="1"/>
  <c r="P57" i="75"/>
  <c r="U57" i="75" s="1"/>
  <c r="S57" i="75" s="1"/>
  <c r="I39" i="75"/>
  <c r="P63" i="91"/>
  <c r="U63" i="91" s="1"/>
  <c r="W18" i="91" a="1"/>
  <c r="W18" i="91" s="1"/>
  <c r="G36" i="91"/>
  <c r="P58" i="91"/>
  <c r="U58" i="91" s="1"/>
  <c r="S58" i="91" s="1"/>
  <c r="Z124" i="63"/>
  <c r="P129" i="63" s="1"/>
  <c r="U129" i="63" s="1"/>
  <c r="S129" i="63" s="1"/>
  <c r="N116" i="63"/>
  <c r="P122" i="83"/>
  <c r="U122" i="83" s="1"/>
  <c r="P123" i="83"/>
  <c r="U123" i="83" s="1"/>
  <c r="S123" i="83" s="1"/>
  <c r="N121" i="83"/>
  <c r="P124" i="83"/>
  <c r="U124" i="83" s="1"/>
  <c r="S124" i="83" s="1"/>
  <c r="Z129" i="83"/>
  <c r="P126" i="83"/>
  <c r="U126" i="83" s="1"/>
  <c r="S126" i="83" s="1"/>
  <c r="P125" i="83"/>
  <c r="U125" i="83" s="1"/>
  <c r="S125" i="83" s="1"/>
  <c r="P127" i="83"/>
  <c r="U127" i="83" s="1"/>
  <c r="S127" i="83" s="1"/>
  <c r="D59" i="57"/>
  <c r="P105" i="57" s="1"/>
  <c r="U105" i="57" s="1"/>
  <c r="S105" i="57" s="1"/>
  <c r="P113" i="57"/>
  <c r="U113" i="57" s="1"/>
  <c r="S113" i="57" s="1"/>
  <c r="G59" i="57"/>
  <c r="P108" i="57" s="1"/>
  <c r="U108" i="57" s="1"/>
  <c r="S108" i="57" s="1"/>
  <c r="P124" i="57"/>
  <c r="U124" i="57" s="1"/>
  <c r="S124" i="57" s="1"/>
  <c r="I43" i="75"/>
  <c r="P81" i="75"/>
  <c r="U81" i="75" s="1"/>
  <c r="S81" i="75" s="1"/>
  <c r="H43" i="75"/>
  <c r="P88" i="75"/>
  <c r="U88" i="75" s="1"/>
  <c r="S88" i="75" s="1"/>
  <c r="W19" i="75" a="1"/>
  <c r="W19" i="75" s="1"/>
  <c r="P84" i="75"/>
  <c r="U84" i="75" s="1"/>
  <c r="D37" i="80"/>
  <c r="D42" i="80" s="1"/>
  <c r="W21" i="80" a="1"/>
  <c r="W21" i="80" s="1"/>
  <c r="W20" i="80" s="1"/>
  <c r="P68" i="80"/>
  <c r="U68" i="80" s="1"/>
  <c r="I37" i="80"/>
  <c r="I42" i="80" s="1"/>
  <c r="P73" i="80"/>
  <c r="U73" i="80" s="1"/>
  <c r="S73" i="80" s="1"/>
  <c r="P64" i="63"/>
  <c r="U64" i="63" s="1"/>
  <c r="S64" i="63" s="1"/>
  <c r="G47" i="63"/>
  <c r="I47" i="63"/>
  <c r="P66" i="63"/>
  <c r="U66" i="63" s="1"/>
  <c r="S66" i="63" s="1"/>
  <c r="P65" i="57"/>
  <c r="U65" i="57" s="1"/>
  <c r="S65" i="57" s="1"/>
  <c r="D52" i="57"/>
  <c r="F39" i="80"/>
  <c r="P78" i="80"/>
  <c r="U78" i="80" s="1"/>
  <c r="S78" i="80" s="1"/>
  <c r="P67" i="82"/>
  <c r="U67" i="82" s="1"/>
  <c r="S67" i="82" s="1"/>
  <c r="F43" i="82"/>
  <c r="W38" i="123"/>
  <c r="D64" i="123"/>
  <c r="I59" i="73"/>
  <c r="E44" i="81"/>
  <c r="W24" i="90" a="1"/>
  <c r="W24" i="90" s="1"/>
  <c r="W25" i="90" a="1"/>
  <c r="W25" i="90" s="1"/>
  <c r="W26" i="90" a="1"/>
  <c r="W26" i="90" s="1"/>
  <c r="E42" i="90"/>
  <c r="W29" i="89" a="1"/>
  <c r="W29" i="89" s="1"/>
  <c r="H49" i="109"/>
  <c r="P111" i="109"/>
  <c r="U111" i="109" s="1"/>
  <c r="S111" i="109" s="1"/>
  <c r="G41" i="123"/>
  <c r="P63" i="123"/>
  <c r="U63" i="123" s="1"/>
  <c r="S63" i="123" s="1"/>
  <c r="G47" i="103"/>
  <c r="P82" i="103"/>
  <c r="U82" i="103" s="1"/>
  <c r="S82" i="103" s="1"/>
  <c r="F59" i="109"/>
  <c r="D59" i="109"/>
  <c r="I44" i="123"/>
  <c r="P81" i="123"/>
  <c r="U81" i="123" s="1"/>
  <c r="S81" i="123" s="1"/>
  <c r="H46" i="123"/>
  <c r="W34" i="57" a="1"/>
  <c r="W34" i="57" s="1"/>
  <c r="W35" i="57" a="1"/>
  <c r="W35" i="57" s="1"/>
  <c r="H32" i="80"/>
  <c r="H42" i="80" s="1"/>
  <c r="P48" i="80"/>
  <c r="U48" i="80" s="1"/>
  <c r="S48" i="80" s="1"/>
  <c r="F64" i="102"/>
  <c r="P98" i="95"/>
  <c r="U98" i="95" s="1"/>
  <c r="S98" i="95" s="1"/>
  <c r="G39" i="75"/>
  <c r="P55" i="75"/>
  <c r="U55" i="75" s="1"/>
  <c r="S55" i="75" s="1"/>
  <c r="W43" i="73"/>
  <c r="P56" i="91"/>
  <c r="U56" i="91" s="1"/>
  <c r="S56" i="91" s="1"/>
  <c r="E36" i="91"/>
  <c r="W44" i="108"/>
  <c r="W23" i="108" a="1"/>
  <c r="W23" i="108" s="1"/>
  <c r="W24" i="108" a="1"/>
  <c r="W24" i="108" s="1"/>
  <c r="P95" i="108"/>
  <c r="U95" i="108" s="1"/>
  <c r="S95" i="108" s="1"/>
  <c r="P94" i="108"/>
  <c r="U94" i="108" s="1"/>
  <c r="S94" i="108" s="1"/>
  <c r="P97" i="108"/>
  <c r="U97" i="108" s="1"/>
  <c r="S97" i="108" s="1"/>
  <c r="P81" i="108"/>
  <c r="U81" i="108" s="1"/>
  <c r="S81" i="108" s="1"/>
  <c r="N92" i="108"/>
  <c r="Z100" i="108"/>
  <c r="P105" i="108" s="1"/>
  <c r="U105" i="108" s="1"/>
  <c r="S105" i="108" s="1"/>
  <c r="P93" i="108"/>
  <c r="U93" i="108" s="1"/>
  <c r="S93" i="108" s="1"/>
  <c r="S106" i="123"/>
  <c r="U106" i="123"/>
  <c r="Z115" i="123"/>
  <c r="P113" i="123"/>
  <c r="U113" i="123" s="1"/>
  <c r="S113" i="123" s="1"/>
  <c r="N107" i="123"/>
  <c r="P112" i="123"/>
  <c r="U112" i="123" s="1"/>
  <c r="S112" i="123" s="1"/>
  <c r="P108" i="123"/>
  <c r="U108" i="123" s="1"/>
  <c r="P109" i="123"/>
  <c r="U109" i="123" s="1"/>
  <c r="S109" i="123" s="1"/>
  <c r="P110" i="123"/>
  <c r="U110" i="123" s="1"/>
  <c r="S110" i="123" s="1"/>
  <c r="P111" i="123"/>
  <c r="U111" i="123" s="1"/>
  <c r="S111" i="123" s="1"/>
  <c r="W18" i="86"/>
  <c r="W30" i="75"/>
  <c r="U91" i="70"/>
  <c r="W34" i="111"/>
  <c r="U75" i="105"/>
  <c r="W32" i="76"/>
  <c r="W26" i="101"/>
  <c r="W15" i="60"/>
  <c r="S75" i="105"/>
  <c r="W16" i="122"/>
  <c r="W11" i="122" s="1"/>
  <c r="W10" i="122" s="1"/>
  <c r="W40" i="85"/>
  <c r="U70" i="69"/>
  <c r="S88" i="70"/>
  <c r="S91" i="70" s="1"/>
  <c r="W32" i="81"/>
  <c r="U83" i="70"/>
  <c r="S61" i="49"/>
  <c r="W33" i="92"/>
  <c r="W28" i="95"/>
  <c r="U75" i="63"/>
  <c r="U83" i="86"/>
  <c r="W40" i="82"/>
  <c r="S83" i="86"/>
  <c r="W33" i="75"/>
  <c r="W17" i="63"/>
  <c r="W25" i="105"/>
  <c r="U61" i="49"/>
  <c r="S83" i="70"/>
  <c r="W36" i="77"/>
  <c r="U79" i="82"/>
  <c r="W22" i="105"/>
  <c r="AC47" i="36"/>
  <c r="W13" i="70"/>
  <c r="S75" i="72"/>
  <c r="U89" i="109"/>
  <c r="S79" i="82"/>
  <c r="W14" i="105"/>
  <c r="W23" i="118"/>
  <c r="S83" i="95"/>
  <c r="W46" i="57"/>
  <c r="U75" i="72"/>
  <c r="W24" i="75"/>
  <c r="S72" i="68"/>
  <c r="S77" i="68" s="1"/>
  <c r="U77" i="68"/>
  <c r="H56" i="63"/>
  <c r="P121" i="63"/>
  <c r="U121" i="63" s="1"/>
  <c r="S121" i="63" s="1"/>
  <c r="S47" i="68"/>
  <c r="S53" i="68" s="1"/>
  <c r="U53" i="68"/>
  <c r="F64" i="88"/>
  <c r="W29" i="88" a="1"/>
  <c r="W29" i="88" s="1"/>
  <c r="I49" i="90"/>
  <c r="S85" i="95"/>
  <c r="S91" i="95" s="1"/>
  <c r="U91" i="95"/>
  <c r="D61" i="96"/>
  <c r="W22" i="96" a="1"/>
  <c r="W22" i="96" s="1"/>
  <c r="P113" i="96"/>
  <c r="U113" i="96" s="1"/>
  <c r="E85" i="96"/>
  <c r="S87" i="108"/>
  <c r="S70" i="82"/>
  <c r="P103" i="77"/>
  <c r="U103" i="77" s="1"/>
  <c r="S103" i="77" s="1"/>
  <c r="P102" i="77"/>
  <c r="U102" i="77" s="1"/>
  <c r="S102" i="77" s="1"/>
  <c r="N97" i="77"/>
  <c r="Z105" i="77"/>
  <c r="P99" i="77"/>
  <c r="U99" i="77" s="1"/>
  <c r="S99" i="77" s="1"/>
  <c r="P98" i="77"/>
  <c r="U98" i="77" s="1"/>
  <c r="P101" i="77"/>
  <c r="U101" i="77" s="1"/>
  <c r="S101" i="77" s="1"/>
  <c r="P100" i="77"/>
  <c r="U100" i="77" s="1"/>
  <c r="S100" i="77" s="1"/>
  <c r="P60" i="81"/>
  <c r="U60" i="81" s="1"/>
  <c r="S60" i="81" s="1"/>
  <c r="G38" i="81"/>
  <c r="H61" i="82"/>
  <c r="W15" i="96" a="1"/>
  <c r="W15" i="96" s="1"/>
  <c r="P73" i="96"/>
  <c r="U73" i="96" s="1"/>
  <c r="D54" i="96"/>
  <c r="P64" i="111"/>
  <c r="U64" i="111" s="1"/>
  <c r="S64" i="111" s="1"/>
  <c r="I40" i="111"/>
  <c r="S67" i="57"/>
  <c r="P56" i="60"/>
  <c r="U56" i="60" s="1"/>
  <c r="S56" i="60" s="1"/>
  <c r="H39" i="60"/>
  <c r="S100" i="49"/>
  <c r="S101" i="49" s="1"/>
  <c r="U101" i="49"/>
  <c r="S84" i="79"/>
  <c r="S88" i="79" s="1"/>
  <c r="U88" i="79"/>
  <c r="N78" i="68"/>
  <c r="P83" i="68"/>
  <c r="U83" i="68" s="1"/>
  <c r="S83" i="68" s="1"/>
  <c r="Z86" i="68"/>
  <c r="P81" i="68"/>
  <c r="U81" i="68" s="1"/>
  <c r="S81" i="68" s="1"/>
  <c r="P79" i="68"/>
  <c r="U79" i="68" s="1"/>
  <c r="P84" i="68"/>
  <c r="U84" i="68" s="1"/>
  <c r="S84" i="68" s="1"/>
  <c r="P80" i="68"/>
  <c r="U80" i="68" s="1"/>
  <c r="S80" i="68" s="1"/>
  <c r="P82" i="68"/>
  <c r="U82" i="68" s="1"/>
  <c r="S82" i="68" s="1"/>
  <c r="S82" i="69"/>
  <c r="S76" i="78"/>
  <c r="W29" i="81"/>
  <c r="W39" i="86"/>
  <c r="I58" i="79"/>
  <c r="D58" i="79"/>
  <c r="W34" i="79" a="1"/>
  <c r="W34" i="79" s="1"/>
  <c r="W26" i="91" a="1"/>
  <c r="W26" i="91" s="1"/>
  <c r="W27" i="91" a="1"/>
  <c r="W27" i="91" s="1"/>
  <c r="E44" i="91"/>
  <c r="P88" i="91"/>
  <c r="U88" i="91" s="1"/>
  <c r="S88" i="91" s="1"/>
  <c r="S96" i="108"/>
  <c r="P71" i="103"/>
  <c r="U71" i="103" s="1"/>
  <c r="S110" i="109"/>
  <c r="S49" i="118"/>
  <c r="S54" i="118" s="1"/>
  <c r="U54" i="118"/>
  <c r="W36" i="59"/>
  <c r="W29" i="63" a="1"/>
  <c r="W29" i="63" s="1"/>
  <c r="F61" i="63"/>
  <c r="S106" i="49"/>
  <c r="S109" i="49" s="1"/>
  <c r="U109" i="49"/>
  <c r="W33" i="60"/>
  <c r="W26" i="74" a="1"/>
  <c r="W26" i="74" s="1"/>
  <c r="D64" i="74"/>
  <c r="I64" i="74"/>
  <c r="H64" i="74"/>
  <c r="E64" i="74"/>
  <c r="F64" i="74"/>
  <c r="S90" i="79"/>
  <c r="S96" i="79" s="1"/>
  <c r="U96" i="79"/>
  <c r="W53" i="92"/>
  <c r="W22" i="92" a="1"/>
  <c r="W22" i="92" s="1"/>
  <c r="P102" i="92"/>
  <c r="U102" i="92" s="1"/>
  <c r="P94" i="92"/>
  <c r="U94" i="92" s="1"/>
  <c r="W21" i="92" a="1"/>
  <c r="W21" i="92" s="1"/>
  <c r="P79" i="91"/>
  <c r="U79" i="91" s="1"/>
  <c r="W23" i="91" a="1"/>
  <c r="W23" i="91" s="1"/>
  <c r="S94" i="95"/>
  <c r="S71" i="98"/>
  <c r="P69" i="85"/>
  <c r="U69" i="85" s="1"/>
  <c r="S69" i="85" s="1"/>
  <c r="H46" i="85"/>
  <c r="H64" i="92"/>
  <c r="P114" i="92"/>
  <c r="U114" i="92" s="1"/>
  <c r="S114" i="92" s="1"/>
  <c r="U81" i="109"/>
  <c r="W24" i="63" a="1"/>
  <c r="W24" i="63" s="1"/>
  <c r="P125" i="63"/>
  <c r="U125" i="63" s="1"/>
  <c r="G56" i="63"/>
  <c r="P120" i="63"/>
  <c r="U120" i="63" s="1"/>
  <c r="S120" i="63" s="1"/>
  <c r="S74" i="74"/>
  <c r="W22" i="60" a="1"/>
  <c r="W22" i="60" s="1"/>
  <c r="W20" i="60" a="1"/>
  <c r="W20" i="60" s="1"/>
  <c r="P92" i="60"/>
  <c r="U92" i="60" s="1"/>
  <c r="E44" i="60"/>
  <c r="P85" i="60"/>
  <c r="U85" i="60" s="1"/>
  <c r="S85" i="60" s="1"/>
  <c r="W24" i="60" a="1"/>
  <c r="W24" i="60" s="1"/>
  <c r="W28" i="60" a="1"/>
  <c r="W28" i="60" s="1"/>
  <c r="W35" i="77" a="1"/>
  <c r="W35" i="77" s="1"/>
  <c r="S133" i="82"/>
  <c r="S135" i="82" s="1"/>
  <c r="U135" i="82"/>
  <c r="H64" i="88"/>
  <c r="W32" i="88" a="1"/>
  <c r="W32" i="88" s="1"/>
  <c r="W34" i="88" a="1"/>
  <c r="W34" i="88" s="1"/>
  <c r="W39" i="88" a="1"/>
  <c r="W39" i="88" s="1"/>
  <c r="F49" i="90"/>
  <c r="H49" i="90"/>
  <c r="S69" i="95"/>
  <c r="U75" i="95"/>
  <c r="W23" i="96" a="1"/>
  <c r="W23" i="96" s="1"/>
  <c r="F61" i="96"/>
  <c r="P115" i="96"/>
  <c r="U115" i="96" s="1"/>
  <c r="S115" i="96" s="1"/>
  <c r="G85" i="96"/>
  <c r="W23" i="101"/>
  <c r="P103" i="98"/>
  <c r="U103" i="98" s="1"/>
  <c r="S103" i="98" s="1"/>
  <c r="P102" i="98"/>
  <c r="U102" i="98" s="1"/>
  <c r="Z109" i="98"/>
  <c r="P106" i="98"/>
  <c r="U106" i="98" s="1"/>
  <c r="S106" i="98" s="1"/>
  <c r="P107" i="98"/>
  <c r="U107" i="98" s="1"/>
  <c r="S107" i="98" s="1"/>
  <c r="P104" i="98"/>
  <c r="U104" i="98" s="1"/>
  <c r="S104" i="98" s="1"/>
  <c r="N101" i="98"/>
  <c r="P105" i="98"/>
  <c r="U105" i="98" s="1"/>
  <c r="S105" i="98" s="1"/>
  <c r="G40" i="116"/>
  <c r="P74" i="116"/>
  <c r="U74" i="116" s="1"/>
  <c r="S74" i="116" s="1"/>
  <c r="P73" i="116"/>
  <c r="U73" i="116" s="1"/>
  <c r="S73" i="116" s="1"/>
  <c r="F40" i="116"/>
  <c r="E51" i="111"/>
  <c r="S78" i="25"/>
  <c r="S84" i="25" s="1"/>
  <c r="U84" i="25"/>
  <c r="S74" i="57"/>
  <c r="W13" i="63"/>
  <c r="P59" i="68"/>
  <c r="U59" i="68" s="1"/>
  <c r="S59" i="68" s="1"/>
  <c r="H36" i="68"/>
  <c r="P57" i="68"/>
  <c r="U57" i="68" s="1"/>
  <c r="S57" i="68" s="1"/>
  <c r="F36" i="68"/>
  <c r="S94" i="63"/>
  <c r="S99" i="63" s="1"/>
  <c r="U99" i="63"/>
  <c r="W24" i="77" a="1"/>
  <c r="W24" i="77" s="1"/>
  <c r="W29" i="77" a="1"/>
  <c r="W29" i="77" s="1"/>
  <c r="P82" i="77"/>
  <c r="U82" i="77" s="1"/>
  <c r="W17" i="77" a="1"/>
  <c r="W17" i="77" s="1"/>
  <c r="W18" i="77" a="1"/>
  <c r="W18" i="77" s="1"/>
  <c r="P75" i="77"/>
  <c r="U75" i="77" s="1"/>
  <c r="S75" i="77" s="1"/>
  <c r="E42" i="77"/>
  <c r="W22" i="77" a="1"/>
  <c r="W22" i="77" s="1"/>
  <c r="S75" i="79"/>
  <c r="S89" i="88"/>
  <c r="S92" i="88" s="1"/>
  <c r="U92" i="88"/>
  <c r="W24" i="85" a="1"/>
  <c r="W24" i="85" s="1"/>
  <c r="W31" i="85" a="1"/>
  <c r="W31" i="85" s="1"/>
  <c r="P58" i="81"/>
  <c r="U58" i="81" s="1"/>
  <c r="S58" i="81" s="1"/>
  <c r="E38" i="81"/>
  <c r="W16" i="81" a="1"/>
  <c r="W16" i="81" s="1"/>
  <c r="P81" i="81"/>
  <c r="U81" i="81" s="1"/>
  <c r="P59" i="81"/>
  <c r="U59" i="81" s="1"/>
  <c r="S59" i="81" s="1"/>
  <c r="F38" i="81"/>
  <c r="E61" i="82"/>
  <c r="Z117" i="88"/>
  <c r="P115" i="88"/>
  <c r="U115" i="88" s="1"/>
  <c r="S115" i="88" s="1"/>
  <c r="P110" i="88"/>
  <c r="U110" i="88" s="1"/>
  <c r="N109" i="88"/>
  <c r="P114" i="88"/>
  <c r="U114" i="88" s="1"/>
  <c r="S114" i="88" s="1"/>
  <c r="P112" i="88"/>
  <c r="U112" i="88" s="1"/>
  <c r="S112" i="88" s="1"/>
  <c r="P113" i="88"/>
  <c r="U113" i="88" s="1"/>
  <c r="S113" i="88" s="1"/>
  <c r="P111" i="88"/>
  <c r="U111" i="88" s="1"/>
  <c r="S111" i="88" s="1"/>
  <c r="G61" i="88"/>
  <c r="W25" i="88" a="1"/>
  <c r="W25" i="88" s="1"/>
  <c r="D61" i="88"/>
  <c r="F64" i="92"/>
  <c r="P112" i="92"/>
  <c r="U112" i="92" s="1"/>
  <c r="S112" i="92" s="1"/>
  <c r="W26" i="92" a="1"/>
  <c r="W26" i="92" s="1"/>
  <c r="W42" i="92"/>
  <c r="E54" i="96"/>
  <c r="P74" i="96"/>
  <c r="U74" i="96" s="1"/>
  <c r="S74" i="96" s="1"/>
  <c r="W18" i="96" a="1"/>
  <c r="W18" i="96" s="1"/>
  <c r="P97" i="96"/>
  <c r="U97" i="96" s="1"/>
  <c r="P78" i="96"/>
  <c r="U78" i="96" s="1"/>
  <c r="S78" i="96" s="1"/>
  <c r="I54" i="96"/>
  <c r="G72" i="96"/>
  <c r="H72" i="96"/>
  <c r="S87" i="103"/>
  <c r="S93" i="103" s="1"/>
  <c r="U93" i="103"/>
  <c r="P56" i="116"/>
  <c r="U56" i="116" s="1"/>
  <c r="S56" i="116" s="1"/>
  <c r="E36" i="116"/>
  <c r="P67" i="111"/>
  <c r="U67" i="111" s="1"/>
  <c r="W16" i="111" a="1"/>
  <c r="W16" i="111" s="1"/>
  <c r="S74" i="122"/>
  <c r="S78" i="122" s="1"/>
  <c r="U78" i="122"/>
  <c r="S55" i="80"/>
  <c r="S58" i="80" s="1"/>
  <c r="U58" i="80"/>
  <c r="W32" i="60" a="1"/>
  <c r="W32" i="60" s="1"/>
  <c r="I56" i="60"/>
  <c r="H56" i="60"/>
  <c r="S84" i="80"/>
  <c r="S90" i="80" s="1"/>
  <c r="U90" i="80"/>
  <c r="W24" i="49"/>
  <c r="P57" i="60"/>
  <c r="U57" i="60" s="1"/>
  <c r="S57" i="60" s="1"/>
  <c r="I39" i="60"/>
  <c r="E39" i="60"/>
  <c r="P53" i="60"/>
  <c r="U53" i="60" s="1"/>
  <c r="S53" i="60" s="1"/>
  <c r="S89" i="74"/>
  <c r="S95" i="74" s="1"/>
  <c r="U95" i="74"/>
  <c r="S108" i="79"/>
  <c r="S112" i="79" s="1"/>
  <c r="U112" i="79"/>
  <c r="P101" i="81"/>
  <c r="U101" i="81" s="1"/>
  <c r="S101" i="81" s="1"/>
  <c r="Z104" i="81"/>
  <c r="N96" i="81"/>
  <c r="P99" i="81"/>
  <c r="U99" i="81" s="1"/>
  <c r="S99" i="81" s="1"/>
  <c r="P97" i="81"/>
  <c r="U97" i="81" s="1"/>
  <c r="P98" i="81"/>
  <c r="U98" i="81" s="1"/>
  <c r="S98" i="81" s="1"/>
  <c r="P100" i="81"/>
  <c r="U100" i="81" s="1"/>
  <c r="S100" i="81" s="1"/>
  <c r="P102" i="81"/>
  <c r="U102" i="81" s="1"/>
  <c r="S102" i="81" s="1"/>
  <c r="W35" i="79" a="1"/>
  <c r="W35" i="79" s="1"/>
  <c r="G58" i="79"/>
  <c r="P92" i="91"/>
  <c r="U92" i="91" s="1"/>
  <c r="S92" i="91" s="1"/>
  <c r="I44" i="91"/>
  <c r="P89" i="91"/>
  <c r="U89" i="91" s="1"/>
  <c r="S89" i="91" s="1"/>
  <c r="F44" i="91"/>
  <c r="W40" i="92" a="1"/>
  <c r="W40" i="92" s="1"/>
  <c r="D80" i="92"/>
  <c r="W29" i="92"/>
  <c r="P63" i="103"/>
  <c r="U63" i="103" s="1"/>
  <c r="I43" i="103"/>
  <c r="P60" i="103"/>
  <c r="U60" i="103" s="1"/>
  <c r="S60" i="103" s="1"/>
  <c r="P56" i="103"/>
  <c r="U56" i="103" s="1"/>
  <c r="S56" i="103" s="1"/>
  <c r="E43" i="103"/>
  <c r="W25" i="116" a="1"/>
  <c r="W25" i="116" s="1"/>
  <c r="P79" i="116"/>
  <c r="U79" i="116" s="1"/>
  <c r="W15" i="80"/>
  <c r="W43" i="59"/>
  <c r="W33" i="63" a="1"/>
  <c r="W33" i="63" s="1"/>
  <c r="W31" i="63" a="1"/>
  <c r="W31" i="63" s="1"/>
  <c r="G61" i="63"/>
  <c r="W32" i="63" a="1"/>
  <c r="W32" i="63" s="1"/>
  <c r="E61" i="63"/>
  <c r="S64" i="59"/>
  <c r="S68" i="59" s="1"/>
  <c r="U68" i="59"/>
  <c r="W25" i="68"/>
  <c r="G64" i="74"/>
  <c r="W27" i="74" a="1"/>
  <c r="W27" i="74" s="1"/>
  <c r="W30" i="74" a="1"/>
  <c r="W30" i="74" s="1"/>
  <c r="W45" i="74"/>
  <c r="U107" i="86"/>
  <c r="S101" i="86"/>
  <c r="S107" i="86" s="1"/>
  <c r="W20" i="92" a="1"/>
  <c r="W20" i="92" s="1"/>
  <c r="P86" i="92"/>
  <c r="U86" i="92" s="1"/>
  <c r="W19" i="92" a="1"/>
  <c r="W19" i="92" s="1"/>
  <c r="D59" i="92"/>
  <c r="P78" i="92"/>
  <c r="U78" i="92" s="1"/>
  <c r="P82" i="92"/>
  <c r="U82" i="92" s="1"/>
  <c r="S82" i="92" s="1"/>
  <c r="H59" i="92"/>
  <c r="P79" i="92"/>
  <c r="U79" i="92" s="1"/>
  <c r="S79" i="92" s="1"/>
  <c r="E59" i="92"/>
  <c r="P76" i="91"/>
  <c r="U76" i="91" s="1"/>
  <c r="S76" i="91" s="1"/>
  <c r="I41" i="91"/>
  <c r="W22" i="91" a="1"/>
  <c r="W22" i="91" s="1"/>
  <c r="D41" i="91"/>
  <c r="P71" i="91"/>
  <c r="U71" i="91" s="1"/>
  <c r="W20" i="95"/>
  <c r="U105" i="109"/>
  <c r="S99" i="109"/>
  <c r="S105" i="109" s="1"/>
  <c r="W30" i="109"/>
  <c r="W30" i="116" a="1"/>
  <c r="W30" i="116" s="1"/>
  <c r="W29" i="116" s="1"/>
  <c r="D47" i="116"/>
  <c r="W26" i="63" a="1"/>
  <c r="W26" i="63" s="1"/>
  <c r="W27" i="62"/>
  <c r="D60" i="77"/>
  <c r="W34" i="77" a="1"/>
  <c r="W34" i="77" s="1"/>
  <c r="S82" i="122"/>
  <c r="S86" i="122" s="1"/>
  <c r="U86" i="122"/>
  <c r="D36" i="68"/>
  <c r="W16" i="68" a="1"/>
  <c r="W16" i="68" s="1"/>
  <c r="P55" i="68"/>
  <c r="U55" i="68" s="1"/>
  <c r="S79" i="88"/>
  <c r="S84" i="88" s="1"/>
  <c r="U84" i="88"/>
  <c r="W30" i="85" a="1"/>
  <c r="W30" i="85" s="1"/>
  <c r="P57" i="81"/>
  <c r="U57" i="81" s="1"/>
  <c r="D38" i="81"/>
  <c r="W13" i="81" a="1"/>
  <c r="W13" i="81" s="1"/>
  <c r="W15" i="81" a="1"/>
  <c r="W15" i="81" s="1"/>
  <c r="P73" i="81"/>
  <c r="U73" i="81" s="1"/>
  <c r="P65" i="81"/>
  <c r="U65" i="81" s="1"/>
  <c r="W14" i="81" a="1"/>
  <c r="W14" i="81" s="1"/>
  <c r="P89" i="85"/>
  <c r="U89" i="85" s="1"/>
  <c r="W19" i="85" a="1"/>
  <c r="W19" i="85" s="1"/>
  <c r="P67" i="85"/>
  <c r="U67" i="85" s="1"/>
  <c r="S67" i="85" s="1"/>
  <c r="F46" i="85"/>
  <c r="I64" i="92"/>
  <c r="P115" i="92"/>
  <c r="U115" i="92" s="1"/>
  <c r="S115" i="92" s="1"/>
  <c r="W33" i="96" a="1"/>
  <c r="W33" i="96" s="1"/>
  <c r="D72" i="96"/>
  <c r="I72" i="96"/>
  <c r="S81" i="109"/>
  <c r="U87" i="57"/>
  <c r="E56" i="63"/>
  <c r="P118" i="63"/>
  <c r="U118" i="63" s="1"/>
  <c r="S118" i="63" s="1"/>
  <c r="D56" i="63"/>
  <c r="W23" i="63" a="1"/>
  <c r="W23" i="63" s="1"/>
  <c r="P117" i="63"/>
  <c r="U117" i="63" s="1"/>
  <c r="S81" i="49"/>
  <c r="S85" i="49" s="1"/>
  <c r="U85" i="49"/>
  <c r="W34" i="63"/>
  <c r="S99" i="74"/>
  <c r="S103" i="74" s="1"/>
  <c r="U103" i="74"/>
  <c r="W25" i="60" a="1"/>
  <c r="W25" i="60" s="1"/>
  <c r="W29" i="60" a="1"/>
  <c r="W29" i="60" s="1"/>
  <c r="W19" i="60" a="1"/>
  <c r="W19" i="60" s="1"/>
  <c r="D44" i="60"/>
  <c r="P84" i="60"/>
  <c r="U84" i="60" s="1"/>
  <c r="W26" i="60" a="1"/>
  <c r="W26" i="60" s="1"/>
  <c r="I44" i="60"/>
  <c r="P89" i="60"/>
  <c r="U89" i="60" s="1"/>
  <c r="S89" i="60" s="1"/>
  <c r="H44" i="60"/>
  <c r="P88" i="60"/>
  <c r="U88" i="60" s="1"/>
  <c r="S88" i="60" s="1"/>
  <c r="W29" i="76"/>
  <c r="G60" i="77"/>
  <c r="W36" i="88" a="1"/>
  <c r="W36" i="88" s="1"/>
  <c r="W37" i="88" a="1"/>
  <c r="W37" i="88" s="1"/>
  <c r="W38" i="88" a="1"/>
  <c r="W38" i="88" s="1"/>
  <c r="W41" i="88" a="1"/>
  <c r="W41" i="88" s="1"/>
  <c r="D77" i="88"/>
  <c r="W29" i="90" a="1"/>
  <c r="W29" i="90" s="1"/>
  <c r="W25" i="96" a="1"/>
  <c r="W25" i="96" s="1"/>
  <c r="I85" i="96"/>
  <c r="F85" i="96"/>
  <c r="H85" i="96"/>
  <c r="E62" i="103"/>
  <c r="W42" i="108"/>
  <c r="D40" i="116"/>
  <c r="P71" i="116"/>
  <c r="U71" i="116" s="1"/>
  <c r="H40" i="116"/>
  <c r="P75" i="116"/>
  <c r="U75" i="116" s="1"/>
  <c r="S75" i="116" s="1"/>
  <c r="G51" i="111"/>
  <c r="U91" i="63"/>
  <c r="S86" i="63"/>
  <c r="S91" i="63" s="1"/>
  <c r="W18" i="68" a="1"/>
  <c r="W18" i="68" s="1"/>
  <c r="I36" i="68"/>
  <c r="P60" i="68"/>
  <c r="U60" i="68" s="1"/>
  <c r="S60" i="68" s="1"/>
  <c r="E36" i="68"/>
  <c r="P56" i="68"/>
  <c r="U56" i="68" s="1"/>
  <c r="S56" i="68" s="1"/>
  <c r="P63" i="68"/>
  <c r="U63" i="68" s="1"/>
  <c r="W17" i="68" a="1"/>
  <c r="W17" i="68" s="1"/>
  <c r="L23" i="36"/>
  <c r="W27" i="77" a="1"/>
  <c r="W27" i="77" s="1"/>
  <c r="W26" i="77" a="1"/>
  <c r="W26" i="77" s="1"/>
  <c r="F42" i="77"/>
  <c r="P76" i="77"/>
  <c r="U76" i="77" s="1"/>
  <c r="S76" i="77" s="1"/>
  <c r="W20" i="77" a="1"/>
  <c r="W20" i="77" s="1"/>
  <c r="W30" i="77" a="1"/>
  <c r="W30" i="77" s="1"/>
  <c r="P77" i="77"/>
  <c r="U77" i="77" s="1"/>
  <c r="S77" i="77" s="1"/>
  <c r="G42" i="77"/>
  <c r="S98" i="78"/>
  <c r="S102" i="78" s="1"/>
  <c r="U102" i="78"/>
  <c r="W12" i="86"/>
  <c r="H53" i="85"/>
  <c r="W25" i="85" a="1"/>
  <c r="W25" i="85" s="1"/>
  <c r="W28" i="85" a="1"/>
  <c r="W28" i="85" s="1"/>
  <c r="H38" i="81"/>
  <c r="P61" i="81"/>
  <c r="U61" i="81" s="1"/>
  <c r="S61" i="81" s="1"/>
  <c r="G61" i="82"/>
  <c r="W38" i="82" a="1"/>
  <c r="W38" i="82" s="1"/>
  <c r="D61" i="82"/>
  <c r="I61" i="82"/>
  <c r="G46" i="85"/>
  <c r="P68" i="85"/>
  <c r="U68" i="85" s="1"/>
  <c r="S68" i="85" s="1"/>
  <c r="W21" i="85" a="1"/>
  <c r="W21" i="85" s="1"/>
  <c r="P66" i="85"/>
  <c r="U66" i="85" s="1"/>
  <c r="S66" i="85" s="1"/>
  <c r="E46" i="85"/>
  <c r="P65" i="85"/>
  <c r="U65" i="85" s="1"/>
  <c r="W16" i="85" a="1"/>
  <c r="W16" i="85" s="1"/>
  <c r="D46" i="85"/>
  <c r="W45" i="88"/>
  <c r="W25" i="92" a="1"/>
  <c r="W25" i="92" s="1"/>
  <c r="G64" i="92"/>
  <c r="P113" i="92"/>
  <c r="U113" i="92" s="1"/>
  <c r="S113" i="92" s="1"/>
  <c r="E64" i="92"/>
  <c r="P111" i="92"/>
  <c r="U111" i="92" s="1"/>
  <c r="S111" i="92" s="1"/>
  <c r="W17" i="96" a="1"/>
  <c r="W17" i="96" s="1"/>
  <c r="P89" i="96"/>
  <c r="U89" i="96" s="1"/>
  <c r="H54" i="96"/>
  <c r="P77" i="96"/>
  <c r="U77" i="96" s="1"/>
  <c r="S77" i="96" s="1"/>
  <c r="W35" i="96" a="1"/>
  <c r="W35" i="96" s="1"/>
  <c r="E72" i="96"/>
  <c r="F72" i="96"/>
  <c r="W25" i="106"/>
  <c r="G36" i="116"/>
  <c r="P58" i="116"/>
  <c r="U58" i="116" s="1"/>
  <c r="S58" i="116" s="1"/>
  <c r="P60" i="116"/>
  <c r="U60" i="116" s="1"/>
  <c r="S60" i="116" s="1"/>
  <c r="I36" i="116"/>
  <c r="W15" i="111" a="1"/>
  <c r="W15" i="111" s="1"/>
  <c r="P59" i="111"/>
  <c r="U59" i="111" s="1"/>
  <c r="D40" i="111"/>
  <c r="P60" i="111"/>
  <c r="U60" i="111" s="1"/>
  <c r="S60" i="111" s="1"/>
  <c r="E40" i="111"/>
  <c r="F40" i="111"/>
  <c r="P61" i="111"/>
  <c r="U61" i="111" s="1"/>
  <c r="S61" i="111" s="1"/>
  <c r="P62" i="111"/>
  <c r="U62" i="111" s="1"/>
  <c r="S62" i="111" s="1"/>
  <c r="G40" i="111"/>
  <c r="E56" i="60"/>
  <c r="F56" i="60"/>
  <c r="F39" i="60"/>
  <c r="P54" i="60"/>
  <c r="U54" i="60" s="1"/>
  <c r="S54" i="60" s="1"/>
  <c r="G39" i="60"/>
  <c r="P55" i="60"/>
  <c r="U55" i="60" s="1"/>
  <c r="S55" i="60" s="1"/>
  <c r="S66" i="49"/>
  <c r="S69" i="49" s="1"/>
  <c r="U69" i="49"/>
  <c r="AC46" i="36" a="1"/>
  <c r="AC46" i="36" s="1"/>
  <c r="M44" i="36"/>
  <c r="F58" i="79"/>
  <c r="S110" i="86"/>
  <c r="S115" i="86" s="1"/>
  <c r="U115" i="86"/>
  <c r="P90" i="91"/>
  <c r="U90" i="91" s="1"/>
  <c r="S90" i="91" s="1"/>
  <c r="G44" i="91"/>
  <c r="P87" i="91"/>
  <c r="U87" i="91" s="1"/>
  <c r="D44" i="91"/>
  <c r="W25" i="91" a="1"/>
  <c r="W25" i="91" s="1"/>
  <c r="P91" i="91"/>
  <c r="U91" i="91" s="1"/>
  <c r="S91" i="91" s="1"/>
  <c r="H44" i="91"/>
  <c r="H80" i="92"/>
  <c r="P57" i="103"/>
  <c r="U57" i="103" s="1"/>
  <c r="S57" i="103" s="1"/>
  <c r="F43" i="103"/>
  <c r="P59" i="103"/>
  <c r="U59" i="103" s="1"/>
  <c r="S59" i="103" s="1"/>
  <c r="H43" i="103"/>
  <c r="P58" i="103"/>
  <c r="U58" i="103" s="1"/>
  <c r="S58" i="103" s="1"/>
  <c r="G43" i="103"/>
  <c r="W18" i="103" a="1"/>
  <c r="W18" i="103" s="1"/>
  <c r="P55" i="103"/>
  <c r="U55" i="103" s="1"/>
  <c r="D43" i="103"/>
  <c r="W17" i="105"/>
  <c r="S63" i="105"/>
  <c r="W26" i="116" a="1"/>
  <c r="W26" i="116" s="1"/>
  <c r="P87" i="116"/>
  <c r="U87" i="116" s="1"/>
  <c r="W37" i="57"/>
  <c r="H61" i="63"/>
  <c r="W28" i="63" a="1"/>
  <c r="W28" i="63" s="1"/>
  <c r="D61" i="63"/>
  <c r="S69" i="75"/>
  <c r="S74" i="75" s="1"/>
  <c r="U74" i="75"/>
  <c r="AF104" i="36"/>
  <c r="W31" i="70"/>
  <c r="S69" i="70"/>
  <c r="S75" i="70" s="1"/>
  <c r="U75" i="70"/>
  <c r="W34" i="78"/>
  <c r="P81" i="92"/>
  <c r="U81" i="92" s="1"/>
  <c r="S81" i="92" s="1"/>
  <c r="G59" i="92"/>
  <c r="P80" i="92"/>
  <c r="U80" i="92" s="1"/>
  <c r="S80" i="92" s="1"/>
  <c r="F59" i="92"/>
  <c r="W30" i="90"/>
  <c r="H41" i="91"/>
  <c r="P75" i="91"/>
  <c r="U75" i="91" s="1"/>
  <c r="S75" i="91" s="1"/>
  <c r="G41" i="91"/>
  <c r="P74" i="91"/>
  <c r="U74" i="91" s="1"/>
  <c r="S74" i="91" s="1"/>
  <c r="F41" i="91"/>
  <c r="P73" i="91"/>
  <c r="U73" i="91" s="1"/>
  <c r="S73" i="91" s="1"/>
  <c r="S78" i="89"/>
  <c r="S84" i="89" s="1"/>
  <c r="U84" i="89"/>
  <c r="Z93" i="89"/>
  <c r="P86" i="89"/>
  <c r="U86" i="89" s="1"/>
  <c r="P90" i="89"/>
  <c r="U90" i="89" s="1"/>
  <c r="S90" i="89" s="1"/>
  <c r="P89" i="89"/>
  <c r="U89" i="89" s="1"/>
  <c r="S89" i="89" s="1"/>
  <c r="N85" i="89"/>
  <c r="P91" i="89"/>
  <c r="U91" i="89" s="1"/>
  <c r="S91" i="89" s="1"/>
  <c r="P88" i="89"/>
  <c r="U88" i="89" s="1"/>
  <c r="S88" i="89" s="1"/>
  <c r="P87" i="89"/>
  <c r="U87" i="89" s="1"/>
  <c r="S87" i="89" s="1"/>
  <c r="S95" i="103"/>
  <c r="W28" i="111"/>
  <c r="I56" i="63"/>
  <c r="P122" i="63"/>
  <c r="U122" i="63" s="1"/>
  <c r="S122" i="63" s="1"/>
  <c r="W23" i="60" a="1"/>
  <c r="W23" i="60" s="1"/>
  <c r="G44" i="60"/>
  <c r="P87" i="60"/>
  <c r="U87" i="60" s="1"/>
  <c r="S87" i="60" s="1"/>
  <c r="W30" i="88" a="1"/>
  <c r="W30" i="88" s="1"/>
  <c r="G64" i="88"/>
  <c r="D49" i="90"/>
  <c r="W28" i="90" a="1"/>
  <c r="W28" i="90" s="1"/>
  <c r="P118" i="96"/>
  <c r="U118" i="96" s="1"/>
  <c r="S118" i="96" s="1"/>
  <c r="I61" i="96"/>
  <c r="W24" i="96" a="1"/>
  <c r="W24" i="96" s="1"/>
  <c r="G62" i="103"/>
  <c r="I62" i="103"/>
  <c r="P76" i="116"/>
  <c r="U76" i="116" s="1"/>
  <c r="S76" i="116" s="1"/>
  <c r="I40" i="116"/>
  <c r="P58" i="68"/>
  <c r="U58" i="68" s="1"/>
  <c r="S58" i="68" s="1"/>
  <c r="G36" i="68"/>
  <c r="H42" i="77"/>
  <c r="P78" i="77"/>
  <c r="U78" i="77" s="1"/>
  <c r="S78" i="77" s="1"/>
  <c r="W21" i="77" a="1"/>
  <c r="W21" i="77" s="1"/>
  <c r="W25" i="77" a="1"/>
  <c r="W25" i="77" s="1"/>
  <c r="S56" i="72"/>
  <c r="W34" i="85" a="1"/>
  <c r="W34" i="85" s="1"/>
  <c r="F53" i="85"/>
  <c r="P62" i="81"/>
  <c r="U62" i="81" s="1"/>
  <c r="S62" i="81" s="1"/>
  <c r="I38" i="81"/>
  <c r="W24" i="92" a="1"/>
  <c r="W24" i="92" s="1"/>
  <c r="P110" i="92"/>
  <c r="U110" i="92" s="1"/>
  <c r="D64" i="92"/>
  <c r="G54" i="96"/>
  <c r="P76" i="96"/>
  <c r="U76" i="96" s="1"/>
  <c r="S76" i="96" s="1"/>
  <c r="S91" i="109"/>
  <c r="S97" i="109" s="1"/>
  <c r="U97" i="109"/>
  <c r="H36" i="116"/>
  <c r="P59" i="116"/>
  <c r="U59" i="116" s="1"/>
  <c r="S59" i="116" s="1"/>
  <c r="S89" i="122"/>
  <c r="S87" i="57"/>
  <c r="S80" i="118"/>
  <c r="W25" i="63" a="1"/>
  <c r="W25" i="63" s="1"/>
  <c r="F56" i="63"/>
  <c r="F74" i="63" s="1"/>
  <c r="P119" i="63"/>
  <c r="U119" i="63" s="1"/>
  <c r="S119" i="63" s="1"/>
  <c r="S93" i="70"/>
  <c r="S99" i="70" s="1"/>
  <c r="U99" i="70"/>
  <c r="P103" i="70"/>
  <c r="U103" i="70" s="1"/>
  <c r="S103" i="70" s="1"/>
  <c r="N100" i="70"/>
  <c r="Z108" i="70"/>
  <c r="P104" i="70"/>
  <c r="U104" i="70" s="1"/>
  <c r="S104" i="70" s="1"/>
  <c r="P105" i="70"/>
  <c r="U105" i="70" s="1"/>
  <c r="S105" i="70" s="1"/>
  <c r="P106" i="70"/>
  <c r="U106" i="70" s="1"/>
  <c r="S106" i="70" s="1"/>
  <c r="P101" i="70"/>
  <c r="U101" i="70" s="1"/>
  <c r="P102" i="70"/>
  <c r="U102" i="70" s="1"/>
  <c r="S102" i="70" s="1"/>
  <c r="W27" i="60" a="1"/>
  <c r="W27" i="60" s="1"/>
  <c r="W21" i="60" a="1"/>
  <c r="W21" i="60" s="1"/>
  <c r="P100" i="60"/>
  <c r="U100" i="60" s="1"/>
  <c r="F44" i="60"/>
  <c r="P86" i="60"/>
  <c r="U86" i="60" s="1"/>
  <c r="S86" i="60" s="1"/>
  <c r="E60" i="77"/>
  <c r="S114" i="79"/>
  <c r="S120" i="79" s="1"/>
  <c r="U120" i="79"/>
  <c r="S120" i="78"/>
  <c r="W28" i="88" a="1"/>
  <c r="W28" i="88" s="1"/>
  <c r="D64" i="88"/>
  <c r="W31" i="88" a="1"/>
  <c r="W31" i="88" s="1"/>
  <c r="W33" i="88" a="1"/>
  <c r="W33" i="88" s="1"/>
  <c r="E64" i="88"/>
  <c r="I64" i="88"/>
  <c r="S93" i="86"/>
  <c r="S99" i="86" s="1"/>
  <c r="U99" i="86"/>
  <c r="W42" i="88" a="1"/>
  <c r="W42" i="88" s="1"/>
  <c r="I77" i="88"/>
  <c r="E77" i="88"/>
  <c r="G49" i="90"/>
  <c r="E49" i="90"/>
  <c r="W15" i="95"/>
  <c r="P116" i="96"/>
  <c r="U116" i="96" s="1"/>
  <c r="S116" i="96" s="1"/>
  <c r="G61" i="96"/>
  <c r="E61" i="96"/>
  <c r="P114" i="96"/>
  <c r="U114" i="96" s="1"/>
  <c r="S114" i="96" s="1"/>
  <c r="H61" i="96"/>
  <c r="P117" i="96"/>
  <c r="U117" i="96" s="1"/>
  <c r="S117" i="96" s="1"/>
  <c r="W47" i="96" a="1"/>
  <c r="W47" i="96" s="1"/>
  <c r="D85" i="96"/>
  <c r="W46" i="96" a="1"/>
  <c r="W46" i="96" s="1"/>
  <c r="U100" i="98"/>
  <c r="S96" i="98"/>
  <c r="S100" i="98" s="1"/>
  <c r="H62" i="103"/>
  <c r="D62" i="103"/>
  <c r="F62" i="103"/>
  <c r="S80" i="105"/>
  <c r="S83" i="105" s="1"/>
  <c r="U83" i="105"/>
  <c r="D49" i="116"/>
  <c r="W32" i="116" a="1"/>
  <c r="W32" i="116" s="1"/>
  <c r="W31" i="116" s="1"/>
  <c r="E40" i="116"/>
  <c r="P72" i="116"/>
  <c r="U72" i="116" s="1"/>
  <c r="S72" i="116" s="1"/>
  <c r="W28" i="25"/>
  <c r="P75" i="111"/>
  <c r="U75" i="111" s="1"/>
  <c r="P86" i="111"/>
  <c r="U86" i="111" s="1"/>
  <c r="S86" i="111" s="1"/>
  <c r="Z90" i="111"/>
  <c r="N82" i="111"/>
  <c r="P84" i="111"/>
  <c r="U84" i="111" s="1"/>
  <c r="S84" i="111" s="1"/>
  <c r="P87" i="111"/>
  <c r="U87" i="111" s="1"/>
  <c r="S87" i="111" s="1"/>
  <c r="P85" i="111"/>
  <c r="U85" i="111" s="1"/>
  <c r="S85" i="111" s="1"/>
  <c r="P83" i="111"/>
  <c r="U83" i="111" s="1"/>
  <c r="P88" i="111"/>
  <c r="U88" i="111" s="1"/>
  <c r="S88" i="111" s="1"/>
  <c r="W26" i="111" a="1"/>
  <c r="W26" i="111" s="1"/>
  <c r="D51" i="111"/>
  <c r="I51" i="111"/>
  <c r="S58" i="118"/>
  <c r="S62" i="118" s="1"/>
  <c r="U62" i="118"/>
  <c r="P90" i="25"/>
  <c r="U90" i="25" s="1"/>
  <c r="S90" i="25" s="1"/>
  <c r="P86" i="25"/>
  <c r="U86" i="25" s="1"/>
  <c r="Z93" i="25"/>
  <c r="P88" i="25"/>
  <c r="U88" i="25" s="1"/>
  <c r="S88" i="25" s="1"/>
  <c r="P89" i="25"/>
  <c r="U89" i="25" s="1"/>
  <c r="S89" i="25" s="1"/>
  <c r="P91" i="25"/>
  <c r="U91" i="25" s="1"/>
  <c r="S91" i="25" s="1"/>
  <c r="P87" i="25"/>
  <c r="U87" i="25" s="1"/>
  <c r="S87" i="25" s="1"/>
  <c r="N85" i="25"/>
  <c r="E74" i="63"/>
  <c r="S61" i="63"/>
  <c r="W19" i="68" a="1"/>
  <c r="W19" i="68" s="1"/>
  <c r="W20" i="68" a="1"/>
  <c r="W20" i="68" s="1"/>
  <c r="S56" i="75"/>
  <c r="P74" i="77"/>
  <c r="U74" i="77" s="1"/>
  <c r="W16" i="77" a="1"/>
  <c r="W16" i="77" s="1"/>
  <c r="D42" i="77"/>
  <c r="P79" i="77"/>
  <c r="U79" i="77" s="1"/>
  <c r="S79" i="77" s="1"/>
  <c r="I42" i="77"/>
  <c r="W23" i="77" a="1"/>
  <c r="W23" i="77" s="1"/>
  <c r="W28" i="77" a="1"/>
  <c r="W28" i="77" s="1"/>
  <c r="S70" i="88"/>
  <c r="S76" i="88" s="1"/>
  <c r="U76" i="88"/>
  <c r="W37" i="85"/>
  <c r="P20" i="36"/>
  <c r="P90" i="77"/>
  <c r="U90" i="77" s="1"/>
  <c r="W29" i="85" a="1"/>
  <c r="W29" i="85" s="1"/>
  <c r="W32" i="85" a="1"/>
  <c r="W32" i="85" s="1"/>
  <c r="W36" i="85" a="1"/>
  <c r="W36" i="85" s="1"/>
  <c r="I53" i="85"/>
  <c r="W27" i="85" a="1"/>
  <c r="W27" i="85" s="1"/>
  <c r="W33" i="85" a="1"/>
  <c r="W33" i="85" s="1"/>
  <c r="E53" i="85"/>
  <c r="G53" i="85"/>
  <c r="W26" i="85" a="1"/>
  <c r="W26" i="85" s="1"/>
  <c r="D53" i="85"/>
  <c r="W23" i="85" a="1"/>
  <c r="W23" i="85" s="1"/>
  <c r="W35" i="85" a="1"/>
  <c r="W35" i="85" s="1"/>
  <c r="W17" i="81" a="1"/>
  <c r="W17" i="81" s="1"/>
  <c r="F61" i="82"/>
  <c r="W39" i="82" a="1"/>
  <c r="W39" i="82" s="1"/>
  <c r="P73" i="85"/>
  <c r="U73" i="85" s="1"/>
  <c r="W17" i="85" a="1"/>
  <c r="W17" i="85" s="1"/>
  <c r="W20" i="85" a="1"/>
  <c r="W20" i="85" s="1"/>
  <c r="P97" i="85"/>
  <c r="U97" i="85" s="1"/>
  <c r="P70" i="85"/>
  <c r="U70" i="85" s="1"/>
  <c r="S70" i="85" s="1"/>
  <c r="I46" i="85"/>
  <c r="W18" i="85" a="1"/>
  <c r="W18" i="85" s="1"/>
  <c r="P81" i="85"/>
  <c r="U81" i="85" s="1"/>
  <c r="W36" i="79"/>
  <c r="S102" i="88"/>
  <c r="S108" i="88" s="1"/>
  <c r="U108" i="88"/>
  <c r="W26" i="88" a="1"/>
  <c r="W26" i="88" s="1"/>
  <c r="H61" i="88"/>
  <c r="W30" i="91"/>
  <c r="W27" i="92" a="1"/>
  <c r="W27" i="92" s="1"/>
  <c r="W28" i="92" a="1"/>
  <c r="W28" i="92" s="1"/>
  <c r="W20" i="96" a="1"/>
  <c r="W20" i="96" s="1"/>
  <c r="P105" i="96"/>
  <c r="U105" i="96" s="1"/>
  <c r="F54" i="96"/>
  <c r="P75" i="96"/>
  <c r="U75" i="96" s="1"/>
  <c r="S75" i="96" s="1"/>
  <c r="W16" i="96" a="1"/>
  <c r="W16" i="96" s="1"/>
  <c r="P81" i="96"/>
  <c r="U81" i="96" s="1"/>
  <c r="W34" i="96" a="1"/>
  <c r="W34" i="96" s="1"/>
  <c r="W19" i="116" a="1"/>
  <c r="W19" i="116" s="1"/>
  <c r="W18" i="116" s="1"/>
  <c r="P55" i="116"/>
  <c r="U55" i="116" s="1"/>
  <c r="D36" i="116"/>
  <c r="P57" i="116"/>
  <c r="U57" i="116" s="1"/>
  <c r="S57" i="116" s="1"/>
  <c r="F36" i="116"/>
  <c r="H40" i="111"/>
  <c r="P63" i="111"/>
  <c r="U63" i="111" s="1"/>
  <c r="S63" i="111" s="1"/>
  <c r="G56" i="60"/>
  <c r="D56" i="60"/>
  <c r="W31" i="60" a="1"/>
  <c r="W31" i="60" s="1"/>
  <c r="W14" i="60" a="1"/>
  <c r="W14" i="60" s="1"/>
  <c r="P60" i="60"/>
  <c r="U60" i="60" s="1"/>
  <c r="P52" i="60"/>
  <c r="U52" i="60" s="1"/>
  <c r="D39" i="60"/>
  <c r="W30" i="61"/>
  <c r="S109" i="63"/>
  <c r="S115" i="63" s="1"/>
  <c r="U115" i="63"/>
  <c r="W37" i="69"/>
  <c r="G74" i="63"/>
  <c r="Z84" i="72"/>
  <c r="P80" i="72"/>
  <c r="U80" i="72" s="1"/>
  <c r="S80" i="72" s="1"/>
  <c r="P78" i="72"/>
  <c r="U78" i="72" s="1"/>
  <c r="S78" i="72" s="1"/>
  <c r="P79" i="72"/>
  <c r="U79" i="72" s="1"/>
  <c r="S79" i="72" s="1"/>
  <c r="P81" i="72"/>
  <c r="U81" i="72" s="1"/>
  <c r="S81" i="72" s="1"/>
  <c r="N76" i="72"/>
  <c r="P82" i="72"/>
  <c r="U82" i="72" s="1"/>
  <c r="S82" i="72" s="1"/>
  <c r="P77" i="72"/>
  <c r="U77" i="72" s="1"/>
  <c r="AC45" i="36" a="1"/>
  <c r="AC45" i="36" s="1"/>
  <c r="L44" i="36"/>
  <c r="U127" i="82"/>
  <c r="S122" i="82"/>
  <c r="S127" i="82" s="1"/>
  <c r="E58" i="79"/>
  <c r="H58" i="79"/>
  <c r="S104" i="78"/>
  <c r="S110" i="78" s="1"/>
  <c r="U110" i="78"/>
  <c r="W41" i="92" a="1"/>
  <c r="W41" i="92" s="1"/>
  <c r="E80" i="92"/>
  <c r="S87" i="98"/>
  <c r="S92" i="98" s="1"/>
  <c r="U92" i="98"/>
  <c r="W43" i="102"/>
  <c r="W29" i="101"/>
  <c r="S88" i="105"/>
  <c r="S91" i="105" s="1"/>
  <c r="U91" i="105"/>
  <c r="S114" i="57"/>
  <c r="W30" i="63" a="1"/>
  <c r="W30" i="63" s="1"/>
  <c r="I61" i="63"/>
  <c r="S83" i="74"/>
  <c r="S87" i="74" s="1"/>
  <c r="U87" i="74"/>
  <c r="W29" i="74" a="1"/>
  <c r="W29" i="74" s="1"/>
  <c r="W28" i="74" a="1"/>
  <c r="W28" i="74" s="1"/>
  <c r="W13" i="69"/>
  <c r="U95" i="82"/>
  <c r="S92" i="82"/>
  <c r="S95" i="82" s="1"/>
  <c r="P83" i="92"/>
  <c r="U83" i="92" s="1"/>
  <c r="S83" i="92" s="1"/>
  <c r="I59" i="92"/>
  <c r="P72" i="91"/>
  <c r="U72" i="91" s="1"/>
  <c r="S72" i="91" s="1"/>
  <c r="E41" i="91"/>
  <c r="U83" i="95"/>
  <c r="S79" i="108"/>
  <c r="W21" i="111"/>
  <c r="S84" i="106"/>
  <c r="W33" i="116"/>
  <c r="S89" i="109"/>
  <c r="W33" i="103" l="1"/>
  <c r="W36" i="96"/>
  <c r="S106" i="80"/>
  <c r="W25" i="57"/>
  <c r="U106" i="80"/>
  <c r="U90" i="73"/>
  <c r="U73" i="101"/>
  <c r="P110" i="34"/>
  <c r="U110" i="34" s="1"/>
  <c r="S110" i="34" s="1"/>
  <c r="W31" i="73"/>
  <c r="S63" i="102"/>
  <c r="S68" i="102" s="1"/>
  <c r="U68" i="102"/>
  <c r="S76" i="73"/>
  <c r="S82" i="73" s="1"/>
  <c r="U82" i="73"/>
  <c r="P108" i="34"/>
  <c r="U108" i="34" s="1"/>
  <c r="S108" i="34" s="1"/>
  <c r="P108" i="80"/>
  <c r="U108" i="80" s="1"/>
  <c r="P112" i="80"/>
  <c r="U112" i="80" s="1"/>
  <c r="S112" i="80" s="1"/>
  <c r="N107" i="80"/>
  <c r="Z115" i="80"/>
  <c r="P109" i="80"/>
  <c r="U109" i="80" s="1"/>
  <c r="S109" i="80" s="1"/>
  <c r="P110" i="80"/>
  <c r="U110" i="80" s="1"/>
  <c r="S110" i="80" s="1"/>
  <c r="P113" i="80"/>
  <c r="U113" i="80" s="1"/>
  <c r="S113" i="80" s="1"/>
  <c r="P111" i="80"/>
  <c r="U111" i="80" s="1"/>
  <c r="S111" i="80" s="1"/>
  <c r="W15" i="73"/>
  <c r="P109" i="34"/>
  <c r="U109" i="34" s="1"/>
  <c r="S109" i="34" s="1"/>
  <c r="W21" i="103"/>
  <c r="S68" i="73"/>
  <c r="S74" i="73" s="1"/>
  <c r="U74" i="73"/>
  <c r="U53" i="49"/>
  <c r="W23" i="66"/>
  <c r="W15" i="66" s="1"/>
  <c r="S78" i="66"/>
  <c r="S83" i="66" s="1"/>
  <c r="U83" i="66"/>
  <c r="W20" i="123"/>
  <c r="W15" i="123"/>
  <c r="G66" i="123"/>
  <c r="W15" i="109"/>
  <c r="P115" i="109"/>
  <c r="U115" i="109" s="1"/>
  <c r="S115" i="109" s="1"/>
  <c r="P116" i="109"/>
  <c r="U116" i="109" s="1"/>
  <c r="S116" i="109" s="1"/>
  <c r="P117" i="109"/>
  <c r="U117" i="109" s="1"/>
  <c r="S117" i="109" s="1"/>
  <c r="Z122" i="109"/>
  <c r="N114" i="109"/>
  <c r="P120" i="109"/>
  <c r="U120" i="109" s="1"/>
  <c r="S120" i="109" s="1"/>
  <c r="P119" i="109"/>
  <c r="U119" i="109" s="1"/>
  <c r="S119" i="109" s="1"/>
  <c r="W13" i="49"/>
  <c r="W12" i="49" s="1"/>
  <c r="W33" i="49" s="1"/>
  <c r="W34" i="49" s="1"/>
  <c r="W32" i="49" s="1"/>
  <c r="S87" i="49"/>
  <c r="S93" i="49" s="1"/>
  <c r="U93" i="49"/>
  <c r="N86" i="116"/>
  <c r="P90" i="116"/>
  <c r="U90" i="116" s="1"/>
  <c r="S90" i="116" s="1"/>
  <c r="P91" i="116"/>
  <c r="U91" i="116" s="1"/>
  <c r="S91" i="116" s="1"/>
  <c r="Z94" i="116"/>
  <c r="P89" i="116"/>
  <c r="U89" i="116" s="1"/>
  <c r="S89" i="116" s="1"/>
  <c r="P92" i="116"/>
  <c r="U92" i="116" s="1"/>
  <c r="S92" i="116" s="1"/>
  <c r="P88" i="116"/>
  <c r="U88" i="116" s="1"/>
  <c r="S88" i="116" s="1"/>
  <c r="S75" i="108"/>
  <c r="U75" i="108"/>
  <c r="U67" i="105"/>
  <c r="S91" i="108"/>
  <c r="U91" i="108"/>
  <c r="S67" i="105"/>
  <c r="W17" i="106"/>
  <c r="W14" i="106" s="1"/>
  <c r="S56" i="106"/>
  <c r="S62" i="106" s="1"/>
  <c r="U62" i="106"/>
  <c r="S64" i="106"/>
  <c r="S70" i="106" s="1"/>
  <c r="U70" i="106"/>
  <c r="U99" i="105"/>
  <c r="S99" i="105"/>
  <c r="P105" i="105"/>
  <c r="U105" i="105" s="1"/>
  <c r="S105" i="105" s="1"/>
  <c r="N100" i="105"/>
  <c r="P103" i="105"/>
  <c r="U103" i="105" s="1"/>
  <c r="S103" i="105" s="1"/>
  <c r="Z108" i="105"/>
  <c r="P106" i="105"/>
  <c r="U106" i="105" s="1"/>
  <c r="S106" i="105" s="1"/>
  <c r="P101" i="105"/>
  <c r="U101" i="105" s="1"/>
  <c r="P104" i="105"/>
  <c r="U104" i="105" s="1"/>
  <c r="S104" i="105" s="1"/>
  <c r="P102" i="105"/>
  <c r="U102" i="105" s="1"/>
  <c r="S102" i="105" s="1"/>
  <c r="U100" i="102"/>
  <c r="U101" i="103"/>
  <c r="S101" i="103"/>
  <c r="P108" i="103"/>
  <c r="U108" i="103" s="1"/>
  <c r="S108" i="103" s="1"/>
  <c r="Z110" i="103"/>
  <c r="P107" i="103"/>
  <c r="U107" i="103" s="1"/>
  <c r="S107" i="103" s="1"/>
  <c r="P105" i="103"/>
  <c r="U105" i="103" s="1"/>
  <c r="S105" i="103" s="1"/>
  <c r="P106" i="103"/>
  <c r="U106" i="103" s="1"/>
  <c r="S106" i="103" s="1"/>
  <c r="P103" i="103"/>
  <c r="U103" i="103" s="1"/>
  <c r="N102" i="103"/>
  <c r="P104" i="103"/>
  <c r="U104" i="103" s="1"/>
  <c r="S104" i="103" s="1"/>
  <c r="W32" i="102"/>
  <c r="W16" i="102" s="1"/>
  <c r="W15" i="102" s="1"/>
  <c r="W29" i="98"/>
  <c r="W23" i="98"/>
  <c r="W26" i="96"/>
  <c r="P121" i="96"/>
  <c r="U121" i="96" s="1"/>
  <c r="S121" i="96" s="1"/>
  <c r="P125" i="96"/>
  <c r="U125" i="96" s="1"/>
  <c r="S125" i="96" s="1"/>
  <c r="P126" i="96"/>
  <c r="U126" i="96" s="1"/>
  <c r="S126" i="96" s="1"/>
  <c r="P122" i="96"/>
  <c r="U122" i="96" s="1"/>
  <c r="S122" i="96" s="1"/>
  <c r="P124" i="96"/>
  <c r="U124" i="96" s="1"/>
  <c r="S124" i="96" s="1"/>
  <c r="N120" i="96"/>
  <c r="Z128" i="96"/>
  <c r="Y48" i="92"/>
  <c r="A91" i="92"/>
  <c r="P120" i="92"/>
  <c r="U120" i="92" s="1"/>
  <c r="S120" i="92" s="1"/>
  <c r="P118" i="92"/>
  <c r="U118" i="92" s="1"/>
  <c r="S118" i="92" s="1"/>
  <c r="P121" i="92"/>
  <c r="U121" i="92" s="1"/>
  <c r="S121" i="92" s="1"/>
  <c r="N86" i="91"/>
  <c r="Z94" i="91"/>
  <c r="W16" i="84"/>
  <c r="W15" i="84" s="1"/>
  <c r="W34" i="89"/>
  <c r="W14" i="88"/>
  <c r="P130" i="86"/>
  <c r="U130" i="86" s="1"/>
  <c r="S130" i="86" s="1"/>
  <c r="N124" i="86"/>
  <c r="Z132" i="86"/>
  <c r="P125" i="86"/>
  <c r="U125" i="86" s="1"/>
  <c r="P129" i="86"/>
  <c r="U129" i="86" s="1"/>
  <c r="S129" i="86" s="1"/>
  <c r="P127" i="86"/>
  <c r="U127" i="86" s="1"/>
  <c r="S127" i="86" s="1"/>
  <c r="P126" i="86"/>
  <c r="U126" i="86" s="1"/>
  <c r="S126" i="86" s="1"/>
  <c r="P128" i="86"/>
  <c r="U128" i="86" s="1"/>
  <c r="S128" i="86" s="1"/>
  <c r="S117" i="86"/>
  <c r="S123" i="86" s="1"/>
  <c r="U123" i="86"/>
  <c r="S100" i="84"/>
  <c r="S106" i="84" s="1"/>
  <c r="U106" i="84"/>
  <c r="P112" i="84"/>
  <c r="U112" i="84" s="1"/>
  <c r="S112" i="84" s="1"/>
  <c r="P111" i="84"/>
  <c r="U111" i="84" s="1"/>
  <c r="S111" i="84" s="1"/>
  <c r="P113" i="84"/>
  <c r="U113" i="84" s="1"/>
  <c r="S113" i="84" s="1"/>
  <c r="P110" i="84"/>
  <c r="U110" i="84" s="1"/>
  <c r="S110" i="84" s="1"/>
  <c r="P109" i="84"/>
  <c r="U109" i="84" s="1"/>
  <c r="S109" i="84" s="1"/>
  <c r="P108" i="84"/>
  <c r="U108" i="84" s="1"/>
  <c r="N107" i="84"/>
  <c r="Z115" i="84"/>
  <c r="U95" i="81"/>
  <c r="S95" i="81"/>
  <c r="V67" i="36"/>
  <c r="AA67" i="36" s="1"/>
  <c r="Y67" i="36" s="1"/>
  <c r="M20" i="36"/>
  <c r="V66" i="36"/>
  <c r="AA66" i="36" s="1"/>
  <c r="Y66" i="36" s="1"/>
  <c r="V70" i="36"/>
  <c r="AA70" i="36" s="1"/>
  <c r="Y70" i="36" s="1"/>
  <c r="V68" i="36"/>
  <c r="AA68" i="36" s="1"/>
  <c r="Y68" i="36" s="1"/>
  <c r="U104" i="79"/>
  <c r="U126" i="78"/>
  <c r="O29" i="36"/>
  <c r="M29" i="36"/>
  <c r="P29" i="36"/>
  <c r="W17" i="79"/>
  <c r="S126" i="78"/>
  <c r="U128" i="79"/>
  <c r="S128" i="79"/>
  <c r="N127" i="78"/>
  <c r="Z135" i="78"/>
  <c r="P133" i="78"/>
  <c r="U133" i="78" s="1"/>
  <c r="S133" i="78" s="1"/>
  <c r="P128" i="78"/>
  <c r="U128" i="78" s="1"/>
  <c r="P130" i="78"/>
  <c r="U130" i="78" s="1"/>
  <c r="S130" i="78" s="1"/>
  <c r="P132" i="78"/>
  <c r="U132" i="78" s="1"/>
  <c r="S132" i="78" s="1"/>
  <c r="P131" i="78"/>
  <c r="U131" i="78" s="1"/>
  <c r="S131" i="78" s="1"/>
  <c r="P129" i="78"/>
  <c r="U129" i="78" s="1"/>
  <c r="S129" i="78" s="1"/>
  <c r="W12" i="78"/>
  <c r="U76" i="76"/>
  <c r="W31" i="74"/>
  <c r="S94" i="76"/>
  <c r="S100" i="76" s="1"/>
  <c r="U100" i="76"/>
  <c r="W17" i="76"/>
  <c r="W13" i="76" s="1"/>
  <c r="W12" i="76" s="1"/>
  <c r="S110" i="76"/>
  <c r="S116" i="76" s="1"/>
  <c r="U116" i="76"/>
  <c r="P121" i="76"/>
  <c r="U121" i="76" s="1"/>
  <c r="S121" i="76" s="1"/>
  <c r="Z125" i="76"/>
  <c r="P120" i="76"/>
  <c r="U120" i="76" s="1"/>
  <c r="S120" i="76" s="1"/>
  <c r="N117" i="76"/>
  <c r="P123" i="76"/>
  <c r="U123" i="76" s="1"/>
  <c r="S123" i="76" s="1"/>
  <c r="P122" i="76"/>
  <c r="U122" i="76" s="1"/>
  <c r="S122" i="76" s="1"/>
  <c r="P119" i="76"/>
  <c r="U119" i="76" s="1"/>
  <c r="S119" i="76" s="1"/>
  <c r="P118" i="76"/>
  <c r="U118" i="76" s="1"/>
  <c r="S86" i="76"/>
  <c r="S92" i="76" s="1"/>
  <c r="U92" i="76"/>
  <c r="P102" i="75"/>
  <c r="U102" i="75" s="1"/>
  <c r="S102" i="75" s="1"/>
  <c r="P101" i="75"/>
  <c r="U101" i="75" s="1"/>
  <c r="S101" i="75" s="1"/>
  <c r="P103" i="75"/>
  <c r="U103" i="75" s="1"/>
  <c r="S103" i="75" s="1"/>
  <c r="N99" i="75"/>
  <c r="P104" i="75"/>
  <c r="U104" i="75" s="1"/>
  <c r="S104" i="75" s="1"/>
  <c r="P105" i="75"/>
  <c r="U105" i="75" s="1"/>
  <c r="S105" i="75" s="1"/>
  <c r="P100" i="75"/>
  <c r="U100" i="75" s="1"/>
  <c r="Z107" i="75"/>
  <c r="W15" i="74"/>
  <c r="Z112" i="74"/>
  <c r="P105" i="74"/>
  <c r="U105" i="74" s="1"/>
  <c r="P108" i="74"/>
  <c r="U108" i="74" s="1"/>
  <c r="S108" i="74" s="1"/>
  <c r="N104" i="74"/>
  <c r="P106" i="74"/>
  <c r="U106" i="74" s="1"/>
  <c r="S106" i="74" s="1"/>
  <c r="P107" i="74"/>
  <c r="U107" i="74" s="1"/>
  <c r="S107" i="74" s="1"/>
  <c r="P110" i="74"/>
  <c r="U110" i="74" s="1"/>
  <c r="S110" i="74" s="1"/>
  <c r="P109" i="74"/>
  <c r="U109" i="74" s="1"/>
  <c r="S109" i="74" s="1"/>
  <c r="S59" i="72"/>
  <c r="W25" i="73"/>
  <c r="N99" i="73"/>
  <c r="P100" i="73"/>
  <c r="U100" i="73" s="1"/>
  <c r="P105" i="73"/>
  <c r="U105" i="73" s="1"/>
  <c r="S105" i="73" s="1"/>
  <c r="P102" i="73"/>
  <c r="U102" i="73" s="1"/>
  <c r="S102" i="73" s="1"/>
  <c r="P101" i="73"/>
  <c r="U101" i="73" s="1"/>
  <c r="S101" i="73" s="1"/>
  <c r="Z107" i="73"/>
  <c r="P104" i="73"/>
  <c r="U104" i="73" s="1"/>
  <c r="S104" i="73" s="1"/>
  <c r="P103" i="73"/>
  <c r="U103" i="73" s="1"/>
  <c r="S103" i="73" s="1"/>
  <c r="S92" i="73"/>
  <c r="S98" i="73" s="1"/>
  <c r="U98" i="73"/>
  <c r="W12" i="72"/>
  <c r="W37" i="72" s="1"/>
  <c r="U51" i="72"/>
  <c r="U59" i="72"/>
  <c r="W17" i="70"/>
  <c r="W12" i="70" s="1"/>
  <c r="W34" i="69"/>
  <c r="S86" i="69"/>
  <c r="U86" i="69"/>
  <c r="N87" i="69"/>
  <c r="Z95" i="69"/>
  <c r="P93" i="69"/>
  <c r="U93" i="69" s="1"/>
  <c r="S93" i="69" s="1"/>
  <c r="P88" i="69"/>
  <c r="U88" i="69" s="1"/>
  <c r="P89" i="69"/>
  <c r="U89" i="69" s="1"/>
  <c r="S89" i="69" s="1"/>
  <c r="P92" i="69"/>
  <c r="U92" i="69" s="1"/>
  <c r="S92" i="69" s="1"/>
  <c r="P90" i="69"/>
  <c r="U90" i="69" s="1"/>
  <c r="S90" i="69" s="1"/>
  <c r="P91" i="69"/>
  <c r="U91" i="69" s="1"/>
  <c r="S91" i="69" s="1"/>
  <c r="W26" i="69"/>
  <c r="W21" i="68"/>
  <c r="W26" i="34" a="1"/>
  <c r="W26" i="34" s="1"/>
  <c r="N106" i="34"/>
  <c r="Z114" i="34"/>
  <c r="P119" i="34" s="1"/>
  <c r="U119" i="34" s="1"/>
  <c r="S119" i="34" s="1"/>
  <c r="W21" i="34" a="1"/>
  <c r="W21" i="34" s="1"/>
  <c r="W24" i="34" a="1"/>
  <c r="W24" i="34" s="1"/>
  <c r="W32" i="34" a="1"/>
  <c r="W32" i="34" s="1"/>
  <c r="W27" i="34" a="1"/>
  <c r="W27" i="34" s="1"/>
  <c r="W22" i="34" a="1"/>
  <c r="W22" i="34" s="1"/>
  <c r="W29" i="34" a="1"/>
  <c r="W29" i="34" s="1"/>
  <c r="W23" i="34" a="1"/>
  <c r="W23" i="34" s="1"/>
  <c r="W31" i="34" a="1"/>
  <c r="W31" i="34" s="1"/>
  <c r="W25" i="34" a="1"/>
  <c r="W25" i="34" s="1"/>
  <c r="P102" i="34"/>
  <c r="U102" i="34" s="1"/>
  <c r="S102" i="34" s="1"/>
  <c r="W30" i="34" a="1"/>
  <c r="W30" i="34" s="1"/>
  <c r="W19" i="34" a="1"/>
  <c r="W19" i="34" s="1"/>
  <c r="P107" i="34"/>
  <c r="U107" i="34" s="1"/>
  <c r="P99" i="34"/>
  <c r="U99" i="34" s="1"/>
  <c r="W18" i="34" a="1"/>
  <c r="W18" i="34" s="1"/>
  <c r="W33" i="34" a="1"/>
  <c r="W33" i="34" s="1"/>
  <c r="P100" i="34"/>
  <c r="U100" i="34" s="1"/>
  <c r="S100" i="34" s="1"/>
  <c r="P104" i="34"/>
  <c r="U104" i="34" s="1"/>
  <c r="S104" i="34" s="1"/>
  <c r="P101" i="34"/>
  <c r="U101" i="34" s="1"/>
  <c r="S101" i="34" s="1"/>
  <c r="W28" i="34" a="1"/>
  <c r="W28" i="34" s="1"/>
  <c r="P103" i="34"/>
  <c r="U103" i="34" s="1"/>
  <c r="S103" i="34" s="1"/>
  <c r="W12" i="61"/>
  <c r="W41" i="61" s="1"/>
  <c r="U52" i="62"/>
  <c r="S52" i="62"/>
  <c r="S73" i="61"/>
  <c r="S79" i="61" s="1"/>
  <c r="U79" i="61"/>
  <c r="P82" i="61"/>
  <c r="U82" i="61" s="1"/>
  <c r="S82" i="61" s="1"/>
  <c r="P81" i="61"/>
  <c r="U81" i="61" s="1"/>
  <c r="Z88" i="61"/>
  <c r="P86" i="61"/>
  <c r="U86" i="61" s="1"/>
  <c r="S86" i="61" s="1"/>
  <c r="P85" i="61"/>
  <c r="U85" i="61" s="1"/>
  <c r="S85" i="61" s="1"/>
  <c r="P83" i="61"/>
  <c r="U83" i="61" s="1"/>
  <c r="S83" i="61" s="1"/>
  <c r="N80" i="61"/>
  <c r="P84" i="61"/>
  <c r="U84" i="61" s="1"/>
  <c r="S84" i="61" s="1"/>
  <c r="P78" i="60"/>
  <c r="U78" i="60" s="1"/>
  <c r="S78" i="60" s="1"/>
  <c r="P70" i="60"/>
  <c r="U70" i="60" s="1"/>
  <c r="S70" i="60" s="1"/>
  <c r="P80" i="60"/>
  <c r="U80" i="60" s="1"/>
  <c r="S80" i="60" s="1"/>
  <c r="P72" i="60"/>
  <c r="U72" i="60" s="1"/>
  <c r="S72" i="60" s="1"/>
  <c r="P76" i="60"/>
  <c r="U76" i="60" s="1"/>
  <c r="S76" i="60" s="1"/>
  <c r="P68" i="60"/>
  <c r="U68" i="60" s="1"/>
  <c r="P77" i="60"/>
  <c r="U77" i="60" s="1"/>
  <c r="S77" i="60" s="1"/>
  <c r="P69" i="60"/>
  <c r="U69" i="60" s="1"/>
  <c r="S69" i="60" s="1"/>
  <c r="P79" i="60"/>
  <c r="U79" i="60" s="1"/>
  <c r="S79" i="60" s="1"/>
  <c r="P71" i="60"/>
  <c r="U71" i="60" s="1"/>
  <c r="S71" i="60" s="1"/>
  <c r="P81" i="60"/>
  <c r="U81" i="60" s="1"/>
  <c r="S81" i="60" s="1"/>
  <c r="P73" i="60"/>
  <c r="U73" i="60" s="1"/>
  <c r="S73" i="60" s="1"/>
  <c r="W27" i="59"/>
  <c r="W23" i="59"/>
  <c r="S92" i="59"/>
  <c r="P81" i="59"/>
  <c r="U81" i="59" s="1"/>
  <c r="S81" i="59" s="1"/>
  <c r="P73" i="59"/>
  <c r="U73" i="59" s="1"/>
  <c r="S73" i="59" s="1"/>
  <c r="P80" i="59"/>
  <c r="U80" i="59" s="1"/>
  <c r="S80" i="59" s="1"/>
  <c r="P72" i="59"/>
  <c r="U72" i="59" s="1"/>
  <c r="U92" i="59"/>
  <c r="P82" i="59"/>
  <c r="U82" i="59" s="1"/>
  <c r="S82" i="59" s="1"/>
  <c r="P78" i="59"/>
  <c r="U78" i="59" s="1"/>
  <c r="P83" i="59"/>
  <c r="U83" i="59" s="1"/>
  <c r="S83" i="59" s="1"/>
  <c r="P79" i="59"/>
  <c r="U79" i="59" s="1"/>
  <c r="S79" i="59" s="1"/>
  <c r="W13" i="59"/>
  <c r="W13" i="57"/>
  <c r="S79" i="57"/>
  <c r="W20" i="57"/>
  <c r="S111" i="57"/>
  <c r="U79" i="57"/>
  <c r="U111" i="57"/>
  <c r="S79" i="74"/>
  <c r="U78" i="78"/>
  <c r="W15" i="83"/>
  <c r="U79" i="74"/>
  <c r="S76" i="98"/>
  <c r="S78" i="78"/>
  <c r="S116" i="102"/>
  <c r="W31" i="78"/>
  <c r="W25" i="111"/>
  <c r="U116" i="102"/>
  <c r="U76" i="98"/>
  <c r="S54" i="106"/>
  <c r="W28" i="82"/>
  <c r="W12" i="62"/>
  <c r="W11" i="62" s="1"/>
  <c r="W18" i="118"/>
  <c r="W14" i="118" s="1"/>
  <c r="W34" i="118" s="1"/>
  <c r="U54" i="106"/>
  <c r="E66" i="123"/>
  <c r="F66" i="123"/>
  <c r="P128" i="63"/>
  <c r="U128" i="63" s="1"/>
  <c r="S128" i="63" s="1"/>
  <c r="Z107" i="60"/>
  <c r="N99" i="60"/>
  <c r="P102" i="85"/>
  <c r="U102" i="85" s="1"/>
  <c r="S102" i="85" s="1"/>
  <c r="P104" i="60"/>
  <c r="U104" i="60" s="1"/>
  <c r="S104" i="60" s="1"/>
  <c r="S64" i="118"/>
  <c r="S70" i="118" s="1"/>
  <c r="U70" i="118"/>
  <c r="P98" i="85"/>
  <c r="U98" i="85" s="1"/>
  <c r="S98" i="85" s="1"/>
  <c r="P105" i="66"/>
  <c r="U105" i="66" s="1"/>
  <c r="S105" i="66" s="1"/>
  <c r="P103" i="66"/>
  <c r="U103" i="66" s="1"/>
  <c r="S103" i="66" s="1"/>
  <c r="Z108" i="66"/>
  <c r="P101" i="66"/>
  <c r="U101" i="66" s="1"/>
  <c r="N100" i="66"/>
  <c r="P104" i="66"/>
  <c r="U104" i="66" s="1"/>
  <c r="S104" i="66" s="1"/>
  <c r="P102" i="66"/>
  <c r="U102" i="66" s="1"/>
  <c r="S102" i="66" s="1"/>
  <c r="P106" i="66"/>
  <c r="U106" i="66" s="1"/>
  <c r="S106" i="66" s="1"/>
  <c r="N117" i="102"/>
  <c r="P119" i="102"/>
  <c r="U119" i="102" s="1"/>
  <c r="S119" i="102" s="1"/>
  <c r="P118" i="102"/>
  <c r="U118" i="102" s="1"/>
  <c r="Z125" i="102"/>
  <c r="P120" i="102"/>
  <c r="U120" i="102" s="1"/>
  <c r="S120" i="102" s="1"/>
  <c r="P123" i="102"/>
  <c r="U123" i="102" s="1"/>
  <c r="S123" i="102" s="1"/>
  <c r="P121" i="102"/>
  <c r="U121" i="102" s="1"/>
  <c r="S121" i="102" s="1"/>
  <c r="P122" i="102"/>
  <c r="U122" i="102" s="1"/>
  <c r="S122" i="102" s="1"/>
  <c r="P90" i="121"/>
  <c r="U90" i="121" s="1"/>
  <c r="S90" i="121" s="1"/>
  <c r="Z96" i="121"/>
  <c r="P92" i="121"/>
  <c r="U92" i="121" s="1"/>
  <c r="S92" i="121" s="1"/>
  <c r="N88" i="121"/>
  <c r="P94" i="121"/>
  <c r="U94" i="121" s="1"/>
  <c r="S94" i="121" s="1"/>
  <c r="P91" i="121"/>
  <c r="U91" i="121" s="1"/>
  <c r="S91" i="121" s="1"/>
  <c r="P93" i="121"/>
  <c r="U93" i="121" s="1"/>
  <c r="S93" i="121" s="1"/>
  <c r="P89" i="121"/>
  <c r="U89" i="121" s="1"/>
  <c r="P99" i="85"/>
  <c r="U99" i="85" s="1"/>
  <c r="S99" i="85" s="1"/>
  <c r="W14" i="89"/>
  <c r="S102" i="62"/>
  <c r="S108" i="62" s="1"/>
  <c r="U108" i="62"/>
  <c r="P132" i="49"/>
  <c r="U132" i="49" s="1"/>
  <c r="S132" i="49" s="1"/>
  <c r="N126" i="49"/>
  <c r="Z134" i="49"/>
  <c r="P129" i="49"/>
  <c r="U129" i="49" s="1"/>
  <c r="S129" i="49" s="1"/>
  <c r="P130" i="49"/>
  <c r="U130" i="49" s="1"/>
  <c r="S130" i="49" s="1"/>
  <c r="P128" i="49"/>
  <c r="U128" i="49" s="1"/>
  <c r="S128" i="49" s="1"/>
  <c r="P131" i="49"/>
  <c r="U131" i="49" s="1"/>
  <c r="S131" i="49" s="1"/>
  <c r="P127" i="49"/>
  <c r="U127" i="49" s="1"/>
  <c r="P105" i="60"/>
  <c r="U105" i="60" s="1"/>
  <c r="S105" i="60" s="1"/>
  <c r="P100" i="85"/>
  <c r="U100" i="85" s="1"/>
  <c r="S100" i="85" s="1"/>
  <c r="P116" i="101"/>
  <c r="U116" i="101" s="1"/>
  <c r="S116" i="101" s="1"/>
  <c r="Z122" i="101"/>
  <c r="N114" i="101"/>
  <c r="P118" i="101"/>
  <c r="U118" i="101" s="1"/>
  <c r="S118" i="101" s="1"/>
  <c r="P115" i="101"/>
  <c r="U115" i="101" s="1"/>
  <c r="P117" i="101"/>
  <c r="U117" i="101" s="1"/>
  <c r="S117" i="101" s="1"/>
  <c r="P119" i="101"/>
  <c r="U119" i="101" s="1"/>
  <c r="S119" i="101" s="1"/>
  <c r="P120" i="101"/>
  <c r="U120" i="101" s="1"/>
  <c r="S120" i="101" s="1"/>
  <c r="S107" i="101"/>
  <c r="S113" i="101" s="1"/>
  <c r="U113" i="101"/>
  <c r="P103" i="60"/>
  <c r="U103" i="60" s="1"/>
  <c r="S103" i="60" s="1"/>
  <c r="N120" i="57"/>
  <c r="Z128" i="57"/>
  <c r="P123" i="57"/>
  <c r="U123" i="57" s="1"/>
  <c r="S123" i="57" s="1"/>
  <c r="P126" i="57"/>
  <c r="U126" i="57" s="1"/>
  <c r="S126" i="57" s="1"/>
  <c r="P122" i="57"/>
  <c r="U122" i="57" s="1"/>
  <c r="S122" i="57" s="1"/>
  <c r="S83" i="98"/>
  <c r="S84" i="98" s="1"/>
  <c r="U84" i="98"/>
  <c r="S94" i="59"/>
  <c r="S100" i="59" s="1"/>
  <c r="U100" i="59"/>
  <c r="N129" i="79"/>
  <c r="Z137" i="79"/>
  <c r="P130" i="79"/>
  <c r="U130" i="79" s="1"/>
  <c r="P134" i="79"/>
  <c r="U134" i="79" s="1"/>
  <c r="S134" i="79" s="1"/>
  <c r="P135" i="79"/>
  <c r="U135" i="79" s="1"/>
  <c r="S135" i="79" s="1"/>
  <c r="P102" i="60"/>
  <c r="U102" i="60" s="1"/>
  <c r="S102" i="60" s="1"/>
  <c r="Z104" i="85"/>
  <c r="N96" i="85"/>
  <c r="S62" i="89"/>
  <c r="S68" i="89" s="1"/>
  <c r="U68" i="89"/>
  <c r="S63" i="116"/>
  <c r="S69" i="116" s="1"/>
  <c r="U69" i="116"/>
  <c r="N109" i="62"/>
  <c r="P110" i="62"/>
  <c r="U110" i="62" s="1"/>
  <c r="Z117" i="62"/>
  <c r="P112" i="62"/>
  <c r="U112" i="62" s="1"/>
  <c r="S112" i="62" s="1"/>
  <c r="P113" i="62"/>
  <c r="U113" i="62" s="1"/>
  <c r="S113" i="62" s="1"/>
  <c r="P115" i="62"/>
  <c r="U115" i="62" s="1"/>
  <c r="S115" i="62" s="1"/>
  <c r="P114" i="62"/>
  <c r="U114" i="62" s="1"/>
  <c r="S114" i="62" s="1"/>
  <c r="P111" i="62"/>
  <c r="U111" i="62" s="1"/>
  <c r="S111" i="62" s="1"/>
  <c r="W37" i="98"/>
  <c r="S94" i="66"/>
  <c r="S99" i="66" s="1"/>
  <c r="U99" i="66"/>
  <c r="P104" i="59"/>
  <c r="U104" i="59" s="1"/>
  <c r="S104" i="59" s="1"/>
  <c r="P107" i="59"/>
  <c r="U107" i="59" s="1"/>
  <c r="S107" i="59" s="1"/>
  <c r="P103" i="59"/>
  <c r="U103" i="59" s="1"/>
  <c r="S103" i="59" s="1"/>
  <c r="N101" i="59"/>
  <c r="P105" i="59"/>
  <c r="U105" i="59" s="1"/>
  <c r="S105" i="59" s="1"/>
  <c r="P102" i="59"/>
  <c r="U102" i="59" s="1"/>
  <c r="Z109" i="59"/>
  <c r="P106" i="59"/>
  <c r="U106" i="59" s="1"/>
  <c r="S106" i="59" s="1"/>
  <c r="S70" i="89"/>
  <c r="S76" i="89" s="1"/>
  <c r="U76" i="89"/>
  <c r="S81" i="121"/>
  <c r="S87" i="121" s="1"/>
  <c r="U87" i="121"/>
  <c r="S119" i="49"/>
  <c r="S125" i="49" s="1"/>
  <c r="U125" i="49"/>
  <c r="P101" i="60"/>
  <c r="U101" i="60" s="1"/>
  <c r="S101" i="60" s="1"/>
  <c r="W43" i="83"/>
  <c r="W14" i="25"/>
  <c r="W13" i="25" s="1"/>
  <c r="W14" i="80"/>
  <c r="W13" i="80" s="1"/>
  <c r="U58" i="75"/>
  <c r="U67" i="63"/>
  <c r="W30" i="35"/>
  <c r="U80" i="79"/>
  <c r="W13" i="35"/>
  <c r="W20" i="75"/>
  <c r="U119" i="57"/>
  <c r="S58" i="75"/>
  <c r="U71" i="57"/>
  <c r="S86" i="106"/>
  <c r="W34" i="121"/>
  <c r="W35" i="121" s="1"/>
  <c r="S71" i="82"/>
  <c r="S50" i="80"/>
  <c r="W24" i="123"/>
  <c r="W19" i="82"/>
  <c r="U86" i="118"/>
  <c r="U50" i="80"/>
  <c r="U113" i="109"/>
  <c r="S90" i="123"/>
  <c r="S86" i="118"/>
  <c r="S113" i="109"/>
  <c r="U86" i="106"/>
  <c r="U99" i="95"/>
  <c r="W17" i="75"/>
  <c r="S76" i="80"/>
  <c r="S82" i="80" s="1"/>
  <c r="U82" i="80"/>
  <c r="P96" i="122"/>
  <c r="U96" i="122" s="1"/>
  <c r="P101" i="122"/>
  <c r="U101" i="122" s="1"/>
  <c r="S101" i="122" s="1"/>
  <c r="P98" i="122"/>
  <c r="U98" i="122" s="1"/>
  <c r="S98" i="122" s="1"/>
  <c r="Z103" i="122"/>
  <c r="P99" i="122"/>
  <c r="U99" i="122" s="1"/>
  <c r="S99" i="122" s="1"/>
  <c r="P97" i="122"/>
  <c r="U97" i="122" s="1"/>
  <c r="S97" i="122" s="1"/>
  <c r="P100" i="122"/>
  <c r="U100" i="122" s="1"/>
  <c r="S100" i="122" s="1"/>
  <c r="N95" i="122"/>
  <c r="S119" i="57"/>
  <c r="S67" i="63"/>
  <c r="U94" i="122"/>
  <c r="I74" i="63"/>
  <c r="H74" i="63"/>
  <c r="D74" i="63"/>
  <c r="S99" i="95"/>
  <c r="S71" i="57"/>
  <c r="U90" i="123"/>
  <c r="S68" i="80"/>
  <c r="S74" i="80" s="1"/>
  <c r="U74" i="80"/>
  <c r="P132" i="83"/>
  <c r="U132" i="83" s="1"/>
  <c r="S132" i="83" s="1"/>
  <c r="P134" i="83"/>
  <c r="U134" i="83" s="1"/>
  <c r="S134" i="83" s="1"/>
  <c r="P130" i="83"/>
  <c r="U130" i="83" s="1"/>
  <c r="N129" i="83"/>
  <c r="P135" i="83"/>
  <c r="U135" i="83" s="1"/>
  <c r="S135" i="83" s="1"/>
  <c r="Z137" i="83"/>
  <c r="P133" i="83"/>
  <c r="U133" i="83" s="1"/>
  <c r="S133" i="83" s="1"/>
  <c r="P131" i="83"/>
  <c r="U131" i="83" s="1"/>
  <c r="S131" i="83" s="1"/>
  <c r="S122" i="83"/>
  <c r="S128" i="83" s="1"/>
  <c r="U128" i="83"/>
  <c r="P126" i="63"/>
  <c r="U126" i="63" s="1"/>
  <c r="S126" i="63" s="1"/>
  <c r="S79" i="90"/>
  <c r="S85" i="90" s="1"/>
  <c r="U85" i="90"/>
  <c r="P145" i="82"/>
  <c r="U145" i="82" s="1"/>
  <c r="Z152" i="82"/>
  <c r="P146" i="82"/>
  <c r="U146" i="82" s="1"/>
  <c r="S146" i="82" s="1"/>
  <c r="N144" i="82"/>
  <c r="P148" i="82"/>
  <c r="U148" i="82" s="1"/>
  <c r="S148" i="82" s="1"/>
  <c r="P147" i="82"/>
  <c r="U147" i="82" s="1"/>
  <c r="S147" i="82" s="1"/>
  <c r="P149" i="82"/>
  <c r="U149" i="82" s="1"/>
  <c r="S149" i="82" s="1"/>
  <c r="P150" i="82"/>
  <c r="U150" i="82" s="1"/>
  <c r="S150" i="82" s="1"/>
  <c r="S79" i="103"/>
  <c r="S85" i="103" s="1"/>
  <c r="U85" i="103"/>
  <c r="H66" i="123"/>
  <c r="P92" i="118"/>
  <c r="U92" i="118" s="1"/>
  <c r="S92" i="118" s="1"/>
  <c r="N87" i="118"/>
  <c r="P89" i="118"/>
  <c r="U89" i="118" s="1"/>
  <c r="S89" i="118" s="1"/>
  <c r="P93" i="118"/>
  <c r="U93" i="118" s="1"/>
  <c r="S93" i="118" s="1"/>
  <c r="Z95" i="118"/>
  <c r="P91" i="118"/>
  <c r="U91" i="118" s="1"/>
  <c r="S91" i="118" s="1"/>
  <c r="P88" i="118"/>
  <c r="U88" i="118" s="1"/>
  <c r="P90" i="118"/>
  <c r="U90" i="118" s="1"/>
  <c r="S90" i="118" s="1"/>
  <c r="S68" i="123"/>
  <c r="S74" i="123" s="1"/>
  <c r="U74" i="123"/>
  <c r="P119" i="92"/>
  <c r="U119" i="92" s="1"/>
  <c r="S119" i="92" s="1"/>
  <c r="P130" i="63"/>
  <c r="U130" i="63" s="1"/>
  <c r="S130" i="63" s="1"/>
  <c r="S97" i="82"/>
  <c r="S103" i="82" s="1"/>
  <c r="U103" i="82"/>
  <c r="N87" i="106"/>
  <c r="P88" i="106"/>
  <c r="U88" i="106" s="1"/>
  <c r="P92" i="106"/>
  <c r="U92" i="106" s="1"/>
  <c r="S92" i="106" s="1"/>
  <c r="Z95" i="106"/>
  <c r="P93" i="106"/>
  <c r="U93" i="106" s="1"/>
  <c r="S93" i="106" s="1"/>
  <c r="P91" i="106"/>
  <c r="U91" i="106" s="1"/>
  <c r="S91" i="106" s="1"/>
  <c r="P89" i="106"/>
  <c r="U89" i="106" s="1"/>
  <c r="S89" i="106" s="1"/>
  <c r="P90" i="106"/>
  <c r="U90" i="106" s="1"/>
  <c r="S90" i="106" s="1"/>
  <c r="P106" i="95"/>
  <c r="U106" i="95" s="1"/>
  <c r="S106" i="95" s="1"/>
  <c r="N100" i="95"/>
  <c r="P105" i="95"/>
  <c r="U105" i="95" s="1"/>
  <c r="S105" i="95" s="1"/>
  <c r="P103" i="95"/>
  <c r="U103" i="95" s="1"/>
  <c r="S103" i="95" s="1"/>
  <c r="P101" i="95"/>
  <c r="U101" i="95" s="1"/>
  <c r="Z108" i="95"/>
  <c r="P104" i="95"/>
  <c r="U104" i="95" s="1"/>
  <c r="S104" i="95" s="1"/>
  <c r="P102" i="95"/>
  <c r="U102" i="95" s="1"/>
  <c r="S102" i="95" s="1"/>
  <c r="Q29" i="36"/>
  <c r="S94" i="122"/>
  <c r="F42" i="80"/>
  <c r="S60" i="123"/>
  <c r="S66" i="123" s="1"/>
  <c r="U66" i="123"/>
  <c r="S137" i="82"/>
  <c r="S143" i="82" s="1"/>
  <c r="U143" i="82"/>
  <c r="S55" i="91"/>
  <c r="S61" i="91" s="1"/>
  <c r="U61" i="91"/>
  <c r="S92" i="75"/>
  <c r="S98" i="75" s="1"/>
  <c r="U98" i="75"/>
  <c r="S113" i="82"/>
  <c r="S119" i="82" s="1"/>
  <c r="U119" i="82"/>
  <c r="S81" i="82"/>
  <c r="S87" i="82" s="1"/>
  <c r="U87" i="82"/>
  <c r="D66" i="123"/>
  <c r="S105" i="82"/>
  <c r="S111" i="82" s="1"/>
  <c r="U111" i="82"/>
  <c r="S84" i="75"/>
  <c r="S90" i="75" s="1"/>
  <c r="U90" i="75"/>
  <c r="W26" i="89"/>
  <c r="N29" i="36"/>
  <c r="U71" i="82"/>
  <c r="Z132" i="63"/>
  <c r="N124" i="63"/>
  <c r="S63" i="91"/>
  <c r="S69" i="91" s="1"/>
  <c r="U69" i="91"/>
  <c r="Z94" i="90"/>
  <c r="P89" i="90"/>
  <c r="U89" i="90" s="1"/>
  <c r="S89" i="90" s="1"/>
  <c r="P88" i="90"/>
  <c r="U88" i="90" s="1"/>
  <c r="S88" i="90" s="1"/>
  <c r="N86" i="90"/>
  <c r="P90" i="90"/>
  <c r="U90" i="90" s="1"/>
  <c r="S90" i="90" s="1"/>
  <c r="P87" i="90"/>
  <c r="U87" i="90" s="1"/>
  <c r="P92" i="90"/>
  <c r="U92" i="90" s="1"/>
  <c r="S92" i="90" s="1"/>
  <c r="P91" i="90"/>
  <c r="U91" i="90" s="1"/>
  <c r="S91" i="90" s="1"/>
  <c r="S76" i="75"/>
  <c r="S82" i="75" s="1"/>
  <c r="U82" i="75"/>
  <c r="P127" i="63"/>
  <c r="U127" i="63" s="1"/>
  <c r="S127" i="63" s="1"/>
  <c r="W16" i="91"/>
  <c r="W30" i="57"/>
  <c r="S76" i="123"/>
  <c r="S82" i="123" s="1"/>
  <c r="U82" i="123"/>
  <c r="I66" i="123"/>
  <c r="W20" i="90"/>
  <c r="Z125" i="92"/>
  <c r="N117" i="92"/>
  <c r="W28" i="108"/>
  <c r="W21" i="108"/>
  <c r="U83" i="108"/>
  <c r="S83" i="108"/>
  <c r="U99" i="108"/>
  <c r="S99" i="108"/>
  <c r="N100" i="108"/>
  <c r="Z108" i="108"/>
  <c r="P104" i="108"/>
  <c r="U104" i="108" s="1"/>
  <c r="S104" i="108" s="1"/>
  <c r="P101" i="108"/>
  <c r="U101" i="108" s="1"/>
  <c r="P103" i="108"/>
  <c r="U103" i="108" s="1"/>
  <c r="S103" i="108" s="1"/>
  <c r="P106" i="108"/>
  <c r="U106" i="108" s="1"/>
  <c r="S106" i="108" s="1"/>
  <c r="P102" i="108"/>
  <c r="U102" i="108" s="1"/>
  <c r="S102" i="108" s="1"/>
  <c r="AC23" i="36"/>
  <c r="S108" i="123"/>
  <c r="S114" i="123" s="1"/>
  <c r="U114" i="123"/>
  <c r="Z123" i="123"/>
  <c r="P121" i="123"/>
  <c r="U121" i="123" s="1"/>
  <c r="S121" i="123" s="1"/>
  <c r="N115" i="123"/>
  <c r="P116" i="123"/>
  <c r="U116" i="123" s="1"/>
  <c r="P118" i="123"/>
  <c r="U118" i="123" s="1"/>
  <c r="S118" i="123" s="1"/>
  <c r="P117" i="123"/>
  <c r="U117" i="123" s="1"/>
  <c r="S117" i="123" s="1"/>
  <c r="P120" i="123"/>
  <c r="U120" i="123" s="1"/>
  <c r="S120" i="123" s="1"/>
  <c r="P119" i="123"/>
  <c r="U119" i="123" s="1"/>
  <c r="S119" i="123" s="1"/>
  <c r="W33" i="122"/>
  <c r="W34" i="122" s="1"/>
  <c r="W21" i="91"/>
  <c r="W11" i="86"/>
  <c r="W49" i="86" s="1"/>
  <c r="W36" i="103"/>
  <c r="W14" i="111"/>
  <c r="W11" i="105"/>
  <c r="W10" i="105" s="1"/>
  <c r="W17" i="103"/>
  <c r="AC20" i="36"/>
  <c r="W27" i="90"/>
  <c r="W22" i="85"/>
  <c r="W33" i="77"/>
  <c r="W32" i="77" s="1"/>
  <c r="W13" i="60"/>
  <c r="W14" i="95"/>
  <c r="W13" i="95" s="1"/>
  <c r="W15" i="77"/>
  <c r="W37" i="108"/>
  <c r="W27" i="63"/>
  <c r="W45" i="96"/>
  <c r="S60" i="60"/>
  <c r="S66" i="60" s="1"/>
  <c r="U66" i="60"/>
  <c r="W23" i="92"/>
  <c r="W15" i="85"/>
  <c r="W22" i="116"/>
  <c r="W17" i="116" s="1"/>
  <c r="S84" i="60"/>
  <c r="S90" i="60" s="1"/>
  <c r="U90" i="60"/>
  <c r="S65" i="81"/>
  <c r="S71" i="81" s="1"/>
  <c r="U71" i="81"/>
  <c r="S78" i="92"/>
  <c r="S84" i="92" s="1"/>
  <c r="U84" i="92"/>
  <c r="W24" i="88"/>
  <c r="S94" i="92"/>
  <c r="S100" i="92" s="1"/>
  <c r="U100" i="92"/>
  <c r="S71" i="103"/>
  <c r="S77" i="103" s="1"/>
  <c r="U77" i="103"/>
  <c r="S79" i="68"/>
  <c r="S85" i="68" s="1"/>
  <c r="U85" i="68"/>
  <c r="P107" i="77"/>
  <c r="U107" i="77" s="1"/>
  <c r="S107" i="77" s="1"/>
  <c r="P111" i="77"/>
  <c r="U111" i="77" s="1"/>
  <c r="S111" i="77" s="1"/>
  <c r="Z113" i="77"/>
  <c r="P106" i="77"/>
  <c r="U106" i="77" s="1"/>
  <c r="N105" i="77"/>
  <c r="P108" i="77"/>
  <c r="U108" i="77" s="1"/>
  <c r="S108" i="77" s="1"/>
  <c r="P109" i="77"/>
  <c r="U109" i="77" s="1"/>
  <c r="S109" i="77" s="1"/>
  <c r="P110" i="77"/>
  <c r="U110" i="77" s="1"/>
  <c r="S110" i="77" s="1"/>
  <c r="S75" i="111"/>
  <c r="S81" i="111" s="1"/>
  <c r="U81" i="111"/>
  <c r="S100" i="60"/>
  <c r="S110" i="92"/>
  <c r="S116" i="92" s="1"/>
  <c r="U116" i="92"/>
  <c r="Z101" i="89"/>
  <c r="P94" i="89"/>
  <c r="U94" i="89" s="1"/>
  <c r="N93" i="89"/>
  <c r="P97" i="89"/>
  <c r="U97" i="89" s="1"/>
  <c r="S97" i="89" s="1"/>
  <c r="P98" i="89"/>
  <c r="U98" i="89" s="1"/>
  <c r="S98" i="89" s="1"/>
  <c r="P99" i="89"/>
  <c r="U99" i="89" s="1"/>
  <c r="S99" i="89" s="1"/>
  <c r="P96" i="89"/>
  <c r="U96" i="89" s="1"/>
  <c r="S96" i="89" s="1"/>
  <c r="P95" i="89"/>
  <c r="U95" i="89" s="1"/>
  <c r="S95" i="89" s="1"/>
  <c r="AF112" i="36"/>
  <c r="AC44" i="36"/>
  <c r="S55" i="116"/>
  <c r="S61" i="116" s="1"/>
  <c r="U61" i="116"/>
  <c r="S74" i="77"/>
  <c r="S80" i="77" s="1"/>
  <c r="U80" i="77"/>
  <c r="P94" i="25"/>
  <c r="U94" i="25" s="1"/>
  <c r="N93" i="25"/>
  <c r="P99" i="25"/>
  <c r="U99" i="25" s="1"/>
  <c r="S99" i="25" s="1"/>
  <c r="P98" i="25"/>
  <c r="U98" i="25" s="1"/>
  <c r="S98" i="25" s="1"/>
  <c r="P95" i="25"/>
  <c r="U95" i="25" s="1"/>
  <c r="S95" i="25" s="1"/>
  <c r="Z101" i="25"/>
  <c r="P97" i="25"/>
  <c r="U97" i="25" s="1"/>
  <c r="S97" i="25" s="1"/>
  <c r="P96" i="25"/>
  <c r="U96" i="25" s="1"/>
  <c r="S96" i="25" s="1"/>
  <c r="S83" i="111"/>
  <c r="S89" i="111" s="1"/>
  <c r="U89" i="111"/>
  <c r="W24" i="91"/>
  <c r="S65" i="85"/>
  <c r="S71" i="85" s="1"/>
  <c r="U71" i="85"/>
  <c r="S71" i="116"/>
  <c r="S77" i="116" s="1"/>
  <c r="U77" i="116"/>
  <c r="S73" i="81"/>
  <c r="S79" i="81" s="1"/>
  <c r="U79" i="81"/>
  <c r="S57" i="81"/>
  <c r="S63" i="81" s="1"/>
  <c r="U63" i="81"/>
  <c r="S55" i="68"/>
  <c r="S61" i="68" s="1"/>
  <c r="U61" i="68"/>
  <c r="S71" i="91"/>
  <c r="S77" i="91" s="1"/>
  <c r="U77" i="91"/>
  <c r="U85" i="116"/>
  <c r="S79" i="116"/>
  <c r="S85" i="116" s="1"/>
  <c r="W39" i="92"/>
  <c r="Z112" i="81"/>
  <c r="P109" i="81"/>
  <c r="U109" i="81" s="1"/>
  <c r="S109" i="81" s="1"/>
  <c r="N104" i="81"/>
  <c r="P107" i="81"/>
  <c r="U107" i="81" s="1"/>
  <c r="S107" i="81" s="1"/>
  <c r="P105" i="81"/>
  <c r="U105" i="81" s="1"/>
  <c r="P110" i="81"/>
  <c r="U110" i="81" s="1"/>
  <c r="S110" i="81" s="1"/>
  <c r="P108" i="81"/>
  <c r="U108" i="81" s="1"/>
  <c r="S108" i="81" s="1"/>
  <c r="P106" i="81"/>
  <c r="U106" i="81" s="1"/>
  <c r="S106" i="81" s="1"/>
  <c r="AC41" i="36"/>
  <c r="P122" i="88"/>
  <c r="U122" i="88" s="1"/>
  <c r="S122" i="88" s="1"/>
  <c r="P121" i="88"/>
  <c r="U121" i="88" s="1"/>
  <c r="S121" i="88" s="1"/>
  <c r="N117" i="88"/>
  <c r="Z125" i="88"/>
  <c r="P123" i="88"/>
  <c r="U123" i="88" s="1"/>
  <c r="S123" i="88" s="1"/>
  <c r="P118" i="88"/>
  <c r="U118" i="88" s="1"/>
  <c r="P119" i="88"/>
  <c r="U119" i="88" s="1"/>
  <c r="S119" i="88" s="1"/>
  <c r="P120" i="88"/>
  <c r="U120" i="88" s="1"/>
  <c r="S120" i="88" s="1"/>
  <c r="S80" i="79"/>
  <c r="S102" i="92"/>
  <c r="S108" i="92" s="1"/>
  <c r="U108" i="92"/>
  <c r="W33" i="79"/>
  <c r="U79" i="96"/>
  <c r="S73" i="96"/>
  <c r="S79" i="96" s="1"/>
  <c r="S113" i="96"/>
  <c r="S119" i="96" s="1"/>
  <c r="U119" i="96"/>
  <c r="U79" i="85"/>
  <c r="S73" i="85"/>
  <c r="S79" i="85" s="1"/>
  <c r="S90" i="77"/>
  <c r="S96" i="77" s="1"/>
  <c r="U96" i="77"/>
  <c r="S86" i="25"/>
  <c r="S92" i="25" s="1"/>
  <c r="U92" i="25"/>
  <c r="P94" i="111"/>
  <c r="U94" i="111" s="1"/>
  <c r="S94" i="111" s="1"/>
  <c r="P91" i="111"/>
  <c r="U91" i="111" s="1"/>
  <c r="P93" i="111"/>
  <c r="U93" i="111" s="1"/>
  <c r="S93" i="111" s="1"/>
  <c r="P92" i="111"/>
  <c r="U92" i="111" s="1"/>
  <c r="S92" i="111" s="1"/>
  <c r="P95" i="111"/>
  <c r="U95" i="111" s="1"/>
  <c r="S95" i="111" s="1"/>
  <c r="Z98" i="111"/>
  <c r="N90" i="111"/>
  <c r="P96" i="111"/>
  <c r="U96" i="111" s="1"/>
  <c r="S96" i="111" s="1"/>
  <c r="W27" i="88"/>
  <c r="S101" i="70"/>
  <c r="U107" i="70"/>
  <c r="N108" i="70"/>
  <c r="P109" i="70"/>
  <c r="U109" i="70" s="1"/>
  <c r="P111" i="70"/>
  <c r="U111" i="70" s="1"/>
  <c r="S111" i="70" s="1"/>
  <c r="Z116" i="70"/>
  <c r="P113" i="70"/>
  <c r="U113" i="70" s="1"/>
  <c r="S113" i="70" s="1"/>
  <c r="P114" i="70"/>
  <c r="U114" i="70" s="1"/>
  <c r="S114" i="70" s="1"/>
  <c r="P112" i="70"/>
  <c r="U112" i="70" s="1"/>
  <c r="S112" i="70" s="1"/>
  <c r="P110" i="70"/>
  <c r="U110" i="70" s="1"/>
  <c r="S110" i="70" s="1"/>
  <c r="S59" i="111"/>
  <c r="S65" i="111" s="1"/>
  <c r="U65" i="111"/>
  <c r="S89" i="96"/>
  <c r="S95" i="96" s="1"/>
  <c r="U95" i="96"/>
  <c r="W37" i="82"/>
  <c r="W18" i="60"/>
  <c r="S117" i="63"/>
  <c r="S123" i="63" s="1"/>
  <c r="U123" i="63"/>
  <c r="S89" i="85"/>
  <c r="S95" i="85" s="1"/>
  <c r="U95" i="85"/>
  <c r="W15" i="68"/>
  <c r="W18" i="92"/>
  <c r="S97" i="81"/>
  <c r="S103" i="81" s="1"/>
  <c r="U103" i="81"/>
  <c r="S67" i="111"/>
  <c r="S73" i="111" s="1"/>
  <c r="U73" i="111"/>
  <c r="S81" i="81"/>
  <c r="S87" i="81" s="1"/>
  <c r="U87" i="81"/>
  <c r="P114" i="98"/>
  <c r="U114" i="98" s="1"/>
  <c r="S114" i="98" s="1"/>
  <c r="P112" i="98"/>
  <c r="U112" i="98" s="1"/>
  <c r="S112" i="98" s="1"/>
  <c r="P113" i="98"/>
  <c r="U113" i="98" s="1"/>
  <c r="S113" i="98" s="1"/>
  <c r="P111" i="98"/>
  <c r="U111" i="98" s="1"/>
  <c r="S111" i="98" s="1"/>
  <c r="Z117" i="98"/>
  <c r="P115" i="98"/>
  <c r="U115" i="98" s="1"/>
  <c r="S115" i="98" s="1"/>
  <c r="N109" i="98"/>
  <c r="P110" i="98"/>
  <c r="U110" i="98" s="1"/>
  <c r="S75" i="95"/>
  <c r="S79" i="91"/>
  <c r="S85" i="91" s="1"/>
  <c r="U85" i="91"/>
  <c r="W25" i="74"/>
  <c r="P91" i="68"/>
  <c r="U91" i="68" s="1"/>
  <c r="S91" i="68" s="1"/>
  <c r="P89" i="68"/>
  <c r="U89" i="68" s="1"/>
  <c r="S89" i="68" s="1"/>
  <c r="N86" i="68"/>
  <c r="Z94" i="68"/>
  <c r="P87" i="68"/>
  <c r="U87" i="68" s="1"/>
  <c r="P90" i="68"/>
  <c r="U90" i="68" s="1"/>
  <c r="S90" i="68" s="1"/>
  <c r="P92" i="68"/>
  <c r="U92" i="68" s="1"/>
  <c r="S92" i="68" s="1"/>
  <c r="P88" i="68"/>
  <c r="U88" i="68" s="1"/>
  <c r="S88" i="68" s="1"/>
  <c r="W14" i="96"/>
  <c r="S98" i="77"/>
  <c r="S104" i="77" s="1"/>
  <c r="U104" i="77"/>
  <c r="W21" i="96"/>
  <c r="S77" i="72"/>
  <c r="S83" i="72" s="1"/>
  <c r="U83" i="72"/>
  <c r="P86" i="72"/>
  <c r="U86" i="72" s="1"/>
  <c r="S86" i="72" s="1"/>
  <c r="N84" i="72"/>
  <c r="Z92" i="72"/>
  <c r="P89" i="72"/>
  <c r="U89" i="72" s="1"/>
  <c r="S89" i="72" s="1"/>
  <c r="P88" i="72"/>
  <c r="U88" i="72" s="1"/>
  <c r="S88" i="72" s="1"/>
  <c r="P90" i="72"/>
  <c r="U90" i="72" s="1"/>
  <c r="S90" i="72" s="1"/>
  <c r="P87" i="72"/>
  <c r="U87" i="72" s="1"/>
  <c r="S87" i="72" s="1"/>
  <c r="P85" i="72"/>
  <c r="U85" i="72" s="1"/>
  <c r="S52" i="60"/>
  <c r="S58" i="60" s="1"/>
  <c r="U58" i="60"/>
  <c r="S81" i="96"/>
  <c r="S87" i="96" s="1"/>
  <c r="U87" i="96"/>
  <c r="U111" i="96"/>
  <c r="S105" i="96"/>
  <c r="S111" i="96" s="1"/>
  <c r="S81" i="85"/>
  <c r="S87" i="85" s="1"/>
  <c r="U87" i="85"/>
  <c r="S97" i="85"/>
  <c r="S86" i="89"/>
  <c r="S92" i="89" s="1"/>
  <c r="U92" i="89"/>
  <c r="S87" i="116"/>
  <c r="S55" i="103"/>
  <c r="S61" i="103" s="1"/>
  <c r="U61" i="103"/>
  <c r="S87" i="91"/>
  <c r="S93" i="91" s="1"/>
  <c r="U93" i="91"/>
  <c r="S63" i="68"/>
  <c r="S69" i="68" s="1"/>
  <c r="U69" i="68"/>
  <c r="W40" i="88"/>
  <c r="W22" i="63"/>
  <c r="W32" i="96"/>
  <c r="W12" i="81"/>
  <c r="S86" i="92"/>
  <c r="S92" i="92" s="1"/>
  <c r="U92" i="92"/>
  <c r="L29" i="36"/>
  <c r="S63" i="103"/>
  <c r="S69" i="103" s="1"/>
  <c r="U69" i="103"/>
  <c r="W30" i="60"/>
  <c r="S97" i="96"/>
  <c r="S103" i="96" s="1"/>
  <c r="U103" i="96"/>
  <c r="S110" i="88"/>
  <c r="S116" i="88" s="1"/>
  <c r="U116" i="88"/>
  <c r="U88" i="77"/>
  <c r="S82" i="77"/>
  <c r="S88" i="77" s="1"/>
  <c r="S102" i="98"/>
  <c r="S108" i="98" s="1"/>
  <c r="U108" i="98"/>
  <c r="W11" i="101"/>
  <c r="S92" i="60"/>
  <c r="S98" i="60" s="1"/>
  <c r="U98" i="60"/>
  <c r="S125" i="63"/>
  <c r="W14" i="73" l="1"/>
  <c r="W54" i="73" s="1"/>
  <c r="S108" i="80"/>
  <c r="S114" i="80" s="1"/>
  <c r="U114" i="80"/>
  <c r="P121" i="80"/>
  <c r="U121" i="80" s="1"/>
  <c r="S121" i="80" s="1"/>
  <c r="N115" i="80"/>
  <c r="P116" i="80"/>
  <c r="U116" i="80" s="1"/>
  <c r="P118" i="80"/>
  <c r="U118" i="80" s="1"/>
  <c r="S118" i="80" s="1"/>
  <c r="P117" i="80"/>
  <c r="U117" i="80" s="1"/>
  <c r="S117" i="80" s="1"/>
  <c r="P120" i="80"/>
  <c r="U120" i="80" s="1"/>
  <c r="S120" i="80" s="1"/>
  <c r="P119" i="80"/>
  <c r="U119" i="80" s="1"/>
  <c r="S119" i="80" s="1"/>
  <c r="P117" i="34"/>
  <c r="U117" i="34" s="1"/>
  <c r="S117" i="34" s="1"/>
  <c r="W14" i="66"/>
  <c r="W37" i="66"/>
  <c r="W38" i="66" s="1"/>
  <c r="W36" i="66" s="1"/>
  <c r="W14" i="123"/>
  <c r="S121" i="109"/>
  <c r="U121" i="109"/>
  <c r="N122" i="109"/>
  <c r="Z130" i="109"/>
  <c r="P127" i="109"/>
  <c r="U127" i="109" s="1"/>
  <c r="S127" i="109" s="1"/>
  <c r="P126" i="109"/>
  <c r="U126" i="109" s="1"/>
  <c r="S126" i="109" s="1"/>
  <c r="P128" i="109"/>
  <c r="U128" i="109" s="1"/>
  <c r="S128" i="109" s="1"/>
  <c r="P123" i="109"/>
  <c r="U123" i="109" s="1"/>
  <c r="P125" i="109"/>
  <c r="U125" i="109" s="1"/>
  <c r="S125" i="109" s="1"/>
  <c r="P124" i="109"/>
  <c r="U124" i="109" s="1"/>
  <c r="S124" i="109" s="1"/>
  <c r="W18" i="109"/>
  <c r="W11" i="109" s="1"/>
  <c r="W10" i="109" s="1"/>
  <c r="U93" i="116"/>
  <c r="S93" i="116"/>
  <c r="P99" i="116"/>
  <c r="U99" i="116" s="1"/>
  <c r="S99" i="116" s="1"/>
  <c r="P96" i="116"/>
  <c r="U96" i="116" s="1"/>
  <c r="S96" i="116" s="1"/>
  <c r="P100" i="116"/>
  <c r="U100" i="116" s="1"/>
  <c r="S100" i="116" s="1"/>
  <c r="P98" i="116"/>
  <c r="U98" i="116" s="1"/>
  <c r="S98" i="116" s="1"/>
  <c r="Z102" i="116"/>
  <c r="P97" i="116"/>
  <c r="U97" i="116" s="1"/>
  <c r="S97" i="116" s="1"/>
  <c r="P95" i="116"/>
  <c r="U95" i="116" s="1"/>
  <c r="N94" i="116"/>
  <c r="P113" i="105"/>
  <c r="U113" i="105" s="1"/>
  <c r="S113" i="105" s="1"/>
  <c r="P109" i="105"/>
  <c r="U109" i="105" s="1"/>
  <c r="Z116" i="105"/>
  <c r="N108" i="105"/>
  <c r="P111" i="105"/>
  <c r="U111" i="105" s="1"/>
  <c r="S111" i="105" s="1"/>
  <c r="P114" i="105"/>
  <c r="U114" i="105" s="1"/>
  <c r="S114" i="105" s="1"/>
  <c r="P110" i="105"/>
  <c r="U110" i="105" s="1"/>
  <c r="S110" i="105" s="1"/>
  <c r="P112" i="105"/>
  <c r="U112" i="105" s="1"/>
  <c r="S112" i="105" s="1"/>
  <c r="S101" i="105"/>
  <c r="S107" i="105" s="1"/>
  <c r="U107" i="105"/>
  <c r="S103" i="103"/>
  <c r="S109" i="103" s="1"/>
  <c r="U109" i="103"/>
  <c r="Z118" i="103"/>
  <c r="N110" i="103"/>
  <c r="P113" i="103"/>
  <c r="U113" i="103" s="1"/>
  <c r="S113" i="103" s="1"/>
  <c r="P112" i="103"/>
  <c r="U112" i="103" s="1"/>
  <c r="S112" i="103" s="1"/>
  <c r="P114" i="103"/>
  <c r="U114" i="103" s="1"/>
  <c r="S114" i="103" s="1"/>
  <c r="P115" i="103"/>
  <c r="U115" i="103" s="1"/>
  <c r="S115" i="103" s="1"/>
  <c r="P111" i="103"/>
  <c r="U111" i="103" s="1"/>
  <c r="P116" i="103"/>
  <c r="U116" i="103" s="1"/>
  <c r="S116" i="103" s="1"/>
  <c r="W14" i="98"/>
  <c r="W13" i="98" s="1"/>
  <c r="U127" i="96"/>
  <c r="S127" i="96"/>
  <c r="P132" i="96"/>
  <c r="U132" i="96" s="1"/>
  <c r="S132" i="96" s="1"/>
  <c r="P130" i="96"/>
  <c r="U130" i="96" s="1"/>
  <c r="S130" i="96" s="1"/>
  <c r="N128" i="96"/>
  <c r="P134" i="96"/>
  <c r="U134" i="96" s="1"/>
  <c r="S134" i="96" s="1"/>
  <c r="P131" i="96"/>
  <c r="U131" i="96" s="1"/>
  <c r="S131" i="96" s="1"/>
  <c r="Z136" i="96"/>
  <c r="P133" i="96"/>
  <c r="U133" i="96" s="1"/>
  <c r="S133" i="96" s="1"/>
  <c r="P129" i="96"/>
  <c r="U129" i="96" s="1"/>
  <c r="Y50" i="92"/>
  <c r="A93" i="92"/>
  <c r="W54" i="84"/>
  <c r="W55" i="84" s="1"/>
  <c r="Z102" i="91"/>
  <c r="N94" i="91"/>
  <c r="P99" i="91"/>
  <c r="U99" i="91" s="1"/>
  <c r="S99" i="91" s="1"/>
  <c r="P100" i="91"/>
  <c r="U100" i="91" s="1"/>
  <c r="S100" i="91" s="1"/>
  <c r="P98" i="91"/>
  <c r="U98" i="91" s="1"/>
  <c r="S98" i="91" s="1"/>
  <c r="P95" i="91"/>
  <c r="U95" i="91" s="1"/>
  <c r="P96" i="91"/>
  <c r="U96" i="91" s="1"/>
  <c r="S96" i="91" s="1"/>
  <c r="P97" i="91"/>
  <c r="U97" i="91" s="1"/>
  <c r="S97" i="91" s="1"/>
  <c r="S125" i="86"/>
  <c r="S131" i="86" s="1"/>
  <c r="U131" i="86"/>
  <c r="P137" i="86"/>
  <c r="U137" i="86" s="1"/>
  <c r="S137" i="86" s="1"/>
  <c r="P133" i="86"/>
  <c r="U133" i="86" s="1"/>
  <c r="Z140" i="86"/>
  <c r="P134" i="86"/>
  <c r="U134" i="86" s="1"/>
  <c r="S134" i="86" s="1"/>
  <c r="N132" i="86"/>
  <c r="P136" i="86"/>
  <c r="U136" i="86" s="1"/>
  <c r="S136" i="86" s="1"/>
  <c r="P138" i="86"/>
  <c r="U138" i="86" s="1"/>
  <c r="S138" i="86" s="1"/>
  <c r="P135" i="86"/>
  <c r="U135" i="86" s="1"/>
  <c r="S135" i="86" s="1"/>
  <c r="S108" i="84"/>
  <c r="S114" i="84" s="1"/>
  <c r="U114" i="84"/>
  <c r="P119" i="84"/>
  <c r="U119" i="84" s="1"/>
  <c r="S119" i="84" s="1"/>
  <c r="N115" i="84"/>
  <c r="P120" i="84"/>
  <c r="U120" i="84" s="1"/>
  <c r="S120" i="84" s="1"/>
  <c r="Z123" i="84"/>
  <c r="P116" i="84"/>
  <c r="U116" i="84" s="1"/>
  <c r="P117" i="84"/>
  <c r="U117" i="84" s="1"/>
  <c r="S117" i="84" s="1"/>
  <c r="P118" i="84"/>
  <c r="U118" i="84" s="1"/>
  <c r="S118" i="84" s="1"/>
  <c r="P121" i="84"/>
  <c r="U121" i="84" s="1"/>
  <c r="S121" i="84" s="1"/>
  <c r="Y71" i="36"/>
  <c r="AA71" i="36"/>
  <c r="W16" i="79"/>
  <c r="W15" i="79" s="1"/>
  <c r="W30" i="78"/>
  <c r="W11" i="78" s="1"/>
  <c r="N135" i="78"/>
  <c r="P136" i="78"/>
  <c r="U136" i="78" s="1"/>
  <c r="Z143" i="78"/>
  <c r="P141" i="78"/>
  <c r="U141" i="78" s="1"/>
  <c r="S141" i="78" s="1"/>
  <c r="P140" i="78"/>
  <c r="U140" i="78" s="1"/>
  <c r="S140" i="78" s="1"/>
  <c r="P138" i="78"/>
  <c r="U138" i="78" s="1"/>
  <c r="S138" i="78" s="1"/>
  <c r="P139" i="78"/>
  <c r="U139" i="78" s="1"/>
  <c r="S139" i="78" s="1"/>
  <c r="P137" i="78"/>
  <c r="U137" i="78" s="1"/>
  <c r="S137" i="78" s="1"/>
  <c r="S128" i="78"/>
  <c r="S134" i="78" s="1"/>
  <c r="U134" i="78"/>
  <c r="W14" i="74"/>
  <c r="W13" i="74" s="1"/>
  <c r="P129" i="76"/>
  <c r="U129" i="76" s="1"/>
  <c r="S129" i="76" s="1"/>
  <c r="Z133" i="76"/>
  <c r="P126" i="76"/>
  <c r="U126" i="76" s="1"/>
  <c r="P127" i="76"/>
  <c r="U127" i="76" s="1"/>
  <c r="S127" i="76" s="1"/>
  <c r="P130" i="76"/>
  <c r="U130" i="76" s="1"/>
  <c r="S130" i="76" s="1"/>
  <c r="P131" i="76"/>
  <c r="U131" i="76" s="1"/>
  <c r="S131" i="76" s="1"/>
  <c r="P128" i="76"/>
  <c r="U128" i="76" s="1"/>
  <c r="S128" i="76" s="1"/>
  <c r="N125" i="76"/>
  <c r="S118" i="76"/>
  <c r="S124" i="76" s="1"/>
  <c r="U124" i="76"/>
  <c r="P112" i="75"/>
  <c r="U112" i="75" s="1"/>
  <c r="S112" i="75" s="1"/>
  <c r="P108" i="75"/>
  <c r="U108" i="75" s="1"/>
  <c r="P109" i="75"/>
  <c r="U109" i="75" s="1"/>
  <c r="S109" i="75" s="1"/>
  <c r="Z115" i="75"/>
  <c r="P111" i="75"/>
  <c r="U111" i="75" s="1"/>
  <c r="S111" i="75" s="1"/>
  <c r="N107" i="75"/>
  <c r="P113" i="75"/>
  <c r="U113" i="75" s="1"/>
  <c r="S113" i="75" s="1"/>
  <c r="P110" i="75"/>
  <c r="U110" i="75" s="1"/>
  <c r="S110" i="75" s="1"/>
  <c r="S100" i="75"/>
  <c r="S106" i="75" s="1"/>
  <c r="U106" i="75"/>
  <c r="W11" i="72"/>
  <c r="W38" i="72"/>
  <c r="W36" i="72" s="1"/>
  <c r="S105" i="74"/>
  <c r="S111" i="74" s="1"/>
  <c r="U111" i="74"/>
  <c r="P113" i="74"/>
  <c r="U113" i="74" s="1"/>
  <c r="P114" i="74"/>
  <c r="U114" i="74" s="1"/>
  <c r="S114" i="74" s="1"/>
  <c r="P115" i="74"/>
  <c r="U115" i="74" s="1"/>
  <c r="S115" i="74" s="1"/>
  <c r="P118" i="74"/>
  <c r="U118" i="74" s="1"/>
  <c r="S118" i="74" s="1"/>
  <c r="P116" i="74"/>
  <c r="U116" i="74" s="1"/>
  <c r="S116" i="74" s="1"/>
  <c r="N112" i="74"/>
  <c r="P117" i="74"/>
  <c r="U117" i="74" s="1"/>
  <c r="S117" i="74" s="1"/>
  <c r="Z120" i="74"/>
  <c r="P108" i="73"/>
  <c r="U108" i="73" s="1"/>
  <c r="P113" i="73"/>
  <c r="U113" i="73" s="1"/>
  <c r="S113" i="73" s="1"/>
  <c r="P109" i="73"/>
  <c r="U109" i="73" s="1"/>
  <c r="S109" i="73" s="1"/>
  <c r="P112" i="73"/>
  <c r="U112" i="73" s="1"/>
  <c r="S112" i="73" s="1"/>
  <c r="P110" i="73"/>
  <c r="U110" i="73" s="1"/>
  <c r="S110" i="73" s="1"/>
  <c r="P111" i="73"/>
  <c r="U111" i="73" s="1"/>
  <c r="S111" i="73" s="1"/>
  <c r="Z115" i="73"/>
  <c r="N107" i="73"/>
  <c r="S100" i="73"/>
  <c r="S106" i="73" s="1"/>
  <c r="U106" i="73"/>
  <c r="W12" i="69"/>
  <c r="W48" i="69" s="1"/>
  <c r="W49" i="69" s="1"/>
  <c r="W47" i="69" s="1"/>
  <c r="S88" i="69"/>
  <c r="S94" i="69" s="1"/>
  <c r="U94" i="69"/>
  <c r="Z103" i="69"/>
  <c r="N95" i="69"/>
  <c r="P100" i="69"/>
  <c r="U100" i="69" s="1"/>
  <c r="S100" i="69" s="1"/>
  <c r="P98" i="69"/>
  <c r="U98" i="69" s="1"/>
  <c r="S98" i="69" s="1"/>
  <c r="P96" i="69"/>
  <c r="U96" i="69" s="1"/>
  <c r="P101" i="69"/>
  <c r="U101" i="69" s="1"/>
  <c r="S101" i="69" s="1"/>
  <c r="P99" i="69"/>
  <c r="U99" i="69" s="1"/>
  <c r="S99" i="69" s="1"/>
  <c r="P97" i="69"/>
  <c r="U97" i="69" s="1"/>
  <c r="S97" i="69" s="1"/>
  <c r="W12" i="68"/>
  <c r="W11" i="68" s="1"/>
  <c r="P115" i="34"/>
  <c r="U115" i="34" s="1"/>
  <c r="S115" i="34" s="1"/>
  <c r="W17" i="34"/>
  <c r="W20" i="34"/>
  <c r="P118" i="34"/>
  <c r="U118" i="34" s="1"/>
  <c r="S118" i="34" s="1"/>
  <c r="Z122" i="34"/>
  <c r="N114" i="34"/>
  <c r="P116" i="34"/>
  <c r="U116" i="34" s="1"/>
  <c r="S116" i="34" s="1"/>
  <c r="P120" i="34"/>
  <c r="U120" i="34" s="1"/>
  <c r="S120" i="34" s="1"/>
  <c r="S99" i="34"/>
  <c r="S105" i="34" s="1"/>
  <c r="U105" i="34"/>
  <c r="S107" i="34"/>
  <c r="S113" i="34" s="1"/>
  <c r="U113" i="34"/>
  <c r="W11" i="61"/>
  <c r="S81" i="61"/>
  <c r="S87" i="61" s="1"/>
  <c r="U87" i="61"/>
  <c r="P92" i="61"/>
  <c r="U92" i="61" s="1"/>
  <c r="S92" i="61" s="1"/>
  <c r="P94" i="61"/>
  <c r="U94" i="61" s="1"/>
  <c r="S94" i="61" s="1"/>
  <c r="N88" i="61"/>
  <c r="P93" i="61"/>
  <c r="U93" i="61" s="1"/>
  <c r="S93" i="61" s="1"/>
  <c r="P91" i="61"/>
  <c r="U91" i="61" s="1"/>
  <c r="S91" i="61" s="1"/>
  <c r="P89" i="61"/>
  <c r="U89" i="61" s="1"/>
  <c r="P90" i="61"/>
  <c r="U90" i="61" s="1"/>
  <c r="S90" i="61" s="1"/>
  <c r="Z96" i="61"/>
  <c r="S82" i="60"/>
  <c r="U82" i="60"/>
  <c r="S68" i="60"/>
  <c r="S74" i="60" s="1"/>
  <c r="U74" i="60"/>
  <c r="W12" i="59"/>
  <c r="W11" i="59" s="1"/>
  <c r="S72" i="59"/>
  <c r="S76" i="59" s="1"/>
  <c r="U76" i="59"/>
  <c r="S78" i="59"/>
  <c r="S84" i="59" s="1"/>
  <c r="U84" i="59"/>
  <c r="W12" i="57"/>
  <c r="W11" i="57" s="1"/>
  <c r="W14" i="83"/>
  <c r="W13" i="111"/>
  <c r="W45" i="111" s="1"/>
  <c r="W46" i="111" s="1"/>
  <c r="W44" i="111" s="1"/>
  <c r="W13" i="89"/>
  <c r="W12" i="89" s="1"/>
  <c r="W38" i="62"/>
  <c r="W39" i="62" s="1"/>
  <c r="W37" i="62" s="1"/>
  <c r="W10" i="62" s="1"/>
  <c r="U127" i="57"/>
  <c r="S103" i="85"/>
  <c r="U106" i="60"/>
  <c r="U103" i="85"/>
  <c r="S106" i="60"/>
  <c r="S127" i="57"/>
  <c r="W12" i="75"/>
  <c r="W11" i="75" s="1"/>
  <c r="S102" i="59"/>
  <c r="S108" i="59" s="1"/>
  <c r="U108" i="59"/>
  <c r="Z145" i="79"/>
  <c r="P140" i="79"/>
  <c r="U140" i="79" s="1"/>
  <c r="S140" i="79" s="1"/>
  <c r="N137" i="79"/>
  <c r="P141" i="79"/>
  <c r="U141" i="79" s="1"/>
  <c r="S141" i="79" s="1"/>
  <c r="P142" i="79"/>
  <c r="U142" i="79" s="1"/>
  <c r="S142" i="79" s="1"/>
  <c r="P143" i="79"/>
  <c r="U143" i="79" s="1"/>
  <c r="S143" i="79" s="1"/>
  <c r="P138" i="79"/>
  <c r="U138" i="79" s="1"/>
  <c r="P139" i="79"/>
  <c r="U139" i="79" s="1"/>
  <c r="S139" i="79" s="1"/>
  <c r="P127" i="101"/>
  <c r="U127" i="101" s="1"/>
  <c r="S127" i="101" s="1"/>
  <c r="P125" i="101"/>
  <c r="U125" i="101" s="1"/>
  <c r="S125" i="101" s="1"/>
  <c r="N122" i="101"/>
  <c r="P123" i="101"/>
  <c r="U123" i="101" s="1"/>
  <c r="Z130" i="101"/>
  <c r="P124" i="101"/>
  <c r="U124" i="101" s="1"/>
  <c r="S124" i="101" s="1"/>
  <c r="P128" i="101"/>
  <c r="U128" i="101" s="1"/>
  <c r="S128" i="101" s="1"/>
  <c r="P126" i="101"/>
  <c r="U126" i="101" s="1"/>
  <c r="S126" i="101" s="1"/>
  <c r="S127" i="49"/>
  <c r="S133" i="49" s="1"/>
  <c r="U133" i="49"/>
  <c r="N96" i="121"/>
  <c r="P99" i="121"/>
  <c r="U99" i="121" s="1"/>
  <c r="S99" i="121" s="1"/>
  <c r="Z104" i="121"/>
  <c r="P100" i="121"/>
  <c r="U100" i="121" s="1"/>
  <c r="S100" i="121" s="1"/>
  <c r="P101" i="121"/>
  <c r="U101" i="121" s="1"/>
  <c r="S101" i="121" s="1"/>
  <c r="P97" i="121"/>
  <c r="U97" i="121" s="1"/>
  <c r="P102" i="121"/>
  <c r="U102" i="121" s="1"/>
  <c r="S102" i="121" s="1"/>
  <c r="P98" i="121"/>
  <c r="U98" i="121" s="1"/>
  <c r="S98" i="121" s="1"/>
  <c r="P126" i="102"/>
  <c r="U126" i="102" s="1"/>
  <c r="Z133" i="102"/>
  <c r="P130" i="102"/>
  <c r="U130" i="102" s="1"/>
  <c r="S130" i="102" s="1"/>
  <c r="P128" i="102"/>
  <c r="U128" i="102" s="1"/>
  <c r="S128" i="102" s="1"/>
  <c r="P129" i="102"/>
  <c r="U129" i="102" s="1"/>
  <c r="S129" i="102" s="1"/>
  <c r="N125" i="102"/>
  <c r="P127" i="102"/>
  <c r="U127" i="102" s="1"/>
  <c r="S127" i="102" s="1"/>
  <c r="P131" i="102"/>
  <c r="U131" i="102" s="1"/>
  <c r="S131" i="102" s="1"/>
  <c r="S101" i="66"/>
  <c r="S107" i="66" s="1"/>
  <c r="U107" i="66"/>
  <c r="Z112" i="85"/>
  <c r="N104" i="85"/>
  <c r="P108" i="85"/>
  <c r="U108" i="85" s="1"/>
  <c r="S108" i="85" s="1"/>
  <c r="P107" i="85"/>
  <c r="U107" i="85" s="1"/>
  <c r="S107" i="85" s="1"/>
  <c r="P110" i="85"/>
  <c r="U110" i="85" s="1"/>
  <c r="S110" i="85" s="1"/>
  <c r="P109" i="85"/>
  <c r="U109" i="85" s="1"/>
  <c r="S109" i="85" s="1"/>
  <c r="P106" i="85"/>
  <c r="U106" i="85" s="1"/>
  <c r="S106" i="85" s="1"/>
  <c r="P105" i="85"/>
  <c r="U105" i="85" s="1"/>
  <c r="Z136" i="57"/>
  <c r="N128" i="57"/>
  <c r="P134" i="57"/>
  <c r="U134" i="57" s="1"/>
  <c r="S134" i="57" s="1"/>
  <c r="P133" i="57"/>
  <c r="U133" i="57" s="1"/>
  <c r="S133" i="57" s="1"/>
  <c r="P130" i="57"/>
  <c r="U130" i="57" s="1"/>
  <c r="S130" i="57" s="1"/>
  <c r="P132" i="57"/>
  <c r="U132" i="57" s="1"/>
  <c r="S132" i="57" s="1"/>
  <c r="P129" i="57"/>
  <c r="U129" i="57" s="1"/>
  <c r="P131" i="57"/>
  <c r="U131" i="57" s="1"/>
  <c r="S131" i="57" s="1"/>
  <c r="S115" i="101"/>
  <c r="S121" i="101" s="1"/>
  <c r="U121" i="101"/>
  <c r="P139" i="49"/>
  <c r="U139" i="49" s="1"/>
  <c r="S139" i="49" s="1"/>
  <c r="P138" i="49"/>
  <c r="U138" i="49" s="1"/>
  <c r="S138" i="49" s="1"/>
  <c r="P140" i="49"/>
  <c r="U140" i="49" s="1"/>
  <c r="S140" i="49" s="1"/>
  <c r="N134" i="49"/>
  <c r="P136" i="49"/>
  <c r="U136" i="49" s="1"/>
  <c r="S136" i="49" s="1"/>
  <c r="P137" i="49"/>
  <c r="U137" i="49" s="1"/>
  <c r="S137" i="49" s="1"/>
  <c r="P135" i="49"/>
  <c r="U135" i="49" s="1"/>
  <c r="S118" i="102"/>
  <c r="S124" i="102" s="1"/>
  <c r="U124" i="102"/>
  <c r="P110" i="66"/>
  <c r="U110" i="66" s="1"/>
  <c r="S110" i="66" s="1"/>
  <c r="N108" i="66"/>
  <c r="P114" i="66"/>
  <c r="U114" i="66" s="1"/>
  <c r="S114" i="66" s="1"/>
  <c r="Z116" i="66"/>
  <c r="P112" i="66"/>
  <c r="U112" i="66" s="1"/>
  <c r="S112" i="66" s="1"/>
  <c r="P109" i="66"/>
  <c r="U109" i="66" s="1"/>
  <c r="P111" i="66"/>
  <c r="U111" i="66" s="1"/>
  <c r="S111" i="66" s="1"/>
  <c r="P113" i="66"/>
  <c r="U113" i="66" s="1"/>
  <c r="S113" i="66" s="1"/>
  <c r="Z125" i="62"/>
  <c r="P121" i="62"/>
  <c r="U121" i="62" s="1"/>
  <c r="S121" i="62" s="1"/>
  <c r="P122" i="62"/>
  <c r="U122" i="62" s="1"/>
  <c r="S122" i="62" s="1"/>
  <c r="P120" i="62"/>
  <c r="U120" i="62" s="1"/>
  <c r="S120" i="62" s="1"/>
  <c r="N117" i="62"/>
  <c r="P123" i="62"/>
  <c r="U123" i="62" s="1"/>
  <c r="S123" i="62" s="1"/>
  <c r="P118" i="62"/>
  <c r="U118" i="62" s="1"/>
  <c r="P119" i="62"/>
  <c r="U119" i="62" s="1"/>
  <c r="S119" i="62" s="1"/>
  <c r="S89" i="121"/>
  <c r="S95" i="121" s="1"/>
  <c r="U95" i="121"/>
  <c r="Z115" i="60"/>
  <c r="N107" i="60"/>
  <c r="P112" i="60"/>
  <c r="U112" i="60" s="1"/>
  <c r="S112" i="60" s="1"/>
  <c r="P110" i="60"/>
  <c r="U110" i="60" s="1"/>
  <c r="S110" i="60" s="1"/>
  <c r="P111" i="60"/>
  <c r="U111" i="60" s="1"/>
  <c r="S111" i="60" s="1"/>
  <c r="P109" i="60"/>
  <c r="U109" i="60" s="1"/>
  <c r="S109" i="60" s="1"/>
  <c r="P113" i="60"/>
  <c r="U113" i="60" s="1"/>
  <c r="S113" i="60" s="1"/>
  <c r="P108" i="60"/>
  <c r="U108" i="60" s="1"/>
  <c r="P115" i="59"/>
  <c r="U115" i="59" s="1"/>
  <c r="S115" i="59" s="1"/>
  <c r="N109" i="59"/>
  <c r="P111" i="59"/>
  <c r="U111" i="59" s="1"/>
  <c r="S111" i="59" s="1"/>
  <c r="P112" i="59"/>
  <c r="U112" i="59" s="1"/>
  <c r="S112" i="59" s="1"/>
  <c r="Z117" i="59"/>
  <c r="P110" i="59"/>
  <c r="U110" i="59" s="1"/>
  <c r="P113" i="59"/>
  <c r="U113" i="59" s="1"/>
  <c r="S113" i="59" s="1"/>
  <c r="P114" i="59"/>
  <c r="U114" i="59" s="1"/>
  <c r="S114" i="59" s="1"/>
  <c r="S110" i="62"/>
  <c r="S116" i="62" s="1"/>
  <c r="U116" i="62"/>
  <c r="S130" i="79"/>
  <c r="S136" i="79" s="1"/>
  <c r="U136" i="79"/>
  <c r="W39" i="25"/>
  <c r="W40" i="25" s="1"/>
  <c r="W36" i="80"/>
  <c r="W37" i="80" s="1"/>
  <c r="W35" i="80" s="1"/>
  <c r="W12" i="80" s="1"/>
  <c r="W18" i="82"/>
  <c r="W17" i="82" s="1"/>
  <c r="W12" i="35"/>
  <c r="S131" i="63"/>
  <c r="W33" i="121"/>
  <c r="W9" i="121" s="1"/>
  <c r="W13" i="90"/>
  <c r="W41" i="90" s="1"/>
  <c r="W13" i="73"/>
  <c r="U131" i="63"/>
  <c r="S101" i="95"/>
  <c r="S107" i="95" s="1"/>
  <c r="U107" i="95"/>
  <c r="S88" i="118"/>
  <c r="S94" i="118" s="1"/>
  <c r="U94" i="118"/>
  <c r="S145" i="82"/>
  <c r="S151" i="82" s="1"/>
  <c r="U151" i="82"/>
  <c r="S130" i="83"/>
  <c r="S136" i="83" s="1"/>
  <c r="U136" i="83"/>
  <c r="U124" i="92"/>
  <c r="N95" i="106"/>
  <c r="Z103" i="106"/>
  <c r="P97" i="106"/>
  <c r="U97" i="106" s="1"/>
  <c r="S97" i="106" s="1"/>
  <c r="P96" i="106"/>
  <c r="U96" i="106" s="1"/>
  <c r="P99" i="106"/>
  <c r="U99" i="106" s="1"/>
  <c r="S99" i="106" s="1"/>
  <c r="P98" i="106"/>
  <c r="U98" i="106" s="1"/>
  <c r="S98" i="106" s="1"/>
  <c r="P101" i="106"/>
  <c r="U101" i="106" s="1"/>
  <c r="S101" i="106" s="1"/>
  <c r="P100" i="106"/>
  <c r="U100" i="106" s="1"/>
  <c r="S100" i="106" s="1"/>
  <c r="P139" i="83"/>
  <c r="U139" i="83" s="1"/>
  <c r="S139" i="83" s="1"/>
  <c r="P138" i="83"/>
  <c r="U138" i="83" s="1"/>
  <c r="P141" i="83"/>
  <c r="U141" i="83" s="1"/>
  <c r="S141" i="83" s="1"/>
  <c r="P143" i="83"/>
  <c r="U143" i="83" s="1"/>
  <c r="S143" i="83" s="1"/>
  <c r="N137" i="83"/>
  <c r="Z145" i="83"/>
  <c r="P142" i="83"/>
  <c r="U142" i="83" s="1"/>
  <c r="S142" i="83" s="1"/>
  <c r="P140" i="83"/>
  <c r="U140" i="83" s="1"/>
  <c r="S140" i="83" s="1"/>
  <c r="S124" i="92"/>
  <c r="Z133" i="92"/>
  <c r="N125" i="92"/>
  <c r="P129" i="92"/>
  <c r="U129" i="92" s="1"/>
  <c r="S129" i="92" s="1"/>
  <c r="P126" i="92"/>
  <c r="U126" i="92" s="1"/>
  <c r="P130" i="92"/>
  <c r="U130" i="92" s="1"/>
  <c r="S130" i="92" s="1"/>
  <c r="P127" i="92"/>
  <c r="U127" i="92" s="1"/>
  <c r="S127" i="92" s="1"/>
  <c r="P131" i="92"/>
  <c r="U131" i="92" s="1"/>
  <c r="S131" i="92" s="1"/>
  <c r="P128" i="92"/>
  <c r="U128" i="92" s="1"/>
  <c r="S128" i="92" s="1"/>
  <c r="S87" i="90"/>
  <c r="S93" i="90" s="1"/>
  <c r="U93" i="90"/>
  <c r="Z140" i="63"/>
  <c r="N132" i="63"/>
  <c r="P134" i="63"/>
  <c r="U134" i="63" s="1"/>
  <c r="S134" i="63" s="1"/>
  <c r="P137" i="63"/>
  <c r="U137" i="63" s="1"/>
  <c r="S137" i="63" s="1"/>
  <c r="P138" i="63"/>
  <c r="U138" i="63" s="1"/>
  <c r="S138" i="63" s="1"/>
  <c r="P133" i="63"/>
  <c r="U133" i="63" s="1"/>
  <c r="P135" i="63"/>
  <c r="U135" i="63" s="1"/>
  <c r="S135" i="63" s="1"/>
  <c r="P136" i="63"/>
  <c r="U136" i="63" s="1"/>
  <c r="S136" i="63" s="1"/>
  <c r="P98" i="118"/>
  <c r="U98" i="118" s="1"/>
  <c r="S98" i="118" s="1"/>
  <c r="P97" i="118"/>
  <c r="U97" i="118" s="1"/>
  <c r="S97" i="118" s="1"/>
  <c r="P101" i="118"/>
  <c r="U101" i="118" s="1"/>
  <c r="S101" i="118" s="1"/>
  <c r="Z103" i="118"/>
  <c r="P100" i="118"/>
  <c r="U100" i="118" s="1"/>
  <c r="S100" i="118" s="1"/>
  <c r="P99" i="118"/>
  <c r="U99" i="118" s="1"/>
  <c r="S99" i="118" s="1"/>
  <c r="P96" i="118"/>
  <c r="U96" i="118" s="1"/>
  <c r="N95" i="118"/>
  <c r="S96" i="122"/>
  <c r="S102" i="122" s="1"/>
  <c r="U102" i="122"/>
  <c r="P97" i="90"/>
  <c r="U97" i="90" s="1"/>
  <c r="S97" i="90" s="1"/>
  <c r="Z102" i="90"/>
  <c r="P98" i="90"/>
  <c r="U98" i="90" s="1"/>
  <c r="S98" i="90" s="1"/>
  <c r="P100" i="90"/>
  <c r="U100" i="90" s="1"/>
  <c r="S100" i="90" s="1"/>
  <c r="P99" i="90"/>
  <c r="U99" i="90" s="1"/>
  <c r="S99" i="90" s="1"/>
  <c r="P96" i="90"/>
  <c r="U96" i="90" s="1"/>
  <c r="S96" i="90" s="1"/>
  <c r="N94" i="90"/>
  <c r="P95" i="90"/>
  <c r="U95" i="90" s="1"/>
  <c r="P112" i="95"/>
  <c r="U112" i="95" s="1"/>
  <c r="S112" i="95" s="1"/>
  <c r="P110" i="95"/>
  <c r="U110" i="95" s="1"/>
  <c r="S110" i="95" s="1"/>
  <c r="P113" i="95"/>
  <c r="U113" i="95" s="1"/>
  <c r="S113" i="95" s="1"/>
  <c r="Z116" i="95"/>
  <c r="N108" i="95"/>
  <c r="P111" i="95"/>
  <c r="U111" i="95" s="1"/>
  <c r="S111" i="95" s="1"/>
  <c r="P109" i="95"/>
  <c r="U109" i="95" s="1"/>
  <c r="P114" i="95"/>
  <c r="U114" i="95" s="1"/>
  <c r="S114" i="95" s="1"/>
  <c r="S88" i="106"/>
  <c r="S94" i="106" s="1"/>
  <c r="U94" i="106"/>
  <c r="P156" i="82"/>
  <c r="U156" i="82" s="1"/>
  <c r="S156" i="82" s="1"/>
  <c r="P157" i="82"/>
  <c r="U157" i="82" s="1"/>
  <c r="S157" i="82" s="1"/>
  <c r="N152" i="82"/>
  <c r="P158" i="82"/>
  <c r="U158" i="82" s="1"/>
  <c r="S158" i="82" s="1"/>
  <c r="P155" i="82"/>
  <c r="U155" i="82" s="1"/>
  <c r="S155" i="82" s="1"/>
  <c r="Z160" i="82"/>
  <c r="P154" i="82"/>
  <c r="U154" i="82" s="1"/>
  <c r="S154" i="82" s="1"/>
  <c r="P153" i="82"/>
  <c r="U153" i="82" s="1"/>
  <c r="P107" i="122"/>
  <c r="U107" i="122" s="1"/>
  <c r="S107" i="122" s="1"/>
  <c r="P108" i="122"/>
  <c r="U108" i="122" s="1"/>
  <c r="S108" i="122" s="1"/>
  <c r="P104" i="122"/>
  <c r="U104" i="122" s="1"/>
  <c r="Z111" i="122"/>
  <c r="P105" i="122"/>
  <c r="U105" i="122" s="1"/>
  <c r="S105" i="122" s="1"/>
  <c r="P109" i="122"/>
  <c r="U109" i="122" s="1"/>
  <c r="S109" i="122" s="1"/>
  <c r="N103" i="122"/>
  <c r="P106" i="122"/>
  <c r="U106" i="122" s="1"/>
  <c r="S106" i="122" s="1"/>
  <c r="W18" i="108"/>
  <c r="W17" i="108" s="1"/>
  <c r="S101" i="108"/>
  <c r="S107" i="108" s="1"/>
  <c r="U107" i="108"/>
  <c r="Z116" i="108"/>
  <c r="N108" i="108"/>
  <c r="P113" i="108"/>
  <c r="U113" i="108" s="1"/>
  <c r="S113" i="108" s="1"/>
  <c r="P109" i="108"/>
  <c r="U109" i="108" s="1"/>
  <c r="P110" i="108"/>
  <c r="U110" i="108" s="1"/>
  <c r="S110" i="108" s="1"/>
  <c r="P114" i="108"/>
  <c r="U114" i="108" s="1"/>
  <c r="S114" i="108" s="1"/>
  <c r="P112" i="108"/>
  <c r="U112" i="108" s="1"/>
  <c r="S112" i="108" s="1"/>
  <c r="P111" i="108"/>
  <c r="U111" i="108" s="1"/>
  <c r="S111" i="108" s="1"/>
  <c r="S116" i="123"/>
  <c r="S122" i="123" s="1"/>
  <c r="U122" i="123"/>
  <c r="P126" i="123"/>
  <c r="U126" i="123" s="1"/>
  <c r="S126" i="123" s="1"/>
  <c r="Z131" i="123"/>
  <c r="P127" i="123"/>
  <c r="U127" i="123" s="1"/>
  <c r="S127" i="123" s="1"/>
  <c r="P128" i="123"/>
  <c r="U128" i="123" s="1"/>
  <c r="S128" i="123" s="1"/>
  <c r="P124" i="123"/>
  <c r="U124" i="123" s="1"/>
  <c r="P129" i="123"/>
  <c r="U129" i="123" s="1"/>
  <c r="S129" i="123" s="1"/>
  <c r="N123" i="123"/>
  <c r="P125" i="123"/>
  <c r="U125" i="123" s="1"/>
  <c r="S125" i="123" s="1"/>
  <c r="W32" i="122"/>
  <c r="W9" i="122" s="1"/>
  <c r="W15" i="91"/>
  <c r="W14" i="91" s="1"/>
  <c r="W41" i="95"/>
  <c r="W42" i="95" s="1"/>
  <c r="W40" i="95" s="1"/>
  <c r="W12" i="95" s="1"/>
  <c r="W42" i="76"/>
  <c r="W43" i="76" s="1"/>
  <c r="W41" i="76" s="1"/>
  <c r="W11" i="76" s="1"/>
  <c r="W54" i="102"/>
  <c r="W55" i="102" s="1"/>
  <c r="W53" i="102" s="1"/>
  <c r="W14" i="102" s="1"/>
  <c r="W10" i="86"/>
  <c r="W16" i="103"/>
  <c r="W47" i="103" s="1"/>
  <c r="W48" i="103" s="1"/>
  <c r="W46" i="103" s="1"/>
  <c r="W33" i="105"/>
  <c r="W34" i="105" s="1"/>
  <c r="W32" i="105" s="1"/>
  <c r="W9" i="105" s="1"/>
  <c r="W13" i="118"/>
  <c r="W14" i="77"/>
  <c r="W46" i="77" s="1"/>
  <c r="W47" i="77" s="1"/>
  <c r="W45" i="77" s="1"/>
  <c r="W11" i="49"/>
  <c r="W10" i="49" s="1"/>
  <c r="W12" i="63"/>
  <c r="W53" i="63" s="1"/>
  <c r="W54" i="63" s="1"/>
  <c r="W52" i="63" s="1"/>
  <c r="W14" i="85"/>
  <c r="W51" i="85" s="1"/>
  <c r="W52" i="85" s="1"/>
  <c r="W17" i="92"/>
  <c r="W16" i="92" s="1"/>
  <c r="W12" i="60"/>
  <c r="W11" i="60" s="1"/>
  <c r="W13" i="88"/>
  <c r="W56" i="88" s="1"/>
  <c r="W57" i="88" s="1"/>
  <c r="S110" i="98"/>
  <c r="S116" i="98" s="1"/>
  <c r="U116" i="98"/>
  <c r="N116" i="70"/>
  <c r="P117" i="70"/>
  <c r="U117" i="70" s="1"/>
  <c r="P119" i="70"/>
  <c r="U119" i="70" s="1"/>
  <c r="S119" i="70" s="1"/>
  <c r="P118" i="70"/>
  <c r="U118" i="70" s="1"/>
  <c r="S118" i="70" s="1"/>
  <c r="P122" i="70"/>
  <c r="U122" i="70" s="1"/>
  <c r="S122" i="70" s="1"/>
  <c r="P121" i="70"/>
  <c r="U121" i="70" s="1"/>
  <c r="S121" i="70" s="1"/>
  <c r="Z124" i="70"/>
  <c r="P120" i="70"/>
  <c r="U120" i="70" s="1"/>
  <c r="S120" i="70" s="1"/>
  <c r="S94" i="25"/>
  <c r="S100" i="25" s="1"/>
  <c r="U100" i="25"/>
  <c r="W41" i="70"/>
  <c r="W42" i="70" s="1"/>
  <c r="W40" i="70" s="1"/>
  <c r="W11" i="70"/>
  <c r="W13" i="106"/>
  <c r="W34" i="106"/>
  <c r="W35" i="106" s="1"/>
  <c r="W33" i="106" s="1"/>
  <c r="N94" i="68"/>
  <c r="Z102" i="68"/>
  <c r="P98" i="68"/>
  <c r="U98" i="68" s="1"/>
  <c r="S98" i="68" s="1"/>
  <c r="P100" i="68"/>
  <c r="U100" i="68" s="1"/>
  <c r="S100" i="68" s="1"/>
  <c r="P96" i="68"/>
  <c r="U96" i="68" s="1"/>
  <c r="S96" i="68" s="1"/>
  <c r="P95" i="68"/>
  <c r="U95" i="68" s="1"/>
  <c r="P97" i="68"/>
  <c r="U97" i="68" s="1"/>
  <c r="S97" i="68" s="1"/>
  <c r="P99" i="68"/>
  <c r="U99" i="68" s="1"/>
  <c r="S99" i="68" s="1"/>
  <c r="W50" i="86"/>
  <c r="W48" i="86" s="1"/>
  <c r="AF120" i="36"/>
  <c r="S94" i="89"/>
  <c r="S100" i="89" s="1"/>
  <c r="U100" i="89"/>
  <c r="W35" i="118"/>
  <c r="W33" i="118" s="1"/>
  <c r="S87" i="68"/>
  <c r="S93" i="68" s="1"/>
  <c r="U93" i="68"/>
  <c r="U124" i="88"/>
  <c r="S118" i="88"/>
  <c r="S124" i="88" s="1"/>
  <c r="Z121" i="77"/>
  <c r="P118" i="77"/>
  <c r="U118" i="77" s="1"/>
  <c r="S118" i="77" s="1"/>
  <c r="P115" i="77"/>
  <c r="U115" i="77" s="1"/>
  <c r="S115" i="77" s="1"/>
  <c r="P114" i="77"/>
  <c r="U114" i="77" s="1"/>
  <c r="P116" i="77"/>
  <c r="U116" i="77" s="1"/>
  <c r="S116" i="77" s="1"/>
  <c r="P119" i="77"/>
  <c r="U119" i="77" s="1"/>
  <c r="S119" i="77" s="1"/>
  <c r="P117" i="77"/>
  <c r="U117" i="77" s="1"/>
  <c r="S117" i="77" s="1"/>
  <c r="N113" i="77"/>
  <c r="U91" i="72"/>
  <c r="S85" i="72"/>
  <c r="S91" i="72" s="1"/>
  <c r="W13" i="96"/>
  <c r="S109" i="70"/>
  <c r="S115" i="70" s="1"/>
  <c r="U115" i="70"/>
  <c r="S107" i="70"/>
  <c r="W42" i="61"/>
  <c r="W40" i="61" s="1"/>
  <c r="Z133" i="88"/>
  <c r="P130" i="88"/>
  <c r="U130" i="88" s="1"/>
  <c r="S130" i="88" s="1"/>
  <c r="N125" i="88"/>
  <c r="P127" i="88"/>
  <c r="U127" i="88" s="1"/>
  <c r="S127" i="88" s="1"/>
  <c r="P128" i="88"/>
  <c r="U128" i="88" s="1"/>
  <c r="S128" i="88" s="1"/>
  <c r="P126" i="88"/>
  <c r="U126" i="88" s="1"/>
  <c r="P131" i="88"/>
  <c r="U131" i="88" s="1"/>
  <c r="S131" i="88" s="1"/>
  <c r="P129" i="88"/>
  <c r="U129" i="88" s="1"/>
  <c r="S129" i="88" s="1"/>
  <c r="P105" i="89"/>
  <c r="U105" i="89" s="1"/>
  <c r="S105" i="89" s="1"/>
  <c r="Z109" i="89"/>
  <c r="P107" i="89"/>
  <c r="U107" i="89" s="1"/>
  <c r="S107" i="89" s="1"/>
  <c r="P106" i="89"/>
  <c r="U106" i="89" s="1"/>
  <c r="S106" i="89" s="1"/>
  <c r="P103" i="89"/>
  <c r="U103" i="89" s="1"/>
  <c r="S103" i="89" s="1"/>
  <c r="P104" i="89"/>
  <c r="U104" i="89" s="1"/>
  <c r="S104" i="89" s="1"/>
  <c r="P102" i="89"/>
  <c r="U102" i="89" s="1"/>
  <c r="N101" i="89"/>
  <c r="W16" i="116"/>
  <c r="W41" i="116"/>
  <c r="W42" i="116" s="1"/>
  <c r="W40" i="116" s="1"/>
  <c r="U111" i="81"/>
  <c r="S105" i="81"/>
  <c r="S111" i="81" s="1"/>
  <c r="N112" i="81"/>
  <c r="Z120" i="81"/>
  <c r="P117" i="81"/>
  <c r="U117" i="81" s="1"/>
  <c r="S117" i="81" s="1"/>
  <c r="P114" i="81"/>
  <c r="U114" i="81" s="1"/>
  <c r="S114" i="81" s="1"/>
  <c r="P115" i="81"/>
  <c r="U115" i="81" s="1"/>
  <c r="S115" i="81" s="1"/>
  <c r="P113" i="81"/>
  <c r="U113" i="81" s="1"/>
  <c r="P118" i="81"/>
  <c r="U118" i="81" s="1"/>
  <c r="S118" i="81" s="1"/>
  <c r="P116" i="81"/>
  <c r="U116" i="81" s="1"/>
  <c r="S116" i="81" s="1"/>
  <c r="W39" i="101"/>
  <c r="W10" i="101"/>
  <c r="W11" i="81"/>
  <c r="N92" i="72"/>
  <c r="Z100" i="72"/>
  <c r="P98" i="72"/>
  <c r="U98" i="72" s="1"/>
  <c r="S98" i="72" s="1"/>
  <c r="P94" i="72"/>
  <c r="U94" i="72" s="1"/>
  <c r="S94" i="72" s="1"/>
  <c r="P97" i="72"/>
  <c r="U97" i="72" s="1"/>
  <c r="S97" i="72" s="1"/>
  <c r="P93" i="72"/>
  <c r="U93" i="72" s="1"/>
  <c r="P95" i="72"/>
  <c r="U95" i="72" s="1"/>
  <c r="S95" i="72" s="1"/>
  <c r="P96" i="72"/>
  <c r="U96" i="72" s="1"/>
  <c r="S96" i="72" s="1"/>
  <c r="N117" i="98"/>
  <c r="P118" i="98"/>
  <c r="U118" i="98" s="1"/>
  <c r="P120" i="98"/>
  <c r="U120" i="98" s="1"/>
  <c r="S120" i="98" s="1"/>
  <c r="P119" i="98"/>
  <c r="U119" i="98" s="1"/>
  <c r="S119" i="98" s="1"/>
  <c r="P122" i="98"/>
  <c r="U122" i="98" s="1"/>
  <c r="S122" i="98" s="1"/>
  <c r="P123" i="98"/>
  <c r="U123" i="98" s="1"/>
  <c r="S123" i="98" s="1"/>
  <c r="P121" i="98"/>
  <c r="U121" i="98" s="1"/>
  <c r="S121" i="98" s="1"/>
  <c r="Z125" i="98"/>
  <c r="P102" i="111"/>
  <c r="U102" i="111" s="1"/>
  <c r="S102" i="111" s="1"/>
  <c r="P103" i="111"/>
  <c r="U103" i="111" s="1"/>
  <c r="S103" i="111" s="1"/>
  <c r="Z106" i="111"/>
  <c r="P100" i="111"/>
  <c r="U100" i="111" s="1"/>
  <c r="S100" i="111" s="1"/>
  <c r="N98" i="111"/>
  <c r="P104" i="111"/>
  <c r="U104" i="111" s="1"/>
  <c r="S104" i="111" s="1"/>
  <c r="P101" i="111"/>
  <c r="U101" i="111" s="1"/>
  <c r="S101" i="111" s="1"/>
  <c r="P99" i="111"/>
  <c r="U99" i="111" s="1"/>
  <c r="S91" i="111"/>
  <c r="S97" i="111" s="1"/>
  <c r="U97" i="111"/>
  <c r="P103" i="25"/>
  <c r="U103" i="25" s="1"/>
  <c r="S103" i="25" s="1"/>
  <c r="P104" i="25"/>
  <c r="U104" i="25" s="1"/>
  <c r="S104" i="25" s="1"/>
  <c r="P106" i="25"/>
  <c r="U106" i="25" s="1"/>
  <c r="S106" i="25" s="1"/>
  <c r="N101" i="25"/>
  <c r="P102" i="25"/>
  <c r="U102" i="25" s="1"/>
  <c r="P107" i="25"/>
  <c r="U107" i="25" s="1"/>
  <c r="S107" i="25" s="1"/>
  <c r="Z109" i="25"/>
  <c r="P105" i="25"/>
  <c r="U105" i="25" s="1"/>
  <c r="S105" i="25" s="1"/>
  <c r="S106" i="77"/>
  <c r="S112" i="77" s="1"/>
  <c r="U112" i="77"/>
  <c r="AC29" i="36"/>
  <c r="AC19" i="36" s="1"/>
  <c r="W55" i="73" l="1"/>
  <c r="W53" i="73" s="1"/>
  <c r="S116" i="80"/>
  <c r="S122" i="80" s="1"/>
  <c r="U122" i="80"/>
  <c r="W13" i="66"/>
  <c r="W46" i="123"/>
  <c r="W47" i="123" s="1"/>
  <c r="W45" i="123" s="1"/>
  <c r="W13" i="123"/>
  <c r="S123" i="109"/>
  <c r="S129" i="109" s="1"/>
  <c r="U129" i="109"/>
  <c r="N130" i="109"/>
  <c r="Z138" i="109"/>
  <c r="P131" i="109"/>
  <c r="U131" i="109" s="1"/>
  <c r="P135" i="109"/>
  <c r="U135" i="109" s="1"/>
  <c r="S135" i="109" s="1"/>
  <c r="P134" i="109"/>
  <c r="U134" i="109" s="1"/>
  <c r="S134" i="109" s="1"/>
  <c r="P136" i="109"/>
  <c r="U136" i="109" s="1"/>
  <c r="S136" i="109" s="1"/>
  <c r="P132" i="109"/>
  <c r="U132" i="109" s="1"/>
  <c r="S132" i="109" s="1"/>
  <c r="P133" i="109"/>
  <c r="U133" i="109" s="1"/>
  <c r="S133" i="109" s="1"/>
  <c r="W47" i="109"/>
  <c r="W48" i="109" s="1"/>
  <c r="W46" i="109" s="1"/>
  <c r="W9" i="109" s="1"/>
  <c r="U101" i="116"/>
  <c r="S95" i="116"/>
  <c r="S101" i="116" s="1"/>
  <c r="P107" i="116"/>
  <c r="U107" i="116" s="1"/>
  <c r="S107" i="116" s="1"/>
  <c r="P106" i="116"/>
  <c r="U106" i="116" s="1"/>
  <c r="S106" i="116" s="1"/>
  <c r="P105" i="116"/>
  <c r="U105" i="116" s="1"/>
  <c r="S105" i="116" s="1"/>
  <c r="N102" i="116"/>
  <c r="Z110" i="116"/>
  <c r="P104" i="116"/>
  <c r="U104" i="116" s="1"/>
  <c r="S104" i="116" s="1"/>
  <c r="P103" i="116"/>
  <c r="U103" i="116" s="1"/>
  <c r="P108" i="116"/>
  <c r="U108" i="116" s="1"/>
  <c r="S108" i="116" s="1"/>
  <c r="Z124" i="105"/>
  <c r="P117" i="105"/>
  <c r="U117" i="105" s="1"/>
  <c r="P122" i="105"/>
  <c r="U122" i="105" s="1"/>
  <c r="S122" i="105" s="1"/>
  <c r="P118" i="105"/>
  <c r="U118" i="105" s="1"/>
  <c r="S118" i="105" s="1"/>
  <c r="P119" i="105"/>
  <c r="U119" i="105" s="1"/>
  <c r="S119" i="105" s="1"/>
  <c r="N116" i="105"/>
  <c r="P121" i="105"/>
  <c r="U121" i="105" s="1"/>
  <c r="S121" i="105" s="1"/>
  <c r="P120" i="105"/>
  <c r="U120" i="105" s="1"/>
  <c r="S120" i="105" s="1"/>
  <c r="S109" i="105"/>
  <c r="S115" i="105" s="1"/>
  <c r="U115" i="105"/>
  <c r="P119" i="103"/>
  <c r="U119" i="103" s="1"/>
  <c r="P124" i="103"/>
  <c r="U124" i="103" s="1"/>
  <c r="S124" i="103" s="1"/>
  <c r="N118" i="103"/>
  <c r="P122" i="103"/>
  <c r="U122" i="103" s="1"/>
  <c r="S122" i="103" s="1"/>
  <c r="P123" i="103"/>
  <c r="U123" i="103" s="1"/>
  <c r="S123" i="103" s="1"/>
  <c r="Z126" i="103"/>
  <c r="P121" i="103"/>
  <c r="U121" i="103" s="1"/>
  <c r="S121" i="103" s="1"/>
  <c r="P120" i="103"/>
  <c r="U120" i="103" s="1"/>
  <c r="S120" i="103" s="1"/>
  <c r="S111" i="103"/>
  <c r="S117" i="103" s="1"/>
  <c r="U117" i="103"/>
  <c r="W56" i="98"/>
  <c r="W57" i="98" s="1"/>
  <c r="W55" i="98" s="1"/>
  <c r="W12" i="98" s="1"/>
  <c r="S129" i="96"/>
  <c r="S135" i="96" s="1"/>
  <c r="U135" i="96"/>
  <c r="P142" i="96"/>
  <c r="U142" i="96" s="1"/>
  <c r="S142" i="96" s="1"/>
  <c r="P137" i="96"/>
  <c r="U137" i="96" s="1"/>
  <c r="P139" i="96"/>
  <c r="U139" i="96" s="1"/>
  <c r="S139" i="96" s="1"/>
  <c r="P141" i="96"/>
  <c r="U141" i="96" s="1"/>
  <c r="S141" i="96" s="1"/>
  <c r="Z144" i="96"/>
  <c r="P138" i="96"/>
  <c r="U138" i="96" s="1"/>
  <c r="S138" i="96" s="1"/>
  <c r="N136" i="96"/>
  <c r="P140" i="96"/>
  <c r="U140" i="96" s="1"/>
  <c r="S140" i="96" s="1"/>
  <c r="Y52" i="92"/>
  <c r="A95" i="92"/>
  <c r="W53" i="84"/>
  <c r="W14" i="84" s="1"/>
  <c r="U101" i="91"/>
  <c r="S95" i="91"/>
  <c r="S101" i="91" s="1"/>
  <c r="N102" i="91"/>
  <c r="Z110" i="91"/>
  <c r="P108" i="91"/>
  <c r="U108" i="91" s="1"/>
  <c r="S108" i="91" s="1"/>
  <c r="P104" i="91"/>
  <c r="U104" i="91" s="1"/>
  <c r="S104" i="91" s="1"/>
  <c r="P107" i="91"/>
  <c r="U107" i="91" s="1"/>
  <c r="S107" i="91" s="1"/>
  <c r="P106" i="91"/>
  <c r="U106" i="91" s="1"/>
  <c r="S106" i="91" s="1"/>
  <c r="P105" i="91"/>
  <c r="U105" i="91" s="1"/>
  <c r="S105" i="91" s="1"/>
  <c r="P103" i="91"/>
  <c r="U103" i="91" s="1"/>
  <c r="P144" i="86"/>
  <c r="U144" i="86" s="1"/>
  <c r="S144" i="86" s="1"/>
  <c r="P143" i="86"/>
  <c r="U143" i="86" s="1"/>
  <c r="S143" i="86" s="1"/>
  <c r="P141" i="86"/>
  <c r="U141" i="86" s="1"/>
  <c r="P142" i="86"/>
  <c r="U142" i="86" s="1"/>
  <c r="S142" i="86" s="1"/>
  <c r="P146" i="86"/>
  <c r="U146" i="86" s="1"/>
  <c r="S146" i="86" s="1"/>
  <c r="P145" i="86"/>
  <c r="U145" i="86" s="1"/>
  <c r="S145" i="86" s="1"/>
  <c r="N140" i="86"/>
  <c r="Z148" i="86"/>
  <c r="S133" i="86"/>
  <c r="S139" i="86" s="1"/>
  <c r="U139" i="86"/>
  <c r="S116" i="84"/>
  <c r="S122" i="84" s="1"/>
  <c r="U122" i="84"/>
  <c r="P129" i="84"/>
  <c r="U129" i="84" s="1"/>
  <c r="S129" i="84" s="1"/>
  <c r="P128" i="84"/>
  <c r="U128" i="84" s="1"/>
  <c r="S128" i="84" s="1"/>
  <c r="P126" i="84"/>
  <c r="U126" i="84" s="1"/>
  <c r="S126" i="84" s="1"/>
  <c r="P127" i="84"/>
  <c r="U127" i="84" s="1"/>
  <c r="S127" i="84" s="1"/>
  <c r="P124" i="84"/>
  <c r="U124" i="84" s="1"/>
  <c r="Z131" i="84"/>
  <c r="N123" i="84"/>
  <c r="P125" i="84"/>
  <c r="U125" i="84" s="1"/>
  <c r="S125" i="84" s="1"/>
  <c r="AC57" i="36"/>
  <c r="AC58" i="36" s="1"/>
  <c r="W46" i="79"/>
  <c r="W47" i="79" s="1"/>
  <c r="W45" i="79" s="1"/>
  <c r="W14" i="79" s="1"/>
  <c r="W44" i="78"/>
  <c r="W45" i="78" s="1"/>
  <c r="W43" i="78" s="1"/>
  <c r="W10" i="78"/>
  <c r="N143" i="78"/>
  <c r="Z151" i="78"/>
  <c r="P149" i="78"/>
  <c r="U149" i="78" s="1"/>
  <c r="S149" i="78" s="1"/>
  <c r="P145" i="78"/>
  <c r="U145" i="78" s="1"/>
  <c r="S145" i="78" s="1"/>
  <c r="P147" i="78"/>
  <c r="U147" i="78" s="1"/>
  <c r="S147" i="78" s="1"/>
  <c r="P146" i="78"/>
  <c r="U146" i="78" s="1"/>
  <c r="S146" i="78" s="1"/>
  <c r="P148" i="78"/>
  <c r="U148" i="78" s="1"/>
  <c r="S148" i="78" s="1"/>
  <c r="P144" i="78"/>
  <c r="U144" i="78" s="1"/>
  <c r="S136" i="78"/>
  <c r="S142" i="78" s="1"/>
  <c r="U142" i="78"/>
  <c r="W59" i="74"/>
  <c r="W60" i="74" s="1"/>
  <c r="S126" i="76"/>
  <c r="S132" i="76" s="1"/>
  <c r="U132" i="76"/>
  <c r="N133" i="76"/>
  <c r="P138" i="76"/>
  <c r="U138" i="76" s="1"/>
  <c r="S138" i="76" s="1"/>
  <c r="P134" i="76"/>
  <c r="U134" i="76" s="1"/>
  <c r="P135" i="76"/>
  <c r="U135" i="76" s="1"/>
  <c r="S135" i="76" s="1"/>
  <c r="P137" i="76"/>
  <c r="U137" i="76" s="1"/>
  <c r="S137" i="76" s="1"/>
  <c r="P139" i="76"/>
  <c r="U139" i="76" s="1"/>
  <c r="S139" i="76" s="1"/>
  <c r="Z141" i="76"/>
  <c r="P136" i="76"/>
  <c r="U136" i="76" s="1"/>
  <c r="S136" i="76" s="1"/>
  <c r="P120" i="75"/>
  <c r="U120" i="75" s="1"/>
  <c r="S120" i="75" s="1"/>
  <c r="P117" i="75"/>
  <c r="U117" i="75" s="1"/>
  <c r="S117" i="75" s="1"/>
  <c r="P116" i="75"/>
  <c r="U116" i="75" s="1"/>
  <c r="P121" i="75"/>
  <c r="U121" i="75" s="1"/>
  <c r="S121" i="75" s="1"/>
  <c r="N115" i="75"/>
  <c r="P118" i="75"/>
  <c r="U118" i="75" s="1"/>
  <c r="S118" i="75" s="1"/>
  <c r="Z123" i="75"/>
  <c r="P119" i="75"/>
  <c r="U119" i="75" s="1"/>
  <c r="S119" i="75" s="1"/>
  <c r="S108" i="75"/>
  <c r="S114" i="75" s="1"/>
  <c r="U114" i="75"/>
  <c r="W10" i="72"/>
  <c r="S113" i="74"/>
  <c r="S119" i="74" s="1"/>
  <c r="U119" i="74"/>
  <c r="P126" i="74"/>
  <c r="U126" i="74" s="1"/>
  <c r="S126" i="74" s="1"/>
  <c r="P125" i="74"/>
  <c r="U125" i="74" s="1"/>
  <c r="S125" i="74" s="1"/>
  <c r="N120" i="74"/>
  <c r="P123" i="74"/>
  <c r="U123" i="74" s="1"/>
  <c r="S123" i="74" s="1"/>
  <c r="Z128" i="74"/>
  <c r="P121" i="74"/>
  <c r="U121" i="74" s="1"/>
  <c r="P124" i="74"/>
  <c r="U124" i="74" s="1"/>
  <c r="S124" i="74" s="1"/>
  <c r="P122" i="74"/>
  <c r="U122" i="74" s="1"/>
  <c r="S122" i="74" s="1"/>
  <c r="P117" i="73"/>
  <c r="U117" i="73" s="1"/>
  <c r="S117" i="73" s="1"/>
  <c r="P121" i="73"/>
  <c r="U121" i="73" s="1"/>
  <c r="S121" i="73" s="1"/>
  <c r="P119" i="73"/>
  <c r="U119" i="73" s="1"/>
  <c r="S119" i="73" s="1"/>
  <c r="N115" i="73"/>
  <c r="P118" i="73"/>
  <c r="U118" i="73" s="1"/>
  <c r="S118" i="73" s="1"/>
  <c r="Z123" i="73"/>
  <c r="P116" i="73"/>
  <c r="U116" i="73" s="1"/>
  <c r="P120" i="73"/>
  <c r="U120" i="73" s="1"/>
  <c r="S120" i="73" s="1"/>
  <c r="S108" i="73"/>
  <c r="S114" i="73" s="1"/>
  <c r="U114" i="73"/>
  <c r="W11" i="69"/>
  <c r="W10" i="69" s="1"/>
  <c r="W39" i="68"/>
  <c r="W40" i="68" s="1"/>
  <c r="W38" i="68" s="1"/>
  <c r="W10" i="68" s="1"/>
  <c r="S96" i="69"/>
  <c r="S102" i="69" s="1"/>
  <c r="U102" i="69"/>
  <c r="P106" i="69"/>
  <c r="U106" i="69" s="1"/>
  <c r="S106" i="69" s="1"/>
  <c r="P107" i="69"/>
  <c r="U107" i="69" s="1"/>
  <c r="S107" i="69" s="1"/>
  <c r="Z111" i="69"/>
  <c r="P104" i="69"/>
  <c r="U104" i="69" s="1"/>
  <c r="N103" i="69"/>
  <c r="P108" i="69"/>
  <c r="U108" i="69" s="1"/>
  <c r="S108" i="69" s="1"/>
  <c r="P109" i="69"/>
  <c r="U109" i="69" s="1"/>
  <c r="S109" i="69" s="1"/>
  <c r="P105" i="69"/>
  <c r="U105" i="69" s="1"/>
  <c r="S105" i="69" s="1"/>
  <c r="W12" i="34"/>
  <c r="W11" i="34" s="1"/>
  <c r="U121" i="34"/>
  <c r="S121" i="34"/>
  <c r="P125" i="34"/>
  <c r="U125" i="34" s="1"/>
  <c r="S125" i="34" s="1"/>
  <c r="P123" i="34"/>
  <c r="U123" i="34" s="1"/>
  <c r="P126" i="34"/>
  <c r="U126" i="34" s="1"/>
  <c r="S126" i="34" s="1"/>
  <c r="P128" i="34"/>
  <c r="U128" i="34" s="1"/>
  <c r="S128" i="34" s="1"/>
  <c r="N122" i="34"/>
  <c r="P127" i="34"/>
  <c r="U127" i="34" s="1"/>
  <c r="S127" i="34" s="1"/>
  <c r="P124" i="34"/>
  <c r="U124" i="34" s="1"/>
  <c r="S124" i="34" s="1"/>
  <c r="Z130" i="34"/>
  <c r="W10" i="61"/>
  <c r="N96" i="61"/>
  <c r="P99" i="61"/>
  <c r="U99" i="61" s="1"/>
  <c r="S99" i="61" s="1"/>
  <c r="P100" i="61"/>
  <c r="U100" i="61" s="1"/>
  <c r="S100" i="61" s="1"/>
  <c r="P101" i="61"/>
  <c r="U101" i="61" s="1"/>
  <c r="S101" i="61" s="1"/>
  <c r="Z104" i="61"/>
  <c r="P102" i="61"/>
  <c r="U102" i="61" s="1"/>
  <c r="S102" i="61" s="1"/>
  <c r="P98" i="61"/>
  <c r="U98" i="61" s="1"/>
  <c r="S98" i="61" s="1"/>
  <c r="P97" i="61"/>
  <c r="U97" i="61" s="1"/>
  <c r="S89" i="61"/>
  <c r="S95" i="61" s="1"/>
  <c r="U95" i="61"/>
  <c r="W12" i="90"/>
  <c r="W54" i="59"/>
  <c r="W55" i="59" s="1"/>
  <c r="W53" i="59" s="1"/>
  <c r="W10" i="59" s="1"/>
  <c r="W48" i="89"/>
  <c r="W49" i="89" s="1"/>
  <c r="W57" i="57"/>
  <c r="W58" i="57" s="1"/>
  <c r="W56" i="57" s="1"/>
  <c r="W10" i="57" s="1"/>
  <c r="W12" i="111"/>
  <c r="W11" i="111" s="1"/>
  <c r="W42" i="90"/>
  <c r="W40" i="90" s="1"/>
  <c r="W44" i="75"/>
  <c r="W45" i="75" s="1"/>
  <c r="W43" i="75" s="1"/>
  <c r="W10" i="75" s="1"/>
  <c r="W38" i="25"/>
  <c r="W12" i="25" s="1"/>
  <c r="P122" i="59"/>
  <c r="U122" i="59" s="1"/>
  <c r="S122" i="59" s="1"/>
  <c r="P120" i="59"/>
  <c r="U120" i="59" s="1"/>
  <c r="S120" i="59" s="1"/>
  <c r="P118" i="59"/>
  <c r="U118" i="59" s="1"/>
  <c r="P123" i="59"/>
  <c r="U123" i="59" s="1"/>
  <c r="S123" i="59" s="1"/>
  <c r="P121" i="59"/>
  <c r="U121" i="59" s="1"/>
  <c r="S121" i="59" s="1"/>
  <c r="Z125" i="59"/>
  <c r="N117" i="59"/>
  <c r="P119" i="59"/>
  <c r="U119" i="59" s="1"/>
  <c r="S119" i="59" s="1"/>
  <c r="N115" i="60"/>
  <c r="Z123" i="60"/>
  <c r="P117" i="60"/>
  <c r="U117" i="60" s="1"/>
  <c r="S117" i="60" s="1"/>
  <c r="P120" i="60"/>
  <c r="U120" i="60" s="1"/>
  <c r="S120" i="60" s="1"/>
  <c r="P118" i="60"/>
  <c r="U118" i="60" s="1"/>
  <c r="S118" i="60" s="1"/>
  <c r="P121" i="60"/>
  <c r="U121" i="60" s="1"/>
  <c r="S121" i="60" s="1"/>
  <c r="P119" i="60"/>
  <c r="U119" i="60" s="1"/>
  <c r="S119" i="60" s="1"/>
  <c r="P116" i="60"/>
  <c r="U116" i="60" s="1"/>
  <c r="P118" i="66"/>
  <c r="U118" i="66" s="1"/>
  <c r="S118" i="66" s="1"/>
  <c r="P122" i="66"/>
  <c r="U122" i="66" s="1"/>
  <c r="S122" i="66" s="1"/>
  <c r="N116" i="66"/>
  <c r="P119" i="66"/>
  <c r="U119" i="66" s="1"/>
  <c r="S119" i="66" s="1"/>
  <c r="P120" i="66"/>
  <c r="U120" i="66" s="1"/>
  <c r="S120" i="66" s="1"/>
  <c r="P117" i="66"/>
  <c r="U117" i="66" s="1"/>
  <c r="P121" i="66"/>
  <c r="U121" i="66" s="1"/>
  <c r="S121" i="66" s="1"/>
  <c r="Z144" i="57"/>
  <c r="N136" i="57"/>
  <c r="P142" i="57"/>
  <c r="U142" i="57" s="1"/>
  <c r="S142" i="57" s="1"/>
  <c r="P141" i="57"/>
  <c r="U141" i="57" s="1"/>
  <c r="S141" i="57" s="1"/>
  <c r="P138" i="57"/>
  <c r="U138" i="57" s="1"/>
  <c r="S138" i="57" s="1"/>
  <c r="P139" i="57"/>
  <c r="U139" i="57" s="1"/>
  <c r="S139" i="57" s="1"/>
  <c r="P140" i="57"/>
  <c r="U140" i="57" s="1"/>
  <c r="S140" i="57" s="1"/>
  <c r="P137" i="57"/>
  <c r="U137" i="57" s="1"/>
  <c r="N112" i="85"/>
  <c r="Z120" i="85"/>
  <c r="P115" i="85"/>
  <c r="U115" i="85" s="1"/>
  <c r="S115" i="85" s="1"/>
  <c r="P117" i="85"/>
  <c r="U117" i="85" s="1"/>
  <c r="S117" i="85" s="1"/>
  <c r="P116" i="85"/>
  <c r="U116" i="85" s="1"/>
  <c r="S116" i="85" s="1"/>
  <c r="P118" i="85"/>
  <c r="U118" i="85" s="1"/>
  <c r="S118" i="85" s="1"/>
  <c r="P113" i="85"/>
  <c r="U113" i="85" s="1"/>
  <c r="P114" i="85"/>
  <c r="U114" i="85" s="1"/>
  <c r="S114" i="85" s="1"/>
  <c r="S126" i="102"/>
  <c r="S132" i="102" s="1"/>
  <c r="U132" i="102"/>
  <c r="U114" i="60"/>
  <c r="S108" i="60"/>
  <c r="S114" i="60" s="1"/>
  <c r="S118" i="62"/>
  <c r="S124" i="62" s="1"/>
  <c r="U124" i="62"/>
  <c r="S105" i="85"/>
  <c r="S111" i="85" s="1"/>
  <c r="U111" i="85"/>
  <c r="Z138" i="101"/>
  <c r="P136" i="101"/>
  <c r="U136" i="101" s="1"/>
  <c r="S136" i="101" s="1"/>
  <c r="P135" i="101"/>
  <c r="U135" i="101" s="1"/>
  <c r="S135" i="101" s="1"/>
  <c r="N130" i="101"/>
  <c r="P133" i="101"/>
  <c r="U133" i="101" s="1"/>
  <c r="S133" i="101" s="1"/>
  <c r="P134" i="101"/>
  <c r="U134" i="101" s="1"/>
  <c r="S134" i="101" s="1"/>
  <c r="P131" i="101"/>
  <c r="U131" i="101" s="1"/>
  <c r="P132" i="101"/>
  <c r="U132" i="101" s="1"/>
  <c r="S132" i="101" s="1"/>
  <c r="P146" i="79"/>
  <c r="U146" i="79" s="1"/>
  <c r="P151" i="79"/>
  <c r="U151" i="79" s="1"/>
  <c r="S151" i="79" s="1"/>
  <c r="P147" i="79"/>
  <c r="U147" i="79" s="1"/>
  <c r="S147" i="79" s="1"/>
  <c r="Z153" i="79"/>
  <c r="P149" i="79"/>
  <c r="U149" i="79" s="1"/>
  <c r="S149" i="79" s="1"/>
  <c r="P150" i="79"/>
  <c r="U150" i="79" s="1"/>
  <c r="S150" i="79" s="1"/>
  <c r="N145" i="79"/>
  <c r="P148" i="79"/>
  <c r="U148" i="79" s="1"/>
  <c r="S148" i="79" s="1"/>
  <c r="S109" i="66"/>
  <c r="S115" i="66" s="1"/>
  <c r="U115" i="66"/>
  <c r="S135" i="49"/>
  <c r="S141" i="49" s="1"/>
  <c r="U141" i="49"/>
  <c r="S129" i="57"/>
  <c r="S135" i="57" s="1"/>
  <c r="U135" i="57"/>
  <c r="N104" i="121"/>
  <c r="P108" i="121"/>
  <c r="U108" i="121" s="1"/>
  <c r="S108" i="121" s="1"/>
  <c r="P106" i="121"/>
  <c r="U106" i="121" s="1"/>
  <c r="S106" i="121" s="1"/>
  <c r="P105" i="121"/>
  <c r="U105" i="121" s="1"/>
  <c r="Z112" i="121"/>
  <c r="P110" i="121"/>
  <c r="U110" i="121" s="1"/>
  <c r="S110" i="121" s="1"/>
  <c r="P107" i="121"/>
  <c r="U107" i="121" s="1"/>
  <c r="S107" i="121" s="1"/>
  <c r="P109" i="121"/>
  <c r="U109" i="121" s="1"/>
  <c r="S109" i="121" s="1"/>
  <c r="S123" i="101"/>
  <c r="S129" i="101" s="1"/>
  <c r="U129" i="101"/>
  <c r="S110" i="59"/>
  <c r="S116" i="59" s="1"/>
  <c r="U116" i="59"/>
  <c r="P129" i="62"/>
  <c r="U129" i="62" s="1"/>
  <c r="S129" i="62" s="1"/>
  <c r="P127" i="62"/>
  <c r="U127" i="62" s="1"/>
  <c r="S127" i="62" s="1"/>
  <c r="P126" i="62"/>
  <c r="U126" i="62" s="1"/>
  <c r="P130" i="62"/>
  <c r="U130" i="62" s="1"/>
  <c r="S130" i="62" s="1"/>
  <c r="N125" i="62"/>
  <c r="P131" i="62"/>
  <c r="U131" i="62" s="1"/>
  <c r="S131" i="62" s="1"/>
  <c r="P128" i="62"/>
  <c r="U128" i="62" s="1"/>
  <c r="S128" i="62" s="1"/>
  <c r="Z133" i="62"/>
  <c r="P136" i="102"/>
  <c r="U136" i="102" s="1"/>
  <c r="S136" i="102" s="1"/>
  <c r="P135" i="102"/>
  <c r="U135" i="102" s="1"/>
  <c r="S135" i="102" s="1"/>
  <c r="P139" i="102"/>
  <c r="U139" i="102" s="1"/>
  <c r="S139" i="102" s="1"/>
  <c r="P137" i="102"/>
  <c r="U137" i="102" s="1"/>
  <c r="S137" i="102" s="1"/>
  <c r="P138" i="102"/>
  <c r="U138" i="102" s="1"/>
  <c r="S138" i="102" s="1"/>
  <c r="Z141" i="102"/>
  <c r="N133" i="102"/>
  <c r="P134" i="102"/>
  <c r="U134" i="102" s="1"/>
  <c r="U103" i="121"/>
  <c r="S97" i="121"/>
  <c r="S103" i="121" s="1"/>
  <c r="S138" i="79"/>
  <c r="S144" i="79" s="1"/>
  <c r="U144" i="79"/>
  <c r="W55" i="108"/>
  <c r="W51" i="82"/>
  <c r="W52" i="82" s="1"/>
  <c r="W50" i="82" s="1"/>
  <c r="W16" i="82" s="1"/>
  <c r="W12" i="73"/>
  <c r="N111" i="122"/>
  <c r="Z119" i="122"/>
  <c r="P114" i="122"/>
  <c r="U114" i="122" s="1"/>
  <c r="S114" i="122" s="1"/>
  <c r="P115" i="122"/>
  <c r="U115" i="122" s="1"/>
  <c r="S115" i="122" s="1"/>
  <c r="P112" i="122"/>
  <c r="U112" i="122" s="1"/>
  <c r="P117" i="122"/>
  <c r="U117" i="122" s="1"/>
  <c r="S117" i="122" s="1"/>
  <c r="P116" i="122"/>
  <c r="U116" i="122" s="1"/>
  <c r="S116" i="122" s="1"/>
  <c r="P113" i="122"/>
  <c r="U113" i="122" s="1"/>
  <c r="S113" i="122" s="1"/>
  <c r="Z148" i="63"/>
  <c r="N140" i="63"/>
  <c r="P146" i="63"/>
  <c r="U146" i="63" s="1"/>
  <c r="S146" i="63" s="1"/>
  <c r="P145" i="63"/>
  <c r="U145" i="63" s="1"/>
  <c r="S145" i="63" s="1"/>
  <c r="P142" i="63"/>
  <c r="U142" i="63" s="1"/>
  <c r="S142" i="63" s="1"/>
  <c r="P141" i="63"/>
  <c r="U141" i="63" s="1"/>
  <c r="P143" i="63"/>
  <c r="U143" i="63" s="1"/>
  <c r="S143" i="63" s="1"/>
  <c r="P144" i="63"/>
  <c r="U144" i="63" s="1"/>
  <c r="S144" i="63" s="1"/>
  <c r="P146" i="83"/>
  <c r="U146" i="83" s="1"/>
  <c r="P150" i="83"/>
  <c r="U150" i="83" s="1"/>
  <c r="S150" i="83" s="1"/>
  <c r="P149" i="83"/>
  <c r="U149" i="83" s="1"/>
  <c r="S149" i="83" s="1"/>
  <c r="P148" i="83"/>
  <c r="U148" i="83" s="1"/>
  <c r="S148" i="83" s="1"/>
  <c r="Z153" i="83"/>
  <c r="P147" i="83"/>
  <c r="U147" i="83" s="1"/>
  <c r="S147" i="83" s="1"/>
  <c r="N145" i="83"/>
  <c r="P151" i="83"/>
  <c r="U151" i="83" s="1"/>
  <c r="S151" i="83" s="1"/>
  <c r="S138" i="83"/>
  <c r="S144" i="83" s="1"/>
  <c r="U144" i="83"/>
  <c r="S96" i="106"/>
  <c r="S102" i="106" s="1"/>
  <c r="U102" i="106"/>
  <c r="S104" i="122"/>
  <c r="S110" i="122" s="1"/>
  <c r="U110" i="122"/>
  <c r="S153" i="82"/>
  <c r="S159" i="82" s="1"/>
  <c r="U159" i="82"/>
  <c r="P122" i="95"/>
  <c r="U122" i="95" s="1"/>
  <c r="S122" i="95" s="1"/>
  <c r="P118" i="95"/>
  <c r="U118" i="95" s="1"/>
  <c r="S118" i="95" s="1"/>
  <c r="Z124" i="95"/>
  <c r="P120" i="95"/>
  <c r="U120" i="95" s="1"/>
  <c r="S120" i="95" s="1"/>
  <c r="N116" i="95"/>
  <c r="P117" i="95"/>
  <c r="U117" i="95" s="1"/>
  <c r="P121" i="95"/>
  <c r="U121" i="95" s="1"/>
  <c r="S121" i="95" s="1"/>
  <c r="P119" i="95"/>
  <c r="U119" i="95" s="1"/>
  <c r="S119" i="95" s="1"/>
  <c r="P104" i="90"/>
  <c r="U104" i="90" s="1"/>
  <c r="S104" i="90" s="1"/>
  <c r="P107" i="90"/>
  <c r="U107" i="90" s="1"/>
  <c r="S107" i="90" s="1"/>
  <c r="P108" i="90"/>
  <c r="U108" i="90" s="1"/>
  <c r="S108" i="90" s="1"/>
  <c r="P106" i="90"/>
  <c r="U106" i="90" s="1"/>
  <c r="S106" i="90" s="1"/>
  <c r="P105" i="90"/>
  <c r="U105" i="90" s="1"/>
  <c r="S105" i="90" s="1"/>
  <c r="Z110" i="90"/>
  <c r="N102" i="90"/>
  <c r="P103" i="90"/>
  <c r="U103" i="90" s="1"/>
  <c r="N103" i="118"/>
  <c r="P104" i="118"/>
  <c r="U104" i="118" s="1"/>
  <c r="Z111" i="118"/>
  <c r="P107" i="118"/>
  <c r="U107" i="118" s="1"/>
  <c r="S107" i="118" s="1"/>
  <c r="P108" i="118"/>
  <c r="U108" i="118" s="1"/>
  <c r="S108" i="118" s="1"/>
  <c r="P105" i="118"/>
  <c r="U105" i="118" s="1"/>
  <c r="S105" i="118" s="1"/>
  <c r="P106" i="118"/>
  <c r="U106" i="118" s="1"/>
  <c r="S106" i="118" s="1"/>
  <c r="P109" i="118"/>
  <c r="U109" i="118" s="1"/>
  <c r="S109" i="118" s="1"/>
  <c r="S109" i="95"/>
  <c r="S115" i="95" s="1"/>
  <c r="U115" i="95"/>
  <c r="S96" i="118"/>
  <c r="S102" i="118" s="1"/>
  <c r="U102" i="118"/>
  <c r="Z141" i="92"/>
  <c r="N133" i="92"/>
  <c r="P139" i="92"/>
  <c r="U139" i="92" s="1"/>
  <c r="S139" i="92" s="1"/>
  <c r="P138" i="92"/>
  <c r="U138" i="92" s="1"/>
  <c r="S138" i="92" s="1"/>
  <c r="P134" i="92"/>
  <c r="U134" i="92" s="1"/>
  <c r="P137" i="92"/>
  <c r="U137" i="92" s="1"/>
  <c r="S137" i="92" s="1"/>
  <c r="P135" i="92"/>
  <c r="U135" i="92" s="1"/>
  <c r="S135" i="92" s="1"/>
  <c r="P136" i="92"/>
  <c r="U136" i="92" s="1"/>
  <c r="S136" i="92" s="1"/>
  <c r="Z111" i="106"/>
  <c r="P106" i="106"/>
  <c r="U106" i="106" s="1"/>
  <c r="S106" i="106" s="1"/>
  <c r="N103" i="106"/>
  <c r="P104" i="106"/>
  <c r="U104" i="106" s="1"/>
  <c r="P107" i="106"/>
  <c r="U107" i="106" s="1"/>
  <c r="S107" i="106" s="1"/>
  <c r="P108" i="106"/>
  <c r="U108" i="106" s="1"/>
  <c r="S108" i="106" s="1"/>
  <c r="P105" i="106"/>
  <c r="U105" i="106" s="1"/>
  <c r="S105" i="106" s="1"/>
  <c r="P109" i="106"/>
  <c r="U109" i="106" s="1"/>
  <c r="S109" i="106" s="1"/>
  <c r="Z168" i="82"/>
  <c r="P164" i="82"/>
  <c r="U164" i="82" s="1"/>
  <c r="S164" i="82" s="1"/>
  <c r="P163" i="82"/>
  <c r="U163" i="82" s="1"/>
  <c r="S163" i="82" s="1"/>
  <c r="P166" i="82"/>
  <c r="U166" i="82" s="1"/>
  <c r="S166" i="82" s="1"/>
  <c r="P165" i="82"/>
  <c r="U165" i="82" s="1"/>
  <c r="S165" i="82" s="1"/>
  <c r="P161" i="82"/>
  <c r="U161" i="82" s="1"/>
  <c r="N160" i="82"/>
  <c r="P162" i="82"/>
  <c r="U162" i="82" s="1"/>
  <c r="S162" i="82" s="1"/>
  <c r="S95" i="90"/>
  <c r="S101" i="90" s="1"/>
  <c r="U101" i="90"/>
  <c r="S133" i="63"/>
  <c r="S139" i="63" s="1"/>
  <c r="U139" i="63"/>
  <c r="S126" i="92"/>
  <c r="S132" i="92" s="1"/>
  <c r="U132" i="92"/>
  <c r="S109" i="108"/>
  <c r="S115" i="108" s="1"/>
  <c r="U115" i="108"/>
  <c r="N116" i="108"/>
  <c r="Z124" i="108"/>
  <c r="P119" i="108"/>
  <c r="U119" i="108" s="1"/>
  <c r="S119" i="108" s="1"/>
  <c r="P120" i="108"/>
  <c r="U120" i="108" s="1"/>
  <c r="S120" i="108" s="1"/>
  <c r="P117" i="108"/>
  <c r="U117" i="108" s="1"/>
  <c r="P122" i="108"/>
  <c r="U122" i="108" s="1"/>
  <c r="S122" i="108" s="1"/>
  <c r="P121" i="108"/>
  <c r="U121" i="108" s="1"/>
  <c r="S121" i="108" s="1"/>
  <c r="P118" i="108"/>
  <c r="U118" i="108" s="1"/>
  <c r="S118" i="108" s="1"/>
  <c r="S124" i="123"/>
  <c r="S130" i="123" s="1"/>
  <c r="U130" i="123"/>
  <c r="P132" i="123"/>
  <c r="U132" i="123" s="1"/>
  <c r="Z139" i="123"/>
  <c r="N131" i="123"/>
  <c r="P133" i="123"/>
  <c r="U133" i="123" s="1"/>
  <c r="S133" i="123" s="1"/>
  <c r="P135" i="123"/>
  <c r="U135" i="123" s="1"/>
  <c r="S135" i="123" s="1"/>
  <c r="P134" i="123"/>
  <c r="U134" i="123" s="1"/>
  <c r="S134" i="123" s="1"/>
  <c r="P137" i="123"/>
  <c r="U137" i="123" s="1"/>
  <c r="S137" i="123" s="1"/>
  <c r="P136" i="123"/>
  <c r="U136" i="123" s="1"/>
  <c r="S136" i="123" s="1"/>
  <c r="W41" i="91"/>
  <c r="W42" i="91" s="1"/>
  <c r="W40" i="91" s="1"/>
  <c r="W13" i="91" s="1"/>
  <c r="W15" i="103"/>
  <c r="W14" i="103" s="1"/>
  <c r="W9" i="86"/>
  <c r="W13" i="85"/>
  <c r="W12" i="118"/>
  <c r="W11" i="63"/>
  <c r="W10" i="63" s="1"/>
  <c r="W13" i="77"/>
  <c r="W12" i="77" s="1"/>
  <c r="W64" i="92"/>
  <c r="W65" i="92" s="1"/>
  <c r="W63" i="92" s="1"/>
  <c r="W15" i="92" s="1"/>
  <c r="W12" i="88"/>
  <c r="W44" i="60"/>
  <c r="W45" i="60" s="1"/>
  <c r="W43" i="60" s="1"/>
  <c r="W10" i="60" s="1"/>
  <c r="W12" i="106"/>
  <c r="W10" i="70"/>
  <c r="P111" i="25"/>
  <c r="U111" i="25" s="1"/>
  <c r="S111" i="25" s="1"/>
  <c r="P112" i="25"/>
  <c r="U112" i="25" s="1"/>
  <c r="S112" i="25" s="1"/>
  <c r="P113" i="25"/>
  <c r="U113" i="25" s="1"/>
  <c r="S113" i="25" s="1"/>
  <c r="P115" i="25"/>
  <c r="U115" i="25" s="1"/>
  <c r="S115" i="25" s="1"/>
  <c r="P110" i="25"/>
  <c r="U110" i="25" s="1"/>
  <c r="P114" i="25"/>
  <c r="U114" i="25" s="1"/>
  <c r="S114" i="25" s="1"/>
  <c r="N109" i="25"/>
  <c r="Z117" i="25"/>
  <c r="P106" i="72"/>
  <c r="U106" i="72" s="1"/>
  <c r="S106" i="72" s="1"/>
  <c r="P103" i="72"/>
  <c r="U103" i="72" s="1"/>
  <c r="S103" i="72" s="1"/>
  <c r="P105" i="72"/>
  <c r="U105" i="72" s="1"/>
  <c r="S105" i="72" s="1"/>
  <c r="Z108" i="72"/>
  <c r="P102" i="72"/>
  <c r="U102" i="72" s="1"/>
  <c r="S102" i="72" s="1"/>
  <c r="P101" i="72"/>
  <c r="U101" i="72" s="1"/>
  <c r="N100" i="72"/>
  <c r="P104" i="72"/>
  <c r="U104" i="72" s="1"/>
  <c r="S104" i="72" s="1"/>
  <c r="S99" i="111"/>
  <c r="S105" i="111" s="1"/>
  <c r="U105" i="111"/>
  <c r="P125" i="81"/>
  <c r="U125" i="81" s="1"/>
  <c r="S125" i="81" s="1"/>
  <c r="Z128" i="81"/>
  <c r="P121" i="81"/>
  <c r="U121" i="81" s="1"/>
  <c r="P124" i="81"/>
  <c r="U124" i="81" s="1"/>
  <c r="S124" i="81" s="1"/>
  <c r="P123" i="81"/>
  <c r="U123" i="81" s="1"/>
  <c r="S123" i="81" s="1"/>
  <c r="N120" i="81"/>
  <c r="P122" i="81"/>
  <c r="U122" i="81" s="1"/>
  <c r="S122" i="81" s="1"/>
  <c r="P126" i="81"/>
  <c r="U126" i="81" s="1"/>
  <c r="S126" i="81" s="1"/>
  <c r="W12" i="96"/>
  <c r="W59" i="96"/>
  <c r="W60" i="96" s="1"/>
  <c r="W58" i="96" s="1"/>
  <c r="Z129" i="77"/>
  <c r="N121" i="77"/>
  <c r="P122" i="77"/>
  <c r="U122" i="77" s="1"/>
  <c r="P126" i="77"/>
  <c r="U126" i="77" s="1"/>
  <c r="S126" i="77" s="1"/>
  <c r="P124" i="77"/>
  <c r="U124" i="77" s="1"/>
  <c r="S124" i="77" s="1"/>
  <c r="P125" i="77"/>
  <c r="U125" i="77" s="1"/>
  <c r="S125" i="77" s="1"/>
  <c r="P123" i="77"/>
  <c r="U123" i="77" s="1"/>
  <c r="S123" i="77" s="1"/>
  <c r="P127" i="77"/>
  <c r="U127" i="77" s="1"/>
  <c r="S127" i="77" s="1"/>
  <c r="W50" i="85"/>
  <c r="P129" i="70"/>
  <c r="U129" i="70" s="1"/>
  <c r="S129" i="70" s="1"/>
  <c r="P125" i="70"/>
  <c r="U125" i="70" s="1"/>
  <c r="P126" i="70"/>
  <c r="U126" i="70" s="1"/>
  <c r="S126" i="70" s="1"/>
  <c r="P128" i="70"/>
  <c r="U128" i="70" s="1"/>
  <c r="S128" i="70" s="1"/>
  <c r="P130" i="70"/>
  <c r="U130" i="70" s="1"/>
  <c r="S130" i="70" s="1"/>
  <c r="P127" i="70"/>
  <c r="U127" i="70" s="1"/>
  <c r="S127" i="70" s="1"/>
  <c r="N124" i="70"/>
  <c r="Z132" i="70"/>
  <c r="S93" i="72"/>
  <c r="S99" i="72" s="1"/>
  <c r="U99" i="72"/>
  <c r="S118" i="98"/>
  <c r="S124" i="98" s="1"/>
  <c r="U124" i="98"/>
  <c r="S113" i="81"/>
  <c r="S119" i="81" s="1"/>
  <c r="U119" i="81"/>
  <c r="S126" i="88"/>
  <c r="S132" i="88" s="1"/>
  <c r="U132" i="88"/>
  <c r="S102" i="25"/>
  <c r="S108" i="25" s="1"/>
  <c r="U108" i="25"/>
  <c r="P110" i="111"/>
  <c r="U110" i="111" s="1"/>
  <c r="S110" i="111" s="1"/>
  <c r="Z114" i="111"/>
  <c r="P108" i="111"/>
  <c r="U108" i="111" s="1"/>
  <c r="S108" i="111" s="1"/>
  <c r="P109" i="111"/>
  <c r="U109" i="111" s="1"/>
  <c r="S109" i="111" s="1"/>
  <c r="P111" i="111"/>
  <c r="U111" i="111" s="1"/>
  <c r="S111" i="111" s="1"/>
  <c r="N106" i="111"/>
  <c r="P107" i="111"/>
  <c r="U107" i="111" s="1"/>
  <c r="P112" i="111"/>
  <c r="U112" i="111" s="1"/>
  <c r="S112" i="111" s="1"/>
  <c r="W43" i="81"/>
  <c r="W44" i="81" s="1"/>
  <c r="W42" i="81" s="1"/>
  <c r="W10" i="81"/>
  <c r="P111" i="89"/>
  <c r="U111" i="89" s="1"/>
  <c r="S111" i="89" s="1"/>
  <c r="P115" i="89"/>
  <c r="U115" i="89" s="1"/>
  <c r="S115" i="89" s="1"/>
  <c r="P112" i="89"/>
  <c r="U112" i="89" s="1"/>
  <c r="S112" i="89" s="1"/>
  <c r="Z117" i="89"/>
  <c r="P110" i="89"/>
  <c r="U110" i="89" s="1"/>
  <c r="P114" i="89"/>
  <c r="U114" i="89" s="1"/>
  <c r="S114" i="89" s="1"/>
  <c r="P113" i="89"/>
  <c r="U113" i="89" s="1"/>
  <c r="S113" i="89" s="1"/>
  <c r="N109" i="89"/>
  <c r="P138" i="88"/>
  <c r="U138" i="88" s="1"/>
  <c r="S138" i="88" s="1"/>
  <c r="P136" i="88"/>
  <c r="U136" i="88" s="1"/>
  <c r="S136" i="88" s="1"/>
  <c r="P135" i="88"/>
  <c r="U135" i="88" s="1"/>
  <c r="S135" i="88" s="1"/>
  <c r="P137" i="88"/>
  <c r="U137" i="88" s="1"/>
  <c r="S137" i="88" s="1"/>
  <c r="P139" i="88"/>
  <c r="U139" i="88" s="1"/>
  <c r="S139" i="88" s="1"/>
  <c r="Z141" i="88"/>
  <c r="P134" i="88"/>
  <c r="U134" i="88" s="1"/>
  <c r="N133" i="88"/>
  <c r="U120" i="77"/>
  <c r="S114" i="77"/>
  <c r="S120" i="77" s="1"/>
  <c r="S117" i="70"/>
  <c r="S123" i="70" s="1"/>
  <c r="U123" i="70"/>
  <c r="W40" i="101"/>
  <c r="W38" i="101" s="1"/>
  <c r="W9" i="101" s="1"/>
  <c r="S102" i="89"/>
  <c r="S108" i="89" s="1"/>
  <c r="U108" i="89"/>
  <c r="AC18" i="36"/>
  <c r="P128" i="98"/>
  <c r="U128" i="98" s="1"/>
  <c r="S128" i="98" s="1"/>
  <c r="Z133" i="98"/>
  <c r="P130" i="98"/>
  <c r="U130" i="98" s="1"/>
  <c r="S130" i="98" s="1"/>
  <c r="N125" i="98"/>
  <c r="P129" i="98"/>
  <c r="U129" i="98" s="1"/>
  <c r="S129" i="98" s="1"/>
  <c r="P127" i="98"/>
  <c r="U127" i="98" s="1"/>
  <c r="S127" i="98" s="1"/>
  <c r="P126" i="98"/>
  <c r="U126" i="98" s="1"/>
  <c r="P131" i="98"/>
  <c r="U131" i="98" s="1"/>
  <c r="S131" i="98" s="1"/>
  <c r="W15" i="116"/>
  <c r="AF128" i="36"/>
  <c r="S95" i="68"/>
  <c r="S101" i="68" s="1"/>
  <c r="U101" i="68"/>
  <c r="P108" i="68"/>
  <c r="U108" i="68" s="1"/>
  <c r="S108" i="68" s="1"/>
  <c r="P104" i="68"/>
  <c r="U104" i="68" s="1"/>
  <c r="S104" i="68" s="1"/>
  <c r="P103" i="68"/>
  <c r="U103" i="68" s="1"/>
  <c r="N102" i="68"/>
  <c r="P105" i="68"/>
  <c r="U105" i="68" s="1"/>
  <c r="S105" i="68" s="1"/>
  <c r="P106" i="68"/>
  <c r="U106" i="68" s="1"/>
  <c r="S106" i="68" s="1"/>
  <c r="P107" i="68"/>
  <c r="U107" i="68" s="1"/>
  <c r="S107" i="68" s="1"/>
  <c r="Z110" i="68"/>
  <c r="W55" i="88"/>
  <c r="W12" i="123" l="1"/>
  <c r="P144" i="109"/>
  <c r="U144" i="109" s="1"/>
  <c r="S144" i="109" s="1"/>
  <c r="P141" i="109"/>
  <c r="U141" i="109" s="1"/>
  <c r="S141" i="109" s="1"/>
  <c r="P139" i="109"/>
  <c r="U139" i="109" s="1"/>
  <c r="P142" i="109"/>
  <c r="U142" i="109" s="1"/>
  <c r="S142" i="109" s="1"/>
  <c r="P140" i="109"/>
  <c r="U140" i="109" s="1"/>
  <c r="S140" i="109" s="1"/>
  <c r="Z146" i="109"/>
  <c r="P143" i="109"/>
  <c r="U143" i="109" s="1"/>
  <c r="S143" i="109" s="1"/>
  <c r="N138" i="109"/>
  <c r="U137" i="109"/>
  <c r="S131" i="109"/>
  <c r="S137" i="109" s="1"/>
  <c r="P116" i="116"/>
  <c r="U116" i="116" s="1"/>
  <c r="S116" i="116" s="1"/>
  <c r="P113" i="116"/>
  <c r="U113" i="116" s="1"/>
  <c r="S113" i="116" s="1"/>
  <c r="N110" i="116"/>
  <c r="P114" i="116"/>
  <c r="U114" i="116" s="1"/>
  <c r="S114" i="116" s="1"/>
  <c r="Z118" i="116"/>
  <c r="P115" i="116"/>
  <c r="U115" i="116" s="1"/>
  <c r="S115" i="116" s="1"/>
  <c r="P112" i="116"/>
  <c r="U112" i="116" s="1"/>
  <c r="S112" i="116" s="1"/>
  <c r="P111" i="116"/>
  <c r="U111" i="116" s="1"/>
  <c r="U109" i="116"/>
  <c r="S103" i="116"/>
  <c r="S109" i="116" s="1"/>
  <c r="W56" i="108"/>
  <c r="W54" i="108" s="1"/>
  <c r="S117" i="105"/>
  <c r="S123" i="105" s="1"/>
  <c r="U123" i="105"/>
  <c r="P127" i="105"/>
  <c r="U127" i="105" s="1"/>
  <c r="S127" i="105" s="1"/>
  <c r="N124" i="105"/>
  <c r="P126" i="105"/>
  <c r="U126" i="105" s="1"/>
  <c r="S126" i="105" s="1"/>
  <c r="P128" i="105"/>
  <c r="U128" i="105" s="1"/>
  <c r="S128" i="105" s="1"/>
  <c r="P130" i="105"/>
  <c r="U130" i="105" s="1"/>
  <c r="S130" i="105" s="1"/>
  <c r="Z132" i="105"/>
  <c r="P125" i="105"/>
  <c r="U125" i="105" s="1"/>
  <c r="P129" i="105"/>
  <c r="U129" i="105" s="1"/>
  <c r="S129" i="105" s="1"/>
  <c r="P127" i="103"/>
  <c r="U127" i="103" s="1"/>
  <c r="P132" i="103"/>
  <c r="U132" i="103" s="1"/>
  <c r="S132" i="103" s="1"/>
  <c r="Z134" i="103"/>
  <c r="P130" i="103"/>
  <c r="U130" i="103" s="1"/>
  <c r="S130" i="103" s="1"/>
  <c r="N126" i="103"/>
  <c r="P131" i="103"/>
  <c r="U131" i="103" s="1"/>
  <c r="S131" i="103" s="1"/>
  <c r="P128" i="103"/>
  <c r="U128" i="103" s="1"/>
  <c r="S128" i="103" s="1"/>
  <c r="P129" i="103"/>
  <c r="U129" i="103" s="1"/>
  <c r="S129" i="103" s="1"/>
  <c r="S119" i="103"/>
  <c r="S125" i="103" s="1"/>
  <c r="U125" i="103"/>
  <c r="U143" i="96"/>
  <c r="S137" i="96"/>
  <c r="S143" i="96" s="1"/>
  <c r="P146" i="96"/>
  <c r="U146" i="96" s="1"/>
  <c r="S146" i="96" s="1"/>
  <c r="P145" i="96"/>
  <c r="U145" i="96" s="1"/>
  <c r="P147" i="96"/>
  <c r="U147" i="96" s="1"/>
  <c r="S147" i="96" s="1"/>
  <c r="P148" i="96"/>
  <c r="U148" i="96" s="1"/>
  <c r="S148" i="96" s="1"/>
  <c r="P149" i="96"/>
  <c r="U149" i="96" s="1"/>
  <c r="S149" i="96" s="1"/>
  <c r="Z152" i="96"/>
  <c r="P150" i="96"/>
  <c r="U150" i="96" s="1"/>
  <c r="S150" i="96" s="1"/>
  <c r="N144" i="96"/>
  <c r="Y54" i="92"/>
  <c r="A96" i="92"/>
  <c r="N110" i="91"/>
  <c r="P116" i="91"/>
  <c r="U116" i="91" s="1"/>
  <c r="S116" i="91" s="1"/>
  <c r="Z118" i="91"/>
  <c r="P115" i="91"/>
  <c r="U115" i="91" s="1"/>
  <c r="S115" i="91" s="1"/>
  <c r="P112" i="91"/>
  <c r="U112" i="91" s="1"/>
  <c r="S112" i="91" s="1"/>
  <c r="P111" i="91"/>
  <c r="U111" i="91" s="1"/>
  <c r="P113" i="91"/>
  <c r="U113" i="91" s="1"/>
  <c r="S113" i="91" s="1"/>
  <c r="P114" i="91"/>
  <c r="U114" i="91" s="1"/>
  <c r="S114" i="91" s="1"/>
  <c r="S103" i="91"/>
  <c r="S109" i="91" s="1"/>
  <c r="U109" i="91"/>
  <c r="P150" i="86"/>
  <c r="U150" i="86" s="1"/>
  <c r="S150" i="86" s="1"/>
  <c r="N148" i="86"/>
  <c r="Z156" i="86"/>
  <c r="P152" i="86"/>
  <c r="U152" i="86" s="1"/>
  <c r="S152" i="86" s="1"/>
  <c r="P149" i="86"/>
  <c r="U149" i="86" s="1"/>
  <c r="P154" i="86"/>
  <c r="U154" i="86" s="1"/>
  <c r="S154" i="86" s="1"/>
  <c r="P153" i="86"/>
  <c r="U153" i="86" s="1"/>
  <c r="S153" i="86" s="1"/>
  <c r="P151" i="86"/>
  <c r="U151" i="86" s="1"/>
  <c r="S151" i="86" s="1"/>
  <c r="S141" i="86"/>
  <c r="S147" i="86" s="1"/>
  <c r="U147" i="86"/>
  <c r="P133" i="84"/>
  <c r="U133" i="84" s="1"/>
  <c r="S133" i="84" s="1"/>
  <c r="P134" i="84"/>
  <c r="U134" i="84" s="1"/>
  <c r="S134" i="84" s="1"/>
  <c r="P137" i="84"/>
  <c r="U137" i="84" s="1"/>
  <c r="S137" i="84" s="1"/>
  <c r="Z139" i="84"/>
  <c r="P136" i="84"/>
  <c r="U136" i="84" s="1"/>
  <c r="S136" i="84" s="1"/>
  <c r="P132" i="84"/>
  <c r="U132" i="84" s="1"/>
  <c r="P135" i="84"/>
  <c r="U135" i="84" s="1"/>
  <c r="S135" i="84" s="1"/>
  <c r="N131" i="84"/>
  <c r="S124" i="84"/>
  <c r="S130" i="84" s="1"/>
  <c r="U130" i="84"/>
  <c r="W58" i="74"/>
  <c r="W12" i="74" s="1"/>
  <c r="W9" i="78"/>
  <c r="S144" i="78"/>
  <c r="S150" i="78" s="1"/>
  <c r="U150" i="78"/>
  <c r="P156" i="78"/>
  <c r="U156" i="78" s="1"/>
  <c r="S156" i="78" s="1"/>
  <c r="P154" i="78"/>
  <c r="U154" i="78" s="1"/>
  <c r="S154" i="78" s="1"/>
  <c r="P157" i="78"/>
  <c r="U157" i="78" s="1"/>
  <c r="S157" i="78" s="1"/>
  <c r="Z159" i="78"/>
  <c r="N151" i="78"/>
  <c r="P152" i="78"/>
  <c r="U152" i="78" s="1"/>
  <c r="P153" i="78"/>
  <c r="U153" i="78" s="1"/>
  <c r="S153" i="78" s="1"/>
  <c r="P155" i="78"/>
  <c r="U155" i="78" s="1"/>
  <c r="S155" i="78" s="1"/>
  <c r="Z149" i="76"/>
  <c r="P147" i="76"/>
  <c r="U147" i="76" s="1"/>
  <c r="S147" i="76" s="1"/>
  <c r="N141" i="76"/>
  <c r="P142" i="76"/>
  <c r="U142" i="76" s="1"/>
  <c r="P146" i="76"/>
  <c r="U146" i="76" s="1"/>
  <c r="S146" i="76" s="1"/>
  <c r="P145" i="76"/>
  <c r="U145" i="76" s="1"/>
  <c r="S145" i="76" s="1"/>
  <c r="P144" i="76"/>
  <c r="U144" i="76" s="1"/>
  <c r="S144" i="76" s="1"/>
  <c r="P143" i="76"/>
  <c r="U143" i="76" s="1"/>
  <c r="S143" i="76" s="1"/>
  <c r="S134" i="76"/>
  <c r="S140" i="76" s="1"/>
  <c r="U140" i="76"/>
  <c r="Z131" i="75"/>
  <c r="P127" i="75"/>
  <c r="U127" i="75" s="1"/>
  <c r="S127" i="75" s="1"/>
  <c r="N123" i="75"/>
  <c r="P128" i="75"/>
  <c r="U128" i="75" s="1"/>
  <c r="S128" i="75" s="1"/>
  <c r="P125" i="75"/>
  <c r="U125" i="75" s="1"/>
  <c r="S125" i="75" s="1"/>
  <c r="P124" i="75"/>
  <c r="U124" i="75" s="1"/>
  <c r="P126" i="75"/>
  <c r="U126" i="75" s="1"/>
  <c r="S126" i="75" s="1"/>
  <c r="P129" i="75"/>
  <c r="U129" i="75" s="1"/>
  <c r="S129" i="75" s="1"/>
  <c r="S116" i="75"/>
  <c r="S122" i="75" s="1"/>
  <c r="U122" i="75"/>
  <c r="U127" i="74"/>
  <c r="S121" i="74"/>
  <c r="S127" i="74" s="1"/>
  <c r="N128" i="74"/>
  <c r="P129" i="74"/>
  <c r="U129" i="74" s="1"/>
  <c r="Z136" i="74"/>
  <c r="P131" i="74"/>
  <c r="U131" i="74" s="1"/>
  <c r="S131" i="74" s="1"/>
  <c r="P132" i="74"/>
  <c r="U132" i="74" s="1"/>
  <c r="S132" i="74" s="1"/>
  <c r="P130" i="74"/>
  <c r="U130" i="74" s="1"/>
  <c r="S130" i="74" s="1"/>
  <c r="P134" i="74"/>
  <c r="U134" i="74" s="1"/>
  <c r="S134" i="74" s="1"/>
  <c r="P133" i="74"/>
  <c r="U133" i="74" s="1"/>
  <c r="S133" i="74" s="1"/>
  <c r="U122" i="73"/>
  <c r="S116" i="73"/>
  <c r="S122" i="73" s="1"/>
  <c r="P128" i="73"/>
  <c r="U128" i="73" s="1"/>
  <c r="S128" i="73" s="1"/>
  <c r="P129" i="73"/>
  <c r="U129" i="73" s="1"/>
  <c r="S129" i="73" s="1"/>
  <c r="P125" i="73"/>
  <c r="U125" i="73" s="1"/>
  <c r="S125" i="73" s="1"/>
  <c r="P124" i="73"/>
  <c r="U124" i="73" s="1"/>
  <c r="N123" i="73"/>
  <c r="P126" i="73"/>
  <c r="U126" i="73" s="1"/>
  <c r="S126" i="73" s="1"/>
  <c r="Z131" i="73"/>
  <c r="P127" i="73"/>
  <c r="U127" i="73" s="1"/>
  <c r="S127" i="73" s="1"/>
  <c r="S104" i="69"/>
  <c r="S110" i="69" s="1"/>
  <c r="U110" i="69"/>
  <c r="P116" i="69"/>
  <c r="U116" i="69" s="1"/>
  <c r="S116" i="69" s="1"/>
  <c r="P117" i="69"/>
  <c r="U117" i="69" s="1"/>
  <c r="S117" i="69" s="1"/>
  <c r="P114" i="69"/>
  <c r="U114" i="69" s="1"/>
  <c r="S114" i="69" s="1"/>
  <c r="N111" i="69"/>
  <c r="P113" i="69"/>
  <c r="U113" i="69" s="1"/>
  <c r="S113" i="69" s="1"/>
  <c r="Z119" i="69"/>
  <c r="P115" i="69"/>
  <c r="U115" i="69" s="1"/>
  <c r="S115" i="69" s="1"/>
  <c r="P112" i="69"/>
  <c r="U112" i="69" s="1"/>
  <c r="W47" i="34"/>
  <c r="W48" i="34" s="1"/>
  <c r="W46" i="34" s="1"/>
  <c r="W10" i="34" s="1"/>
  <c r="P136" i="34"/>
  <c r="U136" i="34" s="1"/>
  <c r="S136" i="34" s="1"/>
  <c r="P135" i="34"/>
  <c r="U135" i="34" s="1"/>
  <c r="S135" i="34" s="1"/>
  <c r="N130" i="34"/>
  <c r="Z138" i="34"/>
  <c r="P134" i="34"/>
  <c r="U134" i="34" s="1"/>
  <c r="S134" i="34" s="1"/>
  <c r="P132" i="34"/>
  <c r="U132" i="34" s="1"/>
  <c r="S132" i="34" s="1"/>
  <c r="P131" i="34"/>
  <c r="U131" i="34" s="1"/>
  <c r="P133" i="34"/>
  <c r="U133" i="34" s="1"/>
  <c r="S133" i="34" s="1"/>
  <c r="U129" i="34"/>
  <c r="S123" i="34"/>
  <c r="S129" i="34" s="1"/>
  <c r="S97" i="61"/>
  <c r="S103" i="61" s="1"/>
  <c r="U103" i="61"/>
  <c r="P110" i="61"/>
  <c r="U110" i="61" s="1"/>
  <c r="S110" i="61" s="1"/>
  <c r="P106" i="61"/>
  <c r="U106" i="61" s="1"/>
  <c r="S106" i="61" s="1"/>
  <c r="P105" i="61"/>
  <c r="U105" i="61" s="1"/>
  <c r="N104" i="61"/>
  <c r="P108" i="61"/>
  <c r="U108" i="61" s="1"/>
  <c r="S108" i="61" s="1"/>
  <c r="Z112" i="61"/>
  <c r="P109" i="61"/>
  <c r="U109" i="61" s="1"/>
  <c r="S109" i="61" s="1"/>
  <c r="P107" i="61"/>
  <c r="U107" i="61" s="1"/>
  <c r="S107" i="61" s="1"/>
  <c r="W11" i="90"/>
  <c r="W47" i="89"/>
  <c r="W11" i="89" s="1"/>
  <c r="P117" i="121"/>
  <c r="U117" i="121" s="1"/>
  <c r="S117" i="121" s="1"/>
  <c r="Z120" i="121"/>
  <c r="P113" i="121"/>
  <c r="U113" i="121" s="1"/>
  <c r="P115" i="121"/>
  <c r="U115" i="121" s="1"/>
  <c r="S115" i="121" s="1"/>
  <c r="P118" i="121"/>
  <c r="U118" i="121" s="1"/>
  <c r="S118" i="121" s="1"/>
  <c r="P116" i="121"/>
  <c r="U116" i="121" s="1"/>
  <c r="S116" i="121" s="1"/>
  <c r="N112" i="121"/>
  <c r="P114" i="121"/>
  <c r="U114" i="121" s="1"/>
  <c r="S114" i="121" s="1"/>
  <c r="S131" i="101"/>
  <c r="S137" i="101" s="1"/>
  <c r="U137" i="101"/>
  <c r="Z128" i="85"/>
  <c r="N120" i="85"/>
  <c r="P124" i="85"/>
  <c r="U124" i="85" s="1"/>
  <c r="S124" i="85" s="1"/>
  <c r="P126" i="85"/>
  <c r="U126" i="85" s="1"/>
  <c r="S126" i="85" s="1"/>
  <c r="P121" i="85"/>
  <c r="U121" i="85" s="1"/>
  <c r="P125" i="85"/>
  <c r="U125" i="85" s="1"/>
  <c r="S125" i="85" s="1"/>
  <c r="P122" i="85"/>
  <c r="U122" i="85" s="1"/>
  <c r="S122" i="85" s="1"/>
  <c r="P123" i="85"/>
  <c r="U123" i="85" s="1"/>
  <c r="S123" i="85" s="1"/>
  <c r="S118" i="59"/>
  <c r="S124" i="59" s="1"/>
  <c r="U124" i="59"/>
  <c r="P143" i="102"/>
  <c r="U143" i="102" s="1"/>
  <c r="S143" i="102" s="1"/>
  <c r="P144" i="102"/>
  <c r="U144" i="102" s="1"/>
  <c r="S144" i="102" s="1"/>
  <c r="N141" i="102"/>
  <c r="P145" i="102"/>
  <c r="U145" i="102" s="1"/>
  <c r="S145" i="102" s="1"/>
  <c r="P142" i="102"/>
  <c r="U142" i="102" s="1"/>
  <c r="P146" i="102"/>
  <c r="U146" i="102" s="1"/>
  <c r="S146" i="102" s="1"/>
  <c r="P147" i="102"/>
  <c r="U147" i="102" s="1"/>
  <c r="S147" i="102" s="1"/>
  <c r="Z149" i="102"/>
  <c r="P136" i="62"/>
  <c r="U136" i="62" s="1"/>
  <c r="S136" i="62" s="1"/>
  <c r="P135" i="62"/>
  <c r="U135" i="62" s="1"/>
  <c r="S135" i="62" s="1"/>
  <c r="P138" i="62"/>
  <c r="U138" i="62" s="1"/>
  <c r="S138" i="62" s="1"/>
  <c r="P139" i="62"/>
  <c r="U139" i="62" s="1"/>
  <c r="S139" i="62" s="1"/>
  <c r="Z141" i="62"/>
  <c r="P134" i="62"/>
  <c r="U134" i="62" s="1"/>
  <c r="N133" i="62"/>
  <c r="P137" i="62"/>
  <c r="U137" i="62" s="1"/>
  <c r="S137" i="62" s="1"/>
  <c r="U111" i="121"/>
  <c r="S105" i="121"/>
  <c r="S111" i="121" s="1"/>
  <c r="N144" i="57"/>
  <c r="Z152" i="57"/>
  <c r="P146" i="57"/>
  <c r="U146" i="57" s="1"/>
  <c r="S146" i="57" s="1"/>
  <c r="P149" i="57"/>
  <c r="U149" i="57" s="1"/>
  <c r="S149" i="57" s="1"/>
  <c r="P150" i="57"/>
  <c r="U150" i="57" s="1"/>
  <c r="S150" i="57" s="1"/>
  <c r="P148" i="57"/>
  <c r="U148" i="57" s="1"/>
  <c r="S148" i="57" s="1"/>
  <c r="P147" i="57"/>
  <c r="U147" i="57" s="1"/>
  <c r="S147" i="57" s="1"/>
  <c r="P145" i="57"/>
  <c r="U145" i="57" s="1"/>
  <c r="N123" i="60"/>
  <c r="Z131" i="60"/>
  <c r="P128" i="60"/>
  <c r="U128" i="60" s="1"/>
  <c r="S128" i="60" s="1"/>
  <c r="P124" i="60"/>
  <c r="U124" i="60" s="1"/>
  <c r="P127" i="60"/>
  <c r="U127" i="60" s="1"/>
  <c r="S127" i="60" s="1"/>
  <c r="P129" i="60"/>
  <c r="U129" i="60" s="1"/>
  <c r="S129" i="60" s="1"/>
  <c r="P125" i="60"/>
  <c r="U125" i="60" s="1"/>
  <c r="S125" i="60" s="1"/>
  <c r="P126" i="60"/>
  <c r="U126" i="60" s="1"/>
  <c r="S126" i="60" s="1"/>
  <c r="P131" i="59"/>
  <c r="U131" i="59" s="1"/>
  <c r="S131" i="59" s="1"/>
  <c r="Z133" i="59"/>
  <c r="N125" i="59"/>
  <c r="P126" i="59"/>
  <c r="U126" i="59" s="1"/>
  <c r="P127" i="59"/>
  <c r="U127" i="59" s="1"/>
  <c r="S127" i="59" s="1"/>
  <c r="P129" i="59"/>
  <c r="U129" i="59" s="1"/>
  <c r="S129" i="59" s="1"/>
  <c r="P130" i="59"/>
  <c r="U130" i="59" s="1"/>
  <c r="S130" i="59" s="1"/>
  <c r="P128" i="59"/>
  <c r="U128" i="59" s="1"/>
  <c r="S128" i="59" s="1"/>
  <c r="U132" i="62"/>
  <c r="S126" i="62"/>
  <c r="S132" i="62" s="1"/>
  <c r="S146" i="79"/>
  <c r="S152" i="79" s="1"/>
  <c r="U152" i="79"/>
  <c r="P143" i="101"/>
  <c r="U143" i="101" s="1"/>
  <c r="S143" i="101" s="1"/>
  <c r="P142" i="101"/>
  <c r="U142" i="101" s="1"/>
  <c r="S142" i="101" s="1"/>
  <c r="P139" i="101"/>
  <c r="U139" i="101" s="1"/>
  <c r="Z146" i="101"/>
  <c r="N138" i="101"/>
  <c r="P144" i="101"/>
  <c r="U144" i="101" s="1"/>
  <c r="S144" i="101" s="1"/>
  <c r="P141" i="101"/>
  <c r="U141" i="101" s="1"/>
  <c r="S141" i="101" s="1"/>
  <c r="P140" i="101"/>
  <c r="U140" i="101" s="1"/>
  <c r="S140" i="101" s="1"/>
  <c r="S137" i="57"/>
  <c r="S143" i="57" s="1"/>
  <c r="U143" i="57"/>
  <c r="S134" i="102"/>
  <c r="S140" i="102" s="1"/>
  <c r="U140" i="102"/>
  <c r="P158" i="79"/>
  <c r="U158" i="79" s="1"/>
  <c r="S158" i="79" s="1"/>
  <c r="P156" i="79"/>
  <c r="U156" i="79" s="1"/>
  <c r="S156" i="79" s="1"/>
  <c r="Z161" i="79"/>
  <c r="P157" i="79"/>
  <c r="U157" i="79" s="1"/>
  <c r="S157" i="79" s="1"/>
  <c r="P155" i="79"/>
  <c r="U155" i="79" s="1"/>
  <c r="S155" i="79" s="1"/>
  <c r="N153" i="79"/>
  <c r="P154" i="79"/>
  <c r="U154" i="79" s="1"/>
  <c r="P159" i="79"/>
  <c r="U159" i="79" s="1"/>
  <c r="S159" i="79" s="1"/>
  <c r="S113" i="85"/>
  <c r="S119" i="85" s="1"/>
  <c r="U119" i="85"/>
  <c r="S117" i="66"/>
  <c r="S123" i="66" s="1"/>
  <c r="U123" i="66"/>
  <c r="U122" i="60"/>
  <c r="S116" i="60"/>
  <c r="S122" i="60" s="1"/>
  <c r="P117" i="106"/>
  <c r="U117" i="106" s="1"/>
  <c r="S117" i="106" s="1"/>
  <c r="N111" i="106"/>
  <c r="P112" i="106"/>
  <c r="U112" i="106" s="1"/>
  <c r="P114" i="106"/>
  <c r="U114" i="106" s="1"/>
  <c r="S114" i="106" s="1"/>
  <c r="P113" i="106"/>
  <c r="U113" i="106" s="1"/>
  <c r="S113" i="106" s="1"/>
  <c r="P115" i="106"/>
  <c r="U115" i="106" s="1"/>
  <c r="S115" i="106" s="1"/>
  <c r="P116" i="106"/>
  <c r="U116" i="106" s="1"/>
  <c r="S116" i="106" s="1"/>
  <c r="P113" i="118"/>
  <c r="U113" i="118" s="1"/>
  <c r="S113" i="118" s="1"/>
  <c r="N111" i="118"/>
  <c r="P112" i="118"/>
  <c r="U112" i="118" s="1"/>
  <c r="P116" i="118"/>
  <c r="U116" i="118" s="1"/>
  <c r="S116" i="118" s="1"/>
  <c r="P115" i="118"/>
  <c r="U115" i="118" s="1"/>
  <c r="S115" i="118" s="1"/>
  <c r="P117" i="118"/>
  <c r="U117" i="118" s="1"/>
  <c r="S117" i="118" s="1"/>
  <c r="P114" i="118"/>
  <c r="U114" i="118" s="1"/>
  <c r="S114" i="118" s="1"/>
  <c r="Z132" i="95"/>
  <c r="P125" i="95"/>
  <c r="U125" i="95" s="1"/>
  <c r="P128" i="95"/>
  <c r="U128" i="95" s="1"/>
  <c r="S128" i="95" s="1"/>
  <c r="P127" i="95"/>
  <c r="U127" i="95" s="1"/>
  <c r="S127" i="95" s="1"/>
  <c r="P130" i="95"/>
  <c r="U130" i="95" s="1"/>
  <c r="S130" i="95" s="1"/>
  <c r="N124" i="95"/>
  <c r="P129" i="95"/>
  <c r="U129" i="95" s="1"/>
  <c r="S129" i="95" s="1"/>
  <c r="P126" i="95"/>
  <c r="U126" i="95" s="1"/>
  <c r="S126" i="95" s="1"/>
  <c r="P123" i="122"/>
  <c r="U123" i="122" s="1"/>
  <c r="S123" i="122" s="1"/>
  <c r="P121" i="122"/>
  <c r="U121" i="122" s="1"/>
  <c r="S121" i="122" s="1"/>
  <c r="P122" i="122"/>
  <c r="U122" i="122" s="1"/>
  <c r="S122" i="122" s="1"/>
  <c r="P125" i="122"/>
  <c r="U125" i="122" s="1"/>
  <c r="S125" i="122" s="1"/>
  <c r="P124" i="122"/>
  <c r="U124" i="122" s="1"/>
  <c r="S124" i="122" s="1"/>
  <c r="P120" i="122"/>
  <c r="U120" i="122" s="1"/>
  <c r="N119" i="122"/>
  <c r="Z127" i="122"/>
  <c r="S104" i="106"/>
  <c r="S110" i="106" s="1"/>
  <c r="U110" i="106"/>
  <c r="S104" i="118"/>
  <c r="S110" i="118" s="1"/>
  <c r="U110" i="118"/>
  <c r="N110" i="90"/>
  <c r="P111" i="90"/>
  <c r="U111" i="90" s="1"/>
  <c r="P113" i="90"/>
  <c r="U113" i="90" s="1"/>
  <c r="S113" i="90" s="1"/>
  <c r="P112" i="90"/>
  <c r="U112" i="90" s="1"/>
  <c r="S112" i="90" s="1"/>
  <c r="P116" i="90"/>
  <c r="U116" i="90" s="1"/>
  <c r="S116" i="90" s="1"/>
  <c r="Z118" i="90"/>
  <c r="P115" i="90"/>
  <c r="U115" i="90" s="1"/>
  <c r="S115" i="90" s="1"/>
  <c r="P114" i="90"/>
  <c r="U114" i="90" s="1"/>
  <c r="S114" i="90" s="1"/>
  <c r="S117" i="95"/>
  <c r="S123" i="95" s="1"/>
  <c r="U123" i="95"/>
  <c r="P155" i="83"/>
  <c r="U155" i="83" s="1"/>
  <c r="S155" i="83" s="1"/>
  <c r="Z161" i="83"/>
  <c r="P159" i="83"/>
  <c r="U159" i="83" s="1"/>
  <c r="S159" i="83" s="1"/>
  <c r="N153" i="83"/>
  <c r="P154" i="83"/>
  <c r="U154" i="83" s="1"/>
  <c r="P156" i="83"/>
  <c r="U156" i="83" s="1"/>
  <c r="S156" i="83" s="1"/>
  <c r="P157" i="83"/>
  <c r="U157" i="83" s="1"/>
  <c r="S157" i="83" s="1"/>
  <c r="P158" i="83"/>
  <c r="U158" i="83" s="1"/>
  <c r="S158" i="83" s="1"/>
  <c r="S146" i="83"/>
  <c r="S152" i="83" s="1"/>
  <c r="U152" i="83"/>
  <c r="S112" i="122"/>
  <c r="S118" i="122" s="1"/>
  <c r="U118" i="122"/>
  <c r="S161" i="82"/>
  <c r="S167" i="82" s="1"/>
  <c r="U167" i="82"/>
  <c r="S134" i="92"/>
  <c r="S140" i="92" s="1"/>
  <c r="U140" i="92"/>
  <c r="N141" i="92"/>
  <c r="Z149" i="92"/>
  <c r="P145" i="92"/>
  <c r="U145" i="92" s="1"/>
  <c r="S145" i="92" s="1"/>
  <c r="P143" i="92"/>
  <c r="U143" i="92" s="1"/>
  <c r="S143" i="92" s="1"/>
  <c r="P147" i="92"/>
  <c r="U147" i="92" s="1"/>
  <c r="S147" i="92" s="1"/>
  <c r="P144" i="92"/>
  <c r="U144" i="92" s="1"/>
  <c r="S144" i="92" s="1"/>
  <c r="P146" i="92"/>
  <c r="U146" i="92" s="1"/>
  <c r="S146" i="92" s="1"/>
  <c r="P142" i="92"/>
  <c r="U142" i="92" s="1"/>
  <c r="S141" i="63"/>
  <c r="S147" i="63" s="1"/>
  <c r="U147" i="63"/>
  <c r="P169" i="82"/>
  <c r="U169" i="82" s="1"/>
  <c r="N168" i="82"/>
  <c r="P172" i="82"/>
  <c r="U172" i="82" s="1"/>
  <c r="S172" i="82" s="1"/>
  <c r="P170" i="82"/>
  <c r="U170" i="82" s="1"/>
  <c r="S170" i="82" s="1"/>
  <c r="P174" i="82"/>
  <c r="U174" i="82" s="1"/>
  <c r="S174" i="82" s="1"/>
  <c r="P173" i="82"/>
  <c r="U173" i="82" s="1"/>
  <c r="S173" i="82" s="1"/>
  <c r="Z176" i="82"/>
  <c r="P171" i="82"/>
  <c r="U171" i="82" s="1"/>
  <c r="S171" i="82" s="1"/>
  <c r="S103" i="90"/>
  <c r="S109" i="90" s="1"/>
  <c r="U109" i="90"/>
  <c r="Z156" i="63"/>
  <c r="N148" i="63"/>
  <c r="P153" i="63"/>
  <c r="U153" i="63" s="1"/>
  <c r="S153" i="63" s="1"/>
  <c r="P151" i="63"/>
  <c r="U151" i="63" s="1"/>
  <c r="S151" i="63" s="1"/>
  <c r="P152" i="63"/>
  <c r="U152" i="63" s="1"/>
  <c r="S152" i="63" s="1"/>
  <c r="P150" i="63"/>
  <c r="U150" i="63" s="1"/>
  <c r="S150" i="63" s="1"/>
  <c r="P154" i="63"/>
  <c r="U154" i="63" s="1"/>
  <c r="S154" i="63" s="1"/>
  <c r="P149" i="63"/>
  <c r="U149" i="63" s="1"/>
  <c r="S117" i="108"/>
  <c r="S123" i="108" s="1"/>
  <c r="U123" i="108"/>
  <c r="N124" i="108"/>
  <c r="Z132" i="108"/>
  <c r="P126" i="108"/>
  <c r="U126" i="108" s="1"/>
  <c r="S126" i="108" s="1"/>
  <c r="P127" i="108"/>
  <c r="U127" i="108" s="1"/>
  <c r="S127" i="108" s="1"/>
  <c r="P128" i="108"/>
  <c r="U128" i="108" s="1"/>
  <c r="S128" i="108" s="1"/>
  <c r="P125" i="108"/>
  <c r="U125" i="108" s="1"/>
  <c r="P129" i="108"/>
  <c r="U129" i="108" s="1"/>
  <c r="S129" i="108" s="1"/>
  <c r="P130" i="108"/>
  <c r="U130" i="108" s="1"/>
  <c r="S130" i="108" s="1"/>
  <c r="N139" i="123"/>
  <c r="P143" i="123"/>
  <c r="U143" i="123" s="1"/>
  <c r="S143" i="123" s="1"/>
  <c r="P142" i="123"/>
  <c r="U142" i="123" s="1"/>
  <c r="S142" i="123" s="1"/>
  <c r="P145" i="123"/>
  <c r="U145" i="123" s="1"/>
  <c r="S145" i="123" s="1"/>
  <c r="P141" i="123"/>
  <c r="U141" i="123" s="1"/>
  <c r="S141" i="123" s="1"/>
  <c r="P140" i="123"/>
  <c r="U140" i="123" s="1"/>
  <c r="P144" i="123"/>
  <c r="U144" i="123" s="1"/>
  <c r="S144" i="123" s="1"/>
  <c r="U138" i="123"/>
  <c r="S132" i="123"/>
  <c r="S138" i="123" s="1"/>
  <c r="W12" i="85"/>
  <c r="W11" i="88"/>
  <c r="W9" i="81"/>
  <c r="AF136" i="36"/>
  <c r="S126" i="98"/>
  <c r="S132" i="98" s="1"/>
  <c r="U132" i="98"/>
  <c r="S110" i="89"/>
  <c r="S116" i="89" s="1"/>
  <c r="U116" i="89"/>
  <c r="S107" i="111"/>
  <c r="S113" i="111" s="1"/>
  <c r="U113" i="111"/>
  <c r="N132" i="70"/>
  <c r="P134" i="70"/>
  <c r="U134" i="70" s="1"/>
  <c r="S134" i="70" s="1"/>
  <c r="P135" i="70"/>
  <c r="U135" i="70" s="1"/>
  <c r="S135" i="70" s="1"/>
  <c r="P133" i="70"/>
  <c r="U133" i="70" s="1"/>
  <c r="P138" i="70"/>
  <c r="U138" i="70" s="1"/>
  <c r="S138" i="70" s="1"/>
  <c r="P136" i="70"/>
  <c r="U136" i="70" s="1"/>
  <c r="S136" i="70" s="1"/>
  <c r="Z140" i="70"/>
  <c r="P137" i="70"/>
  <c r="U137" i="70" s="1"/>
  <c r="S137" i="70" s="1"/>
  <c r="S101" i="72"/>
  <c r="S107" i="72" s="1"/>
  <c r="U107" i="72"/>
  <c r="P113" i="68"/>
  <c r="U113" i="68" s="1"/>
  <c r="S113" i="68" s="1"/>
  <c r="P111" i="68"/>
  <c r="U111" i="68" s="1"/>
  <c r="P116" i="68"/>
  <c r="U116" i="68" s="1"/>
  <c r="S116" i="68" s="1"/>
  <c r="P115" i="68"/>
  <c r="U115" i="68" s="1"/>
  <c r="S115" i="68" s="1"/>
  <c r="Z118" i="68"/>
  <c r="P112" i="68"/>
  <c r="U112" i="68" s="1"/>
  <c r="S112" i="68" s="1"/>
  <c r="N110" i="68"/>
  <c r="P114" i="68"/>
  <c r="U114" i="68" s="1"/>
  <c r="S114" i="68" s="1"/>
  <c r="P138" i="98"/>
  <c r="U138" i="98" s="1"/>
  <c r="S138" i="98" s="1"/>
  <c r="P137" i="98"/>
  <c r="U137" i="98" s="1"/>
  <c r="S137" i="98" s="1"/>
  <c r="Z141" i="98"/>
  <c r="P139" i="98"/>
  <c r="U139" i="98" s="1"/>
  <c r="S139" i="98" s="1"/>
  <c r="P136" i="98"/>
  <c r="U136" i="98" s="1"/>
  <c r="S136" i="98" s="1"/>
  <c r="P135" i="98"/>
  <c r="U135" i="98" s="1"/>
  <c r="S135" i="98" s="1"/>
  <c r="P134" i="98"/>
  <c r="U134" i="98" s="1"/>
  <c r="N133" i="98"/>
  <c r="S134" i="88"/>
  <c r="S140" i="88" s="1"/>
  <c r="U140" i="88"/>
  <c r="Z125" i="89"/>
  <c r="P118" i="89"/>
  <c r="U118" i="89" s="1"/>
  <c r="P119" i="89"/>
  <c r="U119" i="89" s="1"/>
  <c r="S119" i="89" s="1"/>
  <c r="P123" i="89"/>
  <c r="U123" i="89" s="1"/>
  <c r="S123" i="89" s="1"/>
  <c r="N117" i="89"/>
  <c r="P120" i="89"/>
  <c r="U120" i="89" s="1"/>
  <c r="S120" i="89" s="1"/>
  <c r="P121" i="89"/>
  <c r="U121" i="89" s="1"/>
  <c r="S121" i="89" s="1"/>
  <c r="P122" i="89"/>
  <c r="U122" i="89" s="1"/>
  <c r="S122" i="89" s="1"/>
  <c r="N114" i="111"/>
  <c r="Z122" i="111"/>
  <c r="P118" i="111"/>
  <c r="U118" i="111" s="1"/>
  <c r="S118" i="111" s="1"/>
  <c r="P115" i="111"/>
  <c r="U115" i="111" s="1"/>
  <c r="P116" i="111"/>
  <c r="U116" i="111" s="1"/>
  <c r="S116" i="111" s="1"/>
  <c r="P117" i="111"/>
  <c r="U117" i="111" s="1"/>
  <c r="S117" i="111" s="1"/>
  <c r="P119" i="111"/>
  <c r="U119" i="111" s="1"/>
  <c r="S119" i="111" s="1"/>
  <c r="P120" i="111"/>
  <c r="U120" i="111" s="1"/>
  <c r="S120" i="111" s="1"/>
  <c r="S122" i="77"/>
  <c r="S128" i="77" s="1"/>
  <c r="U128" i="77"/>
  <c r="S121" i="81"/>
  <c r="S127" i="81" s="1"/>
  <c r="U127" i="81"/>
  <c r="S110" i="25"/>
  <c r="S116" i="25" s="1"/>
  <c r="U116" i="25"/>
  <c r="S103" i="68"/>
  <c r="S109" i="68" s="1"/>
  <c r="U109" i="68"/>
  <c r="P147" i="88"/>
  <c r="U147" i="88" s="1"/>
  <c r="S147" i="88" s="1"/>
  <c r="P143" i="88"/>
  <c r="U143" i="88" s="1"/>
  <c r="S143" i="88" s="1"/>
  <c r="N141" i="88"/>
  <c r="P144" i="88"/>
  <c r="U144" i="88" s="1"/>
  <c r="S144" i="88" s="1"/>
  <c r="Z149" i="88"/>
  <c r="P145" i="88"/>
  <c r="U145" i="88" s="1"/>
  <c r="S145" i="88" s="1"/>
  <c r="P146" i="88"/>
  <c r="U146" i="88" s="1"/>
  <c r="S146" i="88" s="1"/>
  <c r="P142" i="88"/>
  <c r="U142" i="88" s="1"/>
  <c r="U131" i="70"/>
  <c r="S125" i="70"/>
  <c r="W11" i="96"/>
  <c r="P129" i="81"/>
  <c r="U129" i="81" s="1"/>
  <c r="Z136" i="81"/>
  <c r="N128" i="81"/>
  <c r="P134" i="81"/>
  <c r="U134" i="81" s="1"/>
  <c r="S134" i="81" s="1"/>
  <c r="P132" i="81"/>
  <c r="U132" i="81" s="1"/>
  <c r="S132" i="81" s="1"/>
  <c r="P130" i="81"/>
  <c r="U130" i="81" s="1"/>
  <c r="S130" i="81" s="1"/>
  <c r="P133" i="81"/>
  <c r="U133" i="81" s="1"/>
  <c r="S133" i="81" s="1"/>
  <c r="P131" i="81"/>
  <c r="U131" i="81" s="1"/>
  <c r="S131" i="81" s="1"/>
  <c r="P111" i="72"/>
  <c r="U111" i="72" s="1"/>
  <c r="S111" i="72" s="1"/>
  <c r="Z116" i="72"/>
  <c r="P113" i="72"/>
  <c r="U113" i="72" s="1"/>
  <c r="S113" i="72" s="1"/>
  <c r="P109" i="72"/>
  <c r="U109" i="72" s="1"/>
  <c r="P110" i="72"/>
  <c r="U110" i="72" s="1"/>
  <c r="S110" i="72" s="1"/>
  <c r="P112" i="72"/>
  <c r="U112" i="72" s="1"/>
  <c r="S112" i="72" s="1"/>
  <c r="N108" i="72"/>
  <c r="P114" i="72"/>
  <c r="U114" i="72" s="1"/>
  <c r="S114" i="72" s="1"/>
  <c r="N117" i="25"/>
  <c r="P118" i="25"/>
  <c r="U118" i="25" s="1"/>
  <c r="P121" i="25"/>
  <c r="U121" i="25" s="1"/>
  <c r="S121" i="25" s="1"/>
  <c r="P120" i="25"/>
  <c r="U120" i="25" s="1"/>
  <c r="S120" i="25" s="1"/>
  <c r="P122" i="25"/>
  <c r="U122" i="25" s="1"/>
  <c r="S122" i="25" s="1"/>
  <c r="P119" i="25"/>
  <c r="U119" i="25" s="1"/>
  <c r="S119" i="25" s="1"/>
  <c r="P123" i="25"/>
  <c r="U123" i="25" s="1"/>
  <c r="S123" i="25" s="1"/>
  <c r="Z125" i="25"/>
  <c r="AC56" i="36"/>
  <c r="AC17" i="36" s="1"/>
  <c r="P130" i="77"/>
  <c r="U130" i="77" s="1"/>
  <c r="P134" i="77"/>
  <c r="U134" i="77" s="1"/>
  <c r="S134" i="77" s="1"/>
  <c r="P131" i="77"/>
  <c r="U131" i="77" s="1"/>
  <c r="S131" i="77" s="1"/>
  <c r="P132" i="77"/>
  <c r="U132" i="77" s="1"/>
  <c r="S132" i="77" s="1"/>
  <c r="P133" i="77"/>
  <c r="U133" i="77" s="1"/>
  <c r="S133" i="77" s="1"/>
  <c r="P135" i="77"/>
  <c r="U135" i="77" s="1"/>
  <c r="S135" i="77" s="1"/>
  <c r="Z137" i="77"/>
  <c r="N129" i="77"/>
  <c r="S139" i="109" l="1"/>
  <c r="S145" i="109" s="1"/>
  <c r="U145" i="109"/>
  <c r="P152" i="109"/>
  <c r="U152" i="109" s="1"/>
  <c r="S152" i="109" s="1"/>
  <c r="P147" i="109"/>
  <c r="U147" i="109" s="1"/>
  <c r="N146" i="109"/>
  <c r="P151" i="109"/>
  <c r="U151" i="109" s="1"/>
  <c r="S151" i="109" s="1"/>
  <c r="P149" i="109"/>
  <c r="U149" i="109" s="1"/>
  <c r="S149" i="109" s="1"/>
  <c r="Z154" i="109"/>
  <c r="P148" i="109"/>
  <c r="U148" i="109" s="1"/>
  <c r="S148" i="109" s="1"/>
  <c r="P150" i="109"/>
  <c r="U150" i="109" s="1"/>
  <c r="S150" i="109" s="1"/>
  <c r="U117" i="116"/>
  <c r="S111" i="116"/>
  <c r="S117" i="116" s="1"/>
  <c r="P120" i="116"/>
  <c r="U120" i="116" s="1"/>
  <c r="S120" i="116" s="1"/>
  <c r="N118" i="116"/>
  <c r="P121" i="116"/>
  <c r="U121" i="116" s="1"/>
  <c r="S121" i="116" s="1"/>
  <c r="Z126" i="116"/>
  <c r="P124" i="116"/>
  <c r="U124" i="116" s="1"/>
  <c r="S124" i="116" s="1"/>
  <c r="P122" i="116"/>
  <c r="U122" i="116" s="1"/>
  <c r="S122" i="116" s="1"/>
  <c r="P119" i="116"/>
  <c r="U119" i="116" s="1"/>
  <c r="P123" i="116"/>
  <c r="U123" i="116" s="1"/>
  <c r="S123" i="116" s="1"/>
  <c r="W16" i="108"/>
  <c r="P136" i="105"/>
  <c r="U136" i="105" s="1"/>
  <c r="S136" i="105" s="1"/>
  <c r="P134" i="105"/>
  <c r="U134" i="105" s="1"/>
  <c r="S134" i="105" s="1"/>
  <c r="Z140" i="105"/>
  <c r="P137" i="105"/>
  <c r="U137" i="105" s="1"/>
  <c r="S137" i="105" s="1"/>
  <c r="N132" i="105"/>
  <c r="P138" i="105"/>
  <c r="U138" i="105" s="1"/>
  <c r="S138" i="105" s="1"/>
  <c r="P133" i="105"/>
  <c r="U133" i="105" s="1"/>
  <c r="P135" i="105"/>
  <c r="U135" i="105" s="1"/>
  <c r="S135" i="105" s="1"/>
  <c r="S125" i="105"/>
  <c r="S131" i="105" s="1"/>
  <c r="U131" i="105"/>
  <c r="Z142" i="103"/>
  <c r="P140" i="103"/>
  <c r="U140" i="103" s="1"/>
  <c r="S140" i="103" s="1"/>
  <c r="P138" i="103"/>
  <c r="U138" i="103" s="1"/>
  <c r="S138" i="103" s="1"/>
  <c r="P136" i="103"/>
  <c r="U136" i="103" s="1"/>
  <c r="S136" i="103" s="1"/>
  <c r="P139" i="103"/>
  <c r="U139" i="103" s="1"/>
  <c r="S139" i="103" s="1"/>
  <c r="P137" i="103"/>
  <c r="U137" i="103" s="1"/>
  <c r="S137" i="103" s="1"/>
  <c r="N134" i="103"/>
  <c r="P135" i="103"/>
  <c r="U135" i="103" s="1"/>
  <c r="S127" i="103"/>
  <c r="S133" i="103" s="1"/>
  <c r="U133" i="103"/>
  <c r="N152" i="96"/>
  <c r="P155" i="96"/>
  <c r="U155" i="96" s="1"/>
  <c r="S155" i="96" s="1"/>
  <c r="P153" i="96"/>
  <c r="U153" i="96" s="1"/>
  <c r="P156" i="96"/>
  <c r="U156" i="96" s="1"/>
  <c r="S156" i="96" s="1"/>
  <c r="P158" i="96"/>
  <c r="U158" i="96" s="1"/>
  <c r="S158" i="96" s="1"/>
  <c r="P157" i="96"/>
  <c r="U157" i="96" s="1"/>
  <c r="S157" i="96" s="1"/>
  <c r="Z160" i="96"/>
  <c r="P154" i="96"/>
  <c r="U154" i="96" s="1"/>
  <c r="S154" i="96" s="1"/>
  <c r="S145" i="96"/>
  <c r="S151" i="96" s="1"/>
  <c r="U151" i="96"/>
  <c r="Y55" i="92"/>
  <c r="A97" i="92"/>
  <c r="P120" i="91"/>
  <c r="U120" i="91" s="1"/>
  <c r="S120" i="91" s="1"/>
  <c r="P122" i="91"/>
  <c r="U122" i="91" s="1"/>
  <c r="S122" i="91" s="1"/>
  <c r="P121" i="91"/>
  <c r="U121" i="91" s="1"/>
  <c r="S121" i="91" s="1"/>
  <c r="P124" i="91"/>
  <c r="U124" i="91" s="1"/>
  <c r="S124" i="91" s="1"/>
  <c r="N118" i="91"/>
  <c r="P119" i="91"/>
  <c r="U119" i="91" s="1"/>
  <c r="P123" i="91"/>
  <c r="U123" i="91" s="1"/>
  <c r="S123" i="91" s="1"/>
  <c r="Z126" i="91"/>
  <c r="S111" i="91"/>
  <c r="S117" i="91" s="1"/>
  <c r="U117" i="91"/>
  <c r="N156" i="86"/>
  <c r="P158" i="86"/>
  <c r="U158" i="86" s="1"/>
  <c r="S158" i="86" s="1"/>
  <c r="P160" i="86"/>
  <c r="U160" i="86" s="1"/>
  <c r="S160" i="86" s="1"/>
  <c r="P162" i="86"/>
  <c r="U162" i="86" s="1"/>
  <c r="S162" i="86" s="1"/>
  <c r="P161" i="86"/>
  <c r="U161" i="86" s="1"/>
  <c r="S161" i="86" s="1"/>
  <c r="Z164" i="86"/>
  <c r="P157" i="86"/>
  <c r="U157" i="86" s="1"/>
  <c r="P159" i="86"/>
  <c r="U159" i="86" s="1"/>
  <c r="S159" i="86" s="1"/>
  <c r="S149" i="86"/>
  <c r="S155" i="86" s="1"/>
  <c r="U155" i="86"/>
  <c r="P145" i="84"/>
  <c r="U145" i="84" s="1"/>
  <c r="S145" i="84" s="1"/>
  <c r="P143" i="84"/>
  <c r="U143" i="84" s="1"/>
  <c r="S143" i="84" s="1"/>
  <c r="N139" i="84"/>
  <c r="P141" i="84"/>
  <c r="U141" i="84" s="1"/>
  <c r="S141" i="84" s="1"/>
  <c r="P142" i="84"/>
  <c r="U142" i="84" s="1"/>
  <c r="S142" i="84" s="1"/>
  <c r="P140" i="84"/>
  <c r="U140" i="84" s="1"/>
  <c r="P144" i="84"/>
  <c r="U144" i="84" s="1"/>
  <c r="S144" i="84" s="1"/>
  <c r="Z147" i="84"/>
  <c r="S132" i="84"/>
  <c r="S138" i="84" s="1"/>
  <c r="U138" i="84"/>
  <c r="P161" i="78"/>
  <c r="U161" i="78" s="1"/>
  <c r="S161" i="78" s="1"/>
  <c r="P162" i="78"/>
  <c r="U162" i="78" s="1"/>
  <c r="S162" i="78" s="1"/>
  <c r="P165" i="78"/>
  <c r="U165" i="78" s="1"/>
  <c r="S165" i="78" s="1"/>
  <c r="P160" i="78"/>
  <c r="U160" i="78" s="1"/>
  <c r="P163" i="78"/>
  <c r="U163" i="78" s="1"/>
  <c r="S163" i="78" s="1"/>
  <c r="Z167" i="78"/>
  <c r="P164" i="78"/>
  <c r="U164" i="78" s="1"/>
  <c r="S164" i="78" s="1"/>
  <c r="N159" i="78"/>
  <c r="S152" i="78"/>
  <c r="S158" i="78" s="1"/>
  <c r="U158" i="78"/>
  <c r="S142" i="76"/>
  <c r="S148" i="76" s="1"/>
  <c r="U148" i="76"/>
  <c r="P152" i="76"/>
  <c r="U152" i="76" s="1"/>
  <c r="S152" i="76" s="1"/>
  <c r="P151" i="76"/>
  <c r="U151" i="76" s="1"/>
  <c r="S151" i="76" s="1"/>
  <c r="P154" i="76"/>
  <c r="U154" i="76" s="1"/>
  <c r="S154" i="76" s="1"/>
  <c r="P150" i="76"/>
  <c r="U150" i="76" s="1"/>
  <c r="P153" i="76"/>
  <c r="U153" i="76" s="1"/>
  <c r="S153" i="76" s="1"/>
  <c r="N149" i="76"/>
  <c r="Z157" i="76"/>
  <c r="P155" i="76"/>
  <c r="U155" i="76" s="1"/>
  <c r="S155" i="76" s="1"/>
  <c r="U130" i="75"/>
  <c r="S124" i="75"/>
  <c r="S130" i="75" s="1"/>
  <c r="P136" i="75"/>
  <c r="U136" i="75" s="1"/>
  <c r="S136" i="75" s="1"/>
  <c r="P132" i="75"/>
  <c r="U132" i="75" s="1"/>
  <c r="P137" i="75"/>
  <c r="U137" i="75" s="1"/>
  <c r="S137" i="75" s="1"/>
  <c r="P135" i="75"/>
  <c r="U135" i="75" s="1"/>
  <c r="S135" i="75" s="1"/>
  <c r="Z139" i="75"/>
  <c r="P134" i="75"/>
  <c r="U134" i="75" s="1"/>
  <c r="S134" i="75" s="1"/>
  <c r="P133" i="75"/>
  <c r="U133" i="75" s="1"/>
  <c r="S133" i="75" s="1"/>
  <c r="N131" i="75"/>
  <c r="U135" i="74"/>
  <c r="S129" i="74"/>
  <c r="S135" i="74" s="1"/>
  <c r="P137" i="74"/>
  <c r="U137" i="74" s="1"/>
  <c r="Z144" i="74"/>
  <c r="N136" i="74"/>
  <c r="P139" i="74"/>
  <c r="U139" i="74" s="1"/>
  <c r="S139" i="74" s="1"/>
  <c r="P138" i="74"/>
  <c r="U138" i="74" s="1"/>
  <c r="S138" i="74" s="1"/>
  <c r="P141" i="74"/>
  <c r="U141" i="74" s="1"/>
  <c r="S141" i="74" s="1"/>
  <c r="P142" i="74"/>
  <c r="U142" i="74" s="1"/>
  <c r="S142" i="74" s="1"/>
  <c r="P140" i="74"/>
  <c r="U140" i="74" s="1"/>
  <c r="S140" i="74" s="1"/>
  <c r="S124" i="73"/>
  <c r="S130" i="73" s="1"/>
  <c r="U130" i="73"/>
  <c r="N131" i="73"/>
  <c r="P137" i="73"/>
  <c r="U137" i="73" s="1"/>
  <c r="S137" i="73" s="1"/>
  <c r="P135" i="73"/>
  <c r="U135" i="73" s="1"/>
  <c r="S135" i="73" s="1"/>
  <c r="P133" i="73"/>
  <c r="U133" i="73" s="1"/>
  <c r="S133" i="73" s="1"/>
  <c r="Z139" i="73"/>
  <c r="P132" i="73"/>
  <c r="U132" i="73" s="1"/>
  <c r="P136" i="73"/>
  <c r="U136" i="73" s="1"/>
  <c r="S136" i="73" s="1"/>
  <c r="P134" i="73"/>
  <c r="U134" i="73" s="1"/>
  <c r="S134" i="73" s="1"/>
  <c r="P125" i="69"/>
  <c r="U125" i="69" s="1"/>
  <c r="S125" i="69" s="1"/>
  <c r="P122" i="69"/>
  <c r="U122" i="69" s="1"/>
  <c r="S122" i="69" s="1"/>
  <c r="Z127" i="69"/>
  <c r="P121" i="69"/>
  <c r="U121" i="69" s="1"/>
  <c r="S121" i="69" s="1"/>
  <c r="P124" i="69"/>
  <c r="U124" i="69" s="1"/>
  <c r="S124" i="69" s="1"/>
  <c r="P123" i="69"/>
  <c r="U123" i="69" s="1"/>
  <c r="S123" i="69" s="1"/>
  <c r="N119" i="69"/>
  <c r="P120" i="69"/>
  <c r="U120" i="69" s="1"/>
  <c r="S112" i="69"/>
  <c r="S118" i="69" s="1"/>
  <c r="U118" i="69"/>
  <c r="P140" i="34"/>
  <c r="U140" i="34" s="1"/>
  <c r="S140" i="34" s="1"/>
  <c r="P143" i="34"/>
  <c r="U143" i="34" s="1"/>
  <c r="S143" i="34" s="1"/>
  <c r="P141" i="34"/>
  <c r="U141" i="34" s="1"/>
  <c r="S141" i="34" s="1"/>
  <c r="P139" i="34"/>
  <c r="U139" i="34" s="1"/>
  <c r="P144" i="34"/>
  <c r="U144" i="34" s="1"/>
  <c r="S144" i="34" s="1"/>
  <c r="N138" i="34"/>
  <c r="P142" i="34"/>
  <c r="U142" i="34" s="1"/>
  <c r="S142" i="34" s="1"/>
  <c r="Z146" i="34"/>
  <c r="S131" i="34"/>
  <c r="S137" i="34" s="1"/>
  <c r="U137" i="34"/>
  <c r="P118" i="61"/>
  <c r="U118" i="61" s="1"/>
  <c r="S118" i="61" s="1"/>
  <c r="P117" i="61"/>
  <c r="U117" i="61" s="1"/>
  <c r="S117" i="61" s="1"/>
  <c r="P113" i="61"/>
  <c r="U113" i="61" s="1"/>
  <c r="P116" i="61"/>
  <c r="U116" i="61" s="1"/>
  <c r="S116" i="61" s="1"/>
  <c r="P115" i="61"/>
  <c r="U115" i="61" s="1"/>
  <c r="S115" i="61" s="1"/>
  <c r="Z120" i="61"/>
  <c r="N112" i="61"/>
  <c r="P114" i="61"/>
  <c r="U114" i="61" s="1"/>
  <c r="S114" i="61" s="1"/>
  <c r="S105" i="61"/>
  <c r="S111" i="61" s="1"/>
  <c r="U111" i="61"/>
  <c r="S126" i="59"/>
  <c r="S132" i="59" s="1"/>
  <c r="U132" i="59"/>
  <c r="S124" i="60"/>
  <c r="S130" i="60" s="1"/>
  <c r="U130" i="60"/>
  <c r="S145" i="57"/>
  <c r="S151" i="57" s="1"/>
  <c r="U151" i="57"/>
  <c r="S134" i="62"/>
  <c r="S140" i="62" s="1"/>
  <c r="U140" i="62"/>
  <c r="P154" i="102"/>
  <c r="U154" i="102" s="1"/>
  <c r="S154" i="102" s="1"/>
  <c r="P152" i="102"/>
  <c r="U152" i="102" s="1"/>
  <c r="S152" i="102" s="1"/>
  <c r="N149" i="102"/>
  <c r="Z157" i="102"/>
  <c r="P155" i="102"/>
  <c r="U155" i="102" s="1"/>
  <c r="S155" i="102" s="1"/>
  <c r="P150" i="102"/>
  <c r="U150" i="102" s="1"/>
  <c r="P151" i="102"/>
  <c r="U151" i="102" s="1"/>
  <c r="S151" i="102" s="1"/>
  <c r="P153" i="102"/>
  <c r="U153" i="102" s="1"/>
  <c r="S153" i="102" s="1"/>
  <c r="N120" i="121"/>
  <c r="P123" i="121"/>
  <c r="U123" i="121" s="1"/>
  <c r="S123" i="121" s="1"/>
  <c r="P124" i="121"/>
  <c r="U124" i="121" s="1"/>
  <c r="S124" i="121" s="1"/>
  <c r="Z128" i="121"/>
  <c r="P121" i="121"/>
  <c r="U121" i="121" s="1"/>
  <c r="P122" i="121"/>
  <c r="U122" i="121" s="1"/>
  <c r="S122" i="121" s="1"/>
  <c r="P125" i="121"/>
  <c r="U125" i="121" s="1"/>
  <c r="S125" i="121" s="1"/>
  <c r="P126" i="121"/>
  <c r="U126" i="121" s="1"/>
  <c r="S126" i="121" s="1"/>
  <c r="S154" i="79"/>
  <c r="S160" i="79" s="1"/>
  <c r="U160" i="79"/>
  <c r="P163" i="79"/>
  <c r="U163" i="79" s="1"/>
  <c r="S163" i="79" s="1"/>
  <c r="P166" i="79"/>
  <c r="U166" i="79" s="1"/>
  <c r="S166" i="79" s="1"/>
  <c r="P164" i="79"/>
  <c r="U164" i="79" s="1"/>
  <c r="S164" i="79" s="1"/>
  <c r="P162" i="79"/>
  <c r="U162" i="79" s="1"/>
  <c r="P167" i="79"/>
  <c r="U167" i="79" s="1"/>
  <c r="S167" i="79" s="1"/>
  <c r="P165" i="79"/>
  <c r="U165" i="79" s="1"/>
  <c r="S165" i="79" s="1"/>
  <c r="N161" i="79"/>
  <c r="Z169" i="79"/>
  <c r="P147" i="62"/>
  <c r="U147" i="62" s="1"/>
  <c r="S147" i="62" s="1"/>
  <c r="P144" i="62"/>
  <c r="U144" i="62" s="1"/>
  <c r="S144" i="62" s="1"/>
  <c r="Z149" i="62"/>
  <c r="N141" i="62"/>
  <c r="P143" i="62"/>
  <c r="U143" i="62" s="1"/>
  <c r="S143" i="62" s="1"/>
  <c r="P142" i="62"/>
  <c r="U142" i="62" s="1"/>
  <c r="P146" i="62"/>
  <c r="U146" i="62" s="1"/>
  <c r="S146" i="62" s="1"/>
  <c r="P145" i="62"/>
  <c r="U145" i="62" s="1"/>
  <c r="S145" i="62" s="1"/>
  <c r="U127" i="85"/>
  <c r="S121" i="85"/>
  <c r="S127" i="85" s="1"/>
  <c r="Z136" i="85"/>
  <c r="N128" i="85"/>
  <c r="P132" i="85"/>
  <c r="U132" i="85" s="1"/>
  <c r="S132" i="85" s="1"/>
  <c r="P131" i="85"/>
  <c r="U131" i="85" s="1"/>
  <c r="S131" i="85" s="1"/>
  <c r="P134" i="85"/>
  <c r="U134" i="85" s="1"/>
  <c r="S134" i="85" s="1"/>
  <c r="P133" i="85"/>
  <c r="U133" i="85" s="1"/>
  <c r="S133" i="85" s="1"/>
  <c r="P130" i="85"/>
  <c r="U130" i="85" s="1"/>
  <c r="S130" i="85" s="1"/>
  <c r="P129" i="85"/>
  <c r="U129" i="85" s="1"/>
  <c r="P149" i="101"/>
  <c r="U149" i="101" s="1"/>
  <c r="S149" i="101" s="1"/>
  <c r="P152" i="101"/>
  <c r="U152" i="101" s="1"/>
  <c r="S152" i="101" s="1"/>
  <c r="P148" i="101"/>
  <c r="U148" i="101" s="1"/>
  <c r="S148" i="101" s="1"/>
  <c r="P151" i="101"/>
  <c r="U151" i="101" s="1"/>
  <c r="S151" i="101" s="1"/>
  <c r="Z154" i="101"/>
  <c r="P147" i="101"/>
  <c r="U147" i="101" s="1"/>
  <c r="P150" i="101"/>
  <c r="U150" i="101" s="1"/>
  <c r="S150" i="101" s="1"/>
  <c r="N146" i="101"/>
  <c r="P136" i="59"/>
  <c r="U136" i="59" s="1"/>
  <c r="S136" i="59" s="1"/>
  <c r="P135" i="59"/>
  <c r="U135" i="59" s="1"/>
  <c r="S135" i="59" s="1"/>
  <c r="P134" i="59"/>
  <c r="U134" i="59" s="1"/>
  <c r="N133" i="59"/>
  <c r="P139" i="59"/>
  <c r="U139" i="59" s="1"/>
  <c r="S139" i="59" s="1"/>
  <c r="P137" i="59"/>
  <c r="U137" i="59" s="1"/>
  <c r="S137" i="59" s="1"/>
  <c r="Z141" i="59"/>
  <c r="P138" i="59"/>
  <c r="U138" i="59" s="1"/>
  <c r="S138" i="59" s="1"/>
  <c r="P134" i="60"/>
  <c r="U134" i="60" s="1"/>
  <c r="S134" i="60" s="1"/>
  <c r="P136" i="60"/>
  <c r="U136" i="60" s="1"/>
  <c r="S136" i="60" s="1"/>
  <c r="P133" i="60"/>
  <c r="U133" i="60" s="1"/>
  <c r="S133" i="60" s="1"/>
  <c r="P135" i="60"/>
  <c r="U135" i="60" s="1"/>
  <c r="S135" i="60" s="1"/>
  <c r="P137" i="60"/>
  <c r="U137" i="60" s="1"/>
  <c r="S137" i="60" s="1"/>
  <c r="Z139" i="60"/>
  <c r="N131" i="60"/>
  <c r="P132" i="60"/>
  <c r="U132" i="60" s="1"/>
  <c r="P158" i="57"/>
  <c r="U158" i="57" s="1"/>
  <c r="S158" i="57" s="1"/>
  <c r="P153" i="57"/>
  <c r="U153" i="57" s="1"/>
  <c r="P155" i="57"/>
  <c r="U155" i="57" s="1"/>
  <c r="S155" i="57" s="1"/>
  <c r="N152" i="57"/>
  <c r="Z160" i="57"/>
  <c r="P156" i="57"/>
  <c r="U156" i="57" s="1"/>
  <c r="S156" i="57" s="1"/>
  <c r="P154" i="57"/>
  <c r="U154" i="57" s="1"/>
  <c r="S154" i="57" s="1"/>
  <c r="P157" i="57"/>
  <c r="U157" i="57" s="1"/>
  <c r="S157" i="57" s="1"/>
  <c r="S139" i="101"/>
  <c r="S145" i="101" s="1"/>
  <c r="U145" i="101"/>
  <c r="S142" i="102"/>
  <c r="S148" i="102" s="1"/>
  <c r="U148" i="102"/>
  <c r="S113" i="121"/>
  <c r="S119" i="121" s="1"/>
  <c r="U119" i="121"/>
  <c r="P119" i="90"/>
  <c r="U119" i="90" s="1"/>
  <c r="P122" i="90"/>
  <c r="U122" i="90" s="1"/>
  <c r="S122" i="90" s="1"/>
  <c r="P124" i="90"/>
  <c r="U124" i="90" s="1"/>
  <c r="S124" i="90" s="1"/>
  <c r="P120" i="90"/>
  <c r="U120" i="90" s="1"/>
  <c r="S120" i="90" s="1"/>
  <c r="Z126" i="90"/>
  <c r="P121" i="90"/>
  <c r="U121" i="90" s="1"/>
  <c r="S121" i="90" s="1"/>
  <c r="N118" i="90"/>
  <c r="P123" i="90"/>
  <c r="U123" i="90" s="1"/>
  <c r="S123" i="90" s="1"/>
  <c r="S111" i="90"/>
  <c r="S117" i="90" s="1"/>
  <c r="U117" i="90"/>
  <c r="S112" i="118"/>
  <c r="S118" i="118" s="1"/>
  <c r="U118" i="118"/>
  <c r="S112" i="106"/>
  <c r="S118" i="106" s="1"/>
  <c r="U118" i="106"/>
  <c r="N156" i="63"/>
  <c r="Z164" i="63"/>
  <c r="P162" i="63"/>
  <c r="U162" i="63" s="1"/>
  <c r="S162" i="63" s="1"/>
  <c r="P161" i="63"/>
  <c r="U161" i="63" s="1"/>
  <c r="S161" i="63" s="1"/>
  <c r="P158" i="63"/>
  <c r="U158" i="63" s="1"/>
  <c r="S158" i="63" s="1"/>
  <c r="P160" i="63"/>
  <c r="U160" i="63" s="1"/>
  <c r="S160" i="63" s="1"/>
  <c r="P159" i="63"/>
  <c r="U159" i="63" s="1"/>
  <c r="S159" i="63" s="1"/>
  <c r="P157" i="63"/>
  <c r="U157" i="63" s="1"/>
  <c r="S169" i="82"/>
  <c r="S175" i="82" s="1"/>
  <c r="U175" i="82"/>
  <c r="S142" i="92"/>
  <c r="S148" i="92" s="1"/>
  <c r="U148" i="92"/>
  <c r="P132" i="122"/>
  <c r="U132" i="122" s="1"/>
  <c r="S132" i="122" s="1"/>
  <c r="P128" i="122"/>
  <c r="U128" i="122" s="1"/>
  <c r="P133" i="122"/>
  <c r="U133" i="122" s="1"/>
  <c r="S133" i="122" s="1"/>
  <c r="P129" i="122"/>
  <c r="U129" i="122" s="1"/>
  <c r="S129" i="122" s="1"/>
  <c r="N127" i="122"/>
  <c r="P131" i="122"/>
  <c r="U131" i="122" s="1"/>
  <c r="S131" i="122" s="1"/>
  <c r="Z135" i="122"/>
  <c r="P130" i="122"/>
  <c r="U130" i="122" s="1"/>
  <c r="S130" i="122" s="1"/>
  <c r="S149" i="63"/>
  <c r="S155" i="63" s="1"/>
  <c r="U155" i="63"/>
  <c r="P164" i="83"/>
  <c r="U164" i="83" s="1"/>
  <c r="S164" i="83" s="1"/>
  <c r="P167" i="83"/>
  <c r="U167" i="83" s="1"/>
  <c r="S167" i="83" s="1"/>
  <c r="P166" i="83"/>
  <c r="U166" i="83" s="1"/>
  <c r="S166" i="83" s="1"/>
  <c r="Z169" i="83"/>
  <c r="P163" i="83"/>
  <c r="U163" i="83" s="1"/>
  <c r="S163" i="83" s="1"/>
  <c r="P162" i="83"/>
  <c r="U162" i="83" s="1"/>
  <c r="N161" i="83"/>
  <c r="P165" i="83"/>
  <c r="U165" i="83" s="1"/>
  <c r="S165" i="83" s="1"/>
  <c r="S125" i="95"/>
  <c r="S131" i="95" s="1"/>
  <c r="U131" i="95"/>
  <c r="N176" i="82"/>
  <c r="P181" i="82"/>
  <c r="U181" i="82" s="1"/>
  <c r="S181" i="82" s="1"/>
  <c r="P178" i="82"/>
  <c r="U178" i="82" s="1"/>
  <c r="S178" i="82" s="1"/>
  <c r="P177" i="82"/>
  <c r="U177" i="82" s="1"/>
  <c r="P182" i="82"/>
  <c r="U182" i="82" s="1"/>
  <c r="S182" i="82" s="1"/>
  <c r="P179" i="82"/>
  <c r="U179" i="82" s="1"/>
  <c r="S179" i="82" s="1"/>
  <c r="P180" i="82"/>
  <c r="U180" i="82" s="1"/>
  <c r="S180" i="82" s="1"/>
  <c r="Z184" i="82"/>
  <c r="P155" i="92"/>
  <c r="U155" i="92" s="1"/>
  <c r="S155" i="92" s="1"/>
  <c r="P152" i="92"/>
  <c r="U152" i="92" s="1"/>
  <c r="S152" i="92" s="1"/>
  <c r="Z157" i="92"/>
  <c r="P153" i="92"/>
  <c r="U153" i="92" s="1"/>
  <c r="S153" i="92" s="1"/>
  <c r="N149" i="92"/>
  <c r="P151" i="92"/>
  <c r="U151" i="92" s="1"/>
  <c r="S151" i="92" s="1"/>
  <c r="P154" i="92"/>
  <c r="U154" i="92" s="1"/>
  <c r="S154" i="92" s="1"/>
  <c r="P150" i="92"/>
  <c r="U150" i="92" s="1"/>
  <c r="S154" i="83"/>
  <c r="S160" i="83" s="1"/>
  <c r="U160" i="83"/>
  <c r="S120" i="122"/>
  <c r="S126" i="122" s="1"/>
  <c r="U126" i="122"/>
  <c r="N132" i="95"/>
  <c r="P134" i="95"/>
  <c r="U134" i="95" s="1"/>
  <c r="S134" i="95" s="1"/>
  <c r="P135" i="95"/>
  <c r="U135" i="95" s="1"/>
  <c r="S135" i="95" s="1"/>
  <c r="P137" i="95"/>
  <c r="U137" i="95" s="1"/>
  <c r="S137" i="95" s="1"/>
  <c r="P138" i="95"/>
  <c r="U138" i="95" s="1"/>
  <c r="S138" i="95" s="1"/>
  <c r="Z140" i="95"/>
  <c r="P136" i="95"/>
  <c r="U136" i="95" s="1"/>
  <c r="S136" i="95" s="1"/>
  <c r="P133" i="95"/>
  <c r="U133" i="95" s="1"/>
  <c r="S125" i="108"/>
  <c r="S131" i="108" s="1"/>
  <c r="U131" i="108"/>
  <c r="N132" i="108"/>
  <c r="Z140" i="108"/>
  <c r="P137" i="108"/>
  <c r="U137" i="108" s="1"/>
  <c r="S137" i="108" s="1"/>
  <c r="P134" i="108"/>
  <c r="U134" i="108" s="1"/>
  <c r="S134" i="108" s="1"/>
  <c r="P138" i="108"/>
  <c r="U138" i="108" s="1"/>
  <c r="S138" i="108" s="1"/>
  <c r="P133" i="108"/>
  <c r="U133" i="108" s="1"/>
  <c r="P135" i="108"/>
  <c r="U135" i="108" s="1"/>
  <c r="S135" i="108" s="1"/>
  <c r="P136" i="108"/>
  <c r="U136" i="108" s="1"/>
  <c r="S136" i="108" s="1"/>
  <c r="U146" i="123"/>
  <c r="S140" i="123"/>
  <c r="S146" i="123" s="1"/>
  <c r="P153" i="88"/>
  <c r="U153" i="88" s="1"/>
  <c r="S153" i="88" s="1"/>
  <c r="P150" i="88"/>
  <c r="U150" i="88" s="1"/>
  <c r="N149" i="88"/>
  <c r="P154" i="88"/>
  <c r="U154" i="88" s="1"/>
  <c r="S154" i="88" s="1"/>
  <c r="P152" i="88"/>
  <c r="U152" i="88" s="1"/>
  <c r="S152" i="88" s="1"/>
  <c r="Z157" i="88"/>
  <c r="P151" i="88"/>
  <c r="U151" i="88" s="1"/>
  <c r="S151" i="88" s="1"/>
  <c r="P155" i="88"/>
  <c r="U155" i="88" s="1"/>
  <c r="S155" i="88" s="1"/>
  <c r="S129" i="81"/>
  <c r="S135" i="81" s="1"/>
  <c r="U135" i="81"/>
  <c r="S115" i="111"/>
  <c r="S121" i="111" s="1"/>
  <c r="U121" i="111"/>
  <c r="P145" i="70"/>
  <c r="U145" i="70" s="1"/>
  <c r="S145" i="70" s="1"/>
  <c r="P146" i="70"/>
  <c r="U146" i="70" s="1"/>
  <c r="S146" i="70" s="1"/>
  <c r="N140" i="70"/>
  <c r="P142" i="70"/>
  <c r="U142" i="70" s="1"/>
  <c r="S142" i="70" s="1"/>
  <c r="P141" i="70"/>
  <c r="U141" i="70" s="1"/>
  <c r="P144" i="70"/>
  <c r="U144" i="70" s="1"/>
  <c r="S144" i="70" s="1"/>
  <c r="Z148" i="70"/>
  <c r="P143" i="70"/>
  <c r="U143" i="70" s="1"/>
  <c r="S143" i="70" s="1"/>
  <c r="AF144" i="36"/>
  <c r="P128" i="25"/>
  <c r="U128" i="25" s="1"/>
  <c r="S128" i="25" s="1"/>
  <c r="N125" i="25"/>
  <c r="P129" i="25"/>
  <c r="U129" i="25" s="1"/>
  <c r="S129" i="25" s="1"/>
  <c r="P131" i="25"/>
  <c r="U131" i="25" s="1"/>
  <c r="S131" i="25" s="1"/>
  <c r="P127" i="25"/>
  <c r="U127" i="25" s="1"/>
  <c r="S127" i="25" s="1"/>
  <c r="P130" i="25"/>
  <c r="U130" i="25" s="1"/>
  <c r="S130" i="25" s="1"/>
  <c r="Z133" i="25"/>
  <c r="P126" i="25"/>
  <c r="U126" i="25" s="1"/>
  <c r="S134" i="98"/>
  <c r="S140" i="98" s="1"/>
  <c r="U140" i="98"/>
  <c r="P145" i="98"/>
  <c r="U145" i="98" s="1"/>
  <c r="S145" i="98" s="1"/>
  <c r="P143" i="98"/>
  <c r="U143" i="98" s="1"/>
  <c r="S143" i="98" s="1"/>
  <c r="Z149" i="98"/>
  <c r="P147" i="98"/>
  <c r="U147" i="98" s="1"/>
  <c r="S147" i="98" s="1"/>
  <c r="P142" i="98"/>
  <c r="U142" i="98" s="1"/>
  <c r="N141" i="98"/>
  <c r="P144" i="98"/>
  <c r="U144" i="98" s="1"/>
  <c r="S144" i="98" s="1"/>
  <c r="P146" i="98"/>
  <c r="U146" i="98" s="1"/>
  <c r="S146" i="98" s="1"/>
  <c r="S131" i="70"/>
  <c r="S142" i="88"/>
  <c r="S148" i="88" s="1"/>
  <c r="U148" i="88"/>
  <c r="N122" i="111"/>
  <c r="P124" i="111"/>
  <c r="U124" i="111" s="1"/>
  <c r="S124" i="111" s="1"/>
  <c r="P125" i="111"/>
  <c r="U125" i="111" s="1"/>
  <c r="S125" i="111" s="1"/>
  <c r="P127" i="111"/>
  <c r="U127" i="111" s="1"/>
  <c r="S127" i="111" s="1"/>
  <c r="P128" i="111"/>
  <c r="U128" i="111" s="1"/>
  <c r="S128" i="111" s="1"/>
  <c r="P126" i="111"/>
  <c r="U126" i="111" s="1"/>
  <c r="S126" i="111" s="1"/>
  <c r="P123" i="111"/>
  <c r="U123" i="111" s="1"/>
  <c r="Z130" i="111"/>
  <c r="U124" i="89"/>
  <c r="S118" i="89"/>
  <c r="S124" i="89" s="1"/>
  <c r="U117" i="68"/>
  <c r="S111" i="68"/>
  <c r="S117" i="68" s="1"/>
  <c r="P138" i="77"/>
  <c r="U138" i="77" s="1"/>
  <c r="Z145" i="77"/>
  <c r="P140" i="77"/>
  <c r="U140" i="77" s="1"/>
  <c r="S140" i="77" s="1"/>
  <c r="N137" i="77"/>
  <c r="P141" i="77"/>
  <c r="U141" i="77" s="1"/>
  <c r="S141" i="77" s="1"/>
  <c r="P142" i="77"/>
  <c r="U142" i="77" s="1"/>
  <c r="S142" i="77" s="1"/>
  <c r="P143" i="77"/>
  <c r="U143" i="77" s="1"/>
  <c r="S143" i="77" s="1"/>
  <c r="P139" i="77"/>
  <c r="U139" i="77" s="1"/>
  <c r="S139" i="77" s="1"/>
  <c r="U115" i="72"/>
  <c r="S109" i="72"/>
  <c r="S115" i="72" s="1"/>
  <c r="S130" i="77"/>
  <c r="S136" i="77" s="1"/>
  <c r="U136" i="77"/>
  <c r="S118" i="25"/>
  <c r="S124" i="25" s="1"/>
  <c r="U124" i="25"/>
  <c r="P117" i="72"/>
  <c r="U117" i="72" s="1"/>
  <c r="P121" i="72"/>
  <c r="U121" i="72" s="1"/>
  <c r="S121" i="72" s="1"/>
  <c r="P120" i="72"/>
  <c r="U120" i="72" s="1"/>
  <c r="S120" i="72" s="1"/>
  <c r="N116" i="72"/>
  <c r="P118" i="72"/>
  <c r="U118" i="72" s="1"/>
  <c r="S118" i="72" s="1"/>
  <c r="Z124" i="72"/>
  <c r="P119" i="72"/>
  <c r="U119" i="72" s="1"/>
  <c r="S119" i="72" s="1"/>
  <c r="P122" i="72"/>
  <c r="U122" i="72" s="1"/>
  <c r="S122" i="72" s="1"/>
  <c r="P137" i="81"/>
  <c r="U137" i="81" s="1"/>
  <c r="Z144" i="81"/>
  <c r="P141" i="81"/>
  <c r="U141" i="81" s="1"/>
  <c r="S141" i="81" s="1"/>
  <c r="P140" i="81"/>
  <c r="U140" i="81" s="1"/>
  <c r="S140" i="81" s="1"/>
  <c r="P139" i="81"/>
  <c r="U139" i="81" s="1"/>
  <c r="S139" i="81" s="1"/>
  <c r="P142" i="81"/>
  <c r="U142" i="81" s="1"/>
  <c r="S142" i="81" s="1"/>
  <c r="N136" i="81"/>
  <c r="P138" i="81"/>
  <c r="U138" i="81" s="1"/>
  <c r="S138" i="81" s="1"/>
  <c r="P129" i="89"/>
  <c r="U129" i="89" s="1"/>
  <c r="S129" i="89" s="1"/>
  <c r="N125" i="89"/>
  <c r="P131" i="89"/>
  <c r="U131" i="89" s="1"/>
  <c r="S131" i="89" s="1"/>
  <c r="P130" i="89"/>
  <c r="U130" i="89" s="1"/>
  <c r="S130" i="89" s="1"/>
  <c r="P126" i="89"/>
  <c r="U126" i="89" s="1"/>
  <c r="P127" i="89"/>
  <c r="U127" i="89" s="1"/>
  <c r="S127" i="89" s="1"/>
  <c r="P128" i="89"/>
  <c r="U128" i="89" s="1"/>
  <c r="S128" i="89" s="1"/>
  <c r="Z133" i="89"/>
  <c r="P119" i="68"/>
  <c r="U119" i="68" s="1"/>
  <c r="N118" i="68"/>
  <c r="P123" i="68"/>
  <c r="U123" i="68" s="1"/>
  <c r="S123" i="68" s="1"/>
  <c r="P121" i="68"/>
  <c r="U121" i="68" s="1"/>
  <c r="S121" i="68" s="1"/>
  <c r="P120" i="68"/>
  <c r="U120" i="68" s="1"/>
  <c r="S120" i="68" s="1"/>
  <c r="P122" i="68"/>
  <c r="U122" i="68" s="1"/>
  <c r="S122" i="68" s="1"/>
  <c r="Z126" i="68"/>
  <c r="P124" i="68"/>
  <c r="U124" i="68" s="1"/>
  <c r="S124" i="68" s="1"/>
  <c r="S133" i="70"/>
  <c r="S139" i="70" s="1"/>
  <c r="U139" i="70"/>
  <c r="P160" i="109" l="1"/>
  <c r="U160" i="109" s="1"/>
  <c r="S160" i="109" s="1"/>
  <c r="P158" i="109"/>
  <c r="U158" i="109" s="1"/>
  <c r="S158" i="109" s="1"/>
  <c r="N154" i="109"/>
  <c r="P155" i="109"/>
  <c r="U155" i="109" s="1"/>
  <c r="Z162" i="109"/>
  <c r="P156" i="109"/>
  <c r="U156" i="109" s="1"/>
  <c r="S156" i="109" s="1"/>
  <c r="P159" i="109"/>
  <c r="U159" i="109" s="1"/>
  <c r="S159" i="109" s="1"/>
  <c r="P157" i="109"/>
  <c r="U157" i="109" s="1"/>
  <c r="S157" i="109" s="1"/>
  <c r="S147" i="109"/>
  <c r="S153" i="109" s="1"/>
  <c r="U153" i="109"/>
  <c r="P129" i="116"/>
  <c r="U129" i="116" s="1"/>
  <c r="S129" i="116" s="1"/>
  <c r="P127" i="116"/>
  <c r="U127" i="116" s="1"/>
  <c r="P128" i="116"/>
  <c r="U128" i="116" s="1"/>
  <c r="S128" i="116" s="1"/>
  <c r="N126" i="116"/>
  <c r="P131" i="116"/>
  <c r="U131" i="116" s="1"/>
  <c r="S131" i="116" s="1"/>
  <c r="Z134" i="116"/>
  <c r="P130" i="116"/>
  <c r="U130" i="116" s="1"/>
  <c r="S130" i="116" s="1"/>
  <c r="P132" i="116"/>
  <c r="U132" i="116" s="1"/>
  <c r="S132" i="116" s="1"/>
  <c r="S119" i="116"/>
  <c r="S125" i="116" s="1"/>
  <c r="U125" i="116"/>
  <c r="S133" i="105"/>
  <c r="S139" i="105" s="1"/>
  <c r="U139" i="105"/>
  <c r="N140" i="105"/>
  <c r="P143" i="105"/>
  <c r="U143" i="105" s="1"/>
  <c r="S143" i="105" s="1"/>
  <c r="P144" i="105"/>
  <c r="U144" i="105" s="1"/>
  <c r="S144" i="105" s="1"/>
  <c r="P141" i="105"/>
  <c r="U141" i="105" s="1"/>
  <c r="P142" i="105"/>
  <c r="U142" i="105" s="1"/>
  <c r="S142" i="105" s="1"/>
  <c r="P146" i="105"/>
  <c r="U146" i="105" s="1"/>
  <c r="S146" i="105" s="1"/>
  <c r="P145" i="105"/>
  <c r="U145" i="105" s="1"/>
  <c r="S145" i="105" s="1"/>
  <c r="S135" i="103"/>
  <c r="S141" i="103" s="1"/>
  <c r="U141" i="103"/>
  <c r="N142" i="103"/>
  <c r="P147" i="103"/>
  <c r="U147" i="103" s="1"/>
  <c r="S147" i="103" s="1"/>
  <c r="Z150" i="103"/>
  <c r="Z158" i="103" s="1"/>
  <c r="P146" i="103"/>
  <c r="U146" i="103" s="1"/>
  <c r="S146" i="103" s="1"/>
  <c r="P143" i="103"/>
  <c r="U143" i="103" s="1"/>
  <c r="P144" i="103"/>
  <c r="U144" i="103" s="1"/>
  <c r="S144" i="103" s="1"/>
  <c r="P145" i="103"/>
  <c r="U145" i="103" s="1"/>
  <c r="S145" i="103" s="1"/>
  <c r="P148" i="103"/>
  <c r="U148" i="103" s="1"/>
  <c r="S148" i="103" s="1"/>
  <c r="P164" i="96"/>
  <c r="U164" i="96" s="1"/>
  <c r="S164" i="96" s="1"/>
  <c r="P161" i="96"/>
  <c r="U161" i="96" s="1"/>
  <c r="P163" i="96"/>
  <c r="U163" i="96" s="1"/>
  <c r="S163" i="96" s="1"/>
  <c r="P165" i="96"/>
  <c r="U165" i="96" s="1"/>
  <c r="S165" i="96" s="1"/>
  <c r="P166" i="96"/>
  <c r="U166" i="96" s="1"/>
  <c r="S166" i="96" s="1"/>
  <c r="N160" i="96"/>
  <c r="P162" i="96"/>
  <c r="U162" i="96" s="1"/>
  <c r="S162" i="96" s="1"/>
  <c r="Z168" i="96"/>
  <c r="S153" i="96"/>
  <c r="S159" i="96" s="1"/>
  <c r="U159" i="96"/>
  <c r="Y56" i="92"/>
  <c r="A98" i="92"/>
  <c r="S119" i="91"/>
  <c r="S125" i="91" s="1"/>
  <c r="U125" i="91"/>
  <c r="P128" i="91"/>
  <c r="U128" i="91" s="1"/>
  <c r="S128" i="91" s="1"/>
  <c r="P127" i="91"/>
  <c r="U127" i="91" s="1"/>
  <c r="P130" i="91"/>
  <c r="U130" i="91" s="1"/>
  <c r="S130" i="91" s="1"/>
  <c r="P132" i="91"/>
  <c r="U132" i="91" s="1"/>
  <c r="S132" i="91" s="1"/>
  <c r="P131" i="91"/>
  <c r="U131" i="91" s="1"/>
  <c r="S131" i="91" s="1"/>
  <c r="N126" i="91"/>
  <c r="Z134" i="91"/>
  <c r="P129" i="91"/>
  <c r="U129" i="91" s="1"/>
  <c r="S129" i="91" s="1"/>
  <c r="S157" i="86"/>
  <c r="S163" i="86" s="1"/>
  <c r="U163" i="86"/>
  <c r="N164" i="86"/>
  <c r="P169" i="86"/>
  <c r="U169" i="86" s="1"/>
  <c r="S169" i="86" s="1"/>
  <c r="P165" i="86"/>
  <c r="U165" i="86" s="1"/>
  <c r="P170" i="86"/>
  <c r="U170" i="86" s="1"/>
  <c r="S170" i="86" s="1"/>
  <c r="Z172" i="86"/>
  <c r="P168" i="86"/>
  <c r="U168" i="86" s="1"/>
  <c r="S168" i="86" s="1"/>
  <c r="P166" i="86"/>
  <c r="U166" i="86" s="1"/>
  <c r="S166" i="86" s="1"/>
  <c r="P167" i="86"/>
  <c r="U167" i="86" s="1"/>
  <c r="S167" i="86" s="1"/>
  <c r="P152" i="84"/>
  <c r="U152" i="84" s="1"/>
  <c r="S152" i="84" s="1"/>
  <c r="P150" i="84"/>
  <c r="U150" i="84" s="1"/>
  <c r="S150" i="84" s="1"/>
  <c r="Z155" i="84"/>
  <c r="P151" i="84"/>
  <c r="U151" i="84" s="1"/>
  <c r="S151" i="84" s="1"/>
  <c r="P148" i="84"/>
  <c r="U148" i="84" s="1"/>
  <c r="N147" i="84"/>
  <c r="P153" i="84"/>
  <c r="U153" i="84" s="1"/>
  <c r="S153" i="84" s="1"/>
  <c r="P149" i="84"/>
  <c r="U149" i="84" s="1"/>
  <c r="S149" i="84" s="1"/>
  <c r="U146" i="84"/>
  <c r="S140" i="84"/>
  <c r="S146" i="84" s="1"/>
  <c r="S160" i="78"/>
  <c r="S166" i="78" s="1"/>
  <c r="U166" i="78"/>
  <c r="P169" i="78"/>
  <c r="U169" i="78" s="1"/>
  <c r="S169" i="78" s="1"/>
  <c r="P170" i="78"/>
  <c r="U170" i="78" s="1"/>
  <c r="S170" i="78" s="1"/>
  <c r="P171" i="78"/>
  <c r="U171" i="78" s="1"/>
  <c r="S171" i="78" s="1"/>
  <c r="N167" i="78"/>
  <c r="P173" i="78"/>
  <c r="U173" i="78" s="1"/>
  <c r="S173" i="78" s="1"/>
  <c r="P172" i="78"/>
  <c r="U172" i="78" s="1"/>
  <c r="S172" i="78" s="1"/>
  <c r="Z175" i="78"/>
  <c r="P168" i="78"/>
  <c r="U168" i="78" s="1"/>
  <c r="S150" i="76"/>
  <c r="S156" i="76" s="1"/>
  <c r="U156" i="76"/>
  <c r="P163" i="76"/>
  <c r="U163" i="76" s="1"/>
  <c r="S163" i="76" s="1"/>
  <c r="P159" i="76"/>
  <c r="U159" i="76" s="1"/>
  <c r="S159" i="76" s="1"/>
  <c r="P160" i="76"/>
  <c r="U160" i="76" s="1"/>
  <c r="S160" i="76" s="1"/>
  <c r="P162" i="76"/>
  <c r="U162" i="76" s="1"/>
  <c r="S162" i="76" s="1"/>
  <c r="N157" i="76"/>
  <c r="P161" i="76"/>
  <c r="U161" i="76" s="1"/>
  <c r="S161" i="76" s="1"/>
  <c r="Z165" i="76"/>
  <c r="P158" i="76"/>
  <c r="U158" i="76" s="1"/>
  <c r="U138" i="75"/>
  <c r="S132" i="75"/>
  <c r="S138" i="75" s="1"/>
  <c r="P143" i="75"/>
  <c r="U143" i="75" s="1"/>
  <c r="S143" i="75" s="1"/>
  <c r="P145" i="75"/>
  <c r="U145" i="75" s="1"/>
  <c r="S145" i="75" s="1"/>
  <c r="N139" i="75"/>
  <c r="Z147" i="75"/>
  <c r="P140" i="75"/>
  <c r="U140" i="75" s="1"/>
  <c r="P141" i="75"/>
  <c r="U141" i="75" s="1"/>
  <c r="S141" i="75" s="1"/>
  <c r="P144" i="75"/>
  <c r="U144" i="75" s="1"/>
  <c r="S144" i="75" s="1"/>
  <c r="P142" i="75"/>
  <c r="U142" i="75" s="1"/>
  <c r="S142" i="75" s="1"/>
  <c r="P150" i="74"/>
  <c r="U150" i="74" s="1"/>
  <c r="S150" i="74" s="1"/>
  <c r="P147" i="74"/>
  <c r="U147" i="74" s="1"/>
  <c r="S147" i="74" s="1"/>
  <c r="P146" i="74"/>
  <c r="U146" i="74" s="1"/>
  <c r="S146" i="74" s="1"/>
  <c r="P148" i="74"/>
  <c r="U148" i="74" s="1"/>
  <c r="S148" i="74" s="1"/>
  <c r="Z152" i="74"/>
  <c r="P145" i="74"/>
  <c r="U145" i="74" s="1"/>
  <c r="N144" i="74"/>
  <c r="P149" i="74"/>
  <c r="U149" i="74" s="1"/>
  <c r="S149" i="74" s="1"/>
  <c r="S137" i="74"/>
  <c r="S143" i="74" s="1"/>
  <c r="U143" i="74"/>
  <c r="U138" i="73"/>
  <c r="S132" i="73"/>
  <c r="S138" i="73" s="1"/>
  <c r="Z147" i="73"/>
  <c r="P140" i="73"/>
  <c r="U140" i="73" s="1"/>
  <c r="N139" i="73"/>
  <c r="P143" i="73"/>
  <c r="U143" i="73" s="1"/>
  <c r="S143" i="73" s="1"/>
  <c r="P145" i="73"/>
  <c r="U145" i="73" s="1"/>
  <c r="S145" i="73" s="1"/>
  <c r="P144" i="73"/>
  <c r="U144" i="73" s="1"/>
  <c r="S144" i="73" s="1"/>
  <c r="P142" i="73"/>
  <c r="U142" i="73" s="1"/>
  <c r="S142" i="73" s="1"/>
  <c r="P141" i="73"/>
  <c r="U141" i="73" s="1"/>
  <c r="S141" i="73" s="1"/>
  <c r="S120" i="69"/>
  <c r="S126" i="69" s="1"/>
  <c r="U126" i="69"/>
  <c r="N127" i="69"/>
  <c r="P129" i="69"/>
  <c r="U129" i="69" s="1"/>
  <c r="S129" i="69" s="1"/>
  <c r="P128" i="69"/>
  <c r="U128" i="69" s="1"/>
  <c r="P133" i="69"/>
  <c r="U133" i="69" s="1"/>
  <c r="S133" i="69" s="1"/>
  <c r="P131" i="69"/>
  <c r="U131" i="69" s="1"/>
  <c r="S131" i="69" s="1"/>
  <c r="Z135" i="69"/>
  <c r="P132" i="69"/>
  <c r="U132" i="69" s="1"/>
  <c r="S132" i="69" s="1"/>
  <c r="P130" i="69"/>
  <c r="U130" i="69" s="1"/>
  <c r="S130" i="69" s="1"/>
  <c r="N146" i="34"/>
  <c r="P150" i="34"/>
  <c r="U150" i="34" s="1"/>
  <c r="S150" i="34" s="1"/>
  <c r="P152" i="34"/>
  <c r="U152" i="34" s="1"/>
  <c r="S152" i="34" s="1"/>
  <c r="Z154" i="34"/>
  <c r="P147" i="34"/>
  <c r="U147" i="34" s="1"/>
  <c r="P149" i="34"/>
  <c r="U149" i="34" s="1"/>
  <c r="S149" i="34" s="1"/>
  <c r="P151" i="34"/>
  <c r="U151" i="34" s="1"/>
  <c r="S151" i="34" s="1"/>
  <c r="P148" i="34"/>
  <c r="U148" i="34" s="1"/>
  <c r="S148" i="34" s="1"/>
  <c r="U145" i="34"/>
  <c r="S139" i="34"/>
  <c r="S145" i="34" s="1"/>
  <c r="S113" i="61"/>
  <c r="S119" i="61" s="1"/>
  <c r="U119" i="61"/>
  <c r="N120" i="61"/>
  <c r="P122" i="61"/>
  <c r="U122" i="61" s="1"/>
  <c r="S122" i="61" s="1"/>
  <c r="P124" i="61"/>
  <c r="U124" i="61" s="1"/>
  <c r="S124" i="61" s="1"/>
  <c r="P126" i="61"/>
  <c r="U126" i="61" s="1"/>
  <c r="S126" i="61" s="1"/>
  <c r="P123" i="61"/>
  <c r="U123" i="61" s="1"/>
  <c r="S123" i="61" s="1"/>
  <c r="P125" i="61"/>
  <c r="U125" i="61" s="1"/>
  <c r="S125" i="61" s="1"/>
  <c r="P121" i="61"/>
  <c r="U121" i="61" s="1"/>
  <c r="Z128" i="61"/>
  <c r="S132" i="60"/>
  <c r="S138" i="60" s="1"/>
  <c r="U138" i="60"/>
  <c r="S129" i="85"/>
  <c r="S135" i="85" s="1"/>
  <c r="U135" i="85"/>
  <c r="S142" i="62"/>
  <c r="S148" i="62" s="1"/>
  <c r="U148" i="62"/>
  <c r="P171" i="79"/>
  <c r="U171" i="79" s="1"/>
  <c r="S171" i="79" s="1"/>
  <c r="Z177" i="79"/>
  <c r="P175" i="79"/>
  <c r="U175" i="79" s="1"/>
  <c r="S175" i="79" s="1"/>
  <c r="P172" i="79"/>
  <c r="U172" i="79" s="1"/>
  <c r="S172" i="79" s="1"/>
  <c r="P174" i="79"/>
  <c r="U174" i="79" s="1"/>
  <c r="S174" i="79" s="1"/>
  <c r="P173" i="79"/>
  <c r="U173" i="79" s="1"/>
  <c r="S173" i="79" s="1"/>
  <c r="P170" i="79"/>
  <c r="U170" i="79" s="1"/>
  <c r="N169" i="79"/>
  <c r="U168" i="79"/>
  <c r="S162" i="79"/>
  <c r="S168" i="79" s="1"/>
  <c r="P145" i="59"/>
  <c r="U145" i="59" s="1"/>
  <c r="S145" i="59" s="1"/>
  <c r="Z149" i="59"/>
  <c r="P144" i="59"/>
  <c r="U144" i="59" s="1"/>
  <c r="S144" i="59" s="1"/>
  <c r="N141" i="59"/>
  <c r="P147" i="59"/>
  <c r="U147" i="59" s="1"/>
  <c r="S147" i="59" s="1"/>
  <c r="P142" i="59"/>
  <c r="U142" i="59" s="1"/>
  <c r="P143" i="59"/>
  <c r="U143" i="59" s="1"/>
  <c r="S143" i="59" s="1"/>
  <c r="P146" i="59"/>
  <c r="U146" i="59" s="1"/>
  <c r="S146" i="59" s="1"/>
  <c r="S134" i="59"/>
  <c r="S140" i="59" s="1"/>
  <c r="U140" i="59"/>
  <c r="S121" i="121"/>
  <c r="S127" i="121" s="1"/>
  <c r="U127" i="121"/>
  <c r="P158" i="102"/>
  <c r="U158" i="102" s="1"/>
  <c r="P161" i="102"/>
  <c r="U161" i="102" s="1"/>
  <c r="S161" i="102" s="1"/>
  <c r="N157" i="102"/>
  <c r="P160" i="102"/>
  <c r="U160" i="102" s="1"/>
  <c r="S160" i="102" s="1"/>
  <c r="Z165" i="102"/>
  <c r="P163" i="102"/>
  <c r="U163" i="102" s="1"/>
  <c r="S163" i="102" s="1"/>
  <c r="P159" i="102"/>
  <c r="U159" i="102" s="1"/>
  <c r="S159" i="102" s="1"/>
  <c r="P162" i="102"/>
  <c r="U162" i="102" s="1"/>
  <c r="S162" i="102" s="1"/>
  <c r="S153" i="57"/>
  <c r="S159" i="57" s="1"/>
  <c r="U159" i="57"/>
  <c r="P142" i="60"/>
  <c r="U142" i="60" s="1"/>
  <c r="S142" i="60" s="1"/>
  <c r="P140" i="60"/>
  <c r="U140" i="60" s="1"/>
  <c r="P141" i="60"/>
  <c r="U141" i="60" s="1"/>
  <c r="S141" i="60" s="1"/>
  <c r="Z147" i="60"/>
  <c r="P145" i="60"/>
  <c r="U145" i="60" s="1"/>
  <c r="S145" i="60" s="1"/>
  <c r="N139" i="60"/>
  <c r="P144" i="60"/>
  <c r="U144" i="60" s="1"/>
  <c r="S144" i="60" s="1"/>
  <c r="P143" i="60"/>
  <c r="U143" i="60" s="1"/>
  <c r="S143" i="60" s="1"/>
  <c r="U153" i="101"/>
  <c r="S147" i="101"/>
  <c r="S153" i="101" s="1"/>
  <c r="P129" i="121"/>
  <c r="U129" i="121" s="1"/>
  <c r="P134" i="121"/>
  <c r="U134" i="121" s="1"/>
  <c r="S134" i="121" s="1"/>
  <c r="P130" i="121"/>
  <c r="U130" i="121" s="1"/>
  <c r="S130" i="121" s="1"/>
  <c r="Z136" i="121"/>
  <c r="P133" i="121"/>
  <c r="U133" i="121" s="1"/>
  <c r="S133" i="121" s="1"/>
  <c r="N128" i="121"/>
  <c r="P131" i="121"/>
  <c r="U131" i="121" s="1"/>
  <c r="S131" i="121" s="1"/>
  <c r="P132" i="121"/>
  <c r="U132" i="121" s="1"/>
  <c r="S132" i="121" s="1"/>
  <c r="P165" i="57"/>
  <c r="U165" i="57" s="1"/>
  <c r="S165" i="57" s="1"/>
  <c r="P166" i="57"/>
  <c r="U166" i="57" s="1"/>
  <c r="S166" i="57" s="1"/>
  <c r="P164" i="57"/>
  <c r="U164" i="57" s="1"/>
  <c r="S164" i="57" s="1"/>
  <c r="Z168" i="57"/>
  <c r="N160" i="57"/>
  <c r="P162" i="57"/>
  <c r="U162" i="57" s="1"/>
  <c r="S162" i="57" s="1"/>
  <c r="P161" i="57"/>
  <c r="U161" i="57" s="1"/>
  <c r="P163" i="57"/>
  <c r="U163" i="57" s="1"/>
  <c r="S163" i="57" s="1"/>
  <c r="P159" i="101"/>
  <c r="U159" i="101" s="1"/>
  <c r="S159" i="101" s="1"/>
  <c r="P157" i="101"/>
  <c r="U157" i="101" s="1"/>
  <c r="S157" i="101" s="1"/>
  <c r="N154" i="101"/>
  <c r="P160" i="101"/>
  <c r="U160" i="101" s="1"/>
  <c r="S160" i="101" s="1"/>
  <c r="P155" i="101"/>
  <c r="U155" i="101" s="1"/>
  <c r="Z162" i="101"/>
  <c r="P156" i="101"/>
  <c r="U156" i="101" s="1"/>
  <c r="S156" i="101" s="1"/>
  <c r="P158" i="101"/>
  <c r="U158" i="101" s="1"/>
  <c r="S158" i="101" s="1"/>
  <c r="Z144" i="85"/>
  <c r="N136" i="85"/>
  <c r="P139" i="85"/>
  <c r="U139" i="85" s="1"/>
  <c r="S139" i="85" s="1"/>
  <c r="P142" i="85"/>
  <c r="U142" i="85" s="1"/>
  <c r="S142" i="85" s="1"/>
  <c r="P138" i="85"/>
  <c r="U138" i="85" s="1"/>
  <c r="S138" i="85" s="1"/>
  <c r="P141" i="85"/>
  <c r="U141" i="85" s="1"/>
  <c r="S141" i="85" s="1"/>
  <c r="P140" i="85"/>
  <c r="U140" i="85" s="1"/>
  <c r="S140" i="85" s="1"/>
  <c r="P137" i="85"/>
  <c r="U137" i="85" s="1"/>
  <c r="P150" i="62"/>
  <c r="U150" i="62" s="1"/>
  <c r="P151" i="62"/>
  <c r="U151" i="62" s="1"/>
  <c r="S151" i="62" s="1"/>
  <c r="Z157" i="62"/>
  <c r="P155" i="62"/>
  <c r="U155" i="62" s="1"/>
  <c r="S155" i="62" s="1"/>
  <c r="N149" i="62"/>
  <c r="P152" i="62"/>
  <c r="U152" i="62" s="1"/>
  <c r="S152" i="62" s="1"/>
  <c r="P153" i="62"/>
  <c r="U153" i="62" s="1"/>
  <c r="S153" i="62" s="1"/>
  <c r="P154" i="62"/>
  <c r="U154" i="62" s="1"/>
  <c r="S154" i="62" s="1"/>
  <c r="S150" i="102"/>
  <c r="S156" i="102" s="1"/>
  <c r="U156" i="102"/>
  <c r="U139" i="95"/>
  <c r="S133" i="95"/>
  <c r="S139" i="95" s="1"/>
  <c r="S150" i="92"/>
  <c r="S156" i="92" s="1"/>
  <c r="U156" i="92"/>
  <c r="S162" i="83"/>
  <c r="S168" i="83" s="1"/>
  <c r="U168" i="83"/>
  <c r="S157" i="63"/>
  <c r="S163" i="63" s="1"/>
  <c r="U163" i="63"/>
  <c r="Z148" i="95"/>
  <c r="N140" i="95"/>
  <c r="P144" i="95"/>
  <c r="U144" i="95" s="1"/>
  <c r="S144" i="95" s="1"/>
  <c r="P142" i="95"/>
  <c r="U142" i="95" s="1"/>
  <c r="S142" i="95" s="1"/>
  <c r="P145" i="95"/>
  <c r="U145" i="95" s="1"/>
  <c r="S145" i="95" s="1"/>
  <c r="P143" i="95"/>
  <c r="U143" i="95" s="1"/>
  <c r="S143" i="95" s="1"/>
  <c r="P141" i="95"/>
  <c r="U141" i="95" s="1"/>
  <c r="P146" i="95"/>
  <c r="U146" i="95" s="1"/>
  <c r="S146" i="95" s="1"/>
  <c r="P158" i="92"/>
  <c r="U158" i="92" s="1"/>
  <c r="N157" i="92"/>
  <c r="P160" i="92"/>
  <c r="U160" i="92" s="1"/>
  <c r="S160" i="92" s="1"/>
  <c r="P162" i="92"/>
  <c r="U162" i="92" s="1"/>
  <c r="S162" i="92" s="1"/>
  <c r="Z165" i="92"/>
  <c r="P159" i="92"/>
  <c r="U159" i="92" s="1"/>
  <c r="S159" i="92" s="1"/>
  <c r="P161" i="92"/>
  <c r="U161" i="92" s="1"/>
  <c r="S161" i="92" s="1"/>
  <c r="P163" i="92"/>
  <c r="U163" i="92" s="1"/>
  <c r="S163" i="92" s="1"/>
  <c r="P187" i="82"/>
  <c r="U187" i="82" s="1"/>
  <c r="S187" i="82" s="1"/>
  <c r="P186" i="82"/>
  <c r="U186" i="82" s="1"/>
  <c r="S186" i="82" s="1"/>
  <c r="P189" i="82"/>
  <c r="U189" i="82" s="1"/>
  <c r="S189" i="82" s="1"/>
  <c r="P188" i="82"/>
  <c r="U188" i="82" s="1"/>
  <c r="S188" i="82" s="1"/>
  <c r="P190" i="82"/>
  <c r="U190" i="82" s="1"/>
  <c r="S190" i="82" s="1"/>
  <c r="Z192" i="82"/>
  <c r="P185" i="82"/>
  <c r="U185" i="82" s="1"/>
  <c r="N184" i="82"/>
  <c r="S177" i="82"/>
  <c r="S183" i="82" s="1"/>
  <c r="U183" i="82"/>
  <c r="P138" i="122"/>
  <c r="U138" i="122" s="1"/>
  <c r="S138" i="122" s="1"/>
  <c r="P139" i="122"/>
  <c r="U139" i="122" s="1"/>
  <c r="S139" i="122" s="1"/>
  <c r="P136" i="122"/>
  <c r="U136" i="122" s="1"/>
  <c r="P141" i="122"/>
  <c r="U141" i="122" s="1"/>
  <c r="S141" i="122" s="1"/>
  <c r="N135" i="122"/>
  <c r="P140" i="122"/>
  <c r="U140" i="122" s="1"/>
  <c r="S140" i="122" s="1"/>
  <c r="P137" i="122"/>
  <c r="U137" i="122" s="1"/>
  <c r="S137" i="122" s="1"/>
  <c r="P127" i="90"/>
  <c r="U127" i="90" s="1"/>
  <c r="N126" i="90"/>
  <c r="P132" i="90"/>
  <c r="U132" i="90" s="1"/>
  <c r="S132" i="90" s="1"/>
  <c r="P129" i="90"/>
  <c r="U129" i="90" s="1"/>
  <c r="S129" i="90" s="1"/>
  <c r="P130" i="90"/>
  <c r="U130" i="90" s="1"/>
  <c r="S130" i="90" s="1"/>
  <c r="Z134" i="90"/>
  <c r="P128" i="90"/>
  <c r="U128" i="90" s="1"/>
  <c r="S128" i="90" s="1"/>
  <c r="P131" i="90"/>
  <c r="U131" i="90" s="1"/>
  <c r="S131" i="90" s="1"/>
  <c r="S119" i="90"/>
  <c r="S125" i="90" s="1"/>
  <c r="U125" i="90"/>
  <c r="N169" i="83"/>
  <c r="P173" i="83"/>
  <c r="U173" i="83" s="1"/>
  <c r="S173" i="83" s="1"/>
  <c r="P174" i="83"/>
  <c r="U174" i="83" s="1"/>
  <c r="S174" i="83" s="1"/>
  <c r="P175" i="83"/>
  <c r="U175" i="83" s="1"/>
  <c r="S175" i="83" s="1"/>
  <c r="P170" i="83"/>
  <c r="U170" i="83" s="1"/>
  <c r="Z177" i="83"/>
  <c r="P171" i="83"/>
  <c r="U171" i="83" s="1"/>
  <c r="S171" i="83" s="1"/>
  <c r="P172" i="83"/>
  <c r="U172" i="83" s="1"/>
  <c r="S172" i="83" s="1"/>
  <c r="S128" i="122"/>
  <c r="S134" i="122" s="1"/>
  <c r="U134" i="122"/>
  <c r="Z172" i="63"/>
  <c r="N164" i="63"/>
  <c r="P168" i="63"/>
  <c r="U168" i="63" s="1"/>
  <c r="S168" i="63" s="1"/>
  <c r="P170" i="63"/>
  <c r="U170" i="63" s="1"/>
  <c r="S170" i="63" s="1"/>
  <c r="P165" i="63"/>
  <c r="U165" i="63" s="1"/>
  <c r="P166" i="63"/>
  <c r="U166" i="63" s="1"/>
  <c r="S166" i="63" s="1"/>
  <c r="P169" i="63"/>
  <c r="U169" i="63" s="1"/>
  <c r="S169" i="63" s="1"/>
  <c r="P167" i="63"/>
  <c r="U167" i="63" s="1"/>
  <c r="S167" i="63" s="1"/>
  <c r="S133" i="108"/>
  <c r="S139" i="108" s="1"/>
  <c r="U139" i="108"/>
  <c r="N140" i="108"/>
  <c r="Z148" i="108"/>
  <c r="P145" i="108"/>
  <c r="U145" i="108" s="1"/>
  <c r="S145" i="108" s="1"/>
  <c r="P143" i="108"/>
  <c r="U143" i="108" s="1"/>
  <c r="S143" i="108" s="1"/>
  <c r="P144" i="108"/>
  <c r="U144" i="108" s="1"/>
  <c r="S144" i="108" s="1"/>
  <c r="P142" i="108"/>
  <c r="U142" i="108" s="1"/>
  <c r="S142" i="108" s="1"/>
  <c r="P146" i="108"/>
  <c r="U146" i="108" s="1"/>
  <c r="S146" i="108" s="1"/>
  <c r="P141" i="108"/>
  <c r="U141" i="108" s="1"/>
  <c r="S142" i="98"/>
  <c r="S148" i="98" s="1"/>
  <c r="U148" i="98"/>
  <c r="U125" i="68"/>
  <c r="S119" i="68"/>
  <c r="S125" i="68" s="1"/>
  <c r="S126" i="89"/>
  <c r="S132" i="89" s="1"/>
  <c r="U132" i="89"/>
  <c r="S137" i="81"/>
  <c r="S143" i="81" s="1"/>
  <c r="U143" i="81"/>
  <c r="U123" i="72"/>
  <c r="S117" i="72"/>
  <c r="S123" i="72" s="1"/>
  <c r="S138" i="77"/>
  <c r="S144" i="77" s="1"/>
  <c r="U144" i="77"/>
  <c r="P150" i="98"/>
  <c r="U150" i="98" s="1"/>
  <c r="P153" i="98"/>
  <c r="U153" i="98" s="1"/>
  <c r="S153" i="98" s="1"/>
  <c r="P152" i="98"/>
  <c r="U152" i="98" s="1"/>
  <c r="S152" i="98" s="1"/>
  <c r="N149" i="98"/>
  <c r="P155" i="98"/>
  <c r="U155" i="98" s="1"/>
  <c r="S155" i="98" s="1"/>
  <c r="P154" i="98"/>
  <c r="U154" i="98" s="1"/>
  <c r="S154" i="98" s="1"/>
  <c r="Z157" i="98"/>
  <c r="P151" i="98"/>
  <c r="U151" i="98" s="1"/>
  <c r="S151" i="98" s="1"/>
  <c r="P134" i="25"/>
  <c r="U134" i="25" s="1"/>
  <c r="P139" i="25"/>
  <c r="U139" i="25" s="1"/>
  <c r="S139" i="25" s="1"/>
  <c r="P138" i="25"/>
  <c r="U138" i="25" s="1"/>
  <c r="S138" i="25" s="1"/>
  <c r="P137" i="25"/>
  <c r="U137" i="25" s="1"/>
  <c r="S137" i="25" s="1"/>
  <c r="Z141" i="25"/>
  <c r="P136" i="25"/>
  <c r="U136" i="25" s="1"/>
  <c r="S136" i="25" s="1"/>
  <c r="N133" i="25"/>
  <c r="P135" i="25"/>
  <c r="U135" i="25" s="1"/>
  <c r="S135" i="25" s="1"/>
  <c r="P150" i="70"/>
  <c r="U150" i="70" s="1"/>
  <c r="S150" i="70" s="1"/>
  <c r="P152" i="70"/>
  <c r="U152" i="70" s="1"/>
  <c r="S152" i="70" s="1"/>
  <c r="N148" i="70"/>
  <c r="P154" i="70"/>
  <c r="U154" i="70" s="1"/>
  <c r="S154" i="70" s="1"/>
  <c r="P151" i="70"/>
  <c r="U151" i="70" s="1"/>
  <c r="S151" i="70" s="1"/>
  <c r="Z156" i="70"/>
  <c r="P153" i="70"/>
  <c r="U153" i="70" s="1"/>
  <c r="S153" i="70" s="1"/>
  <c r="P149" i="70"/>
  <c r="U149" i="70" s="1"/>
  <c r="P138" i="89"/>
  <c r="U138" i="89" s="1"/>
  <c r="S138" i="89" s="1"/>
  <c r="P134" i="89"/>
  <c r="U134" i="89" s="1"/>
  <c r="P135" i="89"/>
  <c r="U135" i="89" s="1"/>
  <c r="S135" i="89" s="1"/>
  <c r="P136" i="89"/>
  <c r="U136" i="89" s="1"/>
  <c r="S136" i="89" s="1"/>
  <c r="P139" i="89"/>
  <c r="U139" i="89" s="1"/>
  <c r="S139" i="89" s="1"/>
  <c r="P137" i="89"/>
  <c r="U137" i="89" s="1"/>
  <c r="S137" i="89" s="1"/>
  <c r="N133" i="89"/>
  <c r="Z141" i="89"/>
  <c r="P135" i="111"/>
  <c r="U135" i="111" s="1"/>
  <c r="S135" i="111" s="1"/>
  <c r="Z138" i="111"/>
  <c r="P132" i="111"/>
  <c r="U132" i="111" s="1"/>
  <c r="S132" i="111" s="1"/>
  <c r="P131" i="111"/>
  <c r="U131" i="111" s="1"/>
  <c r="N130" i="111"/>
  <c r="P134" i="111"/>
  <c r="U134" i="111" s="1"/>
  <c r="S134" i="111" s="1"/>
  <c r="P133" i="111"/>
  <c r="U133" i="111" s="1"/>
  <c r="S133" i="111" s="1"/>
  <c r="P136" i="111"/>
  <c r="U136" i="111" s="1"/>
  <c r="S136" i="111" s="1"/>
  <c r="AF152" i="36"/>
  <c r="S141" i="70"/>
  <c r="S147" i="70" s="1"/>
  <c r="U147" i="70"/>
  <c r="P162" i="88"/>
  <c r="U162" i="88" s="1"/>
  <c r="S162" i="88" s="1"/>
  <c r="P159" i="88"/>
  <c r="U159" i="88" s="1"/>
  <c r="S159" i="88" s="1"/>
  <c r="P158" i="88"/>
  <c r="U158" i="88" s="1"/>
  <c r="N157" i="88"/>
  <c r="P160" i="88"/>
  <c r="U160" i="88" s="1"/>
  <c r="S160" i="88" s="1"/>
  <c r="P163" i="88"/>
  <c r="U163" i="88" s="1"/>
  <c r="S163" i="88" s="1"/>
  <c r="P161" i="88"/>
  <c r="U161" i="88" s="1"/>
  <c r="S161" i="88" s="1"/>
  <c r="Z165" i="88"/>
  <c r="S150" i="88"/>
  <c r="S156" i="88" s="1"/>
  <c r="U156" i="88"/>
  <c r="P128" i="68"/>
  <c r="U128" i="68" s="1"/>
  <c r="S128" i="68" s="1"/>
  <c r="P129" i="68"/>
  <c r="U129" i="68" s="1"/>
  <c r="S129" i="68" s="1"/>
  <c r="P132" i="68"/>
  <c r="U132" i="68" s="1"/>
  <c r="S132" i="68" s="1"/>
  <c r="P131" i="68"/>
  <c r="U131" i="68" s="1"/>
  <c r="S131" i="68" s="1"/>
  <c r="Z134" i="68"/>
  <c r="P130" i="68"/>
  <c r="U130" i="68" s="1"/>
  <c r="S130" i="68" s="1"/>
  <c r="P127" i="68"/>
  <c r="U127" i="68" s="1"/>
  <c r="N126" i="68"/>
  <c r="S123" i="111"/>
  <c r="S129" i="111" s="1"/>
  <c r="U129" i="111"/>
  <c r="P147" i="81"/>
  <c r="U147" i="81" s="1"/>
  <c r="S147" i="81" s="1"/>
  <c r="Z152" i="81"/>
  <c r="N144" i="81"/>
  <c r="P149" i="81"/>
  <c r="U149" i="81" s="1"/>
  <c r="S149" i="81" s="1"/>
  <c r="P146" i="81"/>
  <c r="U146" i="81" s="1"/>
  <c r="S146" i="81" s="1"/>
  <c r="P150" i="81"/>
  <c r="U150" i="81" s="1"/>
  <c r="S150" i="81" s="1"/>
  <c r="P148" i="81"/>
  <c r="U148" i="81" s="1"/>
  <c r="S148" i="81" s="1"/>
  <c r="P145" i="81"/>
  <c r="U145" i="81" s="1"/>
  <c r="P125" i="72"/>
  <c r="U125" i="72" s="1"/>
  <c r="N124" i="72"/>
  <c r="Z132" i="72"/>
  <c r="P127" i="72"/>
  <c r="U127" i="72" s="1"/>
  <c r="S127" i="72" s="1"/>
  <c r="P129" i="72"/>
  <c r="U129" i="72" s="1"/>
  <c r="S129" i="72" s="1"/>
  <c r="P126" i="72"/>
  <c r="U126" i="72" s="1"/>
  <c r="S126" i="72" s="1"/>
  <c r="P130" i="72"/>
  <c r="U130" i="72" s="1"/>
  <c r="S130" i="72" s="1"/>
  <c r="P128" i="72"/>
  <c r="U128" i="72" s="1"/>
  <c r="S128" i="72" s="1"/>
  <c r="P147" i="77"/>
  <c r="U147" i="77" s="1"/>
  <c r="S147" i="77" s="1"/>
  <c r="P150" i="77"/>
  <c r="U150" i="77" s="1"/>
  <c r="S150" i="77" s="1"/>
  <c r="P149" i="77"/>
  <c r="U149" i="77" s="1"/>
  <c r="S149" i="77" s="1"/>
  <c r="P151" i="77"/>
  <c r="U151" i="77" s="1"/>
  <c r="S151" i="77" s="1"/>
  <c r="Z153" i="77"/>
  <c r="P146" i="77"/>
  <c r="U146" i="77" s="1"/>
  <c r="N145" i="77"/>
  <c r="P148" i="77"/>
  <c r="U148" i="77" s="1"/>
  <c r="S148" i="77" s="1"/>
  <c r="S126" i="25"/>
  <c r="S132" i="25" s="1"/>
  <c r="U132" i="25"/>
  <c r="P162" i="103" l="1"/>
  <c r="U162" i="103" s="1"/>
  <c r="S162" i="103" s="1"/>
  <c r="P163" i="103"/>
  <c r="U163" i="103" s="1"/>
  <c r="S163" i="103" s="1"/>
  <c r="Z166" i="103"/>
  <c r="P159" i="103"/>
  <c r="U159" i="103" s="1"/>
  <c r="P164" i="103"/>
  <c r="U164" i="103" s="1"/>
  <c r="S164" i="103" s="1"/>
  <c r="P161" i="103"/>
  <c r="U161" i="103" s="1"/>
  <c r="S161" i="103" s="1"/>
  <c r="N158" i="103"/>
  <c r="P160" i="103"/>
  <c r="U160" i="103" s="1"/>
  <c r="S160" i="103" s="1"/>
  <c r="U161" i="109"/>
  <c r="S155" i="109"/>
  <c r="P165" i="109"/>
  <c r="U165" i="109" s="1"/>
  <c r="S165" i="109" s="1"/>
  <c r="P163" i="109"/>
  <c r="U163" i="109" s="1"/>
  <c r="P166" i="109"/>
  <c r="U166" i="109" s="1"/>
  <c r="S166" i="109" s="1"/>
  <c r="P164" i="109"/>
  <c r="U164" i="109" s="1"/>
  <c r="S164" i="109" s="1"/>
  <c r="P167" i="109"/>
  <c r="U167" i="109" s="1"/>
  <c r="S167" i="109" s="1"/>
  <c r="N162" i="109"/>
  <c r="P168" i="109"/>
  <c r="U168" i="109" s="1"/>
  <c r="S168" i="109" s="1"/>
  <c r="Z170" i="109"/>
  <c r="N134" i="116"/>
  <c r="P136" i="116"/>
  <c r="U136" i="116" s="1"/>
  <c r="S136" i="116" s="1"/>
  <c r="P137" i="116"/>
  <c r="U137" i="116" s="1"/>
  <c r="S137" i="116" s="1"/>
  <c r="P138" i="116"/>
  <c r="U138" i="116" s="1"/>
  <c r="S138" i="116" s="1"/>
  <c r="P140" i="116"/>
  <c r="U140" i="116" s="1"/>
  <c r="S140" i="116" s="1"/>
  <c r="P135" i="116"/>
  <c r="U135" i="116" s="1"/>
  <c r="P139" i="116"/>
  <c r="U139" i="116" s="1"/>
  <c r="S139" i="116" s="1"/>
  <c r="S127" i="116"/>
  <c r="S133" i="116" s="1"/>
  <c r="U133" i="116"/>
  <c r="U147" i="105"/>
  <c r="S141" i="105"/>
  <c r="S147" i="105" s="1"/>
  <c r="S143" i="103"/>
  <c r="S149" i="103" s="1"/>
  <c r="U149" i="103"/>
  <c r="P154" i="103"/>
  <c r="U154" i="103" s="1"/>
  <c r="S154" i="103" s="1"/>
  <c r="P155" i="103"/>
  <c r="U155" i="103" s="1"/>
  <c r="S155" i="103" s="1"/>
  <c r="P151" i="103"/>
  <c r="U151" i="103" s="1"/>
  <c r="P152" i="103"/>
  <c r="U152" i="103" s="1"/>
  <c r="S152" i="103" s="1"/>
  <c r="P156" i="103"/>
  <c r="U156" i="103" s="1"/>
  <c r="S156" i="103" s="1"/>
  <c r="N150" i="103"/>
  <c r="P153" i="103"/>
  <c r="U153" i="103" s="1"/>
  <c r="S153" i="103" s="1"/>
  <c r="P174" i="96"/>
  <c r="U174" i="96" s="1"/>
  <c r="S174" i="96" s="1"/>
  <c r="P170" i="96"/>
  <c r="U170" i="96" s="1"/>
  <c r="S170" i="96" s="1"/>
  <c r="N168" i="96"/>
  <c r="P169" i="96"/>
  <c r="U169" i="96" s="1"/>
  <c r="P173" i="96"/>
  <c r="U173" i="96" s="1"/>
  <c r="S173" i="96" s="1"/>
  <c r="P172" i="96"/>
  <c r="U172" i="96" s="1"/>
  <c r="S172" i="96" s="1"/>
  <c r="P171" i="96"/>
  <c r="U171" i="96" s="1"/>
  <c r="S171" i="96" s="1"/>
  <c r="Z176" i="96"/>
  <c r="S161" i="96"/>
  <c r="S167" i="96" s="1"/>
  <c r="U167" i="96"/>
  <c r="Y57" i="92"/>
  <c r="U133" i="91"/>
  <c r="S127" i="91"/>
  <c r="S133" i="91" s="1"/>
  <c r="P136" i="91"/>
  <c r="U136" i="91" s="1"/>
  <c r="S136" i="91" s="1"/>
  <c r="P137" i="91"/>
  <c r="U137" i="91" s="1"/>
  <c r="S137" i="91" s="1"/>
  <c r="P139" i="91"/>
  <c r="U139" i="91" s="1"/>
  <c r="S139" i="91" s="1"/>
  <c r="P140" i="91"/>
  <c r="U140" i="91" s="1"/>
  <c r="S140" i="91" s="1"/>
  <c r="P135" i="91"/>
  <c r="U135" i="91" s="1"/>
  <c r="N134" i="91"/>
  <c r="P138" i="91"/>
  <c r="U138" i="91" s="1"/>
  <c r="S138" i="91" s="1"/>
  <c r="P177" i="86"/>
  <c r="U177" i="86" s="1"/>
  <c r="S177" i="86" s="1"/>
  <c r="P175" i="86"/>
  <c r="U175" i="86" s="1"/>
  <c r="S175" i="86" s="1"/>
  <c r="N172" i="86"/>
  <c r="P174" i="86"/>
  <c r="U174" i="86" s="1"/>
  <c r="S174" i="86" s="1"/>
  <c r="Z180" i="86"/>
  <c r="P178" i="86"/>
  <c r="U178" i="86" s="1"/>
  <c r="S178" i="86" s="1"/>
  <c r="P176" i="86"/>
  <c r="U176" i="86" s="1"/>
  <c r="S176" i="86" s="1"/>
  <c r="P173" i="86"/>
  <c r="U173" i="86" s="1"/>
  <c r="U171" i="86"/>
  <c r="S165" i="86"/>
  <c r="S171" i="86" s="1"/>
  <c r="P160" i="84"/>
  <c r="U160" i="84" s="1"/>
  <c r="S160" i="84" s="1"/>
  <c r="P156" i="84"/>
  <c r="U156" i="84" s="1"/>
  <c r="N155" i="84"/>
  <c r="P159" i="84"/>
  <c r="U159" i="84" s="1"/>
  <c r="S159" i="84" s="1"/>
  <c r="P157" i="84"/>
  <c r="U157" i="84" s="1"/>
  <c r="S157" i="84" s="1"/>
  <c r="P158" i="84"/>
  <c r="U158" i="84" s="1"/>
  <c r="S158" i="84" s="1"/>
  <c r="P161" i="84"/>
  <c r="U161" i="84" s="1"/>
  <c r="S161" i="84" s="1"/>
  <c r="Z163" i="84"/>
  <c r="S148" i="84"/>
  <c r="S154" i="84" s="1"/>
  <c r="U154" i="84"/>
  <c r="U174" i="78"/>
  <c r="S168" i="78"/>
  <c r="S174" i="78" s="1"/>
  <c r="P178" i="78"/>
  <c r="U178" i="78" s="1"/>
  <c r="S178" i="78" s="1"/>
  <c r="Z183" i="78"/>
  <c r="P181" i="78"/>
  <c r="U181" i="78" s="1"/>
  <c r="S181" i="78" s="1"/>
  <c r="P176" i="78"/>
  <c r="U176" i="78" s="1"/>
  <c r="P180" i="78"/>
  <c r="U180" i="78" s="1"/>
  <c r="S180" i="78" s="1"/>
  <c r="P177" i="78"/>
  <c r="U177" i="78" s="1"/>
  <c r="S177" i="78" s="1"/>
  <c r="P179" i="78"/>
  <c r="U179" i="78" s="1"/>
  <c r="S179" i="78" s="1"/>
  <c r="N175" i="78"/>
  <c r="S158" i="76"/>
  <c r="S164" i="76" s="1"/>
  <c r="U164" i="76"/>
  <c r="P166" i="76"/>
  <c r="U166" i="76" s="1"/>
  <c r="Z173" i="76"/>
  <c r="P170" i="76"/>
  <c r="U170" i="76" s="1"/>
  <c r="S170" i="76" s="1"/>
  <c r="P169" i="76"/>
  <c r="U169" i="76" s="1"/>
  <c r="S169" i="76" s="1"/>
  <c r="P171" i="76"/>
  <c r="U171" i="76" s="1"/>
  <c r="S171" i="76" s="1"/>
  <c r="P168" i="76"/>
  <c r="U168" i="76" s="1"/>
  <c r="S168" i="76" s="1"/>
  <c r="N165" i="76"/>
  <c r="P167" i="76"/>
  <c r="U167" i="76" s="1"/>
  <c r="S167" i="76" s="1"/>
  <c r="S140" i="75"/>
  <c r="S146" i="75" s="1"/>
  <c r="U146" i="75"/>
  <c r="Z155" i="75"/>
  <c r="P152" i="75"/>
  <c r="U152" i="75" s="1"/>
  <c r="S152" i="75" s="1"/>
  <c r="P149" i="75"/>
  <c r="U149" i="75" s="1"/>
  <c r="S149" i="75" s="1"/>
  <c r="P150" i="75"/>
  <c r="U150" i="75" s="1"/>
  <c r="S150" i="75" s="1"/>
  <c r="P151" i="75"/>
  <c r="U151" i="75" s="1"/>
  <c r="S151" i="75" s="1"/>
  <c r="P148" i="75"/>
  <c r="U148" i="75" s="1"/>
  <c r="N147" i="75"/>
  <c r="P153" i="75"/>
  <c r="U153" i="75" s="1"/>
  <c r="S153" i="75" s="1"/>
  <c r="S145" i="74"/>
  <c r="S151" i="74" s="1"/>
  <c r="U151" i="74"/>
  <c r="P158" i="74"/>
  <c r="U158" i="74" s="1"/>
  <c r="S158" i="74" s="1"/>
  <c r="N152" i="74"/>
  <c r="P153" i="74"/>
  <c r="U153" i="74" s="1"/>
  <c r="P156" i="74"/>
  <c r="U156" i="74" s="1"/>
  <c r="S156" i="74" s="1"/>
  <c r="P154" i="74"/>
  <c r="U154" i="74" s="1"/>
  <c r="S154" i="74" s="1"/>
  <c r="Z160" i="74"/>
  <c r="P155" i="74"/>
  <c r="U155" i="74" s="1"/>
  <c r="S155" i="74" s="1"/>
  <c r="P157" i="74"/>
  <c r="U157" i="74" s="1"/>
  <c r="S157" i="74" s="1"/>
  <c r="Z155" i="73"/>
  <c r="P151" i="73"/>
  <c r="U151" i="73" s="1"/>
  <c r="S151" i="73" s="1"/>
  <c r="N147" i="73"/>
  <c r="P148" i="73"/>
  <c r="U148" i="73" s="1"/>
  <c r="P149" i="73"/>
  <c r="U149" i="73" s="1"/>
  <c r="S149" i="73" s="1"/>
  <c r="P152" i="73"/>
  <c r="U152" i="73" s="1"/>
  <c r="S152" i="73" s="1"/>
  <c r="P150" i="73"/>
  <c r="U150" i="73" s="1"/>
  <c r="S150" i="73" s="1"/>
  <c r="P153" i="73"/>
  <c r="U153" i="73" s="1"/>
  <c r="S153" i="73" s="1"/>
  <c r="U146" i="73"/>
  <c r="S140" i="73"/>
  <c r="S146" i="73" s="1"/>
  <c r="N135" i="69"/>
  <c r="P138" i="69"/>
  <c r="U138" i="69" s="1"/>
  <c r="S138" i="69" s="1"/>
  <c r="Z143" i="69"/>
  <c r="P141" i="69"/>
  <c r="U141" i="69" s="1"/>
  <c r="S141" i="69" s="1"/>
  <c r="P137" i="69"/>
  <c r="U137" i="69" s="1"/>
  <c r="S137" i="69" s="1"/>
  <c r="P136" i="69"/>
  <c r="U136" i="69" s="1"/>
  <c r="P140" i="69"/>
  <c r="U140" i="69" s="1"/>
  <c r="S140" i="69" s="1"/>
  <c r="P139" i="69"/>
  <c r="U139" i="69" s="1"/>
  <c r="S139" i="69" s="1"/>
  <c r="U134" i="69"/>
  <c r="S128" i="69"/>
  <c r="S134" i="69" s="1"/>
  <c r="P160" i="34"/>
  <c r="U160" i="34" s="1"/>
  <c r="S160" i="34" s="1"/>
  <c r="N154" i="34"/>
  <c r="Z162" i="34"/>
  <c r="P155" i="34"/>
  <c r="U155" i="34" s="1"/>
  <c r="P158" i="34"/>
  <c r="U158" i="34" s="1"/>
  <c r="S158" i="34" s="1"/>
  <c r="P156" i="34"/>
  <c r="U156" i="34" s="1"/>
  <c r="S156" i="34" s="1"/>
  <c r="P157" i="34"/>
  <c r="U157" i="34" s="1"/>
  <c r="S157" i="34" s="1"/>
  <c r="P159" i="34"/>
  <c r="U159" i="34" s="1"/>
  <c r="S159" i="34" s="1"/>
  <c r="S147" i="34"/>
  <c r="S153" i="34" s="1"/>
  <c r="U153" i="34"/>
  <c r="P129" i="61"/>
  <c r="U129" i="61" s="1"/>
  <c r="N128" i="61"/>
  <c r="P130" i="61"/>
  <c r="U130" i="61" s="1"/>
  <c r="S130" i="61" s="1"/>
  <c r="P132" i="61"/>
  <c r="U132" i="61" s="1"/>
  <c r="S132" i="61" s="1"/>
  <c r="Z136" i="61"/>
  <c r="P133" i="61"/>
  <c r="U133" i="61" s="1"/>
  <c r="S133" i="61" s="1"/>
  <c r="P131" i="61"/>
  <c r="U131" i="61" s="1"/>
  <c r="S131" i="61" s="1"/>
  <c r="P134" i="61"/>
  <c r="U134" i="61" s="1"/>
  <c r="S134" i="61" s="1"/>
  <c r="S121" i="61"/>
  <c r="S127" i="61" s="1"/>
  <c r="U127" i="61"/>
  <c r="U143" i="85"/>
  <c r="S137" i="85"/>
  <c r="S143" i="85" s="1"/>
  <c r="P172" i="57"/>
  <c r="U172" i="57" s="1"/>
  <c r="S172" i="57" s="1"/>
  <c r="Z176" i="57"/>
  <c r="P169" i="57"/>
  <c r="U169" i="57" s="1"/>
  <c r="P170" i="57"/>
  <c r="U170" i="57" s="1"/>
  <c r="S170" i="57" s="1"/>
  <c r="N168" i="57"/>
  <c r="P174" i="57"/>
  <c r="U174" i="57" s="1"/>
  <c r="S174" i="57" s="1"/>
  <c r="P171" i="57"/>
  <c r="U171" i="57" s="1"/>
  <c r="S171" i="57" s="1"/>
  <c r="P173" i="57"/>
  <c r="U173" i="57" s="1"/>
  <c r="S173" i="57" s="1"/>
  <c r="P137" i="121"/>
  <c r="U137" i="121" s="1"/>
  <c r="P138" i="121"/>
  <c r="U138" i="121" s="1"/>
  <c r="S138" i="121" s="1"/>
  <c r="P139" i="121"/>
  <c r="U139" i="121" s="1"/>
  <c r="S139" i="121" s="1"/>
  <c r="N136" i="121"/>
  <c r="P140" i="121"/>
  <c r="U140" i="121" s="1"/>
  <c r="S140" i="121" s="1"/>
  <c r="P141" i="121"/>
  <c r="U141" i="121" s="1"/>
  <c r="S141" i="121" s="1"/>
  <c r="P142" i="121"/>
  <c r="U142" i="121" s="1"/>
  <c r="S142" i="121" s="1"/>
  <c r="Z144" i="121"/>
  <c r="S140" i="60"/>
  <c r="S146" i="60" s="1"/>
  <c r="U146" i="60"/>
  <c r="S142" i="59"/>
  <c r="S148" i="59" s="1"/>
  <c r="U148" i="59"/>
  <c r="P155" i="59"/>
  <c r="U155" i="59" s="1"/>
  <c r="S155" i="59" s="1"/>
  <c r="P153" i="59"/>
  <c r="U153" i="59" s="1"/>
  <c r="S153" i="59" s="1"/>
  <c r="P154" i="59"/>
  <c r="U154" i="59" s="1"/>
  <c r="S154" i="59" s="1"/>
  <c r="P150" i="59"/>
  <c r="U150" i="59" s="1"/>
  <c r="Z157" i="59"/>
  <c r="P152" i="59"/>
  <c r="U152" i="59" s="1"/>
  <c r="S152" i="59" s="1"/>
  <c r="N149" i="59"/>
  <c r="P151" i="59"/>
  <c r="U151" i="59" s="1"/>
  <c r="S151" i="59" s="1"/>
  <c r="P162" i="62"/>
  <c r="U162" i="62" s="1"/>
  <c r="S162" i="62" s="1"/>
  <c r="P158" i="62"/>
  <c r="U158" i="62" s="1"/>
  <c r="P163" i="62"/>
  <c r="U163" i="62" s="1"/>
  <c r="S163" i="62" s="1"/>
  <c r="P159" i="62"/>
  <c r="U159" i="62" s="1"/>
  <c r="S159" i="62" s="1"/>
  <c r="P160" i="62"/>
  <c r="U160" i="62" s="1"/>
  <c r="S160" i="62" s="1"/>
  <c r="N157" i="62"/>
  <c r="P161" i="62"/>
  <c r="U161" i="62" s="1"/>
  <c r="S161" i="62" s="1"/>
  <c r="S161" i="57"/>
  <c r="S167" i="57" s="1"/>
  <c r="U167" i="57"/>
  <c r="P166" i="101"/>
  <c r="U166" i="101" s="1"/>
  <c r="S166" i="101" s="1"/>
  <c r="N162" i="101"/>
  <c r="P167" i="101"/>
  <c r="U167" i="101" s="1"/>
  <c r="S167" i="101" s="1"/>
  <c r="Z170" i="101"/>
  <c r="P168" i="101"/>
  <c r="U168" i="101" s="1"/>
  <c r="S168" i="101" s="1"/>
  <c r="P165" i="101"/>
  <c r="U165" i="101" s="1"/>
  <c r="S165" i="101" s="1"/>
  <c r="P163" i="101"/>
  <c r="U163" i="101" s="1"/>
  <c r="P164" i="101"/>
  <c r="U164" i="101" s="1"/>
  <c r="S164" i="101" s="1"/>
  <c r="N147" i="60"/>
  <c r="P151" i="60"/>
  <c r="U151" i="60" s="1"/>
  <c r="S151" i="60" s="1"/>
  <c r="P152" i="60"/>
  <c r="U152" i="60" s="1"/>
  <c r="S152" i="60" s="1"/>
  <c r="P153" i="60"/>
  <c r="U153" i="60" s="1"/>
  <c r="S153" i="60" s="1"/>
  <c r="P150" i="60"/>
  <c r="U150" i="60" s="1"/>
  <c r="S150" i="60" s="1"/>
  <c r="P149" i="60"/>
  <c r="U149" i="60" s="1"/>
  <c r="S149" i="60" s="1"/>
  <c r="Z155" i="60"/>
  <c r="P148" i="60"/>
  <c r="U148" i="60" s="1"/>
  <c r="S170" i="79"/>
  <c r="S176" i="79" s="1"/>
  <c r="U176" i="79"/>
  <c r="S150" i="62"/>
  <c r="S156" i="62" s="1"/>
  <c r="U156" i="62"/>
  <c r="P149" i="85"/>
  <c r="U149" i="85" s="1"/>
  <c r="S149" i="85" s="1"/>
  <c r="Z152" i="85"/>
  <c r="P145" i="85"/>
  <c r="U145" i="85" s="1"/>
  <c r="P150" i="85"/>
  <c r="U150" i="85" s="1"/>
  <c r="S150" i="85" s="1"/>
  <c r="P147" i="85"/>
  <c r="U147" i="85" s="1"/>
  <c r="S147" i="85" s="1"/>
  <c r="P148" i="85"/>
  <c r="U148" i="85" s="1"/>
  <c r="S148" i="85" s="1"/>
  <c r="P146" i="85"/>
  <c r="U146" i="85" s="1"/>
  <c r="S146" i="85" s="1"/>
  <c r="N144" i="85"/>
  <c r="S155" i="101"/>
  <c r="S161" i="101" s="1"/>
  <c r="U161" i="101"/>
  <c r="S129" i="121"/>
  <c r="S135" i="121" s="1"/>
  <c r="U135" i="121"/>
  <c r="P166" i="102"/>
  <c r="U166" i="102" s="1"/>
  <c r="N165" i="102"/>
  <c r="P171" i="102"/>
  <c r="U171" i="102" s="1"/>
  <c r="S171" i="102" s="1"/>
  <c r="P168" i="102"/>
  <c r="U168" i="102" s="1"/>
  <c r="S168" i="102" s="1"/>
  <c r="P169" i="102"/>
  <c r="U169" i="102" s="1"/>
  <c r="S169" i="102" s="1"/>
  <c r="P170" i="102"/>
  <c r="U170" i="102" s="1"/>
  <c r="S170" i="102" s="1"/>
  <c r="Z173" i="102"/>
  <c r="P167" i="102"/>
  <c r="U167" i="102" s="1"/>
  <c r="S167" i="102" s="1"/>
  <c r="S158" i="102"/>
  <c r="S164" i="102" s="1"/>
  <c r="U164" i="102"/>
  <c r="P183" i="79"/>
  <c r="U183" i="79" s="1"/>
  <c r="S183" i="79" s="1"/>
  <c r="P178" i="79"/>
  <c r="U178" i="79" s="1"/>
  <c r="N177" i="79"/>
  <c r="Z185" i="79"/>
  <c r="P181" i="79"/>
  <c r="U181" i="79" s="1"/>
  <c r="S181" i="79" s="1"/>
  <c r="P180" i="79"/>
  <c r="U180" i="79" s="1"/>
  <c r="S180" i="79" s="1"/>
  <c r="P179" i="79"/>
  <c r="U179" i="79" s="1"/>
  <c r="S179" i="79" s="1"/>
  <c r="P182" i="79"/>
  <c r="U182" i="79" s="1"/>
  <c r="S182" i="79" s="1"/>
  <c r="N177" i="83"/>
  <c r="P182" i="83"/>
  <c r="U182" i="83" s="1"/>
  <c r="S182" i="83" s="1"/>
  <c r="P178" i="83"/>
  <c r="U178" i="83" s="1"/>
  <c r="P183" i="83"/>
  <c r="U183" i="83" s="1"/>
  <c r="S183" i="83" s="1"/>
  <c r="P179" i="83"/>
  <c r="U179" i="83" s="1"/>
  <c r="S179" i="83" s="1"/>
  <c r="Z185" i="83"/>
  <c r="P181" i="83"/>
  <c r="U181" i="83" s="1"/>
  <c r="S181" i="83" s="1"/>
  <c r="P180" i="83"/>
  <c r="U180" i="83" s="1"/>
  <c r="S180" i="83" s="1"/>
  <c r="S141" i="95"/>
  <c r="S147" i="95" s="1"/>
  <c r="U147" i="95"/>
  <c r="S170" i="83"/>
  <c r="S176" i="83" s="1"/>
  <c r="U176" i="83"/>
  <c r="Z142" i="90"/>
  <c r="P140" i="90"/>
  <c r="U140" i="90" s="1"/>
  <c r="S140" i="90" s="1"/>
  <c r="P137" i="90"/>
  <c r="U137" i="90" s="1"/>
  <c r="S137" i="90" s="1"/>
  <c r="P139" i="90"/>
  <c r="U139" i="90" s="1"/>
  <c r="S139" i="90" s="1"/>
  <c r="N134" i="90"/>
  <c r="P136" i="90"/>
  <c r="U136" i="90" s="1"/>
  <c r="S136" i="90" s="1"/>
  <c r="P135" i="90"/>
  <c r="U135" i="90" s="1"/>
  <c r="P138" i="90"/>
  <c r="U138" i="90" s="1"/>
  <c r="S138" i="90" s="1"/>
  <c r="S185" i="82"/>
  <c r="S191" i="82" s="1"/>
  <c r="U191" i="82"/>
  <c r="S127" i="90"/>
  <c r="S133" i="90" s="1"/>
  <c r="U133" i="90"/>
  <c r="S136" i="122"/>
  <c r="S142" i="122" s="1"/>
  <c r="U142" i="122"/>
  <c r="N192" i="82"/>
  <c r="Z200" i="82"/>
  <c r="P197" i="82"/>
  <c r="U197" i="82" s="1"/>
  <c r="S197" i="82" s="1"/>
  <c r="P196" i="82"/>
  <c r="U196" i="82" s="1"/>
  <c r="S196" i="82" s="1"/>
  <c r="P198" i="82"/>
  <c r="U198" i="82" s="1"/>
  <c r="S198" i="82" s="1"/>
  <c r="P194" i="82"/>
  <c r="U194" i="82" s="1"/>
  <c r="S194" i="82" s="1"/>
  <c r="P195" i="82"/>
  <c r="U195" i="82" s="1"/>
  <c r="S195" i="82" s="1"/>
  <c r="P193" i="82"/>
  <c r="U193" i="82" s="1"/>
  <c r="Z156" i="95"/>
  <c r="P150" i="95"/>
  <c r="U150" i="95" s="1"/>
  <c r="S150" i="95" s="1"/>
  <c r="P152" i="95"/>
  <c r="U152" i="95" s="1"/>
  <c r="S152" i="95" s="1"/>
  <c r="N148" i="95"/>
  <c r="P149" i="95"/>
  <c r="U149" i="95" s="1"/>
  <c r="P154" i="95"/>
  <c r="U154" i="95" s="1"/>
  <c r="S154" i="95" s="1"/>
  <c r="P151" i="95"/>
  <c r="U151" i="95" s="1"/>
  <c r="S151" i="95" s="1"/>
  <c r="P153" i="95"/>
  <c r="U153" i="95" s="1"/>
  <c r="S153" i="95" s="1"/>
  <c r="S165" i="63"/>
  <c r="S171" i="63" s="1"/>
  <c r="U171" i="63"/>
  <c r="Z180" i="63"/>
  <c r="N172" i="63"/>
  <c r="P174" i="63"/>
  <c r="U174" i="63" s="1"/>
  <c r="S174" i="63" s="1"/>
  <c r="P177" i="63"/>
  <c r="U177" i="63" s="1"/>
  <c r="S177" i="63" s="1"/>
  <c r="P176" i="63"/>
  <c r="U176" i="63" s="1"/>
  <c r="S176" i="63" s="1"/>
  <c r="P178" i="63"/>
  <c r="U178" i="63" s="1"/>
  <c r="S178" i="63" s="1"/>
  <c r="P175" i="63"/>
  <c r="U175" i="63" s="1"/>
  <c r="S175" i="63" s="1"/>
  <c r="P173" i="63"/>
  <c r="U173" i="63" s="1"/>
  <c r="P171" i="92"/>
  <c r="U171" i="92" s="1"/>
  <c r="S171" i="92" s="1"/>
  <c r="P170" i="92"/>
  <c r="U170" i="92" s="1"/>
  <c r="S170" i="92" s="1"/>
  <c r="P167" i="92"/>
  <c r="U167" i="92" s="1"/>
  <c r="S167" i="92" s="1"/>
  <c r="P169" i="92"/>
  <c r="U169" i="92" s="1"/>
  <c r="S169" i="92" s="1"/>
  <c r="Z173" i="92"/>
  <c r="N165" i="92"/>
  <c r="P168" i="92"/>
  <c r="U168" i="92" s="1"/>
  <c r="S168" i="92" s="1"/>
  <c r="P166" i="92"/>
  <c r="U166" i="92" s="1"/>
  <c r="S158" i="92"/>
  <c r="S164" i="92" s="1"/>
  <c r="U164" i="92"/>
  <c r="Z156" i="108"/>
  <c r="N148" i="108"/>
  <c r="P150" i="108"/>
  <c r="U150" i="108" s="1"/>
  <c r="S150" i="108" s="1"/>
  <c r="P153" i="108"/>
  <c r="U153" i="108" s="1"/>
  <c r="S153" i="108" s="1"/>
  <c r="P152" i="108"/>
  <c r="U152" i="108" s="1"/>
  <c r="S152" i="108" s="1"/>
  <c r="P151" i="108"/>
  <c r="U151" i="108" s="1"/>
  <c r="S151" i="108" s="1"/>
  <c r="P149" i="108"/>
  <c r="U149" i="108" s="1"/>
  <c r="P154" i="108"/>
  <c r="U154" i="108" s="1"/>
  <c r="S154" i="108" s="1"/>
  <c r="U147" i="108"/>
  <c r="S141" i="108"/>
  <c r="S147" i="108" s="1"/>
  <c r="P144" i="111"/>
  <c r="U144" i="111" s="1"/>
  <c r="S144" i="111" s="1"/>
  <c r="P140" i="111"/>
  <c r="U140" i="111" s="1"/>
  <c r="S140" i="111" s="1"/>
  <c r="N138" i="111"/>
  <c r="Z146" i="111"/>
  <c r="P141" i="111"/>
  <c r="U141" i="111" s="1"/>
  <c r="S141" i="111" s="1"/>
  <c r="P139" i="111"/>
  <c r="U139" i="111" s="1"/>
  <c r="P142" i="111"/>
  <c r="U142" i="111" s="1"/>
  <c r="S142" i="111" s="1"/>
  <c r="P143" i="111"/>
  <c r="U143" i="111" s="1"/>
  <c r="S143" i="111" s="1"/>
  <c r="S134" i="89"/>
  <c r="S140" i="89" s="1"/>
  <c r="U140" i="89"/>
  <c r="Z164" i="70"/>
  <c r="P157" i="70"/>
  <c r="U157" i="70" s="1"/>
  <c r="N156" i="70"/>
  <c r="P160" i="70"/>
  <c r="U160" i="70" s="1"/>
  <c r="S160" i="70" s="1"/>
  <c r="P159" i="70"/>
  <c r="U159" i="70" s="1"/>
  <c r="S159" i="70" s="1"/>
  <c r="P162" i="70"/>
  <c r="U162" i="70" s="1"/>
  <c r="S162" i="70" s="1"/>
  <c r="P158" i="70"/>
  <c r="U158" i="70" s="1"/>
  <c r="S158" i="70" s="1"/>
  <c r="P161" i="70"/>
  <c r="U161" i="70" s="1"/>
  <c r="S161" i="70" s="1"/>
  <c r="P154" i="77"/>
  <c r="U154" i="77" s="1"/>
  <c r="Z161" i="77"/>
  <c r="P156" i="77"/>
  <c r="U156" i="77" s="1"/>
  <c r="S156" i="77" s="1"/>
  <c r="N153" i="77"/>
  <c r="P155" i="77"/>
  <c r="U155" i="77" s="1"/>
  <c r="S155" i="77" s="1"/>
  <c r="P158" i="77"/>
  <c r="U158" i="77" s="1"/>
  <c r="S158" i="77" s="1"/>
  <c r="P157" i="77"/>
  <c r="U157" i="77" s="1"/>
  <c r="S157" i="77" s="1"/>
  <c r="P159" i="77"/>
  <c r="U159" i="77" s="1"/>
  <c r="S159" i="77" s="1"/>
  <c r="N132" i="72"/>
  <c r="P136" i="72"/>
  <c r="U136" i="72" s="1"/>
  <c r="S136" i="72" s="1"/>
  <c r="P135" i="72"/>
  <c r="U135" i="72" s="1"/>
  <c r="S135" i="72" s="1"/>
  <c r="P133" i="72"/>
  <c r="U133" i="72" s="1"/>
  <c r="P137" i="72"/>
  <c r="U137" i="72" s="1"/>
  <c r="S137" i="72" s="1"/>
  <c r="P138" i="72"/>
  <c r="U138" i="72" s="1"/>
  <c r="S138" i="72" s="1"/>
  <c r="P134" i="72"/>
  <c r="U134" i="72" s="1"/>
  <c r="S134" i="72" s="1"/>
  <c r="N152" i="81"/>
  <c r="Z160" i="81"/>
  <c r="P153" i="81"/>
  <c r="U153" i="81" s="1"/>
  <c r="P157" i="81"/>
  <c r="U157" i="81" s="1"/>
  <c r="S157" i="81" s="1"/>
  <c r="P155" i="81"/>
  <c r="U155" i="81" s="1"/>
  <c r="S155" i="81" s="1"/>
  <c r="P154" i="81"/>
  <c r="U154" i="81" s="1"/>
  <c r="S154" i="81" s="1"/>
  <c r="P158" i="81"/>
  <c r="U158" i="81" s="1"/>
  <c r="S158" i="81" s="1"/>
  <c r="P156" i="81"/>
  <c r="U156" i="81" s="1"/>
  <c r="S156" i="81" s="1"/>
  <c r="S125" i="72"/>
  <c r="S131" i="72" s="1"/>
  <c r="U131" i="72"/>
  <c r="S127" i="68"/>
  <c r="S133" i="68" s="1"/>
  <c r="U133" i="68"/>
  <c r="P162" i="98"/>
  <c r="U162" i="98" s="1"/>
  <c r="S162" i="98" s="1"/>
  <c r="N157" i="98"/>
  <c r="P159" i="98"/>
  <c r="U159" i="98" s="1"/>
  <c r="S159" i="98" s="1"/>
  <c r="P163" i="98"/>
  <c r="U163" i="98" s="1"/>
  <c r="S163" i="98" s="1"/>
  <c r="P158" i="98"/>
  <c r="U158" i="98" s="1"/>
  <c r="Z165" i="98"/>
  <c r="P160" i="98"/>
  <c r="U160" i="98" s="1"/>
  <c r="S160" i="98" s="1"/>
  <c r="P161" i="98"/>
  <c r="U161" i="98" s="1"/>
  <c r="S161" i="98" s="1"/>
  <c r="S146" i="77"/>
  <c r="S152" i="77" s="1"/>
  <c r="U152" i="77"/>
  <c r="U151" i="81"/>
  <c r="S145" i="81"/>
  <c r="S151" i="81" s="1"/>
  <c r="P167" i="88"/>
  <c r="U167" i="88" s="1"/>
  <c r="S167" i="88" s="1"/>
  <c r="P168" i="88"/>
  <c r="U168" i="88" s="1"/>
  <c r="S168" i="88" s="1"/>
  <c r="P169" i="88"/>
  <c r="U169" i="88" s="1"/>
  <c r="S169" i="88" s="1"/>
  <c r="Z173" i="88"/>
  <c r="P171" i="88"/>
  <c r="U171" i="88" s="1"/>
  <c r="S171" i="88" s="1"/>
  <c r="P170" i="88"/>
  <c r="U170" i="88" s="1"/>
  <c r="S170" i="88" s="1"/>
  <c r="N165" i="88"/>
  <c r="P166" i="88"/>
  <c r="U166" i="88" s="1"/>
  <c r="S131" i="111"/>
  <c r="S137" i="111" s="1"/>
  <c r="U137" i="111"/>
  <c r="P147" i="89"/>
  <c r="U147" i="89" s="1"/>
  <c r="S147" i="89" s="1"/>
  <c r="P146" i="89"/>
  <c r="U146" i="89" s="1"/>
  <c r="S146" i="89" s="1"/>
  <c r="N141" i="89"/>
  <c r="Z149" i="89"/>
  <c r="P143" i="89"/>
  <c r="U143" i="89" s="1"/>
  <c r="S143" i="89" s="1"/>
  <c r="P142" i="89"/>
  <c r="U142" i="89" s="1"/>
  <c r="P145" i="89"/>
  <c r="U145" i="89" s="1"/>
  <c r="S145" i="89" s="1"/>
  <c r="P144" i="89"/>
  <c r="U144" i="89" s="1"/>
  <c r="S144" i="89" s="1"/>
  <c r="U155" i="70"/>
  <c r="S149" i="70"/>
  <c r="S155" i="70" s="1"/>
  <c r="P140" i="68"/>
  <c r="U140" i="68" s="1"/>
  <c r="S140" i="68" s="1"/>
  <c r="P139" i="68"/>
  <c r="U139" i="68" s="1"/>
  <c r="S139" i="68" s="1"/>
  <c r="P136" i="68"/>
  <c r="U136" i="68" s="1"/>
  <c r="S136" i="68" s="1"/>
  <c r="Z142" i="68"/>
  <c r="P135" i="68"/>
  <c r="U135" i="68" s="1"/>
  <c r="N134" i="68"/>
  <c r="P138" i="68"/>
  <c r="U138" i="68" s="1"/>
  <c r="S138" i="68" s="1"/>
  <c r="P137" i="68"/>
  <c r="U137" i="68" s="1"/>
  <c r="S137" i="68" s="1"/>
  <c r="S158" i="88"/>
  <c r="S164" i="88" s="1"/>
  <c r="U164" i="88"/>
  <c r="AF160" i="36"/>
  <c r="P145" i="25"/>
  <c r="U145" i="25" s="1"/>
  <c r="S145" i="25" s="1"/>
  <c r="P142" i="25"/>
  <c r="U142" i="25" s="1"/>
  <c r="P143" i="25"/>
  <c r="U143" i="25" s="1"/>
  <c r="S143" i="25" s="1"/>
  <c r="P146" i="25"/>
  <c r="U146" i="25" s="1"/>
  <c r="S146" i="25" s="1"/>
  <c r="P147" i="25"/>
  <c r="U147" i="25" s="1"/>
  <c r="S147" i="25" s="1"/>
  <c r="N141" i="25"/>
  <c r="P144" i="25"/>
  <c r="U144" i="25" s="1"/>
  <c r="S144" i="25" s="1"/>
  <c r="Z149" i="25"/>
  <c r="S134" i="25"/>
  <c r="S140" i="25" s="1"/>
  <c r="U140" i="25"/>
  <c r="S150" i="98"/>
  <c r="S156" i="98" s="1"/>
  <c r="U156" i="98"/>
  <c r="U165" i="103" l="1"/>
  <c r="S159" i="103"/>
  <c r="S165" i="103" s="1"/>
  <c r="P170" i="103"/>
  <c r="U170" i="103" s="1"/>
  <c r="S170" i="103" s="1"/>
  <c r="P171" i="103"/>
  <c r="U171" i="103" s="1"/>
  <c r="S171" i="103" s="1"/>
  <c r="Z174" i="103"/>
  <c r="P167" i="103"/>
  <c r="U167" i="103" s="1"/>
  <c r="P168" i="103"/>
  <c r="U168" i="103" s="1"/>
  <c r="S168" i="103" s="1"/>
  <c r="N166" i="103"/>
  <c r="P169" i="103"/>
  <c r="U169" i="103" s="1"/>
  <c r="S169" i="103" s="1"/>
  <c r="P172" i="103"/>
  <c r="U172" i="103" s="1"/>
  <c r="S172" i="103" s="1"/>
  <c r="S163" i="109"/>
  <c r="S169" i="109" s="1"/>
  <c r="U169" i="109"/>
  <c r="P173" i="109"/>
  <c r="U173" i="109" s="1"/>
  <c r="S173" i="109" s="1"/>
  <c r="P174" i="109"/>
  <c r="U174" i="109" s="1"/>
  <c r="S174" i="109" s="1"/>
  <c r="P172" i="109"/>
  <c r="U172" i="109" s="1"/>
  <c r="S172" i="109" s="1"/>
  <c r="P175" i="109"/>
  <c r="U175" i="109" s="1"/>
  <c r="S175" i="109" s="1"/>
  <c r="N170" i="109"/>
  <c r="P171" i="109"/>
  <c r="U171" i="109" s="1"/>
  <c r="Z178" i="109"/>
  <c r="Z186" i="109" s="1"/>
  <c r="P176" i="109"/>
  <c r="U176" i="109" s="1"/>
  <c r="S176" i="109" s="1"/>
  <c r="S161" i="109"/>
  <c r="U141" i="116"/>
  <c r="S135" i="116"/>
  <c r="S141" i="116" s="1"/>
  <c r="S151" i="103"/>
  <c r="S157" i="103" s="1"/>
  <c r="U157" i="103"/>
  <c r="N176" i="96"/>
  <c r="P180" i="96"/>
  <c r="U180" i="96" s="1"/>
  <c r="S180" i="96" s="1"/>
  <c r="Z184" i="96"/>
  <c r="P179" i="96"/>
  <c r="U179" i="96" s="1"/>
  <c r="S179" i="96" s="1"/>
  <c r="P181" i="96"/>
  <c r="U181" i="96" s="1"/>
  <c r="S181" i="96" s="1"/>
  <c r="P178" i="96"/>
  <c r="U178" i="96" s="1"/>
  <c r="S178" i="96" s="1"/>
  <c r="P177" i="96"/>
  <c r="U177" i="96" s="1"/>
  <c r="P182" i="96"/>
  <c r="U182" i="96" s="1"/>
  <c r="S182" i="96" s="1"/>
  <c r="S169" i="96"/>
  <c r="S175" i="96" s="1"/>
  <c r="U175" i="96"/>
  <c r="S135" i="91"/>
  <c r="S141" i="91" s="1"/>
  <c r="U141" i="91"/>
  <c r="U179" i="86"/>
  <c r="S173" i="86"/>
  <c r="S179" i="86" s="1"/>
  <c r="P184" i="86"/>
  <c r="U184" i="86" s="1"/>
  <c r="S184" i="86" s="1"/>
  <c r="P185" i="86"/>
  <c r="U185" i="86" s="1"/>
  <c r="S185" i="86" s="1"/>
  <c r="Z188" i="86"/>
  <c r="P186" i="86"/>
  <c r="U186" i="86" s="1"/>
  <c r="S186" i="86" s="1"/>
  <c r="N180" i="86"/>
  <c r="P183" i="86"/>
  <c r="U183" i="86" s="1"/>
  <c r="S183" i="86" s="1"/>
  <c r="P181" i="86"/>
  <c r="U181" i="86" s="1"/>
  <c r="P182" i="86"/>
  <c r="U182" i="86" s="1"/>
  <c r="S182" i="86" s="1"/>
  <c r="P168" i="84"/>
  <c r="U168" i="84" s="1"/>
  <c r="S168" i="84" s="1"/>
  <c r="P165" i="84"/>
  <c r="U165" i="84" s="1"/>
  <c r="S165" i="84" s="1"/>
  <c r="P166" i="84"/>
  <c r="U166" i="84" s="1"/>
  <c r="S166" i="84" s="1"/>
  <c r="P164" i="84"/>
  <c r="U164" i="84" s="1"/>
  <c r="P167" i="84"/>
  <c r="U167" i="84" s="1"/>
  <c r="S167" i="84" s="1"/>
  <c r="P169" i="84"/>
  <c r="U169" i="84" s="1"/>
  <c r="S169" i="84" s="1"/>
  <c r="Z171" i="84"/>
  <c r="N163" i="84"/>
  <c r="U162" i="84"/>
  <c r="S156" i="84"/>
  <c r="S162" i="84" s="1"/>
  <c r="P185" i="78"/>
  <c r="U185" i="78" s="1"/>
  <c r="S185" i="78" s="1"/>
  <c r="P188" i="78"/>
  <c r="U188" i="78" s="1"/>
  <c r="S188" i="78" s="1"/>
  <c r="Z191" i="78"/>
  <c r="P184" i="78"/>
  <c r="U184" i="78" s="1"/>
  <c r="P187" i="78"/>
  <c r="U187" i="78" s="1"/>
  <c r="S187" i="78" s="1"/>
  <c r="P189" i="78"/>
  <c r="U189" i="78" s="1"/>
  <c r="S189" i="78" s="1"/>
  <c r="N183" i="78"/>
  <c r="P186" i="78"/>
  <c r="U186" i="78" s="1"/>
  <c r="S186" i="78" s="1"/>
  <c r="S176" i="78"/>
  <c r="S182" i="78" s="1"/>
  <c r="U182" i="78"/>
  <c r="P176" i="76"/>
  <c r="U176" i="76" s="1"/>
  <c r="S176" i="76" s="1"/>
  <c r="P179" i="76"/>
  <c r="U179" i="76" s="1"/>
  <c r="S179" i="76" s="1"/>
  <c r="N173" i="76"/>
  <c r="P178" i="76"/>
  <c r="U178" i="76" s="1"/>
  <c r="S178" i="76" s="1"/>
  <c r="P174" i="76"/>
  <c r="U174" i="76" s="1"/>
  <c r="P175" i="76"/>
  <c r="U175" i="76" s="1"/>
  <c r="S175" i="76" s="1"/>
  <c r="Z181" i="76"/>
  <c r="P177" i="76"/>
  <c r="U177" i="76" s="1"/>
  <c r="S177" i="76" s="1"/>
  <c r="S166" i="76"/>
  <c r="S172" i="76" s="1"/>
  <c r="U172" i="76"/>
  <c r="S148" i="75"/>
  <c r="S154" i="75" s="1"/>
  <c r="U154" i="75"/>
  <c r="N155" i="75"/>
  <c r="P161" i="75"/>
  <c r="U161" i="75" s="1"/>
  <c r="S161" i="75" s="1"/>
  <c r="P158" i="75"/>
  <c r="U158" i="75" s="1"/>
  <c r="S158" i="75" s="1"/>
  <c r="P159" i="75"/>
  <c r="U159" i="75" s="1"/>
  <c r="S159" i="75" s="1"/>
  <c r="P156" i="75"/>
  <c r="U156" i="75" s="1"/>
  <c r="P160" i="75"/>
  <c r="U160" i="75" s="1"/>
  <c r="S160" i="75" s="1"/>
  <c r="Z163" i="75"/>
  <c r="P157" i="75"/>
  <c r="U157" i="75" s="1"/>
  <c r="S157" i="75" s="1"/>
  <c r="P162" i="74"/>
  <c r="U162" i="74" s="1"/>
  <c r="S162" i="74" s="1"/>
  <c r="P163" i="74"/>
  <c r="U163" i="74" s="1"/>
  <c r="S163" i="74" s="1"/>
  <c r="P161" i="74"/>
  <c r="U161" i="74" s="1"/>
  <c r="N160" i="74"/>
  <c r="P166" i="74"/>
  <c r="U166" i="74" s="1"/>
  <c r="S166" i="74" s="1"/>
  <c r="P164" i="74"/>
  <c r="U164" i="74" s="1"/>
  <c r="S164" i="74" s="1"/>
  <c r="P165" i="74"/>
  <c r="U165" i="74" s="1"/>
  <c r="S165" i="74" s="1"/>
  <c r="Z168" i="74"/>
  <c r="S153" i="74"/>
  <c r="S159" i="74" s="1"/>
  <c r="U159" i="74"/>
  <c r="S148" i="73"/>
  <c r="S154" i="73" s="1"/>
  <c r="U154" i="73"/>
  <c r="Z163" i="73"/>
  <c r="P161" i="73"/>
  <c r="U161" i="73" s="1"/>
  <c r="S161" i="73" s="1"/>
  <c r="P160" i="73"/>
  <c r="U160" i="73" s="1"/>
  <c r="S160" i="73" s="1"/>
  <c r="P158" i="73"/>
  <c r="U158" i="73" s="1"/>
  <c r="S158" i="73" s="1"/>
  <c r="N155" i="73"/>
  <c r="P159" i="73"/>
  <c r="U159" i="73" s="1"/>
  <c r="S159" i="73" s="1"/>
  <c r="P156" i="73"/>
  <c r="U156" i="73" s="1"/>
  <c r="P157" i="73"/>
  <c r="U157" i="73" s="1"/>
  <c r="S157" i="73" s="1"/>
  <c r="P144" i="69"/>
  <c r="U144" i="69" s="1"/>
  <c r="P149" i="69"/>
  <c r="U149" i="69" s="1"/>
  <c r="S149" i="69" s="1"/>
  <c r="P147" i="69"/>
  <c r="U147" i="69" s="1"/>
  <c r="S147" i="69" s="1"/>
  <c r="P145" i="69"/>
  <c r="U145" i="69" s="1"/>
  <c r="S145" i="69" s="1"/>
  <c r="P148" i="69"/>
  <c r="U148" i="69" s="1"/>
  <c r="S148" i="69" s="1"/>
  <c r="P146" i="69"/>
  <c r="U146" i="69" s="1"/>
  <c r="S146" i="69" s="1"/>
  <c r="Z151" i="69"/>
  <c r="N143" i="69"/>
  <c r="S136" i="69"/>
  <c r="S142" i="69" s="1"/>
  <c r="U142" i="69"/>
  <c r="P163" i="34"/>
  <c r="U163" i="34" s="1"/>
  <c r="P168" i="34"/>
  <c r="U168" i="34" s="1"/>
  <c r="S168" i="34" s="1"/>
  <c r="P166" i="34"/>
  <c r="U166" i="34" s="1"/>
  <c r="S166" i="34" s="1"/>
  <c r="Z170" i="34"/>
  <c r="P164" i="34"/>
  <c r="U164" i="34" s="1"/>
  <c r="S164" i="34" s="1"/>
  <c r="P167" i="34"/>
  <c r="U167" i="34" s="1"/>
  <c r="S167" i="34" s="1"/>
  <c r="P165" i="34"/>
  <c r="U165" i="34" s="1"/>
  <c r="S165" i="34" s="1"/>
  <c r="N162" i="34"/>
  <c r="S155" i="34"/>
  <c r="S161" i="34" s="1"/>
  <c r="U161" i="34"/>
  <c r="N136" i="61"/>
  <c r="P141" i="61"/>
  <c r="U141" i="61" s="1"/>
  <c r="S141" i="61" s="1"/>
  <c r="Z144" i="61"/>
  <c r="P142" i="61"/>
  <c r="U142" i="61" s="1"/>
  <c r="S142" i="61" s="1"/>
  <c r="P137" i="61"/>
  <c r="U137" i="61" s="1"/>
  <c r="P139" i="61"/>
  <c r="U139" i="61" s="1"/>
  <c r="S139" i="61" s="1"/>
  <c r="P138" i="61"/>
  <c r="U138" i="61" s="1"/>
  <c r="S138" i="61" s="1"/>
  <c r="P140" i="61"/>
  <c r="U140" i="61" s="1"/>
  <c r="S140" i="61" s="1"/>
  <c r="S129" i="61"/>
  <c r="S135" i="61" s="1"/>
  <c r="U135" i="61"/>
  <c r="P190" i="79"/>
  <c r="U190" i="79" s="1"/>
  <c r="S190" i="79" s="1"/>
  <c r="P187" i="79"/>
  <c r="U187" i="79" s="1"/>
  <c r="S187" i="79" s="1"/>
  <c r="N185" i="79"/>
  <c r="P191" i="79"/>
  <c r="U191" i="79" s="1"/>
  <c r="S191" i="79" s="1"/>
  <c r="Z193" i="79"/>
  <c r="P188" i="79"/>
  <c r="U188" i="79" s="1"/>
  <c r="S188" i="79" s="1"/>
  <c r="P186" i="79"/>
  <c r="U186" i="79" s="1"/>
  <c r="P189" i="79"/>
  <c r="U189" i="79" s="1"/>
  <c r="S189" i="79" s="1"/>
  <c r="S148" i="60"/>
  <c r="S154" i="60" s="1"/>
  <c r="U154" i="60"/>
  <c r="Z184" i="57"/>
  <c r="N176" i="57"/>
  <c r="P177" i="57"/>
  <c r="U177" i="57" s="1"/>
  <c r="P181" i="57"/>
  <c r="U181" i="57" s="1"/>
  <c r="S181" i="57" s="1"/>
  <c r="P182" i="57"/>
  <c r="U182" i="57" s="1"/>
  <c r="S182" i="57" s="1"/>
  <c r="P178" i="57"/>
  <c r="U178" i="57" s="1"/>
  <c r="S178" i="57" s="1"/>
  <c r="P180" i="57"/>
  <c r="U180" i="57" s="1"/>
  <c r="S180" i="57" s="1"/>
  <c r="P179" i="57"/>
  <c r="U179" i="57" s="1"/>
  <c r="S179" i="57" s="1"/>
  <c r="S166" i="102"/>
  <c r="S172" i="102" s="1"/>
  <c r="U172" i="102"/>
  <c r="U151" i="85"/>
  <c r="S145" i="85"/>
  <c r="S151" i="85" s="1"/>
  <c r="P160" i="60"/>
  <c r="U160" i="60" s="1"/>
  <c r="S160" i="60" s="1"/>
  <c r="P157" i="60"/>
  <c r="U157" i="60" s="1"/>
  <c r="S157" i="60" s="1"/>
  <c r="P161" i="60"/>
  <c r="U161" i="60" s="1"/>
  <c r="S161" i="60" s="1"/>
  <c r="P156" i="60"/>
  <c r="U156" i="60" s="1"/>
  <c r="Z163" i="60"/>
  <c r="P158" i="60"/>
  <c r="U158" i="60" s="1"/>
  <c r="S158" i="60" s="1"/>
  <c r="N155" i="60"/>
  <c r="P159" i="60"/>
  <c r="U159" i="60" s="1"/>
  <c r="S159" i="60" s="1"/>
  <c r="P160" i="59"/>
  <c r="U160" i="59" s="1"/>
  <c r="S160" i="59" s="1"/>
  <c r="P163" i="59"/>
  <c r="U163" i="59" s="1"/>
  <c r="S163" i="59" s="1"/>
  <c r="N157" i="59"/>
  <c r="Z165" i="59"/>
  <c r="P159" i="59"/>
  <c r="U159" i="59" s="1"/>
  <c r="S159" i="59" s="1"/>
  <c r="P161" i="59"/>
  <c r="U161" i="59" s="1"/>
  <c r="S161" i="59" s="1"/>
  <c r="P158" i="59"/>
  <c r="U158" i="59" s="1"/>
  <c r="P162" i="59"/>
  <c r="U162" i="59" s="1"/>
  <c r="S162" i="59" s="1"/>
  <c r="S137" i="121"/>
  <c r="S143" i="121" s="1"/>
  <c r="U143" i="121"/>
  <c r="S178" i="79"/>
  <c r="S184" i="79" s="1"/>
  <c r="U184" i="79"/>
  <c r="Z160" i="85"/>
  <c r="P155" i="85"/>
  <c r="U155" i="85" s="1"/>
  <c r="S155" i="85" s="1"/>
  <c r="P154" i="85"/>
  <c r="U154" i="85" s="1"/>
  <c r="S154" i="85" s="1"/>
  <c r="N152" i="85"/>
  <c r="P156" i="85"/>
  <c r="U156" i="85" s="1"/>
  <c r="S156" i="85" s="1"/>
  <c r="P157" i="85"/>
  <c r="U157" i="85" s="1"/>
  <c r="S157" i="85" s="1"/>
  <c r="P153" i="85"/>
  <c r="U153" i="85" s="1"/>
  <c r="P158" i="85"/>
  <c r="U158" i="85" s="1"/>
  <c r="S158" i="85" s="1"/>
  <c r="P173" i="101"/>
  <c r="U173" i="101" s="1"/>
  <c r="S173" i="101" s="1"/>
  <c r="N170" i="101"/>
  <c r="P175" i="101"/>
  <c r="U175" i="101" s="1"/>
  <c r="S175" i="101" s="1"/>
  <c r="P171" i="101"/>
  <c r="U171" i="101" s="1"/>
  <c r="P174" i="101"/>
  <c r="U174" i="101" s="1"/>
  <c r="S174" i="101" s="1"/>
  <c r="P172" i="101"/>
  <c r="U172" i="101" s="1"/>
  <c r="S172" i="101" s="1"/>
  <c r="P176" i="101"/>
  <c r="U176" i="101" s="1"/>
  <c r="S176" i="101" s="1"/>
  <c r="Z178" i="101"/>
  <c r="S150" i="59"/>
  <c r="S156" i="59" s="1"/>
  <c r="U156" i="59"/>
  <c r="N144" i="121"/>
  <c r="P148" i="121"/>
  <c r="U148" i="121" s="1"/>
  <c r="S148" i="121" s="1"/>
  <c r="P145" i="121"/>
  <c r="U145" i="121" s="1"/>
  <c r="P150" i="121"/>
  <c r="U150" i="121" s="1"/>
  <c r="S150" i="121" s="1"/>
  <c r="P146" i="121"/>
  <c r="U146" i="121" s="1"/>
  <c r="S146" i="121" s="1"/>
  <c r="P147" i="121"/>
  <c r="U147" i="121" s="1"/>
  <c r="S147" i="121" s="1"/>
  <c r="P149" i="121"/>
  <c r="U149" i="121" s="1"/>
  <c r="S149" i="121" s="1"/>
  <c r="Z181" i="102"/>
  <c r="P176" i="102"/>
  <c r="U176" i="102" s="1"/>
  <c r="S176" i="102" s="1"/>
  <c r="P174" i="102"/>
  <c r="U174" i="102" s="1"/>
  <c r="P177" i="102"/>
  <c r="U177" i="102" s="1"/>
  <c r="S177" i="102" s="1"/>
  <c r="P179" i="102"/>
  <c r="U179" i="102" s="1"/>
  <c r="S179" i="102" s="1"/>
  <c r="N173" i="102"/>
  <c r="P178" i="102"/>
  <c r="U178" i="102" s="1"/>
  <c r="S178" i="102" s="1"/>
  <c r="P175" i="102"/>
  <c r="U175" i="102" s="1"/>
  <c r="S175" i="102" s="1"/>
  <c r="U169" i="101"/>
  <c r="S163" i="101"/>
  <c r="S169" i="101" s="1"/>
  <c r="S158" i="62"/>
  <c r="S164" i="62" s="1"/>
  <c r="U164" i="62"/>
  <c r="S169" i="57"/>
  <c r="S175" i="57" s="1"/>
  <c r="U175" i="57"/>
  <c r="P176" i="92"/>
  <c r="U176" i="92" s="1"/>
  <c r="S176" i="92" s="1"/>
  <c r="Z181" i="92"/>
  <c r="P174" i="92"/>
  <c r="U174" i="92" s="1"/>
  <c r="N173" i="92"/>
  <c r="P175" i="92"/>
  <c r="U175" i="92" s="1"/>
  <c r="S175" i="92" s="1"/>
  <c r="P177" i="92"/>
  <c r="U177" i="92" s="1"/>
  <c r="S177" i="92" s="1"/>
  <c r="P179" i="92"/>
  <c r="U179" i="92" s="1"/>
  <c r="S179" i="92" s="1"/>
  <c r="P178" i="92"/>
  <c r="U178" i="92" s="1"/>
  <c r="S178" i="92" s="1"/>
  <c r="Z208" i="82"/>
  <c r="N200" i="82"/>
  <c r="P202" i="82"/>
  <c r="U202" i="82" s="1"/>
  <c r="S202" i="82" s="1"/>
  <c r="P205" i="82"/>
  <c r="U205" i="82" s="1"/>
  <c r="S205" i="82" s="1"/>
  <c r="P201" i="82"/>
  <c r="U201" i="82" s="1"/>
  <c r="P203" i="82"/>
  <c r="U203" i="82" s="1"/>
  <c r="S203" i="82" s="1"/>
  <c r="P206" i="82"/>
  <c r="U206" i="82" s="1"/>
  <c r="S206" i="82" s="1"/>
  <c r="P204" i="82"/>
  <c r="U204" i="82" s="1"/>
  <c r="S204" i="82" s="1"/>
  <c r="U172" i="92"/>
  <c r="S166" i="92"/>
  <c r="S172" i="92" s="1"/>
  <c r="S149" i="95"/>
  <c r="S155" i="95" s="1"/>
  <c r="U155" i="95"/>
  <c r="P157" i="95"/>
  <c r="U157" i="95" s="1"/>
  <c r="P159" i="95"/>
  <c r="U159" i="95" s="1"/>
  <c r="S159" i="95" s="1"/>
  <c r="P162" i="95"/>
  <c r="U162" i="95" s="1"/>
  <c r="S162" i="95" s="1"/>
  <c r="P160" i="95"/>
  <c r="U160" i="95" s="1"/>
  <c r="S160" i="95" s="1"/>
  <c r="Z164" i="95"/>
  <c r="N156" i="95"/>
  <c r="P158" i="95"/>
  <c r="U158" i="95" s="1"/>
  <c r="S158" i="95" s="1"/>
  <c r="P161" i="95"/>
  <c r="U161" i="95" s="1"/>
  <c r="S161" i="95" s="1"/>
  <c r="S135" i="90"/>
  <c r="S141" i="90" s="1"/>
  <c r="U141" i="90"/>
  <c r="S178" i="83"/>
  <c r="S184" i="83" s="1"/>
  <c r="U184" i="83"/>
  <c r="Z188" i="63"/>
  <c r="N180" i="63"/>
  <c r="P181" i="63"/>
  <c r="U181" i="63" s="1"/>
  <c r="P182" i="63"/>
  <c r="U182" i="63" s="1"/>
  <c r="S182" i="63" s="1"/>
  <c r="P185" i="63"/>
  <c r="U185" i="63" s="1"/>
  <c r="S185" i="63" s="1"/>
  <c r="P183" i="63"/>
  <c r="U183" i="63" s="1"/>
  <c r="S183" i="63" s="1"/>
  <c r="P184" i="63"/>
  <c r="U184" i="63" s="1"/>
  <c r="S184" i="63" s="1"/>
  <c r="P186" i="63"/>
  <c r="U186" i="63" s="1"/>
  <c r="S186" i="63" s="1"/>
  <c r="S193" i="82"/>
  <c r="S199" i="82" s="1"/>
  <c r="U199" i="82"/>
  <c r="P187" i="83"/>
  <c r="U187" i="83" s="1"/>
  <c r="S187" i="83" s="1"/>
  <c r="P191" i="83"/>
  <c r="U191" i="83" s="1"/>
  <c r="S191" i="83" s="1"/>
  <c r="P186" i="83"/>
  <c r="U186" i="83" s="1"/>
  <c r="P189" i="83"/>
  <c r="U189" i="83" s="1"/>
  <c r="S189" i="83" s="1"/>
  <c r="P188" i="83"/>
  <c r="U188" i="83" s="1"/>
  <c r="S188" i="83" s="1"/>
  <c r="N185" i="83"/>
  <c r="P190" i="83"/>
  <c r="U190" i="83" s="1"/>
  <c r="S190" i="83" s="1"/>
  <c r="S173" i="63"/>
  <c r="S179" i="63" s="1"/>
  <c r="U179" i="63"/>
  <c r="Z150" i="90"/>
  <c r="N142" i="90"/>
  <c r="P145" i="90"/>
  <c r="U145" i="90" s="1"/>
  <c r="S145" i="90" s="1"/>
  <c r="P144" i="90"/>
  <c r="U144" i="90" s="1"/>
  <c r="S144" i="90" s="1"/>
  <c r="P147" i="90"/>
  <c r="U147" i="90" s="1"/>
  <c r="S147" i="90" s="1"/>
  <c r="P146" i="90"/>
  <c r="U146" i="90" s="1"/>
  <c r="S146" i="90" s="1"/>
  <c r="P148" i="90"/>
  <c r="U148" i="90" s="1"/>
  <c r="S148" i="90" s="1"/>
  <c r="P143" i="90"/>
  <c r="U143" i="90" s="1"/>
  <c r="S149" i="108"/>
  <c r="S155" i="108" s="1"/>
  <c r="U155" i="108"/>
  <c r="Z164" i="108"/>
  <c r="N156" i="108"/>
  <c r="P162" i="108"/>
  <c r="U162" i="108" s="1"/>
  <c r="S162" i="108" s="1"/>
  <c r="P158" i="108"/>
  <c r="U158" i="108" s="1"/>
  <c r="S158" i="108" s="1"/>
  <c r="P157" i="108"/>
  <c r="U157" i="108" s="1"/>
  <c r="P159" i="108"/>
  <c r="U159" i="108" s="1"/>
  <c r="S159" i="108" s="1"/>
  <c r="P160" i="108"/>
  <c r="U160" i="108" s="1"/>
  <c r="S160" i="108" s="1"/>
  <c r="P161" i="108"/>
  <c r="U161" i="108" s="1"/>
  <c r="S161" i="108" s="1"/>
  <c r="P170" i="98"/>
  <c r="U170" i="98" s="1"/>
  <c r="S170" i="98" s="1"/>
  <c r="P166" i="98"/>
  <c r="U166" i="98" s="1"/>
  <c r="Z173" i="98"/>
  <c r="N165" i="98"/>
  <c r="P171" i="98"/>
  <c r="U171" i="98" s="1"/>
  <c r="S171" i="98" s="1"/>
  <c r="P169" i="98"/>
  <c r="U169" i="98" s="1"/>
  <c r="S169" i="98" s="1"/>
  <c r="P168" i="98"/>
  <c r="U168" i="98" s="1"/>
  <c r="S168" i="98" s="1"/>
  <c r="P167" i="98"/>
  <c r="U167" i="98" s="1"/>
  <c r="S167" i="98" s="1"/>
  <c r="S135" i="68"/>
  <c r="S141" i="68" s="1"/>
  <c r="U141" i="68"/>
  <c r="S158" i="98"/>
  <c r="S164" i="98" s="1"/>
  <c r="U164" i="98"/>
  <c r="S153" i="81"/>
  <c r="S159" i="81" s="1"/>
  <c r="U159" i="81"/>
  <c r="P164" i="77"/>
  <c r="U164" i="77" s="1"/>
  <c r="S164" i="77" s="1"/>
  <c r="P162" i="77"/>
  <c r="U162" i="77" s="1"/>
  <c r="P166" i="77"/>
  <c r="U166" i="77" s="1"/>
  <c r="S166" i="77" s="1"/>
  <c r="P163" i="77"/>
  <c r="U163" i="77" s="1"/>
  <c r="S163" i="77" s="1"/>
  <c r="N161" i="77"/>
  <c r="P165" i="77"/>
  <c r="U165" i="77" s="1"/>
  <c r="S165" i="77" s="1"/>
  <c r="Z169" i="77"/>
  <c r="P167" i="77"/>
  <c r="U167" i="77" s="1"/>
  <c r="S167" i="77" s="1"/>
  <c r="S157" i="70"/>
  <c r="S163" i="70" s="1"/>
  <c r="U163" i="70"/>
  <c r="N146" i="111"/>
  <c r="P149" i="111"/>
  <c r="U149" i="111" s="1"/>
  <c r="S149" i="111" s="1"/>
  <c r="P151" i="111"/>
  <c r="U151" i="111" s="1"/>
  <c r="S151" i="111" s="1"/>
  <c r="P150" i="111"/>
  <c r="U150" i="111" s="1"/>
  <c r="S150" i="111" s="1"/>
  <c r="P152" i="111"/>
  <c r="U152" i="111" s="1"/>
  <c r="S152" i="111" s="1"/>
  <c r="P147" i="111"/>
  <c r="U147" i="111" s="1"/>
  <c r="Z154" i="111"/>
  <c r="P148" i="111"/>
  <c r="U148" i="111" s="1"/>
  <c r="S148" i="111" s="1"/>
  <c r="S142" i="25"/>
  <c r="S148" i="25" s="1"/>
  <c r="U148" i="25"/>
  <c r="AF168" i="36"/>
  <c r="P145" i="68"/>
  <c r="U145" i="68" s="1"/>
  <c r="S145" i="68" s="1"/>
  <c r="Z150" i="68"/>
  <c r="P144" i="68"/>
  <c r="U144" i="68" s="1"/>
  <c r="S144" i="68" s="1"/>
  <c r="P143" i="68"/>
  <c r="U143" i="68" s="1"/>
  <c r="P146" i="68"/>
  <c r="U146" i="68" s="1"/>
  <c r="S146" i="68" s="1"/>
  <c r="P147" i="68"/>
  <c r="U147" i="68" s="1"/>
  <c r="S147" i="68" s="1"/>
  <c r="N142" i="68"/>
  <c r="P148" i="68"/>
  <c r="U148" i="68" s="1"/>
  <c r="S148" i="68" s="1"/>
  <c r="U148" i="89"/>
  <c r="S142" i="89"/>
  <c r="S148" i="89" s="1"/>
  <c r="S166" i="88"/>
  <c r="S172" i="88" s="1"/>
  <c r="U172" i="88"/>
  <c r="P175" i="88"/>
  <c r="U175" i="88" s="1"/>
  <c r="S175" i="88" s="1"/>
  <c r="P177" i="88"/>
  <c r="U177" i="88" s="1"/>
  <c r="S177" i="88" s="1"/>
  <c r="P179" i="88"/>
  <c r="U179" i="88" s="1"/>
  <c r="S179" i="88" s="1"/>
  <c r="Z181" i="88"/>
  <c r="P174" i="88"/>
  <c r="U174" i="88" s="1"/>
  <c r="N173" i="88"/>
  <c r="P178" i="88"/>
  <c r="U178" i="88" s="1"/>
  <c r="S178" i="88" s="1"/>
  <c r="P176" i="88"/>
  <c r="U176" i="88" s="1"/>
  <c r="S176" i="88" s="1"/>
  <c r="P161" i="81"/>
  <c r="U161" i="81" s="1"/>
  <c r="P166" i="81"/>
  <c r="U166" i="81" s="1"/>
  <c r="S166" i="81" s="1"/>
  <c r="Z168" i="81"/>
  <c r="P163" i="81"/>
  <c r="U163" i="81" s="1"/>
  <c r="S163" i="81" s="1"/>
  <c r="N160" i="81"/>
  <c r="P162" i="81"/>
  <c r="U162" i="81" s="1"/>
  <c r="S162" i="81" s="1"/>
  <c r="P165" i="81"/>
  <c r="U165" i="81" s="1"/>
  <c r="S165" i="81" s="1"/>
  <c r="P164" i="81"/>
  <c r="U164" i="81" s="1"/>
  <c r="S164" i="81" s="1"/>
  <c r="S154" i="77"/>
  <c r="S160" i="77" s="1"/>
  <c r="U160" i="77"/>
  <c r="P168" i="70"/>
  <c r="U168" i="70" s="1"/>
  <c r="S168" i="70" s="1"/>
  <c r="P169" i="70"/>
  <c r="U169" i="70" s="1"/>
  <c r="S169" i="70" s="1"/>
  <c r="Z172" i="70"/>
  <c r="P166" i="70"/>
  <c r="U166" i="70" s="1"/>
  <c r="S166" i="70" s="1"/>
  <c r="P167" i="70"/>
  <c r="U167" i="70" s="1"/>
  <c r="S167" i="70" s="1"/>
  <c r="P170" i="70"/>
  <c r="U170" i="70" s="1"/>
  <c r="S170" i="70" s="1"/>
  <c r="N164" i="70"/>
  <c r="P165" i="70"/>
  <c r="U165" i="70" s="1"/>
  <c r="P155" i="25"/>
  <c r="U155" i="25" s="1"/>
  <c r="S155" i="25" s="1"/>
  <c r="P150" i="25"/>
  <c r="U150" i="25" s="1"/>
  <c r="P154" i="25"/>
  <c r="U154" i="25" s="1"/>
  <c r="S154" i="25" s="1"/>
  <c r="P153" i="25"/>
  <c r="U153" i="25" s="1"/>
  <c r="S153" i="25" s="1"/>
  <c r="P152" i="25"/>
  <c r="U152" i="25" s="1"/>
  <c r="S152" i="25" s="1"/>
  <c r="N149" i="25"/>
  <c r="P151" i="25"/>
  <c r="U151" i="25" s="1"/>
  <c r="S151" i="25" s="1"/>
  <c r="S133" i="72"/>
  <c r="S139" i="72" s="1"/>
  <c r="U139" i="72"/>
  <c r="S139" i="111"/>
  <c r="S145" i="111" s="1"/>
  <c r="U145" i="111"/>
  <c r="N149" i="89"/>
  <c r="Z157" i="89"/>
  <c r="P154" i="89"/>
  <c r="U154" i="89" s="1"/>
  <c r="S154" i="89" s="1"/>
  <c r="P150" i="89"/>
  <c r="U150" i="89" s="1"/>
  <c r="P151" i="89"/>
  <c r="U151" i="89" s="1"/>
  <c r="S151" i="89" s="1"/>
  <c r="P152" i="89"/>
  <c r="U152" i="89" s="1"/>
  <c r="S152" i="89" s="1"/>
  <c r="P155" i="89"/>
  <c r="U155" i="89" s="1"/>
  <c r="S155" i="89" s="1"/>
  <c r="P153" i="89"/>
  <c r="U153" i="89" s="1"/>
  <c r="S153" i="89" s="1"/>
  <c r="P190" i="109" l="1"/>
  <c r="U190" i="109" s="1"/>
  <c r="S190" i="109" s="1"/>
  <c r="Z194" i="109"/>
  <c r="P191" i="109"/>
  <c r="U191" i="109" s="1"/>
  <c r="S191" i="109" s="1"/>
  <c r="P189" i="109"/>
  <c r="U189" i="109" s="1"/>
  <c r="S189" i="109" s="1"/>
  <c r="P187" i="109"/>
  <c r="U187" i="109" s="1"/>
  <c r="P188" i="109"/>
  <c r="U188" i="109" s="1"/>
  <c r="S188" i="109" s="1"/>
  <c r="N186" i="109"/>
  <c r="P192" i="109"/>
  <c r="U192" i="109" s="1"/>
  <c r="S192" i="109" s="1"/>
  <c r="S167" i="103"/>
  <c r="S173" i="103" s="1"/>
  <c r="U173" i="103"/>
  <c r="P178" i="103"/>
  <c r="U178" i="103" s="1"/>
  <c r="S178" i="103" s="1"/>
  <c r="Z182" i="103"/>
  <c r="P175" i="103"/>
  <c r="U175" i="103" s="1"/>
  <c r="P179" i="103"/>
  <c r="U179" i="103" s="1"/>
  <c r="S179" i="103" s="1"/>
  <c r="P180" i="103"/>
  <c r="U180" i="103" s="1"/>
  <c r="S180" i="103" s="1"/>
  <c r="N174" i="103"/>
  <c r="P177" i="103"/>
  <c r="U177" i="103" s="1"/>
  <c r="S177" i="103" s="1"/>
  <c r="P176" i="103"/>
  <c r="U176" i="103" s="1"/>
  <c r="S176" i="103" s="1"/>
  <c r="S171" i="109"/>
  <c r="U177" i="109"/>
  <c r="P180" i="109"/>
  <c r="U180" i="109" s="1"/>
  <c r="S180" i="109" s="1"/>
  <c r="P184" i="109"/>
  <c r="U184" i="109" s="1"/>
  <c r="S184" i="109" s="1"/>
  <c r="P179" i="109"/>
  <c r="U179" i="109" s="1"/>
  <c r="P183" i="109"/>
  <c r="U183" i="109" s="1"/>
  <c r="S183" i="109" s="1"/>
  <c r="P182" i="109"/>
  <c r="U182" i="109" s="1"/>
  <c r="S182" i="109" s="1"/>
  <c r="N178" i="109"/>
  <c r="P181" i="109"/>
  <c r="U181" i="109" s="1"/>
  <c r="S181" i="109" s="1"/>
  <c r="U5" i="105" a="1"/>
  <c r="U5" i="105" s="1"/>
  <c r="S177" i="96"/>
  <c r="S183" i="96" s="1"/>
  <c r="U183" i="96"/>
  <c r="P190" i="96"/>
  <c r="U190" i="96" s="1"/>
  <c r="S190" i="96" s="1"/>
  <c r="P186" i="96"/>
  <c r="U186" i="96" s="1"/>
  <c r="S186" i="96" s="1"/>
  <c r="P187" i="96"/>
  <c r="U187" i="96" s="1"/>
  <c r="S187" i="96" s="1"/>
  <c r="N184" i="96"/>
  <c r="P188" i="96"/>
  <c r="U188" i="96" s="1"/>
  <c r="S188" i="96" s="1"/>
  <c r="P185" i="96"/>
  <c r="U185" i="96" s="1"/>
  <c r="P189" i="96"/>
  <c r="U189" i="96" s="1"/>
  <c r="S189" i="96" s="1"/>
  <c r="Z192" i="96"/>
  <c r="S181" i="86"/>
  <c r="S187" i="86" s="1"/>
  <c r="U187" i="86"/>
  <c r="P194" i="86"/>
  <c r="U194" i="86" s="1"/>
  <c r="S194" i="86" s="1"/>
  <c r="P191" i="86"/>
  <c r="U191" i="86" s="1"/>
  <c r="S191" i="86" s="1"/>
  <c r="P190" i="86"/>
  <c r="U190" i="86" s="1"/>
  <c r="S190" i="86" s="1"/>
  <c r="N188" i="86"/>
  <c r="P189" i="86"/>
  <c r="U189" i="86" s="1"/>
  <c r="P192" i="86"/>
  <c r="U192" i="86" s="1"/>
  <c r="S192" i="86" s="1"/>
  <c r="P193" i="86"/>
  <c r="U193" i="86" s="1"/>
  <c r="S193" i="86" s="1"/>
  <c r="Z196" i="86"/>
  <c r="U170" i="84"/>
  <c r="S164" i="84"/>
  <c r="S170" i="84" s="1"/>
  <c r="P173" i="84"/>
  <c r="U173" i="84" s="1"/>
  <c r="S173" i="84" s="1"/>
  <c r="P177" i="84"/>
  <c r="U177" i="84" s="1"/>
  <c r="S177" i="84" s="1"/>
  <c r="P172" i="84"/>
  <c r="U172" i="84" s="1"/>
  <c r="P175" i="84"/>
  <c r="U175" i="84" s="1"/>
  <c r="S175" i="84" s="1"/>
  <c r="P176" i="84"/>
  <c r="U176" i="84" s="1"/>
  <c r="S176" i="84" s="1"/>
  <c r="N171" i="84"/>
  <c r="P174" i="84"/>
  <c r="U174" i="84" s="1"/>
  <c r="S174" i="84" s="1"/>
  <c r="Z179" i="84"/>
  <c r="U190" i="78"/>
  <c r="S184" i="78"/>
  <c r="S190" i="78" s="1"/>
  <c r="N191" i="78"/>
  <c r="P194" i="78"/>
  <c r="U194" i="78" s="1"/>
  <c r="S194" i="78" s="1"/>
  <c r="Z199" i="78"/>
  <c r="P193" i="78"/>
  <c r="U193" i="78" s="1"/>
  <c r="S193" i="78" s="1"/>
  <c r="P195" i="78"/>
  <c r="U195" i="78" s="1"/>
  <c r="S195" i="78" s="1"/>
  <c r="P196" i="78"/>
  <c r="U196" i="78" s="1"/>
  <c r="S196" i="78" s="1"/>
  <c r="P197" i="78"/>
  <c r="U197" i="78" s="1"/>
  <c r="S197" i="78" s="1"/>
  <c r="P192" i="78"/>
  <c r="U192" i="78" s="1"/>
  <c r="P185" i="76"/>
  <c r="U185" i="76" s="1"/>
  <c r="S185" i="76" s="1"/>
  <c r="P184" i="76"/>
  <c r="U184" i="76" s="1"/>
  <c r="S184" i="76" s="1"/>
  <c r="P187" i="76"/>
  <c r="U187" i="76" s="1"/>
  <c r="S187" i="76" s="1"/>
  <c r="P183" i="76"/>
  <c r="U183" i="76" s="1"/>
  <c r="S183" i="76" s="1"/>
  <c r="N181" i="76"/>
  <c r="P182" i="76"/>
  <c r="U182" i="76" s="1"/>
  <c r="Z189" i="76"/>
  <c r="P186" i="76"/>
  <c r="U186" i="76" s="1"/>
  <c r="S186" i="76" s="1"/>
  <c r="S174" i="76"/>
  <c r="S180" i="76" s="1"/>
  <c r="U180" i="76"/>
  <c r="S156" i="75"/>
  <c r="S162" i="75" s="1"/>
  <c r="U162" i="75"/>
  <c r="Z171" i="75"/>
  <c r="P165" i="75"/>
  <c r="U165" i="75" s="1"/>
  <c r="S165" i="75" s="1"/>
  <c r="P168" i="75"/>
  <c r="U168" i="75" s="1"/>
  <c r="S168" i="75" s="1"/>
  <c r="P164" i="75"/>
  <c r="U164" i="75" s="1"/>
  <c r="N163" i="75"/>
  <c r="P169" i="75"/>
  <c r="U169" i="75" s="1"/>
  <c r="S169" i="75" s="1"/>
  <c r="P166" i="75"/>
  <c r="U166" i="75" s="1"/>
  <c r="S166" i="75" s="1"/>
  <c r="P167" i="75"/>
  <c r="U167" i="75" s="1"/>
  <c r="S167" i="75" s="1"/>
  <c r="P169" i="74"/>
  <c r="U169" i="74" s="1"/>
  <c r="P174" i="74"/>
  <c r="U174" i="74" s="1"/>
  <c r="S174" i="74" s="1"/>
  <c r="N168" i="74"/>
  <c r="P170" i="74"/>
  <c r="U170" i="74" s="1"/>
  <c r="S170" i="74" s="1"/>
  <c r="P173" i="74"/>
  <c r="U173" i="74" s="1"/>
  <c r="S173" i="74" s="1"/>
  <c r="P171" i="74"/>
  <c r="U171" i="74" s="1"/>
  <c r="S171" i="74" s="1"/>
  <c r="Z176" i="74"/>
  <c r="P172" i="74"/>
  <c r="U172" i="74" s="1"/>
  <c r="S172" i="74" s="1"/>
  <c r="U167" i="74"/>
  <c r="S161" i="74"/>
  <c r="S167" i="74" s="1"/>
  <c r="P166" i="73"/>
  <c r="U166" i="73" s="1"/>
  <c r="S166" i="73" s="1"/>
  <c r="P164" i="73"/>
  <c r="U164" i="73" s="1"/>
  <c r="N163" i="73"/>
  <c r="P167" i="73"/>
  <c r="U167" i="73" s="1"/>
  <c r="S167" i="73" s="1"/>
  <c r="P165" i="73"/>
  <c r="U165" i="73" s="1"/>
  <c r="S165" i="73" s="1"/>
  <c r="Z171" i="73"/>
  <c r="P168" i="73"/>
  <c r="U168" i="73" s="1"/>
  <c r="S168" i="73" s="1"/>
  <c r="P169" i="73"/>
  <c r="U169" i="73" s="1"/>
  <c r="S169" i="73" s="1"/>
  <c r="S156" i="73"/>
  <c r="S162" i="73" s="1"/>
  <c r="U162" i="73"/>
  <c r="N151" i="69"/>
  <c r="P154" i="69"/>
  <c r="U154" i="69" s="1"/>
  <c r="S154" i="69" s="1"/>
  <c r="P156" i="69"/>
  <c r="U156" i="69" s="1"/>
  <c r="S156" i="69" s="1"/>
  <c r="P155" i="69"/>
  <c r="U155" i="69" s="1"/>
  <c r="S155" i="69" s="1"/>
  <c r="Z159" i="69"/>
  <c r="P152" i="69"/>
  <c r="U152" i="69" s="1"/>
  <c r="P153" i="69"/>
  <c r="U153" i="69" s="1"/>
  <c r="S153" i="69" s="1"/>
  <c r="P157" i="69"/>
  <c r="U157" i="69" s="1"/>
  <c r="S157" i="69" s="1"/>
  <c r="S144" i="69"/>
  <c r="S150" i="69" s="1"/>
  <c r="U150" i="69"/>
  <c r="P175" i="34"/>
  <c r="U175" i="34" s="1"/>
  <c r="S175" i="34" s="1"/>
  <c r="P172" i="34"/>
  <c r="U172" i="34" s="1"/>
  <c r="S172" i="34" s="1"/>
  <c r="N170" i="34"/>
  <c r="Z178" i="34"/>
  <c r="P174" i="34"/>
  <c r="U174" i="34" s="1"/>
  <c r="S174" i="34" s="1"/>
  <c r="P171" i="34"/>
  <c r="U171" i="34" s="1"/>
  <c r="P173" i="34"/>
  <c r="U173" i="34" s="1"/>
  <c r="S173" i="34" s="1"/>
  <c r="P176" i="34"/>
  <c r="U176" i="34" s="1"/>
  <c r="S176" i="34" s="1"/>
  <c r="U169" i="34"/>
  <c r="S163" i="34"/>
  <c r="S169" i="34" s="1"/>
  <c r="P145" i="61"/>
  <c r="U145" i="61" s="1"/>
  <c r="P149" i="61"/>
  <c r="U149" i="61" s="1"/>
  <c r="S149" i="61" s="1"/>
  <c r="P148" i="61"/>
  <c r="U148" i="61" s="1"/>
  <c r="S148" i="61" s="1"/>
  <c r="Z152" i="61"/>
  <c r="N144" i="61"/>
  <c r="P147" i="61"/>
  <c r="U147" i="61" s="1"/>
  <c r="S147" i="61" s="1"/>
  <c r="P146" i="61"/>
  <c r="U146" i="61" s="1"/>
  <c r="S146" i="61" s="1"/>
  <c r="P150" i="61"/>
  <c r="U150" i="61" s="1"/>
  <c r="S150" i="61" s="1"/>
  <c r="S137" i="61"/>
  <c r="S143" i="61" s="1"/>
  <c r="U143" i="61"/>
  <c r="S174" i="102"/>
  <c r="S180" i="102" s="1"/>
  <c r="U180" i="102"/>
  <c r="U151" i="121"/>
  <c r="S145" i="121"/>
  <c r="S151" i="121" s="1"/>
  <c r="P162" i="85"/>
  <c r="U162" i="85" s="1"/>
  <c r="S162" i="85" s="1"/>
  <c r="P165" i="85"/>
  <c r="U165" i="85" s="1"/>
  <c r="S165" i="85" s="1"/>
  <c r="P163" i="85"/>
  <c r="U163" i="85" s="1"/>
  <c r="S163" i="85" s="1"/>
  <c r="P161" i="85"/>
  <c r="U161" i="85" s="1"/>
  <c r="N160" i="85"/>
  <c r="P164" i="85"/>
  <c r="U164" i="85" s="1"/>
  <c r="S164" i="85" s="1"/>
  <c r="Z168" i="85"/>
  <c r="P166" i="85"/>
  <c r="U166" i="85" s="1"/>
  <c r="S166" i="85" s="1"/>
  <c r="N163" i="60"/>
  <c r="P169" i="60"/>
  <c r="U169" i="60" s="1"/>
  <c r="S169" i="60" s="1"/>
  <c r="P167" i="60"/>
  <c r="U167" i="60" s="1"/>
  <c r="S167" i="60" s="1"/>
  <c r="P168" i="60"/>
  <c r="U168" i="60" s="1"/>
  <c r="S168" i="60" s="1"/>
  <c r="P165" i="60"/>
  <c r="U165" i="60" s="1"/>
  <c r="S165" i="60" s="1"/>
  <c r="P166" i="60"/>
  <c r="U166" i="60" s="1"/>
  <c r="S166" i="60" s="1"/>
  <c r="Z171" i="60"/>
  <c r="P164" i="60"/>
  <c r="U164" i="60" s="1"/>
  <c r="S177" i="57"/>
  <c r="S183" i="57" s="1"/>
  <c r="U183" i="57"/>
  <c r="S186" i="79"/>
  <c r="S192" i="79" s="1"/>
  <c r="U192" i="79"/>
  <c r="P187" i="102"/>
  <c r="U187" i="102" s="1"/>
  <c r="S187" i="102" s="1"/>
  <c r="P182" i="102"/>
  <c r="U182" i="102" s="1"/>
  <c r="P184" i="102"/>
  <c r="U184" i="102" s="1"/>
  <c r="S184" i="102" s="1"/>
  <c r="N181" i="102"/>
  <c r="Z189" i="102"/>
  <c r="P185" i="102"/>
  <c r="U185" i="102" s="1"/>
  <c r="S185" i="102" s="1"/>
  <c r="P183" i="102"/>
  <c r="U183" i="102" s="1"/>
  <c r="S183" i="102" s="1"/>
  <c r="P186" i="102"/>
  <c r="U186" i="102" s="1"/>
  <c r="S186" i="102" s="1"/>
  <c r="P184" i="101"/>
  <c r="U184" i="101" s="1"/>
  <c r="S184" i="101" s="1"/>
  <c r="P183" i="101"/>
  <c r="U183" i="101" s="1"/>
  <c r="S183" i="101" s="1"/>
  <c r="N178" i="101"/>
  <c r="P179" i="101"/>
  <c r="U179" i="101" s="1"/>
  <c r="P180" i="101"/>
  <c r="U180" i="101" s="1"/>
  <c r="S180" i="101" s="1"/>
  <c r="P182" i="101"/>
  <c r="U182" i="101" s="1"/>
  <c r="S182" i="101" s="1"/>
  <c r="P181" i="101"/>
  <c r="U181" i="101" s="1"/>
  <c r="S181" i="101" s="1"/>
  <c r="Z186" i="101"/>
  <c r="U177" i="101"/>
  <c r="S171" i="101"/>
  <c r="S177" i="101" s="1"/>
  <c r="P168" i="59"/>
  <c r="U168" i="59" s="1"/>
  <c r="S168" i="59" s="1"/>
  <c r="P167" i="59"/>
  <c r="U167" i="59" s="1"/>
  <c r="S167" i="59" s="1"/>
  <c r="P169" i="59"/>
  <c r="U169" i="59" s="1"/>
  <c r="S169" i="59" s="1"/>
  <c r="P170" i="59"/>
  <c r="U170" i="59" s="1"/>
  <c r="S170" i="59" s="1"/>
  <c r="N165" i="59"/>
  <c r="Z173" i="59"/>
  <c r="P171" i="59"/>
  <c r="U171" i="59" s="1"/>
  <c r="S171" i="59" s="1"/>
  <c r="P166" i="59"/>
  <c r="U166" i="59" s="1"/>
  <c r="U162" i="60"/>
  <c r="S156" i="60"/>
  <c r="S162" i="60" s="1"/>
  <c r="S153" i="85"/>
  <c r="S159" i="85" s="1"/>
  <c r="U159" i="85"/>
  <c r="S158" i="59"/>
  <c r="S164" i="59" s="1"/>
  <c r="U164" i="59"/>
  <c r="P188" i="57"/>
  <c r="U188" i="57" s="1"/>
  <c r="S188" i="57" s="1"/>
  <c r="N184" i="57"/>
  <c r="P186" i="57"/>
  <c r="U186" i="57" s="1"/>
  <c r="S186" i="57" s="1"/>
  <c r="P187" i="57"/>
  <c r="U187" i="57" s="1"/>
  <c r="S187" i="57" s="1"/>
  <c r="P185" i="57"/>
  <c r="U185" i="57" s="1"/>
  <c r="P190" i="57"/>
  <c r="U190" i="57" s="1"/>
  <c r="S190" i="57" s="1"/>
  <c r="P189" i="57"/>
  <c r="U189" i="57" s="1"/>
  <c r="S189" i="57" s="1"/>
  <c r="Z192" i="57"/>
  <c r="P199" i="79"/>
  <c r="U199" i="79" s="1"/>
  <c r="S199" i="79" s="1"/>
  <c r="P197" i="79"/>
  <c r="U197" i="79" s="1"/>
  <c r="S197" i="79" s="1"/>
  <c r="P195" i="79"/>
  <c r="U195" i="79" s="1"/>
  <c r="S195" i="79" s="1"/>
  <c r="P196" i="79"/>
  <c r="U196" i="79" s="1"/>
  <c r="S196" i="79" s="1"/>
  <c r="Z201" i="79"/>
  <c r="P198" i="79"/>
  <c r="U198" i="79" s="1"/>
  <c r="S198" i="79" s="1"/>
  <c r="N193" i="79"/>
  <c r="P194" i="79"/>
  <c r="U194" i="79" s="1"/>
  <c r="S186" i="83"/>
  <c r="S192" i="83" s="1"/>
  <c r="U192" i="83"/>
  <c r="N150" i="90"/>
  <c r="Z158" i="90"/>
  <c r="P154" i="90"/>
  <c r="U154" i="90" s="1"/>
  <c r="S154" i="90" s="1"/>
  <c r="P153" i="90"/>
  <c r="U153" i="90" s="1"/>
  <c r="S153" i="90" s="1"/>
  <c r="P155" i="90"/>
  <c r="U155" i="90" s="1"/>
  <c r="S155" i="90" s="1"/>
  <c r="P156" i="90"/>
  <c r="U156" i="90" s="1"/>
  <c r="S156" i="90" s="1"/>
  <c r="P152" i="90"/>
  <c r="U152" i="90" s="1"/>
  <c r="S152" i="90" s="1"/>
  <c r="P151" i="90"/>
  <c r="U151" i="90" s="1"/>
  <c r="U187" i="63"/>
  <c r="S181" i="63"/>
  <c r="S187" i="63" s="1"/>
  <c r="S201" i="82"/>
  <c r="S207" i="82" s="1"/>
  <c r="U207" i="82"/>
  <c r="N208" i="82"/>
  <c r="P212" i="82"/>
  <c r="U212" i="82" s="1"/>
  <c r="S212" i="82" s="1"/>
  <c r="P211" i="82"/>
  <c r="U211" i="82" s="1"/>
  <c r="S211" i="82" s="1"/>
  <c r="Z216" i="82"/>
  <c r="P214" i="82"/>
  <c r="U214" i="82" s="1"/>
  <c r="S214" i="82" s="1"/>
  <c r="P210" i="82"/>
  <c r="U210" i="82" s="1"/>
  <c r="S210" i="82" s="1"/>
  <c r="P209" i="82"/>
  <c r="U209" i="82" s="1"/>
  <c r="P213" i="82"/>
  <c r="U213" i="82" s="1"/>
  <c r="S213" i="82" s="1"/>
  <c r="S174" i="92"/>
  <c r="S180" i="92" s="1"/>
  <c r="U180" i="92"/>
  <c r="S143" i="90"/>
  <c r="S149" i="90" s="1"/>
  <c r="U149" i="90"/>
  <c r="P186" i="92"/>
  <c r="U186" i="92" s="1"/>
  <c r="S186" i="92" s="1"/>
  <c r="P184" i="92"/>
  <c r="U184" i="92" s="1"/>
  <c r="S184" i="92" s="1"/>
  <c r="P183" i="92"/>
  <c r="U183" i="92" s="1"/>
  <c r="S183" i="92" s="1"/>
  <c r="P187" i="92"/>
  <c r="U187" i="92" s="1"/>
  <c r="S187" i="92" s="1"/>
  <c r="P185" i="92"/>
  <c r="U185" i="92" s="1"/>
  <c r="S185" i="92" s="1"/>
  <c r="Z189" i="92"/>
  <c r="N181" i="92"/>
  <c r="P182" i="92"/>
  <c r="U182" i="92" s="1"/>
  <c r="Z196" i="63"/>
  <c r="N188" i="63"/>
  <c r="P190" i="63"/>
  <c r="U190" i="63" s="1"/>
  <c r="S190" i="63" s="1"/>
  <c r="P191" i="63"/>
  <c r="U191" i="63" s="1"/>
  <c r="S191" i="63" s="1"/>
  <c r="P192" i="63"/>
  <c r="U192" i="63" s="1"/>
  <c r="S192" i="63" s="1"/>
  <c r="P189" i="63"/>
  <c r="U189" i="63" s="1"/>
  <c r="P193" i="63"/>
  <c r="U193" i="63" s="1"/>
  <c r="S193" i="63" s="1"/>
  <c r="P194" i="63"/>
  <c r="U194" i="63" s="1"/>
  <c r="S194" i="63" s="1"/>
  <c r="Z172" i="95"/>
  <c r="P169" i="95"/>
  <c r="U169" i="95" s="1"/>
  <c r="S169" i="95" s="1"/>
  <c r="N164" i="95"/>
  <c r="P170" i="95"/>
  <c r="U170" i="95" s="1"/>
  <c r="S170" i="95" s="1"/>
  <c r="P167" i="95"/>
  <c r="U167" i="95" s="1"/>
  <c r="S167" i="95" s="1"/>
  <c r="P165" i="95"/>
  <c r="U165" i="95" s="1"/>
  <c r="P168" i="95"/>
  <c r="U168" i="95" s="1"/>
  <c r="S168" i="95" s="1"/>
  <c r="P166" i="95"/>
  <c r="U166" i="95" s="1"/>
  <c r="S166" i="95" s="1"/>
  <c r="S157" i="95"/>
  <c r="S163" i="95" s="1"/>
  <c r="U163" i="95"/>
  <c r="U163" i="108"/>
  <c r="S157" i="108"/>
  <c r="S163" i="108" s="1"/>
  <c r="Z172" i="108"/>
  <c r="N164" i="108"/>
  <c r="P169" i="108"/>
  <c r="U169" i="108" s="1"/>
  <c r="S169" i="108" s="1"/>
  <c r="P167" i="108"/>
  <c r="U167" i="108" s="1"/>
  <c r="S167" i="108" s="1"/>
  <c r="P168" i="108"/>
  <c r="U168" i="108" s="1"/>
  <c r="S168" i="108" s="1"/>
  <c r="P170" i="108"/>
  <c r="U170" i="108" s="1"/>
  <c r="S170" i="108" s="1"/>
  <c r="P166" i="108"/>
  <c r="U166" i="108" s="1"/>
  <c r="S166" i="108" s="1"/>
  <c r="P165" i="108"/>
  <c r="U165" i="108" s="1"/>
  <c r="S165" i="70"/>
  <c r="S171" i="70" s="1"/>
  <c r="U171" i="70"/>
  <c r="N150" i="68"/>
  <c r="P155" i="68"/>
  <c r="U155" i="68" s="1"/>
  <c r="S155" i="68" s="1"/>
  <c r="P153" i="68"/>
  <c r="U153" i="68" s="1"/>
  <c r="S153" i="68" s="1"/>
  <c r="P151" i="68"/>
  <c r="U151" i="68" s="1"/>
  <c r="P154" i="68"/>
  <c r="U154" i="68" s="1"/>
  <c r="S154" i="68" s="1"/>
  <c r="Z158" i="68"/>
  <c r="P156" i="68"/>
  <c r="U156" i="68" s="1"/>
  <c r="S156" i="68" s="1"/>
  <c r="P152" i="68"/>
  <c r="U152" i="68" s="1"/>
  <c r="S152" i="68" s="1"/>
  <c r="AF176" i="36"/>
  <c r="U172" i="98"/>
  <c r="S166" i="98"/>
  <c r="S172" i="98" s="1"/>
  <c r="P174" i="70"/>
  <c r="U174" i="70" s="1"/>
  <c r="S174" i="70" s="1"/>
  <c r="P177" i="70"/>
  <c r="U177" i="70" s="1"/>
  <c r="S177" i="70" s="1"/>
  <c r="P178" i="70"/>
  <c r="U178" i="70" s="1"/>
  <c r="S178" i="70" s="1"/>
  <c r="P175" i="70"/>
  <c r="U175" i="70" s="1"/>
  <c r="S175" i="70" s="1"/>
  <c r="Z180" i="70"/>
  <c r="P176" i="70"/>
  <c r="U176" i="70" s="1"/>
  <c r="S176" i="70" s="1"/>
  <c r="P173" i="70"/>
  <c r="U173" i="70" s="1"/>
  <c r="N172" i="70"/>
  <c r="S161" i="81"/>
  <c r="S167" i="81" s="1"/>
  <c r="U167" i="81"/>
  <c r="S174" i="88"/>
  <c r="S180" i="88" s="1"/>
  <c r="U180" i="88"/>
  <c r="S150" i="89"/>
  <c r="S156" i="89" s="1"/>
  <c r="U156" i="89"/>
  <c r="U156" i="25"/>
  <c r="S150" i="25"/>
  <c r="S156" i="25" s="1"/>
  <c r="P185" i="88"/>
  <c r="U185" i="88" s="1"/>
  <c r="S185" i="88" s="1"/>
  <c r="P187" i="88"/>
  <c r="U187" i="88" s="1"/>
  <c r="S187" i="88" s="1"/>
  <c r="Z189" i="88"/>
  <c r="P182" i="88"/>
  <c r="U182" i="88" s="1"/>
  <c r="N181" i="88"/>
  <c r="P184" i="88"/>
  <c r="U184" i="88" s="1"/>
  <c r="S184" i="88" s="1"/>
  <c r="P183" i="88"/>
  <c r="U183" i="88" s="1"/>
  <c r="S183" i="88" s="1"/>
  <c r="P186" i="88"/>
  <c r="U186" i="88" s="1"/>
  <c r="S186" i="88" s="1"/>
  <c r="S143" i="68"/>
  <c r="S149" i="68" s="1"/>
  <c r="U149" i="68"/>
  <c r="N154" i="111"/>
  <c r="P155" i="111"/>
  <c r="U155" i="111" s="1"/>
  <c r="P159" i="111"/>
  <c r="U159" i="111" s="1"/>
  <c r="S159" i="111" s="1"/>
  <c r="P157" i="111"/>
  <c r="U157" i="111" s="1"/>
  <c r="S157" i="111" s="1"/>
  <c r="P156" i="111"/>
  <c r="U156" i="111" s="1"/>
  <c r="S156" i="111" s="1"/>
  <c r="P160" i="111"/>
  <c r="U160" i="111" s="1"/>
  <c r="S160" i="111" s="1"/>
  <c r="P158" i="111"/>
  <c r="U158" i="111" s="1"/>
  <c r="S158" i="111" s="1"/>
  <c r="Z162" i="111"/>
  <c r="P174" i="77"/>
  <c r="U174" i="77" s="1"/>
  <c r="S174" i="77" s="1"/>
  <c r="P171" i="77"/>
  <c r="U171" i="77" s="1"/>
  <c r="S171" i="77" s="1"/>
  <c r="N169" i="77"/>
  <c r="P170" i="77"/>
  <c r="U170" i="77" s="1"/>
  <c r="P175" i="77"/>
  <c r="U175" i="77" s="1"/>
  <c r="S175" i="77" s="1"/>
  <c r="P172" i="77"/>
  <c r="U172" i="77" s="1"/>
  <c r="S172" i="77" s="1"/>
  <c r="Z177" i="77"/>
  <c r="P173" i="77"/>
  <c r="U173" i="77" s="1"/>
  <c r="S173" i="77" s="1"/>
  <c r="P161" i="89"/>
  <c r="U161" i="89" s="1"/>
  <c r="S161" i="89" s="1"/>
  <c r="P158" i="89"/>
  <c r="U158" i="89" s="1"/>
  <c r="P163" i="89"/>
  <c r="U163" i="89" s="1"/>
  <c r="S163" i="89" s="1"/>
  <c r="P159" i="89"/>
  <c r="U159" i="89" s="1"/>
  <c r="S159" i="89" s="1"/>
  <c r="P160" i="89"/>
  <c r="U160" i="89" s="1"/>
  <c r="S160" i="89" s="1"/>
  <c r="Z165" i="89"/>
  <c r="N157" i="89"/>
  <c r="P162" i="89"/>
  <c r="U162" i="89" s="1"/>
  <c r="S162" i="89" s="1"/>
  <c r="P170" i="81"/>
  <c r="U170" i="81" s="1"/>
  <c r="S170" i="81" s="1"/>
  <c r="P174" i="81"/>
  <c r="U174" i="81" s="1"/>
  <c r="S174" i="81" s="1"/>
  <c r="P172" i="81"/>
  <c r="U172" i="81" s="1"/>
  <c r="S172" i="81" s="1"/>
  <c r="P173" i="81"/>
  <c r="U173" i="81" s="1"/>
  <c r="S173" i="81" s="1"/>
  <c r="P171" i="81"/>
  <c r="U171" i="81" s="1"/>
  <c r="S171" i="81" s="1"/>
  <c r="P169" i="81"/>
  <c r="U169" i="81" s="1"/>
  <c r="N168" i="81"/>
  <c r="Z176" i="81"/>
  <c r="U153" i="111"/>
  <c r="S147" i="111"/>
  <c r="S153" i="111" s="1"/>
  <c r="U168" i="77"/>
  <c r="S162" i="77"/>
  <c r="S168" i="77" s="1"/>
  <c r="P176" i="98"/>
  <c r="U176" i="98" s="1"/>
  <c r="S176" i="98" s="1"/>
  <c r="Z181" i="98"/>
  <c r="P178" i="98"/>
  <c r="U178" i="98" s="1"/>
  <c r="S178" i="98" s="1"/>
  <c r="P174" i="98"/>
  <c r="U174" i="98" s="1"/>
  <c r="N173" i="98"/>
  <c r="P175" i="98"/>
  <c r="U175" i="98" s="1"/>
  <c r="S175" i="98" s="1"/>
  <c r="P177" i="98"/>
  <c r="U177" i="98" s="1"/>
  <c r="S177" i="98" s="1"/>
  <c r="P179" i="98"/>
  <c r="U179" i="98" s="1"/>
  <c r="S179" i="98" s="1"/>
  <c r="P186" i="103" l="1"/>
  <c r="U186" i="103" s="1"/>
  <c r="S186" i="103" s="1"/>
  <c r="P187" i="103"/>
  <c r="U187" i="103" s="1"/>
  <c r="S187" i="103" s="1"/>
  <c r="P184" i="103"/>
  <c r="U184" i="103" s="1"/>
  <c r="S184" i="103" s="1"/>
  <c r="P188" i="103"/>
  <c r="U188" i="103" s="1"/>
  <c r="S188" i="103" s="1"/>
  <c r="P183" i="103"/>
  <c r="U183" i="103" s="1"/>
  <c r="P185" i="103"/>
  <c r="U185" i="103" s="1"/>
  <c r="S185" i="103" s="1"/>
  <c r="N182" i="103"/>
  <c r="P198" i="109"/>
  <c r="U198" i="109" s="1"/>
  <c r="S198" i="109" s="1"/>
  <c r="Z202" i="109"/>
  <c r="P195" i="109"/>
  <c r="U195" i="109" s="1"/>
  <c r="P199" i="109"/>
  <c r="U199" i="109" s="1"/>
  <c r="S199" i="109" s="1"/>
  <c r="N194" i="109"/>
  <c r="P197" i="109"/>
  <c r="U197" i="109" s="1"/>
  <c r="S197" i="109" s="1"/>
  <c r="P196" i="109"/>
  <c r="U196" i="109" s="1"/>
  <c r="S196" i="109" s="1"/>
  <c r="P200" i="109"/>
  <c r="U200" i="109" s="1"/>
  <c r="S200" i="109" s="1"/>
  <c r="S175" i="103"/>
  <c r="S181" i="103" s="1"/>
  <c r="U181" i="103"/>
  <c r="S187" i="109"/>
  <c r="S193" i="109" s="1"/>
  <c r="U193" i="109"/>
  <c r="S179" i="109"/>
  <c r="S185" i="109" s="1"/>
  <c r="U185" i="109"/>
  <c r="S177" i="109"/>
  <c r="U5" i="109" s="1" a="1"/>
  <c r="U5" i="109" s="1"/>
  <c r="S185" i="96"/>
  <c r="S191" i="96" s="1"/>
  <c r="U191" i="96"/>
  <c r="P195" i="96"/>
  <c r="U195" i="96" s="1"/>
  <c r="S195" i="96" s="1"/>
  <c r="P194" i="96"/>
  <c r="U194" i="96" s="1"/>
  <c r="S194" i="96" s="1"/>
  <c r="P197" i="96"/>
  <c r="U197" i="96" s="1"/>
  <c r="S197" i="96" s="1"/>
  <c r="P193" i="96"/>
  <c r="U193" i="96" s="1"/>
  <c r="Z200" i="96"/>
  <c r="P198" i="96"/>
  <c r="U198" i="96" s="1"/>
  <c r="S198" i="96" s="1"/>
  <c r="P196" i="96"/>
  <c r="U196" i="96" s="1"/>
  <c r="S196" i="96" s="1"/>
  <c r="N192" i="96"/>
  <c r="U195" i="86"/>
  <c r="S189" i="86"/>
  <c r="S195" i="86" s="1"/>
  <c r="P200" i="86"/>
  <c r="U200" i="86" s="1"/>
  <c r="S200" i="86" s="1"/>
  <c r="P201" i="86"/>
  <c r="U201" i="86" s="1"/>
  <c r="S201" i="86" s="1"/>
  <c r="P202" i="86"/>
  <c r="U202" i="86" s="1"/>
  <c r="S202" i="86" s="1"/>
  <c r="P199" i="86"/>
  <c r="U199" i="86" s="1"/>
  <c r="S199" i="86" s="1"/>
  <c r="P198" i="86"/>
  <c r="U198" i="86" s="1"/>
  <c r="S198" i="86" s="1"/>
  <c r="N196" i="86"/>
  <c r="Z204" i="86"/>
  <c r="P197" i="86"/>
  <c r="U197" i="86" s="1"/>
  <c r="P185" i="84"/>
  <c r="U185" i="84" s="1"/>
  <c r="S185" i="84" s="1"/>
  <c r="P181" i="84"/>
  <c r="U181" i="84" s="1"/>
  <c r="S181" i="84" s="1"/>
  <c r="N179" i="84"/>
  <c r="Z187" i="84"/>
  <c r="P183" i="84"/>
  <c r="U183" i="84" s="1"/>
  <c r="S183" i="84" s="1"/>
  <c r="P182" i="84"/>
  <c r="U182" i="84" s="1"/>
  <c r="S182" i="84" s="1"/>
  <c r="P184" i="84"/>
  <c r="U184" i="84" s="1"/>
  <c r="S184" i="84" s="1"/>
  <c r="P180" i="84"/>
  <c r="U180" i="84" s="1"/>
  <c r="U178" i="84"/>
  <c r="S172" i="84"/>
  <c r="S178" i="84" s="1"/>
  <c r="S192" i="78"/>
  <c r="S198" i="78" s="1"/>
  <c r="U198" i="78"/>
  <c r="P204" i="78"/>
  <c r="U204" i="78" s="1"/>
  <c r="S204" i="78" s="1"/>
  <c r="P203" i="78"/>
  <c r="U203" i="78" s="1"/>
  <c r="S203" i="78" s="1"/>
  <c r="P201" i="78"/>
  <c r="U201" i="78" s="1"/>
  <c r="S201" i="78" s="1"/>
  <c r="P200" i="78"/>
  <c r="U200" i="78" s="1"/>
  <c r="N199" i="78"/>
  <c r="Z207" i="78"/>
  <c r="P205" i="78"/>
  <c r="U205" i="78" s="1"/>
  <c r="S205" i="78" s="1"/>
  <c r="P202" i="78"/>
  <c r="U202" i="78" s="1"/>
  <c r="S202" i="78" s="1"/>
  <c r="N189" i="76"/>
  <c r="P194" i="76"/>
  <c r="U194" i="76" s="1"/>
  <c r="S194" i="76" s="1"/>
  <c r="P190" i="76"/>
  <c r="U190" i="76" s="1"/>
  <c r="P191" i="76"/>
  <c r="U191" i="76" s="1"/>
  <c r="S191" i="76" s="1"/>
  <c r="Z197" i="76"/>
  <c r="Z205" i="76" s="1"/>
  <c r="P193" i="76"/>
  <c r="U193" i="76" s="1"/>
  <c r="S193" i="76" s="1"/>
  <c r="P192" i="76"/>
  <c r="U192" i="76" s="1"/>
  <c r="S192" i="76" s="1"/>
  <c r="P195" i="76"/>
  <c r="U195" i="76" s="1"/>
  <c r="S195" i="76" s="1"/>
  <c r="S182" i="76"/>
  <c r="S188" i="76" s="1"/>
  <c r="U188" i="76"/>
  <c r="P173" i="75"/>
  <c r="U173" i="75" s="1"/>
  <c r="S173" i="75" s="1"/>
  <c r="P172" i="75"/>
  <c r="U172" i="75" s="1"/>
  <c r="P174" i="75"/>
  <c r="U174" i="75" s="1"/>
  <c r="S174" i="75" s="1"/>
  <c r="P176" i="75"/>
  <c r="U176" i="75" s="1"/>
  <c r="S176" i="75" s="1"/>
  <c r="P175" i="75"/>
  <c r="U175" i="75" s="1"/>
  <c r="S175" i="75" s="1"/>
  <c r="Z179" i="75"/>
  <c r="P177" i="75"/>
  <c r="U177" i="75" s="1"/>
  <c r="S177" i="75" s="1"/>
  <c r="N171" i="75"/>
  <c r="S164" i="75"/>
  <c r="S170" i="75" s="1"/>
  <c r="U170" i="75"/>
  <c r="P178" i="74"/>
  <c r="U178" i="74" s="1"/>
  <c r="S178" i="74" s="1"/>
  <c r="P177" i="74"/>
  <c r="U177" i="74" s="1"/>
  <c r="N176" i="74"/>
  <c r="P180" i="74"/>
  <c r="U180" i="74" s="1"/>
  <c r="S180" i="74" s="1"/>
  <c r="P182" i="74"/>
  <c r="U182" i="74" s="1"/>
  <c r="S182" i="74" s="1"/>
  <c r="P181" i="74"/>
  <c r="U181" i="74" s="1"/>
  <c r="S181" i="74" s="1"/>
  <c r="Z184" i="74"/>
  <c r="P179" i="74"/>
  <c r="U179" i="74" s="1"/>
  <c r="S179" i="74" s="1"/>
  <c r="S169" i="74"/>
  <c r="S175" i="74" s="1"/>
  <c r="U175" i="74"/>
  <c r="P176" i="73"/>
  <c r="U176" i="73" s="1"/>
  <c r="S176" i="73" s="1"/>
  <c r="P173" i="73"/>
  <c r="U173" i="73" s="1"/>
  <c r="S173" i="73" s="1"/>
  <c r="Z179" i="73"/>
  <c r="P175" i="73"/>
  <c r="U175" i="73" s="1"/>
  <c r="S175" i="73" s="1"/>
  <c r="P172" i="73"/>
  <c r="U172" i="73" s="1"/>
  <c r="P174" i="73"/>
  <c r="U174" i="73" s="1"/>
  <c r="S174" i="73" s="1"/>
  <c r="N171" i="73"/>
  <c r="P177" i="73"/>
  <c r="U177" i="73" s="1"/>
  <c r="S177" i="73" s="1"/>
  <c r="U170" i="73"/>
  <c r="S164" i="73"/>
  <c r="S170" i="73" s="1"/>
  <c r="U158" i="69"/>
  <c r="S152" i="69"/>
  <c r="S158" i="69" s="1"/>
  <c r="P161" i="69"/>
  <c r="U161" i="69" s="1"/>
  <c r="S161" i="69" s="1"/>
  <c r="P164" i="69"/>
  <c r="U164" i="69" s="1"/>
  <c r="S164" i="69" s="1"/>
  <c r="N159" i="69"/>
  <c r="P160" i="69"/>
  <c r="U160" i="69" s="1"/>
  <c r="Z167" i="69"/>
  <c r="P165" i="69"/>
  <c r="U165" i="69" s="1"/>
  <c r="S165" i="69" s="1"/>
  <c r="P162" i="69"/>
  <c r="U162" i="69" s="1"/>
  <c r="S162" i="69" s="1"/>
  <c r="P163" i="69"/>
  <c r="U163" i="69" s="1"/>
  <c r="S163" i="69" s="1"/>
  <c r="U177" i="34"/>
  <c r="S171" i="34"/>
  <c r="S177" i="34" s="1"/>
  <c r="N178" i="34"/>
  <c r="P184" i="34"/>
  <c r="U184" i="34" s="1"/>
  <c r="S184" i="34" s="1"/>
  <c r="Z186" i="34"/>
  <c r="P181" i="34"/>
  <c r="U181" i="34" s="1"/>
  <c r="S181" i="34" s="1"/>
  <c r="P183" i="34"/>
  <c r="U183" i="34" s="1"/>
  <c r="S183" i="34" s="1"/>
  <c r="P179" i="34"/>
  <c r="U179" i="34" s="1"/>
  <c r="P182" i="34"/>
  <c r="U182" i="34" s="1"/>
  <c r="S182" i="34" s="1"/>
  <c r="P180" i="34"/>
  <c r="U180" i="34" s="1"/>
  <c r="S180" i="34" s="1"/>
  <c r="P154" i="61"/>
  <c r="U154" i="61" s="1"/>
  <c r="S154" i="61" s="1"/>
  <c r="P153" i="61"/>
  <c r="U153" i="61" s="1"/>
  <c r="P158" i="61"/>
  <c r="U158" i="61" s="1"/>
  <c r="S158" i="61" s="1"/>
  <c r="P155" i="61"/>
  <c r="U155" i="61" s="1"/>
  <c r="S155" i="61" s="1"/>
  <c r="P157" i="61"/>
  <c r="U157" i="61" s="1"/>
  <c r="S157" i="61" s="1"/>
  <c r="Z160" i="61"/>
  <c r="P156" i="61"/>
  <c r="U156" i="61" s="1"/>
  <c r="S156" i="61" s="1"/>
  <c r="N152" i="61"/>
  <c r="S145" i="61"/>
  <c r="S151" i="61" s="1"/>
  <c r="U151" i="61"/>
  <c r="P204" i="79"/>
  <c r="U204" i="79" s="1"/>
  <c r="S204" i="79" s="1"/>
  <c r="P203" i="79"/>
  <c r="U203" i="79" s="1"/>
  <c r="S203" i="79" s="1"/>
  <c r="P206" i="79"/>
  <c r="U206" i="79" s="1"/>
  <c r="S206" i="79" s="1"/>
  <c r="P205" i="79"/>
  <c r="U205" i="79" s="1"/>
  <c r="S205" i="79" s="1"/>
  <c r="Z209" i="79"/>
  <c r="P202" i="79"/>
  <c r="U202" i="79" s="1"/>
  <c r="N201" i="79"/>
  <c r="P207" i="79"/>
  <c r="U207" i="79" s="1"/>
  <c r="S207" i="79" s="1"/>
  <c r="S185" i="57"/>
  <c r="S191" i="57" s="1"/>
  <c r="U191" i="57"/>
  <c r="N189" i="102"/>
  <c r="P191" i="102"/>
  <c r="U191" i="102" s="1"/>
  <c r="S191" i="102" s="1"/>
  <c r="Z197" i="102"/>
  <c r="P193" i="102"/>
  <c r="U193" i="102" s="1"/>
  <c r="S193" i="102" s="1"/>
  <c r="P192" i="102"/>
  <c r="U192" i="102" s="1"/>
  <c r="S192" i="102" s="1"/>
  <c r="P195" i="102"/>
  <c r="U195" i="102" s="1"/>
  <c r="S195" i="102" s="1"/>
  <c r="P194" i="102"/>
  <c r="U194" i="102" s="1"/>
  <c r="S194" i="102" s="1"/>
  <c r="P190" i="102"/>
  <c r="U190" i="102" s="1"/>
  <c r="S161" i="85"/>
  <c r="S167" i="85" s="1"/>
  <c r="U167" i="85"/>
  <c r="S194" i="79"/>
  <c r="S200" i="79" s="1"/>
  <c r="U200" i="79"/>
  <c r="P197" i="57"/>
  <c r="U197" i="57" s="1"/>
  <c r="S197" i="57" s="1"/>
  <c r="P194" i="57"/>
  <c r="U194" i="57" s="1"/>
  <c r="S194" i="57" s="1"/>
  <c r="P196" i="57"/>
  <c r="U196" i="57" s="1"/>
  <c r="S196" i="57" s="1"/>
  <c r="P193" i="57"/>
  <c r="U193" i="57" s="1"/>
  <c r="Z200" i="57"/>
  <c r="P198" i="57"/>
  <c r="U198" i="57" s="1"/>
  <c r="S198" i="57" s="1"/>
  <c r="N192" i="57"/>
  <c r="P195" i="57"/>
  <c r="U195" i="57" s="1"/>
  <c r="S195" i="57" s="1"/>
  <c r="S166" i="59"/>
  <c r="S172" i="59" s="1"/>
  <c r="U172" i="59"/>
  <c r="P191" i="101"/>
  <c r="U191" i="101" s="1"/>
  <c r="S191" i="101" s="1"/>
  <c r="P187" i="101"/>
  <c r="U187" i="101" s="1"/>
  <c r="P188" i="101"/>
  <c r="U188" i="101" s="1"/>
  <c r="S188" i="101" s="1"/>
  <c r="P192" i="101"/>
  <c r="U192" i="101" s="1"/>
  <c r="S192" i="101" s="1"/>
  <c r="P189" i="101"/>
  <c r="U189" i="101" s="1"/>
  <c r="S189" i="101" s="1"/>
  <c r="N186" i="101"/>
  <c r="P190" i="101"/>
  <c r="U190" i="101" s="1"/>
  <c r="S190" i="101" s="1"/>
  <c r="S179" i="101"/>
  <c r="S185" i="101" s="1"/>
  <c r="U185" i="101"/>
  <c r="U170" i="60"/>
  <c r="S164" i="60"/>
  <c r="S170" i="60" s="1"/>
  <c r="N168" i="85"/>
  <c r="P173" i="85"/>
  <c r="U173" i="85" s="1"/>
  <c r="S173" i="85" s="1"/>
  <c r="Z176" i="85"/>
  <c r="P174" i="85"/>
  <c r="U174" i="85" s="1"/>
  <c r="S174" i="85" s="1"/>
  <c r="P172" i="85"/>
  <c r="U172" i="85" s="1"/>
  <c r="S172" i="85" s="1"/>
  <c r="P170" i="85"/>
  <c r="U170" i="85" s="1"/>
  <c r="S170" i="85" s="1"/>
  <c r="P169" i="85"/>
  <c r="U169" i="85" s="1"/>
  <c r="P171" i="85"/>
  <c r="U171" i="85" s="1"/>
  <c r="S171" i="85" s="1"/>
  <c r="P177" i="60"/>
  <c r="U177" i="60" s="1"/>
  <c r="S177" i="60" s="1"/>
  <c r="P175" i="60"/>
  <c r="U175" i="60" s="1"/>
  <c r="S175" i="60" s="1"/>
  <c r="N171" i="60"/>
  <c r="P176" i="60"/>
  <c r="U176" i="60" s="1"/>
  <c r="S176" i="60" s="1"/>
  <c r="Z179" i="60"/>
  <c r="P173" i="60"/>
  <c r="U173" i="60" s="1"/>
  <c r="S173" i="60" s="1"/>
  <c r="P174" i="60"/>
  <c r="U174" i="60" s="1"/>
  <c r="S174" i="60" s="1"/>
  <c r="P172" i="60"/>
  <c r="U172" i="60" s="1"/>
  <c r="P179" i="59"/>
  <c r="U179" i="59" s="1"/>
  <c r="S179" i="59" s="1"/>
  <c r="Z181" i="59"/>
  <c r="N173" i="59"/>
  <c r="P174" i="59"/>
  <c r="U174" i="59" s="1"/>
  <c r="P177" i="59"/>
  <c r="U177" i="59" s="1"/>
  <c r="S177" i="59" s="1"/>
  <c r="P178" i="59"/>
  <c r="U178" i="59" s="1"/>
  <c r="S178" i="59" s="1"/>
  <c r="P175" i="59"/>
  <c r="U175" i="59" s="1"/>
  <c r="S175" i="59" s="1"/>
  <c r="P176" i="59"/>
  <c r="U176" i="59" s="1"/>
  <c r="S176" i="59" s="1"/>
  <c r="U188" i="102"/>
  <c r="S182" i="102"/>
  <c r="S188" i="102" s="1"/>
  <c r="S165" i="95"/>
  <c r="S171" i="95" s="1"/>
  <c r="U171" i="95"/>
  <c r="S189" i="63"/>
  <c r="S195" i="63" s="1"/>
  <c r="U195" i="63"/>
  <c r="P176" i="95"/>
  <c r="U176" i="95" s="1"/>
  <c r="S176" i="95" s="1"/>
  <c r="P177" i="95"/>
  <c r="U177" i="95" s="1"/>
  <c r="S177" i="95" s="1"/>
  <c r="Z180" i="95"/>
  <c r="P173" i="95"/>
  <c r="U173" i="95" s="1"/>
  <c r="N172" i="95"/>
  <c r="P178" i="95"/>
  <c r="U178" i="95" s="1"/>
  <c r="S178" i="95" s="1"/>
  <c r="P174" i="95"/>
  <c r="U174" i="95" s="1"/>
  <c r="S174" i="95" s="1"/>
  <c r="P175" i="95"/>
  <c r="U175" i="95" s="1"/>
  <c r="S175" i="95" s="1"/>
  <c r="P200" i="63"/>
  <c r="U200" i="63" s="1"/>
  <c r="S200" i="63" s="1"/>
  <c r="P198" i="63"/>
  <c r="U198" i="63" s="1"/>
  <c r="S198" i="63" s="1"/>
  <c r="Z204" i="63"/>
  <c r="P201" i="63"/>
  <c r="U201" i="63" s="1"/>
  <c r="S201" i="63" s="1"/>
  <c r="N196" i="63"/>
  <c r="P202" i="63"/>
  <c r="U202" i="63" s="1"/>
  <c r="S202" i="63" s="1"/>
  <c r="P199" i="63"/>
  <c r="U199" i="63" s="1"/>
  <c r="S199" i="63" s="1"/>
  <c r="P197" i="63"/>
  <c r="U197" i="63" s="1"/>
  <c r="P195" i="92"/>
  <c r="U195" i="92" s="1"/>
  <c r="S195" i="92" s="1"/>
  <c r="P193" i="92"/>
  <c r="U193" i="92" s="1"/>
  <c r="S193" i="92" s="1"/>
  <c r="Z197" i="92"/>
  <c r="P191" i="92"/>
  <c r="U191" i="92" s="1"/>
  <c r="S191" i="92" s="1"/>
  <c r="P194" i="92"/>
  <c r="U194" i="92" s="1"/>
  <c r="S194" i="92" s="1"/>
  <c r="P192" i="92"/>
  <c r="U192" i="92" s="1"/>
  <c r="S192" i="92" s="1"/>
  <c r="N189" i="92"/>
  <c r="P190" i="92"/>
  <c r="U190" i="92" s="1"/>
  <c r="P160" i="90"/>
  <c r="U160" i="90" s="1"/>
  <c r="S160" i="90" s="1"/>
  <c r="N158" i="90"/>
  <c r="P161" i="90"/>
  <c r="U161" i="90" s="1"/>
  <c r="S161" i="90" s="1"/>
  <c r="Z166" i="90"/>
  <c r="P163" i="90"/>
  <c r="U163" i="90" s="1"/>
  <c r="S163" i="90" s="1"/>
  <c r="P159" i="90"/>
  <c r="U159" i="90" s="1"/>
  <c r="P162" i="90"/>
  <c r="U162" i="90" s="1"/>
  <c r="S162" i="90" s="1"/>
  <c r="P164" i="90"/>
  <c r="U164" i="90" s="1"/>
  <c r="S164" i="90" s="1"/>
  <c r="N216" i="82"/>
  <c r="P221" i="82"/>
  <c r="U221" i="82" s="1"/>
  <c r="S221" i="82" s="1"/>
  <c r="P217" i="82"/>
  <c r="U217" i="82" s="1"/>
  <c r="Z224" i="82"/>
  <c r="P220" i="82"/>
  <c r="U220" i="82" s="1"/>
  <c r="S220" i="82" s="1"/>
  <c r="P219" i="82"/>
  <c r="U219" i="82" s="1"/>
  <c r="S219" i="82" s="1"/>
  <c r="P218" i="82"/>
  <c r="U218" i="82" s="1"/>
  <c r="S218" i="82" s="1"/>
  <c r="P222" i="82"/>
  <c r="U222" i="82" s="1"/>
  <c r="S222" i="82" s="1"/>
  <c r="S151" i="90"/>
  <c r="S157" i="90" s="1"/>
  <c r="U157" i="90"/>
  <c r="S182" i="92"/>
  <c r="S188" i="92" s="1"/>
  <c r="U188" i="92"/>
  <c r="U215" i="82"/>
  <c r="S209" i="82"/>
  <c r="S215" i="82" s="1"/>
  <c r="N172" i="108"/>
  <c r="Z180" i="108"/>
  <c r="P178" i="108"/>
  <c r="U178" i="108" s="1"/>
  <c r="S178" i="108" s="1"/>
  <c r="P173" i="108"/>
  <c r="U173" i="108" s="1"/>
  <c r="P177" i="108"/>
  <c r="U177" i="108" s="1"/>
  <c r="S177" i="108" s="1"/>
  <c r="P176" i="108"/>
  <c r="U176" i="108" s="1"/>
  <c r="S176" i="108" s="1"/>
  <c r="P175" i="108"/>
  <c r="U175" i="108" s="1"/>
  <c r="S175" i="108" s="1"/>
  <c r="P174" i="108"/>
  <c r="U174" i="108" s="1"/>
  <c r="S174" i="108" s="1"/>
  <c r="U171" i="108"/>
  <c r="S165" i="108"/>
  <c r="S171" i="108" s="1"/>
  <c r="S174" i="98"/>
  <c r="S180" i="98" s="1"/>
  <c r="U180" i="98"/>
  <c r="P182" i="98"/>
  <c r="U182" i="98" s="1"/>
  <c r="P184" i="98"/>
  <c r="U184" i="98" s="1"/>
  <c r="S184" i="98" s="1"/>
  <c r="P183" i="98"/>
  <c r="U183" i="98" s="1"/>
  <c r="S183" i="98" s="1"/>
  <c r="P186" i="98"/>
  <c r="U186" i="98" s="1"/>
  <c r="S186" i="98" s="1"/>
  <c r="P187" i="98"/>
  <c r="U187" i="98" s="1"/>
  <c r="S187" i="98" s="1"/>
  <c r="N181" i="98"/>
  <c r="Z189" i="98"/>
  <c r="P185" i="98"/>
  <c r="U185" i="98" s="1"/>
  <c r="S185" i="98" s="1"/>
  <c r="P182" i="77"/>
  <c r="U182" i="77" s="1"/>
  <c r="S182" i="77" s="1"/>
  <c r="Z185" i="77"/>
  <c r="P179" i="77"/>
  <c r="U179" i="77" s="1"/>
  <c r="S179" i="77" s="1"/>
  <c r="P181" i="77"/>
  <c r="U181" i="77" s="1"/>
  <c r="S181" i="77" s="1"/>
  <c r="P178" i="77"/>
  <c r="U178" i="77" s="1"/>
  <c r="P183" i="77"/>
  <c r="U183" i="77" s="1"/>
  <c r="S183" i="77" s="1"/>
  <c r="P180" i="77"/>
  <c r="U180" i="77" s="1"/>
  <c r="S180" i="77" s="1"/>
  <c r="N177" i="77"/>
  <c r="P194" i="88"/>
  <c r="U194" i="88" s="1"/>
  <c r="S194" i="88" s="1"/>
  <c r="P195" i="88"/>
  <c r="U195" i="88" s="1"/>
  <c r="S195" i="88" s="1"/>
  <c r="P190" i="88"/>
  <c r="U190" i="88" s="1"/>
  <c r="P191" i="88"/>
  <c r="U191" i="88" s="1"/>
  <c r="S191" i="88" s="1"/>
  <c r="N189" i="88"/>
  <c r="Z197" i="88"/>
  <c r="P192" i="88"/>
  <c r="U192" i="88" s="1"/>
  <c r="S192" i="88" s="1"/>
  <c r="P193" i="88"/>
  <c r="U193" i="88" s="1"/>
  <c r="S193" i="88" s="1"/>
  <c r="U179" i="70"/>
  <c r="S173" i="70"/>
  <c r="S179" i="70" s="1"/>
  <c r="AF184" i="36"/>
  <c r="N176" i="81"/>
  <c r="P181" i="81"/>
  <c r="U181" i="81" s="1"/>
  <c r="S181" i="81" s="1"/>
  <c r="P180" i="81"/>
  <c r="U180" i="81" s="1"/>
  <c r="S180" i="81" s="1"/>
  <c r="P177" i="81"/>
  <c r="U177" i="81" s="1"/>
  <c r="P178" i="81"/>
  <c r="U178" i="81" s="1"/>
  <c r="S178" i="81" s="1"/>
  <c r="P182" i="81"/>
  <c r="U182" i="81" s="1"/>
  <c r="S182" i="81" s="1"/>
  <c r="P179" i="81"/>
  <c r="U179" i="81" s="1"/>
  <c r="S179" i="81" s="1"/>
  <c r="Z184" i="81"/>
  <c r="P166" i="89"/>
  <c r="U166" i="89" s="1"/>
  <c r="Z173" i="89"/>
  <c r="P167" i="89"/>
  <c r="U167" i="89" s="1"/>
  <c r="S167" i="89" s="1"/>
  <c r="N165" i="89"/>
  <c r="P171" i="89"/>
  <c r="U171" i="89" s="1"/>
  <c r="S171" i="89" s="1"/>
  <c r="P168" i="89"/>
  <c r="U168" i="89" s="1"/>
  <c r="S168" i="89" s="1"/>
  <c r="P169" i="89"/>
  <c r="U169" i="89" s="1"/>
  <c r="S169" i="89" s="1"/>
  <c r="P170" i="89"/>
  <c r="U170" i="89" s="1"/>
  <c r="S170" i="89" s="1"/>
  <c r="S158" i="89"/>
  <c r="S164" i="89" s="1"/>
  <c r="U164" i="89"/>
  <c r="S155" i="111"/>
  <c r="S161" i="111" s="1"/>
  <c r="U161" i="111"/>
  <c r="U157" i="68"/>
  <c r="S151" i="68"/>
  <c r="S157" i="68" s="1"/>
  <c r="P186" i="70"/>
  <c r="U186" i="70" s="1"/>
  <c r="S186" i="70" s="1"/>
  <c r="N180" i="70"/>
  <c r="Z188" i="70"/>
  <c r="P183" i="70"/>
  <c r="U183" i="70" s="1"/>
  <c r="S183" i="70" s="1"/>
  <c r="P181" i="70"/>
  <c r="U181" i="70" s="1"/>
  <c r="P184" i="70"/>
  <c r="U184" i="70" s="1"/>
  <c r="S184" i="70" s="1"/>
  <c r="P182" i="70"/>
  <c r="U182" i="70" s="1"/>
  <c r="S182" i="70" s="1"/>
  <c r="P185" i="70"/>
  <c r="U185" i="70" s="1"/>
  <c r="S185" i="70" s="1"/>
  <c r="S169" i="81"/>
  <c r="S175" i="81" s="1"/>
  <c r="U175" i="81"/>
  <c r="U176" i="77"/>
  <c r="S170" i="77"/>
  <c r="S176" i="77" s="1"/>
  <c r="P166" i="111"/>
  <c r="U166" i="111" s="1"/>
  <c r="S166" i="111" s="1"/>
  <c r="P167" i="111"/>
  <c r="U167" i="111" s="1"/>
  <c r="S167" i="111" s="1"/>
  <c r="P165" i="111"/>
  <c r="U165" i="111" s="1"/>
  <c r="S165" i="111" s="1"/>
  <c r="N162" i="111"/>
  <c r="P168" i="111"/>
  <c r="U168" i="111" s="1"/>
  <c r="S168" i="111" s="1"/>
  <c r="P164" i="111"/>
  <c r="U164" i="111" s="1"/>
  <c r="S164" i="111" s="1"/>
  <c r="P163" i="111"/>
  <c r="U163" i="111" s="1"/>
  <c r="Z170" i="111"/>
  <c r="S182" i="88"/>
  <c r="S188" i="88" s="1"/>
  <c r="U188" i="88"/>
  <c r="P163" i="68"/>
  <c r="U163" i="68" s="1"/>
  <c r="S163" i="68" s="1"/>
  <c r="N158" i="68"/>
  <c r="P159" i="68"/>
  <c r="U159" i="68" s="1"/>
  <c r="P164" i="68"/>
  <c r="U164" i="68" s="1"/>
  <c r="S164" i="68" s="1"/>
  <c r="P160" i="68"/>
  <c r="U160" i="68" s="1"/>
  <c r="S160" i="68" s="1"/>
  <c r="P161" i="68"/>
  <c r="U161" i="68" s="1"/>
  <c r="S161" i="68" s="1"/>
  <c r="P162" i="68"/>
  <c r="U162" i="68" s="1"/>
  <c r="S162" i="68" s="1"/>
  <c r="P209" i="76" l="1"/>
  <c r="U209" i="76" s="1"/>
  <c r="S209" i="76" s="1"/>
  <c r="P210" i="76"/>
  <c r="U210" i="76" s="1"/>
  <c r="S210" i="76" s="1"/>
  <c r="P206" i="76"/>
  <c r="U206" i="76" s="1"/>
  <c r="P207" i="76"/>
  <c r="U207" i="76" s="1"/>
  <c r="S207" i="76" s="1"/>
  <c r="P211" i="76"/>
  <c r="U211" i="76" s="1"/>
  <c r="S211" i="76" s="1"/>
  <c r="N205" i="76"/>
  <c r="P208" i="76"/>
  <c r="U208" i="76" s="1"/>
  <c r="S208" i="76" s="1"/>
  <c r="S195" i="109"/>
  <c r="S201" i="109" s="1"/>
  <c r="U201" i="109"/>
  <c r="P206" i="109"/>
  <c r="U206" i="109" s="1"/>
  <c r="S206" i="109" s="1"/>
  <c r="Z210" i="109"/>
  <c r="P207" i="109"/>
  <c r="U207" i="109" s="1"/>
  <c r="S207" i="109" s="1"/>
  <c r="P203" i="109"/>
  <c r="U203" i="109" s="1"/>
  <c r="P208" i="109"/>
  <c r="U208" i="109" s="1"/>
  <c r="S208" i="109" s="1"/>
  <c r="P205" i="109"/>
  <c r="U205" i="109" s="1"/>
  <c r="S205" i="109" s="1"/>
  <c r="N202" i="109"/>
  <c r="P204" i="109"/>
  <c r="U204" i="109" s="1"/>
  <c r="S204" i="109" s="1"/>
  <c r="S183" i="103"/>
  <c r="S189" i="103" s="1"/>
  <c r="U189" i="103"/>
  <c r="P204" i="96"/>
  <c r="U204" i="96" s="1"/>
  <c r="S204" i="96" s="1"/>
  <c r="P203" i="96"/>
  <c r="U203" i="96" s="1"/>
  <c r="S203" i="96" s="1"/>
  <c r="N200" i="96"/>
  <c r="P206" i="96"/>
  <c r="U206" i="96" s="1"/>
  <c r="S206" i="96" s="1"/>
  <c r="P201" i="96"/>
  <c r="U201" i="96" s="1"/>
  <c r="Z208" i="96"/>
  <c r="P202" i="96"/>
  <c r="U202" i="96" s="1"/>
  <c r="S202" i="96" s="1"/>
  <c r="P205" i="96"/>
  <c r="U205" i="96" s="1"/>
  <c r="S205" i="96" s="1"/>
  <c r="U199" i="96"/>
  <c r="S193" i="96"/>
  <c r="S199" i="96" s="1"/>
  <c r="S197" i="86"/>
  <c r="S203" i="86" s="1"/>
  <c r="U203" i="86"/>
  <c r="Z212" i="86"/>
  <c r="P208" i="86"/>
  <c r="U208" i="86" s="1"/>
  <c r="S208" i="86" s="1"/>
  <c r="N204" i="86"/>
  <c r="P210" i="86"/>
  <c r="U210" i="86" s="1"/>
  <c r="S210" i="86" s="1"/>
  <c r="P206" i="86"/>
  <c r="U206" i="86" s="1"/>
  <c r="S206" i="86" s="1"/>
  <c r="P209" i="86"/>
  <c r="U209" i="86" s="1"/>
  <c r="S209" i="86" s="1"/>
  <c r="P207" i="86"/>
  <c r="U207" i="86" s="1"/>
  <c r="S207" i="86" s="1"/>
  <c r="P205" i="86"/>
  <c r="U205" i="86" s="1"/>
  <c r="S180" i="84"/>
  <c r="S186" i="84" s="1"/>
  <c r="U186" i="84"/>
  <c r="P192" i="84"/>
  <c r="U192" i="84" s="1"/>
  <c r="S192" i="84" s="1"/>
  <c r="P190" i="84"/>
  <c r="U190" i="84" s="1"/>
  <c r="S190" i="84" s="1"/>
  <c r="P193" i="84"/>
  <c r="U193" i="84" s="1"/>
  <c r="S193" i="84" s="1"/>
  <c r="P189" i="84"/>
  <c r="U189" i="84" s="1"/>
  <c r="S189" i="84" s="1"/>
  <c r="P188" i="84"/>
  <c r="U188" i="84" s="1"/>
  <c r="Z195" i="84"/>
  <c r="N187" i="84"/>
  <c r="P191" i="84"/>
  <c r="U191" i="84" s="1"/>
  <c r="S191" i="84" s="1"/>
  <c r="P210" i="78"/>
  <c r="U210" i="78" s="1"/>
  <c r="S210" i="78" s="1"/>
  <c r="P209" i="78"/>
  <c r="U209" i="78" s="1"/>
  <c r="S209" i="78" s="1"/>
  <c r="P213" i="78"/>
  <c r="U213" i="78" s="1"/>
  <c r="S213" i="78" s="1"/>
  <c r="P212" i="78"/>
  <c r="U212" i="78" s="1"/>
  <c r="S212" i="78" s="1"/>
  <c r="P208" i="78"/>
  <c r="U208" i="78" s="1"/>
  <c r="Z215" i="78"/>
  <c r="P211" i="78"/>
  <c r="U211" i="78" s="1"/>
  <c r="S211" i="78" s="1"/>
  <c r="N207" i="78"/>
  <c r="S200" i="78"/>
  <c r="S206" i="78" s="1"/>
  <c r="W5" i="78" s="1" a="1"/>
  <c r="W5" i="78" s="1"/>
  <c r="U206" i="78"/>
  <c r="U196" i="76"/>
  <c r="S190" i="76"/>
  <c r="S196" i="76" s="1"/>
  <c r="P203" i="76"/>
  <c r="U203" i="76" s="1"/>
  <c r="S203" i="76" s="1"/>
  <c r="P198" i="76"/>
  <c r="U198" i="76" s="1"/>
  <c r="N197" i="76"/>
  <c r="P200" i="76"/>
  <c r="U200" i="76" s="1"/>
  <c r="S200" i="76" s="1"/>
  <c r="P202" i="76"/>
  <c r="U202" i="76" s="1"/>
  <c r="S202" i="76" s="1"/>
  <c r="P201" i="76"/>
  <c r="U201" i="76" s="1"/>
  <c r="S201" i="76" s="1"/>
  <c r="P199" i="76"/>
  <c r="U199" i="76" s="1"/>
  <c r="S199" i="76" s="1"/>
  <c r="P180" i="75"/>
  <c r="U180" i="75" s="1"/>
  <c r="P181" i="75"/>
  <c r="U181" i="75" s="1"/>
  <c r="S181" i="75" s="1"/>
  <c r="Z187" i="75"/>
  <c r="P185" i="75"/>
  <c r="U185" i="75" s="1"/>
  <c r="S185" i="75" s="1"/>
  <c r="P182" i="75"/>
  <c r="U182" i="75" s="1"/>
  <c r="S182" i="75" s="1"/>
  <c r="P183" i="75"/>
  <c r="U183" i="75" s="1"/>
  <c r="S183" i="75" s="1"/>
  <c r="P184" i="75"/>
  <c r="U184" i="75" s="1"/>
  <c r="S184" i="75" s="1"/>
  <c r="N179" i="75"/>
  <c r="S172" i="75"/>
  <c r="S178" i="75" s="1"/>
  <c r="U178" i="75"/>
  <c r="Z192" i="74"/>
  <c r="N184" i="74"/>
  <c r="P185" i="74"/>
  <c r="U185" i="74" s="1"/>
  <c r="P189" i="74"/>
  <c r="U189" i="74" s="1"/>
  <c r="S189" i="74" s="1"/>
  <c r="P187" i="74"/>
  <c r="U187" i="74" s="1"/>
  <c r="S187" i="74" s="1"/>
  <c r="P186" i="74"/>
  <c r="U186" i="74" s="1"/>
  <c r="S186" i="74" s="1"/>
  <c r="P190" i="74"/>
  <c r="U190" i="74" s="1"/>
  <c r="S190" i="74" s="1"/>
  <c r="P188" i="74"/>
  <c r="U188" i="74" s="1"/>
  <c r="S188" i="74" s="1"/>
  <c r="S177" i="74"/>
  <c r="S183" i="74" s="1"/>
  <c r="U183" i="74"/>
  <c r="P182" i="73"/>
  <c r="U182" i="73" s="1"/>
  <c r="S182" i="73" s="1"/>
  <c r="P180" i="73"/>
  <c r="U180" i="73" s="1"/>
  <c r="P184" i="73"/>
  <c r="U184" i="73" s="1"/>
  <c r="S184" i="73" s="1"/>
  <c r="P185" i="73"/>
  <c r="U185" i="73" s="1"/>
  <c r="S185" i="73" s="1"/>
  <c r="P181" i="73"/>
  <c r="U181" i="73" s="1"/>
  <c r="S181" i="73" s="1"/>
  <c r="N179" i="73"/>
  <c r="P183" i="73"/>
  <c r="U183" i="73" s="1"/>
  <c r="S183" i="73" s="1"/>
  <c r="Z187" i="73"/>
  <c r="U178" i="73"/>
  <c r="S172" i="73"/>
  <c r="S178" i="73" s="1"/>
  <c r="P173" i="69"/>
  <c r="U173" i="69" s="1"/>
  <c r="S173" i="69" s="1"/>
  <c r="P169" i="69"/>
  <c r="U169" i="69" s="1"/>
  <c r="S169" i="69" s="1"/>
  <c r="P168" i="69"/>
  <c r="U168" i="69" s="1"/>
  <c r="N167" i="69"/>
  <c r="P171" i="69"/>
  <c r="U171" i="69" s="1"/>
  <c r="S171" i="69" s="1"/>
  <c r="Z175" i="69"/>
  <c r="P172" i="69"/>
  <c r="U172" i="69" s="1"/>
  <c r="S172" i="69" s="1"/>
  <c r="P170" i="69"/>
  <c r="U170" i="69" s="1"/>
  <c r="S170" i="69" s="1"/>
  <c r="S160" i="69"/>
  <c r="S166" i="69" s="1"/>
  <c r="U166" i="69"/>
  <c r="S179" i="34"/>
  <c r="S185" i="34" s="1"/>
  <c r="U185" i="34"/>
  <c r="P190" i="34"/>
  <c r="U190" i="34" s="1"/>
  <c r="S190" i="34" s="1"/>
  <c r="Z194" i="34"/>
  <c r="P191" i="34"/>
  <c r="U191" i="34" s="1"/>
  <c r="S191" i="34" s="1"/>
  <c r="P189" i="34"/>
  <c r="U189" i="34" s="1"/>
  <c r="S189" i="34" s="1"/>
  <c r="P188" i="34"/>
  <c r="U188" i="34" s="1"/>
  <c r="S188" i="34" s="1"/>
  <c r="N186" i="34"/>
  <c r="P187" i="34"/>
  <c r="U187" i="34" s="1"/>
  <c r="P192" i="34"/>
  <c r="U192" i="34" s="1"/>
  <c r="S192" i="34" s="1"/>
  <c r="P162" i="61"/>
  <c r="U162" i="61" s="1"/>
  <c r="S162" i="61" s="1"/>
  <c r="P161" i="61"/>
  <c r="U161" i="61" s="1"/>
  <c r="N160" i="61"/>
  <c r="P165" i="61"/>
  <c r="U165" i="61" s="1"/>
  <c r="S165" i="61" s="1"/>
  <c r="P164" i="61"/>
  <c r="U164" i="61" s="1"/>
  <c r="S164" i="61" s="1"/>
  <c r="P163" i="61"/>
  <c r="U163" i="61" s="1"/>
  <c r="S163" i="61" s="1"/>
  <c r="Z168" i="61"/>
  <c r="P166" i="61"/>
  <c r="U166" i="61" s="1"/>
  <c r="S166" i="61" s="1"/>
  <c r="S153" i="61"/>
  <c r="S159" i="61" s="1"/>
  <c r="U159" i="61"/>
  <c r="U175" i="85"/>
  <c r="S169" i="85"/>
  <c r="S175" i="85" s="1"/>
  <c r="P178" i="85"/>
  <c r="U178" i="85" s="1"/>
  <c r="S178" i="85" s="1"/>
  <c r="P177" i="85"/>
  <c r="U177" i="85" s="1"/>
  <c r="N176" i="85"/>
  <c r="P182" i="85"/>
  <c r="U182" i="85" s="1"/>
  <c r="S182" i="85" s="1"/>
  <c r="Z184" i="85"/>
  <c r="P180" i="85"/>
  <c r="U180" i="85" s="1"/>
  <c r="S180" i="85" s="1"/>
  <c r="P181" i="85"/>
  <c r="U181" i="85" s="1"/>
  <c r="S181" i="85" s="1"/>
  <c r="P179" i="85"/>
  <c r="U179" i="85" s="1"/>
  <c r="S179" i="85" s="1"/>
  <c r="S190" i="102"/>
  <c r="S196" i="102" s="1"/>
  <c r="U196" i="102"/>
  <c r="S174" i="59"/>
  <c r="S180" i="59" s="1"/>
  <c r="U180" i="59"/>
  <c r="P205" i="57"/>
  <c r="U205" i="57" s="1"/>
  <c r="S205" i="57" s="1"/>
  <c r="Z208" i="57"/>
  <c r="P204" i="57"/>
  <c r="U204" i="57" s="1"/>
  <c r="S204" i="57" s="1"/>
  <c r="N200" i="57"/>
  <c r="P201" i="57"/>
  <c r="U201" i="57" s="1"/>
  <c r="P202" i="57"/>
  <c r="U202" i="57" s="1"/>
  <c r="S202" i="57" s="1"/>
  <c r="P203" i="57"/>
  <c r="U203" i="57" s="1"/>
  <c r="S203" i="57" s="1"/>
  <c r="P206" i="57"/>
  <c r="U206" i="57" s="1"/>
  <c r="S206" i="57" s="1"/>
  <c r="N197" i="102"/>
  <c r="P202" i="102"/>
  <c r="U202" i="102" s="1"/>
  <c r="S202" i="102" s="1"/>
  <c r="P198" i="102"/>
  <c r="U198" i="102" s="1"/>
  <c r="P201" i="102"/>
  <c r="U201" i="102" s="1"/>
  <c r="S201" i="102" s="1"/>
  <c r="P200" i="102"/>
  <c r="U200" i="102" s="1"/>
  <c r="S200" i="102" s="1"/>
  <c r="P199" i="102"/>
  <c r="U199" i="102" s="1"/>
  <c r="S199" i="102" s="1"/>
  <c r="Z205" i="102"/>
  <c r="P203" i="102"/>
  <c r="U203" i="102" s="1"/>
  <c r="S203" i="102" s="1"/>
  <c r="P185" i="60"/>
  <c r="U185" i="60" s="1"/>
  <c r="S185" i="60" s="1"/>
  <c r="P181" i="60"/>
  <c r="U181" i="60" s="1"/>
  <c r="S181" i="60" s="1"/>
  <c r="P184" i="60"/>
  <c r="U184" i="60" s="1"/>
  <c r="S184" i="60" s="1"/>
  <c r="P182" i="60"/>
  <c r="U182" i="60" s="1"/>
  <c r="S182" i="60" s="1"/>
  <c r="N179" i="60"/>
  <c r="P180" i="60"/>
  <c r="U180" i="60" s="1"/>
  <c r="Z187" i="60"/>
  <c r="P183" i="60"/>
  <c r="U183" i="60" s="1"/>
  <c r="S183" i="60" s="1"/>
  <c r="S187" i="101"/>
  <c r="S193" i="101" s="1"/>
  <c r="U5" i="101" s="1" a="1"/>
  <c r="U5" i="101" s="1"/>
  <c r="U193" i="101"/>
  <c r="U199" i="57"/>
  <c r="S193" i="57"/>
  <c r="S199" i="57" s="1"/>
  <c r="S202" i="79"/>
  <c r="S208" i="79" s="1"/>
  <c r="W10" i="79" s="1" a="1"/>
  <c r="W10" i="79" s="1"/>
  <c r="U208" i="79"/>
  <c r="P183" i="59"/>
  <c r="U183" i="59" s="1"/>
  <c r="S183" i="59" s="1"/>
  <c r="P186" i="59"/>
  <c r="U186" i="59" s="1"/>
  <c r="S186" i="59" s="1"/>
  <c r="P182" i="59"/>
  <c r="U182" i="59" s="1"/>
  <c r="P184" i="59"/>
  <c r="U184" i="59" s="1"/>
  <c r="S184" i="59" s="1"/>
  <c r="N181" i="59"/>
  <c r="P187" i="59"/>
  <c r="U187" i="59" s="1"/>
  <c r="S187" i="59" s="1"/>
  <c r="P185" i="59"/>
  <c r="U185" i="59" s="1"/>
  <c r="S185" i="59" s="1"/>
  <c r="Z189" i="59"/>
  <c r="S172" i="60"/>
  <c r="S178" i="60" s="1"/>
  <c r="U178" i="60"/>
  <c r="N209" i="79"/>
  <c r="P215" i="79"/>
  <c r="U215" i="79" s="1"/>
  <c r="S215" i="79" s="1"/>
  <c r="P212" i="79"/>
  <c r="U212" i="79" s="1"/>
  <c r="S212" i="79" s="1"/>
  <c r="P213" i="79"/>
  <c r="U213" i="79" s="1"/>
  <c r="S213" i="79" s="1"/>
  <c r="P211" i="79"/>
  <c r="U211" i="79" s="1"/>
  <c r="S211" i="79" s="1"/>
  <c r="P210" i="79"/>
  <c r="U210" i="79" s="1"/>
  <c r="Z217" i="79"/>
  <c r="P214" i="79"/>
  <c r="U214" i="79" s="1"/>
  <c r="S214" i="79" s="1"/>
  <c r="P227" i="82"/>
  <c r="U227" i="82" s="1"/>
  <c r="S227" i="82" s="1"/>
  <c r="Z232" i="82"/>
  <c r="P230" i="82"/>
  <c r="U230" i="82" s="1"/>
  <c r="S230" i="82" s="1"/>
  <c r="N224" i="82"/>
  <c r="P225" i="82"/>
  <c r="U225" i="82" s="1"/>
  <c r="P226" i="82"/>
  <c r="U226" i="82" s="1"/>
  <c r="S226" i="82" s="1"/>
  <c r="P229" i="82"/>
  <c r="U229" i="82" s="1"/>
  <c r="S229" i="82" s="1"/>
  <c r="P228" i="82"/>
  <c r="U228" i="82" s="1"/>
  <c r="S228" i="82" s="1"/>
  <c r="S217" i="82"/>
  <c r="S223" i="82" s="1"/>
  <c r="U223" i="82"/>
  <c r="P200" i="92"/>
  <c r="U200" i="92" s="1"/>
  <c r="S200" i="92" s="1"/>
  <c r="P201" i="92"/>
  <c r="U201" i="92" s="1"/>
  <c r="S201" i="92" s="1"/>
  <c r="P202" i="92"/>
  <c r="U202" i="92" s="1"/>
  <c r="S202" i="92" s="1"/>
  <c r="P203" i="92"/>
  <c r="U203" i="92" s="1"/>
  <c r="S203" i="92" s="1"/>
  <c r="P199" i="92"/>
  <c r="U199" i="92" s="1"/>
  <c r="S199" i="92" s="1"/>
  <c r="Z205" i="92"/>
  <c r="N197" i="92"/>
  <c r="P198" i="92"/>
  <c r="U198" i="92" s="1"/>
  <c r="P167" i="90"/>
  <c r="U167" i="90" s="1"/>
  <c r="N166" i="90"/>
  <c r="P169" i="90"/>
  <c r="U169" i="90" s="1"/>
  <c r="S169" i="90" s="1"/>
  <c r="P172" i="90"/>
  <c r="U172" i="90" s="1"/>
  <c r="S172" i="90" s="1"/>
  <c r="Z174" i="90"/>
  <c r="P171" i="90"/>
  <c r="U171" i="90" s="1"/>
  <c r="S171" i="90" s="1"/>
  <c r="P170" i="90"/>
  <c r="U170" i="90" s="1"/>
  <c r="S170" i="90" s="1"/>
  <c r="P168" i="90"/>
  <c r="U168" i="90" s="1"/>
  <c r="S168" i="90" s="1"/>
  <c r="S197" i="63"/>
  <c r="S203" i="63" s="1"/>
  <c r="U203" i="63"/>
  <c r="S173" i="95"/>
  <c r="S179" i="95" s="1"/>
  <c r="U179" i="95"/>
  <c r="P210" i="63"/>
  <c r="U210" i="63" s="1"/>
  <c r="S210" i="63" s="1"/>
  <c r="P205" i="63"/>
  <c r="U205" i="63" s="1"/>
  <c r="Z212" i="63"/>
  <c r="P207" i="63"/>
  <c r="U207" i="63" s="1"/>
  <c r="S207" i="63" s="1"/>
  <c r="N204" i="63"/>
  <c r="P209" i="63"/>
  <c r="U209" i="63" s="1"/>
  <c r="S209" i="63" s="1"/>
  <c r="P208" i="63"/>
  <c r="U208" i="63" s="1"/>
  <c r="S208" i="63" s="1"/>
  <c r="P206" i="63"/>
  <c r="U206" i="63" s="1"/>
  <c r="S206" i="63" s="1"/>
  <c r="Z188" i="95"/>
  <c r="P181" i="95"/>
  <c r="U181" i="95" s="1"/>
  <c r="N180" i="95"/>
  <c r="P185" i="95"/>
  <c r="U185" i="95" s="1"/>
  <c r="S185" i="95" s="1"/>
  <c r="P182" i="95"/>
  <c r="U182" i="95" s="1"/>
  <c r="S182" i="95" s="1"/>
  <c r="P184" i="95"/>
  <c r="U184" i="95" s="1"/>
  <c r="S184" i="95" s="1"/>
  <c r="P186" i="95"/>
  <c r="U186" i="95" s="1"/>
  <c r="S186" i="95" s="1"/>
  <c r="P183" i="95"/>
  <c r="U183" i="95" s="1"/>
  <c r="S183" i="95" s="1"/>
  <c r="S159" i="90"/>
  <c r="S165" i="90" s="1"/>
  <c r="U165" i="90"/>
  <c r="S190" i="92"/>
  <c r="S196" i="92" s="1"/>
  <c r="U196" i="92"/>
  <c r="S173" i="108"/>
  <c r="S179" i="108" s="1"/>
  <c r="U179" i="108"/>
  <c r="N180" i="108"/>
  <c r="Z188" i="108"/>
  <c r="P183" i="108"/>
  <c r="U183" i="108" s="1"/>
  <c r="S183" i="108" s="1"/>
  <c r="P181" i="108"/>
  <c r="U181" i="108" s="1"/>
  <c r="P185" i="108"/>
  <c r="U185" i="108" s="1"/>
  <c r="S185" i="108" s="1"/>
  <c r="P182" i="108"/>
  <c r="U182" i="108" s="1"/>
  <c r="S182" i="108" s="1"/>
  <c r="P184" i="108"/>
  <c r="U184" i="108" s="1"/>
  <c r="S184" i="108" s="1"/>
  <c r="P186" i="108"/>
  <c r="U186" i="108" s="1"/>
  <c r="S186" i="108" s="1"/>
  <c r="P190" i="70"/>
  <c r="U190" i="70" s="1"/>
  <c r="S190" i="70" s="1"/>
  <c r="N188" i="70"/>
  <c r="P192" i="70"/>
  <c r="U192" i="70" s="1"/>
  <c r="S192" i="70" s="1"/>
  <c r="Z196" i="70"/>
  <c r="P189" i="70"/>
  <c r="U189" i="70" s="1"/>
  <c r="P191" i="70"/>
  <c r="U191" i="70" s="1"/>
  <c r="S191" i="70" s="1"/>
  <c r="P193" i="70"/>
  <c r="U193" i="70" s="1"/>
  <c r="S193" i="70" s="1"/>
  <c r="P194" i="70"/>
  <c r="U194" i="70" s="1"/>
  <c r="S194" i="70" s="1"/>
  <c r="P174" i="89"/>
  <c r="U174" i="89" s="1"/>
  <c r="P179" i="89"/>
  <c r="U179" i="89" s="1"/>
  <c r="S179" i="89" s="1"/>
  <c r="P175" i="89"/>
  <c r="U175" i="89" s="1"/>
  <c r="S175" i="89" s="1"/>
  <c r="Z181" i="89"/>
  <c r="P176" i="89"/>
  <c r="U176" i="89" s="1"/>
  <c r="S176" i="89" s="1"/>
  <c r="N173" i="89"/>
  <c r="P178" i="89"/>
  <c r="U178" i="89" s="1"/>
  <c r="S178" i="89" s="1"/>
  <c r="P177" i="89"/>
  <c r="U177" i="89" s="1"/>
  <c r="S177" i="89" s="1"/>
  <c r="P189" i="81"/>
  <c r="U189" i="81" s="1"/>
  <c r="S189" i="81" s="1"/>
  <c r="P188" i="81"/>
  <c r="U188" i="81" s="1"/>
  <c r="S188" i="81" s="1"/>
  <c r="P190" i="81"/>
  <c r="U190" i="81" s="1"/>
  <c r="S190" i="81" s="1"/>
  <c r="Z192" i="81"/>
  <c r="P185" i="81"/>
  <c r="U185" i="81" s="1"/>
  <c r="N184" i="81"/>
  <c r="P187" i="81"/>
  <c r="U187" i="81" s="1"/>
  <c r="S187" i="81" s="1"/>
  <c r="P186" i="81"/>
  <c r="U186" i="81" s="1"/>
  <c r="S186" i="81" s="1"/>
  <c r="S177" i="81"/>
  <c r="S183" i="81" s="1"/>
  <c r="U183" i="81"/>
  <c r="S178" i="77"/>
  <c r="S184" i="77" s="1"/>
  <c r="U184" i="77"/>
  <c r="N170" i="111"/>
  <c r="Z178" i="111"/>
  <c r="P174" i="111"/>
  <c r="U174" i="111" s="1"/>
  <c r="S174" i="111" s="1"/>
  <c r="P173" i="111"/>
  <c r="U173" i="111" s="1"/>
  <c r="S173" i="111" s="1"/>
  <c r="P171" i="111"/>
  <c r="U171" i="111" s="1"/>
  <c r="P172" i="111"/>
  <c r="U172" i="111" s="1"/>
  <c r="S172" i="111" s="1"/>
  <c r="P176" i="111"/>
  <c r="U176" i="111" s="1"/>
  <c r="S176" i="111" s="1"/>
  <c r="P175" i="111"/>
  <c r="U175" i="111" s="1"/>
  <c r="S175" i="111" s="1"/>
  <c r="S166" i="89"/>
  <c r="S172" i="89" s="1"/>
  <c r="U172" i="89"/>
  <c r="S182" i="98"/>
  <c r="S188" i="98" s="1"/>
  <c r="U188" i="98"/>
  <c r="S159" i="68"/>
  <c r="S165" i="68" s="1"/>
  <c r="U165" i="68"/>
  <c r="S163" i="111"/>
  <c r="S169" i="111" s="1"/>
  <c r="U169" i="111"/>
  <c r="U187" i="70"/>
  <c r="S181" i="70"/>
  <c r="S187" i="70" s="1"/>
  <c r="U196" i="88"/>
  <c r="S190" i="88"/>
  <c r="S196" i="88" s="1"/>
  <c r="AF192" i="36"/>
  <c r="P199" i="88"/>
  <c r="U199" i="88" s="1"/>
  <c r="S199" i="88" s="1"/>
  <c r="P202" i="88"/>
  <c r="U202" i="88" s="1"/>
  <c r="S202" i="88" s="1"/>
  <c r="P198" i="88"/>
  <c r="U198" i="88" s="1"/>
  <c r="P200" i="88"/>
  <c r="U200" i="88" s="1"/>
  <c r="S200" i="88" s="1"/>
  <c r="P201" i="88"/>
  <c r="U201" i="88" s="1"/>
  <c r="S201" i="88" s="1"/>
  <c r="N197" i="88"/>
  <c r="Z205" i="88"/>
  <c r="P203" i="88"/>
  <c r="U203" i="88" s="1"/>
  <c r="S203" i="88" s="1"/>
  <c r="P186" i="77"/>
  <c r="U186" i="77" s="1"/>
  <c r="N185" i="77"/>
  <c r="P189" i="77"/>
  <c r="U189" i="77" s="1"/>
  <c r="S189" i="77" s="1"/>
  <c r="P188" i="77"/>
  <c r="U188" i="77" s="1"/>
  <c r="S188" i="77" s="1"/>
  <c r="P191" i="77"/>
  <c r="U191" i="77" s="1"/>
  <c r="S191" i="77" s="1"/>
  <c r="P190" i="77"/>
  <c r="U190" i="77" s="1"/>
  <c r="S190" i="77" s="1"/>
  <c r="Z193" i="77"/>
  <c r="P187" i="77"/>
  <c r="U187" i="77" s="1"/>
  <c r="S187" i="77" s="1"/>
  <c r="P191" i="98"/>
  <c r="U191" i="98" s="1"/>
  <c r="S191" i="98" s="1"/>
  <c r="P194" i="98"/>
  <c r="U194" i="98" s="1"/>
  <c r="S194" i="98" s="1"/>
  <c r="Z197" i="98"/>
  <c r="P190" i="98"/>
  <c r="U190" i="98" s="1"/>
  <c r="P193" i="98"/>
  <c r="U193" i="98" s="1"/>
  <c r="S193" i="98" s="1"/>
  <c r="N189" i="98"/>
  <c r="P192" i="98"/>
  <c r="U192" i="98" s="1"/>
  <c r="S192" i="98" s="1"/>
  <c r="P195" i="98"/>
  <c r="U195" i="98" s="1"/>
  <c r="S195" i="98" s="1"/>
  <c r="P214" i="109" l="1"/>
  <c r="U214" i="109" s="1"/>
  <c r="S214" i="109" s="1"/>
  <c r="Z218" i="109"/>
  <c r="P211" i="109"/>
  <c r="U211" i="109" s="1"/>
  <c r="P215" i="109"/>
  <c r="U215" i="109" s="1"/>
  <c r="S215" i="109" s="1"/>
  <c r="N210" i="109"/>
  <c r="P216" i="109"/>
  <c r="U216" i="109" s="1"/>
  <c r="S216" i="109" s="1"/>
  <c r="P212" i="109"/>
  <c r="U212" i="109" s="1"/>
  <c r="S212" i="109" s="1"/>
  <c r="P213" i="109"/>
  <c r="U213" i="109" s="1"/>
  <c r="S213" i="109" s="1"/>
  <c r="S206" i="76"/>
  <c r="S212" i="76" s="1"/>
  <c r="U212" i="76"/>
  <c r="S203" i="109"/>
  <c r="S209" i="109" s="1"/>
  <c r="U209" i="109"/>
  <c r="P212" i="96"/>
  <c r="U212" i="96" s="1"/>
  <c r="S212" i="96" s="1"/>
  <c r="P213" i="96"/>
  <c r="U213" i="96" s="1"/>
  <c r="S213" i="96" s="1"/>
  <c r="P209" i="96"/>
  <c r="U209" i="96" s="1"/>
  <c r="N208" i="96"/>
  <c r="Z216" i="96"/>
  <c r="P211" i="96"/>
  <c r="U211" i="96" s="1"/>
  <c r="S211" i="96" s="1"/>
  <c r="P214" i="96"/>
  <c r="U214" i="96" s="1"/>
  <c r="S214" i="96" s="1"/>
  <c r="P210" i="96"/>
  <c r="U210" i="96" s="1"/>
  <c r="S210" i="96" s="1"/>
  <c r="S201" i="96"/>
  <c r="S207" i="96" s="1"/>
  <c r="U207" i="96"/>
  <c r="N212" i="86"/>
  <c r="P217" i="86"/>
  <c r="U217" i="86" s="1"/>
  <c r="S217" i="86" s="1"/>
  <c r="P216" i="86"/>
  <c r="U216" i="86" s="1"/>
  <c r="S216" i="86" s="1"/>
  <c r="P214" i="86"/>
  <c r="U214" i="86" s="1"/>
  <c r="S214" i="86" s="1"/>
  <c r="P213" i="86"/>
  <c r="U213" i="86" s="1"/>
  <c r="Z220" i="86"/>
  <c r="P218" i="86"/>
  <c r="U218" i="86" s="1"/>
  <c r="S218" i="86" s="1"/>
  <c r="P215" i="86"/>
  <c r="U215" i="86" s="1"/>
  <c r="S215" i="86" s="1"/>
  <c r="S205" i="86"/>
  <c r="S211" i="86" s="1"/>
  <c r="U5" i="86" s="1" a="1"/>
  <c r="U5" i="86" s="1"/>
  <c r="U211" i="86"/>
  <c r="P200" i="84"/>
  <c r="U200" i="84" s="1"/>
  <c r="S200" i="84" s="1"/>
  <c r="P198" i="84"/>
  <c r="U198" i="84" s="1"/>
  <c r="S198" i="84" s="1"/>
  <c r="P196" i="84"/>
  <c r="U196" i="84" s="1"/>
  <c r="Z203" i="84"/>
  <c r="P199" i="84"/>
  <c r="U199" i="84" s="1"/>
  <c r="S199" i="84" s="1"/>
  <c r="N195" i="84"/>
  <c r="P201" i="84"/>
  <c r="U201" i="84" s="1"/>
  <c r="S201" i="84" s="1"/>
  <c r="P197" i="84"/>
  <c r="U197" i="84" s="1"/>
  <c r="S197" i="84" s="1"/>
  <c r="U194" i="84"/>
  <c r="S188" i="84"/>
  <c r="S194" i="84" s="1"/>
  <c r="P217" i="78"/>
  <c r="U217" i="78" s="1"/>
  <c r="S217" i="78" s="1"/>
  <c r="P220" i="78"/>
  <c r="U220" i="78" s="1"/>
  <c r="S220" i="78" s="1"/>
  <c r="P218" i="78"/>
  <c r="U218" i="78" s="1"/>
  <c r="S218" i="78" s="1"/>
  <c r="P221" i="78"/>
  <c r="U221" i="78" s="1"/>
  <c r="S221" i="78" s="1"/>
  <c r="Z223" i="78"/>
  <c r="P219" i="78"/>
  <c r="U219" i="78" s="1"/>
  <c r="S219" i="78" s="1"/>
  <c r="P216" i="78"/>
  <c r="U216" i="78" s="1"/>
  <c r="N215" i="78"/>
  <c r="S208" i="78"/>
  <c r="S214" i="78" s="1"/>
  <c r="U214" i="78"/>
  <c r="S198" i="76"/>
  <c r="S204" i="76" s="1"/>
  <c r="U204" i="76"/>
  <c r="N187" i="75"/>
  <c r="P189" i="75"/>
  <c r="U189" i="75" s="1"/>
  <c r="S189" i="75" s="1"/>
  <c r="Z195" i="75"/>
  <c r="P190" i="75"/>
  <c r="U190" i="75" s="1"/>
  <c r="S190" i="75" s="1"/>
  <c r="P192" i="75"/>
  <c r="U192" i="75" s="1"/>
  <c r="S192" i="75" s="1"/>
  <c r="P193" i="75"/>
  <c r="U193" i="75" s="1"/>
  <c r="S193" i="75" s="1"/>
  <c r="P191" i="75"/>
  <c r="U191" i="75" s="1"/>
  <c r="S191" i="75" s="1"/>
  <c r="P188" i="75"/>
  <c r="U188" i="75" s="1"/>
  <c r="U186" i="75"/>
  <c r="S180" i="75"/>
  <c r="S186" i="75" s="1"/>
  <c r="S185" i="74"/>
  <c r="S191" i="74" s="1"/>
  <c r="U191" i="74"/>
  <c r="P197" i="74"/>
  <c r="U197" i="74" s="1"/>
  <c r="S197" i="74" s="1"/>
  <c r="P195" i="74"/>
  <c r="U195" i="74" s="1"/>
  <c r="S195" i="74" s="1"/>
  <c r="Z200" i="74"/>
  <c r="P193" i="74"/>
  <c r="U193" i="74" s="1"/>
  <c r="P194" i="74"/>
  <c r="U194" i="74" s="1"/>
  <c r="S194" i="74" s="1"/>
  <c r="N192" i="74"/>
  <c r="P196" i="74"/>
  <c r="U196" i="74" s="1"/>
  <c r="S196" i="74" s="1"/>
  <c r="P198" i="74"/>
  <c r="U198" i="74" s="1"/>
  <c r="S198" i="74" s="1"/>
  <c r="N187" i="73"/>
  <c r="P189" i="73"/>
  <c r="U189" i="73" s="1"/>
  <c r="S189" i="73" s="1"/>
  <c r="P192" i="73"/>
  <c r="U192" i="73" s="1"/>
  <c r="S192" i="73" s="1"/>
  <c r="P190" i="73"/>
  <c r="U190" i="73" s="1"/>
  <c r="S190" i="73" s="1"/>
  <c r="Z195" i="73"/>
  <c r="P188" i="73"/>
  <c r="U188" i="73" s="1"/>
  <c r="P193" i="73"/>
  <c r="U193" i="73" s="1"/>
  <c r="S193" i="73" s="1"/>
  <c r="P191" i="73"/>
  <c r="U191" i="73" s="1"/>
  <c r="S191" i="73" s="1"/>
  <c r="S180" i="73"/>
  <c r="S186" i="73" s="1"/>
  <c r="U186" i="73"/>
  <c r="S168" i="69"/>
  <c r="S174" i="69" s="1"/>
  <c r="U174" i="69"/>
  <c r="P178" i="69"/>
  <c r="U178" i="69" s="1"/>
  <c r="S178" i="69" s="1"/>
  <c r="P181" i="69"/>
  <c r="U181" i="69" s="1"/>
  <c r="S181" i="69" s="1"/>
  <c r="P180" i="69"/>
  <c r="U180" i="69" s="1"/>
  <c r="S180" i="69" s="1"/>
  <c r="Z183" i="69"/>
  <c r="P177" i="69"/>
  <c r="U177" i="69" s="1"/>
  <c r="S177" i="69" s="1"/>
  <c r="P176" i="69"/>
  <c r="U176" i="69" s="1"/>
  <c r="P179" i="69"/>
  <c r="U179" i="69" s="1"/>
  <c r="S179" i="69" s="1"/>
  <c r="N175" i="69"/>
  <c r="P195" i="34"/>
  <c r="U195" i="34" s="1"/>
  <c r="Z202" i="34"/>
  <c r="P198" i="34"/>
  <c r="U198" i="34" s="1"/>
  <c r="S198" i="34" s="1"/>
  <c r="P199" i="34"/>
  <c r="U199" i="34" s="1"/>
  <c r="S199" i="34" s="1"/>
  <c r="P200" i="34"/>
  <c r="U200" i="34" s="1"/>
  <c r="S200" i="34" s="1"/>
  <c r="N194" i="34"/>
  <c r="P197" i="34"/>
  <c r="U197" i="34" s="1"/>
  <c r="S197" i="34" s="1"/>
  <c r="P196" i="34"/>
  <c r="U196" i="34" s="1"/>
  <c r="S196" i="34" s="1"/>
  <c r="U193" i="34"/>
  <c r="S187" i="34"/>
  <c r="S193" i="34" s="1"/>
  <c r="P170" i="61"/>
  <c r="U170" i="61" s="1"/>
  <c r="S170" i="61" s="1"/>
  <c r="P172" i="61"/>
  <c r="U172" i="61" s="1"/>
  <c r="S172" i="61" s="1"/>
  <c r="P173" i="61"/>
  <c r="U173" i="61" s="1"/>
  <c r="S173" i="61" s="1"/>
  <c r="P174" i="61"/>
  <c r="U174" i="61" s="1"/>
  <c r="S174" i="61" s="1"/>
  <c r="N168" i="61"/>
  <c r="P171" i="61"/>
  <c r="U171" i="61" s="1"/>
  <c r="S171" i="61" s="1"/>
  <c r="P169" i="61"/>
  <c r="U169" i="61" s="1"/>
  <c r="Z176" i="61"/>
  <c r="S161" i="61"/>
  <c r="S167" i="61" s="1"/>
  <c r="U167" i="61"/>
  <c r="S210" i="79"/>
  <c r="S216" i="79" s="1"/>
  <c r="U216" i="79"/>
  <c r="U186" i="60"/>
  <c r="S180" i="60"/>
  <c r="S186" i="60" s="1"/>
  <c r="P212" i="57"/>
  <c r="U212" i="57" s="1"/>
  <c r="S212" i="57" s="1"/>
  <c r="P210" i="57"/>
  <c r="U210" i="57" s="1"/>
  <c r="S210" i="57" s="1"/>
  <c r="P213" i="57"/>
  <c r="U213" i="57" s="1"/>
  <c r="S213" i="57" s="1"/>
  <c r="P214" i="57"/>
  <c r="U214" i="57" s="1"/>
  <c r="S214" i="57" s="1"/>
  <c r="P209" i="57"/>
  <c r="U209" i="57" s="1"/>
  <c r="N208" i="57"/>
  <c r="P211" i="57"/>
  <c r="U211" i="57" s="1"/>
  <c r="S211" i="57" s="1"/>
  <c r="Z216" i="57"/>
  <c r="S177" i="85"/>
  <c r="S183" i="85" s="1"/>
  <c r="U183" i="85"/>
  <c r="U207" i="57"/>
  <c r="S201" i="57"/>
  <c r="S207" i="57" s="1"/>
  <c r="P187" i="85"/>
  <c r="U187" i="85" s="1"/>
  <c r="S187" i="85" s="1"/>
  <c r="P188" i="85"/>
  <c r="U188" i="85" s="1"/>
  <c r="S188" i="85" s="1"/>
  <c r="P185" i="85"/>
  <c r="U185" i="85" s="1"/>
  <c r="P186" i="85"/>
  <c r="U186" i="85" s="1"/>
  <c r="S186" i="85" s="1"/>
  <c r="Z192" i="85"/>
  <c r="P189" i="85"/>
  <c r="U189" i="85" s="1"/>
  <c r="S189" i="85" s="1"/>
  <c r="N184" i="85"/>
  <c r="P190" i="85"/>
  <c r="U190" i="85" s="1"/>
  <c r="S190" i="85" s="1"/>
  <c r="P195" i="59"/>
  <c r="U195" i="59" s="1"/>
  <c r="S195" i="59" s="1"/>
  <c r="P192" i="59"/>
  <c r="U192" i="59" s="1"/>
  <c r="S192" i="59" s="1"/>
  <c r="P190" i="59"/>
  <c r="U190" i="59" s="1"/>
  <c r="P191" i="59"/>
  <c r="U191" i="59" s="1"/>
  <c r="S191" i="59" s="1"/>
  <c r="P194" i="59"/>
  <c r="U194" i="59" s="1"/>
  <c r="S194" i="59" s="1"/>
  <c r="Z197" i="59"/>
  <c r="P193" i="59"/>
  <c r="U193" i="59" s="1"/>
  <c r="S193" i="59" s="1"/>
  <c r="N189" i="59"/>
  <c r="P219" i="79"/>
  <c r="U219" i="79" s="1"/>
  <c r="S219" i="79" s="1"/>
  <c r="P218" i="79"/>
  <c r="U218" i="79" s="1"/>
  <c r="P221" i="79"/>
  <c r="U221" i="79" s="1"/>
  <c r="S221" i="79" s="1"/>
  <c r="P220" i="79"/>
  <c r="U220" i="79" s="1"/>
  <c r="S220" i="79" s="1"/>
  <c r="Z225" i="79"/>
  <c r="P222" i="79"/>
  <c r="U222" i="79" s="1"/>
  <c r="S222" i="79" s="1"/>
  <c r="N217" i="79"/>
  <c r="P223" i="79"/>
  <c r="U223" i="79" s="1"/>
  <c r="S223" i="79" s="1"/>
  <c r="S182" i="59"/>
  <c r="S188" i="59" s="1"/>
  <c r="U188" i="59"/>
  <c r="P191" i="60"/>
  <c r="U191" i="60" s="1"/>
  <c r="S191" i="60" s="1"/>
  <c r="P192" i="60"/>
  <c r="U192" i="60" s="1"/>
  <c r="S192" i="60" s="1"/>
  <c r="N187" i="60"/>
  <c r="P189" i="60"/>
  <c r="U189" i="60" s="1"/>
  <c r="S189" i="60" s="1"/>
  <c r="Z195" i="60"/>
  <c r="P190" i="60"/>
  <c r="U190" i="60" s="1"/>
  <c r="S190" i="60" s="1"/>
  <c r="P188" i="60"/>
  <c r="U188" i="60" s="1"/>
  <c r="P193" i="60"/>
  <c r="U193" i="60" s="1"/>
  <c r="S193" i="60" s="1"/>
  <c r="P207" i="102"/>
  <c r="U207" i="102" s="1"/>
  <c r="S207" i="102" s="1"/>
  <c r="P206" i="102"/>
  <c r="U206" i="102" s="1"/>
  <c r="P210" i="102"/>
  <c r="U210" i="102" s="1"/>
  <c r="S210" i="102" s="1"/>
  <c r="P211" i="102"/>
  <c r="U211" i="102" s="1"/>
  <c r="S211" i="102" s="1"/>
  <c r="P209" i="102"/>
  <c r="U209" i="102" s="1"/>
  <c r="S209" i="102" s="1"/>
  <c r="P208" i="102"/>
  <c r="U208" i="102" s="1"/>
  <c r="S208" i="102" s="1"/>
  <c r="N205" i="102"/>
  <c r="Z213" i="102"/>
  <c r="S198" i="102"/>
  <c r="S204" i="102" s="1"/>
  <c r="U204" i="102"/>
  <c r="S181" i="95"/>
  <c r="S187" i="95" s="1"/>
  <c r="U187" i="95"/>
  <c r="N188" i="95"/>
  <c r="P190" i="95"/>
  <c r="U190" i="95" s="1"/>
  <c r="S190" i="95" s="1"/>
  <c r="P194" i="95"/>
  <c r="U194" i="95" s="1"/>
  <c r="S194" i="95" s="1"/>
  <c r="P191" i="95"/>
  <c r="U191" i="95" s="1"/>
  <c r="S191" i="95" s="1"/>
  <c r="P189" i="95"/>
  <c r="U189" i="95" s="1"/>
  <c r="Z196" i="95"/>
  <c r="P192" i="95"/>
  <c r="U192" i="95" s="1"/>
  <c r="S192" i="95" s="1"/>
  <c r="P193" i="95"/>
  <c r="U193" i="95" s="1"/>
  <c r="S193" i="95" s="1"/>
  <c r="P218" i="63"/>
  <c r="U218" i="63" s="1"/>
  <c r="S218" i="63" s="1"/>
  <c r="Z220" i="63"/>
  <c r="P214" i="63"/>
  <c r="U214" i="63" s="1"/>
  <c r="S214" i="63" s="1"/>
  <c r="P216" i="63"/>
  <c r="U216" i="63" s="1"/>
  <c r="S216" i="63" s="1"/>
  <c r="N212" i="63"/>
  <c r="P217" i="63"/>
  <c r="U217" i="63" s="1"/>
  <c r="S217" i="63" s="1"/>
  <c r="P215" i="63"/>
  <c r="U215" i="63" s="1"/>
  <c r="S215" i="63" s="1"/>
  <c r="P213" i="63"/>
  <c r="U213" i="63" s="1"/>
  <c r="S205" i="63"/>
  <c r="S211" i="63" s="1"/>
  <c r="U211" i="63"/>
  <c r="N174" i="90"/>
  <c r="Z182" i="90"/>
  <c r="P176" i="90"/>
  <c r="U176" i="90" s="1"/>
  <c r="S176" i="90" s="1"/>
  <c r="P177" i="90"/>
  <c r="U177" i="90" s="1"/>
  <c r="S177" i="90" s="1"/>
  <c r="P178" i="90"/>
  <c r="U178" i="90" s="1"/>
  <c r="S178" i="90" s="1"/>
  <c r="P175" i="90"/>
  <c r="U175" i="90" s="1"/>
  <c r="P179" i="90"/>
  <c r="U179" i="90" s="1"/>
  <c r="S179" i="90" s="1"/>
  <c r="P180" i="90"/>
  <c r="U180" i="90" s="1"/>
  <c r="S180" i="90" s="1"/>
  <c r="S167" i="90"/>
  <c r="S173" i="90" s="1"/>
  <c r="U173" i="90"/>
  <c r="S198" i="92"/>
  <c r="S204" i="92" s="1"/>
  <c r="U204" i="92"/>
  <c r="N205" i="92"/>
  <c r="P206" i="92"/>
  <c r="U206" i="92" s="1"/>
  <c r="P209" i="92"/>
  <c r="U209" i="92" s="1"/>
  <c r="S209" i="92" s="1"/>
  <c r="P207" i="92"/>
  <c r="U207" i="92" s="1"/>
  <c r="S207" i="92" s="1"/>
  <c r="P211" i="92"/>
  <c r="U211" i="92" s="1"/>
  <c r="S211" i="92" s="1"/>
  <c r="P210" i="92"/>
  <c r="U210" i="92" s="1"/>
  <c r="S210" i="92" s="1"/>
  <c r="Z213" i="92"/>
  <c r="P208" i="92"/>
  <c r="U208" i="92" s="1"/>
  <c r="S208" i="92" s="1"/>
  <c r="S225" i="82"/>
  <c r="S231" i="82" s="1"/>
  <c r="U231" i="82"/>
  <c r="N232" i="82"/>
  <c r="P234" i="82"/>
  <c r="U234" i="82" s="1"/>
  <c r="S234" i="82" s="1"/>
  <c r="P233" i="82"/>
  <c r="U233" i="82" s="1"/>
  <c r="P235" i="82"/>
  <c r="U235" i="82" s="1"/>
  <c r="S235" i="82" s="1"/>
  <c r="P238" i="82"/>
  <c r="U238" i="82" s="1"/>
  <c r="S238" i="82" s="1"/>
  <c r="P236" i="82"/>
  <c r="U236" i="82" s="1"/>
  <c r="S236" i="82" s="1"/>
  <c r="P237" i="82"/>
  <c r="U237" i="82" s="1"/>
  <c r="S237" i="82" s="1"/>
  <c r="S181" i="108"/>
  <c r="S187" i="108" s="1"/>
  <c r="U187" i="108"/>
  <c r="N188" i="108"/>
  <c r="Z196" i="108"/>
  <c r="P193" i="108"/>
  <c r="U193" i="108" s="1"/>
  <c r="S193" i="108" s="1"/>
  <c r="P191" i="108"/>
  <c r="U191" i="108" s="1"/>
  <c r="S191" i="108" s="1"/>
  <c r="P189" i="108"/>
  <c r="U189" i="108" s="1"/>
  <c r="P190" i="108"/>
  <c r="U190" i="108" s="1"/>
  <c r="S190" i="108" s="1"/>
  <c r="P194" i="108"/>
  <c r="U194" i="108" s="1"/>
  <c r="S194" i="108" s="1"/>
  <c r="P192" i="108"/>
  <c r="U192" i="108" s="1"/>
  <c r="S192" i="108" s="1"/>
  <c r="S186" i="77"/>
  <c r="S192" i="77" s="1"/>
  <c r="U192" i="77"/>
  <c r="P208" i="88"/>
  <c r="U208" i="88" s="1"/>
  <c r="S208" i="88" s="1"/>
  <c r="P211" i="88"/>
  <c r="U211" i="88" s="1"/>
  <c r="S211" i="88" s="1"/>
  <c r="P206" i="88"/>
  <c r="U206" i="88" s="1"/>
  <c r="Z213" i="88"/>
  <c r="P207" i="88"/>
  <c r="U207" i="88" s="1"/>
  <c r="S207" i="88" s="1"/>
  <c r="P210" i="88"/>
  <c r="U210" i="88" s="1"/>
  <c r="S210" i="88" s="1"/>
  <c r="P209" i="88"/>
  <c r="U209" i="88" s="1"/>
  <c r="S209" i="88" s="1"/>
  <c r="N205" i="88"/>
  <c r="S198" i="88"/>
  <c r="S204" i="88" s="1"/>
  <c r="U204" i="88"/>
  <c r="S174" i="89"/>
  <c r="S180" i="89" s="1"/>
  <c r="U180" i="89"/>
  <c r="S189" i="70"/>
  <c r="S195" i="70" s="1"/>
  <c r="U195" i="70"/>
  <c r="S190" i="98"/>
  <c r="S196" i="98" s="1"/>
  <c r="U196" i="98"/>
  <c r="N178" i="111"/>
  <c r="P181" i="111"/>
  <c r="U181" i="111" s="1"/>
  <c r="S181" i="111" s="1"/>
  <c r="P184" i="111"/>
  <c r="U184" i="111" s="1"/>
  <c r="S184" i="111" s="1"/>
  <c r="P183" i="111"/>
  <c r="U183" i="111" s="1"/>
  <c r="S183" i="111" s="1"/>
  <c r="Z186" i="111"/>
  <c r="P180" i="111"/>
  <c r="U180" i="111" s="1"/>
  <c r="S180" i="111" s="1"/>
  <c r="P179" i="111"/>
  <c r="U179" i="111" s="1"/>
  <c r="P182" i="111"/>
  <c r="U182" i="111" s="1"/>
  <c r="S182" i="111" s="1"/>
  <c r="P182" i="89"/>
  <c r="U182" i="89" s="1"/>
  <c r="P183" i="89"/>
  <c r="U183" i="89" s="1"/>
  <c r="S183" i="89" s="1"/>
  <c r="P184" i="89"/>
  <c r="U184" i="89" s="1"/>
  <c r="S184" i="89" s="1"/>
  <c r="P185" i="89"/>
  <c r="U185" i="89" s="1"/>
  <c r="S185" i="89" s="1"/>
  <c r="P186" i="89"/>
  <c r="U186" i="89" s="1"/>
  <c r="S186" i="89" s="1"/>
  <c r="Z189" i="89"/>
  <c r="P187" i="89"/>
  <c r="U187" i="89" s="1"/>
  <c r="S187" i="89" s="1"/>
  <c r="N181" i="89"/>
  <c r="P201" i="70"/>
  <c r="U201" i="70" s="1"/>
  <c r="S201" i="70" s="1"/>
  <c r="P198" i="70"/>
  <c r="U198" i="70" s="1"/>
  <c r="S198" i="70" s="1"/>
  <c r="N196" i="70"/>
  <c r="P202" i="70"/>
  <c r="U202" i="70" s="1"/>
  <c r="S202" i="70" s="1"/>
  <c r="P200" i="70"/>
  <c r="U200" i="70" s="1"/>
  <c r="S200" i="70" s="1"/>
  <c r="P197" i="70"/>
  <c r="U197" i="70" s="1"/>
  <c r="Z204" i="70"/>
  <c r="P199" i="70"/>
  <c r="U199" i="70" s="1"/>
  <c r="S199" i="70" s="1"/>
  <c r="P203" i="98"/>
  <c r="U203" i="98" s="1"/>
  <c r="S203" i="98" s="1"/>
  <c r="Z205" i="98"/>
  <c r="N197" i="98"/>
  <c r="P198" i="98"/>
  <c r="U198" i="98" s="1"/>
  <c r="P200" i="98"/>
  <c r="U200" i="98" s="1"/>
  <c r="S200" i="98" s="1"/>
  <c r="P202" i="98"/>
  <c r="U202" i="98" s="1"/>
  <c r="S202" i="98" s="1"/>
  <c r="P201" i="98"/>
  <c r="U201" i="98" s="1"/>
  <c r="S201" i="98" s="1"/>
  <c r="P199" i="98"/>
  <c r="U199" i="98" s="1"/>
  <c r="S199" i="98" s="1"/>
  <c r="N193" i="77"/>
  <c r="P198" i="77"/>
  <c r="U198" i="77" s="1"/>
  <c r="S198" i="77" s="1"/>
  <c r="P199" i="77"/>
  <c r="U199" i="77" s="1"/>
  <c r="S199" i="77" s="1"/>
  <c r="P194" i="77"/>
  <c r="U194" i="77" s="1"/>
  <c r="P195" i="77"/>
  <c r="U195" i="77" s="1"/>
  <c r="S195" i="77" s="1"/>
  <c r="P196" i="77"/>
  <c r="U196" i="77" s="1"/>
  <c r="S196" i="77" s="1"/>
  <c r="P197" i="77"/>
  <c r="U197" i="77" s="1"/>
  <c r="S197" i="77" s="1"/>
  <c r="Z201" i="77"/>
  <c r="AF200" i="36"/>
  <c r="S171" i="111"/>
  <c r="S177" i="111" s="1"/>
  <c r="U177" i="111"/>
  <c r="S185" i="81"/>
  <c r="S191" i="81" s="1"/>
  <c r="U191" i="81"/>
  <c r="P197" i="81"/>
  <c r="U197" i="81" s="1"/>
  <c r="S197" i="81" s="1"/>
  <c r="N192" i="81"/>
  <c r="P193" i="81"/>
  <c r="U193" i="81" s="1"/>
  <c r="P194" i="81"/>
  <c r="U194" i="81" s="1"/>
  <c r="S194" i="81" s="1"/>
  <c r="P196" i="81"/>
  <c r="U196" i="81" s="1"/>
  <c r="S196" i="81" s="1"/>
  <c r="P198" i="81"/>
  <c r="U198" i="81" s="1"/>
  <c r="S198" i="81" s="1"/>
  <c r="P195" i="81"/>
  <c r="U195" i="81" s="1"/>
  <c r="S195" i="81" s="1"/>
  <c r="Z200" i="81"/>
  <c r="S211" i="109" l="1"/>
  <c r="S217" i="109" s="1"/>
  <c r="U217" i="109"/>
  <c r="P222" i="109"/>
  <c r="U222" i="109" s="1"/>
  <c r="S222" i="109" s="1"/>
  <c r="Z226" i="109"/>
  <c r="P219" i="109"/>
  <c r="U219" i="109" s="1"/>
  <c r="P223" i="109"/>
  <c r="U223" i="109" s="1"/>
  <c r="S223" i="109" s="1"/>
  <c r="P224" i="109"/>
  <c r="U224" i="109" s="1"/>
  <c r="S224" i="109" s="1"/>
  <c r="N218" i="109"/>
  <c r="P221" i="109"/>
  <c r="U221" i="109" s="1"/>
  <c r="S221" i="109" s="1"/>
  <c r="P220" i="109"/>
  <c r="U220" i="109" s="1"/>
  <c r="S220" i="109" s="1"/>
  <c r="U215" i="96"/>
  <c r="S209" i="96"/>
  <c r="S215" i="96" s="1"/>
  <c r="P220" i="96"/>
  <c r="U220" i="96" s="1"/>
  <c r="S220" i="96" s="1"/>
  <c r="P218" i="96"/>
  <c r="U218" i="96" s="1"/>
  <c r="S218" i="96" s="1"/>
  <c r="N216" i="96"/>
  <c r="Z224" i="96"/>
  <c r="P219" i="96"/>
  <c r="U219" i="96" s="1"/>
  <c r="S219" i="96" s="1"/>
  <c r="P222" i="96"/>
  <c r="U222" i="96" s="1"/>
  <c r="S222" i="96" s="1"/>
  <c r="P217" i="96"/>
  <c r="U217" i="96" s="1"/>
  <c r="P221" i="96"/>
  <c r="U221" i="96" s="1"/>
  <c r="S221" i="96" s="1"/>
  <c r="P222" i="86"/>
  <c r="U222" i="86" s="1"/>
  <c r="S222" i="86" s="1"/>
  <c r="P225" i="86"/>
  <c r="U225" i="86" s="1"/>
  <c r="S225" i="86" s="1"/>
  <c r="N220" i="86"/>
  <c r="Z228" i="86"/>
  <c r="P221" i="86"/>
  <c r="U221" i="86" s="1"/>
  <c r="P226" i="86"/>
  <c r="U226" i="86" s="1"/>
  <c r="S226" i="86" s="1"/>
  <c r="P223" i="86"/>
  <c r="U223" i="86" s="1"/>
  <c r="S223" i="86" s="1"/>
  <c r="P224" i="86"/>
  <c r="U224" i="86" s="1"/>
  <c r="S224" i="86" s="1"/>
  <c r="S213" i="86"/>
  <c r="S219" i="86" s="1"/>
  <c r="U219" i="86"/>
  <c r="P204" i="84"/>
  <c r="U204" i="84" s="1"/>
  <c r="P206" i="84"/>
  <c r="U206" i="84" s="1"/>
  <c r="S206" i="84" s="1"/>
  <c r="P205" i="84"/>
  <c r="U205" i="84" s="1"/>
  <c r="S205" i="84" s="1"/>
  <c r="P209" i="84"/>
  <c r="U209" i="84" s="1"/>
  <c r="S209" i="84" s="1"/>
  <c r="N203" i="84"/>
  <c r="P208" i="84"/>
  <c r="U208" i="84" s="1"/>
  <c r="S208" i="84" s="1"/>
  <c r="P207" i="84"/>
  <c r="U207" i="84" s="1"/>
  <c r="S207" i="84" s="1"/>
  <c r="Z211" i="84"/>
  <c r="S196" i="84"/>
  <c r="S202" i="84" s="1"/>
  <c r="U202" i="84"/>
  <c r="S216" i="78"/>
  <c r="S222" i="78" s="1"/>
  <c r="U222" i="78"/>
  <c r="P226" i="78"/>
  <c r="U226" i="78" s="1"/>
  <c r="S226" i="78" s="1"/>
  <c r="P227" i="78"/>
  <c r="U227" i="78" s="1"/>
  <c r="S227" i="78" s="1"/>
  <c r="P229" i="78"/>
  <c r="U229" i="78" s="1"/>
  <c r="S229" i="78" s="1"/>
  <c r="P224" i="78"/>
  <c r="U224" i="78" s="1"/>
  <c r="N223" i="78"/>
  <c r="P228" i="78"/>
  <c r="U228" i="78" s="1"/>
  <c r="S228" i="78" s="1"/>
  <c r="P225" i="78"/>
  <c r="U225" i="78" s="1"/>
  <c r="S225" i="78" s="1"/>
  <c r="Z231" i="78"/>
  <c r="S188" i="75"/>
  <c r="S194" i="75" s="1"/>
  <c r="U194" i="75"/>
  <c r="P199" i="75"/>
  <c r="U199" i="75" s="1"/>
  <c r="S199" i="75" s="1"/>
  <c r="P200" i="75"/>
  <c r="U200" i="75" s="1"/>
  <c r="S200" i="75" s="1"/>
  <c r="P196" i="75"/>
  <c r="U196" i="75" s="1"/>
  <c r="P198" i="75"/>
  <c r="U198" i="75" s="1"/>
  <c r="S198" i="75" s="1"/>
  <c r="P197" i="75"/>
  <c r="U197" i="75" s="1"/>
  <c r="S197" i="75" s="1"/>
  <c r="P201" i="75"/>
  <c r="U201" i="75" s="1"/>
  <c r="S201" i="75" s="1"/>
  <c r="N195" i="75"/>
  <c r="S193" i="74"/>
  <c r="S199" i="74" s="1"/>
  <c r="U199" i="74"/>
  <c r="P204" i="74"/>
  <c r="U204" i="74" s="1"/>
  <c r="S204" i="74" s="1"/>
  <c r="P203" i="74"/>
  <c r="U203" i="74" s="1"/>
  <c r="S203" i="74" s="1"/>
  <c r="P201" i="74"/>
  <c r="U201" i="74" s="1"/>
  <c r="Z208" i="74"/>
  <c r="P205" i="74"/>
  <c r="U205" i="74" s="1"/>
  <c r="S205" i="74" s="1"/>
  <c r="P202" i="74"/>
  <c r="U202" i="74" s="1"/>
  <c r="S202" i="74" s="1"/>
  <c r="P206" i="74"/>
  <c r="U206" i="74" s="1"/>
  <c r="S206" i="74" s="1"/>
  <c r="N200" i="74"/>
  <c r="U194" i="73"/>
  <c r="S188" i="73"/>
  <c r="S194" i="73" s="1"/>
  <c r="N195" i="73"/>
  <c r="P196" i="73"/>
  <c r="U196" i="73" s="1"/>
  <c r="P197" i="73"/>
  <c r="U197" i="73" s="1"/>
  <c r="S197" i="73" s="1"/>
  <c r="P199" i="73"/>
  <c r="U199" i="73" s="1"/>
  <c r="S199" i="73" s="1"/>
  <c r="P198" i="73"/>
  <c r="U198" i="73" s="1"/>
  <c r="S198" i="73" s="1"/>
  <c r="Z203" i="73"/>
  <c r="P201" i="73"/>
  <c r="U201" i="73" s="1"/>
  <c r="S201" i="73" s="1"/>
  <c r="P200" i="73"/>
  <c r="U200" i="73" s="1"/>
  <c r="S200" i="73" s="1"/>
  <c r="S176" i="69"/>
  <c r="S182" i="69" s="1"/>
  <c r="U182" i="69"/>
  <c r="P184" i="69"/>
  <c r="U184" i="69" s="1"/>
  <c r="Z191" i="69"/>
  <c r="P187" i="69"/>
  <c r="U187" i="69" s="1"/>
  <c r="S187" i="69" s="1"/>
  <c r="P186" i="69"/>
  <c r="U186" i="69" s="1"/>
  <c r="S186" i="69" s="1"/>
  <c r="N183" i="69"/>
  <c r="P189" i="69"/>
  <c r="U189" i="69" s="1"/>
  <c r="S189" i="69" s="1"/>
  <c r="P188" i="69"/>
  <c r="U188" i="69" s="1"/>
  <c r="S188" i="69" s="1"/>
  <c r="P185" i="69"/>
  <c r="U185" i="69" s="1"/>
  <c r="S185" i="69" s="1"/>
  <c r="Z210" i="34"/>
  <c r="P204" i="34"/>
  <c r="U204" i="34" s="1"/>
  <c r="S204" i="34" s="1"/>
  <c r="P203" i="34"/>
  <c r="U203" i="34" s="1"/>
  <c r="P208" i="34"/>
  <c r="U208" i="34" s="1"/>
  <c r="S208" i="34" s="1"/>
  <c r="P206" i="34"/>
  <c r="U206" i="34" s="1"/>
  <c r="S206" i="34" s="1"/>
  <c r="P205" i="34"/>
  <c r="U205" i="34" s="1"/>
  <c r="S205" i="34" s="1"/>
  <c r="N202" i="34"/>
  <c r="P207" i="34"/>
  <c r="U207" i="34" s="1"/>
  <c r="S207" i="34" s="1"/>
  <c r="U201" i="34"/>
  <c r="S195" i="34"/>
  <c r="S201" i="34" s="1"/>
  <c r="P180" i="61"/>
  <c r="U180" i="61" s="1"/>
  <c r="S180" i="61" s="1"/>
  <c r="N176" i="61"/>
  <c r="P181" i="61"/>
  <c r="U181" i="61" s="1"/>
  <c r="S181" i="61" s="1"/>
  <c r="P177" i="61"/>
  <c r="U177" i="61" s="1"/>
  <c r="P179" i="61"/>
  <c r="U179" i="61" s="1"/>
  <c r="S179" i="61" s="1"/>
  <c r="P182" i="61"/>
  <c r="U182" i="61" s="1"/>
  <c r="S182" i="61" s="1"/>
  <c r="P178" i="61"/>
  <c r="U178" i="61" s="1"/>
  <c r="S178" i="61" s="1"/>
  <c r="U175" i="61"/>
  <c r="S169" i="61"/>
  <c r="S175" i="61" s="1"/>
  <c r="P199" i="60"/>
  <c r="U199" i="60" s="1"/>
  <c r="S199" i="60" s="1"/>
  <c r="P197" i="60"/>
  <c r="U197" i="60" s="1"/>
  <c r="S197" i="60" s="1"/>
  <c r="Z203" i="60"/>
  <c r="P201" i="60"/>
  <c r="U201" i="60" s="1"/>
  <c r="S201" i="60" s="1"/>
  <c r="P200" i="60"/>
  <c r="U200" i="60" s="1"/>
  <c r="S200" i="60" s="1"/>
  <c r="P198" i="60"/>
  <c r="U198" i="60" s="1"/>
  <c r="S198" i="60" s="1"/>
  <c r="N195" i="60"/>
  <c r="P196" i="60"/>
  <c r="U196" i="60" s="1"/>
  <c r="N225" i="79"/>
  <c r="P229" i="79"/>
  <c r="U229" i="79" s="1"/>
  <c r="S229" i="79" s="1"/>
  <c r="P231" i="79"/>
  <c r="U231" i="79" s="1"/>
  <c r="S231" i="79" s="1"/>
  <c r="P228" i="79"/>
  <c r="U228" i="79" s="1"/>
  <c r="S228" i="79" s="1"/>
  <c r="P227" i="79"/>
  <c r="U227" i="79" s="1"/>
  <c r="S227" i="79" s="1"/>
  <c r="P226" i="79"/>
  <c r="U226" i="79" s="1"/>
  <c r="P230" i="79"/>
  <c r="U230" i="79" s="1"/>
  <c r="S230" i="79" s="1"/>
  <c r="Z224" i="57"/>
  <c r="P221" i="57"/>
  <c r="U221" i="57" s="1"/>
  <c r="S221" i="57" s="1"/>
  <c r="P220" i="57"/>
  <c r="U220" i="57" s="1"/>
  <c r="S220" i="57" s="1"/>
  <c r="P219" i="57"/>
  <c r="U219" i="57" s="1"/>
  <c r="S219" i="57" s="1"/>
  <c r="P222" i="57"/>
  <c r="U222" i="57" s="1"/>
  <c r="S222" i="57" s="1"/>
  <c r="N216" i="57"/>
  <c r="P217" i="57"/>
  <c r="U217" i="57" s="1"/>
  <c r="P218" i="57"/>
  <c r="U218" i="57" s="1"/>
  <c r="S218" i="57" s="1"/>
  <c r="U212" i="102"/>
  <c r="S206" i="102"/>
  <c r="S212" i="102" s="1"/>
  <c r="S190" i="59"/>
  <c r="S196" i="59" s="1"/>
  <c r="U196" i="59"/>
  <c r="U191" i="85"/>
  <c r="S185" i="85"/>
  <c r="S191" i="85" s="1"/>
  <c r="S188" i="60"/>
  <c r="S194" i="60" s="1"/>
  <c r="U194" i="60"/>
  <c r="P202" i="59"/>
  <c r="U202" i="59" s="1"/>
  <c r="S202" i="59" s="1"/>
  <c r="P200" i="59"/>
  <c r="U200" i="59" s="1"/>
  <c r="S200" i="59" s="1"/>
  <c r="P199" i="59"/>
  <c r="U199" i="59" s="1"/>
  <c r="S199" i="59" s="1"/>
  <c r="P203" i="59"/>
  <c r="U203" i="59" s="1"/>
  <c r="S203" i="59" s="1"/>
  <c r="N197" i="59"/>
  <c r="P198" i="59"/>
  <c r="U198" i="59" s="1"/>
  <c r="P201" i="59"/>
  <c r="U201" i="59" s="1"/>
  <c r="S201" i="59" s="1"/>
  <c r="Z205" i="59"/>
  <c r="P216" i="102"/>
  <c r="U216" i="102" s="1"/>
  <c r="S216" i="102" s="1"/>
  <c r="N213" i="102"/>
  <c r="Z221" i="102"/>
  <c r="P219" i="102"/>
  <c r="U219" i="102" s="1"/>
  <c r="S219" i="102" s="1"/>
  <c r="P215" i="102"/>
  <c r="U215" i="102" s="1"/>
  <c r="S215" i="102" s="1"/>
  <c r="P218" i="102"/>
  <c r="U218" i="102" s="1"/>
  <c r="S218" i="102" s="1"/>
  <c r="P217" i="102"/>
  <c r="U217" i="102" s="1"/>
  <c r="S217" i="102" s="1"/>
  <c r="P214" i="102"/>
  <c r="U214" i="102" s="1"/>
  <c r="U224" i="79"/>
  <c r="S218" i="79"/>
  <c r="S224" i="79" s="1"/>
  <c r="P193" i="85"/>
  <c r="U193" i="85" s="1"/>
  <c r="P194" i="85"/>
  <c r="U194" i="85" s="1"/>
  <c r="S194" i="85" s="1"/>
  <c r="Z200" i="85"/>
  <c r="P197" i="85"/>
  <c r="U197" i="85" s="1"/>
  <c r="S197" i="85" s="1"/>
  <c r="N192" i="85"/>
  <c r="P195" i="85"/>
  <c r="U195" i="85" s="1"/>
  <c r="S195" i="85" s="1"/>
  <c r="P196" i="85"/>
  <c r="U196" i="85" s="1"/>
  <c r="S196" i="85" s="1"/>
  <c r="P198" i="85"/>
  <c r="U198" i="85" s="1"/>
  <c r="S198" i="85" s="1"/>
  <c r="S209" i="57"/>
  <c r="S215" i="57" s="1"/>
  <c r="U215" i="57"/>
  <c r="S233" i="82"/>
  <c r="S239" i="82" s="1"/>
  <c r="U239" i="82"/>
  <c r="P214" i="92"/>
  <c r="U214" i="92" s="1"/>
  <c r="P219" i="92"/>
  <c r="U219" i="92" s="1"/>
  <c r="S219" i="92" s="1"/>
  <c r="P215" i="92"/>
  <c r="U215" i="92" s="1"/>
  <c r="S215" i="92" s="1"/>
  <c r="P216" i="92"/>
  <c r="U216" i="92" s="1"/>
  <c r="S216" i="92" s="1"/>
  <c r="P218" i="92"/>
  <c r="U218" i="92" s="1"/>
  <c r="S218" i="92" s="1"/>
  <c r="Z221" i="92"/>
  <c r="P217" i="92"/>
  <c r="U217" i="92" s="1"/>
  <c r="S217" i="92" s="1"/>
  <c r="N213" i="92"/>
  <c r="S206" i="92"/>
  <c r="S212" i="92" s="1"/>
  <c r="U212" i="92"/>
  <c r="S175" i="90"/>
  <c r="S181" i="90" s="1"/>
  <c r="U181" i="90"/>
  <c r="P188" i="90"/>
  <c r="U188" i="90" s="1"/>
  <c r="S188" i="90" s="1"/>
  <c r="N182" i="90"/>
  <c r="P184" i="90"/>
  <c r="U184" i="90" s="1"/>
  <c r="S184" i="90" s="1"/>
  <c r="P183" i="90"/>
  <c r="U183" i="90" s="1"/>
  <c r="P187" i="90"/>
  <c r="U187" i="90" s="1"/>
  <c r="S187" i="90" s="1"/>
  <c r="P185" i="90"/>
  <c r="U185" i="90" s="1"/>
  <c r="S185" i="90" s="1"/>
  <c r="P186" i="90"/>
  <c r="U186" i="90" s="1"/>
  <c r="S186" i="90" s="1"/>
  <c r="S213" i="63"/>
  <c r="S219" i="63" s="1"/>
  <c r="U219" i="63"/>
  <c r="P222" i="63"/>
  <c r="U222" i="63" s="1"/>
  <c r="S222" i="63" s="1"/>
  <c r="P223" i="63"/>
  <c r="U223" i="63" s="1"/>
  <c r="S223" i="63" s="1"/>
  <c r="P225" i="63"/>
  <c r="U225" i="63" s="1"/>
  <c r="S225" i="63" s="1"/>
  <c r="P226" i="63"/>
  <c r="U226" i="63" s="1"/>
  <c r="S226" i="63" s="1"/>
  <c r="N220" i="63"/>
  <c r="Z228" i="63"/>
  <c r="P221" i="63"/>
  <c r="U221" i="63" s="1"/>
  <c r="P224" i="63"/>
  <c r="U224" i="63" s="1"/>
  <c r="S224" i="63" s="1"/>
  <c r="P202" i="95"/>
  <c r="U202" i="95" s="1"/>
  <c r="S202" i="95" s="1"/>
  <c r="P200" i="95"/>
  <c r="U200" i="95" s="1"/>
  <c r="S200" i="95" s="1"/>
  <c r="N196" i="95"/>
  <c r="P201" i="95"/>
  <c r="U201" i="95" s="1"/>
  <c r="S201" i="95" s="1"/>
  <c r="P197" i="95"/>
  <c r="U197" i="95" s="1"/>
  <c r="P198" i="95"/>
  <c r="U198" i="95" s="1"/>
  <c r="S198" i="95" s="1"/>
  <c r="P199" i="95"/>
  <c r="U199" i="95" s="1"/>
  <c r="S199" i="95" s="1"/>
  <c r="S189" i="95"/>
  <c r="S195" i="95" s="1"/>
  <c r="U195" i="95"/>
  <c r="S189" i="108"/>
  <c r="S195" i="108" s="1"/>
  <c r="U195" i="108"/>
  <c r="Z204" i="108"/>
  <c r="N196" i="108"/>
  <c r="P201" i="108"/>
  <c r="U201" i="108" s="1"/>
  <c r="S201" i="108" s="1"/>
  <c r="P197" i="108"/>
  <c r="U197" i="108" s="1"/>
  <c r="P202" i="108"/>
  <c r="U202" i="108" s="1"/>
  <c r="S202" i="108" s="1"/>
  <c r="P200" i="108"/>
  <c r="U200" i="108" s="1"/>
  <c r="S200" i="108" s="1"/>
  <c r="P199" i="108"/>
  <c r="U199" i="108" s="1"/>
  <c r="S199" i="108" s="1"/>
  <c r="P198" i="108"/>
  <c r="U198" i="108" s="1"/>
  <c r="S198" i="108" s="1"/>
  <c r="Z212" i="70"/>
  <c r="P210" i="70"/>
  <c r="U210" i="70" s="1"/>
  <c r="S210" i="70" s="1"/>
  <c r="P207" i="70"/>
  <c r="U207" i="70" s="1"/>
  <c r="S207" i="70" s="1"/>
  <c r="P208" i="70"/>
  <c r="U208" i="70" s="1"/>
  <c r="S208" i="70" s="1"/>
  <c r="N204" i="70"/>
  <c r="P205" i="70"/>
  <c r="U205" i="70" s="1"/>
  <c r="P206" i="70"/>
  <c r="U206" i="70" s="1"/>
  <c r="S206" i="70" s="1"/>
  <c r="P209" i="70"/>
  <c r="U209" i="70" s="1"/>
  <c r="S209" i="70" s="1"/>
  <c r="N186" i="111"/>
  <c r="Z194" i="111"/>
  <c r="P189" i="111"/>
  <c r="U189" i="111" s="1"/>
  <c r="S189" i="111" s="1"/>
  <c r="P187" i="111"/>
  <c r="U187" i="111" s="1"/>
  <c r="P188" i="111"/>
  <c r="U188" i="111" s="1"/>
  <c r="S188" i="111" s="1"/>
  <c r="P191" i="111"/>
  <c r="U191" i="111" s="1"/>
  <c r="S191" i="111" s="1"/>
  <c r="P192" i="111"/>
  <c r="U192" i="111" s="1"/>
  <c r="S192" i="111" s="1"/>
  <c r="P190" i="111"/>
  <c r="U190" i="111" s="1"/>
  <c r="S190" i="111" s="1"/>
  <c r="P204" i="81"/>
  <c r="U204" i="81" s="1"/>
  <c r="S204" i="81" s="1"/>
  <c r="P206" i="81"/>
  <c r="U206" i="81" s="1"/>
  <c r="S206" i="81" s="1"/>
  <c r="N200" i="81"/>
  <c r="Z208" i="81"/>
  <c r="P205" i="81"/>
  <c r="U205" i="81" s="1"/>
  <c r="S205" i="81" s="1"/>
  <c r="P201" i="81"/>
  <c r="U201" i="81" s="1"/>
  <c r="P202" i="81"/>
  <c r="U202" i="81" s="1"/>
  <c r="S202" i="81" s="1"/>
  <c r="P203" i="81"/>
  <c r="U203" i="81" s="1"/>
  <c r="S203" i="81" s="1"/>
  <c r="P208" i="98"/>
  <c r="U208" i="98" s="1"/>
  <c r="S208" i="98" s="1"/>
  <c r="P211" i="98"/>
  <c r="U211" i="98" s="1"/>
  <c r="S211" i="98" s="1"/>
  <c r="Z213" i="98"/>
  <c r="Z221" i="98" s="1"/>
  <c r="N205" i="98"/>
  <c r="P210" i="98"/>
  <c r="U210" i="98" s="1"/>
  <c r="S210" i="98" s="1"/>
  <c r="P207" i="98"/>
  <c r="U207" i="98" s="1"/>
  <c r="S207" i="98" s="1"/>
  <c r="P206" i="98"/>
  <c r="U206" i="98" s="1"/>
  <c r="P209" i="98"/>
  <c r="U209" i="98" s="1"/>
  <c r="S209" i="98" s="1"/>
  <c r="U203" i="70"/>
  <c r="S197" i="70"/>
  <c r="S203" i="70" s="1"/>
  <c r="P191" i="89"/>
  <c r="U191" i="89" s="1"/>
  <c r="S191" i="89" s="1"/>
  <c r="P194" i="89"/>
  <c r="U194" i="89" s="1"/>
  <c r="S194" i="89" s="1"/>
  <c r="P193" i="89"/>
  <c r="U193" i="89" s="1"/>
  <c r="S193" i="89" s="1"/>
  <c r="N189" i="89"/>
  <c r="P190" i="89"/>
  <c r="U190" i="89" s="1"/>
  <c r="P195" i="89"/>
  <c r="U195" i="89" s="1"/>
  <c r="S195" i="89" s="1"/>
  <c r="P192" i="89"/>
  <c r="U192" i="89" s="1"/>
  <c r="S192" i="89" s="1"/>
  <c r="Z197" i="89"/>
  <c r="S193" i="81"/>
  <c r="S199" i="81" s="1"/>
  <c r="U199" i="81"/>
  <c r="AF208" i="36"/>
  <c r="U188" i="89"/>
  <c r="S182" i="89"/>
  <c r="S188" i="89" s="1"/>
  <c r="U185" i="111"/>
  <c r="S179" i="111"/>
  <c r="S185" i="111" s="1"/>
  <c r="P214" i="88"/>
  <c r="U214" i="88" s="1"/>
  <c r="Z221" i="88"/>
  <c r="N213" i="88"/>
  <c r="P218" i="88"/>
  <c r="U218" i="88" s="1"/>
  <c r="S218" i="88" s="1"/>
  <c r="P216" i="88"/>
  <c r="U216" i="88" s="1"/>
  <c r="S216" i="88" s="1"/>
  <c r="P215" i="88"/>
  <c r="U215" i="88" s="1"/>
  <c r="S215" i="88" s="1"/>
  <c r="P219" i="88"/>
  <c r="U219" i="88" s="1"/>
  <c r="S219" i="88" s="1"/>
  <c r="P217" i="88"/>
  <c r="U217" i="88" s="1"/>
  <c r="S217" i="88" s="1"/>
  <c r="P203" i="77"/>
  <c r="U203" i="77" s="1"/>
  <c r="S203" i="77" s="1"/>
  <c r="Z209" i="77"/>
  <c r="P206" i="77"/>
  <c r="U206" i="77" s="1"/>
  <c r="S206" i="77" s="1"/>
  <c r="N201" i="77"/>
  <c r="P202" i="77"/>
  <c r="U202" i="77" s="1"/>
  <c r="P205" i="77"/>
  <c r="U205" i="77" s="1"/>
  <c r="S205" i="77" s="1"/>
  <c r="P204" i="77"/>
  <c r="U204" i="77" s="1"/>
  <c r="S204" i="77" s="1"/>
  <c r="P207" i="77"/>
  <c r="U207" i="77" s="1"/>
  <c r="S207" i="77" s="1"/>
  <c r="S194" i="77"/>
  <c r="S200" i="77" s="1"/>
  <c r="U200" i="77"/>
  <c r="U204" i="98"/>
  <c r="S198" i="98"/>
  <c r="S204" i="98" s="1"/>
  <c r="U212" i="88"/>
  <c r="S206" i="88"/>
  <c r="S212" i="88" s="1"/>
  <c r="Z229" i="98" l="1"/>
  <c r="P224" i="98"/>
  <c r="U224" i="98" s="1"/>
  <c r="S224" i="98" s="1"/>
  <c r="N221" i="98"/>
  <c r="P226" i="98"/>
  <c r="U226" i="98" s="1"/>
  <c r="S226" i="98" s="1"/>
  <c r="P223" i="98"/>
  <c r="U223" i="98" s="1"/>
  <c r="S223" i="98" s="1"/>
  <c r="P225" i="98"/>
  <c r="U225" i="98" s="1"/>
  <c r="S225" i="98" s="1"/>
  <c r="P222" i="98"/>
  <c r="U222" i="98" s="1"/>
  <c r="P227" i="98"/>
  <c r="U227" i="98" s="1"/>
  <c r="S227" i="98" s="1"/>
  <c r="P230" i="109"/>
  <c r="U230" i="109" s="1"/>
  <c r="S230" i="109" s="1"/>
  <c r="P231" i="109"/>
  <c r="U231" i="109" s="1"/>
  <c r="S231" i="109" s="1"/>
  <c r="Z234" i="109"/>
  <c r="P227" i="109"/>
  <c r="U227" i="109" s="1"/>
  <c r="P228" i="109"/>
  <c r="U228" i="109" s="1"/>
  <c r="S228" i="109" s="1"/>
  <c r="N226" i="109"/>
  <c r="P232" i="109"/>
  <c r="U232" i="109" s="1"/>
  <c r="S232" i="109" s="1"/>
  <c r="P229" i="109"/>
  <c r="U229" i="109" s="1"/>
  <c r="S229" i="109" s="1"/>
  <c r="S219" i="109"/>
  <c r="S225" i="109" s="1"/>
  <c r="U225" i="109"/>
  <c r="P229" i="96"/>
  <c r="U229" i="96" s="1"/>
  <c r="S229" i="96" s="1"/>
  <c r="P230" i="96"/>
  <c r="U230" i="96" s="1"/>
  <c r="S230" i="96" s="1"/>
  <c r="P225" i="96"/>
  <c r="U225" i="96" s="1"/>
  <c r="P226" i="96"/>
  <c r="U226" i="96" s="1"/>
  <c r="S226" i="96" s="1"/>
  <c r="P227" i="96"/>
  <c r="U227" i="96" s="1"/>
  <c r="S227" i="96" s="1"/>
  <c r="P228" i="96"/>
  <c r="U228" i="96" s="1"/>
  <c r="S228" i="96" s="1"/>
  <c r="Z232" i="96"/>
  <c r="N224" i="96"/>
  <c r="S217" i="96"/>
  <c r="S223" i="96" s="1"/>
  <c r="U223" i="96"/>
  <c r="P234" i="86"/>
  <c r="U234" i="86" s="1"/>
  <c r="S234" i="86" s="1"/>
  <c r="P230" i="86"/>
  <c r="U230" i="86" s="1"/>
  <c r="S230" i="86" s="1"/>
  <c r="P231" i="86"/>
  <c r="U231" i="86" s="1"/>
  <c r="S231" i="86" s="1"/>
  <c r="P233" i="86"/>
  <c r="U233" i="86" s="1"/>
  <c r="S233" i="86" s="1"/>
  <c r="P229" i="86"/>
  <c r="U229" i="86" s="1"/>
  <c r="N228" i="86"/>
  <c r="P232" i="86"/>
  <c r="U232" i="86" s="1"/>
  <c r="S232" i="86" s="1"/>
  <c r="Z236" i="86"/>
  <c r="S221" i="86"/>
  <c r="S227" i="86" s="1"/>
  <c r="U227" i="86"/>
  <c r="N211" i="84"/>
  <c r="P217" i="84"/>
  <c r="U217" i="84" s="1"/>
  <c r="S217" i="84" s="1"/>
  <c r="P212" i="84"/>
  <c r="U212" i="84" s="1"/>
  <c r="P215" i="84"/>
  <c r="U215" i="84" s="1"/>
  <c r="S215" i="84" s="1"/>
  <c r="P214" i="84"/>
  <c r="U214" i="84" s="1"/>
  <c r="S214" i="84" s="1"/>
  <c r="Z219" i="84"/>
  <c r="P216" i="84"/>
  <c r="U216" i="84" s="1"/>
  <c r="S216" i="84" s="1"/>
  <c r="P213" i="84"/>
  <c r="U213" i="84" s="1"/>
  <c r="S213" i="84" s="1"/>
  <c r="S204" i="84"/>
  <c r="S210" i="84" s="1"/>
  <c r="U210" i="84"/>
  <c r="P236" i="78"/>
  <c r="U236" i="78" s="1"/>
  <c r="S236" i="78" s="1"/>
  <c r="P233" i="78"/>
  <c r="U233" i="78" s="1"/>
  <c r="S233" i="78" s="1"/>
  <c r="P237" i="78"/>
  <c r="U237" i="78" s="1"/>
  <c r="S237" i="78" s="1"/>
  <c r="N231" i="78"/>
  <c r="P235" i="78"/>
  <c r="U235" i="78" s="1"/>
  <c r="S235" i="78" s="1"/>
  <c r="P232" i="78"/>
  <c r="U232" i="78" s="1"/>
  <c r="P234" i="78"/>
  <c r="U234" i="78" s="1"/>
  <c r="S234" i="78" s="1"/>
  <c r="Z239" i="78"/>
  <c r="S224" i="78"/>
  <c r="S230" i="78" s="1"/>
  <c r="U230" i="78"/>
  <c r="S196" i="75"/>
  <c r="S202" i="75" s="1"/>
  <c r="U202" i="75"/>
  <c r="N208" i="74"/>
  <c r="P211" i="74"/>
  <c r="U211" i="74" s="1"/>
  <c r="S211" i="74" s="1"/>
  <c r="P210" i="74"/>
  <c r="U210" i="74" s="1"/>
  <c r="S210" i="74" s="1"/>
  <c r="P212" i="74"/>
  <c r="U212" i="74" s="1"/>
  <c r="S212" i="74" s="1"/>
  <c r="P209" i="74"/>
  <c r="U209" i="74" s="1"/>
  <c r="P213" i="74"/>
  <c r="U213" i="74" s="1"/>
  <c r="S213" i="74" s="1"/>
  <c r="P214" i="74"/>
  <c r="U214" i="74" s="1"/>
  <c r="S214" i="74" s="1"/>
  <c r="Z216" i="74"/>
  <c r="U207" i="74"/>
  <c r="S201" i="74"/>
  <c r="S207" i="74" s="1"/>
  <c r="N203" i="73"/>
  <c r="Z211" i="73"/>
  <c r="P207" i="73"/>
  <c r="U207" i="73" s="1"/>
  <c r="S207" i="73" s="1"/>
  <c r="P204" i="73"/>
  <c r="U204" i="73" s="1"/>
  <c r="P206" i="73"/>
  <c r="U206" i="73" s="1"/>
  <c r="S206" i="73" s="1"/>
  <c r="P209" i="73"/>
  <c r="U209" i="73" s="1"/>
  <c r="S209" i="73" s="1"/>
  <c r="P208" i="73"/>
  <c r="U208" i="73" s="1"/>
  <c r="S208" i="73" s="1"/>
  <c r="P205" i="73"/>
  <c r="U205" i="73" s="1"/>
  <c r="S205" i="73" s="1"/>
  <c r="S196" i="73"/>
  <c r="S202" i="73" s="1"/>
  <c r="U202" i="73"/>
  <c r="S184" i="69"/>
  <c r="S190" i="69" s="1"/>
  <c r="U190" i="69"/>
  <c r="P195" i="69"/>
  <c r="U195" i="69" s="1"/>
  <c r="S195" i="69" s="1"/>
  <c r="N191" i="69"/>
  <c r="P194" i="69"/>
  <c r="U194" i="69" s="1"/>
  <c r="S194" i="69" s="1"/>
  <c r="P192" i="69"/>
  <c r="U192" i="69" s="1"/>
  <c r="Z199" i="69"/>
  <c r="P197" i="69"/>
  <c r="U197" i="69" s="1"/>
  <c r="S197" i="69" s="1"/>
  <c r="P193" i="69"/>
  <c r="U193" i="69" s="1"/>
  <c r="S193" i="69" s="1"/>
  <c r="P196" i="69"/>
  <c r="U196" i="69" s="1"/>
  <c r="S196" i="69" s="1"/>
  <c r="U209" i="34"/>
  <c r="S203" i="34"/>
  <c r="S209" i="34" s="1"/>
  <c r="P214" i="34"/>
  <c r="U214" i="34" s="1"/>
  <c r="S214" i="34" s="1"/>
  <c r="P215" i="34"/>
  <c r="U215" i="34" s="1"/>
  <c r="S215" i="34" s="1"/>
  <c r="N210" i="34"/>
  <c r="P213" i="34"/>
  <c r="U213" i="34" s="1"/>
  <c r="S213" i="34" s="1"/>
  <c r="P216" i="34"/>
  <c r="U216" i="34" s="1"/>
  <c r="S216" i="34" s="1"/>
  <c r="P212" i="34"/>
  <c r="U212" i="34" s="1"/>
  <c r="S212" i="34" s="1"/>
  <c r="Z218" i="34"/>
  <c r="P211" i="34"/>
  <c r="U211" i="34" s="1"/>
  <c r="U183" i="61"/>
  <c r="S177" i="61"/>
  <c r="S183" i="61" s="1"/>
  <c r="P207" i="59"/>
  <c r="U207" i="59" s="1"/>
  <c r="S207" i="59" s="1"/>
  <c r="P209" i="59"/>
  <c r="U209" i="59" s="1"/>
  <c r="S209" i="59" s="1"/>
  <c r="Z213" i="59"/>
  <c r="P211" i="59"/>
  <c r="U211" i="59" s="1"/>
  <c r="S211" i="59" s="1"/>
  <c r="P208" i="59"/>
  <c r="U208" i="59" s="1"/>
  <c r="S208" i="59" s="1"/>
  <c r="N205" i="59"/>
  <c r="P206" i="59"/>
  <c r="U206" i="59" s="1"/>
  <c r="P210" i="59"/>
  <c r="U210" i="59" s="1"/>
  <c r="S210" i="59" s="1"/>
  <c r="U202" i="60"/>
  <c r="S196" i="60"/>
  <c r="S202" i="60" s="1"/>
  <c r="N200" i="85"/>
  <c r="P206" i="85"/>
  <c r="U206" i="85" s="1"/>
  <c r="S206" i="85" s="1"/>
  <c r="P201" i="85"/>
  <c r="U201" i="85" s="1"/>
  <c r="P202" i="85"/>
  <c r="U202" i="85" s="1"/>
  <c r="S202" i="85" s="1"/>
  <c r="P205" i="85"/>
  <c r="U205" i="85" s="1"/>
  <c r="S205" i="85" s="1"/>
  <c r="P203" i="85"/>
  <c r="U203" i="85" s="1"/>
  <c r="S203" i="85" s="1"/>
  <c r="Z208" i="85"/>
  <c r="P204" i="85"/>
  <c r="U204" i="85" s="1"/>
  <c r="S204" i="85" s="1"/>
  <c r="S217" i="57"/>
  <c r="S223" i="57" s="1"/>
  <c r="U223" i="57"/>
  <c r="S226" i="79"/>
  <c r="S232" i="79" s="1"/>
  <c r="U232" i="79"/>
  <c r="P204" i="60"/>
  <c r="U204" i="60" s="1"/>
  <c r="P205" i="60"/>
  <c r="U205" i="60" s="1"/>
  <c r="S205" i="60" s="1"/>
  <c r="P208" i="60"/>
  <c r="U208" i="60" s="1"/>
  <c r="S208" i="60" s="1"/>
  <c r="P207" i="60"/>
  <c r="U207" i="60" s="1"/>
  <c r="S207" i="60" s="1"/>
  <c r="P209" i="60"/>
  <c r="U209" i="60" s="1"/>
  <c r="S209" i="60" s="1"/>
  <c r="P206" i="60"/>
  <c r="U206" i="60" s="1"/>
  <c r="S206" i="60" s="1"/>
  <c r="N203" i="60"/>
  <c r="S214" i="102"/>
  <c r="S220" i="102" s="1"/>
  <c r="U220" i="102"/>
  <c r="U204" i="59"/>
  <c r="S198" i="59"/>
  <c r="S204" i="59" s="1"/>
  <c r="S193" i="85"/>
  <c r="S199" i="85" s="1"/>
  <c r="U199" i="85"/>
  <c r="P226" i="102"/>
  <c r="U226" i="102" s="1"/>
  <c r="S226" i="102" s="1"/>
  <c r="P224" i="102"/>
  <c r="U224" i="102" s="1"/>
  <c r="S224" i="102" s="1"/>
  <c r="Z229" i="102"/>
  <c r="P222" i="102"/>
  <c r="U222" i="102" s="1"/>
  <c r="N221" i="102"/>
  <c r="P227" i="102"/>
  <c r="U227" i="102" s="1"/>
  <c r="S227" i="102" s="1"/>
  <c r="P225" i="102"/>
  <c r="U225" i="102" s="1"/>
  <c r="S225" i="102" s="1"/>
  <c r="P223" i="102"/>
  <c r="U223" i="102" s="1"/>
  <c r="S223" i="102" s="1"/>
  <c r="P229" i="57"/>
  <c r="U229" i="57" s="1"/>
  <c r="S229" i="57" s="1"/>
  <c r="P230" i="57"/>
  <c r="U230" i="57" s="1"/>
  <c r="S230" i="57" s="1"/>
  <c r="P228" i="57"/>
  <c r="U228" i="57" s="1"/>
  <c r="S228" i="57" s="1"/>
  <c r="P227" i="57"/>
  <c r="U227" i="57" s="1"/>
  <c r="S227" i="57" s="1"/>
  <c r="N224" i="57"/>
  <c r="Z232" i="57"/>
  <c r="P225" i="57"/>
  <c r="U225" i="57" s="1"/>
  <c r="P226" i="57"/>
  <c r="U226" i="57" s="1"/>
  <c r="S226" i="57" s="1"/>
  <c r="S197" i="95"/>
  <c r="S203" i="95" s="1"/>
  <c r="U5" i="95" s="1" a="1"/>
  <c r="U5" i="95" s="1"/>
  <c r="U203" i="95"/>
  <c r="S221" i="63"/>
  <c r="S227" i="63" s="1"/>
  <c r="U227" i="63"/>
  <c r="P229" i="63"/>
  <c r="U229" i="63" s="1"/>
  <c r="N228" i="63"/>
  <c r="P233" i="63"/>
  <c r="U233" i="63" s="1"/>
  <c r="S233" i="63" s="1"/>
  <c r="P231" i="63"/>
  <c r="U231" i="63" s="1"/>
  <c r="S231" i="63" s="1"/>
  <c r="P234" i="63"/>
  <c r="U234" i="63" s="1"/>
  <c r="S234" i="63" s="1"/>
  <c r="P230" i="63"/>
  <c r="U230" i="63" s="1"/>
  <c r="S230" i="63" s="1"/>
  <c r="P232" i="63"/>
  <c r="U232" i="63" s="1"/>
  <c r="S232" i="63" s="1"/>
  <c r="Z236" i="63"/>
  <c r="S183" i="90"/>
  <c r="S189" i="90" s="1"/>
  <c r="U189" i="90"/>
  <c r="P222" i="92"/>
  <c r="U222" i="92" s="1"/>
  <c r="Z229" i="92"/>
  <c r="P224" i="92"/>
  <c r="U224" i="92" s="1"/>
  <c r="S224" i="92" s="1"/>
  <c r="N221" i="92"/>
  <c r="P225" i="92"/>
  <c r="U225" i="92" s="1"/>
  <c r="S225" i="92" s="1"/>
  <c r="P226" i="92"/>
  <c r="U226" i="92" s="1"/>
  <c r="S226" i="92" s="1"/>
  <c r="P227" i="92"/>
  <c r="U227" i="92" s="1"/>
  <c r="S227" i="92" s="1"/>
  <c r="P223" i="92"/>
  <c r="U223" i="92" s="1"/>
  <c r="S223" i="92" s="1"/>
  <c r="S214" i="92"/>
  <c r="S220" i="92" s="1"/>
  <c r="U220" i="92"/>
  <c r="S197" i="108"/>
  <c r="S203" i="108" s="1"/>
  <c r="U203" i="108"/>
  <c r="N204" i="108"/>
  <c r="Z212" i="108"/>
  <c r="P210" i="108"/>
  <c r="U210" i="108" s="1"/>
  <c r="S210" i="108" s="1"/>
  <c r="P209" i="108"/>
  <c r="U209" i="108" s="1"/>
  <c r="S209" i="108" s="1"/>
  <c r="P205" i="108"/>
  <c r="U205" i="108" s="1"/>
  <c r="P208" i="108"/>
  <c r="U208" i="108" s="1"/>
  <c r="S208" i="108" s="1"/>
  <c r="P207" i="108"/>
  <c r="U207" i="108" s="1"/>
  <c r="S207" i="108" s="1"/>
  <c r="P206" i="108"/>
  <c r="U206" i="108" s="1"/>
  <c r="S206" i="108" s="1"/>
  <c r="U220" i="88"/>
  <c r="S214" i="88"/>
  <c r="S220" i="88" s="1"/>
  <c r="P215" i="77"/>
  <c r="U215" i="77" s="1"/>
  <c r="S215" i="77" s="1"/>
  <c r="P211" i="77"/>
  <c r="U211" i="77" s="1"/>
  <c r="S211" i="77" s="1"/>
  <c r="P212" i="77"/>
  <c r="U212" i="77" s="1"/>
  <c r="S212" i="77" s="1"/>
  <c r="Z217" i="77"/>
  <c r="P213" i="77"/>
  <c r="U213" i="77" s="1"/>
  <c r="S213" i="77" s="1"/>
  <c r="N209" i="77"/>
  <c r="P210" i="77"/>
  <c r="U210" i="77" s="1"/>
  <c r="P214" i="77"/>
  <c r="U214" i="77" s="1"/>
  <c r="S214" i="77" s="1"/>
  <c r="S201" i="81"/>
  <c r="S207" i="81" s="1"/>
  <c r="U207" i="81"/>
  <c r="N194" i="111"/>
  <c r="P196" i="111"/>
  <c r="U196" i="111" s="1"/>
  <c r="S196" i="111" s="1"/>
  <c r="P197" i="111"/>
  <c r="U197" i="111" s="1"/>
  <c r="S197" i="111" s="1"/>
  <c r="P195" i="111"/>
  <c r="U195" i="111" s="1"/>
  <c r="P198" i="111"/>
  <c r="U198" i="111" s="1"/>
  <c r="S198" i="111" s="1"/>
  <c r="P199" i="111"/>
  <c r="U199" i="111" s="1"/>
  <c r="S199" i="111" s="1"/>
  <c r="P200" i="111"/>
  <c r="U200" i="111" s="1"/>
  <c r="S200" i="111" s="1"/>
  <c r="S205" i="70"/>
  <c r="S211" i="70" s="1"/>
  <c r="U211" i="70"/>
  <c r="S202" i="77"/>
  <c r="S208" i="77" s="1"/>
  <c r="W8" i="77" s="1" a="1"/>
  <c r="W8" i="77" s="1"/>
  <c r="U208" i="77"/>
  <c r="S190" i="89"/>
  <c r="S196" i="89" s="1"/>
  <c r="U196" i="89"/>
  <c r="S206" i="98"/>
  <c r="S212" i="98" s="1"/>
  <c r="U212" i="98"/>
  <c r="P219" i="98"/>
  <c r="U219" i="98" s="1"/>
  <c r="S219" i="98" s="1"/>
  <c r="P216" i="98"/>
  <c r="U216" i="98" s="1"/>
  <c r="S216" i="98" s="1"/>
  <c r="P215" i="98"/>
  <c r="U215" i="98" s="1"/>
  <c r="S215" i="98" s="1"/>
  <c r="P217" i="98"/>
  <c r="U217" i="98" s="1"/>
  <c r="S217" i="98" s="1"/>
  <c r="P218" i="98"/>
  <c r="U218" i="98" s="1"/>
  <c r="S218" i="98" s="1"/>
  <c r="P214" i="98"/>
  <c r="U214" i="98" s="1"/>
  <c r="N213" i="98"/>
  <c r="P215" i="70"/>
  <c r="U215" i="70" s="1"/>
  <c r="S215" i="70" s="1"/>
  <c r="P218" i="70"/>
  <c r="U218" i="70" s="1"/>
  <c r="S218" i="70" s="1"/>
  <c r="P214" i="70"/>
  <c r="U214" i="70" s="1"/>
  <c r="S214" i="70" s="1"/>
  <c r="P213" i="70"/>
  <c r="U213" i="70" s="1"/>
  <c r="P216" i="70"/>
  <c r="U216" i="70" s="1"/>
  <c r="S216" i="70" s="1"/>
  <c r="P217" i="70"/>
  <c r="U217" i="70" s="1"/>
  <c r="S217" i="70" s="1"/>
  <c r="N212" i="70"/>
  <c r="Z220" i="70"/>
  <c r="Z229" i="88"/>
  <c r="P225" i="88"/>
  <c r="U225" i="88" s="1"/>
  <c r="S225" i="88" s="1"/>
  <c r="P222" i="88"/>
  <c r="U222" i="88" s="1"/>
  <c r="N221" i="88"/>
  <c r="P226" i="88"/>
  <c r="U226" i="88" s="1"/>
  <c r="S226" i="88" s="1"/>
  <c r="P224" i="88"/>
  <c r="U224" i="88" s="1"/>
  <c r="S224" i="88" s="1"/>
  <c r="P227" i="88"/>
  <c r="U227" i="88" s="1"/>
  <c r="S227" i="88" s="1"/>
  <c r="P223" i="88"/>
  <c r="U223" i="88" s="1"/>
  <c r="S223" i="88" s="1"/>
  <c r="AF216" i="36"/>
  <c r="N197" i="89"/>
  <c r="Z205" i="89"/>
  <c r="P199" i="89"/>
  <c r="U199" i="89" s="1"/>
  <c r="S199" i="89" s="1"/>
  <c r="P200" i="89"/>
  <c r="U200" i="89" s="1"/>
  <c r="S200" i="89" s="1"/>
  <c r="P203" i="89"/>
  <c r="U203" i="89" s="1"/>
  <c r="S203" i="89" s="1"/>
  <c r="P198" i="89"/>
  <c r="U198" i="89" s="1"/>
  <c r="P201" i="89"/>
  <c r="U201" i="89" s="1"/>
  <c r="S201" i="89" s="1"/>
  <c r="P202" i="89"/>
  <c r="U202" i="89" s="1"/>
  <c r="S202" i="89" s="1"/>
  <c r="P209" i="81"/>
  <c r="U209" i="81" s="1"/>
  <c r="Z216" i="81"/>
  <c r="N208" i="81"/>
  <c r="P211" i="81"/>
  <c r="U211" i="81" s="1"/>
  <c r="S211" i="81" s="1"/>
  <c r="P210" i="81"/>
  <c r="U210" i="81" s="1"/>
  <c r="S210" i="81" s="1"/>
  <c r="P213" i="81"/>
  <c r="U213" i="81" s="1"/>
  <c r="S213" i="81" s="1"/>
  <c r="P212" i="81"/>
  <c r="U212" i="81" s="1"/>
  <c r="S212" i="81" s="1"/>
  <c r="P214" i="81"/>
  <c r="U214" i="81" s="1"/>
  <c r="S214" i="81" s="1"/>
  <c r="U193" i="111"/>
  <c r="S187" i="111"/>
  <c r="S193" i="111" s="1"/>
  <c r="S227" i="109" l="1"/>
  <c r="S233" i="109" s="1"/>
  <c r="U233" i="109"/>
  <c r="P238" i="109"/>
  <c r="U238" i="109" s="1"/>
  <c r="S238" i="109" s="1"/>
  <c r="P239" i="109"/>
  <c r="U239" i="109" s="1"/>
  <c r="S239" i="109" s="1"/>
  <c r="Z242" i="109"/>
  <c r="P235" i="109"/>
  <c r="U235" i="109" s="1"/>
  <c r="P236" i="109"/>
  <c r="U236" i="109" s="1"/>
  <c r="S236" i="109" s="1"/>
  <c r="P237" i="109"/>
  <c r="U237" i="109" s="1"/>
  <c r="S237" i="109" s="1"/>
  <c r="P240" i="109"/>
  <c r="U240" i="109" s="1"/>
  <c r="S240" i="109" s="1"/>
  <c r="N234" i="109"/>
  <c r="S222" i="98"/>
  <c r="S228" i="98" s="1"/>
  <c r="U228" i="98"/>
  <c r="Z237" i="98"/>
  <c r="N229" i="98"/>
  <c r="P234" i="98"/>
  <c r="U234" i="98" s="1"/>
  <c r="S234" i="98" s="1"/>
  <c r="P235" i="98"/>
  <c r="U235" i="98" s="1"/>
  <c r="S235" i="98" s="1"/>
  <c r="P233" i="98"/>
  <c r="U233" i="98" s="1"/>
  <c r="S233" i="98" s="1"/>
  <c r="P231" i="98"/>
  <c r="U231" i="98" s="1"/>
  <c r="S231" i="98" s="1"/>
  <c r="P230" i="98"/>
  <c r="U230" i="98" s="1"/>
  <c r="P232" i="98"/>
  <c r="U232" i="98" s="1"/>
  <c r="S232" i="98" s="1"/>
  <c r="N232" i="96"/>
  <c r="P238" i="96"/>
  <c r="U238" i="96" s="1"/>
  <c r="S238" i="96" s="1"/>
  <c r="P233" i="96"/>
  <c r="U233" i="96" s="1"/>
  <c r="P236" i="96"/>
  <c r="U236" i="96" s="1"/>
  <c r="S236" i="96" s="1"/>
  <c r="P237" i="96"/>
  <c r="U237" i="96" s="1"/>
  <c r="S237" i="96" s="1"/>
  <c r="Z240" i="96"/>
  <c r="P234" i="96"/>
  <c r="U234" i="96" s="1"/>
  <c r="S234" i="96" s="1"/>
  <c r="P235" i="96"/>
  <c r="U235" i="96" s="1"/>
  <c r="S235" i="96" s="1"/>
  <c r="S225" i="96"/>
  <c r="S231" i="96" s="1"/>
  <c r="U231" i="96"/>
  <c r="P241" i="86"/>
  <c r="U241" i="86" s="1"/>
  <c r="S241" i="86" s="1"/>
  <c r="P237" i="86"/>
  <c r="U237" i="86" s="1"/>
  <c r="P242" i="86"/>
  <c r="U242" i="86" s="1"/>
  <c r="S242" i="86" s="1"/>
  <c r="P239" i="86"/>
  <c r="U239" i="86" s="1"/>
  <c r="S239" i="86" s="1"/>
  <c r="N236" i="86"/>
  <c r="P240" i="86"/>
  <c r="U240" i="86" s="1"/>
  <c r="S240" i="86" s="1"/>
  <c r="Z244" i="86"/>
  <c r="P238" i="86"/>
  <c r="U238" i="86" s="1"/>
  <c r="S238" i="86" s="1"/>
  <c r="S229" i="86"/>
  <c r="S235" i="86" s="1"/>
  <c r="U235" i="86"/>
  <c r="U218" i="84"/>
  <c r="S212" i="84"/>
  <c r="S218" i="84" s="1"/>
  <c r="P225" i="84"/>
  <c r="U225" i="84" s="1"/>
  <c r="S225" i="84" s="1"/>
  <c r="P222" i="84"/>
  <c r="U222" i="84" s="1"/>
  <c r="S222" i="84" s="1"/>
  <c r="P223" i="84"/>
  <c r="U223" i="84" s="1"/>
  <c r="S223" i="84" s="1"/>
  <c r="P224" i="84"/>
  <c r="U224" i="84" s="1"/>
  <c r="S224" i="84" s="1"/>
  <c r="P221" i="84"/>
  <c r="U221" i="84" s="1"/>
  <c r="S221" i="84" s="1"/>
  <c r="P220" i="84"/>
  <c r="U220" i="84" s="1"/>
  <c r="N219" i="84"/>
  <c r="Z227" i="84"/>
  <c r="P244" i="78"/>
  <c r="U244" i="78" s="1"/>
  <c r="S244" i="78" s="1"/>
  <c r="N239" i="78"/>
  <c r="P243" i="78"/>
  <c r="U243" i="78" s="1"/>
  <c r="S243" i="78" s="1"/>
  <c r="P245" i="78"/>
  <c r="U245" i="78" s="1"/>
  <c r="S245" i="78" s="1"/>
  <c r="P242" i="78"/>
  <c r="U242" i="78" s="1"/>
  <c r="S242" i="78" s="1"/>
  <c r="Z247" i="78"/>
  <c r="P240" i="78"/>
  <c r="U240" i="78" s="1"/>
  <c r="P241" i="78"/>
  <c r="U241" i="78" s="1"/>
  <c r="S241" i="78" s="1"/>
  <c r="S232" i="78"/>
  <c r="S238" i="78" s="1"/>
  <c r="U238" i="78"/>
  <c r="P220" i="74"/>
  <c r="U220" i="74" s="1"/>
  <c r="S220" i="74" s="1"/>
  <c r="P221" i="74"/>
  <c r="U221" i="74" s="1"/>
  <c r="S221" i="74" s="1"/>
  <c r="Z224" i="74"/>
  <c r="N216" i="74"/>
  <c r="P218" i="74"/>
  <c r="U218" i="74" s="1"/>
  <c r="S218" i="74" s="1"/>
  <c r="P222" i="74"/>
  <c r="U222" i="74" s="1"/>
  <c r="S222" i="74" s="1"/>
  <c r="P217" i="74"/>
  <c r="U217" i="74" s="1"/>
  <c r="P219" i="74"/>
  <c r="U219" i="74" s="1"/>
  <c r="S219" i="74" s="1"/>
  <c r="S209" i="74"/>
  <c r="S215" i="74" s="1"/>
  <c r="U215" i="74"/>
  <c r="S204" i="73"/>
  <c r="S210" i="73" s="1"/>
  <c r="U210" i="73"/>
  <c r="P212" i="73"/>
  <c r="U212" i="73" s="1"/>
  <c r="P214" i="73"/>
  <c r="U214" i="73" s="1"/>
  <c r="S214" i="73" s="1"/>
  <c r="P217" i="73"/>
  <c r="U217" i="73" s="1"/>
  <c r="S217" i="73" s="1"/>
  <c r="P215" i="73"/>
  <c r="U215" i="73" s="1"/>
  <c r="S215" i="73" s="1"/>
  <c r="Z219" i="73"/>
  <c r="P213" i="73"/>
  <c r="U213" i="73" s="1"/>
  <c r="S213" i="73" s="1"/>
  <c r="P216" i="73"/>
  <c r="U216" i="73" s="1"/>
  <c r="S216" i="73" s="1"/>
  <c r="N211" i="73"/>
  <c r="P201" i="69"/>
  <c r="U201" i="69" s="1"/>
  <c r="S201" i="69" s="1"/>
  <c r="P202" i="69"/>
  <c r="U202" i="69" s="1"/>
  <c r="S202" i="69" s="1"/>
  <c r="P204" i="69"/>
  <c r="U204" i="69" s="1"/>
  <c r="S204" i="69" s="1"/>
  <c r="P205" i="69"/>
  <c r="U205" i="69" s="1"/>
  <c r="S205" i="69" s="1"/>
  <c r="P203" i="69"/>
  <c r="U203" i="69" s="1"/>
  <c r="S203" i="69" s="1"/>
  <c r="P200" i="69"/>
  <c r="U200" i="69" s="1"/>
  <c r="N199" i="69"/>
  <c r="Z207" i="69"/>
  <c r="S192" i="69"/>
  <c r="S198" i="69" s="1"/>
  <c r="U198" i="69"/>
  <c r="U217" i="34"/>
  <c r="S211" i="34"/>
  <c r="S217" i="34" s="1"/>
  <c r="P221" i="34"/>
  <c r="U221" i="34" s="1"/>
  <c r="S221" i="34" s="1"/>
  <c r="P223" i="34"/>
  <c r="U223" i="34" s="1"/>
  <c r="S223" i="34" s="1"/>
  <c r="N218" i="34"/>
  <c r="P219" i="34"/>
  <c r="U219" i="34" s="1"/>
  <c r="P224" i="34"/>
  <c r="U224" i="34" s="1"/>
  <c r="S224" i="34" s="1"/>
  <c r="P220" i="34"/>
  <c r="U220" i="34" s="1"/>
  <c r="S220" i="34" s="1"/>
  <c r="Z226" i="34"/>
  <c r="P222" i="34"/>
  <c r="U222" i="34" s="1"/>
  <c r="S222" i="34" s="1"/>
  <c r="P234" i="57"/>
  <c r="U234" i="57" s="1"/>
  <c r="S234" i="57" s="1"/>
  <c r="P238" i="57"/>
  <c r="U238" i="57" s="1"/>
  <c r="S238" i="57" s="1"/>
  <c r="P235" i="57"/>
  <c r="U235" i="57" s="1"/>
  <c r="S235" i="57" s="1"/>
  <c r="Z240" i="57"/>
  <c r="N232" i="57"/>
  <c r="P237" i="57"/>
  <c r="U237" i="57" s="1"/>
  <c r="S237" i="57" s="1"/>
  <c r="P233" i="57"/>
  <c r="U233" i="57" s="1"/>
  <c r="P236" i="57"/>
  <c r="U236" i="57" s="1"/>
  <c r="S236" i="57" s="1"/>
  <c r="U210" i="60"/>
  <c r="S204" i="60"/>
  <c r="S210" i="60" s="1"/>
  <c r="P214" i="85"/>
  <c r="U214" i="85" s="1"/>
  <c r="S214" i="85" s="1"/>
  <c r="P210" i="85"/>
  <c r="U210" i="85" s="1"/>
  <c r="S210" i="85" s="1"/>
  <c r="P213" i="85"/>
  <c r="U213" i="85" s="1"/>
  <c r="S213" i="85" s="1"/>
  <c r="P209" i="85"/>
  <c r="U209" i="85" s="1"/>
  <c r="N208" i="85"/>
  <c r="P212" i="85"/>
  <c r="U212" i="85" s="1"/>
  <c r="S212" i="85" s="1"/>
  <c r="Z216" i="85"/>
  <c r="P211" i="85"/>
  <c r="U211" i="85" s="1"/>
  <c r="S211" i="85" s="1"/>
  <c r="U207" i="85"/>
  <c r="S201" i="85"/>
  <c r="S207" i="85" s="1"/>
  <c r="S206" i="59"/>
  <c r="S212" i="59" s="1"/>
  <c r="U212" i="59"/>
  <c r="P217" i="59"/>
  <c r="U217" i="59" s="1"/>
  <c r="S217" i="59" s="1"/>
  <c r="Z221" i="59"/>
  <c r="P214" i="59"/>
  <c r="U214" i="59" s="1"/>
  <c r="P219" i="59"/>
  <c r="U219" i="59" s="1"/>
  <c r="S219" i="59" s="1"/>
  <c r="P215" i="59"/>
  <c r="U215" i="59" s="1"/>
  <c r="S215" i="59" s="1"/>
  <c r="P218" i="59"/>
  <c r="U218" i="59" s="1"/>
  <c r="S218" i="59" s="1"/>
  <c r="P216" i="59"/>
  <c r="U216" i="59" s="1"/>
  <c r="S216" i="59" s="1"/>
  <c r="N213" i="59"/>
  <c r="S222" i="102"/>
  <c r="S228" i="102" s="1"/>
  <c r="U228" i="102"/>
  <c r="S225" i="57"/>
  <c r="S231" i="57" s="1"/>
  <c r="U231" i="57"/>
  <c r="P234" i="102"/>
  <c r="U234" i="102" s="1"/>
  <c r="S234" i="102" s="1"/>
  <c r="N229" i="102"/>
  <c r="P232" i="102"/>
  <c r="U232" i="102" s="1"/>
  <c r="S232" i="102" s="1"/>
  <c r="P233" i="102"/>
  <c r="U233" i="102" s="1"/>
  <c r="S233" i="102" s="1"/>
  <c r="Z237" i="102"/>
  <c r="P231" i="102"/>
  <c r="U231" i="102" s="1"/>
  <c r="S231" i="102" s="1"/>
  <c r="P230" i="102"/>
  <c r="U230" i="102" s="1"/>
  <c r="P235" i="102"/>
  <c r="U235" i="102" s="1"/>
  <c r="S235" i="102" s="1"/>
  <c r="P231" i="92"/>
  <c r="U231" i="92" s="1"/>
  <c r="S231" i="92" s="1"/>
  <c r="P233" i="92"/>
  <c r="U233" i="92" s="1"/>
  <c r="S233" i="92" s="1"/>
  <c r="P235" i="92"/>
  <c r="U235" i="92" s="1"/>
  <c r="S235" i="92" s="1"/>
  <c r="N229" i="92"/>
  <c r="P230" i="92"/>
  <c r="U230" i="92" s="1"/>
  <c r="Z237" i="92"/>
  <c r="P234" i="92"/>
  <c r="U234" i="92" s="1"/>
  <c r="S234" i="92" s="1"/>
  <c r="P232" i="92"/>
  <c r="U232" i="92" s="1"/>
  <c r="S232" i="92" s="1"/>
  <c r="S222" i="92"/>
  <c r="S228" i="92" s="1"/>
  <c r="U228" i="92"/>
  <c r="P240" i="63"/>
  <c r="U240" i="63" s="1"/>
  <c r="S240" i="63" s="1"/>
  <c r="P239" i="63"/>
  <c r="U239" i="63" s="1"/>
  <c r="S239" i="63" s="1"/>
  <c r="Z244" i="63"/>
  <c r="P241" i="63"/>
  <c r="U241" i="63" s="1"/>
  <c r="S241" i="63" s="1"/>
  <c r="P238" i="63"/>
  <c r="U238" i="63" s="1"/>
  <c r="S238" i="63" s="1"/>
  <c r="P242" i="63"/>
  <c r="U242" i="63" s="1"/>
  <c r="S242" i="63" s="1"/>
  <c r="N236" i="63"/>
  <c r="P237" i="63"/>
  <c r="U237" i="63" s="1"/>
  <c r="S229" i="63"/>
  <c r="S235" i="63" s="1"/>
  <c r="U235" i="63"/>
  <c r="S205" i="108"/>
  <c r="S211" i="108" s="1"/>
  <c r="U211" i="108"/>
  <c r="Z220" i="108"/>
  <c r="Z228" i="108" s="1"/>
  <c r="N212" i="108"/>
  <c r="P215" i="108"/>
  <c r="U215" i="108" s="1"/>
  <c r="S215" i="108" s="1"/>
  <c r="P213" i="108"/>
  <c r="U213" i="108" s="1"/>
  <c r="P217" i="108"/>
  <c r="U217" i="108" s="1"/>
  <c r="S217" i="108" s="1"/>
  <c r="P214" i="108"/>
  <c r="U214" i="108" s="1"/>
  <c r="S214" i="108" s="1"/>
  <c r="P218" i="108"/>
  <c r="U218" i="108" s="1"/>
  <c r="S218" i="108" s="1"/>
  <c r="P216" i="108"/>
  <c r="U216" i="108" s="1"/>
  <c r="S216" i="108" s="1"/>
  <c r="S209" i="81"/>
  <c r="S215" i="81" s="1"/>
  <c r="U215" i="81"/>
  <c r="Z237" i="88"/>
  <c r="P235" i="88"/>
  <c r="U235" i="88" s="1"/>
  <c r="S235" i="88" s="1"/>
  <c r="P230" i="88"/>
  <c r="U230" i="88" s="1"/>
  <c r="N229" i="88"/>
  <c r="P231" i="88"/>
  <c r="U231" i="88" s="1"/>
  <c r="S231" i="88" s="1"/>
  <c r="P232" i="88"/>
  <c r="U232" i="88" s="1"/>
  <c r="S232" i="88" s="1"/>
  <c r="P233" i="88"/>
  <c r="U233" i="88" s="1"/>
  <c r="S233" i="88" s="1"/>
  <c r="P234" i="88"/>
  <c r="U234" i="88" s="1"/>
  <c r="S234" i="88" s="1"/>
  <c r="P221" i="77"/>
  <c r="U221" i="77" s="1"/>
  <c r="S221" i="77" s="1"/>
  <c r="P223" i="77"/>
  <c r="U223" i="77" s="1"/>
  <c r="S223" i="77" s="1"/>
  <c r="P218" i="77"/>
  <c r="U218" i="77" s="1"/>
  <c r="Z225" i="77"/>
  <c r="P220" i="77"/>
  <c r="U220" i="77" s="1"/>
  <c r="S220" i="77" s="1"/>
  <c r="N217" i="77"/>
  <c r="P219" i="77"/>
  <c r="U219" i="77" s="1"/>
  <c r="S219" i="77" s="1"/>
  <c r="P222" i="77"/>
  <c r="U222" i="77" s="1"/>
  <c r="S222" i="77" s="1"/>
  <c r="P225" i="70"/>
  <c r="U225" i="70" s="1"/>
  <c r="S225" i="70" s="1"/>
  <c r="P222" i="70"/>
  <c r="U222" i="70" s="1"/>
  <c r="S222" i="70" s="1"/>
  <c r="P224" i="70"/>
  <c r="U224" i="70" s="1"/>
  <c r="S224" i="70" s="1"/>
  <c r="Z228" i="70"/>
  <c r="P226" i="70"/>
  <c r="U226" i="70" s="1"/>
  <c r="S226" i="70" s="1"/>
  <c r="P223" i="70"/>
  <c r="U223" i="70" s="1"/>
  <c r="S223" i="70" s="1"/>
  <c r="P221" i="70"/>
  <c r="U221" i="70" s="1"/>
  <c r="N220" i="70"/>
  <c r="S213" i="70"/>
  <c r="S219" i="70" s="1"/>
  <c r="U219" i="70"/>
  <c r="U201" i="111"/>
  <c r="S195" i="111"/>
  <c r="S201" i="111" s="1"/>
  <c r="S210" i="77"/>
  <c r="S216" i="77" s="1"/>
  <c r="U216" i="77"/>
  <c r="P220" i="81"/>
  <c r="U220" i="81" s="1"/>
  <c r="S220" i="81" s="1"/>
  <c r="P222" i="81"/>
  <c r="U222" i="81" s="1"/>
  <c r="S222" i="81" s="1"/>
  <c r="P221" i="81"/>
  <c r="U221" i="81" s="1"/>
  <c r="S221" i="81" s="1"/>
  <c r="P217" i="81"/>
  <c r="U217" i="81" s="1"/>
  <c r="P219" i="81"/>
  <c r="U219" i="81" s="1"/>
  <c r="S219" i="81" s="1"/>
  <c r="P218" i="81"/>
  <c r="U218" i="81" s="1"/>
  <c r="S218" i="81" s="1"/>
  <c r="N216" i="81"/>
  <c r="P211" i="89"/>
  <c r="U211" i="89" s="1"/>
  <c r="S211" i="89" s="1"/>
  <c r="P210" i="89"/>
  <c r="U210" i="89" s="1"/>
  <c r="S210" i="89" s="1"/>
  <c r="Z213" i="89"/>
  <c r="P208" i="89"/>
  <c r="U208" i="89" s="1"/>
  <c r="S208" i="89" s="1"/>
  <c r="P206" i="89"/>
  <c r="U206" i="89" s="1"/>
  <c r="P207" i="89"/>
  <c r="U207" i="89" s="1"/>
  <c r="S207" i="89" s="1"/>
  <c r="P209" i="89"/>
  <c r="U209" i="89" s="1"/>
  <c r="S209" i="89" s="1"/>
  <c r="N205" i="89"/>
  <c r="AF224" i="36"/>
  <c r="S222" i="88"/>
  <c r="S228" i="88" s="1"/>
  <c r="U228" i="88"/>
  <c r="S214" i="98"/>
  <c r="S220" i="98" s="1"/>
  <c r="U220" i="98"/>
  <c r="S198" i="89"/>
  <c r="S204" i="89" s="1"/>
  <c r="U204" i="89"/>
  <c r="U236" i="98" l="1"/>
  <c r="S230" i="98"/>
  <c r="S236" i="98" s="1"/>
  <c r="S235" i="109"/>
  <c r="S241" i="109" s="1"/>
  <c r="U241" i="109"/>
  <c r="Z245" i="98"/>
  <c r="N237" i="98"/>
  <c r="P238" i="98"/>
  <c r="U238" i="98" s="1"/>
  <c r="P243" i="98"/>
  <c r="U243" i="98" s="1"/>
  <c r="S243" i="98" s="1"/>
  <c r="P242" i="98"/>
  <c r="U242" i="98" s="1"/>
  <c r="S242" i="98" s="1"/>
  <c r="P240" i="98"/>
  <c r="U240" i="98" s="1"/>
  <c r="S240" i="98" s="1"/>
  <c r="P239" i="98"/>
  <c r="U239" i="98" s="1"/>
  <c r="S239" i="98" s="1"/>
  <c r="P241" i="98"/>
  <c r="U241" i="98" s="1"/>
  <c r="S241" i="98" s="1"/>
  <c r="P246" i="109"/>
  <c r="U246" i="109" s="1"/>
  <c r="S246" i="109" s="1"/>
  <c r="P248" i="109"/>
  <c r="U248" i="109" s="1"/>
  <c r="S248" i="109" s="1"/>
  <c r="P243" i="109"/>
  <c r="U243" i="109" s="1"/>
  <c r="Z250" i="109"/>
  <c r="P247" i="109"/>
  <c r="U247" i="109" s="1"/>
  <c r="S247" i="109" s="1"/>
  <c r="P244" i="109"/>
  <c r="U244" i="109" s="1"/>
  <c r="S244" i="109" s="1"/>
  <c r="P245" i="109"/>
  <c r="U245" i="109" s="1"/>
  <c r="S245" i="109" s="1"/>
  <c r="N242" i="109"/>
  <c r="U239" i="96"/>
  <c r="S233" i="96"/>
  <c r="S239" i="96" s="1"/>
  <c r="P242" i="96"/>
  <c r="U242" i="96" s="1"/>
  <c r="S242" i="96" s="1"/>
  <c r="N240" i="96"/>
  <c r="Z248" i="96"/>
  <c r="P246" i="96"/>
  <c r="U246" i="96" s="1"/>
  <c r="S246" i="96" s="1"/>
  <c r="P241" i="96"/>
  <c r="U241" i="96" s="1"/>
  <c r="P244" i="96"/>
  <c r="U244" i="96" s="1"/>
  <c r="S244" i="96" s="1"/>
  <c r="P245" i="96"/>
  <c r="U245" i="96" s="1"/>
  <c r="S245" i="96" s="1"/>
  <c r="P243" i="96"/>
  <c r="U243" i="96" s="1"/>
  <c r="S243" i="96" s="1"/>
  <c r="Z252" i="86"/>
  <c r="P247" i="86"/>
  <c r="U247" i="86" s="1"/>
  <c r="S247" i="86" s="1"/>
  <c r="P250" i="86"/>
  <c r="U250" i="86" s="1"/>
  <c r="S250" i="86" s="1"/>
  <c r="P249" i="86"/>
  <c r="U249" i="86" s="1"/>
  <c r="S249" i="86" s="1"/>
  <c r="P248" i="86"/>
  <c r="U248" i="86" s="1"/>
  <c r="S248" i="86" s="1"/>
  <c r="P246" i="86"/>
  <c r="U246" i="86" s="1"/>
  <c r="S246" i="86" s="1"/>
  <c r="N244" i="86"/>
  <c r="P245" i="86"/>
  <c r="U245" i="86" s="1"/>
  <c r="U243" i="86"/>
  <c r="S237" i="86"/>
  <c r="S243" i="86" s="1"/>
  <c r="U226" i="84"/>
  <c r="S220" i="84"/>
  <c r="S226" i="84" s="1"/>
  <c r="P233" i="84"/>
  <c r="U233" i="84" s="1"/>
  <c r="S233" i="84" s="1"/>
  <c r="N227" i="84"/>
  <c r="P231" i="84"/>
  <c r="U231" i="84" s="1"/>
  <c r="S231" i="84" s="1"/>
  <c r="P228" i="84"/>
  <c r="U228" i="84" s="1"/>
  <c r="Z235" i="84"/>
  <c r="P232" i="84"/>
  <c r="U232" i="84" s="1"/>
  <c r="S232" i="84" s="1"/>
  <c r="P230" i="84"/>
  <c r="U230" i="84" s="1"/>
  <c r="S230" i="84" s="1"/>
  <c r="P229" i="84"/>
  <c r="U229" i="84" s="1"/>
  <c r="S229" i="84" s="1"/>
  <c r="S240" i="78"/>
  <c r="S246" i="78" s="1"/>
  <c r="U246" i="78"/>
  <c r="N247" i="78"/>
  <c r="P250" i="78"/>
  <c r="U250" i="78" s="1"/>
  <c r="S250" i="78" s="1"/>
  <c r="P252" i="78"/>
  <c r="U252" i="78" s="1"/>
  <c r="S252" i="78" s="1"/>
  <c r="P249" i="78"/>
  <c r="U249" i="78" s="1"/>
  <c r="S249" i="78" s="1"/>
  <c r="P251" i="78"/>
  <c r="U251" i="78" s="1"/>
  <c r="S251" i="78" s="1"/>
  <c r="P253" i="78"/>
  <c r="U253" i="78" s="1"/>
  <c r="S253" i="78" s="1"/>
  <c r="P248" i="78"/>
  <c r="U248" i="78" s="1"/>
  <c r="S217" i="74"/>
  <c r="S223" i="74" s="1"/>
  <c r="U223" i="74"/>
  <c r="P228" i="74"/>
  <c r="U228" i="74" s="1"/>
  <c r="S228" i="74" s="1"/>
  <c r="P230" i="74"/>
  <c r="U230" i="74" s="1"/>
  <c r="S230" i="74" s="1"/>
  <c r="Z232" i="74"/>
  <c r="P229" i="74"/>
  <c r="U229" i="74" s="1"/>
  <c r="S229" i="74" s="1"/>
  <c r="P225" i="74"/>
  <c r="U225" i="74" s="1"/>
  <c r="P226" i="74"/>
  <c r="U226" i="74" s="1"/>
  <c r="S226" i="74" s="1"/>
  <c r="P227" i="74"/>
  <c r="U227" i="74" s="1"/>
  <c r="S227" i="74" s="1"/>
  <c r="N224" i="74"/>
  <c r="Z227" i="73"/>
  <c r="P222" i="73"/>
  <c r="U222" i="73" s="1"/>
  <c r="S222" i="73" s="1"/>
  <c r="P220" i="73"/>
  <c r="U220" i="73" s="1"/>
  <c r="P224" i="73"/>
  <c r="U224" i="73" s="1"/>
  <c r="S224" i="73" s="1"/>
  <c r="P225" i="73"/>
  <c r="U225" i="73" s="1"/>
  <c r="S225" i="73" s="1"/>
  <c r="P221" i="73"/>
  <c r="U221" i="73" s="1"/>
  <c r="S221" i="73" s="1"/>
  <c r="N219" i="73"/>
  <c r="P223" i="73"/>
  <c r="U223" i="73" s="1"/>
  <c r="S223" i="73" s="1"/>
  <c r="U218" i="73"/>
  <c r="S212" i="73"/>
  <c r="S218" i="73" s="1"/>
  <c r="Z215" i="69"/>
  <c r="P212" i="69"/>
  <c r="U212" i="69" s="1"/>
  <c r="S212" i="69" s="1"/>
  <c r="P210" i="69"/>
  <c r="U210" i="69" s="1"/>
  <c r="S210" i="69" s="1"/>
  <c r="N207" i="69"/>
  <c r="P213" i="69"/>
  <c r="U213" i="69" s="1"/>
  <c r="S213" i="69" s="1"/>
  <c r="P209" i="69"/>
  <c r="U209" i="69" s="1"/>
  <c r="S209" i="69" s="1"/>
  <c r="P211" i="69"/>
  <c r="U211" i="69" s="1"/>
  <c r="S211" i="69" s="1"/>
  <c r="P208" i="69"/>
  <c r="U208" i="69" s="1"/>
  <c r="S200" i="69"/>
  <c r="S206" i="69" s="1"/>
  <c r="U206" i="69"/>
  <c r="S219" i="34"/>
  <c r="S225" i="34" s="1"/>
  <c r="U225" i="34"/>
  <c r="P231" i="34"/>
  <c r="U231" i="34" s="1"/>
  <c r="S231" i="34" s="1"/>
  <c r="P232" i="34"/>
  <c r="U232" i="34" s="1"/>
  <c r="S232" i="34" s="1"/>
  <c r="N226" i="34"/>
  <c r="P227" i="34"/>
  <c r="U227" i="34" s="1"/>
  <c r="Z234" i="34"/>
  <c r="P229" i="34"/>
  <c r="U229" i="34" s="1"/>
  <c r="S229" i="34" s="1"/>
  <c r="P228" i="34"/>
  <c r="U228" i="34" s="1"/>
  <c r="S228" i="34" s="1"/>
  <c r="P230" i="34"/>
  <c r="U230" i="34" s="1"/>
  <c r="S230" i="34" s="1"/>
  <c r="U236" i="102"/>
  <c r="S230" i="102"/>
  <c r="S236" i="102" s="1"/>
  <c r="N216" i="85"/>
  <c r="P217" i="85"/>
  <c r="U217" i="85" s="1"/>
  <c r="P220" i="85"/>
  <c r="U220" i="85" s="1"/>
  <c r="S220" i="85" s="1"/>
  <c r="P222" i="85"/>
  <c r="U222" i="85" s="1"/>
  <c r="S222" i="85" s="1"/>
  <c r="P218" i="85"/>
  <c r="U218" i="85" s="1"/>
  <c r="S218" i="85" s="1"/>
  <c r="P221" i="85"/>
  <c r="U221" i="85" s="1"/>
  <c r="S221" i="85" s="1"/>
  <c r="Z224" i="85"/>
  <c r="P219" i="85"/>
  <c r="U219" i="85" s="1"/>
  <c r="S219" i="85" s="1"/>
  <c r="P246" i="57"/>
  <c r="U246" i="57" s="1"/>
  <c r="S246" i="57" s="1"/>
  <c r="Z248" i="57"/>
  <c r="P241" i="57"/>
  <c r="U241" i="57" s="1"/>
  <c r="P244" i="57"/>
  <c r="U244" i="57" s="1"/>
  <c r="S244" i="57" s="1"/>
  <c r="N240" i="57"/>
  <c r="P242" i="57"/>
  <c r="U242" i="57" s="1"/>
  <c r="S242" i="57" s="1"/>
  <c r="P243" i="57"/>
  <c r="U243" i="57" s="1"/>
  <c r="S243" i="57" s="1"/>
  <c r="P245" i="57"/>
  <c r="U245" i="57" s="1"/>
  <c r="S245" i="57" s="1"/>
  <c r="S233" i="57"/>
  <c r="S239" i="57" s="1"/>
  <c r="U239" i="57"/>
  <c r="Z245" i="102"/>
  <c r="P240" i="102"/>
  <c r="U240" i="102" s="1"/>
  <c r="S240" i="102" s="1"/>
  <c r="P242" i="102"/>
  <c r="U242" i="102" s="1"/>
  <c r="S242" i="102" s="1"/>
  <c r="P238" i="102"/>
  <c r="U238" i="102" s="1"/>
  <c r="P243" i="102"/>
  <c r="U243" i="102" s="1"/>
  <c r="S243" i="102" s="1"/>
  <c r="P241" i="102"/>
  <c r="U241" i="102" s="1"/>
  <c r="S241" i="102" s="1"/>
  <c r="N237" i="102"/>
  <c r="P239" i="102"/>
  <c r="U239" i="102" s="1"/>
  <c r="S239" i="102" s="1"/>
  <c r="U220" i="59"/>
  <c r="S214" i="59"/>
  <c r="S220" i="59" s="1"/>
  <c r="P224" i="59"/>
  <c r="U224" i="59" s="1"/>
  <c r="S224" i="59" s="1"/>
  <c r="P226" i="59"/>
  <c r="U226" i="59" s="1"/>
  <c r="S226" i="59" s="1"/>
  <c r="P222" i="59"/>
  <c r="U222" i="59" s="1"/>
  <c r="P227" i="59"/>
  <c r="U227" i="59" s="1"/>
  <c r="S227" i="59" s="1"/>
  <c r="N221" i="59"/>
  <c r="P223" i="59"/>
  <c r="U223" i="59" s="1"/>
  <c r="S223" i="59" s="1"/>
  <c r="Z229" i="59"/>
  <c r="P225" i="59"/>
  <c r="U225" i="59" s="1"/>
  <c r="S225" i="59" s="1"/>
  <c r="S209" i="85"/>
  <c r="S215" i="85" s="1"/>
  <c r="U215" i="85"/>
  <c r="Z236" i="108"/>
  <c r="N228" i="108"/>
  <c r="P231" i="108"/>
  <c r="U231" i="108" s="1"/>
  <c r="S231" i="108" s="1"/>
  <c r="P234" i="108"/>
  <c r="U234" i="108" s="1"/>
  <c r="S234" i="108" s="1"/>
  <c r="P232" i="108"/>
  <c r="U232" i="108" s="1"/>
  <c r="S232" i="108" s="1"/>
  <c r="P230" i="108"/>
  <c r="U230" i="108" s="1"/>
  <c r="S230" i="108" s="1"/>
  <c r="P229" i="108"/>
  <c r="U229" i="108" s="1"/>
  <c r="P233" i="108"/>
  <c r="U233" i="108" s="1"/>
  <c r="S233" i="108" s="1"/>
  <c r="S237" i="63"/>
  <c r="S243" i="63" s="1"/>
  <c r="U243" i="63"/>
  <c r="P249" i="63"/>
  <c r="U249" i="63" s="1"/>
  <c r="S249" i="63" s="1"/>
  <c r="P248" i="63"/>
  <c r="U248" i="63" s="1"/>
  <c r="S248" i="63" s="1"/>
  <c r="Z252" i="63"/>
  <c r="P250" i="63"/>
  <c r="U250" i="63" s="1"/>
  <c r="S250" i="63" s="1"/>
  <c r="P246" i="63"/>
  <c r="U246" i="63" s="1"/>
  <c r="S246" i="63" s="1"/>
  <c r="P247" i="63"/>
  <c r="U247" i="63" s="1"/>
  <c r="S247" i="63" s="1"/>
  <c r="P245" i="63"/>
  <c r="U245" i="63" s="1"/>
  <c r="N244" i="63"/>
  <c r="P243" i="92"/>
  <c r="U243" i="92" s="1"/>
  <c r="S243" i="92" s="1"/>
  <c r="P241" i="92"/>
  <c r="U241" i="92" s="1"/>
  <c r="S241" i="92" s="1"/>
  <c r="P240" i="92"/>
  <c r="U240" i="92" s="1"/>
  <c r="S240" i="92" s="1"/>
  <c r="P242" i="92"/>
  <c r="U242" i="92" s="1"/>
  <c r="S242" i="92" s="1"/>
  <c r="N237" i="92"/>
  <c r="Z245" i="92"/>
  <c r="P239" i="92"/>
  <c r="U239" i="92" s="1"/>
  <c r="S239" i="92" s="1"/>
  <c r="P238" i="92"/>
  <c r="U238" i="92" s="1"/>
  <c r="S230" i="92"/>
  <c r="S236" i="92" s="1"/>
  <c r="U236" i="92"/>
  <c r="S213" i="108"/>
  <c r="S219" i="108" s="1"/>
  <c r="U219" i="108"/>
  <c r="N220" i="108"/>
  <c r="P222" i="108"/>
  <c r="U222" i="108" s="1"/>
  <c r="S222" i="108" s="1"/>
  <c r="P226" i="108"/>
  <c r="U226" i="108" s="1"/>
  <c r="S226" i="108" s="1"/>
  <c r="P223" i="108"/>
  <c r="U223" i="108" s="1"/>
  <c r="S223" i="108" s="1"/>
  <c r="P225" i="108"/>
  <c r="U225" i="108" s="1"/>
  <c r="S225" i="108" s="1"/>
  <c r="P221" i="108"/>
  <c r="U221" i="108" s="1"/>
  <c r="P224" i="108"/>
  <c r="U224" i="108" s="1"/>
  <c r="S224" i="108" s="1"/>
  <c r="S206" i="89"/>
  <c r="S212" i="89" s="1"/>
  <c r="U212" i="89"/>
  <c r="S217" i="81"/>
  <c r="S223" i="81" s="1"/>
  <c r="U223" i="81"/>
  <c r="P238" i="88"/>
  <c r="U238" i="88" s="1"/>
  <c r="P241" i="88"/>
  <c r="U241" i="88" s="1"/>
  <c r="S241" i="88" s="1"/>
  <c r="P239" i="88"/>
  <c r="U239" i="88" s="1"/>
  <c r="S239" i="88" s="1"/>
  <c r="P243" i="88"/>
  <c r="U243" i="88" s="1"/>
  <c r="S243" i="88" s="1"/>
  <c r="P240" i="88"/>
  <c r="U240" i="88" s="1"/>
  <c r="S240" i="88" s="1"/>
  <c r="Z245" i="88"/>
  <c r="P242" i="88"/>
  <c r="U242" i="88" s="1"/>
  <c r="S242" i="88" s="1"/>
  <c r="N237" i="88"/>
  <c r="P231" i="70"/>
  <c r="U231" i="70" s="1"/>
  <c r="S231" i="70" s="1"/>
  <c r="P232" i="70"/>
  <c r="U232" i="70" s="1"/>
  <c r="S232" i="70" s="1"/>
  <c r="P230" i="70"/>
  <c r="U230" i="70" s="1"/>
  <c r="S230" i="70" s="1"/>
  <c r="P233" i="70"/>
  <c r="U233" i="70" s="1"/>
  <c r="S233" i="70" s="1"/>
  <c r="P234" i="70"/>
  <c r="U234" i="70" s="1"/>
  <c r="S234" i="70" s="1"/>
  <c r="P229" i="70"/>
  <c r="U229" i="70" s="1"/>
  <c r="N228" i="70"/>
  <c r="P230" i="77"/>
  <c r="U230" i="77" s="1"/>
  <c r="S230" i="77" s="1"/>
  <c r="P229" i="77"/>
  <c r="U229" i="77" s="1"/>
  <c r="S229" i="77" s="1"/>
  <c r="Z233" i="77"/>
  <c r="P231" i="77"/>
  <c r="U231" i="77" s="1"/>
  <c r="S231" i="77" s="1"/>
  <c r="N225" i="77"/>
  <c r="P226" i="77"/>
  <c r="U226" i="77" s="1"/>
  <c r="P228" i="77"/>
  <c r="U228" i="77" s="1"/>
  <c r="S228" i="77" s="1"/>
  <c r="P227" i="77"/>
  <c r="U227" i="77" s="1"/>
  <c r="S227" i="77" s="1"/>
  <c r="P217" i="89"/>
  <c r="U217" i="89" s="1"/>
  <c r="S217" i="89" s="1"/>
  <c r="P218" i="89"/>
  <c r="U218" i="89" s="1"/>
  <c r="S218" i="89" s="1"/>
  <c r="P219" i="89"/>
  <c r="U219" i="89" s="1"/>
  <c r="S219" i="89" s="1"/>
  <c r="Z221" i="89"/>
  <c r="P215" i="89"/>
  <c r="U215" i="89" s="1"/>
  <c r="S215" i="89" s="1"/>
  <c r="P214" i="89"/>
  <c r="U214" i="89" s="1"/>
  <c r="N213" i="89"/>
  <c r="P216" i="89"/>
  <c r="U216" i="89" s="1"/>
  <c r="S216" i="89" s="1"/>
  <c r="S221" i="70"/>
  <c r="S227" i="70" s="1"/>
  <c r="U227" i="70"/>
  <c r="U224" i="77"/>
  <c r="S218" i="77"/>
  <c r="S224" i="77" s="1"/>
  <c r="S230" i="88"/>
  <c r="S236" i="88" s="1"/>
  <c r="U236" i="88"/>
  <c r="P254" i="109" l="1"/>
  <c r="U254" i="109" s="1"/>
  <c r="S254" i="109" s="1"/>
  <c r="P255" i="109"/>
  <c r="U255" i="109" s="1"/>
  <c r="S255" i="109" s="1"/>
  <c r="P251" i="109"/>
  <c r="U251" i="109" s="1"/>
  <c r="P253" i="109"/>
  <c r="U253" i="109" s="1"/>
  <c r="S253" i="109" s="1"/>
  <c r="N250" i="109"/>
  <c r="P252" i="109"/>
  <c r="U252" i="109" s="1"/>
  <c r="S252" i="109" s="1"/>
  <c r="P256" i="109"/>
  <c r="U256" i="109" s="1"/>
  <c r="S256" i="109" s="1"/>
  <c r="Z253" i="98"/>
  <c r="N245" i="98"/>
  <c r="P246" i="98"/>
  <c r="U246" i="98" s="1"/>
  <c r="P250" i="98"/>
  <c r="U250" i="98" s="1"/>
  <c r="S250" i="98" s="1"/>
  <c r="P249" i="98"/>
  <c r="U249" i="98" s="1"/>
  <c r="S249" i="98" s="1"/>
  <c r="P247" i="98"/>
  <c r="U247" i="98" s="1"/>
  <c r="S247" i="98" s="1"/>
  <c r="P251" i="98"/>
  <c r="U251" i="98" s="1"/>
  <c r="S251" i="98" s="1"/>
  <c r="P248" i="98"/>
  <c r="U248" i="98" s="1"/>
  <c r="S248" i="98" s="1"/>
  <c r="S243" i="109"/>
  <c r="S249" i="109" s="1"/>
  <c r="U249" i="109"/>
  <c r="S238" i="98"/>
  <c r="S244" i="98" s="1"/>
  <c r="U244" i="98"/>
  <c r="U247" i="96"/>
  <c r="S241" i="96"/>
  <c r="S247" i="96" s="1"/>
  <c r="P251" i="96"/>
  <c r="U251" i="96" s="1"/>
  <c r="S251" i="96" s="1"/>
  <c r="P252" i="96"/>
  <c r="U252" i="96" s="1"/>
  <c r="S252" i="96" s="1"/>
  <c r="N248" i="96"/>
  <c r="P254" i="96"/>
  <c r="U254" i="96" s="1"/>
  <c r="S254" i="96" s="1"/>
  <c r="P249" i="96"/>
  <c r="U249" i="96" s="1"/>
  <c r="Z256" i="96"/>
  <c r="P250" i="96"/>
  <c r="U250" i="96" s="1"/>
  <c r="S250" i="96" s="1"/>
  <c r="P253" i="96"/>
  <c r="U253" i="96" s="1"/>
  <c r="S253" i="96" s="1"/>
  <c r="U251" i="86"/>
  <c r="S245" i="86"/>
  <c r="S251" i="86" s="1"/>
  <c r="P254" i="86"/>
  <c r="U254" i="86" s="1"/>
  <c r="S254" i="86" s="1"/>
  <c r="P258" i="86"/>
  <c r="U258" i="86" s="1"/>
  <c r="S258" i="86" s="1"/>
  <c r="P255" i="86"/>
  <c r="U255" i="86" s="1"/>
  <c r="S255" i="86" s="1"/>
  <c r="N252" i="86"/>
  <c r="P257" i="86"/>
  <c r="U257" i="86" s="1"/>
  <c r="S257" i="86" s="1"/>
  <c r="Z260" i="86"/>
  <c r="P253" i="86"/>
  <c r="U253" i="86" s="1"/>
  <c r="P256" i="86"/>
  <c r="U256" i="86" s="1"/>
  <c r="S256" i="86" s="1"/>
  <c r="Z243" i="84"/>
  <c r="P240" i="84"/>
  <c r="U240" i="84" s="1"/>
  <c r="S240" i="84" s="1"/>
  <c r="P236" i="84"/>
  <c r="U236" i="84" s="1"/>
  <c r="P239" i="84"/>
  <c r="U239" i="84" s="1"/>
  <c r="S239" i="84" s="1"/>
  <c r="P237" i="84"/>
  <c r="U237" i="84" s="1"/>
  <c r="S237" i="84" s="1"/>
  <c r="P241" i="84"/>
  <c r="U241" i="84" s="1"/>
  <c r="S241" i="84" s="1"/>
  <c r="N235" i="84"/>
  <c r="P238" i="84"/>
  <c r="U238" i="84" s="1"/>
  <c r="S238" i="84" s="1"/>
  <c r="S228" i="84"/>
  <c r="S234" i="84" s="1"/>
  <c r="U234" i="84"/>
  <c r="U254" i="78"/>
  <c r="S248" i="78"/>
  <c r="S254" i="78" s="1"/>
  <c r="S225" i="74"/>
  <c r="S231" i="74" s="1"/>
  <c r="U231" i="74"/>
  <c r="P233" i="74"/>
  <c r="U233" i="74" s="1"/>
  <c r="P238" i="74"/>
  <c r="U238" i="74" s="1"/>
  <c r="S238" i="74" s="1"/>
  <c r="Z240" i="74"/>
  <c r="N232" i="74"/>
  <c r="P236" i="74"/>
  <c r="U236" i="74" s="1"/>
  <c r="S236" i="74" s="1"/>
  <c r="P234" i="74"/>
  <c r="U234" i="74" s="1"/>
  <c r="S234" i="74" s="1"/>
  <c r="P237" i="74"/>
  <c r="U237" i="74" s="1"/>
  <c r="S237" i="74" s="1"/>
  <c r="P235" i="74"/>
  <c r="U235" i="74" s="1"/>
  <c r="S235" i="74" s="1"/>
  <c r="S220" i="73"/>
  <c r="S226" i="73" s="1"/>
  <c r="U226" i="73"/>
  <c r="N227" i="73"/>
  <c r="P232" i="73"/>
  <c r="U232" i="73" s="1"/>
  <c r="S232" i="73" s="1"/>
  <c r="P228" i="73"/>
  <c r="U228" i="73" s="1"/>
  <c r="P229" i="73"/>
  <c r="U229" i="73" s="1"/>
  <c r="S229" i="73" s="1"/>
  <c r="P230" i="73"/>
  <c r="U230" i="73" s="1"/>
  <c r="S230" i="73" s="1"/>
  <c r="P233" i="73"/>
  <c r="U233" i="73" s="1"/>
  <c r="S233" i="73" s="1"/>
  <c r="P231" i="73"/>
  <c r="U231" i="73" s="1"/>
  <c r="S231" i="73" s="1"/>
  <c r="Z235" i="73"/>
  <c r="S208" i="69"/>
  <c r="S214" i="69" s="1"/>
  <c r="U214" i="69"/>
  <c r="P221" i="69"/>
  <c r="U221" i="69" s="1"/>
  <c r="S221" i="69" s="1"/>
  <c r="P216" i="69"/>
  <c r="U216" i="69" s="1"/>
  <c r="P220" i="69"/>
  <c r="U220" i="69" s="1"/>
  <c r="S220" i="69" s="1"/>
  <c r="Z223" i="69"/>
  <c r="N215" i="69"/>
  <c r="P218" i="69"/>
  <c r="U218" i="69" s="1"/>
  <c r="S218" i="69" s="1"/>
  <c r="P217" i="69"/>
  <c r="U217" i="69" s="1"/>
  <c r="S217" i="69" s="1"/>
  <c r="P219" i="69"/>
  <c r="U219" i="69" s="1"/>
  <c r="S219" i="69" s="1"/>
  <c r="P240" i="34"/>
  <c r="U240" i="34" s="1"/>
  <c r="S240" i="34" s="1"/>
  <c r="P239" i="34"/>
  <c r="U239" i="34" s="1"/>
  <c r="S239" i="34" s="1"/>
  <c r="Z242" i="34"/>
  <c r="P236" i="34"/>
  <c r="U236" i="34" s="1"/>
  <c r="S236" i="34" s="1"/>
  <c r="N234" i="34"/>
  <c r="P237" i="34"/>
  <c r="U237" i="34" s="1"/>
  <c r="S237" i="34" s="1"/>
  <c r="P238" i="34"/>
  <c r="U238" i="34" s="1"/>
  <c r="S238" i="34" s="1"/>
  <c r="P235" i="34"/>
  <c r="U235" i="34" s="1"/>
  <c r="U233" i="34"/>
  <c r="S227" i="34"/>
  <c r="S233" i="34" s="1"/>
  <c r="N245" i="102"/>
  <c r="P250" i="102"/>
  <c r="U250" i="102" s="1"/>
  <c r="S250" i="102" s="1"/>
  <c r="P249" i="102"/>
  <c r="U249" i="102" s="1"/>
  <c r="S249" i="102" s="1"/>
  <c r="P248" i="102"/>
  <c r="U248" i="102" s="1"/>
  <c r="S248" i="102" s="1"/>
  <c r="P251" i="102"/>
  <c r="U251" i="102" s="1"/>
  <c r="S251" i="102" s="1"/>
  <c r="P246" i="102"/>
  <c r="U246" i="102" s="1"/>
  <c r="P247" i="102"/>
  <c r="U247" i="102" s="1"/>
  <c r="S247" i="102" s="1"/>
  <c r="S238" i="102"/>
  <c r="S244" i="102" s="1"/>
  <c r="U244" i="102"/>
  <c r="S241" i="57"/>
  <c r="S247" i="57" s="1"/>
  <c r="U247" i="57"/>
  <c r="P225" i="85"/>
  <c r="U225" i="85" s="1"/>
  <c r="P229" i="85"/>
  <c r="U229" i="85" s="1"/>
  <c r="S229" i="85" s="1"/>
  <c r="P228" i="85"/>
  <c r="U228" i="85" s="1"/>
  <c r="S228" i="85" s="1"/>
  <c r="P227" i="85"/>
  <c r="U227" i="85" s="1"/>
  <c r="S227" i="85" s="1"/>
  <c r="P226" i="85"/>
  <c r="U226" i="85" s="1"/>
  <c r="S226" i="85" s="1"/>
  <c r="Z232" i="85"/>
  <c r="N224" i="85"/>
  <c r="P230" i="85"/>
  <c r="U230" i="85" s="1"/>
  <c r="S230" i="85" s="1"/>
  <c r="P235" i="59"/>
  <c r="U235" i="59" s="1"/>
  <c r="S235" i="59" s="1"/>
  <c r="P233" i="59"/>
  <c r="U233" i="59" s="1"/>
  <c r="S233" i="59" s="1"/>
  <c r="P232" i="59"/>
  <c r="U232" i="59" s="1"/>
  <c r="S232" i="59" s="1"/>
  <c r="P234" i="59"/>
  <c r="U234" i="59" s="1"/>
  <c r="S234" i="59" s="1"/>
  <c r="P230" i="59"/>
  <c r="U230" i="59" s="1"/>
  <c r="N229" i="59"/>
  <c r="Z237" i="59"/>
  <c r="P231" i="59"/>
  <c r="U231" i="59" s="1"/>
  <c r="S231" i="59" s="1"/>
  <c r="S222" i="59"/>
  <c r="S228" i="59" s="1"/>
  <c r="U228" i="59"/>
  <c r="P250" i="57"/>
  <c r="U250" i="57" s="1"/>
  <c r="S250" i="57" s="1"/>
  <c r="Z256" i="57"/>
  <c r="N248" i="57"/>
  <c r="P249" i="57"/>
  <c r="U249" i="57" s="1"/>
  <c r="P254" i="57"/>
  <c r="U254" i="57" s="1"/>
  <c r="S254" i="57" s="1"/>
  <c r="P253" i="57"/>
  <c r="U253" i="57" s="1"/>
  <c r="S253" i="57" s="1"/>
  <c r="P252" i="57"/>
  <c r="U252" i="57" s="1"/>
  <c r="S252" i="57" s="1"/>
  <c r="P251" i="57"/>
  <c r="U251" i="57" s="1"/>
  <c r="S251" i="57" s="1"/>
  <c r="U223" i="85"/>
  <c r="S217" i="85"/>
  <c r="S223" i="85" s="1"/>
  <c r="S238" i="92"/>
  <c r="S244" i="92" s="1"/>
  <c r="U244" i="92"/>
  <c r="N245" i="92"/>
  <c r="P248" i="92"/>
  <c r="U248" i="92" s="1"/>
  <c r="S248" i="92" s="1"/>
  <c r="P251" i="92"/>
  <c r="U251" i="92" s="1"/>
  <c r="S251" i="92" s="1"/>
  <c r="P250" i="92"/>
  <c r="U250" i="92" s="1"/>
  <c r="S250" i="92" s="1"/>
  <c r="Z253" i="92"/>
  <c r="P249" i="92"/>
  <c r="U249" i="92" s="1"/>
  <c r="S249" i="92" s="1"/>
  <c r="P247" i="92"/>
  <c r="U247" i="92" s="1"/>
  <c r="S247" i="92" s="1"/>
  <c r="P246" i="92"/>
  <c r="U246" i="92" s="1"/>
  <c r="S245" i="63"/>
  <c r="S251" i="63" s="1"/>
  <c r="U251" i="63"/>
  <c r="P257" i="63"/>
  <c r="U257" i="63" s="1"/>
  <c r="S257" i="63" s="1"/>
  <c r="N252" i="63"/>
  <c r="P253" i="63"/>
  <c r="U253" i="63" s="1"/>
  <c r="P258" i="63"/>
  <c r="U258" i="63" s="1"/>
  <c r="S258" i="63" s="1"/>
  <c r="P255" i="63"/>
  <c r="U255" i="63" s="1"/>
  <c r="S255" i="63" s="1"/>
  <c r="P256" i="63"/>
  <c r="U256" i="63" s="1"/>
  <c r="S256" i="63" s="1"/>
  <c r="P254" i="63"/>
  <c r="U254" i="63" s="1"/>
  <c r="S254" i="63" s="1"/>
  <c r="U235" i="108"/>
  <c r="S229" i="108"/>
  <c r="S235" i="108" s="1"/>
  <c r="N236" i="108"/>
  <c r="P237" i="108"/>
  <c r="U237" i="108" s="1"/>
  <c r="P240" i="108"/>
  <c r="U240" i="108" s="1"/>
  <c r="S240" i="108" s="1"/>
  <c r="P239" i="108"/>
  <c r="U239" i="108" s="1"/>
  <c r="S239" i="108" s="1"/>
  <c r="P242" i="108"/>
  <c r="U242" i="108" s="1"/>
  <c r="S242" i="108" s="1"/>
  <c r="P241" i="108"/>
  <c r="U241" i="108" s="1"/>
  <c r="S241" i="108" s="1"/>
  <c r="P238" i="108"/>
  <c r="U238" i="108" s="1"/>
  <c r="S238" i="108" s="1"/>
  <c r="S221" i="108"/>
  <c r="S227" i="108" s="1"/>
  <c r="U227" i="108"/>
  <c r="S214" i="89"/>
  <c r="S220" i="89" s="1"/>
  <c r="U220" i="89"/>
  <c r="P238" i="77"/>
  <c r="U238" i="77" s="1"/>
  <c r="S238" i="77" s="1"/>
  <c r="P236" i="77"/>
  <c r="U236" i="77" s="1"/>
  <c r="S236" i="77" s="1"/>
  <c r="P237" i="77"/>
  <c r="U237" i="77" s="1"/>
  <c r="S237" i="77" s="1"/>
  <c r="P235" i="77"/>
  <c r="U235" i="77" s="1"/>
  <c r="S235" i="77" s="1"/>
  <c r="Z241" i="77"/>
  <c r="P239" i="77"/>
  <c r="U239" i="77" s="1"/>
  <c r="S239" i="77" s="1"/>
  <c r="N233" i="77"/>
  <c r="P234" i="77"/>
  <c r="U234" i="77" s="1"/>
  <c r="S229" i="70"/>
  <c r="S235" i="70" s="1"/>
  <c r="U235" i="70"/>
  <c r="N245" i="88"/>
  <c r="P249" i="88"/>
  <c r="U249" i="88" s="1"/>
  <c r="S249" i="88" s="1"/>
  <c r="P248" i="88"/>
  <c r="U248" i="88" s="1"/>
  <c r="S248" i="88" s="1"/>
  <c r="Z253" i="88"/>
  <c r="P250" i="88"/>
  <c r="U250" i="88" s="1"/>
  <c r="S250" i="88" s="1"/>
  <c r="P246" i="88"/>
  <c r="U246" i="88" s="1"/>
  <c r="P247" i="88"/>
  <c r="U247" i="88" s="1"/>
  <c r="S247" i="88" s="1"/>
  <c r="P251" i="88"/>
  <c r="U251" i="88" s="1"/>
  <c r="S251" i="88" s="1"/>
  <c r="P227" i="89"/>
  <c r="U227" i="89" s="1"/>
  <c r="S227" i="89" s="1"/>
  <c r="Z229" i="89"/>
  <c r="N221" i="89"/>
  <c r="P222" i="89"/>
  <c r="U222" i="89" s="1"/>
  <c r="P224" i="89"/>
  <c r="U224" i="89" s="1"/>
  <c r="S224" i="89" s="1"/>
  <c r="P223" i="89"/>
  <c r="U223" i="89" s="1"/>
  <c r="S223" i="89" s="1"/>
  <c r="P225" i="89"/>
  <c r="U225" i="89" s="1"/>
  <c r="S225" i="89" s="1"/>
  <c r="P226" i="89"/>
  <c r="U226" i="89" s="1"/>
  <c r="S226" i="89" s="1"/>
  <c r="S226" i="77"/>
  <c r="S232" i="77" s="1"/>
  <c r="U232" i="77"/>
  <c r="U244" i="88"/>
  <c r="S238" i="88"/>
  <c r="S244" i="88" s="1"/>
  <c r="P257" i="98" l="1"/>
  <c r="U257" i="98" s="1"/>
  <c r="S257" i="98" s="1"/>
  <c r="Z261" i="98"/>
  <c r="P254" i="98"/>
  <c r="U254" i="98" s="1"/>
  <c r="N253" i="98"/>
  <c r="P255" i="98"/>
  <c r="U255" i="98" s="1"/>
  <c r="S255" i="98" s="1"/>
  <c r="P259" i="98"/>
  <c r="U259" i="98" s="1"/>
  <c r="S259" i="98" s="1"/>
  <c r="P258" i="98"/>
  <c r="U258" i="98" s="1"/>
  <c r="S258" i="98" s="1"/>
  <c r="P256" i="98"/>
  <c r="U256" i="98" s="1"/>
  <c r="S256" i="98" s="1"/>
  <c r="S251" i="109"/>
  <c r="S257" i="109" s="1"/>
  <c r="U257" i="109"/>
  <c r="S246" i="98"/>
  <c r="S252" i="98" s="1"/>
  <c r="U252" i="98"/>
  <c r="P257" i="96"/>
  <c r="U257" i="96" s="1"/>
  <c r="P259" i="96"/>
  <c r="U259" i="96" s="1"/>
  <c r="S259" i="96" s="1"/>
  <c r="P258" i="96"/>
  <c r="U258" i="96" s="1"/>
  <c r="S258" i="96" s="1"/>
  <c r="P261" i="96"/>
  <c r="U261" i="96" s="1"/>
  <c r="S261" i="96" s="1"/>
  <c r="P260" i="96"/>
  <c r="U260" i="96" s="1"/>
  <c r="S260" i="96" s="1"/>
  <c r="P262" i="96"/>
  <c r="U262" i="96" s="1"/>
  <c r="S262" i="96" s="1"/>
  <c r="Z264" i="96"/>
  <c r="N256" i="96"/>
  <c r="U255" i="96"/>
  <c r="S249" i="96"/>
  <c r="S255" i="96" s="1"/>
  <c r="N260" i="86"/>
  <c r="P264" i="86"/>
  <c r="U264" i="86" s="1"/>
  <c r="S264" i="86" s="1"/>
  <c r="Z268" i="86"/>
  <c r="P261" i="86"/>
  <c r="U261" i="86" s="1"/>
  <c r="P262" i="86"/>
  <c r="U262" i="86" s="1"/>
  <c r="S262" i="86" s="1"/>
  <c r="P263" i="86"/>
  <c r="U263" i="86" s="1"/>
  <c r="S263" i="86" s="1"/>
  <c r="P265" i="86"/>
  <c r="U265" i="86" s="1"/>
  <c r="S265" i="86" s="1"/>
  <c r="P266" i="86"/>
  <c r="U266" i="86" s="1"/>
  <c r="S266" i="86" s="1"/>
  <c r="S253" i="86"/>
  <c r="S259" i="86" s="1"/>
  <c r="U259" i="86"/>
  <c r="U242" i="84"/>
  <c r="S236" i="84"/>
  <c r="S242" i="84" s="1"/>
  <c r="Z251" i="84"/>
  <c r="P245" i="84"/>
  <c r="U245" i="84" s="1"/>
  <c r="S245" i="84" s="1"/>
  <c r="P246" i="84"/>
  <c r="U246" i="84" s="1"/>
  <c r="S246" i="84" s="1"/>
  <c r="N243" i="84"/>
  <c r="P244" i="84"/>
  <c r="U244" i="84" s="1"/>
  <c r="P248" i="84"/>
  <c r="U248" i="84" s="1"/>
  <c r="S248" i="84" s="1"/>
  <c r="P249" i="84"/>
  <c r="U249" i="84" s="1"/>
  <c r="S249" i="84" s="1"/>
  <c r="P247" i="84"/>
  <c r="U247" i="84" s="1"/>
  <c r="S247" i="84" s="1"/>
  <c r="S233" i="74"/>
  <c r="S239" i="74" s="1"/>
  <c r="U239" i="74"/>
  <c r="P244" i="74"/>
  <c r="U244" i="74" s="1"/>
  <c r="S244" i="74" s="1"/>
  <c r="P245" i="74"/>
  <c r="U245" i="74" s="1"/>
  <c r="S245" i="74" s="1"/>
  <c r="P246" i="74"/>
  <c r="U246" i="74" s="1"/>
  <c r="S246" i="74" s="1"/>
  <c r="P241" i="74"/>
  <c r="U241" i="74" s="1"/>
  <c r="Z248" i="74"/>
  <c r="P243" i="74"/>
  <c r="U243" i="74" s="1"/>
  <c r="S243" i="74" s="1"/>
  <c r="P242" i="74"/>
  <c r="U242" i="74" s="1"/>
  <c r="S242" i="74" s="1"/>
  <c r="N240" i="74"/>
  <c r="P236" i="73"/>
  <c r="U236" i="73" s="1"/>
  <c r="N235" i="73"/>
  <c r="P239" i="73"/>
  <c r="U239" i="73" s="1"/>
  <c r="S239" i="73" s="1"/>
  <c r="P238" i="73"/>
  <c r="U238" i="73" s="1"/>
  <c r="S238" i="73" s="1"/>
  <c r="P237" i="73"/>
  <c r="U237" i="73" s="1"/>
  <c r="S237" i="73" s="1"/>
  <c r="P241" i="73"/>
  <c r="U241" i="73" s="1"/>
  <c r="S241" i="73" s="1"/>
  <c r="P240" i="73"/>
  <c r="U240" i="73" s="1"/>
  <c r="S240" i="73" s="1"/>
  <c r="Z243" i="73"/>
  <c r="S228" i="73"/>
  <c r="S234" i="73" s="1"/>
  <c r="U234" i="73"/>
  <c r="S216" i="69"/>
  <c r="S222" i="69" s="1"/>
  <c r="U222" i="69"/>
  <c r="P229" i="69"/>
  <c r="U229" i="69" s="1"/>
  <c r="S229" i="69" s="1"/>
  <c r="Z231" i="69"/>
  <c r="P228" i="69"/>
  <c r="U228" i="69" s="1"/>
  <c r="S228" i="69" s="1"/>
  <c r="P227" i="69"/>
  <c r="U227" i="69" s="1"/>
  <c r="S227" i="69" s="1"/>
  <c r="P226" i="69"/>
  <c r="U226" i="69" s="1"/>
  <c r="S226" i="69" s="1"/>
  <c r="N223" i="69"/>
  <c r="P225" i="69"/>
  <c r="U225" i="69" s="1"/>
  <c r="S225" i="69" s="1"/>
  <c r="P224" i="69"/>
  <c r="U224" i="69" s="1"/>
  <c r="S235" i="34"/>
  <c r="S241" i="34" s="1"/>
  <c r="U5" i="34" s="1" a="1"/>
  <c r="U5" i="34" s="1"/>
  <c r="U241" i="34"/>
  <c r="P245" i="34"/>
  <c r="U245" i="34" s="1"/>
  <c r="S245" i="34" s="1"/>
  <c r="P247" i="34"/>
  <c r="U247" i="34" s="1"/>
  <c r="S247" i="34" s="1"/>
  <c r="N242" i="34"/>
  <c r="Z250" i="34"/>
  <c r="P244" i="34"/>
  <c r="U244" i="34" s="1"/>
  <c r="S244" i="34" s="1"/>
  <c r="P243" i="34"/>
  <c r="U243" i="34" s="1"/>
  <c r="P246" i="34"/>
  <c r="U246" i="34" s="1"/>
  <c r="S246" i="34" s="1"/>
  <c r="P248" i="34"/>
  <c r="U248" i="34" s="1"/>
  <c r="S248" i="34" s="1"/>
  <c r="S249" i="57"/>
  <c r="S255" i="57" s="1"/>
  <c r="U255" i="57"/>
  <c r="P238" i="59"/>
  <c r="U238" i="59" s="1"/>
  <c r="P243" i="59"/>
  <c r="U243" i="59" s="1"/>
  <c r="S243" i="59" s="1"/>
  <c r="Z245" i="59"/>
  <c r="P241" i="59"/>
  <c r="U241" i="59" s="1"/>
  <c r="S241" i="59" s="1"/>
  <c r="P239" i="59"/>
  <c r="U239" i="59" s="1"/>
  <c r="S239" i="59" s="1"/>
  <c r="P240" i="59"/>
  <c r="U240" i="59" s="1"/>
  <c r="S240" i="59" s="1"/>
  <c r="N237" i="59"/>
  <c r="P242" i="59"/>
  <c r="U242" i="59" s="1"/>
  <c r="S242" i="59" s="1"/>
  <c r="Z240" i="85"/>
  <c r="P235" i="85"/>
  <c r="U235" i="85" s="1"/>
  <c r="S235" i="85" s="1"/>
  <c r="P237" i="85"/>
  <c r="U237" i="85" s="1"/>
  <c r="S237" i="85" s="1"/>
  <c r="N232" i="85"/>
  <c r="P236" i="85"/>
  <c r="U236" i="85" s="1"/>
  <c r="S236" i="85" s="1"/>
  <c r="P234" i="85"/>
  <c r="U234" i="85" s="1"/>
  <c r="S234" i="85" s="1"/>
  <c r="P233" i="85"/>
  <c r="U233" i="85" s="1"/>
  <c r="P238" i="85"/>
  <c r="U238" i="85" s="1"/>
  <c r="S238" i="85" s="1"/>
  <c r="P260" i="57"/>
  <c r="U260" i="57" s="1"/>
  <c r="S260" i="57" s="1"/>
  <c r="Z264" i="57"/>
  <c r="P257" i="57"/>
  <c r="U257" i="57" s="1"/>
  <c r="P258" i="57"/>
  <c r="U258" i="57" s="1"/>
  <c r="S258" i="57" s="1"/>
  <c r="P261" i="57"/>
  <c r="U261" i="57" s="1"/>
  <c r="S261" i="57" s="1"/>
  <c r="P262" i="57"/>
  <c r="U262" i="57" s="1"/>
  <c r="S262" i="57" s="1"/>
  <c r="P259" i="57"/>
  <c r="U259" i="57" s="1"/>
  <c r="S259" i="57" s="1"/>
  <c r="N256" i="57"/>
  <c r="S225" i="85"/>
  <c r="S231" i="85" s="1"/>
  <c r="U231" i="85"/>
  <c r="S246" i="102"/>
  <c r="S252" i="102" s="1"/>
  <c r="U252" i="102"/>
  <c r="S230" i="59"/>
  <c r="S236" i="59" s="1"/>
  <c r="U236" i="59"/>
  <c r="S237" i="108"/>
  <c r="S243" i="108" s="1"/>
  <c r="U243" i="108"/>
  <c r="S253" i="63"/>
  <c r="S259" i="63" s="1"/>
  <c r="U259" i="63"/>
  <c r="S246" i="92"/>
  <c r="S252" i="92" s="1"/>
  <c r="U252" i="92"/>
  <c r="N253" i="92"/>
  <c r="P257" i="92"/>
  <c r="U257" i="92" s="1"/>
  <c r="S257" i="92" s="1"/>
  <c r="P259" i="92"/>
  <c r="U259" i="92" s="1"/>
  <c r="S259" i="92" s="1"/>
  <c r="P254" i="92"/>
  <c r="U254" i="92" s="1"/>
  <c r="Z261" i="92"/>
  <c r="P256" i="92"/>
  <c r="U256" i="92" s="1"/>
  <c r="S256" i="92" s="1"/>
  <c r="P255" i="92"/>
  <c r="U255" i="92" s="1"/>
  <c r="S255" i="92" s="1"/>
  <c r="P258" i="92"/>
  <c r="U258" i="92" s="1"/>
  <c r="S258" i="92" s="1"/>
  <c r="S222" i="89"/>
  <c r="S228" i="89" s="1"/>
  <c r="U228" i="89"/>
  <c r="P256" i="88"/>
  <c r="U256" i="88" s="1"/>
  <c r="S256" i="88" s="1"/>
  <c r="P255" i="88"/>
  <c r="U255" i="88" s="1"/>
  <c r="S255" i="88" s="1"/>
  <c r="P258" i="88"/>
  <c r="U258" i="88" s="1"/>
  <c r="S258" i="88" s="1"/>
  <c r="P254" i="88"/>
  <c r="U254" i="88" s="1"/>
  <c r="P259" i="88"/>
  <c r="U259" i="88" s="1"/>
  <c r="S259" i="88" s="1"/>
  <c r="P257" i="88"/>
  <c r="U257" i="88" s="1"/>
  <c r="S257" i="88" s="1"/>
  <c r="N253" i="88"/>
  <c r="Z261" i="88"/>
  <c r="P246" i="77"/>
  <c r="U246" i="77" s="1"/>
  <c r="S246" i="77" s="1"/>
  <c r="P242" i="77"/>
  <c r="U242" i="77" s="1"/>
  <c r="P243" i="77"/>
  <c r="U243" i="77" s="1"/>
  <c r="S243" i="77" s="1"/>
  <c r="P244" i="77"/>
  <c r="U244" i="77" s="1"/>
  <c r="S244" i="77" s="1"/>
  <c r="P245" i="77"/>
  <c r="U245" i="77" s="1"/>
  <c r="S245" i="77" s="1"/>
  <c r="N241" i="77"/>
  <c r="P247" i="77"/>
  <c r="U247" i="77" s="1"/>
  <c r="S247" i="77" s="1"/>
  <c r="P232" i="89"/>
  <c r="U232" i="89" s="1"/>
  <c r="S232" i="89" s="1"/>
  <c r="P231" i="89"/>
  <c r="U231" i="89" s="1"/>
  <c r="S231" i="89" s="1"/>
  <c r="P234" i="89"/>
  <c r="U234" i="89" s="1"/>
  <c r="S234" i="89" s="1"/>
  <c r="P235" i="89"/>
  <c r="U235" i="89" s="1"/>
  <c r="S235" i="89" s="1"/>
  <c r="P233" i="89"/>
  <c r="U233" i="89" s="1"/>
  <c r="S233" i="89" s="1"/>
  <c r="P230" i="89"/>
  <c r="U230" i="89" s="1"/>
  <c r="N229" i="89"/>
  <c r="Z237" i="89"/>
  <c r="U252" i="88"/>
  <c r="S246" i="88"/>
  <c r="S252" i="88" s="1"/>
  <c r="S234" i="77"/>
  <c r="S240" i="77" s="1"/>
  <c r="U240" i="77"/>
  <c r="U260" i="98" l="1"/>
  <c r="S254" i="98"/>
  <c r="S260" i="98" s="1"/>
  <c r="Z269" i="98"/>
  <c r="N261" i="98"/>
  <c r="P266" i="98"/>
  <c r="U266" i="98" s="1"/>
  <c r="S266" i="98" s="1"/>
  <c r="P267" i="98"/>
  <c r="U267" i="98" s="1"/>
  <c r="S267" i="98" s="1"/>
  <c r="P263" i="98"/>
  <c r="U263" i="98" s="1"/>
  <c r="S263" i="98" s="1"/>
  <c r="P262" i="98"/>
  <c r="U262" i="98" s="1"/>
  <c r="P264" i="98"/>
  <c r="U264" i="98" s="1"/>
  <c r="S264" i="98" s="1"/>
  <c r="P265" i="98"/>
  <c r="U265" i="98" s="1"/>
  <c r="S265" i="98" s="1"/>
  <c r="N264" i="96"/>
  <c r="P266" i="96"/>
  <c r="U266" i="96" s="1"/>
  <c r="S266" i="96" s="1"/>
  <c r="P268" i="96"/>
  <c r="U268" i="96" s="1"/>
  <c r="S268" i="96" s="1"/>
  <c r="Z272" i="96"/>
  <c r="P269" i="96"/>
  <c r="U269" i="96" s="1"/>
  <c r="S269" i="96" s="1"/>
  <c r="P265" i="96"/>
  <c r="U265" i="96" s="1"/>
  <c r="P270" i="96"/>
  <c r="U270" i="96" s="1"/>
  <c r="S270" i="96" s="1"/>
  <c r="P267" i="96"/>
  <c r="U267" i="96" s="1"/>
  <c r="S267" i="96" s="1"/>
  <c r="S257" i="96"/>
  <c r="S263" i="96" s="1"/>
  <c r="U263" i="96"/>
  <c r="S261" i="86"/>
  <c r="S267" i="86" s="1"/>
  <c r="U267" i="86"/>
  <c r="Z276" i="86"/>
  <c r="P271" i="86"/>
  <c r="U271" i="86" s="1"/>
  <c r="S271" i="86" s="1"/>
  <c r="P273" i="86"/>
  <c r="U273" i="86" s="1"/>
  <c r="S273" i="86" s="1"/>
  <c r="P272" i="86"/>
  <c r="U272" i="86" s="1"/>
  <c r="S272" i="86" s="1"/>
  <c r="P274" i="86"/>
  <c r="U274" i="86" s="1"/>
  <c r="S274" i="86" s="1"/>
  <c r="P269" i="86"/>
  <c r="U269" i="86" s="1"/>
  <c r="N268" i="86"/>
  <c r="P270" i="86"/>
  <c r="U270" i="86" s="1"/>
  <c r="S270" i="86" s="1"/>
  <c r="S244" i="84"/>
  <c r="S250" i="84" s="1"/>
  <c r="U250" i="84"/>
  <c r="P252" i="84"/>
  <c r="U252" i="84" s="1"/>
  <c r="Z259" i="84"/>
  <c r="P253" i="84"/>
  <c r="U253" i="84" s="1"/>
  <c r="S253" i="84" s="1"/>
  <c r="N251" i="84"/>
  <c r="P254" i="84"/>
  <c r="U254" i="84" s="1"/>
  <c r="S254" i="84" s="1"/>
  <c r="P257" i="84"/>
  <c r="U257" i="84" s="1"/>
  <c r="S257" i="84" s="1"/>
  <c r="P255" i="84"/>
  <c r="U255" i="84" s="1"/>
  <c r="S255" i="84" s="1"/>
  <c r="P256" i="84"/>
  <c r="U256" i="84" s="1"/>
  <c r="S256" i="84" s="1"/>
  <c r="P249" i="74"/>
  <c r="U249" i="74" s="1"/>
  <c r="P254" i="74"/>
  <c r="U254" i="74" s="1"/>
  <c r="S254" i="74" s="1"/>
  <c r="P251" i="74"/>
  <c r="U251" i="74" s="1"/>
  <c r="S251" i="74" s="1"/>
  <c r="N248" i="74"/>
  <c r="Z256" i="74"/>
  <c r="P253" i="74"/>
  <c r="U253" i="74" s="1"/>
  <c r="S253" i="74" s="1"/>
  <c r="P250" i="74"/>
  <c r="U250" i="74" s="1"/>
  <c r="S250" i="74" s="1"/>
  <c r="P252" i="74"/>
  <c r="U252" i="74" s="1"/>
  <c r="S252" i="74" s="1"/>
  <c r="U247" i="74"/>
  <c r="S241" i="74"/>
  <c r="S247" i="74" s="1"/>
  <c r="P248" i="73"/>
  <c r="U248" i="73" s="1"/>
  <c r="S248" i="73" s="1"/>
  <c r="P244" i="73"/>
  <c r="U244" i="73" s="1"/>
  <c r="N243" i="73"/>
  <c r="P246" i="73"/>
  <c r="U246" i="73" s="1"/>
  <c r="S246" i="73" s="1"/>
  <c r="Z251" i="73"/>
  <c r="P245" i="73"/>
  <c r="U245" i="73" s="1"/>
  <c r="S245" i="73" s="1"/>
  <c r="P249" i="73"/>
  <c r="U249" i="73" s="1"/>
  <c r="S249" i="73" s="1"/>
  <c r="P247" i="73"/>
  <c r="U247" i="73" s="1"/>
  <c r="S247" i="73" s="1"/>
  <c r="U242" i="73"/>
  <c r="S236" i="73"/>
  <c r="S242" i="73" s="1"/>
  <c r="Z239" i="69"/>
  <c r="P232" i="69"/>
  <c r="U232" i="69" s="1"/>
  <c r="P233" i="69"/>
  <c r="U233" i="69" s="1"/>
  <c r="S233" i="69" s="1"/>
  <c r="P235" i="69"/>
  <c r="U235" i="69" s="1"/>
  <c r="S235" i="69" s="1"/>
  <c r="P236" i="69"/>
  <c r="U236" i="69" s="1"/>
  <c r="S236" i="69" s="1"/>
  <c r="N231" i="69"/>
  <c r="P237" i="69"/>
  <c r="U237" i="69" s="1"/>
  <c r="S237" i="69" s="1"/>
  <c r="P234" i="69"/>
  <c r="U234" i="69" s="1"/>
  <c r="S234" i="69" s="1"/>
  <c r="U230" i="69"/>
  <c r="S224" i="69"/>
  <c r="S230" i="69" s="1"/>
  <c r="S243" i="34"/>
  <c r="S249" i="34" s="1"/>
  <c r="U249" i="34"/>
  <c r="P251" i="34"/>
  <c r="U251" i="34" s="1"/>
  <c r="P255" i="34"/>
  <c r="U255" i="34" s="1"/>
  <c r="S255" i="34" s="1"/>
  <c r="N250" i="34"/>
  <c r="P256" i="34"/>
  <c r="U256" i="34" s="1"/>
  <c r="S256" i="34" s="1"/>
  <c r="Z258" i="34"/>
  <c r="P252" i="34"/>
  <c r="U252" i="34" s="1"/>
  <c r="S252" i="34" s="1"/>
  <c r="P254" i="34"/>
  <c r="U254" i="34" s="1"/>
  <c r="S254" i="34" s="1"/>
  <c r="P253" i="34"/>
  <c r="U253" i="34" s="1"/>
  <c r="S253" i="34" s="1"/>
  <c r="U263" i="57"/>
  <c r="S257" i="57"/>
  <c r="S263" i="57" s="1"/>
  <c r="P265" i="57"/>
  <c r="U265" i="57" s="1"/>
  <c r="P267" i="57"/>
  <c r="U267" i="57" s="1"/>
  <c r="S267" i="57" s="1"/>
  <c r="P269" i="57"/>
  <c r="U269" i="57" s="1"/>
  <c r="S269" i="57" s="1"/>
  <c r="P270" i="57"/>
  <c r="U270" i="57" s="1"/>
  <c r="S270" i="57" s="1"/>
  <c r="N264" i="57"/>
  <c r="P266" i="57"/>
  <c r="U266" i="57" s="1"/>
  <c r="S266" i="57" s="1"/>
  <c r="P268" i="57"/>
  <c r="U268" i="57" s="1"/>
  <c r="S268" i="57" s="1"/>
  <c r="Z272" i="57"/>
  <c r="S233" i="85"/>
  <c r="S239" i="85" s="1"/>
  <c r="U239" i="85"/>
  <c r="S238" i="59"/>
  <c r="S244" i="59" s="1"/>
  <c r="U244" i="59"/>
  <c r="P242" i="85"/>
  <c r="U242" i="85" s="1"/>
  <c r="S242" i="85" s="1"/>
  <c r="P241" i="85"/>
  <c r="U241" i="85" s="1"/>
  <c r="N240" i="85"/>
  <c r="P246" i="85"/>
  <c r="U246" i="85" s="1"/>
  <c r="S246" i="85" s="1"/>
  <c r="Z248" i="85"/>
  <c r="P243" i="85"/>
  <c r="U243" i="85" s="1"/>
  <c r="S243" i="85" s="1"/>
  <c r="P245" i="85"/>
  <c r="U245" i="85" s="1"/>
  <c r="S245" i="85" s="1"/>
  <c r="P244" i="85"/>
  <c r="U244" i="85" s="1"/>
  <c r="S244" i="85" s="1"/>
  <c r="P251" i="59"/>
  <c r="U251" i="59" s="1"/>
  <c r="S251" i="59" s="1"/>
  <c r="N245" i="59"/>
  <c r="P247" i="59"/>
  <c r="U247" i="59" s="1"/>
  <c r="S247" i="59" s="1"/>
  <c r="P246" i="59"/>
  <c r="U246" i="59" s="1"/>
  <c r="P248" i="59"/>
  <c r="U248" i="59" s="1"/>
  <c r="S248" i="59" s="1"/>
  <c r="P250" i="59"/>
  <c r="U250" i="59" s="1"/>
  <c r="S250" i="59" s="1"/>
  <c r="P249" i="59"/>
  <c r="U249" i="59" s="1"/>
  <c r="S249" i="59" s="1"/>
  <c r="Z253" i="59"/>
  <c r="Z269" i="92"/>
  <c r="Z277" i="92" s="1"/>
  <c r="N261" i="92"/>
  <c r="P262" i="92"/>
  <c r="U262" i="92" s="1"/>
  <c r="P266" i="92"/>
  <c r="U266" i="92" s="1"/>
  <c r="S266" i="92" s="1"/>
  <c r="P265" i="92"/>
  <c r="U265" i="92" s="1"/>
  <c r="S265" i="92" s="1"/>
  <c r="P263" i="92"/>
  <c r="U263" i="92" s="1"/>
  <c r="S263" i="92" s="1"/>
  <c r="P267" i="92"/>
  <c r="U267" i="92" s="1"/>
  <c r="S267" i="92" s="1"/>
  <c r="P264" i="92"/>
  <c r="U264" i="92" s="1"/>
  <c r="S264" i="92" s="1"/>
  <c r="S254" i="92"/>
  <c r="S260" i="92" s="1"/>
  <c r="U260" i="92"/>
  <c r="S230" i="89"/>
  <c r="S236" i="89" s="1"/>
  <c r="U236" i="89"/>
  <c r="S242" i="77"/>
  <c r="S248" i="77" s="1"/>
  <c r="U248" i="77"/>
  <c r="P266" i="88"/>
  <c r="U266" i="88" s="1"/>
  <c r="S266" i="88" s="1"/>
  <c r="P265" i="88"/>
  <c r="U265" i="88" s="1"/>
  <c r="S265" i="88" s="1"/>
  <c r="P262" i="88"/>
  <c r="U262" i="88" s="1"/>
  <c r="P267" i="88"/>
  <c r="U267" i="88" s="1"/>
  <c r="S267" i="88" s="1"/>
  <c r="P263" i="88"/>
  <c r="U263" i="88" s="1"/>
  <c r="S263" i="88" s="1"/>
  <c r="Z269" i="88"/>
  <c r="P264" i="88"/>
  <c r="U264" i="88" s="1"/>
  <c r="S264" i="88" s="1"/>
  <c r="N261" i="88"/>
  <c r="S254" i="88"/>
  <c r="S260" i="88" s="1"/>
  <c r="U260" i="88"/>
  <c r="N237" i="89"/>
  <c r="P242" i="89"/>
  <c r="U242" i="89" s="1"/>
  <c r="S242" i="89" s="1"/>
  <c r="P239" i="89"/>
  <c r="U239" i="89" s="1"/>
  <c r="S239" i="89" s="1"/>
  <c r="P240" i="89"/>
  <c r="U240" i="89" s="1"/>
  <c r="S240" i="89" s="1"/>
  <c r="P241" i="89"/>
  <c r="U241" i="89" s="1"/>
  <c r="S241" i="89" s="1"/>
  <c r="P243" i="89"/>
  <c r="U243" i="89" s="1"/>
  <c r="S243" i="89" s="1"/>
  <c r="P238" i="89"/>
  <c r="U238" i="89" s="1"/>
  <c r="U268" i="98" l="1"/>
  <c r="S262" i="98"/>
  <c r="S268" i="98" s="1"/>
  <c r="P282" i="92"/>
  <c r="U282" i="92" s="1"/>
  <c r="S282" i="92" s="1"/>
  <c r="P279" i="92"/>
  <c r="U279" i="92" s="1"/>
  <c r="S279" i="92" s="1"/>
  <c r="P281" i="92"/>
  <c r="U281" i="92" s="1"/>
  <c r="S281" i="92" s="1"/>
  <c r="P283" i="92"/>
  <c r="U283" i="92" s="1"/>
  <c r="S283" i="92" s="1"/>
  <c r="N277" i="92"/>
  <c r="P278" i="92"/>
  <c r="U278" i="92" s="1"/>
  <c r="P280" i="92"/>
  <c r="U280" i="92" s="1"/>
  <c r="S280" i="92" s="1"/>
  <c r="Z277" i="98"/>
  <c r="P273" i="98"/>
  <c r="U273" i="98" s="1"/>
  <c r="S273" i="98" s="1"/>
  <c r="P271" i="98"/>
  <c r="U271" i="98" s="1"/>
  <c r="S271" i="98" s="1"/>
  <c r="P272" i="98"/>
  <c r="U272" i="98" s="1"/>
  <c r="S272" i="98" s="1"/>
  <c r="N269" i="98"/>
  <c r="P275" i="98"/>
  <c r="U275" i="98" s="1"/>
  <c r="S275" i="98" s="1"/>
  <c r="P270" i="98"/>
  <c r="U270" i="98" s="1"/>
  <c r="P274" i="98"/>
  <c r="U274" i="98" s="1"/>
  <c r="S274" i="98" s="1"/>
  <c r="P274" i="96"/>
  <c r="U274" i="96" s="1"/>
  <c r="S274" i="96" s="1"/>
  <c r="Z280" i="96"/>
  <c r="P275" i="96"/>
  <c r="U275" i="96" s="1"/>
  <c r="S275" i="96" s="1"/>
  <c r="P276" i="96"/>
  <c r="U276" i="96" s="1"/>
  <c r="S276" i="96" s="1"/>
  <c r="P273" i="96"/>
  <c r="U273" i="96" s="1"/>
  <c r="P278" i="96"/>
  <c r="U278" i="96" s="1"/>
  <c r="S278" i="96" s="1"/>
  <c r="P277" i="96"/>
  <c r="U277" i="96" s="1"/>
  <c r="S277" i="96" s="1"/>
  <c r="N272" i="96"/>
  <c r="S265" i="96"/>
  <c r="S271" i="96" s="1"/>
  <c r="U271" i="96"/>
  <c r="U275" i="86"/>
  <c r="S269" i="86"/>
  <c r="S275" i="86" s="1"/>
  <c r="P278" i="86"/>
  <c r="U278" i="86" s="1"/>
  <c r="S278" i="86" s="1"/>
  <c r="P281" i="86"/>
  <c r="U281" i="86" s="1"/>
  <c r="S281" i="86" s="1"/>
  <c r="Z284" i="86"/>
  <c r="P282" i="86"/>
  <c r="U282" i="86" s="1"/>
  <c r="S282" i="86" s="1"/>
  <c r="N276" i="86"/>
  <c r="P277" i="86"/>
  <c r="U277" i="86" s="1"/>
  <c r="P280" i="86"/>
  <c r="U280" i="86" s="1"/>
  <c r="S280" i="86" s="1"/>
  <c r="P279" i="86"/>
  <c r="U279" i="86" s="1"/>
  <c r="S279" i="86" s="1"/>
  <c r="P263" i="84"/>
  <c r="U263" i="84" s="1"/>
  <c r="S263" i="84" s="1"/>
  <c r="N259" i="84"/>
  <c r="P262" i="84"/>
  <c r="U262" i="84" s="1"/>
  <c r="S262" i="84" s="1"/>
  <c r="Z267" i="84"/>
  <c r="P265" i="84"/>
  <c r="U265" i="84" s="1"/>
  <c r="S265" i="84" s="1"/>
  <c r="P264" i="84"/>
  <c r="U264" i="84" s="1"/>
  <c r="S264" i="84" s="1"/>
  <c r="P260" i="84"/>
  <c r="U260" i="84" s="1"/>
  <c r="P261" i="84"/>
  <c r="U261" i="84" s="1"/>
  <c r="S261" i="84" s="1"/>
  <c r="U258" i="84"/>
  <c r="S252" i="84"/>
  <c r="S258" i="84" s="1"/>
  <c r="B46" i="36"/>
  <c r="AE46" i="36" s="1"/>
  <c r="P261" i="74"/>
  <c r="U261" i="74" s="1"/>
  <c r="S261" i="74" s="1"/>
  <c r="P257" i="74"/>
  <c r="U257" i="74" s="1"/>
  <c r="P262" i="74"/>
  <c r="U262" i="74" s="1"/>
  <c r="S262" i="74" s="1"/>
  <c r="P259" i="74"/>
  <c r="U259" i="74" s="1"/>
  <c r="S259" i="74" s="1"/>
  <c r="N256" i="74"/>
  <c r="P260" i="74"/>
  <c r="U260" i="74" s="1"/>
  <c r="S260" i="74" s="1"/>
  <c r="Z264" i="74"/>
  <c r="P258" i="74"/>
  <c r="U258" i="74" s="1"/>
  <c r="S258" i="74" s="1"/>
  <c r="U255" i="74"/>
  <c r="S249" i="74"/>
  <c r="S255" i="74" s="1"/>
  <c r="U250" i="73"/>
  <c r="S244" i="73"/>
  <c r="S250" i="73" s="1"/>
  <c r="P256" i="73"/>
  <c r="U256" i="73" s="1"/>
  <c r="S256" i="73" s="1"/>
  <c r="N251" i="73"/>
  <c r="P252" i="73"/>
  <c r="U252" i="73" s="1"/>
  <c r="P254" i="73"/>
  <c r="U254" i="73" s="1"/>
  <c r="S254" i="73" s="1"/>
  <c r="P257" i="73"/>
  <c r="U257" i="73" s="1"/>
  <c r="S257" i="73" s="1"/>
  <c r="P255" i="73"/>
  <c r="U255" i="73" s="1"/>
  <c r="S255" i="73" s="1"/>
  <c r="P253" i="73"/>
  <c r="U253" i="73" s="1"/>
  <c r="S253" i="73" s="1"/>
  <c r="Z259" i="73"/>
  <c r="S232" i="69"/>
  <c r="S238" i="69" s="1"/>
  <c r="U238" i="69"/>
  <c r="P242" i="69"/>
  <c r="U242" i="69" s="1"/>
  <c r="S242" i="69" s="1"/>
  <c r="P245" i="69"/>
  <c r="U245" i="69" s="1"/>
  <c r="S245" i="69" s="1"/>
  <c r="P244" i="69"/>
  <c r="U244" i="69" s="1"/>
  <c r="S244" i="69" s="1"/>
  <c r="P241" i="69"/>
  <c r="U241" i="69" s="1"/>
  <c r="S241" i="69" s="1"/>
  <c r="N239" i="69"/>
  <c r="P243" i="69"/>
  <c r="U243" i="69" s="1"/>
  <c r="S243" i="69" s="1"/>
  <c r="P240" i="69"/>
  <c r="U240" i="69" s="1"/>
  <c r="N258" i="34"/>
  <c r="P260" i="34"/>
  <c r="U260" i="34" s="1"/>
  <c r="S260" i="34" s="1"/>
  <c r="P261" i="34"/>
  <c r="U261" i="34" s="1"/>
  <c r="S261" i="34" s="1"/>
  <c r="P263" i="34"/>
  <c r="U263" i="34" s="1"/>
  <c r="S263" i="34" s="1"/>
  <c r="P259" i="34"/>
  <c r="U259" i="34" s="1"/>
  <c r="P262" i="34"/>
  <c r="U262" i="34" s="1"/>
  <c r="S262" i="34" s="1"/>
  <c r="P264" i="34"/>
  <c r="U264" i="34" s="1"/>
  <c r="S264" i="34" s="1"/>
  <c r="U257" i="34"/>
  <c r="S251" i="34"/>
  <c r="S257" i="34" s="1"/>
  <c r="P255" i="59"/>
  <c r="U255" i="59" s="1"/>
  <c r="S255" i="59" s="1"/>
  <c r="P259" i="59"/>
  <c r="U259" i="59" s="1"/>
  <c r="S259" i="59" s="1"/>
  <c r="N253" i="59"/>
  <c r="P256" i="59"/>
  <c r="U256" i="59" s="1"/>
  <c r="S256" i="59" s="1"/>
  <c r="Z261" i="59"/>
  <c r="P257" i="59"/>
  <c r="U257" i="59" s="1"/>
  <c r="S257" i="59" s="1"/>
  <c r="P254" i="59"/>
  <c r="U254" i="59" s="1"/>
  <c r="P258" i="59"/>
  <c r="U258" i="59" s="1"/>
  <c r="S258" i="59" s="1"/>
  <c r="S246" i="59"/>
  <c r="S252" i="59" s="1"/>
  <c r="U252" i="59"/>
  <c r="S265" i="57"/>
  <c r="S271" i="57" s="1"/>
  <c r="U271" i="57"/>
  <c r="S241" i="85"/>
  <c r="S247" i="85" s="1"/>
  <c r="U247" i="85"/>
  <c r="P277" i="57"/>
  <c r="U277" i="57" s="1"/>
  <c r="S277" i="57" s="1"/>
  <c r="N272" i="57"/>
  <c r="P273" i="57"/>
  <c r="U273" i="57" s="1"/>
  <c r="P274" i="57"/>
  <c r="U274" i="57" s="1"/>
  <c r="S274" i="57" s="1"/>
  <c r="Z280" i="57"/>
  <c r="P278" i="57"/>
  <c r="U278" i="57" s="1"/>
  <c r="S278" i="57" s="1"/>
  <c r="P275" i="57"/>
  <c r="U275" i="57" s="1"/>
  <c r="S275" i="57" s="1"/>
  <c r="P276" i="57"/>
  <c r="U276" i="57" s="1"/>
  <c r="S276" i="57" s="1"/>
  <c r="P254" i="85"/>
  <c r="U254" i="85" s="1"/>
  <c r="S254" i="85" s="1"/>
  <c r="P253" i="85"/>
  <c r="U253" i="85" s="1"/>
  <c r="S253" i="85" s="1"/>
  <c r="N248" i="85"/>
  <c r="P250" i="85"/>
  <c r="U250" i="85" s="1"/>
  <c r="S250" i="85" s="1"/>
  <c r="P249" i="85"/>
  <c r="U249" i="85" s="1"/>
  <c r="P252" i="85"/>
  <c r="U252" i="85" s="1"/>
  <c r="S252" i="85" s="1"/>
  <c r="Z256" i="85"/>
  <c r="P251" i="85"/>
  <c r="U251" i="85" s="1"/>
  <c r="S251" i="85" s="1"/>
  <c r="S262" i="92"/>
  <c r="S268" i="92" s="1"/>
  <c r="U268" i="92"/>
  <c r="P271" i="92"/>
  <c r="U271" i="92" s="1"/>
  <c r="S271" i="92" s="1"/>
  <c r="P273" i="92"/>
  <c r="U273" i="92" s="1"/>
  <c r="S273" i="92" s="1"/>
  <c r="P275" i="92"/>
  <c r="U275" i="92" s="1"/>
  <c r="S275" i="92" s="1"/>
  <c r="P270" i="92"/>
  <c r="U270" i="92" s="1"/>
  <c r="N269" i="92"/>
  <c r="P272" i="92"/>
  <c r="U272" i="92" s="1"/>
  <c r="S272" i="92" s="1"/>
  <c r="P274" i="92"/>
  <c r="U274" i="92" s="1"/>
  <c r="S274" i="92" s="1"/>
  <c r="U244" i="89"/>
  <c r="S238" i="89"/>
  <c r="S244" i="89" s="1"/>
  <c r="U268" i="88"/>
  <c r="S262" i="88"/>
  <c r="S268" i="88" s="1"/>
  <c r="P270" i="88"/>
  <c r="U270" i="88" s="1"/>
  <c r="Z277" i="88"/>
  <c r="N269" i="88"/>
  <c r="P275" i="88"/>
  <c r="U275" i="88" s="1"/>
  <c r="S275" i="88" s="1"/>
  <c r="P272" i="88"/>
  <c r="U272" i="88" s="1"/>
  <c r="S272" i="88" s="1"/>
  <c r="P273" i="88"/>
  <c r="U273" i="88" s="1"/>
  <c r="S273" i="88" s="1"/>
  <c r="P271" i="88"/>
  <c r="U271" i="88" s="1"/>
  <c r="S271" i="88" s="1"/>
  <c r="P274" i="88"/>
  <c r="U274" i="88" s="1"/>
  <c r="S274" i="88" s="1"/>
  <c r="U276" i="98" l="1"/>
  <c r="S270" i="98"/>
  <c r="S276" i="98" s="1"/>
  <c r="U284" i="92"/>
  <c r="S278" i="92"/>
  <c r="S284" i="92" s="1"/>
  <c r="P279" i="98"/>
  <c r="U279" i="98" s="1"/>
  <c r="S279" i="98" s="1"/>
  <c r="N277" i="98"/>
  <c r="P283" i="98"/>
  <c r="U283" i="98" s="1"/>
  <c r="S283" i="98" s="1"/>
  <c r="P280" i="98"/>
  <c r="U280" i="98" s="1"/>
  <c r="S280" i="98" s="1"/>
  <c r="P278" i="98"/>
  <c r="U278" i="98" s="1"/>
  <c r="P281" i="98"/>
  <c r="U281" i="98" s="1"/>
  <c r="S281" i="98" s="1"/>
  <c r="P282" i="98"/>
  <c r="U282" i="98" s="1"/>
  <c r="S282" i="98" s="1"/>
  <c r="P282" i="96"/>
  <c r="U282" i="96" s="1"/>
  <c r="S282" i="96" s="1"/>
  <c r="P284" i="96"/>
  <c r="U284" i="96" s="1"/>
  <c r="S284" i="96" s="1"/>
  <c r="N280" i="96"/>
  <c r="P285" i="96"/>
  <c r="U285" i="96" s="1"/>
  <c r="S285" i="96" s="1"/>
  <c r="P283" i="96"/>
  <c r="U283" i="96" s="1"/>
  <c r="S283" i="96" s="1"/>
  <c r="P281" i="96"/>
  <c r="U281" i="96" s="1"/>
  <c r="P286" i="96"/>
  <c r="U286" i="96" s="1"/>
  <c r="S286" i="96" s="1"/>
  <c r="Z288" i="96"/>
  <c r="U279" i="96"/>
  <c r="S273" i="96"/>
  <c r="S279" i="96" s="1"/>
  <c r="U283" i="86"/>
  <c r="S277" i="86"/>
  <c r="S283" i="86" s="1"/>
  <c r="Z292" i="86"/>
  <c r="P287" i="86"/>
  <c r="U287" i="86" s="1"/>
  <c r="S287" i="86" s="1"/>
  <c r="P290" i="86"/>
  <c r="U290" i="86" s="1"/>
  <c r="S290" i="86" s="1"/>
  <c r="N284" i="86"/>
  <c r="P286" i="86"/>
  <c r="U286" i="86" s="1"/>
  <c r="S286" i="86" s="1"/>
  <c r="P285" i="86"/>
  <c r="U285" i="86" s="1"/>
  <c r="P288" i="86"/>
  <c r="U288" i="86" s="1"/>
  <c r="S288" i="86" s="1"/>
  <c r="P289" i="86"/>
  <c r="U289" i="86" s="1"/>
  <c r="S289" i="86" s="1"/>
  <c r="P273" i="84"/>
  <c r="U273" i="84" s="1"/>
  <c r="S273" i="84" s="1"/>
  <c r="P268" i="84"/>
  <c r="U268" i="84" s="1"/>
  <c r="P272" i="84"/>
  <c r="U272" i="84" s="1"/>
  <c r="S272" i="84" s="1"/>
  <c r="N267" i="84"/>
  <c r="Z275" i="84"/>
  <c r="P269" i="84"/>
  <c r="U269" i="84" s="1"/>
  <c r="S269" i="84" s="1"/>
  <c r="P270" i="84"/>
  <c r="U270" i="84" s="1"/>
  <c r="S270" i="84" s="1"/>
  <c r="P271" i="84"/>
  <c r="U271" i="84" s="1"/>
  <c r="S271" i="84" s="1"/>
  <c r="U266" i="84"/>
  <c r="S260" i="84"/>
  <c r="S266" i="84" s="1"/>
  <c r="B48" i="36"/>
  <c r="AE48" i="36" s="1"/>
  <c r="S257" i="74"/>
  <c r="S263" i="74" s="1"/>
  <c r="U263" i="74"/>
  <c r="N264" i="74"/>
  <c r="P268" i="74"/>
  <c r="U268" i="74" s="1"/>
  <c r="S268" i="74" s="1"/>
  <c r="P266" i="74"/>
  <c r="U266" i="74" s="1"/>
  <c r="S266" i="74" s="1"/>
  <c r="P270" i="74"/>
  <c r="U270" i="74" s="1"/>
  <c r="S270" i="74" s="1"/>
  <c r="P265" i="74"/>
  <c r="U265" i="74" s="1"/>
  <c r="P267" i="74"/>
  <c r="U267" i="74" s="1"/>
  <c r="S267" i="74" s="1"/>
  <c r="Z272" i="74"/>
  <c r="P269" i="74"/>
  <c r="U269" i="74" s="1"/>
  <c r="S269" i="74" s="1"/>
  <c r="P261" i="73"/>
  <c r="U261" i="73" s="1"/>
  <c r="S261" i="73" s="1"/>
  <c r="Z267" i="73"/>
  <c r="P264" i="73"/>
  <c r="U264" i="73" s="1"/>
  <c r="S264" i="73" s="1"/>
  <c r="P263" i="73"/>
  <c r="U263" i="73" s="1"/>
  <c r="S263" i="73" s="1"/>
  <c r="P260" i="73"/>
  <c r="U260" i="73" s="1"/>
  <c r="N259" i="73"/>
  <c r="P265" i="73"/>
  <c r="U265" i="73" s="1"/>
  <c r="S265" i="73" s="1"/>
  <c r="P262" i="73"/>
  <c r="U262" i="73" s="1"/>
  <c r="S262" i="73" s="1"/>
  <c r="S252" i="73"/>
  <c r="S258" i="73" s="1"/>
  <c r="U258" i="73"/>
  <c r="U246" i="69"/>
  <c r="S240" i="69"/>
  <c r="S246" i="69" s="1"/>
  <c r="S259" i="34"/>
  <c r="S265" i="34" s="1"/>
  <c r="U265" i="34"/>
  <c r="Z264" i="85"/>
  <c r="P261" i="85"/>
  <c r="U261" i="85" s="1"/>
  <c r="S261" i="85" s="1"/>
  <c r="P258" i="85"/>
  <c r="U258" i="85" s="1"/>
  <c r="S258" i="85" s="1"/>
  <c r="P257" i="85"/>
  <c r="U257" i="85" s="1"/>
  <c r="P262" i="85"/>
  <c r="U262" i="85" s="1"/>
  <c r="S262" i="85" s="1"/>
  <c r="P260" i="85"/>
  <c r="U260" i="85" s="1"/>
  <c r="S260" i="85" s="1"/>
  <c r="P259" i="85"/>
  <c r="U259" i="85" s="1"/>
  <c r="S259" i="85" s="1"/>
  <c r="N256" i="85"/>
  <c r="P281" i="57"/>
  <c r="U281" i="57" s="1"/>
  <c r="P283" i="57"/>
  <c r="U283" i="57" s="1"/>
  <c r="S283" i="57" s="1"/>
  <c r="P284" i="57"/>
  <c r="U284" i="57" s="1"/>
  <c r="S284" i="57" s="1"/>
  <c r="P286" i="57"/>
  <c r="U286" i="57" s="1"/>
  <c r="S286" i="57" s="1"/>
  <c r="P285" i="57"/>
  <c r="U285" i="57" s="1"/>
  <c r="S285" i="57" s="1"/>
  <c r="N280" i="57"/>
  <c r="Z288" i="57"/>
  <c r="P282" i="57"/>
  <c r="U282" i="57" s="1"/>
  <c r="S282" i="57" s="1"/>
  <c r="S254" i="59"/>
  <c r="S260" i="59" s="1"/>
  <c r="U260" i="59"/>
  <c r="S249" i="85"/>
  <c r="S255" i="85" s="1"/>
  <c r="U255" i="85"/>
  <c r="S273" i="57"/>
  <c r="S279" i="57" s="1"/>
  <c r="U279" i="57"/>
  <c r="P262" i="59"/>
  <c r="U262" i="59" s="1"/>
  <c r="P263" i="59"/>
  <c r="U263" i="59" s="1"/>
  <c r="S263" i="59" s="1"/>
  <c r="P265" i="59"/>
  <c r="U265" i="59" s="1"/>
  <c r="S265" i="59" s="1"/>
  <c r="Z269" i="59"/>
  <c r="N261" i="59"/>
  <c r="P264" i="59"/>
  <c r="U264" i="59" s="1"/>
  <c r="S264" i="59" s="1"/>
  <c r="P266" i="59"/>
  <c r="U266" i="59" s="1"/>
  <c r="S266" i="59" s="1"/>
  <c r="P267" i="59"/>
  <c r="U267" i="59" s="1"/>
  <c r="S267" i="59" s="1"/>
  <c r="S270" i="92"/>
  <c r="S276" i="92" s="1"/>
  <c r="U276" i="92"/>
  <c r="S270" i="88"/>
  <c r="S276" i="88" s="1"/>
  <c r="U276" i="88"/>
  <c r="P279" i="88"/>
  <c r="U279" i="88" s="1"/>
  <c r="S279" i="88" s="1"/>
  <c r="N277" i="88"/>
  <c r="P281" i="88"/>
  <c r="U281" i="88" s="1"/>
  <c r="S281" i="88" s="1"/>
  <c r="P282" i="88"/>
  <c r="U282" i="88" s="1"/>
  <c r="S282" i="88" s="1"/>
  <c r="P280" i="88"/>
  <c r="U280" i="88" s="1"/>
  <c r="S280" i="88" s="1"/>
  <c r="P278" i="88"/>
  <c r="U278" i="88" s="1"/>
  <c r="P283" i="88"/>
  <c r="U283" i="88" s="1"/>
  <c r="S283" i="88" s="1"/>
  <c r="Z285" i="88"/>
  <c r="S278" i="98" l="1"/>
  <c r="S284" i="98" s="1"/>
  <c r="U284" i="98"/>
  <c r="U287" i="96"/>
  <c r="S281" i="96"/>
  <c r="S287" i="96" s="1"/>
  <c r="P291" i="96"/>
  <c r="U291" i="96" s="1"/>
  <c r="S291" i="96" s="1"/>
  <c r="P289" i="96"/>
  <c r="U289" i="96" s="1"/>
  <c r="N288" i="96"/>
  <c r="Z296" i="96"/>
  <c r="Z304" i="96" s="1"/>
  <c r="P293" i="96"/>
  <c r="U293" i="96" s="1"/>
  <c r="S293" i="96" s="1"/>
  <c r="P292" i="96"/>
  <c r="U292" i="96" s="1"/>
  <c r="S292" i="96" s="1"/>
  <c r="P294" i="96"/>
  <c r="U294" i="96" s="1"/>
  <c r="S294" i="96" s="1"/>
  <c r="P290" i="96"/>
  <c r="U290" i="96" s="1"/>
  <c r="S290" i="96" s="1"/>
  <c r="S285" i="86"/>
  <c r="S291" i="86" s="1"/>
  <c r="U291" i="86"/>
  <c r="P295" i="86"/>
  <c r="U295" i="86" s="1"/>
  <c r="S295" i="86" s="1"/>
  <c r="P293" i="86"/>
  <c r="U293" i="86" s="1"/>
  <c r="P298" i="86"/>
  <c r="U298" i="86" s="1"/>
  <c r="S298" i="86" s="1"/>
  <c r="N292" i="86"/>
  <c r="P296" i="86"/>
  <c r="U296" i="86" s="1"/>
  <c r="S296" i="86" s="1"/>
  <c r="P294" i="86"/>
  <c r="U294" i="86" s="1"/>
  <c r="S294" i="86" s="1"/>
  <c r="P297" i="86"/>
  <c r="U297" i="86" s="1"/>
  <c r="S297" i="86" s="1"/>
  <c r="U274" i="84"/>
  <c r="S268" i="84"/>
  <c r="S274" i="84" s="1"/>
  <c r="P279" i="84"/>
  <c r="U279" i="84" s="1"/>
  <c r="S279" i="84" s="1"/>
  <c r="P276" i="84"/>
  <c r="U276" i="84" s="1"/>
  <c r="N275" i="84"/>
  <c r="P280" i="84"/>
  <c r="U280" i="84" s="1"/>
  <c r="S280" i="84" s="1"/>
  <c r="P281" i="84"/>
  <c r="U281" i="84" s="1"/>
  <c r="S281" i="84" s="1"/>
  <c r="P278" i="84"/>
  <c r="U278" i="84" s="1"/>
  <c r="S278" i="84" s="1"/>
  <c r="P277" i="84"/>
  <c r="U277" i="84" s="1"/>
  <c r="S277" i="84" s="1"/>
  <c r="B49" i="36"/>
  <c r="AE49" i="36" s="1"/>
  <c r="S265" i="74"/>
  <c r="S271" i="74" s="1"/>
  <c r="U271" i="74"/>
  <c r="N272" i="74"/>
  <c r="P274" i="74"/>
  <c r="U274" i="74" s="1"/>
  <c r="S274" i="74" s="1"/>
  <c r="P277" i="74"/>
  <c r="U277" i="74" s="1"/>
  <c r="S277" i="74" s="1"/>
  <c r="P276" i="74"/>
  <c r="U276" i="74" s="1"/>
  <c r="S276" i="74" s="1"/>
  <c r="P273" i="74"/>
  <c r="U273" i="74" s="1"/>
  <c r="P275" i="74"/>
  <c r="U275" i="74" s="1"/>
  <c r="S275" i="74" s="1"/>
  <c r="Z280" i="74"/>
  <c r="P278" i="74"/>
  <c r="U278" i="74" s="1"/>
  <c r="S278" i="74" s="1"/>
  <c r="P268" i="73"/>
  <c r="U268" i="73" s="1"/>
  <c r="P270" i="73"/>
  <c r="U270" i="73" s="1"/>
  <c r="S270" i="73" s="1"/>
  <c r="N267" i="73"/>
  <c r="P269" i="73"/>
  <c r="U269" i="73" s="1"/>
  <c r="S269" i="73" s="1"/>
  <c r="P272" i="73"/>
  <c r="U272" i="73" s="1"/>
  <c r="S272" i="73" s="1"/>
  <c r="P273" i="73"/>
  <c r="U273" i="73" s="1"/>
  <c r="S273" i="73" s="1"/>
  <c r="P271" i="73"/>
  <c r="U271" i="73" s="1"/>
  <c r="S271" i="73" s="1"/>
  <c r="Z275" i="73"/>
  <c r="S260" i="73"/>
  <c r="S266" i="73" s="1"/>
  <c r="U266" i="73"/>
  <c r="P273" i="59"/>
  <c r="U273" i="59" s="1"/>
  <c r="S273" i="59" s="1"/>
  <c r="P271" i="59"/>
  <c r="U271" i="59" s="1"/>
  <c r="S271" i="59" s="1"/>
  <c r="P270" i="59"/>
  <c r="U270" i="59" s="1"/>
  <c r="Z277" i="59"/>
  <c r="N269" i="59"/>
  <c r="P272" i="59"/>
  <c r="U272" i="59" s="1"/>
  <c r="S272" i="59" s="1"/>
  <c r="P274" i="59"/>
  <c r="U274" i="59" s="1"/>
  <c r="S274" i="59" s="1"/>
  <c r="P275" i="59"/>
  <c r="U275" i="59" s="1"/>
  <c r="S275" i="59" s="1"/>
  <c r="S257" i="85"/>
  <c r="S263" i="85" s="1"/>
  <c r="U263" i="85"/>
  <c r="P293" i="57"/>
  <c r="U293" i="57" s="1"/>
  <c r="S293" i="57" s="1"/>
  <c r="P289" i="57"/>
  <c r="U289" i="57" s="1"/>
  <c r="P290" i="57"/>
  <c r="U290" i="57" s="1"/>
  <c r="S290" i="57" s="1"/>
  <c r="Z296" i="57"/>
  <c r="P292" i="57"/>
  <c r="U292" i="57" s="1"/>
  <c r="S292" i="57" s="1"/>
  <c r="N288" i="57"/>
  <c r="P294" i="57"/>
  <c r="U294" i="57" s="1"/>
  <c r="S294" i="57" s="1"/>
  <c r="P291" i="57"/>
  <c r="U291" i="57" s="1"/>
  <c r="S291" i="57" s="1"/>
  <c r="S262" i="59"/>
  <c r="S268" i="59" s="1"/>
  <c r="U268" i="59"/>
  <c r="S281" i="57"/>
  <c r="S287" i="57" s="1"/>
  <c r="U287" i="57"/>
  <c r="P267" i="85"/>
  <c r="U267" i="85" s="1"/>
  <c r="S267" i="85" s="1"/>
  <c r="N264" i="85"/>
  <c r="P266" i="85"/>
  <c r="U266" i="85" s="1"/>
  <c r="S266" i="85" s="1"/>
  <c r="P268" i="85"/>
  <c r="U268" i="85" s="1"/>
  <c r="S268" i="85" s="1"/>
  <c r="P265" i="85"/>
  <c r="U265" i="85" s="1"/>
  <c r="P270" i="85"/>
  <c r="U270" i="85" s="1"/>
  <c r="S270" i="85" s="1"/>
  <c r="P269" i="85"/>
  <c r="U269" i="85" s="1"/>
  <c r="S269" i="85" s="1"/>
  <c r="S278" i="88"/>
  <c r="S284" i="88" s="1"/>
  <c r="U284" i="88"/>
  <c r="P290" i="88"/>
  <c r="U290" i="88" s="1"/>
  <c r="S290" i="88" s="1"/>
  <c r="P287" i="88"/>
  <c r="U287" i="88" s="1"/>
  <c r="S287" i="88" s="1"/>
  <c r="P286" i="88"/>
  <c r="U286" i="88" s="1"/>
  <c r="P291" i="88"/>
  <c r="U291" i="88" s="1"/>
  <c r="S291" i="88" s="1"/>
  <c r="P288" i="88"/>
  <c r="U288" i="88" s="1"/>
  <c r="S288" i="88" s="1"/>
  <c r="Z293" i="88"/>
  <c r="P289" i="88"/>
  <c r="U289" i="88" s="1"/>
  <c r="S289" i="88" s="1"/>
  <c r="N285" i="88"/>
  <c r="Z312" i="96" l="1"/>
  <c r="P307" i="96"/>
  <c r="U307" i="96" s="1"/>
  <c r="S307" i="96" s="1"/>
  <c r="N304" i="96"/>
  <c r="P305" i="96"/>
  <c r="U305" i="96" s="1"/>
  <c r="P309" i="96"/>
  <c r="U309" i="96" s="1"/>
  <c r="S309" i="96" s="1"/>
  <c r="P306" i="96"/>
  <c r="U306" i="96" s="1"/>
  <c r="S306" i="96" s="1"/>
  <c r="P308" i="96"/>
  <c r="U308" i="96" s="1"/>
  <c r="S308" i="96" s="1"/>
  <c r="P310" i="96"/>
  <c r="U310" i="96" s="1"/>
  <c r="S310" i="96" s="1"/>
  <c r="P302" i="96"/>
  <c r="U302" i="96" s="1"/>
  <c r="S302" i="96" s="1"/>
  <c r="P297" i="96"/>
  <c r="U297" i="96" s="1"/>
  <c r="P299" i="96"/>
  <c r="U299" i="96" s="1"/>
  <c r="S299" i="96" s="1"/>
  <c r="N296" i="96"/>
  <c r="P298" i="96"/>
  <c r="U298" i="96" s="1"/>
  <c r="S298" i="96" s="1"/>
  <c r="P301" i="96"/>
  <c r="U301" i="96" s="1"/>
  <c r="S301" i="96" s="1"/>
  <c r="P300" i="96"/>
  <c r="U300" i="96" s="1"/>
  <c r="S300" i="96" s="1"/>
  <c r="S289" i="96"/>
  <c r="S295" i="96" s="1"/>
  <c r="U295" i="96"/>
  <c r="S293" i="86"/>
  <c r="S299" i="86" s="1"/>
  <c r="U299" i="86"/>
  <c r="S276" i="84"/>
  <c r="S282" i="84" s="1"/>
  <c r="U282" i="84"/>
  <c r="B50" i="36"/>
  <c r="AE50" i="36" s="1"/>
  <c r="U279" i="74"/>
  <c r="S273" i="74"/>
  <c r="S279" i="74" s="1"/>
  <c r="P283" i="74"/>
  <c r="U283" i="74" s="1"/>
  <c r="S283" i="74" s="1"/>
  <c r="P284" i="74"/>
  <c r="U284" i="74" s="1"/>
  <c r="S284" i="74" s="1"/>
  <c r="P285" i="74"/>
  <c r="U285" i="74" s="1"/>
  <c r="S285" i="74" s="1"/>
  <c r="P286" i="74"/>
  <c r="U286" i="74" s="1"/>
  <c r="S286" i="74" s="1"/>
  <c r="N280" i="74"/>
  <c r="P282" i="74"/>
  <c r="U282" i="74" s="1"/>
  <c r="S282" i="74" s="1"/>
  <c r="P281" i="74"/>
  <c r="U281" i="74" s="1"/>
  <c r="Z288" i="74"/>
  <c r="P277" i="73"/>
  <c r="U277" i="73" s="1"/>
  <c r="S277" i="73" s="1"/>
  <c r="P276" i="73"/>
  <c r="U276" i="73" s="1"/>
  <c r="Z283" i="73"/>
  <c r="P281" i="73"/>
  <c r="U281" i="73" s="1"/>
  <c r="S281" i="73" s="1"/>
  <c r="P280" i="73"/>
  <c r="U280" i="73" s="1"/>
  <c r="S280" i="73" s="1"/>
  <c r="P279" i="73"/>
  <c r="U279" i="73" s="1"/>
  <c r="S279" i="73" s="1"/>
  <c r="N275" i="73"/>
  <c r="P278" i="73"/>
  <c r="U278" i="73" s="1"/>
  <c r="S278" i="73" s="1"/>
  <c r="U274" i="73"/>
  <c r="S268" i="73"/>
  <c r="S274" i="73" s="1"/>
  <c r="S289" i="57"/>
  <c r="S295" i="57" s="1"/>
  <c r="U295" i="57"/>
  <c r="P283" i="59"/>
  <c r="U283" i="59" s="1"/>
  <c r="S283" i="59" s="1"/>
  <c r="N277" i="59"/>
  <c r="P281" i="59"/>
  <c r="U281" i="59" s="1"/>
  <c r="S281" i="59" s="1"/>
  <c r="P279" i="59"/>
  <c r="U279" i="59" s="1"/>
  <c r="S279" i="59" s="1"/>
  <c r="Z285" i="59"/>
  <c r="P282" i="59"/>
  <c r="U282" i="59" s="1"/>
  <c r="S282" i="59" s="1"/>
  <c r="P280" i="59"/>
  <c r="U280" i="59" s="1"/>
  <c r="S280" i="59" s="1"/>
  <c r="P278" i="59"/>
  <c r="U278" i="59" s="1"/>
  <c r="U276" i="59"/>
  <c r="S270" i="59"/>
  <c r="S276" i="59" s="1"/>
  <c r="U271" i="85"/>
  <c r="S265" i="85"/>
  <c r="S271" i="85" s="1"/>
  <c r="P300" i="57"/>
  <c r="U300" i="57" s="1"/>
  <c r="S300" i="57" s="1"/>
  <c r="P297" i="57"/>
  <c r="U297" i="57" s="1"/>
  <c r="P298" i="57"/>
  <c r="U298" i="57" s="1"/>
  <c r="S298" i="57" s="1"/>
  <c r="Z304" i="57"/>
  <c r="P301" i="57"/>
  <c r="U301" i="57" s="1"/>
  <c r="S301" i="57" s="1"/>
  <c r="P299" i="57"/>
  <c r="U299" i="57" s="1"/>
  <c r="S299" i="57" s="1"/>
  <c r="N296" i="57"/>
  <c r="P302" i="57"/>
  <c r="U302" i="57" s="1"/>
  <c r="S302" i="57" s="1"/>
  <c r="U292" i="88"/>
  <c r="S286" i="88"/>
  <c r="S292" i="88" s="1"/>
  <c r="P299" i="88"/>
  <c r="U299" i="88" s="1"/>
  <c r="S299" i="88" s="1"/>
  <c r="P294" i="88"/>
  <c r="U294" i="88" s="1"/>
  <c r="P295" i="88"/>
  <c r="U295" i="88" s="1"/>
  <c r="S295" i="88" s="1"/>
  <c r="Z301" i="88"/>
  <c r="N293" i="88"/>
  <c r="P296" i="88"/>
  <c r="U296" i="88" s="1"/>
  <c r="S296" i="88" s="1"/>
  <c r="P297" i="88"/>
  <c r="U297" i="88" s="1"/>
  <c r="S297" i="88" s="1"/>
  <c r="P298" i="88"/>
  <c r="U298" i="88" s="1"/>
  <c r="S298" i="88" s="1"/>
  <c r="U311" i="96" l="1"/>
  <c r="S305" i="96"/>
  <c r="S311" i="96" s="1"/>
  <c r="Z320" i="96"/>
  <c r="P316" i="96"/>
  <c r="U316" i="96" s="1"/>
  <c r="S316" i="96" s="1"/>
  <c r="P314" i="96"/>
  <c r="U314" i="96" s="1"/>
  <c r="S314" i="96" s="1"/>
  <c r="P318" i="96"/>
  <c r="U318" i="96" s="1"/>
  <c r="S318" i="96" s="1"/>
  <c r="P315" i="96"/>
  <c r="U315" i="96" s="1"/>
  <c r="S315" i="96" s="1"/>
  <c r="P317" i="96"/>
  <c r="U317" i="96" s="1"/>
  <c r="S317" i="96" s="1"/>
  <c r="P313" i="96"/>
  <c r="U313" i="96" s="1"/>
  <c r="N312" i="96"/>
  <c r="U303" i="96"/>
  <c r="S297" i="96"/>
  <c r="S303" i="96" s="1"/>
  <c r="B51" i="36"/>
  <c r="AE51" i="36" s="1"/>
  <c r="Z296" i="74"/>
  <c r="P294" i="74"/>
  <c r="U294" i="74" s="1"/>
  <c r="S294" i="74" s="1"/>
  <c r="P292" i="74"/>
  <c r="U292" i="74" s="1"/>
  <c r="S292" i="74" s="1"/>
  <c r="N288" i="74"/>
  <c r="P291" i="74"/>
  <c r="U291" i="74" s="1"/>
  <c r="S291" i="74" s="1"/>
  <c r="P293" i="74"/>
  <c r="U293" i="74" s="1"/>
  <c r="S293" i="74" s="1"/>
  <c r="P289" i="74"/>
  <c r="U289" i="74" s="1"/>
  <c r="P290" i="74"/>
  <c r="U290" i="74" s="1"/>
  <c r="S290" i="74" s="1"/>
  <c r="U287" i="74"/>
  <c r="S281" i="74"/>
  <c r="S287" i="74" s="1"/>
  <c r="P284" i="73"/>
  <c r="U284" i="73" s="1"/>
  <c r="N283" i="73"/>
  <c r="P289" i="73"/>
  <c r="U289" i="73" s="1"/>
  <c r="S289" i="73" s="1"/>
  <c r="P286" i="73"/>
  <c r="U286" i="73" s="1"/>
  <c r="S286" i="73" s="1"/>
  <c r="P288" i="73"/>
  <c r="U288" i="73" s="1"/>
  <c r="S288" i="73" s="1"/>
  <c r="P285" i="73"/>
  <c r="U285" i="73" s="1"/>
  <c r="S285" i="73" s="1"/>
  <c r="P287" i="73"/>
  <c r="U287" i="73" s="1"/>
  <c r="S287" i="73" s="1"/>
  <c r="S276" i="73"/>
  <c r="S282" i="73" s="1"/>
  <c r="U282" i="73"/>
  <c r="P305" i="57"/>
  <c r="U305" i="57" s="1"/>
  <c r="P307" i="57"/>
  <c r="U307" i="57" s="1"/>
  <c r="S307" i="57" s="1"/>
  <c r="N304" i="57"/>
  <c r="P308" i="57"/>
  <c r="U308" i="57" s="1"/>
  <c r="S308" i="57" s="1"/>
  <c r="P306" i="57"/>
  <c r="U306" i="57" s="1"/>
  <c r="S306" i="57" s="1"/>
  <c r="P309" i="57"/>
  <c r="U309" i="57" s="1"/>
  <c r="S309" i="57" s="1"/>
  <c r="P310" i="57"/>
  <c r="U310" i="57" s="1"/>
  <c r="S310" i="57" s="1"/>
  <c r="P291" i="59"/>
  <c r="U291" i="59" s="1"/>
  <c r="S291" i="59" s="1"/>
  <c r="N285" i="59"/>
  <c r="P289" i="59"/>
  <c r="U289" i="59" s="1"/>
  <c r="S289" i="59" s="1"/>
  <c r="P288" i="59"/>
  <c r="U288" i="59" s="1"/>
  <c r="S288" i="59" s="1"/>
  <c r="P286" i="59"/>
  <c r="U286" i="59" s="1"/>
  <c r="P287" i="59"/>
  <c r="U287" i="59" s="1"/>
  <c r="S287" i="59" s="1"/>
  <c r="P290" i="59"/>
  <c r="U290" i="59" s="1"/>
  <c r="S290" i="59" s="1"/>
  <c r="S297" i="57"/>
  <c r="S303" i="57" s="1"/>
  <c r="U303" i="57"/>
  <c r="S278" i="59"/>
  <c r="S284" i="59" s="1"/>
  <c r="U284" i="59"/>
  <c r="P304" i="88"/>
  <c r="U304" i="88" s="1"/>
  <c r="S304" i="88" s="1"/>
  <c r="P305" i="88"/>
  <c r="U305" i="88" s="1"/>
  <c r="S305" i="88" s="1"/>
  <c r="P306" i="88"/>
  <c r="U306" i="88" s="1"/>
  <c r="S306" i="88" s="1"/>
  <c r="P307" i="88"/>
  <c r="U307" i="88" s="1"/>
  <c r="S307" i="88" s="1"/>
  <c r="P303" i="88"/>
  <c r="U303" i="88" s="1"/>
  <c r="S303" i="88" s="1"/>
  <c r="N301" i="88"/>
  <c r="P302" i="88"/>
  <c r="U302" i="88" s="1"/>
  <c r="S294" i="88"/>
  <c r="S300" i="88" s="1"/>
  <c r="U300" i="88"/>
  <c r="P324" i="96" l="1"/>
  <c r="U324" i="96" s="1"/>
  <c r="S324" i="96" s="1"/>
  <c r="P322" i="96"/>
  <c r="U322" i="96" s="1"/>
  <c r="S322" i="96" s="1"/>
  <c r="P326" i="96"/>
  <c r="U326" i="96" s="1"/>
  <c r="S326" i="96" s="1"/>
  <c r="N320" i="96"/>
  <c r="P323" i="96"/>
  <c r="U323" i="96" s="1"/>
  <c r="S323" i="96" s="1"/>
  <c r="P321" i="96"/>
  <c r="U321" i="96" s="1"/>
  <c r="P325" i="96"/>
  <c r="U325" i="96" s="1"/>
  <c r="S325" i="96" s="1"/>
  <c r="S313" i="96"/>
  <c r="S319" i="96" s="1"/>
  <c r="U319" i="96"/>
  <c r="V222" i="36"/>
  <c r="AA222" i="36" s="1"/>
  <c r="Y222" i="36" s="1"/>
  <c r="V218" i="36"/>
  <c r="AA218" i="36" s="1"/>
  <c r="Y218" i="36" s="1"/>
  <c r="V219" i="36"/>
  <c r="AA219" i="36" s="1"/>
  <c r="Y219" i="36" s="1"/>
  <c r="T216" i="36"/>
  <c r="V221" i="36"/>
  <c r="AA221" i="36" s="1"/>
  <c r="Y221" i="36" s="1"/>
  <c r="V220" i="36"/>
  <c r="AA220" i="36" s="1"/>
  <c r="Y220" i="36" s="1"/>
  <c r="V229" i="36"/>
  <c r="AA229" i="36" s="1"/>
  <c r="Y229" i="36" s="1"/>
  <c r="V217" i="36"/>
  <c r="AA217" i="36" s="1"/>
  <c r="V228" i="36"/>
  <c r="AA228" i="36" s="1"/>
  <c r="Y228" i="36" s="1"/>
  <c r="V225" i="36"/>
  <c r="AA225" i="36" s="1"/>
  <c r="T224" i="36"/>
  <c r="V230" i="36"/>
  <c r="AA230" i="36" s="1"/>
  <c r="Y230" i="36" s="1"/>
  <c r="V227" i="36"/>
  <c r="AA227" i="36" s="1"/>
  <c r="Y227" i="36" s="1"/>
  <c r="V226" i="36"/>
  <c r="AA226" i="36" s="1"/>
  <c r="Y226" i="36" s="1"/>
  <c r="V206" i="36"/>
  <c r="AA206" i="36" s="1"/>
  <c r="Y206" i="36" s="1"/>
  <c r="V202" i="36"/>
  <c r="AA202" i="36" s="1"/>
  <c r="Y202" i="36" s="1"/>
  <c r="V209" i="36"/>
  <c r="AA209" i="36" s="1"/>
  <c r="T208" i="36"/>
  <c r="V205" i="36"/>
  <c r="AA205" i="36" s="1"/>
  <c r="Y205" i="36" s="1"/>
  <c r="V214" i="36"/>
  <c r="AA214" i="36" s="1"/>
  <c r="Y214" i="36" s="1"/>
  <c r="V212" i="36"/>
  <c r="AA212" i="36" s="1"/>
  <c r="Y212" i="36" s="1"/>
  <c r="V201" i="36"/>
  <c r="AA201" i="36" s="1"/>
  <c r="V210" i="36"/>
  <c r="AA210" i="36" s="1"/>
  <c r="Y210" i="36" s="1"/>
  <c r="V213" i="36"/>
  <c r="AA213" i="36" s="1"/>
  <c r="Y213" i="36" s="1"/>
  <c r="V203" i="36"/>
  <c r="AA203" i="36" s="1"/>
  <c r="Y203" i="36" s="1"/>
  <c r="T200" i="36"/>
  <c r="V204" i="36"/>
  <c r="AA204" i="36" s="1"/>
  <c r="Y204" i="36" s="1"/>
  <c r="V211" i="36"/>
  <c r="AA211" i="36" s="1"/>
  <c r="Y211" i="36" s="1"/>
  <c r="V195" i="36"/>
  <c r="AA195" i="36" s="1"/>
  <c r="Y195" i="36" s="1"/>
  <c r="V196" i="36"/>
  <c r="AA196" i="36" s="1"/>
  <c r="Y196" i="36" s="1"/>
  <c r="V198" i="36"/>
  <c r="AA198" i="36" s="1"/>
  <c r="Y198" i="36" s="1"/>
  <c r="T192" i="36"/>
  <c r="V194" i="36"/>
  <c r="AA194" i="36" s="1"/>
  <c r="Y194" i="36" s="1"/>
  <c r="V197" i="36"/>
  <c r="AA197" i="36" s="1"/>
  <c r="Y197" i="36" s="1"/>
  <c r="V193" i="36"/>
  <c r="AA193" i="36" s="1"/>
  <c r="V153" i="36"/>
  <c r="AA153" i="36" s="1"/>
  <c r="V163" i="36"/>
  <c r="AA163" i="36" s="1"/>
  <c r="Y163" i="36" s="1"/>
  <c r="V155" i="36"/>
  <c r="AA155" i="36" s="1"/>
  <c r="Y155" i="36" s="1"/>
  <c r="V166" i="36"/>
  <c r="AA166" i="36" s="1"/>
  <c r="Y166" i="36" s="1"/>
  <c r="V169" i="36"/>
  <c r="AA169" i="36" s="1"/>
  <c r="V157" i="36"/>
  <c r="AA157" i="36" s="1"/>
  <c r="Y157" i="36" s="1"/>
  <c r="T152" i="36"/>
  <c r="T160" i="36"/>
  <c r="V162" i="36"/>
  <c r="AA162" i="36" s="1"/>
  <c r="Y162" i="36" s="1"/>
  <c r="T168" i="36"/>
  <c r="V164" i="36"/>
  <c r="AA164" i="36" s="1"/>
  <c r="Y164" i="36" s="1"/>
  <c r="V156" i="36"/>
  <c r="AA156" i="36" s="1"/>
  <c r="Y156" i="36" s="1"/>
  <c r="V174" i="36"/>
  <c r="AA174" i="36" s="1"/>
  <c r="Y174" i="36" s="1"/>
  <c r="V171" i="36"/>
  <c r="AA171" i="36" s="1"/>
  <c r="Y171" i="36" s="1"/>
  <c r="V165" i="36"/>
  <c r="AA165" i="36" s="1"/>
  <c r="Y165" i="36" s="1"/>
  <c r="V173" i="36"/>
  <c r="AA173" i="36" s="1"/>
  <c r="Y173" i="36" s="1"/>
  <c r="T176" i="36"/>
  <c r="V158" i="36"/>
  <c r="AA158" i="36" s="1"/>
  <c r="Y158" i="36" s="1"/>
  <c r="V154" i="36"/>
  <c r="AA154" i="36" s="1"/>
  <c r="Y154" i="36" s="1"/>
  <c r="V172" i="36"/>
  <c r="AA172" i="36" s="1"/>
  <c r="Y172" i="36" s="1"/>
  <c r="V178" i="36"/>
  <c r="AA178" i="36" s="1"/>
  <c r="Y178" i="36" s="1"/>
  <c r="V161" i="36"/>
  <c r="AA161" i="36" s="1"/>
  <c r="V170" i="36"/>
  <c r="AA170" i="36" s="1"/>
  <c r="Y170" i="36" s="1"/>
  <c r="V179" i="36"/>
  <c r="AA179" i="36" s="1"/>
  <c r="Y179" i="36" s="1"/>
  <c r="V188" i="36"/>
  <c r="AA188" i="36" s="1"/>
  <c r="Y188" i="36" s="1"/>
  <c r="V190" i="36"/>
  <c r="AA190" i="36" s="1"/>
  <c r="Y190" i="36" s="1"/>
  <c r="V186" i="36"/>
  <c r="AA186" i="36" s="1"/>
  <c r="Y186" i="36" s="1"/>
  <c r="V177" i="36"/>
  <c r="AA177" i="36" s="1"/>
  <c r="V185" i="36"/>
  <c r="AA185" i="36" s="1"/>
  <c r="V182" i="36"/>
  <c r="AA182" i="36" s="1"/>
  <c r="Y182" i="36" s="1"/>
  <c r="V180" i="36"/>
  <c r="AA180" i="36" s="1"/>
  <c r="Y180" i="36" s="1"/>
  <c r="V189" i="36"/>
  <c r="AA189" i="36" s="1"/>
  <c r="Y189" i="36" s="1"/>
  <c r="T184" i="36"/>
  <c r="V181" i="36"/>
  <c r="AA181" i="36" s="1"/>
  <c r="Y181" i="36" s="1"/>
  <c r="V187" i="36"/>
  <c r="AA187" i="36" s="1"/>
  <c r="Y187" i="36" s="1"/>
  <c r="V131" i="36"/>
  <c r="AA131" i="36" s="1"/>
  <c r="Y131" i="36" s="1"/>
  <c r="V132" i="36"/>
  <c r="AA132" i="36" s="1"/>
  <c r="Y132" i="36" s="1"/>
  <c r="V138" i="36"/>
  <c r="AA138" i="36" s="1"/>
  <c r="Y138" i="36" s="1"/>
  <c r="V134" i="36"/>
  <c r="AA134" i="36" s="1"/>
  <c r="Y134" i="36" s="1"/>
  <c r="V130" i="36"/>
  <c r="AA130" i="36" s="1"/>
  <c r="Y130" i="36" s="1"/>
  <c r="T128" i="36"/>
  <c r="V133" i="36"/>
  <c r="AA133" i="36" s="1"/>
  <c r="Y133" i="36" s="1"/>
  <c r="V141" i="36"/>
  <c r="AA141" i="36" s="1"/>
  <c r="Y141" i="36" s="1"/>
  <c r="V150" i="36"/>
  <c r="AA150" i="36" s="1"/>
  <c r="Y150" i="36" s="1"/>
  <c r="T144" i="36"/>
  <c r="V142" i="36"/>
  <c r="AA142" i="36" s="1"/>
  <c r="Y142" i="36" s="1"/>
  <c r="V140" i="36"/>
  <c r="AA140" i="36" s="1"/>
  <c r="Y140" i="36" s="1"/>
  <c r="T136" i="36"/>
  <c r="V147" i="36"/>
  <c r="AA147" i="36" s="1"/>
  <c r="Y147" i="36" s="1"/>
  <c r="V139" i="36"/>
  <c r="AA139" i="36" s="1"/>
  <c r="Y139" i="36" s="1"/>
  <c r="V129" i="36"/>
  <c r="AA129" i="36" s="1"/>
  <c r="V146" i="36"/>
  <c r="AA146" i="36" s="1"/>
  <c r="Y146" i="36" s="1"/>
  <c r="V137" i="36"/>
  <c r="AA137" i="36" s="1"/>
  <c r="V145" i="36"/>
  <c r="AA145" i="36" s="1"/>
  <c r="V149" i="36"/>
  <c r="AA149" i="36" s="1"/>
  <c r="Y149" i="36" s="1"/>
  <c r="V148" i="36"/>
  <c r="AA148" i="36" s="1"/>
  <c r="Y148" i="36" s="1"/>
  <c r="V85" i="36"/>
  <c r="AA85" i="36" s="1"/>
  <c r="Y85" i="36" s="1"/>
  <c r="V84" i="36"/>
  <c r="AA84" i="36" s="1"/>
  <c r="Y84" i="36" s="1"/>
  <c r="T80" i="36"/>
  <c r="V93" i="36"/>
  <c r="AA93" i="36" s="1"/>
  <c r="Y93" i="36" s="1"/>
  <c r="V82" i="36"/>
  <c r="AA82" i="36" s="1"/>
  <c r="Y82" i="36" s="1"/>
  <c r="T88" i="36"/>
  <c r="V92" i="36"/>
  <c r="AA92" i="36" s="1"/>
  <c r="Y92" i="36" s="1"/>
  <c r="V94" i="36"/>
  <c r="AA94" i="36" s="1"/>
  <c r="Y94" i="36" s="1"/>
  <c r="V91" i="36"/>
  <c r="AA91" i="36" s="1"/>
  <c r="Y91" i="36" s="1"/>
  <c r="V83" i="36"/>
  <c r="AA83" i="36" s="1"/>
  <c r="Y83" i="36" s="1"/>
  <c r="V86" i="36"/>
  <c r="AA86" i="36" s="1"/>
  <c r="Y86" i="36" s="1"/>
  <c r="V101" i="36"/>
  <c r="AA101" i="36" s="1"/>
  <c r="Y101" i="36" s="1"/>
  <c r="V106" i="36"/>
  <c r="AA106" i="36" s="1"/>
  <c r="Y106" i="36" s="1"/>
  <c r="V107" i="36"/>
  <c r="AA107" i="36" s="1"/>
  <c r="Y107" i="36" s="1"/>
  <c r="V99" i="36"/>
  <c r="AA99" i="36" s="1"/>
  <c r="Y99" i="36" s="1"/>
  <c r="V89" i="36"/>
  <c r="AA89" i="36" s="1"/>
  <c r="T104" i="36"/>
  <c r="V90" i="36"/>
  <c r="AA90" i="36" s="1"/>
  <c r="Y90" i="36" s="1"/>
  <c r="T96" i="36"/>
  <c r="V109" i="36"/>
  <c r="AA109" i="36" s="1"/>
  <c r="Y109" i="36" s="1"/>
  <c r="V102" i="36"/>
  <c r="AA102" i="36" s="1"/>
  <c r="Y102" i="36" s="1"/>
  <c r="V110" i="36"/>
  <c r="AA110" i="36" s="1"/>
  <c r="Y110" i="36" s="1"/>
  <c r="V81" i="36"/>
  <c r="AA81" i="36" s="1"/>
  <c r="V100" i="36"/>
  <c r="AA100" i="36" s="1"/>
  <c r="Y100" i="36" s="1"/>
  <c r="V98" i="36"/>
  <c r="AA98" i="36" s="1"/>
  <c r="Y98" i="36" s="1"/>
  <c r="V114" i="36"/>
  <c r="AA114" i="36" s="1"/>
  <c r="Y114" i="36" s="1"/>
  <c r="V105" i="36"/>
  <c r="AA105" i="36" s="1"/>
  <c r="V108" i="36"/>
  <c r="AA108" i="36" s="1"/>
  <c r="Y108" i="36" s="1"/>
  <c r="V97" i="36"/>
  <c r="AA97" i="36" s="1"/>
  <c r="V115" i="36"/>
  <c r="AA115" i="36" s="1"/>
  <c r="Y115" i="36" s="1"/>
  <c r="T112" i="36"/>
  <c r="T120" i="36"/>
  <c r="V117" i="36"/>
  <c r="AA117" i="36" s="1"/>
  <c r="Y117" i="36" s="1"/>
  <c r="V113" i="36"/>
  <c r="AA113" i="36" s="1"/>
  <c r="V124" i="36"/>
  <c r="AA124" i="36" s="1"/>
  <c r="Y124" i="36" s="1"/>
  <c r="V116" i="36"/>
  <c r="AA116" i="36" s="1"/>
  <c r="Y116" i="36" s="1"/>
  <c r="V118" i="36"/>
  <c r="AA118" i="36" s="1"/>
  <c r="Y118" i="36" s="1"/>
  <c r="V126" i="36"/>
  <c r="AA126" i="36" s="1"/>
  <c r="Y126" i="36" s="1"/>
  <c r="V121" i="36"/>
  <c r="AA121" i="36" s="1"/>
  <c r="V123" i="36"/>
  <c r="AA123" i="36" s="1"/>
  <c r="Y123" i="36" s="1"/>
  <c r="V122" i="36"/>
  <c r="AA122" i="36" s="1"/>
  <c r="Y122" i="36" s="1"/>
  <c r="V125" i="36"/>
  <c r="AA125" i="36" s="1"/>
  <c r="Y125" i="36" s="1"/>
  <c r="T72" i="36"/>
  <c r="V76" i="36"/>
  <c r="AA76" i="36" s="1"/>
  <c r="Y76" i="36" s="1"/>
  <c r="V75" i="36"/>
  <c r="AA75" i="36" s="1"/>
  <c r="Y75" i="36" s="1"/>
  <c r="V78" i="36"/>
  <c r="AA78" i="36" s="1"/>
  <c r="Y78" i="36" s="1"/>
  <c r="V74" i="36"/>
  <c r="AA74" i="36" s="1"/>
  <c r="Y74" i="36" s="1"/>
  <c r="V73" i="36"/>
  <c r="AA73" i="36" s="1"/>
  <c r="V77" i="36"/>
  <c r="AA77" i="36" s="1"/>
  <c r="Y77" i="36" s="1"/>
  <c r="S289" i="74"/>
  <c r="S295" i="74" s="1"/>
  <c r="U295" i="74"/>
  <c r="P300" i="74"/>
  <c r="U300" i="74" s="1"/>
  <c r="S300" i="74" s="1"/>
  <c r="P301" i="74"/>
  <c r="U301" i="74" s="1"/>
  <c r="S301" i="74" s="1"/>
  <c r="P302" i="74"/>
  <c r="U302" i="74" s="1"/>
  <c r="S302" i="74" s="1"/>
  <c r="P298" i="74"/>
  <c r="U298" i="74" s="1"/>
  <c r="S298" i="74" s="1"/>
  <c r="P297" i="74"/>
  <c r="U297" i="74" s="1"/>
  <c r="P299" i="74"/>
  <c r="U299" i="74" s="1"/>
  <c r="S299" i="74" s="1"/>
  <c r="N296" i="74"/>
  <c r="Z304" i="74"/>
  <c r="U290" i="73"/>
  <c r="S284" i="73"/>
  <c r="S290" i="73" s="1"/>
  <c r="S286" i="59"/>
  <c r="S292" i="59" s="1"/>
  <c r="U292" i="59"/>
  <c r="S305" i="57"/>
  <c r="S311" i="57" s="1"/>
  <c r="U311" i="57"/>
  <c r="S302" i="88"/>
  <c r="S308" i="88" s="1"/>
  <c r="U308" i="88"/>
  <c r="U327" i="96" l="1"/>
  <c r="S321" i="96"/>
  <c r="S327" i="96" s="1"/>
  <c r="AA231" i="36"/>
  <c r="Y225" i="36"/>
  <c r="Y231" i="36" s="1"/>
  <c r="Y217" i="36"/>
  <c r="Y223" i="36" s="1"/>
  <c r="AA223" i="36"/>
  <c r="Y201" i="36"/>
  <c r="Y207" i="36" s="1"/>
  <c r="AA207" i="36"/>
  <c r="AA215" i="36"/>
  <c r="Y209" i="36"/>
  <c r="Y215" i="36" s="1"/>
  <c r="Y193" i="36"/>
  <c r="Y199" i="36" s="1"/>
  <c r="AA199" i="36"/>
  <c r="AA183" i="36"/>
  <c r="Y177" i="36"/>
  <c r="Y183" i="36" s="1"/>
  <c r="Y161" i="36"/>
  <c r="Y167" i="36" s="1"/>
  <c r="AA167" i="36"/>
  <c r="AA191" i="36"/>
  <c r="Y185" i="36"/>
  <c r="Y191" i="36" s="1"/>
  <c r="Y169" i="36"/>
  <c r="Y175" i="36" s="1"/>
  <c r="AA175" i="36"/>
  <c r="Y153" i="36"/>
  <c r="Y159" i="36" s="1"/>
  <c r="AA159" i="36"/>
  <c r="Y129" i="36"/>
  <c r="Y135" i="36" s="1"/>
  <c r="AA135" i="36"/>
  <c r="AA151" i="36"/>
  <c r="Y145" i="36"/>
  <c r="Y151" i="36" s="1"/>
  <c r="Y137" i="36"/>
  <c r="Y143" i="36" s="1"/>
  <c r="AA143" i="36"/>
  <c r="Y121" i="36"/>
  <c r="Y127" i="36" s="1"/>
  <c r="AA127" i="36"/>
  <c r="Y105" i="36"/>
  <c r="Y111" i="36" s="1"/>
  <c r="AA111" i="36"/>
  <c r="Y81" i="36"/>
  <c r="Y87" i="36" s="1"/>
  <c r="AA87" i="36"/>
  <c r="Y113" i="36"/>
  <c r="Y119" i="36" s="1"/>
  <c r="AA119" i="36"/>
  <c r="AA95" i="36"/>
  <c r="Y89" i="36"/>
  <c r="Y95" i="36" s="1"/>
  <c r="Y97" i="36"/>
  <c r="Y103" i="36" s="1"/>
  <c r="AA103" i="36"/>
  <c r="Y73" i="36"/>
  <c r="Y79" i="36" s="1"/>
  <c r="AA79" i="36"/>
  <c r="U303" i="74"/>
  <c r="S297" i="74"/>
  <c r="S303" i="74" s="1"/>
  <c r="P309" i="74"/>
  <c r="U309" i="74" s="1"/>
  <c r="S309" i="74" s="1"/>
  <c r="P305" i="74"/>
  <c r="U305" i="74" s="1"/>
  <c r="P308" i="74"/>
  <c r="U308" i="74" s="1"/>
  <c r="S308" i="74" s="1"/>
  <c r="Z312" i="74"/>
  <c r="P306" i="74"/>
  <c r="U306" i="74" s="1"/>
  <c r="S306" i="74" s="1"/>
  <c r="P310" i="74"/>
  <c r="U310" i="74" s="1"/>
  <c r="S310" i="74" s="1"/>
  <c r="P307" i="74"/>
  <c r="U307" i="74" s="1"/>
  <c r="S307" i="74" s="1"/>
  <c r="N304" i="74"/>
  <c r="U311" i="74" l="1"/>
  <c r="S305" i="74"/>
  <c r="S311" i="74" s="1"/>
  <c r="P318" i="74"/>
  <c r="U318" i="74" s="1"/>
  <c r="S318" i="74" s="1"/>
  <c r="P314" i="74"/>
  <c r="U314" i="74" s="1"/>
  <c r="S314" i="74" s="1"/>
  <c r="P316" i="74"/>
  <c r="U316" i="74" s="1"/>
  <c r="S316" i="74" s="1"/>
  <c r="P313" i="74"/>
  <c r="U313" i="74" s="1"/>
  <c r="P315" i="74"/>
  <c r="U315" i="74" s="1"/>
  <c r="S315" i="74" s="1"/>
  <c r="P317" i="74"/>
  <c r="U317" i="74" s="1"/>
  <c r="S317" i="74" s="1"/>
  <c r="Z320" i="74"/>
  <c r="N312" i="74"/>
  <c r="S313" i="74" l="1"/>
  <c r="S319" i="74" s="1"/>
  <c r="U319" i="74"/>
  <c r="P321" i="74"/>
  <c r="U321" i="74" s="1"/>
  <c r="P326" i="74"/>
  <c r="U326" i="74" s="1"/>
  <c r="S326" i="74" s="1"/>
  <c r="P324" i="74"/>
  <c r="U324" i="74" s="1"/>
  <c r="S324" i="74" s="1"/>
  <c r="P322" i="74"/>
  <c r="U322" i="74" s="1"/>
  <c r="S322" i="74" s="1"/>
  <c r="P323" i="74"/>
  <c r="U323" i="74" s="1"/>
  <c r="S323" i="74" s="1"/>
  <c r="P325" i="74"/>
  <c r="U325" i="74" s="1"/>
  <c r="S325" i="74" s="1"/>
  <c r="N320" i="74"/>
  <c r="U327" i="74" l="1"/>
  <c r="S321" i="74"/>
  <c r="S327" i="74" s="1"/>
  <c r="E44" i="25" l="1"/>
  <c r="H44" i="25"/>
  <c r="G44" i="25"/>
  <c r="F44" i="25"/>
  <c r="D44" i="25"/>
  <c r="I44" i="25"/>
</calcChain>
</file>

<file path=xl/sharedStrings.xml><?xml version="1.0" encoding="utf-8"?>
<sst xmlns="http://schemas.openxmlformats.org/spreadsheetml/2006/main" count="75648" uniqueCount="2870">
  <si>
    <t>1. 개발계획검토</t>
  </si>
  <si>
    <t>● 계획기준</t>
    <phoneticPr fontId="3" type="noConversion"/>
  </si>
  <si>
    <t>기준인구:</t>
    <phoneticPr fontId="3" type="noConversion"/>
  </si>
  <si>
    <t>표준금액</t>
    <phoneticPr fontId="3" type="noConversion"/>
  </si>
  <si>
    <r>
      <t xml:space="preserve">● </t>
    </r>
    <r>
      <rPr>
        <b/>
        <sz val="14"/>
        <rFont val="굴림체"/>
        <family val="3"/>
        <charset val="129"/>
      </rPr>
      <t>표준원단위적용</t>
    </r>
    <phoneticPr fontId="3" type="noConversion"/>
  </si>
  <si>
    <t>● 총괄내역서</t>
    <phoneticPr fontId="3" type="noConversion"/>
  </si>
  <si>
    <t>표준원단위</t>
    <phoneticPr fontId="3" type="noConversion"/>
  </si>
  <si>
    <t>조정
계수</t>
    <phoneticPr fontId="3" type="noConversion"/>
  </si>
  <si>
    <t>Ⅰ직접비</t>
    <phoneticPr fontId="3" type="noConversion"/>
  </si>
  <si>
    <t>비    고</t>
    <phoneticPr fontId="3" type="noConversion"/>
  </si>
  <si>
    <t>Ⅰ-1. 직접경비</t>
    <phoneticPr fontId="3" type="noConversion"/>
  </si>
  <si>
    <t>합   계</t>
    <phoneticPr fontId="3" type="noConversion"/>
  </si>
  <si>
    <t>보정원단위</t>
    <phoneticPr fontId="3" type="noConversion"/>
  </si>
  <si>
    <t>도면구입 및 기타</t>
    <phoneticPr fontId="3" type="noConversion"/>
  </si>
  <si>
    <t>.</t>
    <phoneticPr fontId="3" type="noConversion"/>
  </si>
  <si>
    <t>주)</t>
    <phoneticPr fontId="3" type="noConversion"/>
  </si>
  <si>
    <t>단위</t>
    <phoneticPr fontId="3" type="noConversion"/>
  </si>
  <si>
    <t>소      계</t>
    <phoneticPr fontId="3" type="noConversion"/>
  </si>
  <si>
    <t>● 세부내역서</t>
  </si>
  <si>
    <t>종 별</t>
  </si>
  <si>
    <t>규 격</t>
  </si>
  <si>
    <t>수 량</t>
  </si>
  <si>
    <t>총       액</t>
  </si>
  <si>
    <t>노   무   비</t>
  </si>
  <si>
    <t xml:space="preserve">재   료   비 </t>
  </si>
  <si>
    <t>경       비</t>
  </si>
  <si>
    <t>비 고</t>
  </si>
  <si>
    <t>단 가</t>
  </si>
  <si>
    <t>금 액</t>
  </si>
  <si>
    <t xml:space="preserve"> 인</t>
  </si>
  <si>
    <t>업무내용</t>
  </si>
  <si>
    <t>비고</t>
  </si>
  <si>
    <t>특급기술자</t>
  </si>
  <si>
    <t xml:space="preserve">기술사 </t>
  </si>
  <si>
    <t>특급</t>
  </si>
  <si>
    <t>고급</t>
  </si>
  <si>
    <t>중급</t>
  </si>
  <si>
    <t>초급</t>
  </si>
  <si>
    <t>보조원</t>
  </si>
  <si>
    <t>고급기술자</t>
  </si>
  <si>
    <t>중급기술자</t>
  </si>
  <si>
    <t>초급기술자</t>
  </si>
  <si>
    <t>보  조  원</t>
  </si>
  <si>
    <t>기  술  사</t>
  </si>
  <si>
    <t>총설계용역비</t>
  </si>
  <si>
    <t>Ⅰ-1. 직접인건비</t>
  </si>
  <si>
    <t>보고서 인쇄비 1식</t>
  </si>
  <si>
    <t>Ⅱ간 접 비</t>
  </si>
  <si>
    <t>기준면적:</t>
    <phoneticPr fontId="3" type="noConversion"/>
  </si>
  <si>
    <t>계</t>
    <phoneticPr fontId="3" type="noConversion"/>
  </si>
  <si>
    <t>보정원단위</t>
    <phoneticPr fontId="3" type="noConversion"/>
  </si>
  <si>
    <t>3. 성과품작성</t>
    <phoneticPr fontId="3" type="noConversion"/>
  </si>
  <si>
    <t>2. 기본구상</t>
    <phoneticPr fontId="3" type="noConversion"/>
  </si>
  <si>
    <t>만㎡</t>
    <phoneticPr fontId="3" type="noConversion"/>
  </si>
  <si>
    <t>계획면적(A) :</t>
    <phoneticPr fontId="3" type="noConversion"/>
  </si>
  <si>
    <t>㎢</t>
  </si>
  <si>
    <t>단위</t>
    <phoneticPr fontId="3" type="noConversion"/>
  </si>
  <si>
    <t>Ⅰ직접비</t>
    <phoneticPr fontId="3" type="noConversion"/>
  </si>
  <si>
    <t>만㎡</t>
    <phoneticPr fontId="3" type="noConversion"/>
  </si>
  <si>
    <t>● 총괄내역서</t>
    <phoneticPr fontId="3" type="noConversion"/>
  </si>
  <si>
    <t>별도건</t>
  </si>
  <si>
    <t>계획면적(A) :</t>
    <phoneticPr fontId="3" type="noConversion"/>
  </si>
  <si>
    <r>
      <t>보정계수(α) = (A/50)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</si>
  <si>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■ 단계별 집행계획</t>
    <phoneticPr fontId="3" type="noConversion"/>
  </si>
  <si>
    <t>■ 도시(지역)교통계획</t>
    <phoneticPr fontId="3" type="noConversion"/>
  </si>
  <si>
    <t>소   계</t>
    <phoneticPr fontId="3" type="noConversion"/>
  </si>
  <si>
    <t>기술사</t>
  </si>
  <si>
    <t>구   분</t>
    <phoneticPr fontId="2" type="noConversion"/>
  </si>
  <si>
    <t>.</t>
    <phoneticPr fontId="3" type="noConversion"/>
  </si>
  <si>
    <t>● 계획기준</t>
    <phoneticPr fontId="3" type="noConversion"/>
  </si>
  <si>
    <t>기준면적:</t>
    <phoneticPr fontId="3" type="noConversion"/>
  </si>
  <si>
    <t>계획면적(A) :</t>
    <phoneticPr fontId="3" type="noConversion"/>
  </si>
  <si>
    <r>
      <t xml:space="preserve">● </t>
    </r>
    <r>
      <rPr>
        <b/>
        <sz val="14"/>
        <rFont val="굴림체"/>
        <family val="3"/>
        <charset val="129"/>
      </rPr>
      <t>표준원단위적용</t>
    </r>
    <phoneticPr fontId="3" type="noConversion"/>
  </si>
  <si>
    <t>● 총괄내역서</t>
    <phoneticPr fontId="3" type="noConversion"/>
  </si>
  <si>
    <t>표준원단위</t>
    <phoneticPr fontId="3" type="noConversion"/>
  </si>
  <si>
    <t>Ⅰ직접비</t>
    <phoneticPr fontId="3" type="noConversion"/>
  </si>
  <si>
    <t>Ⅰ-1. 직접경비</t>
    <phoneticPr fontId="3" type="noConversion"/>
  </si>
  <si>
    <t>주)</t>
    <phoneticPr fontId="3" type="noConversion"/>
  </si>
  <si>
    <t>.</t>
    <phoneticPr fontId="3" type="noConversion"/>
  </si>
  <si>
    <t>도면구입 및 기타</t>
    <phoneticPr fontId="3" type="noConversion"/>
  </si>
  <si>
    <t>단위</t>
    <phoneticPr fontId="3" type="noConversion"/>
  </si>
  <si>
    <r>
      <t>보정계수(α) = (A/300)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</si>
  <si>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보정원단위</t>
    <phoneticPr fontId="3" type="noConversion"/>
  </si>
  <si>
    <t>비    고</t>
    <phoneticPr fontId="3" type="noConversion"/>
  </si>
  <si>
    <t>표준금액</t>
    <phoneticPr fontId="3" type="noConversion"/>
  </si>
  <si>
    <t>비    고</t>
    <phoneticPr fontId="3" type="noConversion"/>
  </si>
  <si>
    <t>보정원단위</t>
    <phoneticPr fontId="3" type="noConversion"/>
  </si>
  <si>
    <t>만㎡</t>
    <phoneticPr fontId="3" type="noConversion"/>
  </si>
  <si>
    <t>● 계획기준</t>
    <phoneticPr fontId="3" type="noConversion"/>
  </si>
  <si>
    <t>표준금액</t>
    <phoneticPr fontId="3" type="noConversion"/>
  </si>
  <si>
    <r>
      <t xml:space="preserve">● </t>
    </r>
    <r>
      <rPr>
        <b/>
        <sz val="14"/>
        <rFont val="굴림체"/>
        <family val="3"/>
        <charset val="129"/>
      </rPr>
      <t>표준원단위적용</t>
    </r>
    <phoneticPr fontId="3" type="noConversion"/>
  </si>
  <si>
    <t>표준원단위</t>
    <phoneticPr fontId="3" type="noConversion"/>
  </si>
  <si>
    <t>Ⅰ-1. 직접경비</t>
    <phoneticPr fontId="3" type="noConversion"/>
  </si>
  <si>
    <t>.</t>
    <phoneticPr fontId="3" type="noConversion"/>
  </si>
  <si>
    <t>도면구입 및 기타</t>
    <phoneticPr fontId="3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</si>
  <si>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</si>
  <si>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조정
계수</t>
    <phoneticPr fontId="3" type="noConversion"/>
  </si>
  <si>
    <t>조정
계수</t>
    <phoneticPr fontId="3" type="noConversion"/>
  </si>
  <si>
    <t>4. 성과품작성</t>
    <phoneticPr fontId="3" type="noConversion"/>
  </si>
  <si>
    <t>6. 성과품 작성</t>
    <phoneticPr fontId="3" type="noConversion"/>
  </si>
  <si>
    <t>기타항목</t>
    <phoneticPr fontId="14" type="noConversion"/>
  </si>
  <si>
    <t>지구내 총건축물 등기수:</t>
    <phoneticPr fontId="3" type="noConversion"/>
  </si>
  <si>
    <t>동</t>
    <phoneticPr fontId="14" type="noConversion"/>
  </si>
  <si>
    <t>필지</t>
    <phoneticPr fontId="14" type="noConversion"/>
  </si>
  <si>
    <t>정리전후의 지구내 총획지수:</t>
    <phoneticPr fontId="3" type="noConversion"/>
  </si>
  <si>
    <t>4. 성과품 작성</t>
    <phoneticPr fontId="3" type="noConversion"/>
  </si>
  <si>
    <t>소      계</t>
    <phoneticPr fontId="3" type="noConversion"/>
  </si>
  <si>
    <t>2. 기본구상</t>
  </si>
  <si>
    <r>
      <t>보정계수(α) = (A/10)</t>
    </r>
    <r>
      <rPr>
        <vertAlign val="superscript"/>
        <sz val="11"/>
        <rFont val="굴림체"/>
        <family val="3"/>
        <charset val="129"/>
      </rPr>
      <t>1.0</t>
    </r>
    <r>
      <rPr>
        <sz val="11"/>
        <rFont val="굴림체"/>
        <family val="3"/>
        <charset val="129"/>
      </rPr>
      <t xml:space="preserve"> :</t>
    </r>
    <phoneticPr fontId="3" type="noConversion"/>
  </si>
  <si>
    <t>■ 주택단지 개발계획</t>
    <phoneticPr fontId="3" type="noConversion"/>
  </si>
  <si>
    <t>■ 산업단지 개발계획</t>
    <phoneticPr fontId="3" type="noConversion"/>
  </si>
  <si>
    <r>
      <t>보정계수(α) = (A/20)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</si>
  <si>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3-2. 교통처리</t>
  </si>
  <si>
    <t>기준년도</t>
    <phoneticPr fontId="2" type="noConversion"/>
  </si>
  <si>
    <t>선    택</t>
    <phoneticPr fontId="2" type="noConversion"/>
  </si>
  <si>
    <t>소      계</t>
    <phoneticPr fontId="3" type="noConversion"/>
  </si>
  <si>
    <t>6. 성과품작성</t>
  </si>
  <si>
    <t>6. 성과품작성</t>
    <phoneticPr fontId="3" type="noConversion"/>
  </si>
  <si>
    <t>1-1. 관련법규검토</t>
  </si>
  <si>
    <t>1-2. 관련계획검토</t>
  </si>
  <si>
    <t>1-3. 주변지역과의 상관성 검토</t>
  </si>
  <si>
    <t>1-3. 주변지역과의 상관성 검토</t>
    <phoneticPr fontId="3" type="noConversion"/>
  </si>
  <si>
    <t>2-5. 대규모의 건축 및 토질형질변경</t>
  </si>
  <si>
    <t>2-7. 주민지원사업</t>
  </si>
  <si>
    <t>2-6. 취락지구 정비</t>
  </si>
  <si>
    <t>2-8. 재원조달 및 운용</t>
  </si>
  <si>
    <t>2-9. 개발제한구역 해제 대상지역의 관리</t>
  </si>
  <si>
    <t>2-10. 환경정비</t>
  </si>
  <si>
    <t>2-11. 축산단지의 배치</t>
  </si>
  <si>
    <t>2-12. 구역관리의 전산화</t>
  </si>
  <si>
    <t>2-14. 경계표석의 설치 관리</t>
  </si>
  <si>
    <t>2-15. 기타 필요한 사항</t>
  </si>
  <si>
    <t>2-13. 위법행위의 지도, 단속, 항공사진 촬영</t>
  </si>
  <si>
    <t>3-1. 보고서 작성</t>
  </si>
  <si>
    <t>3-2. 관련 도서 작성</t>
  </si>
  <si>
    <t>1. 관련사항 검토</t>
  </si>
  <si>
    <t>3. 성과품작성</t>
  </si>
  <si>
    <t>4. 성과품작성</t>
  </si>
  <si>
    <t>1-1. 관련법규 검토</t>
  </si>
  <si>
    <t>1-1. 관련법규 검토</t>
    <phoneticPr fontId="3" type="noConversion"/>
  </si>
  <si>
    <t>1-2. 관련계획 검토</t>
  </si>
  <si>
    <t>1-2. 관련계획 검토</t>
    <phoneticPr fontId="3" type="noConversion"/>
  </si>
  <si>
    <t>2-3. 피해방지계획서 작성</t>
  </si>
  <si>
    <t>2-3. 피해방지계획서 작성</t>
    <phoneticPr fontId="3" type="noConversion"/>
  </si>
  <si>
    <t>■ 환지방식 개발계획</t>
    <phoneticPr fontId="3" type="noConversion"/>
  </si>
  <si>
    <t>2018년</t>
    <phoneticPr fontId="2" type="noConversion"/>
  </si>
  <si>
    <t>2019년</t>
    <phoneticPr fontId="2" type="noConversion"/>
  </si>
  <si>
    <t>㎢</t>
    <phoneticPr fontId="3" type="noConversion"/>
  </si>
  <si>
    <r>
      <t>보정계수(α) = (A/500)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</si>
  <si>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1-1. 자연환경조사</t>
    <phoneticPr fontId="3" type="noConversion"/>
  </si>
  <si>
    <t>1-2. 인문환경조사</t>
    <phoneticPr fontId="3" type="noConversion"/>
  </si>
  <si>
    <t>1-3. 산업구조조사</t>
    <phoneticPr fontId="3" type="noConversion"/>
  </si>
  <si>
    <t>1-4. 기반시설조사</t>
    <phoneticPr fontId="3" type="noConversion"/>
  </si>
  <si>
    <t>1-5. 부존자원조사</t>
    <phoneticPr fontId="3" type="noConversion"/>
  </si>
  <si>
    <t>1-6. 유통구조조사</t>
    <phoneticPr fontId="3" type="noConversion"/>
  </si>
  <si>
    <t>2. 개발여건분석</t>
    <phoneticPr fontId="3" type="noConversion"/>
  </si>
  <si>
    <t>2-1. 일반여건전망</t>
    <phoneticPr fontId="3" type="noConversion"/>
  </si>
  <si>
    <t>2-2. 장기사회경제전망</t>
    <phoneticPr fontId="3" type="noConversion"/>
  </si>
  <si>
    <t>2-3. 상위계획과의 상관성</t>
    <phoneticPr fontId="3" type="noConversion"/>
  </si>
  <si>
    <t>2-4. 지역의 발전여건</t>
    <phoneticPr fontId="3" type="noConversion"/>
  </si>
  <si>
    <t>3. 기본구상</t>
    <phoneticPr fontId="3" type="noConversion"/>
  </si>
  <si>
    <t>3-1. 기본방향설정</t>
    <phoneticPr fontId="3" type="noConversion"/>
  </si>
  <si>
    <t>3-2. 종합개발목표설정</t>
    <phoneticPr fontId="3" type="noConversion"/>
  </si>
  <si>
    <t>3-3. 계획지표설정</t>
    <phoneticPr fontId="3" type="noConversion"/>
  </si>
  <si>
    <t>3-4. 지역생활권배분</t>
    <phoneticPr fontId="3" type="noConversion"/>
  </si>
  <si>
    <t>4. 부문별 개발계획</t>
    <phoneticPr fontId="3" type="noConversion"/>
  </si>
  <si>
    <t>4-1. 지역별 개발계획</t>
    <phoneticPr fontId="3" type="noConversion"/>
  </si>
  <si>
    <t>4-2. 지역경제개발계획</t>
    <phoneticPr fontId="3" type="noConversion"/>
  </si>
  <si>
    <t>4-3. 교통통신개발계획</t>
    <phoneticPr fontId="3" type="noConversion"/>
  </si>
  <si>
    <t>4-4. 생활복지환경계획</t>
    <phoneticPr fontId="3" type="noConversion"/>
  </si>
  <si>
    <t>4-5. 환경보전계획</t>
    <phoneticPr fontId="3" type="noConversion"/>
  </si>
  <si>
    <t>4-6. 자원토지개발계획</t>
    <phoneticPr fontId="3" type="noConversion"/>
  </si>
  <si>
    <t>5. 계획추진방안</t>
    <phoneticPr fontId="3" type="noConversion"/>
  </si>
  <si>
    <t>5-1. 지역개발주요사업선정</t>
    <phoneticPr fontId="3" type="noConversion"/>
  </si>
  <si>
    <t>5-2. 단계별추진계획</t>
    <phoneticPr fontId="3" type="noConversion"/>
  </si>
  <si>
    <t>5-3. 집행·관리계획</t>
    <phoneticPr fontId="3" type="noConversion"/>
  </si>
  <si>
    <t>5-4. 행·재정계획</t>
    <phoneticPr fontId="3" type="noConversion"/>
  </si>
  <si>
    <t>5-5. 정책건의</t>
    <phoneticPr fontId="3" type="noConversion"/>
  </si>
  <si>
    <t>6-1. 보고서작성 및 편집</t>
    <phoneticPr fontId="3" type="noConversion"/>
  </si>
  <si>
    <t>6-2. 관련도서작성</t>
    <phoneticPr fontId="3" type="noConversion"/>
  </si>
  <si>
    <t>7. 기술협의</t>
    <phoneticPr fontId="3" type="noConversion"/>
  </si>
  <si>
    <t>7-1. 공청회/주민설명회</t>
    <phoneticPr fontId="3" type="noConversion"/>
  </si>
  <si>
    <t>7-2. 주민간담회/시민계획단</t>
    <phoneticPr fontId="3" type="noConversion"/>
  </si>
  <si>
    <t>7-3. 위원회심의 지원</t>
    <phoneticPr fontId="3" type="noConversion"/>
  </si>
  <si>
    <t>7-4. 관계기관 협의</t>
    <phoneticPr fontId="3" type="noConversion"/>
  </si>
  <si>
    <t>주1</t>
    <phoneticPr fontId="14" type="noConversion"/>
  </si>
  <si>
    <t>1-1. 자연환경조사</t>
    <phoneticPr fontId="14" type="noConversion"/>
  </si>
  <si>
    <t>1-2. 인문환경조사</t>
    <phoneticPr fontId="14" type="noConversion"/>
  </si>
  <si>
    <t>1-3. 산업구조조사</t>
    <phoneticPr fontId="14" type="noConversion"/>
  </si>
  <si>
    <t>1-4. 기반시설조사</t>
    <phoneticPr fontId="14" type="noConversion"/>
  </si>
  <si>
    <t>1-5. 부존자원조사</t>
    <phoneticPr fontId="14" type="noConversion"/>
  </si>
  <si>
    <t>1-6. 유통구조조사</t>
    <phoneticPr fontId="14" type="noConversion"/>
  </si>
  <si>
    <t>2. 개발여건분석</t>
    <phoneticPr fontId="14" type="noConversion"/>
  </si>
  <si>
    <t>2-1. 일반여건전망</t>
    <phoneticPr fontId="14" type="noConversion"/>
  </si>
  <si>
    <t>2-2. 장기사회경제전망</t>
    <phoneticPr fontId="14" type="noConversion"/>
  </si>
  <si>
    <t>2-3. 상위계획과의 상관성</t>
    <phoneticPr fontId="14" type="noConversion"/>
  </si>
  <si>
    <t>2-4. 지역의 발전여건</t>
    <phoneticPr fontId="14" type="noConversion"/>
  </si>
  <si>
    <t>3. 기본구상</t>
    <phoneticPr fontId="14" type="noConversion"/>
  </si>
  <si>
    <t>3-1. 기본방향설정</t>
    <phoneticPr fontId="14" type="noConversion"/>
  </si>
  <si>
    <t>3-2. 종합개발목표설정</t>
    <phoneticPr fontId="14" type="noConversion"/>
  </si>
  <si>
    <t>3-3. 개발지표설정</t>
    <phoneticPr fontId="14" type="noConversion"/>
  </si>
  <si>
    <t>3-4. 지역생활권배분</t>
    <phoneticPr fontId="14" type="noConversion"/>
  </si>
  <si>
    <t>4. 부문별 개발계획</t>
    <phoneticPr fontId="14" type="noConversion"/>
  </si>
  <si>
    <t>4-1. 지역별 개발계획</t>
    <phoneticPr fontId="14" type="noConversion"/>
  </si>
  <si>
    <t>4-2. 지역경제개발계획</t>
    <phoneticPr fontId="14" type="noConversion"/>
  </si>
  <si>
    <t>4-3. 교통통신개발계획</t>
    <phoneticPr fontId="14" type="noConversion"/>
  </si>
  <si>
    <t>4-4. 생활복지환경계획</t>
    <phoneticPr fontId="14" type="noConversion"/>
  </si>
  <si>
    <t>4-5. 환경보전계획</t>
    <phoneticPr fontId="14" type="noConversion"/>
  </si>
  <si>
    <t>4-6. 자원토지개발계획</t>
    <phoneticPr fontId="14" type="noConversion"/>
  </si>
  <si>
    <t>5. 계획추진방안</t>
    <phoneticPr fontId="14" type="noConversion"/>
  </si>
  <si>
    <t>5-1. 지역개발주요사업선정</t>
    <phoneticPr fontId="14" type="noConversion"/>
  </si>
  <si>
    <t>5-2. 단계별추진계획</t>
    <phoneticPr fontId="14" type="noConversion"/>
  </si>
  <si>
    <t>5-3. 집행·관리계획</t>
    <phoneticPr fontId="14" type="noConversion"/>
  </si>
  <si>
    <t>5-4. 행·재정계획</t>
    <phoneticPr fontId="14" type="noConversion"/>
  </si>
  <si>
    <t>5-5. 정책건의</t>
    <phoneticPr fontId="14" type="noConversion"/>
  </si>
  <si>
    <t>6-1. 보고서작성 및 편집</t>
    <phoneticPr fontId="14" type="noConversion"/>
  </si>
  <si>
    <t>6-2. 관련도서작성</t>
    <phoneticPr fontId="14" type="noConversion"/>
  </si>
  <si>
    <t>7. 기술협의</t>
    <phoneticPr fontId="14" type="noConversion"/>
  </si>
  <si>
    <t>7-1. 공청회/주민설명회</t>
    <phoneticPr fontId="14" type="noConversion"/>
  </si>
  <si>
    <t>7-2. 주민간담회/시민계획단</t>
    <phoneticPr fontId="14" type="noConversion"/>
  </si>
  <si>
    <t>7-3. 위원회심의 지원</t>
    <phoneticPr fontId="14" type="noConversion"/>
  </si>
  <si>
    <t>7-4. 관계기관 협의</t>
    <phoneticPr fontId="14" type="noConversion"/>
  </si>
  <si>
    <t>2. 기본구상</t>
    <phoneticPr fontId="3" type="noConversion"/>
  </si>
  <si>
    <t>주2</t>
    <phoneticPr fontId="14" type="noConversion"/>
  </si>
  <si>
    <t>주3</t>
    <phoneticPr fontId="14" type="noConversion"/>
  </si>
  <si>
    <t>4-1. 보고서작성 및 편집</t>
  </si>
  <si>
    <t>4-1. 보고서작성 및 편집</t>
    <phoneticPr fontId="3" type="noConversion"/>
  </si>
  <si>
    <t>4-2. 관련도서작성</t>
  </si>
  <si>
    <t>4-2. 관련도서작성</t>
    <phoneticPr fontId="3" type="noConversion"/>
  </si>
  <si>
    <t>③기술협의는 2회 이내 기준이며, 횟수가 늘어날 경우 증가배수에 해당하는 작업품과 비용을 가산한다.</t>
    <phoneticPr fontId="3" type="noConversion"/>
  </si>
  <si>
    <t xml:space="preserve">  (필요항목 선택적 적용)</t>
    <phoneticPr fontId="3" type="noConversion"/>
  </si>
  <si>
    <t>5. 기술협의</t>
  </si>
  <si>
    <t>5. 기술협의</t>
    <phoneticPr fontId="3" type="noConversion"/>
  </si>
  <si>
    <t>5-1. 공청회/주민설명회</t>
  </si>
  <si>
    <t>5-1. 공청회/주민설명회</t>
    <phoneticPr fontId="3" type="noConversion"/>
  </si>
  <si>
    <t>5-2. 주민간담회/시민계획단</t>
  </si>
  <si>
    <t>5-2. 주민간담회/시민계획단</t>
    <phoneticPr fontId="3" type="noConversion"/>
  </si>
  <si>
    <t>5-3. 위원회심의 지원</t>
  </si>
  <si>
    <t>5-3. 위원회심의 지원</t>
    <phoneticPr fontId="3" type="noConversion"/>
  </si>
  <si>
    <t>5-4. 관계기관 협의</t>
  </si>
  <si>
    <t>5-4. 관계기관 협의</t>
    <phoneticPr fontId="3" type="noConversion"/>
  </si>
  <si>
    <t>5. 기술협의</t>
    <phoneticPr fontId="14" type="noConversion"/>
  </si>
  <si>
    <t>■ 광역도시계획</t>
    <phoneticPr fontId="3" type="noConversion"/>
  </si>
  <si>
    <t>만인</t>
    <phoneticPr fontId="3" type="noConversion"/>
  </si>
  <si>
    <r>
      <t>보정계수(α) = (A/50)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</si>
  <si>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3. 공간구조 구상</t>
  </si>
  <si>
    <t>3. 공간구조 구상</t>
    <phoneticPr fontId="3" type="noConversion"/>
  </si>
  <si>
    <t>5. 집행 및 관리계획</t>
  </si>
  <si>
    <t>5. 집행 및 관리계획</t>
    <phoneticPr fontId="3" type="noConversion"/>
  </si>
  <si>
    <t>■ 도시·군기본계획</t>
    <phoneticPr fontId="3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</si>
  <si>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</si>
  <si>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1. 조사분석</t>
  </si>
  <si>
    <t>3. 부문별계획</t>
  </si>
  <si>
    <t>3. 부문별계획</t>
    <phoneticPr fontId="3" type="noConversion"/>
  </si>
  <si>
    <t>4. 부문별계획</t>
    <phoneticPr fontId="3" type="noConversion"/>
  </si>
  <si>
    <t>4. 부문별계획</t>
    <phoneticPr fontId="14" type="noConversion"/>
  </si>
  <si>
    <t>4. 성과품작성</t>
    <phoneticPr fontId="3" type="noConversion"/>
  </si>
  <si>
    <t>6. 성과품작성</t>
    <phoneticPr fontId="3" type="noConversion"/>
  </si>
  <si>
    <t>6. 성과품작성</t>
    <phoneticPr fontId="14" type="noConversion"/>
  </si>
  <si>
    <t>4. 성과품작성</t>
    <phoneticPr fontId="14" type="noConversion"/>
  </si>
  <si>
    <r>
      <t>보정계수(α) = (A/5)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</si>
  <si>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■ 도시·군관리계획(재정비)</t>
    <phoneticPr fontId="3" type="noConversion"/>
  </si>
  <si>
    <r>
      <t>보정계수(α) = (A/1)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</si>
  <si>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■ 도시·군관리계획(변경)결정</t>
    <phoneticPr fontId="3" type="noConversion"/>
  </si>
  <si>
    <t>1. 계획검토</t>
    <phoneticPr fontId="3" type="noConversion"/>
  </si>
  <si>
    <t>3. 성과품작성</t>
    <phoneticPr fontId="3" type="noConversion"/>
  </si>
  <si>
    <t>3-1. 보고서작성 및 편집</t>
  </si>
  <si>
    <t>3-2. 관련도서작성</t>
  </si>
  <si>
    <t>4. 기술협의</t>
  </si>
  <si>
    <t>4. 기술협의</t>
    <phoneticPr fontId="3" type="noConversion"/>
  </si>
  <si>
    <t>4-1. 공청회/주민설명회</t>
  </si>
  <si>
    <t>4-1. 공청회/주민설명회</t>
    <phoneticPr fontId="3" type="noConversion"/>
  </si>
  <si>
    <t>4-2. 주민간담회/시민계획단</t>
  </si>
  <si>
    <t>4-2. 주민간담회/시민계획단</t>
    <phoneticPr fontId="3" type="noConversion"/>
  </si>
  <si>
    <t>4-3. 위원회심의 지원</t>
  </si>
  <si>
    <t>4-3. 위원회심의 지원</t>
    <phoneticPr fontId="3" type="noConversion"/>
  </si>
  <si>
    <t>4-4. 관계기관 협의</t>
  </si>
  <si>
    <t>4-4. 관계기관 협의</t>
    <phoneticPr fontId="3" type="noConversion"/>
  </si>
  <si>
    <t xml:space="preserve">①변경(결정)도서작성에 필요한 개발(사업)계획 내용은 발주자측이 제공하며, 제공하지 못할 경우 별도의 </t>
    <phoneticPr fontId="3" type="noConversion"/>
  </si>
  <si>
    <t xml:space="preserve">  엔지니어링 업무로 산정한다.</t>
    <phoneticPr fontId="14" type="noConversion"/>
  </si>
  <si>
    <t>②농지·산지전용협의, 각종영향성검토 및 각종영향평가업무는 별도의 엔지니어링활동업무로 계상한다.</t>
    <phoneticPr fontId="3" type="noConversion"/>
  </si>
  <si>
    <t xml:space="preserve">  토지적성평가 등은 별도의 관련품을 적용한다.</t>
    <phoneticPr fontId="14" type="noConversion"/>
  </si>
  <si>
    <t>④측량, 토질조사 및 시험은 별도 관련품을 적용한다.</t>
    <phoneticPr fontId="14" type="noConversion"/>
  </si>
  <si>
    <t>⑤각종 영향 검토서는 별도의 각종 영향평가 업무 또는 각종 영향검토서의 내용을 정리 요약하는 것으로 한다.</t>
    <phoneticPr fontId="3" type="noConversion"/>
  </si>
  <si>
    <r>
      <t>보정계수(α) = (A/5)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</si>
  <si>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주 : 계획인구가 1만인 미만인 경우에는 1만인을 기준으로 하여 산정한다.</t>
    <phoneticPr fontId="3" type="noConversion"/>
  </si>
  <si>
    <t>1. 서  론</t>
  </si>
  <si>
    <t>1. 서  론</t>
    <phoneticPr fontId="3" type="noConversion"/>
  </si>
  <si>
    <t>1-1. 목적</t>
  </si>
  <si>
    <t>1-1. 목적</t>
    <phoneticPr fontId="3" type="noConversion"/>
  </si>
  <si>
    <t>1-2. 범위</t>
  </si>
  <si>
    <t>1-2. 범위</t>
    <phoneticPr fontId="3" type="noConversion"/>
  </si>
  <si>
    <t>1-3. 계획수립 방법</t>
  </si>
  <si>
    <t>1-3. 계획수립 방법</t>
    <phoneticPr fontId="3" type="noConversion"/>
  </si>
  <si>
    <t>2. 도시(지역) 기본계획 개요</t>
  </si>
  <si>
    <t>2. 도시(지역) 기본계획 개요</t>
    <phoneticPr fontId="3" type="noConversion"/>
  </si>
  <si>
    <t>2-1. 계획구역</t>
  </si>
  <si>
    <t>2-1. 계획구역</t>
    <phoneticPr fontId="3" type="noConversion"/>
  </si>
  <si>
    <t>2-2. 도시(지역)구조</t>
  </si>
  <si>
    <t>2-2. 도시(지역)구조</t>
    <phoneticPr fontId="3" type="noConversion"/>
  </si>
  <si>
    <t>2-3. 토지이용계획</t>
  </si>
  <si>
    <t>2-3. 토지이용계획</t>
    <phoneticPr fontId="3" type="noConversion"/>
  </si>
  <si>
    <t>2-4. 주요시설계획 등</t>
  </si>
  <si>
    <t>2-4. 주요시설계획 등</t>
    <phoneticPr fontId="3" type="noConversion"/>
  </si>
  <si>
    <t>3. 교통시설 현황분석</t>
  </si>
  <si>
    <t>3. 교통시설 현황분석</t>
    <phoneticPr fontId="3" type="noConversion"/>
  </si>
  <si>
    <t>3-1. 교통시설계획 및 시설현황</t>
  </si>
  <si>
    <t>3-1. 교통시설계획 및 시설현황</t>
    <phoneticPr fontId="3" type="noConversion"/>
  </si>
  <si>
    <t>3-2. 교통처리</t>
    <phoneticPr fontId="3" type="noConversion"/>
  </si>
  <si>
    <t>3-3. 교통수단별 운영</t>
  </si>
  <si>
    <t>3-3. 교통수단별 운영</t>
    <phoneticPr fontId="3" type="noConversion"/>
  </si>
  <si>
    <t>3-4. 기  타</t>
  </si>
  <si>
    <t>3-4. 기  타</t>
    <phoneticPr fontId="3" type="noConversion"/>
  </si>
  <si>
    <t>4. 교통시설 계획</t>
  </si>
  <si>
    <t>4. 교통시설 계획</t>
    <phoneticPr fontId="3" type="noConversion"/>
  </si>
  <si>
    <t>4-1. 교통게획지표설정</t>
  </si>
  <si>
    <t>4-1. 교통게획지표설정</t>
    <phoneticPr fontId="3" type="noConversion"/>
  </si>
  <si>
    <t>4-2. 간선도로망계획</t>
  </si>
  <si>
    <t>4-2. 간선도로망계획</t>
    <phoneticPr fontId="3" type="noConversion"/>
  </si>
  <si>
    <t>4-3. 보조간선도로망계획</t>
  </si>
  <si>
    <t>4-3. 보조간선도로망계획</t>
    <phoneticPr fontId="3" type="noConversion"/>
  </si>
  <si>
    <t>4-4. 기능별 가로망계획</t>
  </si>
  <si>
    <t>4-4. 기능별 가로망계획</t>
    <phoneticPr fontId="3" type="noConversion"/>
  </si>
  <si>
    <t>4-5. 도로 교차지점계획</t>
  </si>
  <si>
    <t>4-5. 도로 교차지점계획</t>
    <phoneticPr fontId="3" type="noConversion"/>
  </si>
  <si>
    <t>4-6. 기타 교통시설계획</t>
  </si>
  <si>
    <t>4-6. 기타 교통시설계획</t>
    <phoneticPr fontId="3" type="noConversion"/>
  </si>
  <si>
    <t>5. 교통시설 운영계획</t>
  </si>
  <si>
    <t>5. 교통시설 운영계획</t>
    <phoneticPr fontId="3" type="noConversion"/>
  </si>
  <si>
    <t>5-1. 간선도로망 기능유지</t>
  </si>
  <si>
    <t>5-1. 간선도로망 기능유지</t>
    <phoneticPr fontId="3" type="noConversion"/>
  </si>
  <si>
    <t>5-2. 교통체계관리</t>
  </si>
  <si>
    <t>5-2. 교통체계관리</t>
    <phoneticPr fontId="3" type="noConversion"/>
  </si>
  <si>
    <t>5-3. 대중교통수단</t>
  </si>
  <si>
    <t>5-3. 대중교통수단</t>
    <phoneticPr fontId="3" type="noConversion"/>
  </si>
  <si>
    <t>4-1. 교통계획지표설정</t>
    <phoneticPr fontId="3" type="noConversion"/>
  </si>
  <si>
    <t>②기술협의는 2회 이내 기준이며, 횟수가 늘어날 경우 증가배수에 해당하는 작업품과 비용을 가산한다.</t>
    <phoneticPr fontId="3" type="noConversion"/>
  </si>
  <si>
    <t>①도시 및 지역계획 등과 단일건으로 발주할 경우에는 "1.서론, 2.도시(지역)기본계획 개요"에 대하여는 기술자</t>
    <phoneticPr fontId="3" type="noConversion"/>
  </si>
  <si>
    <t xml:space="preserve">  투입인력을 60% 감할 수 있다.</t>
    <phoneticPr fontId="14" type="noConversion"/>
  </si>
  <si>
    <t>6-1. 보고서작성 및 편집</t>
  </si>
  <si>
    <t>7. 기술협의</t>
  </si>
  <si>
    <t>7-1. 공청회/주민설명회</t>
  </si>
  <si>
    <t>7-2. 주민간담회/시민계획단</t>
  </si>
  <si>
    <t>7-3. 위원회심의 지원</t>
  </si>
  <si>
    <t>7-4. 관계기관 협의</t>
  </si>
  <si>
    <t>조감도</t>
    <phoneticPr fontId="14" type="noConversion"/>
  </si>
  <si>
    <t>회의준비비</t>
    <phoneticPr fontId="14" type="noConversion"/>
  </si>
  <si>
    <t>현장 운영비 등</t>
    <phoneticPr fontId="3" type="noConversion"/>
  </si>
  <si>
    <t>■ 지형도면 고시계획</t>
    <phoneticPr fontId="3" type="noConversion"/>
  </si>
  <si>
    <t>1. 조사분석</t>
    <phoneticPr fontId="3" type="noConversion"/>
  </si>
  <si>
    <t>2. 지형도면고시계획</t>
    <phoneticPr fontId="3" type="noConversion"/>
  </si>
  <si>
    <t>3. 성과품 작성</t>
    <phoneticPr fontId="3" type="noConversion"/>
  </si>
  <si>
    <t>4. 기술협의</t>
    <phoneticPr fontId="3" type="noConversion"/>
  </si>
  <si>
    <t>4-1. 공청회/주민설명회</t>
    <phoneticPr fontId="3" type="noConversion"/>
  </si>
  <si>
    <t>만㎡</t>
    <phoneticPr fontId="3" type="noConversion"/>
  </si>
  <si>
    <t>주 : ①계획면적이 10만㎡ 미만인 경우에는 계획면적 10만㎡를 기준으로 하여 산정한다.</t>
    <phoneticPr fontId="3" type="noConversion"/>
  </si>
  <si>
    <t xml:space="preserve">  ②평균폭이 25m이상의 선적시설은 면적을 기준으로 산정한다.</t>
    <phoneticPr fontId="14" type="noConversion"/>
  </si>
  <si>
    <t>1. 조사·분석</t>
  </si>
  <si>
    <t>1. 조사·분석</t>
    <phoneticPr fontId="3" type="noConversion"/>
  </si>
  <si>
    <t>1-1. 현황조사</t>
  </si>
  <si>
    <t>1-1. 현황조사</t>
    <phoneticPr fontId="3" type="noConversion"/>
  </si>
  <si>
    <t>1-2. 분석·평가·진단</t>
  </si>
  <si>
    <t>1-2. 분석·평가·진단</t>
    <phoneticPr fontId="3" type="noConversion"/>
  </si>
  <si>
    <t>2-1. 기본구상</t>
  </si>
  <si>
    <t>2-1. 기본구상</t>
    <phoneticPr fontId="3" type="noConversion"/>
  </si>
  <si>
    <t>3. 단계별 집행계획</t>
  </si>
  <si>
    <t>3. 단계별 집행계획</t>
    <phoneticPr fontId="3" type="noConversion"/>
  </si>
  <si>
    <t>3-1. 단계별집행계획</t>
  </si>
  <si>
    <t>3-1. 단계별집행계획</t>
    <phoneticPr fontId="3" type="noConversion"/>
  </si>
  <si>
    <t>주1,2</t>
    <phoneticPr fontId="14" type="noConversion"/>
  </si>
  <si>
    <t>①도시·군관리계획(재정비)계획 또는 지형도면고시계획과 단일 건으로 종합하여 발주할 경우 조사·분석과 기본</t>
    <phoneticPr fontId="3" type="noConversion"/>
  </si>
  <si>
    <t xml:space="preserve">  구상업무에 대하여 기술자의 투입인력을 60% 감할 수 있다.</t>
    <phoneticPr fontId="14" type="noConversion"/>
  </si>
  <si>
    <t>②도시·군관리계획 변경(재정비)계획 또는 지형도면고시계획을 수행 중에 도시·군계획시설 단계별집행계획을</t>
    <phoneticPr fontId="3" type="noConversion"/>
  </si>
  <si>
    <t xml:space="preserve">  동일수행자에게 수의계약에 의하여 발주하고자 할 때에 현황조사와 기본구상업무에 대하여 기술자의 투입인력을</t>
    <phoneticPr fontId="14" type="noConversion"/>
  </si>
  <si>
    <t xml:space="preserve">  40% 감할 수 있다.</t>
    <phoneticPr fontId="14" type="noConversion"/>
  </si>
  <si>
    <t>③기술협의는 2회 이내 기준이며, 횟수가 늘어날 경우 증가배수에 해당하는 작업품과 비용을 가산한다.</t>
    <phoneticPr fontId="14" type="noConversion"/>
  </si>
  <si>
    <t>기준면적(거리):</t>
    <phoneticPr fontId="3" type="noConversion"/>
  </si>
  <si>
    <t>계획면적(거리)(A) :</t>
    <phoneticPr fontId="3" type="noConversion"/>
  </si>
  <si>
    <r>
      <t>보정계수(α) = (A/1)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</si>
  <si>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■ 단위계획시설 집행계획</t>
    <phoneticPr fontId="3" type="noConversion"/>
  </si>
  <si>
    <t>2-4. 도시·군계획시설 설치</t>
  </si>
  <si>
    <t>■ 개발제한구역 관리계획</t>
    <phoneticPr fontId="3" type="noConversion"/>
  </si>
  <si>
    <t>2. 성과품작성</t>
    <phoneticPr fontId="3" type="noConversion"/>
  </si>
  <si>
    <t>1-2. 자연환경</t>
  </si>
  <si>
    <t>①GIS 구축은 발주자 측에서 지형 및 지적 Data를 제공한 상태에서, 각종 조사 자료를 GIS로 구축할 경우 적용한다.</t>
    <phoneticPr fontId="3" type="noConversion"/>
  </si>
  <si>
    <t xml:space="preserve">  지형 및 지형Data를 제공하지 못할 경우에는 측량 품을 별도 적용하며, 관리를 위한 프로그램 및 컴퓨터 등 장비비</t>
    <phoneticPr fontId="3" type="noConversion"/>
  </si>
  <si>
    <t>㎢</t>
    <phoneticPr fontId="14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</si>
  <si>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</si>
  <si>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1. 기초조사</t>
    <phoneticPr fontId="3" type="noConversion"/>
  </si>
  <si>
    <t>1-1. 기초조사</t>
    <phoneticPr fontId="3" type="noConversion"/>
  </si>
  <si>
    <t>2. 개발여건분석</t>
    <phoneticPr fontId="3" type="noConversion"/>
  </si>
  <si>
    <t>4. 성과품작성</t>
    <phoneticPr fontId="3" type="noConversion"/>
  </si>
  <si>
    <t>5. 기술협의</t>
    <phoneticPr fontId="3" type="noConversion"/>
  </si>
  <si>
    <t>만㎡</t>
    <phoneticPr fontId="14" type="noConversion"/>
  </si>
  <si>
    <r>
      <t>보정계수(α) = (A/3)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</si>
  <si>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r>
      <t>보정계수(α) = (A/3)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</si>
  <si>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2. 기본구상</t>
    <phoneticPr fontId="3" type="noConversion"/>
  </si>
  <si>
    <t>3. 부문별 기본방향</t>
    <phoneticPr fontId="3" type="noConversion"/>
  </si>
  <si>
    <t>1. 개발계획검토</t>
    <phoneticPr fontId="14" type="noConversion"/>
  </si>
  <si>
    <t>1-3. 주변지역과의 영향성 검토</t>
    <phoneticPr fontId="14" type="noConversion"/>
  </si>
  <si>
    <t>2. 개발행위신청도서작성</t>
    <phoneticPr fontId="14" type="noConversion"/>
  </si>
  <si>
    <t>2-1. 개발행위허가 신청서 작성</t>
    <phoneticPr fontId="14" type="noConversion"/>
  </si>
  <si>
    <t>2-2. 편입토지조서 작성</t>
    <phoneticPr fontId="14" type="noConversion"/>
  </si>
  <si>
    <t>2-3. 사업계획서 작성</t>
    <phoneticPr fontId="14" type="noConversion"/>
  </si>
  <si>
    <t>2-4. 건축물 계획</t>
    <phoneticPr fontId="3" type="noConversion"/>
  </si>
  <si>
    <t>2-5. 피해방지 계획서 작성</t>
    <phoneticPr fontId="14" type="noConversion"/>
  </si>
  <si>
    <t>2-6. 경사분석</t>
    <phoneticPr fontId="14" type="noConversion"/>
  </si>
  <si>
    <t>2-7. 진입도로/교통처리계획</t>
    <phoneticPr fontId="14" type="noConversion"/>
  </si>
  <si>
    <t>2-8. 대체기반시설 계획</t>
    <phoneticPr fontId="14" type="noConversion"/>
  </si>
  <si>
    <t>2-9. 개발행위허가 기준 검토</t>
    <phoneticPr fontId="14" type="noConversion"/>
  </si>
  <si>
    <t>2-10. 경관체크리스트 검토</t>
    <phoneticPr fontId="14" type="noConversion"/>
  </si>
  <si>
    <t>2-11. 예산내역서</t>
    <phoneticPr fontId="14" type="noConversion"/>
  </si>
  <si>
    <t>3-1. 관련도서 작성</t>
    <phoneticPr fontId="14" type="noConversion"/>
  </si>
  <si>
    <t>■ 개발행위허가</t>
    <phoneticPr fontId="3" type="noConversion"/>
  </si>
  <si>
    <t>만인</t>
    <phoneticPr fontId="14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</si>
  <si>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</si>
  <si>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1. 기초조사</t>
    <phoneticPr fontId="14" type="noConversion"/>
  </si>
  <si>
    <t>2. 분야별 방재계획 수립</t>
    <phoneticPr fontId="14" type="noConversion"/>
  </si>
  <si>
    <t>①기초자료는 "11-2 자료제공의 전제"에 의거 발주자가 제공하여야 하며, 제공하지 못하는 자료에 대하여는 제11장 제8절의 도시</t>
    <phoneticPr fontId="3" type="noConversion"/>
  </si>
  <si>
    <t xml:space="preserve">  계획 기초조사의 품을 참조하여 별도 산정한다.</t>
    <phoneticPr fontId="3" type="noConversion"/>
  </si>
  <si>
    <t>■ 저탄소 녹색도시계획</t>
    <phoneticPr fontId="3" type="noConversion"/>
  </si>
  <si>
    <t>기준인구</t>
    <phoneticPr fontId="3" type="noConversion"/>
  </si>
  <si>
    <t>주1</t>
    <phoneticPr fontId="14" type="noConversion"/>
  </si>
  <si>
    <t>4. 시행전략</t>
    <phoneticPr fontId="3" type="noConversion"/>
  </si>
  <si>
    <t>5. 성과품작성</t>
    <phoneticPr fontId="3" type="noConversion"/>
  </si>
  <si>
    <t>5-2. 관련도서작성</t>
    <phoneticPr fontId="3" type="noConversion"/>
  </si>
  <si>
    <t>6. 기술협의</t>
    <phoneticPr fontId="3" type="noConversion"/>
  </si>
  <si>
    <t>6-1. 공청회/주민설명회</t>
    <phoneticPr fontId="3" type="noConversion"/>
  </si>
  <si>
    <t>6-2. 주민간담회/시민계획단</t>
    <phoneticPr fontId="3" type="noConversion"/>
  </si>
  <si>
    <t>6-3. 위원회심의 지원</t>
    <phoneticPr fontId="3" type="noConversion"/>
  </si>
  <si>
    <t>6-4. 관계기관 협의</t>
    <phoneticPr fontId="3" type="noConversion"/>
  </si>
  <si>
    <t>기준면적:</t>
    <phoneticPr fontId="3" type="noConversion"/>
  </si>
  <si>
    <t>기준인구:</t>
    <phoneticPr fontId="3" type="noConversion"/>
  </si>
  <si>
    <t>계획인구(A) :</t>
    <phoneticPr fontId="3" type="noConversion"/>
  </si>
  <si>
    <t>보정계수(β)=지구밀도보정:</t>
    <phoneticPr fontId="3" type="noConversion"/>
  </si>
  <si>
    <t>2. 기본구상</t>
    <phoneticPr fontId="3" type="noConversion"/>
  </si>
  <si>
    <t>3. 부문별계획</t>
    <phoneticPr fontId="3" type="noConversion"/>
  </si>
  <si>
    <t>4. 성과품작성</t>
    <phoneticPr fontId="3" type="noConversion"/>
  </si>
  <si>
    <t>5. 기술협의</t>
    <phoneticPr fontId="3" type="noConversion"/>
  </si>
  <si>
    <t>■ 지구단위계획(지구지정)</t>
    <phoneticPr fontId="3" type="noConversion"/>
  </si>
  <si>
    <t>■ 지구단위계획</t>
    <phoneticPr fontId="3" type="noConversion"/>
  </si>
  <si>
    <t>4. 시행계획</t>
    <phoneticPr fontId="3" type="noConversion"/>
  </si>
  <si>
    <t>■ 마을만들기</t>
    <phoneticPr fontId="3" type="noConversion"/>
  </si>
  <si>
    <t>만㎡</t>
    <phoneticPr fontId="3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</si>
  <si>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</si>
  <si>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1. 현황조사 및 분석</t>
    <phoneticPr fontId="3" type="noConversion"/>
  </si>
  <si>
    <t>1-1. 지역자산조사</t>
    <phoneticPr fontId="3" type="noConversion"/>
  </si>
  <si>
    <t>3. 부문별 계획</t>
    <phoneticPr fontId="3" type="noConversion"/>
  </si>
  <si>
    <t>4. 주민워크샵</t>
    <phoneticPr fontId="3" type="noConversion"/>
  </si>
  <si>
    <t>■ 도시개발구역 지정</t>
    <phoneticPr fontId="3" type="noConversion"/>
  </si>
  <si>
    <t>만㎡</t>
    <phoneticPr fontId="14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</si>
  <si>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0.3</t>
    </r>
    <r>
      <rPr>
        <sz val="11"/>
        <rFont val="굴림체"/>
        <family val="3"/>
        <charset val="129"/>
      </rPr>
      <t xml:space="preserve"> :</t>
    </r>
    <phoneticPr fontId="3" type="noConversion"/>
  </si>
  <si>
    <t>1. 계획검토</t>
    <phoneticPr fontId="14" type="noConversion"/>
  </si>
  <si>
    <t>Ⅰ-2. 직접경비</t>
    <phoneticPr fontId="3" type="noConversion"/>
  </si>
  <si>
    <t>3. 기술협의</t>
    <phoneticPr fontId="14" type="noConversion"/>
  </si>
  <si>
    <t>3-1. 공청회/주민설명회</t>
    <phoneticPr fontId="14" type="noConversion"/>
  </si>
  <si>
    <t>3-2. 주민간담회/시민계획단</t>
    <phoneticPr fontId="14" type="noConversion"/>
  </si>
  <si>
    <t>3-3. 위원회심의 지원</t>
    <phoneticPr fontId="14" type="noConversion"/>
  </si>
  <si>
    <t>3-4. 관계기관 협의</t>
    <phoneticPr fontId="14" type="noConversion"/>
  </si>
  <si>
    <t>3. 기술협의</t>
  </si>
  <si>
    <t>3-1. 공청회/주민설명회</t>
  </si>
  <si>
    <t>3-2. 주민간담회/시민계획단</t>
  </si>
  <si>
    <t>3-3. 위원회심의 지원</t>
  </si>
  <si>
    <t>3-4. 관계기관 협의</t>
  </si>
  <si>
    <t>■ 물류(유통)단지 개발계획</t>
    <phoneticPr fontId="3" type="noConversion"/>
  </si>
  <si>
    <t>도시관리계획(재정비)등과의 단일건 발주여부</t>
    <phoneticPr fontId="3" type="noConversion"/>
  </si>
  <si>
    <t>도시관리계획(재정비)등의 수행중 수의계약 여부</t>
    <phoneticPr fontId="3" type="noConversion"/>
  </si>
  <si>
    <t>■ 도시재생전략계획</t>
    <phoneticPr fontId="3" type="noConversion"/>
  </si>
  <si>
    <t>기준인구:</t>
    <phoneticPr fontId="3" type="noConversion"/>
  </si>
  <si>
    <r>
      <t>보정계수(α) = (A/60)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</si>
  <si>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1. 기초조사 및 분석</t>
  </si>
  <si>
    <t>1. 기초조사 및 분석</t>
    <phoneticPr fontId="3" type="noConversion"/>
  </si>
  <si>
    <t>2. 전략계획</t>
    <phoneticPr fontId="3" type="noConversion"/>
  </si>
  <si>
    <t>①기술협의는 2회 이내 기준이며, 횟수가 늘어날 경우 증가배수에 해당하는 작업품과 비용을 가산한다.</t>
    <phoneticPr fontId="14" type="noConversion"/>
  </si>
  <si>
    <t>■ 도시재생활성화계획</t>
    <phoneticPr fontId="3" type="noConversion"/>
  </si>
  <si>
    <t>기준면적:</t>
    <phoneticPr fontId="3" type="noConversion"/>
  </si>
  <si>
    <t>1-1. 상위계획 및 관련계획</t>
  </si>
  <si>
    <t>1-1. 상위계획 및 관련계획</t>
    <phoneticPr fontId="3" type="noConversion"/>
  </si>
  <si>
    <t>1-2. 자연환경</t>
    <phoneticPr fontId="3" type="noConversion"/>
  </si>
  <si>
    <t>1-3. 지역자원</t>
  </si>
  <si>
    <t>1-3. 지역자원</t>
    <phoneticPr fontId="3" type="noConversion"/>
  </si>
  <si>
    <t>1-4. 인문환경</t>
  </si>
  <si>
    <t>1-4. 인문환경</t>
    <phoneticPr fontId="3" type="noConversion"/>
  </si>
  <si>
    <t>1-5. 도시계획·공간구조·외부공간</t>
  </si>
  <si>
    <t>1-5. 도시계획·공간구조·외부공간</t>
    <phoneticPr fontId="3" type="noConversion"/>
  </si>
  <si>
    <t>1-6. 건축물 현황</t>
  </si>
  <si>
    <t>1-6. 건축물 현황</t>
    <phoneticPr fontId="3" type="noConversion"/>
  </si>
  <si>
    <t>1-7. 산업경제·사회변화·인적자원</t>
  </si>
  <si>
    <t>1-7. 산업경제·사회변화·인적자원</t>
    <phoneticPr fontId="3" type="noConversion"/>
  </si>
  <si>
    <t>1-8. 지원 사업</t>
  </si>
  <si>
    <t>1-8. 지원 사업</t>
    <phoneticPr fontId="3" type="noConversion"/>
  </si>
  <si>
    <t>2. 활성화계획</t>
  </si>
  <si>
    <t>2. 활성화계획</t>
    <phoneticPr fontId="3" type="noConversion"/>
  </si>
  <si>
    <t>2-1. 계획의 목표</t>
  </si>
  <si>
    <t>2-1. 계획의 목표</t>
    <phoneticPr fontId="3" type="noConversion"/>
  </si>
  <si>
    <t>2-2. 사업의 계획 및 파급효과</t>
  </si>
  <si>
    <t>2-2. 사업의 계획 및 파급효과</t>
    <phoneticPr fontId="3" type="noConversion"/>
  </si>
  <si>
    <t>2-3. 기반시설의 설치·정비 계획</t>
  </si>
  <si>
    <t>2-3. 기반시설의 설치·정비 계획</t>
    <phoneticPr fontId="3" type="noConversion"/>
  </si>
  <si>
    <t>2-4. 재원 조달계획</t>
  </si>
  <si>
    <t>2-4. 재원 조달계획</t>
    <phoneticPr fontId="3" type="noConversion"/>
  </si>
  <si>
    <t>2-5. 예산 집행 계획</t>
  </si>
  <si>
    <t>2-5. 예산 집행 계획</t>
    <phoneticPr fontId="3" type="noConversion"/>
  </si>
  <si>
    <t>2-6. 평가 및 점검 계획</t>
  </si>
  <si>
    <t>2-6. 평가 및 점검 계획</t>
    <phoneticPr fontId="3" type="noConversion"/>
  </si>
  <si>
    <t>2-7. 행위제한 지역 계획</t>
  </si>
  <si>
    <t>2-7. 행위제한 지역 계획</t>
    <phoneticPr fontId="3" type="noConversion"/>
  </si>
  <si>
    <t>2-8. 조직의 운영·활성화 방안 사항</t>
  </si>
  <si>
    <t>2-8. 조직의 운영·활성화 방안 사항</t>
    <phoneticPr fontId="3" type="noConversion"/>
  </si>
  <si>
    <t>3. 성과품작성</t>
    <phoneticPr fontId="3" type="noConversion"/>
  </si>
  <si>
    <t>3-1. 보고서작성 및 편집</t>
    <phoneticPr fontId="3" type="noConversion"/>
  </si>
  <si>
    <t>3-2. 관련도서작성</t>
    <phoneticPr fontId="3" type="noConversion"/>
  </si>
  <si>
    <t>4. 기술협의</t>
    <phoneticPr fontId="3" type="noConversion"/>
  </si>
  <si>
    <t>4-1. 공청회/주민설명회</t>
    <phoneticPr fontId="3" type="noConversion"/>
  </si>
  <si>
    <t>4-2. 주민간담회/시민계획단</t>
    <phoneticPr fontId="3" type="noConversion"/>
  </si>
  <si>
    <t>4-3. 위원회심의 지원</t>
    <phoneticPr fontId="3" type="noConversion"/>
  </si>
  <si>
    <t>4-4. 관계기관 협의</t>
    <phoneticPr fontId="3" type="noConversion"/>
  </si>
  <si>
    <t>■ 재정비촉진지구 지정</t>
    <phoneticPr fontId="3" type="noConversion"/>
  </si>
  <si>
    <t>1. 현황조사</t>
    <phoneticPr fontId="3" type="noConversion"/>
  </si>
  <si>
    <t>2. 기본구상</t>
    <phoneticPr fontId="3" type="noConversion"/>
  </si>
  <si>
    <t>②기술협의는 2회 이내 기준이며, 횟수가 늘어날 경우 증가배수에 해당하는 작업품과 비용을 가산한다.</t>
    <phoneticPr fontId="14" type="noConversion"/>
  </si>
  <si>
    <t>■ 재정비촉진계획</t>
    <phoneticPr fontId="3" type="noConversion"/>
  </si>
  <si>
    <t>■ 도시·주거환경정비 기본계획</t>
    <phoneticPr fontId="3" type="noConversion"/>
  </si>
  <si>
    <r>
      <t>보정계수(α) = (A/50)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</si>
  <si>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2. 기본계획</t>
    <phoneticPr fontId="14" type="noConversion"/>
  </si>
  <si>
    <t>1. 현황조사</t>
    <phoneticPr fontId="14" type="noConversion"/>
  </si>
  <si>
    <t>①기술협의는 2회 이내 기준이며, 횟수가 늘어날 경우 증가배수에 해당하는 작업품과 비용을 가산한다.</t>
    <phoneticPr fontId="3" type="noConversion"/>
  </si>
  <si>
    <t>②각종영향성검토 및 각종영향평가업무는 별도의 엔지니어링활동업무로 계상한다.</t>
    <phoneticPr fontId="3" type="noConversion"/>
  </si>
  <si>
    <t>2. 정비계획</t>
    <phoneticPr fontId="3" type="noConversion"/>
  </si>
  <si>
    <t>1. 현황조사</t>
    <phoneticPr fontId="3" type="noConversion"/>
  </si>
  <si>
    <t>2. 기본구상</t>
    <phoneticPr fontId="3" type="noConversion"/>
  </si>
  <si>
    <t>4. 성과품 작성</t>
    <phoneticPr fontId="3" type="noConversion"/>
  </si>
  <si>
    <t>5. 기술협의</t>
    <phoneticPr fontId="3" type="noConversion"/>
  </si>
  <si>
    <t>3. 부문별 계획</t>
    <phoneticPr fontId="3" type="noConversion"/>
  </si>
  <si>
    <t>5. 주민워크샵</t>
    <phoneticPr fontId="3" type="noConversion"/>
  </si>
  <si>
    <t>6. 기술협의</t>
    <phoneticPr fontId="3" type="noConversion"/>
  </si>
  <si>
    <t>①각종영향성검토 및 각종영향평가업무는 별도의 엔지니어링활동업무로 계상하며, 환경성검토, 교통성검토는 검토</t>
    <phoneticPr fontId="14" type="noConversion"/>
  </si>
  <si>
    <t xml:space="preserve">  결과의 내용을 반영하기 위한 작업만을 범위로 한다.</t>
    <phoneticPr fontId="3" type="noConversion"/>
  </si>
  <si>
    <t>②주민워크샵은 26회 기준이며, 횟수가 늘어날 경우 증가배수에 해당하는 작업품과 비용을 가산한다.</t>
    <phoneticPr fontId="14" type="noConversion"/>
  </si>
  <si>
    <t>③기술협의는 2회 이내 기준이며, 횟수가 늘어날 경우 증가배수에 해당하는 작업품과 비용을 가산한다.</t>
    <phoneticPr fontId="14" type="noConversion"/>
  </si>
  <si>
    <t>2. 구역해제에 따른 문제점분석</t>
    <phoneticPr fontId="3" type="noConversion"/>
  </si>
  <si>
    <t>3. 구역해제에 따른 대책검토</t>
    <phoneticPr fontId="3" type="noConversion"/>
  </si>
  <si>
    <t>4. 성과품작성</t>
    <phoneticPr fontId="3" type="noConversion"/>
  </si>
  <si>
    <t>2. 사업계획</t>
    <phoneticPr fontId="3" type="noConversion"/>
  </si>
  <si>
    <t>3. 성과품 작성</t>
    <phoneticPr fontId="3" type="noConversion"/>
  </si>
  <si>
    <t>4. 기술협의</t>
    <phoneticPr fontId="3" type="noConversion"/>
  </si>
  <si>
    <t>■ 사업시행계획</t>
    <phoneticPr fontId="3" type="noConversion"/>
  </si>
  <si>
    <t>보정계수(δ) = (A*0.2) :</t>
    <phoneticPr fontId="14" type="noConversion"/>
  </si>
  <si>
    <t>2. 기본설계</t>
    <phoneticPr fontId="3" type="noConversion"/>
  </si>
  <si>
    <t>3. 자금계획</t>
    <phoneticPr fontId="3" type="noConversion"/>
  </si>
  <si>
    <t>4. 사업시행계획</t>
    <phoneticPr fontId="3" type="noConversion"/>
  </si>
  <si>
    <t>5. 실시설계</t>
    <phoneticPr fontId="3" type="noConversion"/>
  </si>
  <si>
    <t>①필지 200 기준은 최소기준이며 증가필지수에 비례하여 1. 토지 및 건물권리조사 항목의 작업품 및 비용이 가산됨.</t>
    <phoneticPr fontId="14" type="noConversion"/>
  </si>
  <si>
    <t>■ 관리처분계획</t>
    <phoneticPr fontId="3" type="noConversion"/>
  </si>
  <si>
    <r>
      <t>보정계수(ε) = A*0.2</t>
    </r>
    <r>
      <rPr>
        <sz val="11"/>
        <rFont val="굴림체"/>
        <family val="3"/>
        <charset val="129"/>
      </rPr>
      <t xml:space="preserve"> :</t>
    </r>
    <phoneticPr fontId="14" type="noConversion"/>
  </si>
  <si>
    <t>1. 분양설계기준</t>
    <phoneticPr fontId="3" type="noConversion"/>
  </si>
  <si>
    <t>2. 토지평가</t>
    <phoneticPr fontId="3" type="noConversion"/>
  </si>
  <si>
    <t>3-2. 절충식 환지(분양) 계산</t>
    <phoneticPr fontId="3" type="noConversion"/>
  </si>
  <si>
    <t>3-3. 면적식 환지(분양) 계산</t>
    <phoneticPr fontId="3" type="noConversion"/>
  </si>
  <si>
    <t>4. 환지(분양)식 환지설계</t>
    <phoneticPr fontId="3" type="noConversion"/>
  </si>
  <si>
    <t>5. 혼지(분양)예정지 지정</t>
    <phoneticPr fontId="3" type="noConversion"/>
  </si>
  <si>
    <t>6. 분양설계서</t>
    <phoneticPr fontId="3" type="noConversion"/>
  </si>
  <si>
    <t>7. 기술협의</t>
    <phoneticPr fontId="3" type="noConversion"/>
  </si>
  <si>
    <t>■ 리모델링 기본계획</t>
    <phoneticPr fontId="3" type="noConversion"/>
  </si>
  <si>
    <r>
      <t>보정계수(α) = (A/150)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</si>
  <si>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기준인구:</t>
    <phoneticPr fontId="3" type="noConversion"/>
  </si>
  <si>
    <r>
      <t>보정계수(α) = (A/30)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</si>
  <si>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4. 경관가이드라인</t>
    <phoneticPr fontId="3" type="noConversion"/>
  </si>
  <si>
    <t>5. 실행계획</t>
    <phoneticPr fontId="3" type="noConversion"/>
  </si>
  <si>
    <t>6. 성과품작성</t>
    <phoneticPr fontId="3" type="noConversion"/>
  </si>
  <si>
    <t>7. 기술협의</t>
    <phoneticPr fontId="3" type="noConversion"/>
  </si>
  <si>
    <t>5. 성과품작성</t>
    <phoneticPr fontId="14" type="noConversion"/>
  </si>
  <si>
    <t>6. 기술협의</t>
    <phoneticPr fontId="14" type="noConversion"/>
  </si>
  <si>
    <t>6-1. 공청회/주민설명회</t>
    <phoneticPr fontId="14" type="noConversion"/>
  </si>
  <si>
    <t>6-2. 주민간담회/시민계획단</t>
    <phoneticPr fontId="14" type="noConversion"/>
  </si>
  <si>
    <t>6-3. 위원회심의 지원</t>
    <phoneticPr fontId="14" type="noConversion"/>
  </si>
  <si>
    <t>6-4. 관계기관 협의</t>
    <phoneticPr fontId="14" type="noConversion"/>
  </si>
  <si>
    <t>만㎡</t>
    <phoneticPr fontId="3" type="noConversion"/>
  </si>
  <si>
    <t>기준면적:</t>
    <phoneticPr fontId="3" type="noConversion"/>
  </si>
  <si>
    <t>2. 기본방향 및 목표</t>
    <phoneticPr fontId="3" type="noConversion"/>
  </si>
  <si>
    <t>■ 농·산·어촌경관계획</t>
    <phoneticPr fontId="3" type="noConversion"/>
  </si>
  <si>
    <t>기준면적:</t>
    <phoneticPr fontId="3" type="noConversion"/>
  </si>
  <si>
    <t>만㎡</t>
    <phoneticPr fontId="14" type="noConversion"/>
  </si>
  <si>
    <t>2. 경관구상</t>
    <phoneticPr fontId="14" type="noConversion"/>
  </si>
  <si>
    <t>3. 부문별 경관계획</t>
    <phoneticPr fontId="14" type="noConversion"/>
  </si>
  <si>
    <t>5. 성과품작성</t>
    <phoneticPr fontId="14" type="noConversion"/>
  </si>
  <si>
    <t>6. 기술협의</t>
    <phoneticPr fontId="14" type="noConversion"/>
  </si>
  <si>
    <t>6-1. 공청회/주민설명회</t>
    <phoneticPr fontId="14" type="noConversion"/>
  </si>
  <si>
    <t>6-2. 주민간담회/시민계획단</t>
    <phoneticPr fontId="14" type="noConversion"/>
  </si>
  <si>
    <t>6-3. 위원회심의 지원</t>
    <phoneticPr fontId="14" type="noConversion"/>
  </si>
  <si>
    <t>6-4. 관계기관 협의</t>
    <phoneticPr fontId="14" type="noConversion"/>
  </si>
  <si>
    <t>2. 경관구상</t>
    <phoneticPr fontId="3" type="noConversion"/>
  </si>
  <si>
    <t>3. 실행계획</t>
    <phoneticPr fontId="3" type="noConversion"/>
  </si>
  <si>
    <t>4. 경관기본설계</t>
    <phoneticPr fontId="3" type="noConversion"/>
  </si>
  <si>
    <t>5. 유지 및 관리방안 제시</t>
    <phoneticPr fontId="3" type="noConversion"/>
  </si>
  <si>
    <t>6. 성과품 작서</t>
    <phoneticPr fontId="14" type="noConversion"/>
  </si>
  <si>
    <t>7. 기술협의</t>
    <phoneticPr fontId="3" type="noConversion"/>
  </si>
  <si>
    <t>■ 사회기반시설사업 경관심의</t>
    <phoneticPr fontId="3" type="noConversion"/>
  </si>
  <si>
    <t>3. 부문별 계획</t>
    <phoneticPr fontId="3" type="noConversion"/>
  </si>
  <si>
    <t>4. 경관시뮬레이션 구상</t>
    <phoneticPr fontId="3" type="noConversion"/>
  </si>
  <si>
    <t>6. 기술협의</t>
    <phoneticPr fontId="3" type="noConversion"/>
  </si>
  <si>
    <t>㎢</t>
    <phoneticPr fontId="14" type="noConversion"/>
  </si>
  <si>
    <r>
      <t>보정계수(α) = (A/600)</t>
    </r>
    <r>
      <rPr>
        <vertAlign val="superscript"/>
        <sz val="11"/>
        <rFont val="굴림체"/>
        <family val="3"/>
        <charset val="129"/>
      </rPr>
      <t>0.2</t>
    </r>
    <r>
      <rPr>
        <sz val="11"/>
        <rFont val="굴림체"/>
        <family val="3"/>
        <charset val="129"/>
      </rPr>
      <t xml:space="preserve"> :</t>
    </r>
    <phoneticPr fontId="3" type="noConversion"/>
  </si>
  <si>
    <t>1. 기본구상</t>
    <phoneticPr fontId="14" type="noConversion"/>
  </si>
  <si>
    <t>2. 계획타당성 검토</t>
    <phoneticPr fontId="14" type="noConversion"/>
  </si>
  <si>
    <t>4. 성과품 작성</t>
    <phoneticPr fontId="14" type="noConversion"/>
  </si>
  <si>
    <t>5. 기술협의</t>
    <phoneticPr fontId="14" type="noConversion"/>
  </si>
  <si>
    <t>■ 토지적성평가</t>
    <phoneticPr fontId="3" type="noConversion"/>
  </si>
  <si>
    <t>㎢</t>
    <phoneticPr fontId="3" type="noConversion"/>
  </si>
  <si>
    <t>2. 적성평가</t>
    <phoneticPr fontId="3" type="noConversion"/>
  </si>
  <si>
    <t>3. 성과품 작성</t>
    <phoneticPr fontId="3" type="noConversion"/>
  </si>
  <si>
    <t>4. 기술협의</t>
    <phoneticPr fontId="3" type="noConversion"/>
  </si>
  <si>
    <t>■ 국토계획평가</t>
    <phoneticPr fontId="3" type="noConversion"/>
  </si>
  <si>
    <t>3. 평가서 작성</t>
    <phoneticPr fontId="14" type="noConversion"/>
  </si>
  <si>
    <t>고급숙련기술자</t>
    <phoneticPr fontId="2" type="noConversion"/>
  </si>
  <si>
    <t>초급숙련기술자</t>
    <phoneticPr fontId="2" type="noConversion"/>
  </si>
  <si>
    <t>중급숙련기술자</t>
    <phoneticPr fontId="2" type="noConversion"/>
  </si>
  <si>
    <t>■ 재해취약성분석</t>
    <phoneticPr fontId="3" type="noConversion"/>
  </si>
  <si>
    <t>재난유형에 대한  작업량 보정계수</t>
    <phoneticPr fontId="3" type="noConversion"/>
  </si>
  <si>
    <t>재난분석개수</t>
    <phoneticPr fontId="14" type="noConversion"/>
  </si>
  <si>
    <t>구  분</t>
    <phoneticPr fontId="14" type="noConversion"/>
  </si>
  <si>
    <t>1개</t>
    <phoneticPr fontId="14" type="noConversion"/>
  </si>
  <si>
    <t>2개</t>
    <phoneticPr fontId="14" type="noConversion"/>
  </si>
  <si>
    <t>3개</t>
    <phoneticPr fontId="14" type="noConversion"/>
  </si>
  <si>
    <t>4개</t>
    <phoneticPr fontId="14" type="noConversion"/>
  </si>
  <si>
    <t>5개</t>
    <phoneticPr fontId="14" type="noConversion"/>
  </si>
  <si>
    <t>6개</t>
    <phoneticPr fontId="14" type="noConversion"/>
  </si>
  <si>
    <t>풍수해
비율</t>
    <phoneticPr fontId="14" type="noConversion"/>
  </si>
  <si>
    <t>2. 기초현황조사</t>
    <phoneticPr fontId="3" type="noConversion"/>
  </si>
  <si>
    <t>1. 분석계획수립</t>
    <phoneticPr fontId="3" type="noConversion"/>
  </si>
  <si>
    <t>■ 환경성검토</t>
    <phoneticPr fontId="3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</si>
  <si>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0.2</t>
    </r>
    <r>
      <rPr>
        <sz val="11"/>
        <rFont val="굴림체"/>
        <family val="3"/>
        <charset val="129"/>
      </rPr>
      <t xml:space="preserve"> :</t>
    </r>
    <phoneticPr fontId="3" type="noConversion"/>
  </si>
  <si>
    <t>2. 대안설정</t>
    <phoneticPr fontId="14" type="noConversion"/>
  </si>
  <si>
    <t>3. 환경영향</t>
    <phoneticPr fontId="14" type="noConversion"/>
  </si>
  <si>
    <t>4. 저감방안수립</t>
    <phoneticPr fontId="14" type="noConversion"/>
  </si>
  <si>
    <t>5. 종합평가</t>
    <phoneticPr fontId="14" type="noConversion"/>
  </si>
  <si>
    <t>5-1. 협의회 의견수렴결과</t>
    <phoneticPr fontId="3" type="noConversion"/>
  </si>
  <si>
    <t>5-2. 주민 의견수렴 결과</t>
    <phoneticPr fontId="3" type="noConversion"/>
  </si>
  <si>
    <t>5-3. 종합평가 및 결론</t>
    <phoneticPr fontId="3" type="noConversion"/>
  </si>
  <si>
    <t>■ 경관성검토</t>
    <phoneticPr fontId="3" type="noConversion"/>
  </si>
  <si>
    <t>3. 조망점 선정</t>
    <phoneticPr fontId="3" type="noConversion"/>
  </si>
  <si>
    <t>4. 경관시뮬레이션 분석</t>
    <phoneticPr fontId="3" type="noConversion"/>
  </si>
  <si>
    <t>5. 경관영향 분석 및 저감방안 도출</t>
    <phoneticPr fontId="3" type="noConversion"/>
  </si>
  <si>
    <t>■ 교육환경평가</t>
    <phoneticPr fontId="3" type="noConversion"/>
  </si>
  <si>
    <t>기준학교수:</t>
    <phoneticPr fontId="3" type="noConversion"/>
  </si>
  <si>
    <t>개교</t>
    <phoneticPr fontId="3" type="noConversion"/>
  </si>
  <si>
    <t>3. 평가항목별 조사</t>
    <phoneticPr fontId="3" type="noConversion"/>
  </si>
  <si>
    <t>4. 종합평가</t>
    <phoneticPr fontId="3" type="noConversion"/>
  </si>
  <si>
    <t>5. 성과품 작성</t>
    <phoneticPr fontId="3" type="noConversion"/>
  </si>
  <si>
    <t xml:space="preserve">                                            </t>
    <phoneticPr fontId="14" type="noConversion"/>
  </si>
  <si>
    <t>4. 기술협의</t>
    <phoneticPr fontId="14" type="noConversion"/>
  </si>
  <si>
    <t>■ 사업타당성 조사분석 업무(시가지개발사업)</t>
    <phoneticPr fontId="3" type="noConversion"/>
  </si>
  <si>
    <t>주</t>
    <phoneticPr fontId="3" type="noConversion"/>
  </si>
  <si>
    <t xml:space="preserve">주 : 계획면적이 10만㎡미만인 경우에는 계획면적 10만㎡를 기준으로 하여 산정한다. </t>
    <phoneticPr fontId="3" type="noConversion"/>
  </si>
  <si>
    <t>1. 계획안검토</t>
  </si>
  <si>
    <t>1. 계획안검토</t>
    <phoneticPr fontId="3" type="noConversion"/>
  </si>
  <si>
    <t>■ 산지전용</t>
    <phoneticPr fontId="3" type="noConversion"/>
  </si>
  <si>
    <t>2. 산지전용도서작성</t>
  </si>
  <si>
    <t>2. 산지전용도서작성</t>
    <phoneticPr fontId="3" type="noConversion"/>
  </si>
  <si>
    <t>2-1. 산지전용협의(허가)요청서</t>
  </si>
  <si>
    <t>2-1. 산지전용협의(허가)요청서</t>
    <phoneticPr fontId="3" type="noConversion"/>
  </si>
  <si>
    <t>2-2. 산지편입 현황조서 작성</t>
  </si>
  <si>
    <t>2-2. 산지편입 현황조서 작성</t>
    <phoneticPr fontId="3" type="noConversion"/>
  </si>
  <si>
    <t>2-4. 사업계획서 작성</t>
  </si>
  <si>
    <t>2-4. 사업계획서 작성</t>
    <phoneticPr fontId="3" type="noConversion"/>
  </si>
  <si>
    <t>2-5. 산지관련 도서 작성</t>
  </si>
  <si>
    <t>2-5. 산지관련 도서 작성</t>
    <phoneticPr fontId="3" type="noConversion"/>
  </si>
  <si>
    <t>기준회수:</t>
    <phoneticPr fontId="3" type="noConversion"/>
  </si>
  <si>
    <t>계획회수(A) :</t>
    <phoneticPr fontId="3" type="noConversion"/>
  </si>
  <si>
    <t>회</t>
    <phoneticPr fontId="3" type="noConversion"/>
  </si>
  <si>
    <t>2009년</t>
  </si>
  <si>
    <t>2010년</t>
  </si>
  <si>
    <t>2011년</t>
  </si>
  <si>
    <t>2012년</t>
  </si>
  <si>
    <t>2013년</t>
  </si>
  <si>
    <t>2014년</t>
  </si>
  <si>
    <t>2015년</t>
  </si>
  <si>
    <t>2016년</t>
  </si>
  <si>
    <t>2017년</t>
  </si>
  <si>
    <t>2020년</t>
    <phoneticPr fontId="2" type="noConversion"/>
  </si>
  <si>
    <t>2021년</t>
    <phoneticPr fontId="2" type="noConversion"/>
  </si>
  <si>
    <t>■ 스마트도시계획</t>
    <phoneticPr fontId="3" type="noConversion"/>
  </si>
  <si>
    <t>● 계획기준</t>
    <phoneticPr fontId="3" type="noConversion"/>
  </si>
  <si>
    <t>기준면적:</t>
    <phoneticPr fontId="3" type="noConversion"/>
  </si>
  <si>
    <t>㎢</t>
    <phoneticPr fontId="3" type="noConversion"/>
  </si>
  <si>
    <r>
      <t>보정계수(α) = (A/50)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</si>
  <si>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표준금액</t>
    <phoneticPr fontId="3" type="noConversion"/>
  </si>
  <si>
    <r>
      <t xml:space="preserve">● </t>
    </r>
    <r>
      <rPr>
        <b/>
        <sz val="14"/>
        <rFont val="굴림체"/>
        <family val="3"/>
        <charset val="129"/>
      </rPr>
      <t>표준원단위적용</t>
    </r>
    <phoneticPr fontId="3" type="noConversion"/>
  </si>
  <si>
    <t>● 총괄내역서</t>
    <phoneticPr fontId="3" type="noConversion"/>
  </si>
  <si>
    <t>표준원단위</t>
    <phoneticPr fontId="3" type="noConversion"/>
  </si>
  <si>
    <t>조정
계수</t>
    <phoneticPr fontId="3" type="noConversion"/>
  </si>
  <si>
    <t>Ⅰ직접비</t>
    <phoneticPr fontId="3" type="noConversion"/>
  </si>
  <si>
    <t>비    고</t>
    <phoneticPr fontId="3" type="noConversion"/>
  </si>
  <si>
    <t>2. 계획의 목표 및 추진전략</t>
    <phoneticPr fontId="3" type="noConversion"/>
  </si>
  <si>
    <t>5. 계획추진방안</t>
    <phoneticPr fontId="3" type="noConversion"/>
  </si>
  <si>
    <t>보정원단위</t>
    <phoneticPr fontId="3" type="noConversion"/>
  </si>
  <si>
    <t>Ⅰ-2. 직접경비</t>
    <phoneticPr fontId="3" type="noConversion"/>
  </si>
  <si>
    <t>단위</t>
    <phoneticPr fontId="3" type="noConversion"/>
  </si>
  <si>
    <t>소      계</t>
    <phoneticPr fontId="3" type="noConversion"/>
  </si>
  <si>
    <t>.</t>
    <phoneticPr fontId="3" type="noConversion"/>
  </si>
  <si>
    <t>소      계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</si>
  <si>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</si>
  <si>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</si>
  <si>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</si>
  <si>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</si>
  <si>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</si>
  <si>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</si>
  <si>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</si>
  <si>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</si>
  <si>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</si>
  <si>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소      계</t>
    <phoneticPr fontId="3" type="noConversion"/>
  </si>
  <si>
    <t>단위</t>
    <phoneticPr fontId="3" type="noConversion"/>
  </si>
  <si>
    <t>도면구입 및 기타</t>
    <phoneticPr fontId="3" type="noConversion"/>
  </si>
  <si>
    <t>Ⅰ-1. 직접경비</t>
    <phoneticPr fontId="3" type="noConversion"/>
  </si>
  <si>
    <t>보정원단위</t>
    <phoneticPr fontId="3" type="noConversion"/>
  </si>
  <si>
    <t>3. 성과품작성</t>
    <phoneticPr fontId="14" type="noConversion"/>
  </si>
  <si>
    <t>2. 특화단지계획</t>
    <phoneticPr fontId="14" type="noConversion"/>
  </si>
  <si>
    <t>비    고</t>
    <phoneticPr fontId="3" type="noConversion"/>
  </si>
  <si>
    <t>Ⅰ직접비</t>
    <phoneticPr fontId="3" type="noConversion"/>
  </si>
  <si>
    <t>조정
계수</t>
    <phoneticPr fontId="3" type="noConversion"/>
  </si>
  <si>
    <t>표준원단위</t>
    <phoneticPr fontId="3" type="noConversion"/>
  </si>
  <si>
    <t>● 총괄내역서</t>
    <phoneticPr fontId="3" type="noConversion"/>
  </si>
  <si>
    <r>
      <t xml:space="preserve">● </t>
    </r>
    <r>
      <rPr>
        <b/>
        <sz val="14"/>
        <rFont val="굴림체"/>
        <family val="3"/>
        <charset val="129"/>
      </rPr>
      <t>표준원단위적용</t>
    </r>
    <phoneticPr fontId="3" type="noConversion"/>
  </si>
  <si>
    <t>표준금액</t>
    <phoneticPr fontId="3" type="noConversion"/>
  </si>
  <si>
    <r>
      <t>보정계수(α) = (A/10)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</si>
  <si>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만㎡</t>
    <phoneticPr fontId="3" type="noConversion"/>
  </si>
  <si>
    <t>기준면적:</t>
    <phoneticPr fontId="3" type="noConversion"/>
  </si>
  <si>
    <t>● 계획기준</t>
    <phoneticPr fontId="3" type="noConversion"/>
  </si>
  <si>
    <t>■ 스마트도시 특화단지계획</t>
    <phoneticPr fontId="3" type="noConversion"/>
  </si>
  <si>
    <t>● 계획기준</t>
    <phoneticPr fontId="3" type="noConversion"/>
  </si>
  <si>
    <r>
      <t xml:space="preserve">보정계수(β) </t>
    </r>
    <r>
      <rPr>
        <sz val="11"/>
        <rFont val="굴림체"/>
        <family val="3"/>
        <charset val="129"/>
      </rPr>
      <t>:</t>
    </r>
    <phoneticPr fontId="3" type="noConversion"/>
  </si>
  <si>
    <t>표준금액</t>
    <phoneticPr fontId="3" type="noConversion"/>
  </si>
  <si>
    <t>● 총괄내역서</t>
    <phoneticPr fontId="3" type="noConversion"/>
  </si>
  <si>
    <t>표준원단위</t>
    <phoneticPr fontId="3" type="noConversion"/>
  </si>
  <si>
    <t>조정
계수</t>
    <phoneticPr fontId="3" type="noConversion"/>
  </si>
  <si>
    <t>비    고</t>
    <phoneticPr fontId="3" type="noConversion"/>
  </si>
  <si>
    <t>1. 사전준비</t>
    <phoneticPr fontId="14" type="noConversion"/>
  </si>
  <si>
    <t>1-1. 대상지 현황분석</t>
    <phoneticPr fontId="14" type="noConversion"/>
  </si>
  <si>
    <t>1-2. 상위계획 및 관련계획 검토</t>
    <phoneticPr fontId="14" type="noConversion"/>
  </si>
  <si>
    <t>1-3. 시민참여단 모집</t>
    <phoneticPr fontId="14" type="noConversion"/>
  </si>
  <si>
    <t>2. 기획</t>
    <phoneticPr fontId="14" type="noConversion"/>
  </si>
  <si>
    <t>2-1. 리빙랩 운영방안 수립</t>
    <phoneticPr fontId="14" type="noConversion"/>
  </si>
  <si>
    <t>2-2. 리빙랩 세부 프로그램 기획</t>
    <phoneticPr fontId="14" type="noConversion"/>
  </si>
  <si>
    <t>3. Pre-Research (지역문제 도출)</t>
    <phoneticPr fontId="14" type="noConversion"/>
  </si>
  <si>
    <t>3-1. 온라인 시민니즈 분석</t>
    <phoneticPr fontId="14" type="noConversion"/>
  </si>
  <si>
    <t>3-2. 오프라인 시민니즈 분석</t>
    <phoneticPr fontId="14" type="noConversion"/>
  </si>
  <si>
    <t>4. Ideation (스마트서비스 도출)</t>
    <phoneticPr fontId="14" type="noConversion"/>
  </si>
  <si>
    <t>4-1. 스마트서비스 기능구상</t>
    <phoneticPr fontId="14" type="noConversion"/>
  </si>
  <si>
    <t>4-2. 시민의견 체계화,구조화 분석</t>
    <phoneticPr fontId="14" type="noConversion"/>
  </si>
  <si>
    <t>5. User Resarch (스마트서비스 기능 개선)</t>
    <phoneticPr fontId="14" type="noConversion"/>
  </si>
  <si>
    <t>5-1. 유사서비스 사례분석</t>
    <phoneticPr fontId="14" type="noConversion"/>
  </si>
  <si>
    <t>5-2. 가상체험 프로그램 기획 (UI/UX)</t>
    <phoneticPr fontId="14" type="noConversion"/>
  </si>
  <si>
    <t>5-3. 가상체험 및 시민의견 수집</t>
    <phoneticPr fontId="14" type="noConversion"/>
  </si>
  <si>
    <t>5-4. 시민의견 종합 분석</t>
    <phoneticPr fontId="14" type="noConversion"/>
  </si>
  <si>
    <t>5-5. 스마트서비스 개선사항 도출</t>
    <phoneticPr fontId="14" type="noConversion"/>
  </si>
  <si>
    <t>6. User Test (스마트서비스 현장 검증)</t>
    <phoneticPr fontId="14" type="noConversion"/>
  </si>
  <si>
    <t>6-1. 스마트서비스 만족도 조사</t>
    <phoneticPr fontId="14" type="noConversion"/>
  </si>
  <si>
    <t>6-2. 스마트서비스 효과성 측정</t>
    <phoneticPr fontId="14" type="noConversion"/>
  </si>
  <si>
    <t>6-3. 스마트서비스 개선사항 도출</t>
    <phoneticPr fontId="14" type="noConversion"/>
  </si>
  <si>
    <t>7. 스마트서비스 구축현황 점검</t>
    <phoneticPr fontId="14" type="noConversion"/>
  </si>
  <si>
    <t>7-1. 스마트서비스 구축 진척율 점검</t>
    <phoneticPr fontId="14" type="noConversion"/>
  </si>
  <si>
    <t>7-2. 스마트서비스 구현 기능 점검</t>
    <phoneticPr fontId="14" type="noConversion"/>
  </si>
  <si>
    <t>7-3. 시민 요구사항 반영여부 점검</t>
    <phoneticPr fontId="14" type="noConversion"/>
  </si>
  <si>
    <t>8. 리빙랩 성과 점검 및 확산방안 도출</t>
    <phoneticPr fontId="14" type="noConversion"/>
  </si>
  <si>
    <t>8-1. 리빙랩 성과 점검</t>
    <phoneticPr fontId="14" type="noConversion"/>
  </si>
  <si>
    <t>8-2. 리빙랩 확산 방안 도출</t>
    <phoneticPr fontId="14" type="noConversion"/>
  </si>
  <si>
    <t>1. 사전준비</t>
    <phoneticPr fontId="14" type="noConversion"/>
  </si>
  <si>
    <t>회의비 및 기타</t>
    <phoneticPr fontId="3" type="noConversion"/>
  </si>
  <si>
    <t>2-1. 리빙랩 운영방안 수립</t>
    <phoneticPr fontId="14" type="noConversion"/>
  </si>
  <si>
    <t>3. Pre-Research (지역문제 도출)</t>
    <phoneticPr fontId="14" type="noConversion"/>
  </si>
  <si>
    <t>3-1. 온라인 시민니즈 분석</t>
    <phoneticPr fontId="14" type="noConversion"/>
  </si>
  <si>
    <t>3-2. 오프라인 시민니즈 분석</t>
    <phoneticPr fontId="14" type="noConversion"/>
  </si>
  <si>
    <t>4. Ideation (스마트서비스 도출)</t>
    <phoneticPr fontId="14" type="noConversion"/>
  </si>
  <si>
    <t>4-1. 스마트서비스 기능구상</t>
    <phoneticPr fontId="14" type="noConversion"/>
  </si>
  <si>
    <t>4-2. 시민의견 체계화,구조화 분석</t>
    <phoneticPr fontId="14" type="noConversion"/>
  </si>
  <si>
    <t>5. User Resarch (스마트서비스 기능 개선)</t>
    <phoneticPr fontId="14" type="noConversion"/>
  </si>
  <si>
    <t>5-1. 유사서비스 사례분석</t>
    <phoneticPr fontId="14" type="noConversion"/>
  </si>
  <si>
    <t>5-2. 가상체험 프로그램 기획 (UI/UX)</t>
    <phoneticPr fontId="14" type="noConversion"/>
  </si>
  <si>
    <t>5-4. 시민의견 체계화,구조화 분석</t>
    <phoneticPr fontId="14" type="noConversion"/>
  </si>
  <si>
    <t>5-5. 스마트서비스 개선사항 도출</t>
    <phoneticPr fontId="14" type="noConversion"/>
  </si>
  <si>
    <t>6. User Test (스마트서비스 현장 검증)</t>
    <phoneticPr fontId="14" type="noConversion"/>
  </si>
  <si>
    <t>6-3. 스마트서비스 개선사항 도출</t>
    <phoneticPr fontId="14" type="noConversion"/>
  </si>
  <si>
    <t>7. 스마트서비스 구축현황 점검</t>
    <phoneticPr fontId="14" type="noConversion"/>
  </si>
  <si>
    <t>7-2. 스마트서비스 구현 기능 점검</t>
    <phoneticPr fontId="14" type="noConversion"/>
  </si>
  <si>
    <t>8-1. 리빙랩 성과 점검</t>
    <phoneticPr fontId="14" type="noConversion"/>
  </si>
  <si>
    <t>.</t>
    <phoneticPr fontId="3" type="noConversion"/>
  </si>
  <si>
    <t>8-2. 리빙랩 확산 방안 도출</t>
    <phoneticPr fontId="14" type="noConversion"/>
  </si>
  <si>
    <t>.</t>
    <phoneticPr fontId="3" type="noConversion"/>
  </si>
  <si>
    <t>.</t>
    <phoneticPr fontId="3" type="noConversion"/>
  </si>
  <si>
    <t>■ 스마트도시 시민 리빙랩</t>
    <phoneticPr fontId="3" type="noConversion"/>
  </si>
  <si>
    <t>참여인원에 대한 작업량 보정계수(β) :</t>
    <phoneticPr fontId="3" type="noConversion"/>
  </si>
  <si>
    <t>기준횟수:</t>
    <phoneticPr fontId="3" type="noConversion"/>
  </si>
  <si>
    <t>계획횟수(A):</t>
    <phoneticPr fontId="3" type="noConversion"/>
  </si>
  <si>
    <r>
      <t>보정계수(α) = (A/4)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</si>
  <si>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회</t>
    <phoneticPr fontId="14" type="noConversion"/>
  </si>
  <si>
    <t>①스마트도시 시민 리빙랩 진행과정 중 지역 주민들과 회의 및 의견수렴 업무의 원단위 설정을 위한 기준횟수를 4회로 하고, 최소</t>
    <phoneticPr fontId="3" type="noConversion"/>
  </si>
  <si>
    <t xml:space="preserve">  기준을 4회로 한다.</t>
    <phoneticPr fontId="3" type="noConversion"/>
  </si>
  <si>
    <t>● 계획기준</t>
    <phoneticPr fontId="3" type="noConversion"/>
  </si>
  <si>
    <t>기준면적:</t>
    <phoneticPr fontId="3" type="noConversion"/>
  </si>
  <si>
    <t>만㎡</t>
    <phoneticPr fontId="3" type="noConversion"/>
  </si>
  <si>
    <r>
      <t>보정계수(α) = (A/15)</t>
    </r>
    <r>
      <rPr>
        <vertAlign val="superscript"/>
        <sz val="11"/>
        <rFont val="굴림체"/>
        <family val="3"/>
        <charset val="129"/>
      </rPr>
      <t>0.3</t>
    </r>
    <r>
      <rPr>
        <sz val="11"/>
        <rFont val="굴림체"/>
        <family val="3"/>
        <charset val="129"/>
      </rPr>
      <t xml:space="preserve"> :</t>
    </r>
    <phoneticPr fontId="3" type="noConversion"/>
  </si>
  <si>
    <t>표준금액</t>
    <phoneticPr fontId="3" type="noConversion"/>
  </si>
  <si>
    <r>
      <t xml:space="preserve">● </t>
    </r>
    <r>
      <rPr>
        <b/>
        <sz val="14"/>
        <rFont val="굴림체"/>
        <family val="3"/>
        <charset val="129"/>
      </rPr>
      <t>표준원단위적용</t>
    </r>
    <phoneticPr fontId="3" type="noConversion"/>
  </si>
  <si>
    <t>● 총괄내역서</t>
    <phoneticPr fontId="3" type="noConversion"/>
  </si>
  <si>
    <t>표준원단위</t>
    <phoneticPr fontId="3" type="noConversion"/>
  </si>
  <si>
    <t>조정
계수</t>
    <phoneticPr fontId="3" type="noConversion"/>
  </si>
  <si>
    <t>Ⅰ직접비</t>
    <phoneticPr fontId="3" type="noConversion"/>
  </si>
  <si>
    <t>비    고</t>
    <phoneticPr fontId="3" type="noConversion"/>
  </si>
  <si>
    <t>2. 도시관리계획 변경(개발제한구역 해제)</t>
    <phoneticPr fontId="14" type="noConversion"/>
  </si>
  <si>
    <t>3. 개발제한구역 해제를 위한 검토</t>
    <phoneticPr fontId="14" type="noConversion"/>
  </si>
  <si>
    <t>소      계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</si>
  <si>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</si>
  <si>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</si>
  <si>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</si>
  <si>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</si>
  <si>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.</t>
    <phoneticPr fontId="3" type="noConversion"/>
  </si>
  <si>
    <t>소      계</t>
    <phoneticPr fontId="3" type="noConversion"/>
  </si>
  <si>
    <t>소      계</t>
    <phoneticPr fontId="3" type="noConversion"/>
  </si>
  <si>
    <t>.</t>
    <phoneticPr fontId="3" type="noConversion"/>
  </si>
  <si>
    <t>소      계</t>
    <phoneticPr fontId="3" type="noConversion"/>
  </si>
  <si>
    <t>단위</t>
    <phoneticPr fontId="3" type="noConversion"/>
  </si>
  <si>
    <t>도면구입 및 기타</t>
    <phoneticPr fontId="3" type="noConversion"/>
  </si>
  <si>
    <t>보정원단위</t>
    <phoneticPr fontId="3" type="noConversion"/>
  </si>
  <si>
    <t>253 기본계획 4-4</t>
    <phoneticPr fontId="14" type="noConversion"/>
  </si>
  <si>
    <t>253 기본계획 4-3</t>
    <phoneticPr fontId="14" type="noConversion"/>
  </si>
  <si>
    <t>253 기본계획 4-2</t>
    <phoneticPr fontId="14" type="noConversion"/>
  </si>
  <si>
    <t>253 기본계획 4-1</t>
    <phoneticPr fontId="14" type="noConversion"/>
  </si>
  <si>
    <t>5. 기술협의</t>
    <phoneticPr fontId="14" type="noConversion"/>
  </si>
  <si>
    <t>253 기본계획 3-2</t>
    <phoneticPr fontId="14" type="noConversion"/>
  </si>
  <si>
    <t>253 기본계획 3-1</t>
    <phoneticPr fontId="14" type="noConversion"/>
  </si>
  <si>
    <t>4. 성과품 작성</t>
    <phoneticPr fontId="3" type="noConversion"/>
  </si>
  <si>
    <t>254 정비계획 2-12</t>
    <phoneticPr fontId="14" type="noConversion"/>
  </si>
  <si>
    <t>253 기본계획 2-11</t>
  </si>
  <si>
    <t>57 도시기본계획 3-3</t>
    <phoneticPr fontId="14" type="noConversion"/>
  </si>
  <si>
    <t>253 기본계획 2-1</t>
    <phoneticPr fontId="14" type="noConversion"/>
  </si>
  <si>
    <t>3. 생활권계획</t>
    <phoneticPr fontId="14" type="noConversion"/>
  </si>
  <si>
    <t>218 재생계획 2-2</t>
  </si>
  <si>
    <t>32 지역계획 3-4</t>
  </si>
  <si>
    <t>218 재생계획 2-2</t>
    <phoneticPr fontId="14" type="noConversion"/>
  </si>
  <si>
    <t>218 재생계획 1-4</t>
    <phoneticPr fontId="14" type="noConversion"/>
  </si>
  <si>
    <t>253 기본계획 1-5</t>
    <phoneticPr fontId="14" type="noConversion"/>
  </si>
  <si>
    <t>253 기본계획 1-4</t>
    <phoneticPr fontId="14" type="noConversion"/>
  </si>
  <si>
    <t>253 기본계획 1-3</t>
    <phoneticPr fontId="14" type="noConversion"/>
  </si>
  <si>
    <t>253 기본계획 1-2</t>
    <phoneticPr fontId="14" type="noConversion"/>
  </si>
  <si>
    <t>253 기본계획 1-1</t>
    <phoneticPr fontId="14" type="noConversion"/>
  </si>
  <si>
    <t>비    고</t>
    <phoneticPr fontId="3" type="noConversion"/>
  </si>
  <si>
    <t>Ⅰ직접비</t>
    <phoneticPr fontId="3" type="noConversion"/>
  </si>
  <si>
    <t>비율</t>
    <phoneticPr fontId="14" type="noConversion"/>
  </si>
  <si>
    <t>참고 품셈</t>
    <phoneticPr fontId="3" type="noConversion"/>
  </si>
  <si>
    <t>조정
계수</t>
    <phoneticPr fontId="3" type="noConversion"/>
  </si>
  <si>
    <t>표준금액</t>
    <phoneticPr fontId="3" type="noConversion"/>
  </si>
  <si>
    <t>■ 생활권계획</t>
    <phoneticPr fontId="3" type="noConversion"/>
  </si>
  <si>
    <t>주 : 기준면적(10㎢)이하는 10㎢에 준한다.</t>
    <phoneticPr fontId="3" type="noConversion"/>
  </si>
  <si>
    <t>㎢</t>
    <phoneticPr fontId="14" type="noConversion"/>
  </si>
  <si>
    <t>■ 구역지정(정비계획)_1) 재개발사업·재건축사업</t>
    <phoneticPr fontId="3" type="noConversion"/>
  </si>
  <si>
    <t>■ 구역지정(정비계획)_2) 주거환경개선사업</t>
    <phoneticPr fontId="3" type="noConversion"/>
  </si>
  <si>
    <t>■ 구역지정(정비계획)_3) 구역해제 및 관리방안</t>
    <phoneticPr fontId="3" type="noConversion"/>
  </si>
  <si>
    <t>1. 퍼실리테이션 기획</t>
    <phoneticPr fontId="3" type="noConversion"/>
  </si>
  <si>
    <t>2. 목표정립</t>
    <phoneticPr fontId="3" type="noConversion"/>
  </si>
  <si>
    <t>3. 핵심과제 도출</t>
    <phoneticPr fontId="3" type="noConversion"/>
  </si>
  <si>
    <t>4. 의사결정</t>
    <phoneticPr fontId="3" type="noConversion"/>
  </si>
  <si>
    <t>Ⅱ-1. 제경비 = 직접인건비 × 110~120%</t>
  </si>
  <si>
    <t>Ⅱ-2. 기술료 = (직접인건비+제경비) × 20~40%</t>
  </si>
  <si>
    <t>Ⅱ-2. 기술료 = (직접인건비+제경비) × 20~40%</t>
    <phoneticPr fontId="14" type="noConversion"/>
  </si>
  <si>
    <t>2억원미만</t>
    <phoneticPr fontId="14" type="noConversion"/>
  </si>
  <si>
    <t>2~5억원</t>
    <phoneticPr fontId="14" type="noConversion"/>
  </si>
  <si>
    <t>5~10억원</t>
    <phoneticPr fontId="14" type="noConversion"/>
  </si>
  <si>
    <t>10~20억원</t>
    <phoneticPr fontId="14" type="noConversion"/>
  </si>
  <si>
    <t>20~30억원</t>
    <phoneticPr fontId="14" type="noConversion"/>
  </si>
  <si>
    <t>30~50억원</t>
    <phoneticPr fontId="14" type="noConversion"/>
  </si>
  <si>
    <t>50~80억원</t>
    <phoneticPr fontId="14" type="noConversion"/>
  </si>
  <si>
    <t>80~100억원</t>
    <phoneticPr fontId="14" type="noConversion"/>
  </si>
  <si>
    <t>100억원이상</t>
    <phoneticPr fontId="14" type="noConversion"/>
  </si>
  <si>
    <t>3. 대상재해별 DB구축</t>
    <phoneticPr fontId="3" type="noConversion"/>
  </si>
  <si>
    <t>4. 도시기후변화 취약성분석</t>
    <phoneticPr fontId="3" type="noConversion"/>
  </si>
  <si>
    <t>5. 공간분석 및 현장조사</t>
    <phoneticPr fontId="3" type="noConversion"/>
  </si>
  <si>
    <t>6. 정책제언</t>
    <phoneticPr fontId="3" type="noConversion"/>
  </si>
  <si>
    <t>7. 성과품 작성</t>
    <phoneticPr fontId="3" type="noConversion"/>
  </si>
  <si>
    <t>8. 기술협의</t>
    <phoneticPr fontId="3" type="noConversion"/>
  </si>
  <si>
    <t>2022년</t>
    <phoneticPr fontId="2" type="noConversion"/>
  </si>
  <si>
    <t>3. 기본계획</t>
    <phoneticPr fontId="3" type="noConversion"/>
  </si>
  <si>
    <t>■ 도시계획시설형 계획</t>
    <phoneticPr fontId="3" type="noConversion"/>
  </si>
  <si>
    <t>■ 재해영향성검토(행정계획)_일반사업계획</t>
    <phoneticPr fontId="3" type="noConversion"/>
  </si>
  <si>
    <t>면적 및 길이에 따른 보정</t>
    <phoneticPr fontId="14" type="noConversion"/>
  </si>
  <si>
    <t>1. 10만㎡(길이 10㎞) 이상</t>
    <phoneticPr fontId="3" type="noConversion"/>
  </si>
  <si>
    <t>2. 10만㎡(길이 10㎞) 미만</t>
    <phoneticPr fontId="3" type="noConversion"/>
  </si>
  <si>
    <t>1+log5(X/Y)</t>
    <phoneticPr fontId="14" type="noConversion"/>
  </si>
  <si>
    <t>(X/Y)^2.0</t>
    <phoneticPr fontId="14" type="noConversion"/>
  </si>
  <si>
    <t>계획지구 보정계수(β):</t>
    <phoneticPr fontId="3" type="noConversion"/>
  </si>
  <si>
    <t xml:space="preserve">계획지구 수 </t>
    <phoneticPr fontId="14" type="noConversion"/>
  </si>
  <si>
    <t>주 : 계획면적이 10만㎡(10㎞) 기준으로 산정</t>
    <phoneticPr fontId="3" type="noConversion"/>
  </si>
  <si>
    <t>1. 작업계획 수립</t>
    <phoneticPr fontId="3" type="noConversion"/>
  </si>
  <si>
    <t>2. 계획의 개요</t>
    <phoneticPr fontId="3" type="noConversion"/>
  </si>
  <si>
    <t>2-1. 계획의 배경 및 목적</t>
    <phoneticPr fontId="3" type="noConversion"/>
  </si>
  <si>
    <t>2-3. 계획 추진경위</t>
    <phoneticPr fontId="3" type="noConversion"/>
  </si>
  <si>
    <t>2-2. 계획 내용</t>
    <phoneticPr fontId="3" type="noConversion"/>
  </si>
  <si>
    <t>2-4. 재해영향성검토실시근거 및 절차</t>
  </si>
  <si>
    <t>2-4. 재해영향성검토실시근거 및 절차</t>
    <phoneticPr fontId="3" type="noConversion"/>
  </si>
  <si>
    <t>3. 재해영향성검토 대상지역 설정</t>
    <phoneticPr fontId="3" type="noConversion"/>
  </si>
  <si>
    <t>3-1. 대상지역 설정방법</t>
    <phoneticPr fontId="3" type="noConversion"/>
  </si>
  <si>
    <t>3-2. 검토 대상지역</t>
    <phoneticPr fontId="3" type="noConversion"/>
  </si>
  <si>
    <t>4. 기초현황 조사</t>
    <phoneticPr fontId="3" type="noConversion"/>
  </si>
  <si>
    <t>4-1. 기초현황 조사의 기본방향</t>
    <phoneticPr fontId="3" type="noConversion"/>
  </si>
  <si>
    <t>4-2. 재해발생 현황 조사</t>
    <phoneticPr fontId="3" type="noConversion"/>
  </si>
  <si>
    <t>4-3. 관련계획 및 재해관련 지구지정 현황 조사</t>
    <phoneticPr fontId="3" type="noConversion"/>
  </si>
  <si>
    <t>4-4. 방재시설 현황 조사</t>
    <phoneticPr fontId="3" type="noConversion"/>
  </si>
  <si>
    <t>4-5. 현장조사(필요시)</t>
    <phoneticPr fontId="3" type="noConversion"/>
  </si>
  <si>
    <t>4-6. 조사결과 종합</t>
    <phoneticPr fontId="3" type="noConversion"/>
  </si>
  <si>
    <t>5. 재해유형별 위험요인 분석 및 저감방안 제시</t>
    <phoneticPr fontId="3" type="noConversion"/>
  </si>
  <si>
    <t>5-1. 재해유형별 위험요인 분석 및 저감방안</t>
    <phoneticPr fontId="3" type="noConversion"/>
  </si>
  <si>
    <t xml:space="preserve"> 1) 하천재해 및 내수재해</t>
    <phoneticPr fontId="3" type="noConversion"/>
  </si>
  <si>
    <t xml:space="preserve"> 2) 사면재해 및 토사재해</t>
    <phoneticPr fontId="3" type="noConversion"/>
  </si>
  <si>
    <t xml:space="preserve"> 3) 지반재해 및 지진재해</t>
    <phoneticPr fontId="3" type="noConversion"/>
  </si>
  <si>
    <t xml:space="preserve"> 4) 해안재해 및 바람재해 등</t>
    <phoneticPr fontId="3" type="noConversion"/>
  </si>
  <si>
    <t>5-2. 행정계획 및 개발사업 반영 제안</t>
    <phoneticPr fontId="3" type="noConversion"/>
  </si>
  <si>
    <t>6. 협의서 작성(부록내용 및 기타사항 포함)</t>
    <phoneticPr fontId="14" type="noConversion"/>
  </si>
  <si>
    <t>면적(길이) 보정계수(α) :</t>
    <phoneticPr fontId="3" type="noConversion"/>
  </si>
  <si>
    <t>보정계수α</t>
  </si>
  <si>
    <t>보정계수α</t>
    <phoneticPr fontId="14" type="noConversion"/>
  </si>
  <si>
    <t>선택</t>
    <phoneticPr fontId="14" type="noConversion"/>
  </si>
  <si>
    <t>선택</t>
    <phoneticPr fontId="14" type="noConversion"/>
  </si>
  <si>
    <t>6. 협의서 작성(부록내용 및 기타사항 포함)</t>
    <phoneticPr fontId="14" type="noConversion"/>
  </si>
  <si>
    <t>1. 작업계획 수립</t>
    <phoneticPr fontId="3" type="noConversion"/>
  </si>
  <si>
    <t>1. 작업계획 수립</t>
    <phoneticPr fontId="14" type="noConversion"/>
  </si>
  <si>
    <t>2. 계획의 개요</t>
    <phoneticPr fontId="3" type="noConversion"/>
  </si>
  <si>
    <t>2. 계획의 개요</t>
    <phoneticPr fontId="14" type="noConversion"/>
  </si>
  <si>
    <t>2-1. 계획의 배경 및 목적</t>
    <phoneticPr fontId="3" type="noConversion"/>
  </si>
  <si>
    <t>2-1. 계획의 배경 및 목적</t>
    <phoneticPr fontId="14" type="noConversion"/>
  </si>
  <si>
    <t>2-2. 계획 내용</t>
    <phoneticPr fontId="3" type="noConversion"/>
  </si>
  <si>
    <t>2-2. 계획 내용</t>
    <phoneticPr fontId="14" type="noConversion"/>
  </si>
  <si>
    <t>2-3. 계획 추진경위</t>
    <phoneticPr fontId="3" type="noConversion"/>
  </si>
  <si>
    <t>2-3. 계획 추진경위</t>
    <phoneticPr fontId="14" type="noConversion"/>
  </si>
  <si>
    <t>2-4. 재해영향성검토실시근거 및 절차</t>
    <phoneticPr fontId="3" type="noConversion"/>
  </si>
  <si>
    <t>2-4. 재해영향성검토실시근거 및 절차</t>
    <phoneticPr fontId="14" type="noConversion"/>
  </si>
  <si>
    <t>3. 재해영향성검토 대상지역 설정</t>
    <phoneticPr fontId="3" type="noConversion"/>
  </si>
  <si>
    <t>3. 재해영향성검토 대상지역 설정</t>
    <phoneticPr fontId="14" type="noConversion"/>
  </si>
  <si>
    <t>3-1. 대상지역 설정방법</t>
    <phoneticPr fontId="3" type="noConversion"/>
  </si>
  <si>
    <t>3-1. 대상지역 설정방법</t>
    <phoneticPr fontId="14" type="noConversion"/>
  </si>
  <si>
    <t>3-2. 검토 대상지역</t>
    <phoneticPr fontId="3" type="noConversion"/>
  </si>
  <si>
    <t>3-2. 검토 대상지역</t>
    <phoneticPr fontId="14" type="noConversion"/>
  </si>
  <si>
    <t>4. 기초현황 조사</t>
    <phoneticPr fontId="14" type="noConversion"/>
  </si>
  <si>
    <t>4-1. 기초현황 조사의 기본방향</t>
    <phoneticPr fontId="14" type="noConversion"/>
  </si>
  <si>
    <t>4-2. 재해발생 현황 조사</t>
    <phoneticPr fontId="3" type="noConversion"/>
  </si>
  <si>
    <t>4-2. 재해발생 현황 조사</t>
    <phoneticPr fontId="14" type="noConversion"/>
  </si>
  <si>
    <t>4-3. 관련계획 및 재해관련 지구지정 현황 조사</t>
    <phoneticPr fontId="3" type="noConversion"/>
  </si>
  <si>
    <t>4-3. 관련계획 및 재해관련 지구지정 현황 조사</t>
    <phoneticPr fontId="14" type="noConversion"/>
  </si>
  <si>
    <t>4-4. 방재시설 현황 조사</t>
    <phoneticPr fontId="14" type="noConversion"/>
  </si>
  <si>
    <t>4-5. 현장조사(필요시)</t>
    <phoneticPr fontId="3" type="noConversion"/>
  </si>
  <si>
    <t>4-5. 현장조사(필요시)</t>
    <phoneticPr fontId="14" type="noConversion"/>
  </si>
  <si>
    <t>4-6. 조사결과 종합</t>
    <phoneticPr fontId="3" type="noConversion"/>
  </si>
  <si>
    <t>4-6. 조사결과 종합</t>
    <phoneticPr fontId="14" type="noConversion"/>
  </si>
  <si>
    <t>5. 재해유형별 위험요인 분석 및 저감방안 제시</t>
    <phoneticPr fontId="14" type="noConversion"/>
  </si>
  <si>
    <t>5-1. 재해유형별 위험요인 분석 및 저감방안</t>
    <phoneticPr fontId="3" type="noConversion"/>
  </si>
  <si>
    <t>5-1. 재해유형별 위험요인 분석 및 저감방안</t>
    <phoneticPr fontId="14" type="noConversion"/>
  </si>
  <si>
    <t xml:space="preserve"> 1) 하천재해 및 내수재해</t>
    <phoneticPr fontId="3" type="noConversion"/>
  </si>
  <si>
    <t xml:space="preserve"> 1) 하천재해 및 내수재해</t>
    <phoneticPr fontId="14" type="noConversion"/>
  </si>
  <si>
    <t xml:space="preserve"> 2) 사면재해 및 토사재해</t>
    <phoneticPr fontId="3" type="noConversion"/>
  </si>
  <si>
    <t xml:space="preserve"> 2) 사면재해 및 토사재해</t>
    <phoneticPr fontId="14" type="noConversion"/>
  </si>
  <si>
    <t xml:space="preserve"> 3) 지반재해 및 지진재해</t>
    <phoneticPr fontId="3" type="noConversion"/>
  </si>
  <si>
    <t xml:space="preserve"> 3) 지반재해 및 지진재해</t>
    <phoneticPr fontId="14" type="noConversion"/>
  </si>
  <si>
    <t xml:space="preserve"> 4) 해안재해 및 바람재해 등</t>
    <phoneticPr fontId="3" type="noConversion"/>
  </si>
  <si>
    <t xml:space="preserve"> 4) 해안재해 및 바람재해 등</t>
    <phoneticPr fontId="14" type="noConversion"/>
  </si>
  <si>
    <t>5-2. 행정계획 및 개발사업 반영 제안</t>
    <phoneticPr fontId="3" type="noConversion"/>
  </si>
  <si>
    <t>5-2. 행정계획 및 개발사업 반영 제안</t>
    <phoneticPr fontId="14" type="noConversion"/>
  </si>
  <si>
    <t>6. 협의서 작성(부록내용 및 기타사항 포함)</t>
    <phoneticPr fontId="14" type="noConversion"/>
  </si>
  <si>
    <t>주 : 계획면적이 5만㎡(10㎞) 기준으로 산정</t>
    <phoneticPr fontId="3" type="noConversion"/>
  </si>
  <si>
    <t>3-1. 평가대상지역 설정 위한 기초조사</t>
    <phoneticPr fontId="3" type="noConversion"/>
  </si>
  <si>
    <t>3-2. 평가대상지역 설정 방법</t>
    <phoneticPr fontId="3" type="noConversion"/>
  </si>
  <si>
    <t>3-2. 사업유형별 평가대상지역 설정</t>
    <phoneticPr fontId="3" type="noConversion"/>
  </si>
  <si>
    <t>계획지구 보정계수(β):</t>
    <phoneticPr fontId="3" type="noConversion"/>
  </si>
  <si>
    <t>4-1. 기초현황 조사의 기본방향</t>
    <phoneticPr fontId="3" type="noConversion"/>
  </si>
  <si>
    <t>4-2. 유역 및 배수계통 조사</t>
    <phoneticPr fontId="3" type="noConversion"/>
  </si>
  <si>
    <t>β 적용</t>
    <phoneticPr fontId="14" type="noConversion"/>
  </si>
  <si>
    <t>4-3. 수문특성 조사</t>
    <phoneticPr fontId="3" type="noConversion"/>
  </si>
  <si>
    <t>4-4. 토질,지질 현황 조사</t>
    <phoneticPr fontId="3" type="noConversion"/>
  </si>
  <si>
    <t>4-5. 사면현황조사</t>
    <phoneticPr fontId="3" type="noConversion"/>
  </si>
  <si>
    <t>α 적용</t>
    <phoneticPr fontId="14" type="noConversion"/>
  </si>
  <si>
    <t>β 적용</t>
    <phoneticPr fontId="14" type="noConversion"/>
  </si>
  <si>
    <t>α,β 선택</t>
    <phoneticPr fontId="14" type="noConversion"/>
  </si>
  <si>
    <t>4-6. 재해발생 현황 조사</t>
    <phoneticPr fontId="3" type="noConversion"/>
  </si>
  <si>
    <t>4-7. 재해관련 지구지정 현황 조사</t>
    <phoneticPr fontId="3" type="noConversion"/>
  </si>
  <si>
    <t>4-8. 방재시설 현황 조사</t>
    <phoneticPr fontId="3" type="noConversion"/>
  </si>
  <si>
    <t>4-9. 관련계획 조사</t>
    <phoneticPr fontId="3" type="noConversion"/>
  </si>
  <si>
    <t>β 적용</t>
    <phoneticPr fontId="14" type="noConversion"/>
  </si>
  <si>
    <t>4-10. 드론 촬영</t>
    <phoneticPr fontId="3" type="noConversion"/>
  </si>
  <si>
    <t>직접경비</t>
    <phoneticPr fontId="14" type="noConversion"/>
  </si>
  <si>
    <t>5. 재해영향 예측 및 평가</t>
    <phoneticPr fontId="3" type="noConversion"/>
  </si>
  <si>
    <t>5-1. 재해영향 유발요인 선정 및 설계빈도 결정</t>
    <phoneticPr fontId="3" type="noConversion"/>
  </si>
  <si>
    <t>5-2. 홍수유출해석</t>
    <phoneticPr fontId="3" type="noConversion"/>
  </si>
  <si>
    <t>5-3. 토사유출해석</t>
    <phoneticPr fontId="3" type="noConversion"/>
  </si>
  <si>
    <t>5-4. 사면 관련 재해위험도 평가 및 사면안정해석</t>
    <phoneticPr fontId="3" type="noConversion"/>
  </si>
  <si>
    <t>α,β 선택</t>
    <phoneticPr fontId="14" type="noConversion"/>
  </si>
  <si>
    <t>α,β 적용</t>
  </si>
  <si>
    <t>α,β 적용</t>
    <phoneticPr fontId="14" type="noConversion"/>
  </si>
  <si>
    <t>6. 재해영향 저감대책 수립 및 저감방안 반영</t>
    <phoneticPr fontId="3" type="noConversion"/>
  </si>
  <si>
    <t>6-1. 저감대책 수립 및 저감방안 반영 기본방향</t>
    <phoneticPr fontId="3" type="noConversion"/>
  </si>
  <si>
    <t>6-2. 저감대책 수립</t>
    <phoneticPr fontId="3" type="noConversion"/>
  </si>
  <si>
    <t xml:space="preserve"> 1) 개발 중 홍수 및 토사유출 저감대책</t>
    <phoneticPr fontId="3" type="noConversion"/>
  </si>
  <si>
    <t xml:space="preserve"> 2) 개발 후 홍수유출 저감대책</t>
    <phoneticPr fontId="3" type="noConversion"/>
  </si>
  <si>
    <t xml:space="preserve"> 3) 개발 중 사면 관련 저감대책</t>
    <phoneticPr fontId="3" type="noConversion"/>
  </si>
  <si>
    <t xml:space="preserve"> 4) 개발 후 사면 관련 저감대책</t>
    <phoneticPr fontId="3" type="noConversion"/>
  </si>
  <si>
    <t>6-3. 저감방안 반영</t>
    <phoneticPr fontId="3" type="noConversion"/>
  </si>
  <si>
    <t>6-4. 저감대책 수립 및 저감방안 반영 종합</t>
    <phoneticPr fontId="3" type="noConversion"/>
  </si>
  <si>
    <t>α,β 적용</t>
    <phoneticPr fontId="14" type="noConversion"/>
  </si>
  <si>
    <t>7. 유지관리계획</t>
    <phoneticPr fontId="3" type="noConversion"/>
  </si>
  <si>
    <t>7-1. 유지관리계획 기본방향</t>
    <phoneticPr fontId="3" type="noConversion"/>
  </si>
  <si>
    <t>7-2. 개발 중 유지관리계획</t>
    <phoneticPr fontId="3" type="noConversion"/>
  </si>
  <si>
    <t>7-3. 개발 후 유지관리계획</t>
    <phoneticPr fontId="3" type="noConversion"/>
  </si>
  <si>
    <t>8. 결론</t>
    <phoneticPr fontId="14" type="noConversion"/>
  </si>
  <si>
    <t>9. 협의서 작성(부록내용 및 기타사항 포함)</t>
    <phoneticPr fontId="14" type="noConversion"/>
  </si>
  <si>
    <t>2. 사업의 개요</t>
    <phoneticPr fontId="3" type="noConversion"/>
  </si>
  <si>
    <t>2-1. 사업 배경 및 목적</t>
    <phoneticPr fontId="3" type="noConversion"/>
  </si>
  <si>
    <t>2-2. 사업 내용</t>
    <phoneticPr fontId="3" type="noConversion"/>
  </si>
  <si>
    <t>2-3. 사업 추진경위</t>
    <phoneticPr fontId="3" type="noConversion"/>
  </si>
  <si>
    <t>3. 재해영향평가 대상지역 설정</t>
    <phoneticPr fontId="3" type="noConversion"/>
  </si>
  <si>
    <t>2. 사업의 개요</t>
    <phoneticPr fontId="14" type="noConversion"/>
  </si>
  <si>
    <t>2-1. 사업 배경 및 목적</t>
    <phoneticPr fontId="14" type="noConversion"/>
  </si>
  <si>
    <t>2-2. 사업 내용</t>
    <phoneticPr fontId="3" type="noConversion"/>
  </si>
  <si>
    <t>2-2. 사업 내용</t>
    <phoneticPr fontId="14" type="noConversion"/>
  </si>
  <si>
    <t>2-3. 사업 추진경위</t>
    <phoneticPr fontId="14" type="noConversion"/>
  </si>
  <si>
    <t>2-4. 재해영향성검토실시근거 및 절차</t>
    <phoneticPr fontId="3" type="noConversion"/>
  </si>
  <si>
    <t>3. 재해영향평가 대상지역 설정</t>
    <phoneticPr fontId="14" type="noConversion"/>
  </si>
  <si>
    <t>3-1. 평가대상지역 설정 위한 기초조사</t>
    <phoneticPr fontId="3" type="noConversion"/>
  </si>
  <si>
    <t>3-1. 평가대상지역 설정 위한 기초조사</t>
    <phoneticPr fontId="14" type="noConversion"/>
  </si>
  <si>
    <t>3-2. 평가대상지역 설정 방법</t>
    <phoneticPr fontId="3" type="noConversion"/>
  </si>
  <si>
    <t>3-2. 평가대상지역 설정 방법</t>
    <phoneticPr fontId="14" type="noConversion"/>
  </si>
  <si>
    <t>3-2. 사업유형별 평가대상지역 설정</t>
    <phoneticPr fontId="3" type="noConversion"/>
  </si>
  <si>
    <t>3-2. 사업유형별 평가대상지역 설정</t>
    <phoneticPr fontId="14" type="noConversion"/>
  </si>
  <si>
    <t>4-1. 기초현황 조사의 기본방향</t>
    <phoneticPr fontId="14" type="noConversion"/>
  </si>
  <si>
    <t>4-2. 유역 및 배수계통 조사</t>
    <phoneticPr fontId="14" type="noConversion"/>
  </si>
  <si>
    <t>4-3. 수문특성 조사</t>
    <phoneticPr fontId="3" type="noConversion"/>
  </si>
  <si>
    <t>4-3. 수문특성 조사</t>
    <phoneticPr fontId="14" type="noConversion"/>
  </si>
  <si>
    <t>4-4. 토질,지질 현황 조사</t>
    <phoneticPr fontId="3" type="noConversion"/>
  </si>
  <si>
    <t>4-4. 토질,지질 현황 조사</t>
    <phoneticPr fontId="14" type="noConversion"/>
  </si>
  <si>
    <t>4-5. 사면현황조사</t>
    <phoneticPr fontId="3" type="noConversion"/>
  </si>
  <si>
    <t>4-5. 사면현황조사</t>
    <phoneticPr fontId="14" type="noConversion"/>
  </si>
  <si>
    <t>4-6. 재해발생 현황 조사</t>
    <phoneticPr fontId="3" type="noConversion"/>
  </si>
  <si>
    <t>4-6. 재해발생 현황 조사</t>
    <phoneticPr fontId="14" type="noConversion"/>
  </si>
  <si>
    <t>4-7. 재해관련 지구지정 현황 조사</t>
    <phoneticPr fontId="3" type="noConversion"/>
  </si>
  <si>
    <t>4-7. 재해관련 지구지정 현황 조사</t>
    <phoneticPr fontId="14" type="noConversion"/>
  </si>
  <si>
    <t>4-8. 방재시설 현황 조사</t>
    <phoneticPr fontId="3" type="noConversion"/>
  </si>
  <si>
    <t>4-8. 방재시설 현황 조사</t>
    <phoneticPr fontId="14" type="noConversion"/>
  </si>
  <si>
    <t>4-9. 관련계획 조사</t>
    <phoneticPr fontId="3" type="noConversion"/>
  </si>
  <si>
    <t>4-9. 관련계획 조사</t>
    <phoneticPr fontId="14" type="noConversion"/>
  </si>
  <si>
    <t>4-10. 드론 촬영</t>
    <phoneticPr fontId="3" type="noConversion"/>
  </si>
  <si>
    <t>4-10. 드론 촬영</t>
    <phoneticPr fontId="14" type="noConversion"/>
  </si>
  <si>
    <t>5. 재해영향 예측 및 평가</t>
    <phoneticPr fontId="14" type="noConversion"/>
  </si>
  <si>
    <t>5-1. 재해영향 유발요인 선정 및 설계빈도 결정</t>
    <phoneticPr fontId="3" type="noConversion"/>
  </si>
  <si>
    <t>5-1. 재해영향 유발요인 선정 및 설계빈도 결정</t>
    <phoneticPr fontId="14" type="noConversion"/>
  </si>
  <si>
    <t>5-2. 홍수유출해석</t>
    <phoneticPr fontId="3" type="noConversion"/>
  </si>
  <si>
    <t>5-2. 홍수유출해석</t>
    <phoneticPr fontId="14" type="noConversion"/>
  </si>
  <si>
    <t>5-3. 토사유출해석</t>
    <phoneticPr fontId="3" type="noConversion"/>
  </si>
  <si>
    <t>5-3. 토사유출해석</t>
    <phoneticPr fontId="14" type="noConversion"/>
  </si>
  <si>
    <t>5-4. 사면 관련 재해위험도 평가 및 사면안정해석</t>
    <phoneticPr fontId="14" type="noConversion"/>
  </si>
  <si>
    <t>6. 재해영향 저감대책 수립 및 저감방안 반영</t>
    <phoneticPr fontId="3" type="noConversion"/>
  </si>
  <si>
    <t>6. 재해영향 저감대책 수립 및 저감방안 반영</t>
    <phoneticPr fontId="14" type="noConversion"/>
  </si>
  <si>
    <t>6-1. 저감대책 수립 및 저감방안 반영 기본방향</t>
    <phoneticPr fontId="3" type="noConversion"/>
  </si>
  <si>
    <t>6-1. 저감대책 수립 및 저감방안 반영 기본방향</t>
    <phoneticPr fontId="14" type="noConversion"/>
  </si>
  <si>
    <t>6-2. 저감대책 수립</t>
    <phoneticPr fontId="3" type="noConversion"/>
  </si>
  <si>
    <t>6-2. 저감대책 수립</t>
    <phoneticPr fontId="14" type="noConversion"/>
  </si>
  <si>
    <t xml:space="preserve"> 1) 개발 중 홍수 및 토사유출 저감대책</t>
    <phoneticPr fontId="3" type="noConversion"/>
  </si>
  <si>
    <t xml:space="preserve"> 1) 개발 중 홍수 및 토사유출 저감대책</t>
    <phoneticPr fontId="14" type="noConversion"/>
  </si>
  <si>
    <t xml:space="preserve"> 2) 개발 후 홍수유출 저감대책</t>
    <phoneticPr fontId="3" type="noConversion"/>
  </si>
  <si>
    <t xml:space="preserve"> 2) 개발 후 홍수유출 저감대책</t>
    <phoneticPr fontId="14" type="noConversion"/>
  </si>
  <si>
    <t xml:space="preserve"> 3) 개발 중 사면 관련 저감대책</t>
    <phoneticPr fontId="14" type="noConversion"/>
  </si>
  <si>
    <t xml:space="preserve"> 4) 개발 후 사면 관련 저감대책</t>
    <phoneticPr fontId="3" type="noConversion"/>
  </si>
  <si>
    <t xml:space="preserve"> 4) 개발 후 사면 관련 저감대책</t>
    <phoneticPr fontId="14" type="noConversion"/>
  </si>
  <si>
    <t>6-3. 저감방안 반영</t>
    <phoneticPr fontId="3" type="noConversion"/>
  </si>
  <si>
    <t>6-3. 저감방안 반영</t>
    <phoneticPr fontId="14" type="noConversion"/>
  </si>
  <si>
    <t>6-4. 저감대책 수립 및 저감방안 반영 종합</t>
    <phoneticPr fontId="3" type="noConversion"/>
  </si>
  <si>
    <t>6-4. 저감대책 수립 및 저감방안 반영 종합</t>
    <phoneticPr fontId="14" type="noConversion"/>
  </si>
  <si>
    <t>7. 유지관리계획</t>
    <phoneticPr fontId="3" type="noConversion"/>
  </si>
  <si>
    <t>7. 유지관리계획</t>
    <phoneticPr fontId="14" type="noConversion"/>
  </si>
  <si>
    <t>7-1. 유지관리계획 기본방향</t>
    <phoneticPr fontId="3" type="noConversion"/>
  </si>
  <si>
    <t>7-1. 유지관리계획 기본방향</t>
    <phoneticPr fontId="14" type="noConversion"/>
  </si>
  <si>
    <t>7-2. 개발 중 유지관리계획</t>
    <phoneticPr fontId="3" type="noConversion"/>
  </si>
  <si>
    <t>7-2. 개발 중 유지관리계획</t>
    <phoneticPr fontId="14" type="noConversion"/>
  </si>
  <si>
    <t>7-3. 개발 후 유지관리계획</t>
    <phoneticPr fontId="3" type="noConversion"/>
  </si>
  <si>
    <t>7-3. 개발 후 유지관리계획</t>
    <phoneticPr fontId="14" type="noConversion"/>
  </si>
  <si>
    <t>8. 결론</t>
    <phoneticPr fontId="14" type="noConversion"/>
  </si>
  <si>
    <t>9. 협의서 작성(부록내용 및 기타사항 포함)</t>
    <phoneticPr fontId="14" type="noConversion"/>
  </si>
  <si>
    <t>드론촬영</t>
    <phoneticPr fontId="3" type="noConversion"/>
  </si>
  <si>
    <t>2023년</t>
    <phoneticPr fontId="2" type="noConversion"/>
  </si>
  <si>
    <t>ㅑ</t>
    <phoneticPr fontId="2" type="noConversion"/>
  </si>
  <si>
    <t>2024년</t>
    <phoneticPr fontId="2" type="noConversion"/>
  </si>
  <si>
    <t>2025년</t>
    <phoneticPr fontId="2" type="noConversion"/>
  </si>
  <si>
    <t>2026년</t>
    <phoneticPr fontId="2" type="noConversion"/>
  </si>
  <si>
    <t>2027년</t>
    <phoneticPr fontId="2" type="noConversion"/>
  </si>
  <si>
    <t>2028년</t>
    <phoneticPr fontId="2" type="noConversion"/>
  </si>
  <si>
    <t>1. 조사 및 분석</t>
    <phoneticPr fontId="3" type="noConversion"/>
  </si>
  <si>
    <t>①</t>
  </si>
  <si>
    <t>①</t>
    <phoneticPr fontId="14" type="noConversion"/>
  </si>
  <si>
    <t>①</t>
    <phoneticPr fontId="14" type="noConversion"/>
  </si>
  <si>
    <t>①</t>
    <phoneticPr fontId="14" type="noConversion"/>
  </si>
  <si>
    <t>②</t>
  </si>
  <si>
    <t>②</t>
    <phoneticPr fontId="14" type="noConversion"/>
  </si>
  <si>
    <t xml:space="preserve">1) 기술협의는 2회 기준이며, 횟수 증가에 따라 비용을 가산한다. </t>
    <phoneticPr fontId="3" type="noConversion"/>
  </si>
  <si>
    <t>2) 각종영향성검토 및 각종영향평가업무는 별도 계상한다.</t>
    <phoneticPr fontId="3" type="noConversion"/>
  </si>
  <si>
    <t xml:space="preserve">3) 국토종합계획, 도종합계획 등 국토 및 지역계획과 유사한 경우 이를 준용할 수 있다. </t>
    <phoneticPr fontId="3" type="noConversion"/>
  </si>
  <si>
    <t>■ 국토 및 지역계획</t>
    <phoneticPr fontId="3" type="noConversion"/>
  </si>
  <si>
    <t>● 환산계수</t>
    <phoneticPr fontId="3" type="noConversion"/>
  </si>
  <si>
    <t>① 계획면적(A) :</t>
    <phoneticPr fontId="3" type="noConversion"/>
  </si>
  <si>
    <t>보정계수 :</t>
    <phoneticPr fontId="3" type="noConversion"/>
  </si>
  <si>
    <t>회</t>
    <phoneticPr fontId="14" type="noConversion"/>
  </si>
  <si>
    <t>기술협의:</t>
    <phoneticPr fontId="3" type="noConversion"/>
  </si>
  <si>
    <t>회(1식)</t>
  </si>
  <si>
    <t>회(1식)</t>
    <phoneticPr fontId="3" type="noConversion"/>
  </si>
  <si>
    <t>주2 : 2회 기준이며, 횟수증가에 따라 비용 가산</t>
    <phoneticPr fontId="3" type="noConversion"/>
  </si>
  <si>
    <t xml:space="preserve">주1 : 계획면적 300㎢ 이하인 경우에는 300㎢ 적용 </t>
    <phoneticPr fontId="3" type="noConversion"/>
  </si>
  <si>
    <t>② 협의횟수 :</t>
    <phoneticPr fontId="3" type="noConversion"/>
  </si>
  <si>
    <t>1. 조사 및 분석</t>
    <phoneticPr fontId="14" type="noConversion"/>
  </si>
  <si>
    <t>1. 조사 및 분석</t>
    <phoneticPr fontId="3" type="noConversion"/>
  </si>
  <si>
    <t>2. 미래상 및 발전방향</t>
    <phoneticPr fontId="3" type="noConversion"/>
  </si>
  <si>
    <t>1.1 자연환경조사</t>
    <phoneticPr fontId="3" type="noConversion"/>
  </si>
  <si>
    <t>1.2 인문환경조사</t>
    <phoneticPr fontId="3" type="noConversion"/>
  </si>
  <si>
    <t>1.3 환경여건조사</t>
    <phoneticPr fontId="3" type="noConversion"/>
  </si>
  <si>
    <t>1.4 산업현황조사</t>
    <phoneticPr fontId="3" type="noConversion"/>
  </si>
  <si>
    <t>1.5 광역도시권 특성조사</t>
    <phoneticPr fontId="3" type="noConversion"/>
  </si>
  <si>
    <t>2.1 계획의 목표설정</t>
    <phoneticPr fontId="3" type="noConversion"/>
  </si>
  <si>
    <t>2.2 계획의 전략제시</t>
    <phoneticPr fontId="3" type="noConversion"/>
  </si>
  <si>
    <t>2.3 상위 및 관련계획 검토</t>
    <phoneticPr fontId="3" type="noConversion"/>
  </si>
  <si>
    <t>3.1 여건변화와 전망분석</t>
    <phoneticPr fontId="3" type="noConversion"/>
  </si>
  <si>
    <t>3.2 주요지표 제시</t>
    <phoneticPr fontId="3" type="noConversion"/>
  </si>
  <si>
    <t>3.3 공간구조의 골격구상</t>
    <phoneticPr fontId="3" type="noConversion"/>
  </si>
  <si>
    <t>4.1 기능분담계획 및 토지이용계획</t>
    <phoneticPr fontId="3" type="noConversion"/>
  </si>
  <si>
    <t>4.2 여가공간 및 녹지관리계획</t>
    <phoneticPr fontId="3" type="noConversion"/>
  </si>
  <si>
    <t>4.3 환경보전계획</t>
    <phoneticPr fontId="3" type="noConversion"/>
  </si>
  <si>
    <t>4.4 경관계획</t>
    <phoneticPr fontId="3" type="noConversion"/>
  </si>
  <si>
    <t>4.5 방재계획</t>
    <phoneticPr fontId="3" type="noConversion"/>
  </si>
  <si>
    <t>4.6 교통 및 물류유통체계</t>
    <phoneticPr fontId="3" type="noConversion"/>
  </si>
  <si>
    <t>4.7 광역시설계획</t>
    <phoneticPr fontId="3" type="noConversion"/>
  </si>
  <si>
    <t>4.8 기후위기 대응계획</t>
    <phoneticPr fontId="3" type="noConversion"/>
  </si>
  <si>
    <t>5.1 단계별추진계획</t>
    <phoneticPr fontId="3" type="noConversion"/>
  </si>
  <si>
    <t>5.2 집행 및 관리계획</t>
    <phoneticPr fontId="3" type="noConversion"/>
  </si>
  <si>
    <t>5.3 행·재정계획</t>
    <phoneticPr fontId="3" type="noConversion"/>
  </si>
  <si>
    <t>6.1 보고서작성 및 편집</t>
    <phoneticPr fontId="3" type="noConversion"/>
  </si>
  <si>
    <t>6.2 관련도서작성</t>
    <phoneticPr fontId="3" type="noConversion"/>
  </si>
  <si>
    <t>별도계상</t>
    <phoneticPr fontId="14" type="noConversion"/>
  </si>
  <si>
    <t>②</t>
    <phoneticPr fontId="14" type="noConversion"/>
  </si>
  <si>
    <t xml:space="preserve">  계획인구는 광역계획권의 목표인구를 적용</t>
    <phoneticPr fontId="14" type="noConversion"/>
  </si>
  <si>
    <t>주1 : 계획인구가 50만인 미만인 경우 계획인구 50만인을 기준으로 산정</t>
    <phoneticPr fontId="3" type="noConversion"/>
  </si>
  <si>
    <t>회</t>
    <phoneticPr fontId="14" type="noConversion"/>
  </si>
  <si>
    <t>1. 조사 및 분석</t>
    <phoneticPr fontId="14" type="noConversion"/>
  </si>
  <si>
    <t>1.1 계획의 목표설정</t>
    <phoneticPr fontId="14" type="noConversion"/>
  </si>
  <si>
    <t>1.2 계획의 전략제시</t>
    <phoneticPr fontId="14" type="noConversion"/>
  </si>
  <si>
    <t>1.3 상위 및 관련계획 검토</t>
    <phoneticPr fontId="14" type="noConversion"/>
  </si>
  <si>
    <t>1.1 자연환경조사</t>
    <phoneticPr fontId="14" type="noConversion"/>
  </si>
  <si>
    <t>1.2 인문환경조사</t>
    <phoneticPr fontId="14" type="noConversion"/>
  </si>
  <si>
    <t>1.3 환경여건조사</t>
    <phoneticPr fontId="14" type="noConversion"/>
  </si>
  <si>
    <t>1.4 산업현황조사</t>
    <phoneticPr fontId="14" type="noConversion"/>
  </si>
  <si>
    <t>1.5 광역도시권 특성조사</t>
    <phoneticPr fontId="14" type="noConversion"/>
  </si>
  <si>
    <t>2. 미래상 및 발전방향</t>
    <phoneticPr fontId="14" type="noConversion"/>
  </si>
  <si>
    <t>3.1 여건변화와 전망분석</t>
    <phoneticPr fontId="14" type="noConversion"/>
  </si>
  <si>
    <t>3.2 주요지표 제시</t>
    <phoneticPr fontId="14" type="noConversion"/>
  </si>
  <si>
    <t>3.3 공간구조의 골격구상</t>
    <phoneticPr fontId="14" type="noConversion"/>
  </si>
  <si>
    <t>4.1 기능분담계획 및 토지이용계획</t>
    <phoneticPr fontId="14" type="noConversion"/>
  </si>
  <si>
    <t>4.2 여가공간 및 녹지관리계획</t>
    <phoneticPr fontId="14" type="noConversion"/>
  </si>
  <si>
    <t>4.3 환경보전계획</t>
    <phoneticPr fontId="14" type="noConversion"/>
  </si>
  <si>
    <t>4.4 경관계획</t>
    <phoneticPr fontId="14" type="noConversion"/>
  </si>
  <si>
    <t>4.5 방재계획</t>
    <phoneticPr fontId="14" type="noConversion"/>
  </si>
  <si>
    <t>4.6 교통 및 물류유통체계</t>
    <phoneticPr fontId="14" type="noConversion"/>
  </si>
  <si>
    <t>4.7 광역시설계획</t>
    <phoneticPr fontId="14" type="noConversion"/>
  </si>
  <si>
    <t>4.8 기후위기 대응계획</t>
    <phoneticPr fontId="14" type="noConversion"/>
  </si>
  <si>
    <t>5.1 단계별추진계획</t>
    <phoneticPr fontId="14" type="noConversion"/>
  </si>
  <si>
    <t>5.2 집행 및 관리계획</t>
    <phoneticPr fontId="14" type="noConversion"/>
  </si>
  <si>
    <t>5.3 행·재정계획</t>
    <phoneticPr fontId="14" type="noConversion"/>
  </si>
  <si>
    <t>6.1 보고서작성 및 편집</t>
    <phoneticPr fontId="14" type="noConversion"/>
  </si>
  <si>
    <t>6.2 관련도서작성</t>
    <phoneticPr fontId="14" type="noConversion"/>
  </si>
  <si>
    <t>7.1 공청회/주민설명회</t>
    <phoneticPr fontId="14" type="noConversion"/>
  </si>
  <si>
    <t>7.2 주민간담회/시민계획단</t>
    <phoneticPr fontId="14" type="noConversion"/>
  </si>
  <si>
    <t>7.3 위원회심의 지원</t>
    <phoneticPr fontId="14" type="noConversion"/>
  </si>
  <si>
    <t>7.4 관계기관 협의</t>
    <phoneticPr fontId="14" type="noConversion"/>
  </si>
  <si>
    <t xml:space="preserve">1) '1. 조사 및 분석'은 발주자가 기초자료를 제공할 경우의 기준이며 전수조사 등 추가조사는 별도 계상한다. </t>
    <phoneticPr fontId="3" type="noConversion"/>
  </si>
  <si>
    <t xml:space="preserve">2) 기술협의는 2회 기준이며, 횟수 증가에 따라 비용을 가산한다. </t>
    <phoneticPr fontId="3" type="noConversion"/>
  </si>
  <si>
    <t xml:space="preserve">3) 각종영향성검토 및 각종영향평가업무 등은 별도 계상한다. </t>
    <phoneticPr fontId="3" type="noConversion"/>
  </si>
  <si>
    <t xml:space="preserve">4) 경관게획, 기후위기 대응계획, 농지(산지, 초지)전용협의, 도시계획 퍼실리테이션 등은 별도 계상한다. </t>
    <phoneticPr fontId="14" type="noConversion"/>
  </si>
  <si>
    <t>5.1 단계별추진계획</t>
    <phoneticPr fontId="3" type="noConversion"/>
  </si>
  <si>
    <t>5.2 집행 및 관리계획</t>
    <phoneticPr fontId="3" type="noConversion"/>
  </si>
  <si>
    <t>6.1 보고서작성 및 편집</t>
    <phoneticPr fontId="3" type="noConversion"/>
  </si>
  <si>
    <t>6.2 관련도서작성</t>
    <phoneticPr fontId="3" type="noConversion"/>
  </si>
  <si>
    <t>7.1 공청회/주민설명회</t>
    <phoneticPr fontId="3" type="noConversion"/>
  </si>
  <si>
    <t>7.2 주민간담회/시민계획단</t>
    <phoneticPr fontId="3" type="noConversion"/>
  </si>
  <si>
    <t>7.3 위원회심의 지원</t>
    <phoneticPr fontId="3" type="noConversion"/>
  </si>
  <si>
    <t>7.4 관계기관 협의</t>
    <phoneticPr fontId="3" type="noConversion"/>
  </si>
  <si>
    <t>● 엔지니어링(건설부문) 기술자 평균임금(엔지니어링 노임단가)</t>
    <phoneticPr fontId="2" type="noConversion"/>
  </si>
  <si>
    <t>(단위 : 원, 1인1일기준)</t>
  </si>
  <si>
    <t>1. 조사 및 분석</t>
    <phoneticPr fontId="3" type="noConversion"/>
  </si>
  <si>
    <t>1.1 지역특성 및 현황</t>
    <phoneticPr fontId="3" type="noConversion"/>
  </si>
  <si>
    <t>2.1 계획의 목표와 지표설정</t>
    <phoneticPr fontId="3" type="noConversion"/>
  </si>
  <si>
    <t>2.2 공간구조의 설정</t>
    <phoneticPr fontId="3" type="noConversion"/>
  </si>
  <si>
    <t>3.1 토지이용계획</t>
    <phoneticPr fontId="3" type="noConversion"/>
  </si>
  <si>
    <t>3.2 기반시설</t>
    <phoneticPr fontId="3" type="noConversion"/>
  </si>
  <si>
    <t>3.3 도심 및 주거환경</t>
    <phoneticPr fontId="3" type="noConversion"/>
  </si>
  <si>
    <t>3.4 환경의 보전과 관리</t>
    <phoneticPr fontId="3" type="noConversion"/>
  </si>
  <si>
    <t>3.5 경관 및 미관</t>
    <phoneticPr fontId="3" type="noConversion"/>
  </si>
  <si>
    <t>3.6 공원·녹지</t>
    <phoneticPr fontId="3" type="noConversion"/>
  </si>
  <si>
    <t>3.7 방재·방범 및 안전</t>
    <phoneticPr fontId="3" type="noConversion"/>
  </si>
  <si>
    <t>3.8 경제·산업·사회·문화의 개발 및 진흥</t>
    <phoneticPr fontId="3" type="noConversion"/>
  </si>
  <si>
    <t>3.9 에너지절약 및 탄소중립 계획</t>
    <phoneticPr fontId="3" type="noConversion"/>
  </si>
  <si>
    <t>3.10 기후변화 대비계획</t>
    <phoneticPr fontId="3" type="noConversion"/>
  </si>
  <si>
    <t>3.11 계획의 실행</t>
    <phoneticPr fontId="3" type="noConversion"/>
  </si>
  <si>
    <t>4.1 보고서작성 및 편집</t>
    <phoneticPr fontId="3" type="noConversion"/>
  </si>
  <si>
    <t>4.2 관련도서작성</t>
    <phoneticPr fontId="3" type="noConversion"/>
  </si>
  <si>
    <t>5.1 공청회/주민설명회</t>
    <phoneticPr fontId="3" type="noConversion"/>
  </si>
  <si>
    <t>5.2 주민간담회/시민계획단</t>
    <phoneticPr fontId="3" type="noConversion"/>
  </si>
  <si>
    <t>5.3 위원회심의 지원</t>
    <phoneticPr fontId="3" type="noConversion"/>
  </si>
  <si>
    <t>5.4 관계기관 협의</t>
    <phoneticPr fontId="3" type="noConversion"/>
  </si>
  <si>
    <t>주 : 계획인구가 10만인 미만인 경우에는 계획인구 10만인을 기준으로 산정</t>
    <phoneticPr fontId="3" type="noConversion"/>
  </si>
  <si>
    <t xml:space="preserve">     계획인구는 목표인구를 적용</t>
    <phoneticPr fontId="3" type="noConversion"/>
  </si>
  <si>
    <t>①</t>
    <phoneticPr fontId="14" type="noConversion"/>
  </si>
  <si>
    <t>①계획인구(A) :</t>
    <phoneticPr fontId="3" type="noConversion"/>
  </si>
  <si>
    <t>①계획인구(A) :</t>
    <phoneticPr fontId="3" type="noConversion"/>
  </si>
  <si>
    <t>①</t>
    <phoneticPr fontId="14" type="noConversion"/>
  </si>
  <si>
    <t>①</t>
    <phoneticPr fontId="14" type="noConversion"/>
  </si>
  <si>
    <t>②</t>
    <phoneticPr fontId="14" type="noConversion"/>
  </si>
  <si>
    <t>②</t>
    <phoneticPr fontId="14" type="noConversion"/>
  </si>
  <si>
    <t>1) "1.조사 및 분석'은 발주자가 기초자료를 제공할 경우의 기준이며 전수조사 등 추가조사는 별도 계상한다.</t>
    <phoneticPr fontId="3" type="noConversion"/>
  </si>
  <si>
    <t>2) 기술협의는 2회 기준이며, 횟수 증가에 따라 비용을 가산한다.</t>
    <phoneticPr fontId="14" type="noConversion"/>
  </si>
  <si>
    <t>3) 각종영향성검토 및 각종영향평가업무 등은 별도 계상한다.</t>
    <phoneticPr fontId="14" type="noConversion"/>
  </si>
  <si>
    <t>4) 에저지 절약 및 탄소중립 계획, 기후변화 대비계획, 농지(산지, 초지)전용협의, 도시계획퍼실리테이션 등은 별도계상한다.</t>
    <phoneticPr fontId="3" type="noConversion"/>
  </si>
  <si>
    <t xml:space="preserve">5) 도시·군기본계획과 병행하여 별도로 작성되는 도시(지역)교통계획(수립보고서)는 교통품셈(산업부)의 </t>
    <phoneticPr fontId="3" type="noConversion"/>
  </si>
  <si>
    <t xml:space="preserve">   도시(지역)교통계획 적용하여 계상한다.</t>
    <phoneticPr fontId="14" type="noConversion"/>
  </si>
  <si>
    <t>6) 경관계획(보고서)은 별도 보고서 작성시 제7장 경관계획을 적용하여 별도 계상한다.</t>
    <phoneticPr fontId="14" type="noConversion"/>
  </si>
  <si>
    <t>1.1 지역특성 및 현황</t>
    <phoneticPr fontId="14" type="noConversion"/>
  </si>
  <si>
    <t>2.1 계획의 목표와 지표설정</t>
    <phoneticPr fontId="14" type="noConversion"/>
  </si>
  <si>
    <t>2.2 공간구조의 설정</t>
    <phoneticPr fontId="14" type="noConversion"/>
  </si>
  <si>
    <t>3.1 토지이용계획</t>
    <phoneticPr fontId="14" type="noConversion"/>
  </si>
  <si>
    <t>3.2 기반시설</t>
    <phoneticPr fontId="14" type="noConversion"/>
  </si>
  <si>
    <t>3.3 도심 및 주거환경</t>
    <phoneticPr fontId="14" type="noConversion"/>
  </si>
  <si>
    <t>3.4 환경의 보전과 관리</t>
    <phoneticPr fontId="14" type="noConversion"/>
  </si>
  <si>
    <t>3.5 경관 및 미관</t>
    <phoneticPr fontId="14" type="noConversion"/>
  </si>
  <si>
    <t>3.6 공원·녹지</t>
    <phoneticPr fontId="14" type="noConversion"/>
  </si>
  <si>
    <t>3.8 경제·산업·사회·문화의 개발 및 진흥</t>
    <phoneticPr fontId="14" type="noConversion"/>
  </si>
  <si>
    <t>3.10 기후변화 대비계획</t>
    <phoneticPr fontId="14" type="noConversion"/>
  </si>
  <si>
    <t>3.11 계획의 실행</t>
    <phoneticPr fontId="14" type="noConversion"/>
  </si>
  <si>
    <t>3.9 에너지절약 및 탄소중립 계획</t>
    <phoneticPr fontId="14" type="noConversion"/>
  </si>
  <si>
    <t>3.7 방재·방범 및 안전</t>
    <phoneticPr fontId="3" type="noConversion"/>
  </si>
  <si>
    <t>3.7 방재·방범 및 안전</t>
    <phoneticPr fontId="14" type="noConversion"/>
  </si>
  <si>
    <t>별도계상</t>
  </si>
  <si>
    <t>별도계상</t>
    <phoneticPr fontId="14" type="noConversion"/>
  </si>
  <si>
    <t>별도계상</t>
    <phoneticPr fontId="14" type="noConversion"/>
  </si>
  <si>
    <t>2. 기본구상</t>
    <phoneticPr fontId="3" type="noConversion"/>
  </si>
  <si>
    <t>2.1 계획의 배경</t>
    <phoneticPr fontId="3" type="noConversion"/>
  </si>
  <si>
    <t>2.2 시·군의 장기발전구상</t>
    <phoneticPr fontId="3" type="noConversion"/>
  </si>
  <si>
    <t>3.1 용도지역·지구·구역계획</t>
    <phoneticPr fontId="3" type="noConversion"/>
  </si>
  <si>
    <t>3.2 기반시설계획</t>
    <phoneticPr fontId="3" type="noConversion"/>
  </si>
  <si>
    <t>3.3 도시개발계획</t>
    <phoneticPr fontId="3" type="noConversion"/>
  </si>
  <si>
    <t>3.4 경관계획</t>
    <phoneticPr fontId="3" type="noConversion"/>
  </si>
  <si>
    <t>3.5 단계별 집행계획</t>
    <phoneticPr fontId="3" type="noConversion"/>
  </si>
  <si>
    <t>3.6 환경성검토</t>
    <phoneticPr fontId="3" type="noConversion"/>
  </si>
  <si>
    <t>3.7 교통성검토</t>
    <phoneticPr fontId="3" type="noConversion"/>
  </si>
  <si>
    <t>3.8 토지적성평가</t>
    <phoneticPr fontId="3" type="noConversion"/>
  </si>
  <si>
    <t>3.9 재해취약성분석</t>
    <phoneticPr fontId="3" type="noConversion"/>
  </si>
  <si>
    <t>4.1 보고서작성 및 편집</t>
    <phoneticPr fontId="3" type="noConversion"/>
  </si>
  <si>
    <t>4.2 관련도서작성</t>
    <phoneticPr fontId="3" type="noConversion"/>
  </si>
  <si>
    <t>5.2 주민간담회/시민계획단</t>
    <phoneticPr fontId="3" type="noConversion"/>
  </si>
  <si>
    <t>5.4 관계기관 협의</t>
    <phoneticPr fontId="3" type="noConversion"/>
  </si>
  <si>
    <t>별도계상</t>
    <phoneticPr fontId="14" type="noConversion"/>
  </si>
  <si>
    <t>주1 : 계획인구가 1만인 미만인 경우에는 계획인구 1만인을 기준으로 산정</t>
    <phoneticPr fontId="3" type="noConversion"/>
  </si>
  <si>
    <t>①</t>
    <phoneticPr fontId="14" type="noConversion"/>
  </si>
  <si>
    <t>②</t>
    <phoneticPr fontId="14" type="noConversion"/>
  </si>
  <si>
    <t xml:space="preserve">1) "1.조사 및 분석'은 발주자가 기초자료를 제공할 경우의 기준이며 전수조사 등 추가조사는 별도 계상하며, </t>
    <phoneticPr fontId="3" type="noConversion"/>
  </si>
  <si>
    <t xml:space="preserve">   '12-3 기초조사'를 적용할 수 있다.</t>
    <phoneticPr fontId="14" type="noConversion"/>
  </si>
  <si>
    <t>4) 경관계획, 단계별집행계획, 농지(산지, 초지)전용협의, 토지적성평가, 재해취약성분석, 도시계획 퍼실리테이션</t>
    <phoneticPr fontId="3" type="noConversion"/>
  </si>
  <si>
    <t xml:space="preserve">   등은 별도 계상한다.</t>
    <phoneticPr fontId="14" type="noConversion"/>
  </si>
  <si>
    <t>6) 도시·군기본계획과 도시·군관리게획을 단일 건으로 종합하여 발주할 경우 '2.1 계획의 배경'과 '2.2 시군의</t>
    <phoneticPr fontId="14" type="noConversion"/>
  </si>
  <si>
    <t xml:space="preserve">   장기발전구상'항목에 대하여는 기술자의 투입인력을 60% 감할 수 있다.</t>
    <phoneticPr fontId="14" type="noConversion"/>
  </si>
  <si>
    <t xml:space="preserve">     ②평균폭이 25M 이상의 선적시설은 면적을 기준으로 산정한다.</t>
  </si>
  <si>
    <t xml:space="preserve">    계획면적 0.5만㎡(0.5㎞)를 기준으로 산정</t>
    <phoneticPr fontId="14" type="noConversion"/>
  </si>
  <si>
    <t xml:space="preserve">주1 : ①계획면적이 0.5만㎡(0.5㎞)미만인 경우에는 </t>
    <phoneticPr fontId="3" type="noConversion"/>
  </si>
  <si>
    <t>①계획면적(거리)(A) :</t>
    <phoneticPr fontId="3" type="noConversion"/>
  </si>
  <si>
    <t>1.1 관련법규 및 계획 검토</t>
    <phoneticPr fontId="3" type="noConversion"/>
  </si>
  <si>
    <t>1.2 주변지역과의 상관성검토</t>
    <phoneticPr fontId="3" type="noConversion"/>
  </si>
  <si>
    <t>2. 도시·군계획 시설결정(변경)결정도서 작성</t>
    <phoneticPr fontId="3" type="noConversion"/>
  </si>
  <si>
    <t>2.1 도시·군계획시설(변경)결정 조서</t>
    <phoneticPr fontId="3" type="noConversion"/>
  </si>
  <si>
    <t>2.2 도시·군계획시설(변경)결정사유서 및 개발(사업)계획서</t>
    <phoneticPr fontId="3" type="noConversion"/>
  </si>
  <si>
    <t>2.3 각종 영향 분석</t>
    <phoneticPr fontId="3" type="noConversion"/>
  </si>
  <si>
    <t>2.4 공고에 따른 의견내용 및 조치결과 작성</t>
    <phoneticPr fontId="3" type="noConversion"/>
  </si>
  <si>
    <t>2.5 도시·군계획시설(변경)결정도</t>
    <phoneticPr fontId="3" type="noConversion"/>
  </si>
  <si>
    <t>2.6 시설배치 및 토지이용계획</t>
    <phoneticPr fontId="3" type="noConversion"/>
  </si>
  <si>
    <t>2.7 지적도 및 토지조서, 권리조서 작성</t>
    <phoneticPr fontId="3" type="noConversion"/>
  </si>
  <si>
    <t>3.1 보고서작성 및 편집</t>
    <phoneticPr fontId="3" type="noConversion"/>
  </si>
  <si>
    <t>3.2 관련도서작성</t>
    <phoneticPr fontId="3" type="noConversion"/>
  </si>
  <si>
    <t>4.1 공청회/주민설명회</t>
    <phoneticPr fontId="3" type="noConversion"/>
  </si>
  <si>
    <t>4.2 주민간담회/시민계획단</t>
    <phoneticPr fontId="3" type="noConversion"/>
  </si>
  <si>
    <t>4.3 위원회심의 지원</t>
    <phoneticPr fontId="3" type="noConversion"/>
  </si>
  <si>
    <t>4.4 관계기관 협의</t>
    <phoneticPr fontId="3" type="noConversion"/>
  </si>
  <si>
    <t xml:space="preserve">1) 개발(사업)계획 내용은 발주자가 제공하며, 제공하지 못할 경우 별도 계상한다. </t>
    <phoneticPr fontId="3" type="noConversion"/>
  </si>
  <si>
    <t xml:space="preserve">4) 농지(산지, 초지)전용협의, 토지적성평가, 도시계획 퍼실리테이션, 측량 및 토질조사·시험 등은 별도 계상한다. </t>
    <phoneticPr fontId="14" type="noConversion"/>
  </si>
  <si>
    <t>①</t>
    <phoneticPr fontId="14" type="noConversion"/>
  </si>
  <si>
    <t>1. 조사 및 분석</t>
    <phoneticPr fontId="3" type="noConversion"/>
  </si>
  <si>
    <t>1.1 스마트도시 관련 정책 및 계획</t>
    <phoneticPr fontId="3" type="noConversion"/>
  </si>
  <si>
    <t>1.2 관련계획 및 인구, 기반시설</t>
    <phoneticPr fontId="3" type="noConversion"/>
  </si>
  <si>
    <t>1.3 스마트도시건설 및 정보화 관련 법령</t>
    <phoneticPr fontId="3" type="noConversion"/>
  </si>
  <si>
    <t>1.4 스마트도시 건설 및 정보통신 관련 기술</t>
    <phoneticPr fontId="3" type="noConversion"/>
  </si>
  <si>
    <t>1.5 스마트도시 정보시스템 현황</t>
    <phoneticPr fontId="3" type="noConversion"/>
  </si>
  <si>
    <t>1.6 스마트도시 공공시설, 정보통신망, 운영센터 구축 현황</t>
    <phoneticPr fontId="3" type="noConversion"/>
  </si>
  <si>
    <t>1.7 스마트도시 서비스 구축 및 운영 현황</t>
    <phoneticPr fontId="3" type="noConversion"/>
  </si>
  <si>
    <t>1.8 스마트도시 관련 조직 및 업무현황</t>
    <phoneticPr fontId="3" type="noConversion"/>
  </si>
  <si>
    <t>1.9 도시개발사업 추진 현황 및 향후 계획</t>
    <phoneticPr fontId="3" type="noConversion"/>
  </si>
  <si>
    <t>1.10 시민설문조사</t>
    <phoneticPr fontId="3" type="noConversion"/>
  </si>
  <si>
    <t>2.1 기본방향설정</t>
    <phoneticPr fontId="3" type="noConversion"/>
  </si>
  <si>
    <t>2.2 계획의 목표 설정</t>
    <phoneticPr fontId="3" type="noConversion"/>
  </si>
  <si>
    <t>2.3 계획지표설정</t>
    <phoneticPr fontId="3" type="noConversion"/>
  </si>
  <si>
    <t>3.1 스마트도시 공공시설 구축계획</t>
    <phoneticPr fontId="3" type="noConversion"/>
  </si>
  <si>
    <t>3.2 정보통신망 구축계획</t>
    <phoneticPr fontId="3" type="noConversion"/>
  </si>
  <si>
    <t>3.3 스마트도시 운영센터 구축계획</t>
    <phoneticPr fontId="3" type="noConversion"/>
  </si>
  <si>
    <t>3.4 스마트도시 기반시설 계획</t>
    <phoneticPr fontId="3" type="noConversion"/>
  </si>
  <si>
    <t>3.5 정보시스템의 공동 활용 및 연계 계획</t>
    <phoneticPr fontId="3" type="noConversion"/>
  </si>
  <si>
    <t>3.6 지역산업의 육성 및 진흥 계획</t>
    <phoneticPr fontId="3" type="noConversion"/>
  </si>
  <si>
    <t>3.7 유관기관 및 관련계획의 연계성 확보계획</t>
    <phoneticPr fontId="3" type="noConversion"/>
  </si>
  <si>
    <t>3.8 개인정보 보호 및 기반시설 보호에 관한 계획</t>
    <phoneticPr fontId="3" type="noConversion"/>
  </si>
  <si>
    <t>3.9 도시정보의 생산·수집·가공·활용·유통계획</t>
    <phoneticPr fontId="3" type="noConversion"/>
  </si>
  <si>
    <t>3.10 기반시설 관리·운영계획</t>
    <phoneticPr fontId="3" type="noConversion"/>
  </si>
  <si>
    <t>4. 도시서비스 계획</t>
    <phoneticPr fontId="3" type="noConversion"/>
  </si>
  <si>
    <t>4.1 기본 서비스 계획</t>
    <phoneticPr fontId="3" type="noConversion"/>
  </si>
  <si>
    <t>4.2 특화 서비스 계획</t>
    <phoneticPr fontId="3" type="noConversion"/>
  </si>
  <si>
    <t>5.2 스마트도시건설사업 추진체계 설정</t>
    <phoneticPr fontId="3" type="noConversion"/>
  </si>
  <si>
    <t>5.3 관계 행정기관간 역할분담 및 협력 계획</t>
    <phoneticPr fontId="3" type="noConversion"/>
  </si>
  <si>
    <t>5.4 기반시설의 조성 및 관리·운영계획</t>
    <phoneticPr fontId="3" type="noConversion"/>
  </si>
  <si>
    <t>5.5 재원조달 및 운영계획</t>
    <phoneticPr fontId="3" type="noConversion"/>
  </si>
  <si>
    <t>6.1 보고서작성 및 편집</t>
    <phoneticPr fontId="3" type="noConversion"/>
  </si>
  <si>
    <t>7.2 위원회심의 지원</t>
    <phoneticPr fontId="3" type="noConversion"/>
  </si>
  <si>
    <t>7.3 관계기관 협의</t>
    <phoneticPr fontId="3" type="noConversion"/>
  </si>
  <si>
    <t>①</t>
    <phoneticPr fontId="14" type="noConversion"/>
  </si>
  <si>
    <t>①</t>
    <phoneticPr fontId="14" type="noConversion"/>
  </si>
  <si>
    <t>②</t>
    <phoneticPr fontId="14" type="noConversion"/>
  </si>
  <si>
    <t xml:space="preserve">1) "1.조사 및 분석'은 발주자가 기초자료를 제공할 경우의 기준이며 전수조사 등 추가조사는 별도 계상한다. </t>
    <phoneticPr fontId="3" type="noConversion"/>
  </si>
  <si>
    <t>4) 스마트도시 건설사업 실시계획, 도시계획 퍼실리테이션 등은 별도 계상한다.</t>
    <phoneticPr fontId="3" type="noConversion"/>
  </si>
  <si>
    <t>①계획면적(A) :</t>
    <phoneticPr fontId="3" type="noConversion"/>
  </si>
  <si>
    <t>주1 : 계획면적이 10㎢ 미만인 경우에는 계획면적 10㎢를 기준으로 하며, 100㎢이상인</t>
    <phoneticPr fontId="3" type="noConversion"/>
  </si>
  <si>
    <t xml:space="preserve">주 : 계획면적이 10만㎡ 미만인 경우에는 계획면적 10만㎡를 기준으로 하며, </t>
    <phoneticPr fontId="14" type="noConversion"/>
  </si>
  <si>
    <t xml:space="preserve">     330만㎡이상인 경우에는 330만㎡를 기준으로 산정한다.</t>
    <phoneticPr fontId="14" type="noConversion"/>
  </si>
  <si>
    <t>①계획면적(A) :</t>
    <phoneticPr fontId="3" type="noConversion"/>
  </si>
  <si>
    <t xml:space="preserve">   계획면적은 도시지역 면적을 적용</t>
    <phoneticPr fontId="14" type="noConversion"/>
  </si>
  <si>
    <t xml:space="preserve">      경우에는 100㎢를 기준으로 산정</t>
    <phoneticPr fontId="14" type="noConversion"/>
  </si>
  <si>
    <t xml:space="preserve">   계획면적은 도시지역 면적을 적용</t>
    <phoneticPr fontId="14" type="noConversion"/>
  </si>
  <si>
    <t>1. 조사 및 분석</t>
    <phoneticPr fontId="14" type="noConversion"/>
  </si>
  <si>
    <t>1.1 관련 정책 및 계획 분석</t>
    <phoneticPr fontId="14" type="noConversion"/>
  </si>
  <si>
    <t>1.2 스마트도시 기반시설 조사 분석</t>
    <phoneticPr fontId="14" type="noConversion"/>
  </si>
  <si>
    <t>1.3 스마트도시 서비스 현황 분석</t>
    <phoneticPr fontId="14" type="noConversion"/>
  </si>
  <si>
    <t>1.4 관련 조직 및 운영 현황 분석</t>
    <phoneticPr fontId="14" type="noConversion"/>
  </si>
  <si>
    <t>2.1 스마트도시 서비스 계획</t>
    <phoneticPr fontId="14" type="noConversion"/>
  </si>
  <si>
    <t>2.2 정보통신망 구축계획</t>
    <phoneticPr fontId="14" type="noConversion"/>
  </si>
  <si>
    <t>2.3 스마트도시 운영센터 구축 계획</t>
    <phoneticPr fontId="14" type="noConversion"/>
  </si>
  <si>
    <t>2.4 스마트도시 기반시설 계획</t>
    <phoneticPr fontId="14" type="noConversion"/>
  </si>
  <si>
    <t>2.5 단계별추진계획</t>
    <phoneticPr fontId="14" type="noConversion"/>
  </si>
  <si>
    <t>2.6 특화단지 추진 체계 설정</t>
    <phoneticPr fontId="14" type="noConversion"/>
  </si>
  <si>
    <t>2.7 관계기관간 역할분담 및 협력</t>
    <phoneticPr fontId="14" type="noConversion"/>
  </si>
  <si>
    <t>2.8 재원조달 및 자금투자계획</t>
    <phoneticPr fontId="14" type="noConversion"/>
  </si>
  <si>
    <t>2.9 스마트도시 운영관리계획</t>
    <phoneticPr fontId="14" type="noConversion"/>
  </si>
  <si>
    <t>3.1 보고서 작성 및 편집</t>
    <phoneticPr fontId="14" type="noConversion"/>
  </si>
  <si>
    <t>3.2 관련도서 작성</t>
    <phoneticPr fontId="14" type="noConversion"/>
  </si>
  <si>
    <t>4.1 전문가 자문</t>
    <phoneticPr fontId="14" type="noConversion"/>
  </si>
  <si>
    <t>4.2 관계기관 협의</t>
    <phoneticPr fontId="14" type="noConversion"/>
  </si>
  <si>
    <t>①</t>
    <phoneticPr fontId="14" type="noConversion"/>
  </si>
  <si>
    <t>②</t>
    <phoneticPr fontId="14" type="noConversion"/>
  </si>
  <si>
    <t>②</t>
    <phoneticPr fontId="14" type="noConversion"/>
  </si>
  <si>
    <t>3) 스마트도시 건설사업 실시계획은 별도 계상한다.</t>
    <phoneticPr fontId="14" type="noConversion"/>
  </si>
  <si>
    <t>1.1 관련법규검토</t>
    <phoneticPr fontId="3" type="noConversion"/>
  </si>
  <si>
    <t>1.2 관련계획검토</t>
    <phoneticPr fontId="3" type="noConversion"/>
  </si>
  <si>
    <t>1.3 주변지역과의 상관성 검토</t>
    <phoneticPr fontId="3" type="noConversion"/>
  </si>
  <si>
    <t>2. 개발제한구역 현황 및 실태조사</t>
    <phoneticPr fontId="3" type="noConversion"/>
  </si>
  <si>
    <t>2.1 관리목표와 기본방향</t>
    <phoneticPr fontId="3" type="noConversion"/>
  </si>
  <si>
    <t>2.2 현황 및 실태조사</t>
    <phoneticPr fontId="3" type="noConversion"/>
  </si>
  <si>
    <t>3. 개발제한구역 관리계획 수립</t>
    <phoneticPr fontId="3" type="noConversion"/>
  </si>
  <si>
    <t>3.1 토지이용 및 보전</t>
    <phoneticPr fontId="3" type="noConversion"/>
  </si>
  <si>
    <t>3.2 도시·군계획시설 설치</t>
    <phoneticPr fontId="3" type="noConversion"/>
  </si>
  <si>
    <t>3.3 대규모의 건축 및 토지형질변경</t>
    <phoneticPr fontId="3" type="noConversion"/>
  </si>
  <si>
    <t>3.4 취락지구 정비</t>
    <phoneticPr fontId="3" type="noConversion"/>
  </si>
  <si>
    <t>3.5 주민지원사업</t>
    <phoneticPr fontId="3" type="noConversion"/>
  </si>
  <si>
    <t>3.6 재원조달 및 운용</t>
    <phoneticPr fontId="3" type="noConversion"/>
  </si>
  <si>
    <t>3.7 개발제한구역 해제 대상지역의 관리</t>
    <phoneticPr fontId="3" type="noConversion"/>
  </si>
  <si>
    <t>3.8 환경정비</t>
    <phoneticPr fontId="3" type="noConversion"/>
  </si>
  <si>
    <t>3.9 축산단지 배치</t>
    <phoneticPr fontId="3" type="noConversion"/>
  </si>
  <si>
    <t>3.10 구역관리의 전산화</t>
    <phoneticPr fontId="3" type="noConversion"/>
  </si>
  <si>
    <t>3.11 위법행위의 지도, 단속, 항공사진 촬영</t>
    <phoneticPr fontId="3" type="noConversion"/>
  </si>
  <si>
    <t>3.12 경계표석의 설치 관리</t>
    <phoneticPr fontId="3" type="noConversion"/>
  </si>
  <si>
    <t>3.13 기타 필요한 사항</t>
    <phoneticPr fontId="3" type="noConversion"/>
  </si>
  <si>
    <t>4. 성과품작성</t>
    <phoneticPr fontId="3" type="noConversion"/>
  </si>
  <si>
    <t>4.1 보고서 작성</t>
    <phoneticPr fontId="3" type="noConversion"/>
  </si>
  <si>
    <t>4.2 관련 도서 작성</t>
    <phoneticPr fontId="3" type="noConversion"/>
  </si>
  <si>
    <t>5. 기술협의</t>
    <phoneticPr fontId="3" type="noConversion"/>
  </si>
  <si>
    <t>5.1 공청회/주민설명회</t>
    <phoneticPr fontId="3" type="noConversion"/>
  </si>
  <si>
    <t>5.2 주민간담회/시민계획단</t>
    <phoneticPr fontId="3" type="noConversion"/>
  </si>
  <si>
    <t>5.4 관계기관 협의</t>
    <phoneticPr fontId="3" type="noConversion"/>
  </si>
  <si>
    <t>①</t>
    <phoneticPr fontId="3" type="noConversion"/>
  </si>
  <si>
    <t>②</t>
    <phoneticPr fontId="3" type="noConversion"/>
  </si>
  <si>
    <t>주1 : 계획면적이 30㎢ 미만인 경우 계획면적 30㎢를 기준으로 산정</t>
    <phoneticPr fontId="3" type="noConversion"/>
  </si>
  <si>
    <t xml:space="preserve">    계획면적은 당해 개발제한구역의 과업면적 원칙</t>
    <phoneticPr fontId="3" type="noConversion"/>
  </si>
  <si>
    <t>1) 기술협의는 2회 기준이며, 횟수 증가에 따라 비용을 가산한다.</t>
    <phoneticPr fontId="3" type="noConversion"/>
  </si>
  <si>
    <t>2) 각종영향성검토 및 각종영향평가업무 등은 별도 계상한다.</t>
    <phoneticPr fontId="14" type="noConversion"/>
  </si>
  <si>
    <t>3) 항공사진 촬영, 인화 등은 별도 계상한다.</t>
    <phoneticPr fontId="14" type="noConversion"/>
  </si>
  <si>
    <t>■ 개발제한구역 도시·군관리계획 변경(개발제한구역 해제)</t>
    <phoneticPr fontId="3" type="noConversion"/>
  </si>
  <si>
    <t>주1 : 계획면적이 15만㎡미만인 경우에는 계획면적 15만㎡를 기준으로, 100만㎡ 이상인 경우</t>
    <phoneticPr fontId="14" type="noConversion"/>
  </si>
  <si>
    <t xml:space="preserve">    에는 계획면적 100만㎡ 기준으로 산정</t>
    <phoneticPr fontId="14" type="noConversion"/>
  </si>
  <si>
    <t xml:space="preserve">    계획면적은 개발제한구역의 해제 면적이 아닌 공익사업의 면적 적용</t>
    <phoneticPr fontId="14" type="noConversion"/>
  </si>
  <si>
    <t>1.1 관련법규 및 계획 검토</t>
    <phoneticPr fontId="14" type="noConversion"/>
  </si>
  <si>
    <t>1.2 주변 지역과의 상관성 검토</t>
    <phoneticPr fontId="14" type="noConversion"/>
  </si>
  <si>
    <t>2.1 도시·군관리계획(변경)결정 조서 및 도면</t>
    <phoneticPr fontId="33" type="noConversion"/>
  </si>
  <si>
    <t>2.2 도시·군관리계획(변경)결정사유서 및 개발(사업)계획서</t>
    <phoneticPr fontId="14" type="noConversion"/>
  </si>
  <si>
    <t>2.3 각종 영향 검토</t>
    <phoneticPr fontId="14" type="noConversion"/>
  </si>
  <si>
    <t>2.4 공고에 따른 의견내용 및 조치결과 작성</t>
    <phoneticPr fontId="14" type="noConversion"/>
  </si>
  <si>
    <t>2.6 개발제한구역 해제를 위한 지구단위계획</t>
    <phoneticPr fontId="33" type="noConversion"/>
  </si>
  <si>
    <t>2.5 용도지역·지구 변경에 관한 계획</t>
    <phoneticPr fontId="33" type="noConversion"/>
  </si>
  <si>
    <t>2.7 지적도 및 토지조서, 권리조서 작성</t>
    <phoneticPr fontId="14" type="noConversion"/>
  </si>
  <si>
    <t>2.8 도시·군계획시설 재검토서</t>
    <phoneticPr fontId="14" type="noConversion"/>
  </si>
  <si>
    <t>3.1 공공기여 방안</t>
    <phoneticPr fontId="14" type="noConversion"/>
  </si>
  <si>
    <t xml:space="preserve">3.2 난개발확산방지, 투기행위방지 </t>
    <phoneticPr fontId="14" type="noConversion"/>
  </si>
  <si>
    <t>3.3 훼손지 복구계획</t>
    <phoneticPr fontId="14" type="noConversion"/>
  </si>
  <si>
    <t>3.4 부담금 산정</t>
    <phoneticPr fontId="14" type="noConversion"/>
  </si>
  <si>
    <t>3.5 개발수요 검토</t>
    <phoneticPr fontId="14" type="noConversion"/>
  </si>
  <si>
    <t>3.6 재원조달계획</t>
    <phoneticPr fontId="14" type="noConversion"/>
  </si>
  <si>
    <t>4.1 보고서작성 및 편집</t>
    <phoneticPr fontId="14" type="noConversion"/>
  </si>
  <si>
    <t>4.2 관련도서작성</t>
    <phoneticPr fontId="14" type="noConversion"/>
  </si>
  <si>
    <t>5.1 공청회/주민설명회</t>
    <phoneticPr fontId="14" type="noConversion"/>
  </si>
  <si>
    <t>5.2 주민간담회/시민계획단</t>
    <phoneticPr fontId="14" type="noConversion"/>
  </si>
  <si>
    <t>5.3 위원회심의 지원</t>
    <phoneticPr fontId="14" type="noConversion"/>
  </si>
  <si>
    <t>5.4 관계기관 협의</t>
    <phoneticPr fontId="14" type="noConversion"/>
  </si>
  <si>
    <t>①</t>
    <phoneticPr fontId="14" type="noConversion"/>
  </si>
  <si>
    <t>②</t>
    <phoneticPr fontId="14" type="noConversion"/>
  </si>
  <si>
    <t>4) 농지(산지, 초지)전용협의, 경관계획, 토지적성평가, 재해취약성분석 업무 등은 별도 계상한다.</t>
    <phoneticPr fontId="33" type="noConversion"/>
  </si>
  <si>
    <t>5) 개발(사업)계획, 건축계획 내용은 발주자가 제공하며, 제공하지 못할 경우 별도 계상한다.</t>
    <phoneticPr fontId="33" type="noConversion"/>
  </si>
  <si>
    <t xml:space="preserve">   지구단위계획 관련 품셈이 포함된 타 개발(사업)계획과 동시 발주 시에도 적용해야 한다.</t>
    <phoneticPr fontId="14" type="noConversion"/>
  </si>
  <si>
    <t>6) '2.6 개발제한구역 해제를 위한 지구단위계획'은 건축물의 용도, 건폐율·용적률·높이 등 건축물의 규모에 관한 계획으로 한정하며,</t>
    <phoneticPr fontId="33" type="noConversion"/>
  </si>
  <si>
    <t>2.1 개발가용지 분석</t>
    <phoneticPr fontId="3" type="noConversion"/>
  </si>
  <si>
    <t>2.2 개발압력 분석</t>
    <phoneticPr fontId="3" type="noConversion"/>
  </si>
  <si>
    <t>2.3 지가변동 분석</t>
    <phoneticPr fontId="3" type="noConversion"/>
  </si>
  <si>
    <t>2.4 인구증가 분석</t>
    <phoneticPr fontId="3" type="noConversion"/>
  </si>
  <si>
    <t>2.5 관련계획 분석</t>
    <phoneticPr fontId="3" type="noConversion"/>
  </si>
  <si>
    <t>3. 성장관리계획구역의 지정</t>
    <phoneticPr fontId="3" type="noConversion"/>
  </si>
  <si>
    <t>3.1 평가지표 설정</t>
    <phoneticPr fontId="3" type="noConversion"/>
  </si>
  <si>
    <t>3.2 현장조사</t>
    <phoneticPr fontId="3" type="noConversion"/>
  </si>
  <si>
    <t>3.3 성장관리지역 지정(안) 작성</t>
    <phoneticPr fontId="3" type="noConversion"/>
  </si>
  <si>
    <t>4.1 보고서작성 및 편집</t>
    <phoneticPr fontId="3" type="noConversion"/>
  </si>
  <si>
    <t>4.2 관련도서작성</t>
    <phoneticPr fontId="3" type="noConversion"/>
  </si>
  <si>
    <t>5.2 주민간담회/시민계획단</t>
    <phoneticPr fontId="3" type="noConversion"/>
  </si>
  <si>
    <t>5.3 위원회심의 지원</t>
    <phoneticPr fontId="3" type="noConversion"/>
  </si>
  <si>
    <t>5.4 관계기관 협의</t>
    <phoneticPr fontId="3" type="noConversion"/>
  </si>
  <si>
    <t>①</t>
    <phoneticPr fontId="14" type="noConversion"/>
  </si>
  <si>
    <t>②</t>
    <phoneticPr fontId="14" type="noConversion"/>
  </si>
  <si>
    <t>주1 : 계획면적이 3㎢미만인 경우에는 계획면적 3㎢를 기준으로 산정</t>
    <phoneticPr fontId="3" type="noConversion"/>
  </si>
  <si>
    <t>①계획면적(A) :</t>
    <phoneticPr fontId="3" type="noConversion"/>
  </si>
  <si>
    <t>■ 성장관리계획구역의 지정</t>
    <phoneticPr fontId="3" type="noConversion"/>
  </si>
  <si>
    <t xml:space="preserve">4) 성장관리계획구역의 지정과 성장관리계획을 단일 건으로 종합하여 발주할 경우 각 품을 합산한여 산정한다. </t>
    <phoneticPr fontId="33" type="noConversion"/>
  </si>
  <si>
    <t>■ 성장관리계획 수립</t>
    <phoneticPr fontId="3" type="noConversion"/>
  </si>
  <si>
    <t>주1: 계획면적이 3㎢미만인 경우에는 계획면적 3㎢를 기준으로 산정</t>
    <phoneticPr fontId="3" type="noConversion"/>
  </si>
  <si>
    <t xml:space="preserve">  계획면적은 성장관리계획구역 면적으로 지정된 면적 적용</t>
    <phoneticPr fontId="14" type="noConversion"/>
  </si>
  <si>
    <t>①계획면적(A) :</t>
    <phoneticPr fontId="3" type="noConversion"/>
  </si>
  <si>
    <t>1.1 자연환경</t>
    <phoneticPr fontId="3" type="noConversion"/>
  </si>
  <si>
    <t>1.2 인구 및 산업현황</t>
    <phoneticPr fontId="3" type="noConversion"/>
  </si>
  <si>
    <t>1.3 토지소유 및 이용현황</t>
    <phoneticPr fontId="3" type="noConversion"/>
  </si>
  <si>
    <t>1.4 건축물현황</t>
    <phoneticPr fontId="3" type="noConversion"/>
  </si>
  <si>
    <t>1.5 교통현황</t>
    <phoneticPr fontId="3" type="noConversion"/>
  </si>
  <si>
    <t>1.6 도시기반시설현황</t>
    <phoneticPr fontId="3" type="noConversion"/>
  </si>
  <si>
    <t>1.7 도시계획현황 및 관련계획</t>
    <phoneticPr fontId="3" type="noConversion"/>
  </si>
  <si>
    <t>1.8 현황자료분석</t>
    <phoneticPr fontId="3" type="noConversion"/>
  </si>
  <si>
    <t>2.1 기본방향</t>
    <phoneticPr fontId="3" type="noConversion"/>
  </si>
  <si>
    <t>2.2 토지이용체계구상</t>
    <phoneticPr fontId="3" type="noConversion"/>
  </si>
  <si>
    <t>2.3 교통동선체계구상</t>
    <phoneticPr fontId="3" type="noConversion"/>
  </si>
  <si>
    <t>3.1 용도지역·지구</t>
    <phoneticPr fontId="3" type="noConversion"/>
  </si>
  <si>
    <t>3.2 교통처리</t>
    <phoneticPr fontId="3" type="noConversion"/>
  </si>
  <si>
    <t>3.3 공원녹지</t>
    <phoneticPr fontId="3" type="noConversion"/>
  </si>
  <si>
    <t>3.4 도시기반시설</t>
    <phoneticPr fontId="3" type="noConversion"/>
  </si>
  <si>
    <t>3.5 가구 및 획지규모와 조성</t>
    <phoneticPr fontId="3" type="noConversion"/>
  </si>
  <si>
    <t>3.6 건축물규모·형태·색채 등에 관한 계획</t>
    <phoneticPr fontId="3" type="noConversion"/>
  </si>
  <si>
    <t>3.7 경관계획</t>
    <phoneticPr fontId="3" type="noConversion"/>
  </si>
  <si>
    <t>5.2 주민간담회/시민계획단</t>
    <phoneticPr fontId="3" type="noConversion"/>
  </si>
  <si>
    <t>5.3 위원회심의 지원</t>
    <phoneticPr fontId="3" type="noConversion"/>
  </si>
  <si>
    <t>5.4 관계기관 협의</t>
    <phoneticPr fontId="3" type="noConversion"/>
  </si>
  <si>
    <t>4) 지구경관계획 업무 등은 별도 계상한다.</t>
    <phoneticPr fontId="33" type="noConversion"/>
  </si>
  <si>
    <t>5) 2개 이상 지역의 성장관리계획 수립은 각각 산정하여 계상한다.</t>
    <phoneticPr fontId="14" type="noConversion"/>
  </si>
  <si>
    <t>1.1 관련법규 검토</t>
    <phoneticPr fontId="14" type="noConversion"/>
  </si>
  <si>
    <t>1.2 관련계획 검토</t>
    <phoneticPr fontId="14" type="noConversion"/>
  </si>
  <si>
    <t>1.3 주변지역과의 영향성 검토</t>
    <phoneticPr fontId="14" type="noConversion"/>
  </si>
  <si>
    <t>2. 개발행위 신청도서 작성</t>
    <phoneticPr fontId="14" type="noConversion"/>
  </si>
  <si>
    <t>2.1 개발행위허가 신청서 작성</t>
    <phoneticPr fontId="14" type="noConversion"/>
  </si>
  <si>
    <t>2.2 편입토지조서 작성</t>
    <phoneticPr fontId="14" type="noConversion"/>
  </si>
  <si>
    <t>2.3 사업계획서 작성</t>
    <phoneticPr fontId="14" type="noConversion"/>
  </si>
  <si>
    <t>2.4 건축물 계획</t>
    <phoneticPr fontId="3" type="noConversion"/>
  </si>
  <si>
    <t>2.5 피해방지 계획서 작성</t>
    <phoneticPr fontId="14" type="noConversion"/>
  </si>
  <si>
    <t>2.6 경사분석</t>
    <phoneticPr fontId="14" type="noConversion"/>
  </si>
  <si>
    <t>2.7 진입도로/교통처리계획</t>
    <phoneticPr fontId="14" type="noConversion"/>
  </si>
  <si>
    <t>2.8 대체기반시설 계획</t>
    <phoneticPr fontId="14" type="noConversion"/>
  </si>
  <si>
    <t>2.9 개발행위허가 기준 검토</t>
    <phoneticPr fontId="14" type="noConversion"/>
  </si>
  <si>
    <t>2.10 경관체크리스트 검토</t>
    <phoneticPr fontId="14" type="noConversion"/>
  </si>
  <si>
    <t>2.11 협의의견 및 조치결과 작성</t>
    <phoneticPr fontId="14" type="noConversion"/>
  </si>
  <si>
    <t>3.1 관련도서 작성</t>
    <phoneticPr fontId="14" type="noConversion"/>
  </si>
  <si>
    <t>①</t>
    <phoneticPr fontId="14" type="noConversion"/>
  </si>
  <si>
    <t>②</t>
    <phoneticPr fontId="14" type="noConversion"/>
  </si>
  <si>
    <t>①계획면적(A) :</t>
    <phoneticPr fontId="3" type="noConversion"/>
  </si>
  <si>
    <t>주1 : 계획면적이 0.1만㎡ 미만인 경우에는 계획면적 0.1㎡를 기준으로 산정</t>
    <phoneticPr fontId="3" type="noConversion"/>
  </si>
  <si>
    <t xml:space="preserve">    계획면적은 과업면적을 적용</t>
    <phoneticPr fontId="14" type="noConversion"/>
  </si>
  <si>
    <t>2) 각종영향성검토 및 각종영향평가업무 등은 별도 계상한다.</t>
    <phoneticPr fontId="14" type="noConversion"/>
  </si>
  <si>
    <t>3) 농지(산지, 초지)전용협의, 경관계획, 설계도서, 예산내역서 등의 업무는 별도 계상한다.</t>
    <phoneticPr fontId="14" type="noConversion"/>
  </si>
  <si>
    <t>1. 조사 및 분석</t>
    <phoneticPr fontId="3" type="noConversion"/>
  </si>
  <si>
    <t>1.1 현황조사·분석</t>
    <phoneticPr fontId="3" type="noConversion"/>
  </si>
  <si>
    <t>1.2 종합분석 및 과제도출</t>
    <phoneticPr fontId="3" type="noConversion"/>
  </si>
  <si>
    <t>2.1 저탄소 녹색도시 구상</t>
    <phoneticPr fontId="3" type="noConversion"/>
  </si>
  <si>
    <t>3. 계획수립</t>
    <phoneticPr fontId="3" type="noConversion"/>
  </si>
  <si>
    <t>3.1 부문별 저탄소 녹색도시계획</t>
    <phoneticPr fontId="3" type="noConversion"/>
  </si>
  <si>
    <t>3.2 권역별 저탄소 녹색도시계획</t>
    <phoneticPr fontId="3" type="noConversion"/>
  </si>
  <si>
    <t>4.1 저탄소 녹색도시계획 시행 전략</t>
    <phoneticPr fontId="3" type="noConversion"/>
  </si>
  <si>
    <t>5.1 보고서작성 및 편집</t>
    <phoneticPr fontId="3" type="noConversion"/>
  </si>
  <si>
    <t>②</t>
    <phoneticPr fontId="14" type="noConversion"/>
  </si>
  <si>
    <t>1) '1. 조사 및 분석'은 발주자가 기초자료를 제공할 경우의 기준이며 전수조사 등 추가조사는 별도 계상한다.</t>
    <phoneticPr fontId="3" type="noConversion"/>
  </si>
  <si>
    <t>2) 기술협의는 2회 기준이며, 횟수 증가에 따라 비용을 가산한다.</t>
    <phoneticPr fontId="14" type="noConversion"/>
  </si>
  <si>
    <t>3) 각종영향성검토 및 각종영향평가업무 등은 별도 계상한다.</t>
    <phoneticPr fontId="14" type="noConversion"/>
  </si>
  <si>
    <t>4) 저탄소 녹색도시게획을 광역도시계획, 도시·군기본계획, 도시·군관리계획의 부문별계획으로 수립하는 경우,</t>
    <phoneticPr fontId="14" type="noConversion"/>
  </si>
  <si>
    <t xml:space="preserve">   저탄소 녹색도시계획의 '1. 조사 및 분석', '2. 기본구상', '3. 계획수립','4. 시행전략', '5. 성과품 작성'은 </t>
    <phoneticPr fontId="14" type="noConversion"/>
  </si>
  <si>
    <t xml:space="preserve">   50%를 적용한다.</t>
    <phoneticPr fontId="14" type="noConversion"/>
  </si>
  <si>
    <t xml:space="preserve">  계획인구는 목표인구로 적용</t>
    <phoneticPr fontId="14" type="noConversion"/>
  </si>
  <si>
    <t>회</t>
    <phoneticPr fontId="14" type="noConversion"/>
  </si>
  <si>
    <t>주1 : 계획인구가 10만인 미만인 경우 계획인구 10만인을 기준으로 산정</t>
    <phoneticPr fontId="3" type="noConversion"/>
  </si>
  <si>
    <t>①계획인구</t>
    <phoneticPr fontId="3" type="noConversion"/>
  </si>
  <si>
    <t>1. 기초조사 및 여건분석</t>
    <phoneticPr fontId="3" type="noConversion"/>
  </si>
  <si>
    <t>1.1. 자연환경</t>
    <phoneticPr fontId="3" type="noConversion"/>
  </si>
  <si>
    <t>1.2. 인구 및 산업현황</t>
    <phoneticPr fontId="3" type="noConversion"/>
  </si>
  <si>
    <t>1.3. 토지소유 및 이용현황</t>
    <phoneticPr fontId="3" type="noConversion"/>
  </si>
  <si>
    <t>1.4. 건축물 현황</t>
    <phoneticPr fontId="3" type="noConversion"/>
  </si>
  <si>
    <t>1.5. 교통현황</t>
    <phoneticPr fontId="3" type="noConversion"/>
  </si>
  <si>
    <t>1.6. 기반시설현황</t>
    <phoneticPr fontId="3" type="noConversion"/>
  </si>
  <si>
    <t>1.7. 도시계획현황 및 관련계획</t>
    <phoneticPr fontId="3" type="noConversion"/>
  </si>
  <si>
    <t>1.8. 가로시설물 및 조경환경</t>
    <phoneticPr fontId="3" type="noConversion"/>
  </si>
  <si>
    <t>1.9. 문제점 및 잠재력</t>
    <phoneticPr fontId="3" type="noConversion"/>
  </si>
  <si>
    <t>2.1. 과제정립 및 목표설정</t>
    <phoneticPr fontId="3" type="noConversion"/>
  </si>
  <si>
    <t>2.2. 기본방향 및 지표설정</t>
    <phoneticPr fontId="3" type="noConversion"/>
  </si>
  <si>
    <t>2.3. 토지이용체계구상</t>
    <phoneticPr fontId="3" type="noConversion"/>
  </si>
  <si>
    <t>2.4. 교통동선체계구상</t>
    <phoneticPr fontId="3" type="noConversion"/>
  </si>
  <si>
    <t>2.5. 공원·녹지체계구상</t>
    <phoneticPr fontId="3" type="noConversion"/>
  </si>
  <si>
    <t>3.1. 용도지역·지구</t>
    <phoneticPr fontId="3" type="noConversion"/>
  </si>
  <si>
    <t>3.2. 교통처리</t>
    <phoneticPr fontId="3" type="noConversion"/>
  </si>
  <si>
    <t>3.3. 공원녹지</t>
    <phoneticPr fontId="3" type="noConversion"/>
  </si>
  <si>
    <t>3.4. 기반시설</t>
    <phoneticPr fontId="3" type="noConversion"/>
  </si>
  <si>
    <t>3.5. 가구 및 획지</t>
    <phoneticPr fontId="3" type="noConversion"/>
  </si>
  <si>
    <t>3.6. 건축물</t>
    <phoneticPr fontId="3" type="noConversion"/>
  </si>
  <si>
    <t>3.7. 경관</t>
    <phoneticPr fontId="3" type="noConversion"/>
  </si>
  <si>
    <t>3.8. 환경관리</t>
    <phoneticPr fontId="3" type="noConversion"/>
  </si>
  <si>
    <t>4.1. 보고서작성 및 편집</t>
    <phoneticPr fontId="3" type="noConversion"/>
  </si>
  <si>
    <t>4.2. 관련도서작성</t>
    <phoneticPr fontId="3" type="noConversion"/>
  </si>
  <si>
    <t>5.1. 공청회/주민설명회</t>
    <phoneticPr fontId="3" type="noConversion"/>
  </si>
  <si>
    <t>5.2. 주민간담회/시민계획단</t>
    <phoneticPr fontId="3" type="noConversion"/>
  </si>
  <si>
    <t>5.3. 위원회심의 지원</t>
    <phoneticPr fontId="3" type="noConversion"/>
  </si>
  <si>
    <t>5.4. 관계기관 협의</t>
    <phoneticPr fontId="3" type="noConversion"/>
  </si>
  <si>
    <t>②</t>
    <phoneticPr fontId="14" type="noConversion"/>
  </si>
  <si>
    <t>별</t>
    <phoneticPr fontId="14" type="noConversion"/>
  </si>
  <si>
    <t>도</t>
    <phoneticPr fontId="14" type="noConversion"/>
  </si>
  <si>
    <t>계</t>
    <phoneticPr fontId="14" type="noConversion"/>
  </si>
  <si>
    <t>상</t>
    <phoneticPr fontId="14" type="noConversion"/>
  </si>
  <si>
    <t>①,ⓐ</t>
  </si>
  <si>
    <t>①계획면적(A) :</t>
    <phoneticPr fontId="3" type="noConversion"/>
  </si>
  <si>
    <t>ⓐ 지구밀도변화</t>
    <phoneticPr fontId="3" type="noConversion"/>
  </si>
  <si>
    <t>(도시지역)신시가지 또는 신개발지</t>
    <phoneticPr fontId="14" type="noConversion"/>
  </si>
  <si>
    <t>(도시지역)복합구역</t>
    <phoneticPr fontId="14" type="noConversion"/>
  </si>
  <si>
    <t>(도시지역)기존시가지</t>
    <phoneticPr fontId="14" type="noConversion"/>
  </si>
  <si>
    <t>(비도시지역)주거형 등</t>
    <phoneticPr fontId="14" type="noConversion"/>
  </si>
  <si>
    <t>주1 : 계획면적이 3만㎡ 미만인 경우 계획면적 3만㎡를 기준으로 산정</t>
    <phoneticPr fontId="3" type="noConversion"/>
  </si>
  <si>
    <t xml:space="preserve">   계획면적은 지구단위계구역 면적을 적용</t>
    <phoneticPr fontId="14" type="noConversion"/>
  </si>
  <si>
    <t>주2. 2회 기준이며, 횟수 증가에 따라 비용 가산</t>
    <phoneticPr fontId="14" type="noConversion"/>
  </si>
  <si>
    <t>주3. 도시지역에서 1개의 계획구역에 2개 이상의 특성이 다른 지역이 포함될 때에는</t>
    <phoneticPr fontId="14" type="noConversion"/>
  </si>
  <si>
    <t>2) 기술협의는 2회 기준이며, 횟수 증가에 따라 비용을 가산한다.</t>
    <phoneticPr fontId="14" type="noConversion"/>
  </si>
  <si>
    <t>주</t>
    <phoneticPr fontId="3" type="noConversion"/>
  </si>
  <si>
    <t>1) 경관심의 및 지구경관계획, 환경관리계획 별도 계상한다.</t>
    <phoneticPr fontId="14" type="noConversion"/>
  </si>
  <si>
    <t>3) 계획의 상세정도, 포함되는 항목에 따라 선택적으로 적용이 가능한 항목에 대해서는 과업지시서의 내용에 따라</t>
    <phoneticPr fontId="14" type="noConversion"/>
  </si>
  <si>
    <t xml:space="preserve">   일부를 증감할 수 있다.</t>
    <phoneticPr fontId="14" type="noConversion"/>
  </si>
  <si>
    <t>- 지구단위계획에 대한 구체적인 지침을 제시하지 않고, 개발을 위한 방침만을 설정할 경우에는 시행계획을 포함하지</t>
    <phoneticPr fontId="14" type="noConversion"/>
  </si>
  <si>
    <t xml:space="preserve">  아니한다.</t>
    <phoneticPr fontId="14" type="noConversion"/>
  </si>
  <si>
    <t>- 특별계획구역이 포함되지 아니하는 소규모의 지구단위게획은 특별계획구역의 방향설정을 포함하지 아니한다.</t>
    <phoneticPr fontId="14" type="noConversion"/>
  </si>
  <si>
    <t xml:space="preserve">4) 개별법에 의한 개발사업으로 추진하면서 기본계획이 수립되어 있는 경우에는 부문별계획의 내용을 기존계획의 </t>
    <phoneticPr fontId="14" type="noConversion"/>
  </si>
  <si>
    <t xml:space="preserve">  검토항목을 50%까지 적용할 수 있다.</t>
    <phoneticPr fontId="14" type="noConversion"/>
  </si>
  <si>
    <t>5) 제3장 제12절 도시계획 기초조사 품셈을 별도 적용할 수 없다.</t>
    <phoneticPr fontId="14" type="noConversion"/>
  </si>
  <si>
    <t>6) 계획면적의 산정은 지구단위계획구역으로 지정된 면적을 기준으로 한다.</t>
    <phoneticPr fontId="14" type="noConversion"/>
  </si>
  <si>
    <t>1.1. 자연환경</t>
    <phoneticPr fontId="3" type="noConversion"/>
  </si>
  <si>
    <t>1.2. 인구 및 산업현황</t>
    <phoneticPr fontId="3" type="noConversion"/>
  </si>
  <si>
    <t>1.3. 토지소유 및 이용현황</t>
    <phoneticPr fontId="3" type="noConversion"/>
  </si>
  <si>
    <t>1.4. 건축물 현황</t>
    <phoneticPr fontId="3" type="noConversion"/>
  </si>
  <si>
    <t>1.5. 교통현황</t>
    <phoneticPr fontId="3" type="noConversion"/>
  </si>
  <si>
    <t>1.8. 가로시설물 및 조경환경</t>
    <phoneticPr fontId="3" type="noConversion"/>
  </si>
  <si>
    <t>1.9. 문제점 및 잠재력</t>
    <phoneticPr fontId="3" type="noConversion"/>
  </si>
  <si>
    <t>2.1. 과제정립 및 목표설정</t>
    <phoneticPr fontId="3" type="noConversion"/>
  </si>
  <si>
    <t>2.3. 토지이용체계구상</t>
    <phoneticPr fontId="3" type="noConversion"/>
  </si>
  <si>
    <t>2.4. 교통동선체계구상</t>
    <phoneticPr fontId="3" type="noConversion"/>
  </si>
  <si>
    <t>2.5. 공원·녹지체계구상</t>
    <phoneticPr fontId="3" type="noConversion"/>
  </si>
  <si>
    <t>3.1. 용도지역·지구계획</t>
    <phoneticPr fontId="3" type="noConversion"/>
  </si>
  <si>
    <t>3.2. 교통처리계획</t>
    <phoneticPr fontId="3" type="noConversion"/>
  </si>
  <si>
    <t>3.3. 공원녹지계획</t>
    <phoneticPr fontId="3" type="noConversion"/>
  </si>
  <si>
    <t>3.4. 기반시설계획</t>
    <phoneticPr fontId="3" type="noConversion"/>
  </si>
  <si>
    <t>3.5. 가구 및 획지계획</t>
    <phoneticPr fontId="3" type="noConversion"/>
  </si>
  <si>
    <t>3.6. 건축물에 관한 계획</t>
    <phoneticPr fontId="3" type="noConversion"/>
  </si>
  <si>
    <t>3.7. 경관계획</t>
    <phoneticPr fontId="3" type="noConversion"/>
  </si>
  <si>
    <t>3.8. 특별계획구역 계획</t>
    <phoneticPr fontId="3" type="noConversion"/>
  </si>
  <si>
    <t>3.9. 주요지구스케치모델</t>
    <phoneticPr fontId="3" type="noConversion"/>
  </si>
  <si>
    <t>3.10. 환경관리계획</t>
    <phoneticPr fontId="3" type="noConversion"/>
  </si>
  <si>
    <t>4.1. 도시계획결정</t>
    <phoneticPr fontId="3" type="noConversion"/>
  </si>
  <si>
    <t>4.2. 집행계획</t>
    <phoneticPr fontId="14" type="noConversion"/>
  </si>
  <si>
    <t>5.1. 보고서작성 및 편집</t>
    <phoneticPr fontId="3" type="noConversion"/>
  </si>
  <si>
    <t>5.2. 관련도서작성</t>
    <phoneticPr fontId="3" type="noConversion"/>
  </si>
  <si>
    <t>별도계상</t>
    <phoneticPr fontId="14" type="noConversion"/>
  </si>
  <si>
    <t>6.1. 공청회/주민설명회</t>
    <phoneticPr fontId="3" type="noConversion"/>
  </si>
  <si>
    <t>6.2. 주민간담회/시민계획단</t>
    <phoneticPr fontId="3" type="noConversion"/>
  </si>
  <si>
    <t>6.3. 위원회심의 지원</t>
    <phoneticPr fontId="3" type="noConversion"/>
  </si>
  <si>
    <t>6.4. 관계기관 협의</t>
    <phoneticPr fontId="3" type="noConversion"/>
  </si>
  <si>
    <t>①,ⓐ</t>
    <phoneticPr fontId="14" type="noConversion"/>
  </si>
  <si>
    <t>②</t>
    <phoneticPr fontId="14" type="noConversion"/>
  </si>
  <si>
    <t xml:space="preserve">     각 지역의 특성에 따른 보정계수로 구분하여 산정</t>
    <phoneticPr fontId="14" type="noConversion"/>
  </si>
  <si>
    <t xml:space="preserve">     각 지역의 특성에 따른 보정계수로 구분하여 산정</t>
    <phoneticPr fontId="14" type="noConversion"/>
  </si>
  <si>
    <t xml:space="preserve">6) 지구단위계획을 유사용역으로 활용하고자 하는 경우에는 대상지와 인접하여 있는 도로와 대상지내 공공시설을 </t>
    <phoneticPr fontId="14" type="noConversion"/>
  </si>
  <si>
    <t xml:space="preserve">   포함하여 계획면적으로 산정한다.</t>
    <phoneticPr fontId="14" type="noConversion"/>
  </si>
  <si>
    <t>7) 계획관리지역이나 개발진흥지구에서의 지구단위계획 중 체육시설, 관광지에 대한 계획은 건축물, 도로, 주차장용지 등</t>
    <phoneticPr fontId="14" type="noConversion"/>
  </si>
  <si>
    <t xml:space="preserve">   시설부지를 계획대상지로 하며 계획대상지 면적이 3만㎡에 미달할 때에는 3만㎡를 계획면적으로 적용한다.</t>
    <phoneticPr fontId="14" type="noConversion"/>
  </si>
  <si>
    <t xml:space="preserve">8) 경제마케팅 분석, 각종영향평가, 공원 등 단위 도시군계획시설의 조성계획 및 이에 준하는 사항, 모형제작 및 </t>
    <phoneticPr fontId="14" type="noConversion"/>
  </si>
  <si>
    <t xml:space="preserve">   개별 필지별 건축물의 내용을 구체화하는 건축계획설계단계 및 이에 준하는 사항 등과, 사업추진 시 필요한 조사</t>
    <phoneticPr fontId="14" type="noConversion"/>
  </si>
  <si>
    <t xml:space="preserve">   측량, 토질조사 및 시험, 기본설계, 실시설계는 별도 계상한다.</t>
    <phoneticPr fontId="14" type="noConversion"/>
  </si>
  <si>
    <t>■ 입체적 도시공간계획</t>
    <phoneticPr fontId="3" type="noConversion"/>
  </si>
  <si>
    <r>
      <t>보정계수(α) = (A/50)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</si>
  <si>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주 : 계획면적이 3만㎡ 미만인 경우 계획면적 3만㎡를 기준으로 산정</t>
    <phoneticPr fontId="3" type="noConversion"/>
  </si>
  <si>
    <t xml:space="preserve">  계획면적은 단지개발계획의 구역 면적을 적용</t>
    <phoneticPr fontId="14" type="noConversion"/>
  </si>
  <si>
    <t>①계획면적(A) :</t>
    <phoneticPr fontId="3" type="noConversion"/>
  </si>
  <si>
    <t>1. 현황조사</t>
    <phoneticPr fontId="3" type="noConversion"/>
  </si>
  <si>
    <t>1.1. 자료검토 및 현장조사</t>
    <phoneticPr fontId="3" type="noConversion"/>
  </si>
  <si>
    <t>2. 입체적 도시공간 계획수립</t>
    <phoneticPr fontId="3" type="noConversion"/>
  </si>
  <si>
    <t>2.1. 입체적 실현전략 수립</t>
    <phoneticPr fontId="3" type="noConversion"/>
  </si>
  <si>
    <t>2.3. 입체적 건축 구상</t>
    <phoneticPr fontId="3" type="noConversion"/>
  </si>
  <si>
    <t>2.2. 입체적 토지이용계획 수립</t>
    <phoneticPr fontId="3" type="noConversion"/>
  </si>
  <si>
    <t>2.4. 입체적 특화구역 선정 및 기본방향 설정</t>
    <phoneticPr fontId="3" type="noConversion"/>
  </si>
  <si>
    <t>3.1. 성과품 작성</t>
    <phoneticPr fontId="3" type="noConversion"/>
  </si>
  <si>
    <t>4.1. 공청회/주민설명회</t>
    <phoneticPr fontId="3" type="noConversion"/>
  </si>
  <si>
    <t>4.2. 주민간담회/시민계획단</t>
    <phoneticPr fontId="3" type="noConversion"/>
  </si>
  <si>
    <t>4.3. 위원회심의 지원</t>
    <phoneticPr fontId="3" type="noConversion"/>
  </si>
  <si>
    <t>4.4. 관계기관 협의</t>
    <phoneticPr fontId="3" type="noConversion"/>
  </si>
  <si>
    <t>②</t>
    <phoneticPr fontId="14" type="noConversion"/>
  </si>
  <si>
    <t>1) '2.4 입체적 특화구역 선정 및 기본방향 설정'의 적용 면적은 계획면적이며, 특화구역 면적은 계획면적의 10%에</t>
    <phoneticPr fontId="14" type="noConversion"/>
  </si>
  <si>
    <t xml:space="preserve">    해당된다고 가정한다. 다만, 특화구역 면적이 결정된 경우 발주자와 협의하여 적용 면적을 조정할 수 있다.</t>
    <phoneticPr fontId="14" type="noConversion"/>
  </si>
  <si>
    <t>1. 조사 및 분석</t>
    <phoneticPr fontId="3" type="noConversion"/>
  </si>
  <si>
    <t>1.1. 지역자산조사</t>
    <phoneticPr fontId="3" type="noConversion"/>
  </si>
  <si>
    <t>1.2. 관련계획 및 사업</t>
    <phoneticPr fontId="3" type="noConversion"/>
  </si>
  <si>
    <t>1.3. 문제점 및 잠재력</t>
    <phoneticPr fontId="3" type="noConversion"/>
  </si>
  <si>
    <t>2. 기본구상</t>
    <phoneticPr fontId="3" type="noConversion"/>
  </si>
  <si>
    <t>2.1. 정비목표 및 구현전략의 설정</t>
    <phoneticPr fontId="3" type="noConversion"/>
  </si>
  <si>
    <t>2.2. 기본방향 및 지표설정</t>
    <phoneticPr fontId="3" type="noConversion"/>
  </si>
  <si>
    <t>3.1. 마스터플랜 수립</t>
    <phoneticPr fontId="3" type="noConversion"/>
  </si>
  <si>
    <t>3.2. 사업추진계획</t>
    <phoneticPr fontId="3" type="noConversion"/>
  </si>
  <si>
    <t>3.3. 단계별 시행계획</t>
    <phoneticPr fontId="3" type="noConversion"/>
  </si>
  <si>
    <t>4.1. 주민의견 수렴</t>
    <phoneticPr fontId="3" type="noConversion"/>
  </si>
  <si>
    <t>4.2. 주민역량 강화</t>
    <phoneticPr fontId="3" type="noConversion"/>
  </si>
  <si>
    <t>4.3. 주민공동체 조직구성</t>
    <phoneticPr fontId="3" type="noConversion"/>
  </si>
  <si>
    <t>4.4. 마을공동체 프로그램 운영계획</t>
    <phoneticPr fontId="3" type="noConversion"/>
  </si>
  <si>
    <t>4.5. 사회경제적 재생방안</t>
    <phoneticPr fontId="3" type="noConversion"/>
  </si>
  <si>
    <t>5.1. 보고서작성 및 편집</t>
    <phoneticPr fontId="3" type="noConversion"/>
  </si>
  <si>
    <t>5.2. 관련도서작성</t>
    <phoneticPr fontId="3" type="noConversion"/>
  </si>
  <si>
    <t>6.1. 공청회/주민설명회</t>
    <phoneticPr fontId="3" type="noConversion"/>
  </si>
  <si>
    <t>6.2. 주민간담회/시민계획단</t>
    <phoneticPr fontId="3" type="noConversion"/>
  </si>
  <si>
    <t>6.3. 위원회심의 지원</t>
    <phoneticPr fontId="3" type="noConversion"/>
  </si>
  <si>
    <t>6.4. 관계기관 협의</t>
    <phoneticPr fontId="3" type="noConversion"/>
  </si>
  <si>
    <t>2) 기술협의는 2회 기준이며, 횟수 증가에 따라 비용을 가산한다.</t>
    <phoneticPr fontId="3" type="noConversion"/>
  </si>
  <si>
    <t>1) '1. 조사 및 분석'은 발주자가 기초자료를 제공할 경우의 기준이며 전수조사 등 추가조사는 별도 계상한다.</t>
    <phoneticPr fontId="14" type="noConversion"/>
  </si>
  <si>
    <t>3) 각종영향성검토 및 각종영향평가업무 등은 별도 계상한다.</t>
    <phoneticPr fontId="3" type="noConversion"/>
  </si>
  <si>
    <t>4) 농·산·어촌계획은 본 품셈을 준용할 수 있다.</t>
    <phoneticPr fontId="14" type="noConversion"/>
  </si>
  <si>
    <t xml:space="preserve">  계획면적은 마을만들기 지정면적 적용</t>
    <phoneticPr fontId="14" type="noConversion"/>
  </si>
  <si>
    <t>①계획면적(A) :</t>
    <phoneticPr fontId="3" type="noConversion"/>
  </si>
  <si>
    <t>주1 : 계획면적이 1만㎡ 미만인 경우 계획면적 1만㎡를 기준으로 산정</t>
    <phoneticPr fontId="3" type="noConversion"/>
  </si>
  <si>
    <t>주1 : 계획면적이 1만㎡ 미만인 경우에는 계획면적 1만㎡를 기준으로 산정</t>
    <phoneticPr fontId="3" type="noConversion"/>
  </si>
  <si>
    <t xml:space="preserve">    기준면적은 개발사업 구역(지구)지정면적 또는 과업면적을 적용</t>
    <phoneticPr fontId="14" type="noConversion"/>
  </si>
  <si>
    <t>별도계상</t>
    <phoneticPr fontId="14" type="noConversion"/>
  </si>
  <si>
    <t>①</t>
    <phoneticPr fontId="14" type="noConversion"/>
  </si>
  <si>
    <t>별도계상</t>
    <phoneticPr fontId="14" type="noConversion"/>
  </si>
  <si>
    <t>1.1. 관련법규 및 계획 검토</t>
    <phoneticPr fontId="14" type="noConversion"/>
  </si>
  <si>
    <t>1.2. 주변지역과의 상관성 검토</t>
    <phoneticPr fontId="14" type="noConversion"/>
  </si>
  <si>
    <t>2. 개발사업 구역(지구) 지정(변경) 도서작성</t>
    <phoneticPr fontId="14" type="noConversion"/>
  </si>
  <si>
    <t>2.1. 개발사업 구역(지구) 결정(변경)조서</t>
    <phoneticPr fontId="14" type="noConversion"/>
  </si>
  <si>
    <t>2.2. 개발사업 구역(지구) 조사서</t>
    <phoneticPr fontId="14" type="noConversion"/>
  </si>
  <si>
    <t>2.3. 각종 영향 검토서 정리</t>
    <phoneticPr fontId="14" type="noConversion"/>
  </si>
  <si>
    <t>2.4. 공고에 따른 의견내용 및 조치결과 작성</t>
    <phoneticPr fontId="14" type="noConversion"/>
  </si>
  <si>
    <t>2.5. 도시군관리계획(변경)결정도 및 지형도면 고시도 작성</t>
    <phoneticPr fontId="14" type="noConversion"/>
  </si>
  <si>
    <t>2.6. 지적도 및 토지조서, 권리조서 등 작성</t>
    <phoneticPr fontId="14" type="noConversion"/>
  </si>
  <si>
    <t>2.7. 농지관련 서류작성</t>
    <phoneticPr fontId="14" type="noConversion"/>
  </si>
  <si>
    <t>2.8. 산지, 초지관련 서류작성</t>
    <phoneticPr fontId="14" type="noConversion"/>
  </si>
  <si>
    <t>3. 개발컨셉구상</t>
    <phoneticPr fontId="14" type="noConversion"/>
  </si>
  <si>
    <t>3.1. 개발컨셉구상</t>
    <phoneticPr fontId="14" type="noConversion"/>
  </si>
  <si>
    <t>3.2. 자문회의 지원</t>
    <phoneticPr fontId="14" type="noConversion"/>
  </si>
  <si>
    <t>4. 성과품작성</t>
    <phoneticPr fontId="14" type="noConversion"/>
  </si>
  <si>
    <t>4.1. 보고서 작성 및 편집</t>
    <phoneticPr fontId="14" type="noConversion"/>
  </si>
  <si>
    <t>4.2. 관련법령에 따른 인허가 도서작성</t>
    <phoneticPr fontId="14" type="noConversion"/>
  </si>
  <si>
    <t>5. 기술협의</t>
    <phoneticPr fontId="14" type="noConversion"/>
  </si>
  <si>
    <t>5.1. 공청회/주민설명회</t>
    <phoneticPr fontId="14" type="noConversion"/>
  </si>
  <si>
    <t>5.2. 주민간담회/시민계획단</t>
    <phoneticPr fontId="14" type="noConversion"/>
  </si>
  <si>
    <t>5.3. 위원회심의 지원</t>
    <phoneticPr fontId="14" type="noConversion"/>
  </si>
  <si>
    <t>5.4. 관계기관 협의</t>
    <phoneticPr fontId="14" type="noConversion"/>
  </si>
  <si>
    <t>②</t>
    <phoneticPr fontId="14" type="noConversion"/>
  </si>
  <si>
    <t>③</t>
  </si>
  <si>
    <t>③</t>
    <phoneticPr fontId="14" type="noConversion"/>
  </si>
  <si>
    <t>①계획면적(A) :</t>
    <phoneticPr fontId="3" type="noConversion"/>
  </si>
  <si>
    <t>③ 협의횟수 :</t>
    <phoneticPr fontId="3" type="noConversion"/>
  </si>
  <si>
    <t>② 자문횟수 :</t>
    <phoneticPr fontId="3" type="noConversion"/>
  </si>
  <si>
    <t>주3 : 2회 기준이며, 횟수증가에 따라 비용 가산</t>
    <phoneticPr fontId="3" type="noConversion"/>
  </si>
  <si>
    <t>주2 : 1회 기준이며, 횟수증가에 따라 비용 가산</t>
    <phoneticPr fontId="14" type="noConversion"/>
  </si>
  <si>
    <t>주</t>
    <phoneticPr fontId="3" type="noConversion"/>
  </si>
  <si>
    <t>1) '3.2 자문회의 지원'은 1회 기준이며, 횟수 증가에 따라 비용을 가산한다.</t>
    <phoneticPr fontId="14" type="noConversion"/>
  </si>
  <si>
    <t>2) 기술협의는 2회 기준이며, 횟수 증가에 따라 비용을 가산한다.</t>
    <phoneticPr fontId="3" type="noConversion"/>
  </si>
  <si>
    <t>4) 측량 및 토질조사 및 시험, 농지(산지,초지)전용협의, 토지적성평가, 사업인정의제 등은 별도 계상한다.</t>
    <phoneticPr fontId="14" type="noConversion"/>
  </si>
  <si>
    <t>1. 개발계획</t>
    <phoneticPr fontId="14" type="noConversion"/>
  </si>
  <si>
    <t>1.1. 현황조사 및 분석</t>
    <phoneticPr fontId="14" type="noConversion"/>
  </si>
  <si>
    <t>1.2. 개발정비조건 및 계획내용 설정</t>
    <phoneticPr fontId="14" type="noConversion"/>
  </si>
  <si>
    <t>주1 : 계획면적이 3만㎡ 미만인 경우 계획면적 3만㎡를 기준으로 산정</t>
    <phoneticPr fontId="3" type="noConversion"/>
  </si>
  <si>
    <t>1.3. 구상안 작성</t>
    <phoneticPr fontId="14" type="noConversion"/>
  </si>
  <si>
    <t>1.4. 인구수용 및 생활권계획</t>
    <phoneticPr fontId="14" type="noConversion"/>
  </si>
  <si>
    <t>1.5. 주택계획</t>
    <phoneticPr fontId="14" type="noConversion"/>
  </si>
  <si>
    <t>1.6. 공공시설계획</t>
    <phoneticPr fontId="14" type="noConversion"/>
  </si>
  <si>
    <t>1.7. 토지이용계획</t>
    <phoneticPr fontId="14" type="noConversion"/>
  </si>
  <si>
    <t>1.8. 교통계획</t>
    <phoneticPr fontId="14" type="noConversion"/>
  </si>
  <si>
    <t>1.9. 공급처리시설계획</t>
    <phoneticPr fontId="14" type="noConversion"/>
  </si>
  <si>
    <t>1.10. 에너지 공급계획</t>
    <phoneticPr fontId="14" type="noConversion"/>
  </si>
  <si>
    <t>1.11. 공원녹지계획</t>
    <phoneticPr fontId="14" type="noConversion"/>
  </si>
  <si>
    <t>1.12. 친환경계획</t>
    <phoneticPr fontId="14" type="noConversion"/>
  </si>
  <si>
    <t>1.13. 택지공급계획</t>
    <phoneticPr fontId="14" type="noConversion"/>
  </si>
  <si>
    <t>1.14. 재원조달 및 자금투자계획</t>
    <phoneticPr fontId="14" type="noConversion"/>
  </si>
  <si>
    <t>1.15. 운영관리계획</t>
    <phoneticPr fontId="14" type="noConversion"/>
  </si>
  <si>
    <t>1.16. 개발계획 승인도서 작성</t>
    <phoneticPr fontId="14" type="noConversion"/>
  </si>
  <si>
    <t>2. 실시계획</t>
    <phoneticPr fontId="14" type="noConversion"/>
  </si>
  <si>
    <t>별도계상</t>
    <phoneticPr fontId="14" type="noConversion"/>
  </si>
  <si>
    <t>3. 성과품작성</t>
    <phoneticPr fontId="14" type="noConversion"/>
  </si>
  <si>
    <t>3.1 보고서작성 및 편집</t>
    <phoneticPr fontId="14" type="noConversion"/>
  </si>
  <si>
    <t>3.2. 관련도서 작성</t>
    <phoneticPr fontId="14" type="noConversion"/>
  </si>
  <si>
    <t>4. 기술협의</t>
    <phoneticPr fontId="14" type="noConversion"/>
  </si>
  <si>
    <t>4.1. 공청회/주민설명회</t>
    <phoneticPr fontId="14" type="noConversion"/>
  </si>
  <si>
    <t>4.2. 주민간담회/시민계획단</t>
    <phoneticPr fontId="14" type="noConversion"/>
  </si>
  <si>
    <t>4.3. 위원회심의 지원</t>
    <phoneticPr fontId="14" type="noConversion"/>
  </si>
  <si>
    <t>4.4. 관계기관 협의</t>
    <phoneticPr fontId="14" type="noConversion"/>
  </si>
  <si>
    <t>①</t>
    <phoneticPr fontId="14" type="noConversion"/>
  </si>
  <si>
    <t>②</t>
    <phoneticPr fontId="14" type="noConversion"/>
  </si>
  <si>
    <t>1) '1.1 현황조사 및 분석'은 발주자가 기초자료 제공 기준이며 전수조사 등 추가조사는 별도 계상한다.</t>
    <phoneticPr fontId="3" type="noConversion"/>
  </si>
  <si>
    <t>2) 기술협의는 2회 기준이며, 회수 증가에 따라 비용을 가산한다.</t>
    <phoneticPr fontId="3" type="noConversion"/>
  </si>
  <si>
    <t>3) 각종영향성검토 및 각종영향평가업무 등은 별도 계상한다.</t>
    <phoneticPr fontId="3" type="noConversion"/>
  </si>
  <si>
    <t>4) 이주대책계획, 타당성조사, 조사측량, 수요조사, 토질조사 및 시험, 기본 및 실시설계, 건축계획(설계), 농지(산지, 초지)전용 협의,</t>
    <phoneticPr fontId="3" type="noConversion"/>
  </si>
  <si>
    <t xml:space="preserve">  국공유지 무상귀속, 사업인정의제 등은 별도 계상한다.</t>
    <phoneticPr fontId="14" type="noConversion"/>
  </si>
  <si>
    <t>5) 실시계획은 '12-6 개발사업 실시계획인가'를 적용한다.</t>
    <phoneticPr fontId="14" type="noConversion"/>
  </si>
  <si>
    <t>6) 개발계획과 실시계획이 동시에 추진되는 사업은 개발계획과 실시계획의 업무를 모두 적용하여야 한다.</t>
    <phoneticPr fontId="14" type="noConversion"/>
  </si>
  <si>
    <t>7) 캠퍼스계획은 본 품을 준용할 수 있다.</t>
    <phoneticPr fontId="14" type="noConversion"/>
  </si>
  <si>
    <t>8) 보상물건 조사업무를 포함할 경우 환지방식개발계획의 '보상계획(유형보상)을 준용할 수 있다.</t>
    <phoneticPr fontId="14" type="noConversion"/>
  </si>
  <si>
    <t>별도계상</t>
    <phoneticPr fontId="14" type="noConversion"/>
  </si>
  <si>
    <t>1. 개발계획</t>
    <phoneticPr fontId="14" type="noConversion"/>
  </si>
  <si>
    <t>1.1. 현황조사 및 분석</t>
    <phoneticPr fontId="14" type="noConversion"/>
  </si>
  <si>
    <t>1.2. 개발정비조건 및 계획내용 설정</t>
    <phoneticPr fontId="14" type="noConversion"/>
  </si>
  <si>
    <t>1.3. 유치업종 검토</t>
    <phoneticPr fontId="14" type="noConversion"/>
  </si>
  <si>
    <t>1.4. 유치업종별 원단위 및 규격결정</t>
    <phoneticPr fontId="14" type="noConversion"/>
  </si>
  <si>
    <t>1.5. 인구유발 효과 및 수용계획</t>
    <phoneticPr fontId="14" type="noConversion"/>
  </si>
  <si>
    <t>1.6. 지역경제 파급효과</t>
    <phoneticPr fontId="14" type="noConversion"/>
  </si>
  <si>
    <t>1.7. 구상안 작성</t>
    <phoneticPr fontId="14" type="noConversion"/>
  </si>
  <si>
    <t>1.8. 업종별 배분계획</t>
    <phoneticPr fontId="14" type="noConversion"/>
  </si>
  <si>
    <t>1.9. 토지이용계획</t>
    <phoneticPr fontId="14" type="noConversion"/>
  </si>
  <si>
    <t>1.10. 동선계획</t>
    <phoneticPr fontId="14" type="noConversion"/>
  </si>
  <si>
    <t>1.11. 공급처리시설계획</t>
    <phoneticPr fontId="14" type="noConversion"/>
  </si>
  <si>
    <t>1.12. 공원녹지계획</t>
    <phoneticPr fontId="14" type="noConversion"/>
  </si>
  <si>
    <t>1.13. 환경관리계획</t>
    <phoneticPr fontId="14" type="noConversion"/>
  </si>
  <si>
    <t>1.14. 용지공급계획</t>
    <phoneticPr fontId="14" type="noConversion"/>
  </si>
  <si>
    <t>1.15. 재원조달 및 자금투자계획</t>
    <phoneticPr fontId="14" type="noConversion"/>
  </si>
  <si>
    <t>1.16. 운영관리계획</t>
    <phoneticPr fontId="14" type="noConversion"/>
  </si>
  <si>
    <t>1.17. 개발계획 승인도서 작성</t>
    <phoneticPr fontId="14" type="noConversion"/>
  </si>
  <si>
    <t>3. 성과품작성</t>
    <phoneticPr fontId="14" type="noConversion"/>
  </si>
  <si>
    <t>3.1. 보고서 작성 및 편집</t>
    <phoneticPr fontId="14" type="noConversion"/>
  </si>
  <si>
    <t>3.2. 관련도서 작성</t>
    <phoneticPr fontId="14" type="noConversion"/>
  </si>
  <si>
    <t>4.1. 공청회/주민설명회</t>
    <phoneticPr fontId="14" type="noConversion"/>
  </si>
  <si>
    <t>4.2. 주민간담회/시민계획단</t>
    <phoneticPr fontId="14" type="noConversion"/>
  </si>
  <si>
    <t>①</t>
    <phoneticPr fontId="14" type="noConversion"/>
  </si>
  <si>
    <t>②</t>
    <phoneticPr fontId="14" type="noConversion"/>
  </si>
  <si>
    <t>7) 보상물건 조사업무를 포함할 경우 환지방식개발계획의 '보상계획(유형보상)을 준용할 수 있다.</t>
    <phoneticPr fontId="14" type="noConversion"/>
  </si>
  <si>
    <t>별도계상</t>
    <phoneticPr fontId="14" type="noConversion"/>
  </si>
  <si>
    <t>1. 개발계획</t>
    <phoneticPr fontId="14" type="noConversion"/>
  </si>
  <si>
    <t>1.1. 현황조사 및 분석</t>
    <phoneticPr fontId="14" type="noConversion"/>
  </si>
  <si>
    <t>1.3. 유치시설 검토</t>
    <phoneticPr fontId="14" type="noConversion"/>
  </si>
  <si>
    <t>1.4. 유치업종 원단위 및 규모설정</t>
    <phoneticPr fontId="14" type="noConversion"/>
  </si>
  <si>
    <t>1.5. 구상안 작성</t>
    <phoneticPr fontId="14" type="noConversion"/>
  </si>
  <si>
    <t>1.6. 유통단지망 구성</t>
    <phoneticPr fontId="14" type="noConversion"/>
  </si>
  <si>
    <t>1.7. 토지이용계획</t>
    <phoneticPr fontId="14" type="noConversion"/>
  </si>
  <si>
    <t>1.8. 동선계획</t>
    <phoneticPr fontId="14" type="noConversion"/>
  </si>
  <si>
    <t>1.9. 유치시설배치계획</t>
    <phoneticPr fontId="14" type="noConversion"/>
  </si>
  <si>
    <t>1.10. 건축계획</t>
    <phoneticPr fontId="14" type="noConversion"/>
  </si>
  <si>
    <t>1.11. 공급처리시설계획</t>
    <phoneticPr fontId="14" type="noConversion"/>
  </si>
  <si>
    <t>1.12. 환경관리계획</t>
    <phoneticPr fontId="14" type="noConversion"/>
  </si>
  <si>
    <t>1.13. 운영관리계획</t>
    <phoneticPr fontId="14" type="noConversion"/>
  </si>
  <si>
    <t>1.14. 개발계획 승인도서 작성</t>
    <phoneticPr fontId="14" type="noConversion"/>
  </si>
  <si>
    <t>2. 실시계획</t>
    <phoneticPr fontId="14" type="noConversion"/>
  </si>
  <si>
    <t>3.1. 보고서작성 및 편집</t>
    <phoneticPr fontId="14" type="noConversion"/>
  </si>
  <si>
    <t>4. 기술협의</t>
    <phoneticPr fontId="14" type="noConversion"/>
  </si>
  <si>
    <t>4.2. 주민간담회/시민계획단</t>
    <phoneticPr fontId="14" type="noConversion"/>
  </si>
  <si>
    <t>②</t>
    <phoneticPr fontId="14" type="noConversion"/>
  </si>
  <si>
    <t>기본/자금계획</t>
    <phoneticPr fontId="14" type="noConversion"/>
  </si>
  <si>
    <t>주 : 계획면적 3만㎡ 이하인 경우에는 3만㎡를 기준으로 산정</t>
    <phoneticPr fontId="3" type="noConversion"/>
  </si>
  <si>
    <r>
      <t>보정계수(①) = (A/10)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</si>
  <si>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r>
      <t>보정계수(②) = (0.075×A + 0.25)</t>
    </r>
    <r>
      <rPr>
        <vertAlign val="superscript"/>
        <sz val="11"/>
        <rFont val="굴림체"/>
        <family val="3"/>
        <charset val="129"/>
      </rPr>
      <t xml:space="preserve"> </t>
    </r>
    <r>
      <rPr>
        <sz val="11"/>
        <rFont val="굴림체"/>
        <family val="3"/>
        <charset val="129"/>
      </rPr>
      <t>:</t>
    </r>
    <phoneticPr fontId="3" type="noConversion"/>
  </si>
  <si>
    <t xml:space="preserve">③ 기술협의 횟수 : </t>
    <phoneticPr fontId="3" type="noConversion"/>
  </si>
  <si>
    <t>회</t>
    <phoneticPr fontId="14" type="noConversion"/>
  </si>
  <si>
    <t xml:space="preserve">  계획면적은 사업대상지 면적 적용</t>
    <phoneticPr fontId="14" type="noConversion"/>
  </si>
  <si>
    <t>1. 토지 및 권리조사</t>
    <phoneticPr fontId="14" type="noConversion"/>
  </si>
  <si>
    <t>1.1. 토지 및 권리조사</t>
    <phoneticPr fontId="14" type="noConversion"/>
  </si>
  <si>
    <t>1.2. 도시시설조사</t>
    <phoneticPr fontId="14" type="noConversion"/>
  </si>
  <si>
    <t>2. 사업계획</t>
    <phoneticPr fontId="14" type="noConversion"/>
  </si>
  <si>
    <t>2.2. 자금계획</t>
    <phoneticPr fontId="14" type="noConversion"/>
  </si>
  <si>
    <t>2.1. 기본계획</t>
    <phoneticPr fontId="14" type="noConversion"/>
  </si>
  <si>
    <t>2.3. 사업계획서</t>
    <phoneticPr fontId="14" type="noConversion"/>
  </si>
  <si>
    <t>3. 보상계획</t>
    <phoneticPr fontId="14" type="noConversion"/>
  </si>
  <si>
    <t>3.1. 유형보상</t>
    <phoneticPr fontId="14" type="noConversion"/>
  </si>
  <si>
    <t>4. 환지계획</t>
    <phoneticPr fontId="14" type="noConversion"/>
  </si>
  <si>
    <t>4.1. 환지설계준비</t>
    <phoneticPr fontId="14" type="noConversion"/>
  </si>
  <si>
    <t>4.2. 토지평가</t>
    <phoneticPr fontId="14" type="noConversion"/>
  </si>
  <si>
    <t>4.3. 환지계산</t>
    <phoneticPr fontId="14" type="noConversion"/>
  </si>
  <si>
    <t>4.3.1. 비례평가식</t>
    <phoneticPr fontId="14" type="noConversion"/>
  </si>
  <si>
    <t>4.3.3. 면적식</t>
    <phoneticPr fontId="14" type="noConversion"/>
  </si>
  <si>
    <t>4.3.3. 면적식</t>
    <phoneticPr fontId="14" type="noConversion"/>
  </si>
  <si>
    <t>4.3.2. 절충식</t>
    <phoneticPr fontId="14" type="noConversion"/>
  </si>
  <si>
    <t>4.4. 환지할당</t>
    <phoneticPr fontId="14" type="noConversion"/>
  </si>
  <si>
    <t>4.5. 환지계산서</t>
    <phoneticPr fontId="14" type="noConversion"/>
  </si>
  <si>
    <t>5. 환지처분</t>
    <phoneticPr fontId="14" type="noConversion"/>
  </si>
  <si>
    <t>5.1. 환지처분서</t>
    <phoneticPr fontId="14" type="noConversion"/>
  </si>
  <si>
    <t>5.2. 감가보상</t>
    <phoneticPr fontId="14" type="noConversion"/>
  </si>
  <si>
    <t>6. 등기</t>
    <phoneticPr fontId="14" type="noConversion"/>
  </si>
  <si>
    <t>6.1. 토지등기</t>
    <phoneticPr fontId="14" type="noConversion"/>
  </si>
  <si>
    <t>6.2. 건물등기</t>
    <phoneticPr fontId="14" type="noConversion"/>
  </si>
  <si>
    <t>7. 성과품 작성</t>
    <phoneticPr fontId="14" type="noConversion"/>
  </si>
  <si>
    <t>7.1. 보고서작성 및 편집</t>
    <phoneticPr fontId="14" type="noConversion"/>
  </si>
  <si>
    <t>7.2. 관련도서 작성</t>
    <phoneticPr fontId="14" type="noConversion"/>
  </si>
  <si>
    <t>8. 기술협의</t>
    <phoneticPr fontId="14" type="noConversion"/>
  </si>
  <si>
    <t>8.1. 공청회/주민설명회</t>
    <phoneticPr fontId="14" type="noConversion"/>
  </si>
  <si>
    <t>8.2. 주민간담회/시민계획단</t>
    <phoneticPr fontId="14" type="noConversion"/>
  </si>
  <si>
    <t>8.3. 위원회 심의 지원</t>
    <phoneticPr fontId="14" type="noConversion"/>
  </si>
  <si>
    <t>8.4. 관계기관 협의</t>
    <phoneticPr fontId="14" type="noConversion"/>
  </si>
  <si>
    <t>②</t>
    <phoneticPr fontId="14" type="noConversion"/>
  </si>
  <si>
    <t>②</t>
    <phoneticPr fontId="14" type="noConversion"/>
  </si>
  <si>
    <t>①</t>
    <phoneticPr fontId="14" type="noConversion"/>
  </si>
  <si>
    <t>①</t>
    <phoneticPr fontId="14" type="noConversion"/>
  </si>
  <si>
    <t>②, ⓐ</t>
    <phoneticPr fontId="14" type="noConversion"/>
  </si>
  <si>
    <t>②, ⓑ</t>
  </si>
  <si>
    <t>②, ⓑ</t>
    <phoneticPr fontId="14" type="noConversion"/>
  </si>
  <si>
    <t>②</t>
    <phoneticPr fontId="14" type="noConversion"/>
  </si>
  <si>
    <t>③</t>
    <phoneticPr fontId="14" type="noConversion"/>
  </si>
  <si>
    <r>
      <t>등기수보정계수(ⓐ</t>
    </r>
    <r>
      <rPr>
        <sz val="11"/>
        <rFont val="굴림체"/>
        <family val="3"/>
        <charset val="129"/>
      </rPr>
      <t>) = 0.82+0.003K(10/A)</t>
    </r>
    <r>
      <rPr>
        <vertAlign val="superscript"/>
        <sz val="11"/>
        <rFont val="굴림체"/>
        <family val="3"/>
        <charset val="129"/>
      </rPr>
      <t xml:space="preserve"> </t>
    </r>
    <r>
      <rPr>
        <sz val="11"/>
        <rFont val="굴림체"/>
        <family val="3"/>
        <charset val="129"/>
      </rPr>
      <t>:</t>
    </r>
    <phoneticPr fontId="3" type="noConversion"/>
  </si>
  <si>
    <r>
      <t>획지수보정계수(ⓑ</t>
    </r>
    <r>
      <rPr>
        <sz val="11"/>
        <rFont val="굴림체"/>
        <family val="3"/>
        <charset val="129"/>
      </rPr>
      <t>) = 0.58+0.0014H(10/A):</t>
    </r>
    <phoneticPr fontId="3" type="noConversion"/>
  </si>
  <si>
    <t xml:space="preserve">주 </t>
    <phoneticPr fontId="14" type="noConversion"/>
  </si>
  <si>
    <t>1) 기술협의는 2회 기준이며, 횟수 증가에 따라 비용을 가산한다.</t>
    <phoneticPr fontId="14" type="noConversion"/>
  </si>
  <si>
    <t>2) 각종 영향성검토 및 각종영향평가업무 등은 별도 계상한다.</t>
    <phoneticPr fontId="14" type="noConversion"/>
  </si>
  <si>
    <t>3) 환지방식사업의 현황조사측량, 계획측량, 공사측량, 열람수수료 및 감정료, 토질조사 및 시험, 기본 및 실시설계 등은 별도 계상한다.</t>
    <phoneticPr fontId="14" type="noConversion"/>
  </si>
  <si>
    <t>주 : 계획인구가 10만인 미만인 경우 계획인구 10만인을 기준으로 산정</t>
    <phoneticPr fontId="3" type="noConversion"/>
  </si>
  <si>
    <t>보정계수 :</t>
    <phoneticPr fontId="3" type="noConversion"/>
  </si>
  <si>
    <t>1.1. 도시현황</t>
    <phoneticPr fontId="3" type="noConversion"/>
  </si>
  <si>
    <t>1.2. 지역자산</t>
    <phoneticPr fontId="3" type="noConversion"/>
  </si>
  <si>
    <t>1.3. 기초생활인프라 현황</t>
    <phoneticPr fontId="3" type="noConversion"/>
  </si>
  <si>
    <t>1.4. 주거수준</t>
    <phoneticPr fontId="3" type="noConversion"/>
  </si>
  <si>
    <t>1.5. 기타 필요한 사항</t>
    <phoneticPr fontId="3" type="noConversion"/>
  </si>
  <si>
    <t>2.1. 계획의 목표 및 범위·방안</t>
    <phoneticPr fontId="3" type="noConversion"/>
  </si>
  <si>
    <t>2.2. 쇠퇴진단 및 여건 분석</t>
    <phoneticPr fontId="3" type="noConversion"/>
  </si>
  <si>
    <t>2.3. 활성화지역의 지정·변경</t>
    <phoneticPr fontId="3" type="noConversion"/>
  </si>
  <si>
    <t>2.4. 우선순위 및 지역간 연계방안</t>
    <phoneticPr fontId="3" type="noConversion"/>
  </si>
  <si>
    <t>2.5. 실행 주체 구성 방안</t>
    <phoneticPr fontId="3" type="noConversion"/>
  </si>
  <si>
    <t>2.6. 재원 조달 계획</t>
    <phoneticPr fontId="3" type="noConversion"/>
  </si>
  <si>
    <t>2.7. 지원제도 발굴</t>
    <phoneticPr fontId="3" type="noConversion"/>
  </si>
  <si>
    <t>2.8. 기반시설의 설치·정비·개량계획</t>
    <phoneticPr fontId="3" type="noConversion"/>
  </si>
  <si>
    <t>2.9. 기초생활인프라 계획</t>
    <phoneticPr fontId="3" type="noConversion"/>
  </si>
  <si>
    <t>2.10. 성과관리 방법 및 기준</t>
    <phoneticPr fontId="3" type="noConversion"/>
  </si>
  <si>
    <t>3. 성과품작성</t>
    <phoneticPr fontId="3" type="noConversion"/>
  </si>
  <si>
    <t>3.1. 보고서작성 및 편집</t>
    <phoneticPr fontId="3" type="noConversion"/>
  </si>
  <si>
    <t>3.2. 관련도서작성</t>
    <phoneticPr fontId="3" type="noConversion"/>
  </si>
  <si>
    <t>4.2. 주민간담회/시민계획단</t>
    <phoneticPr fontId="3" type="noConversion"/>
  </si>
  <si>
    <t>4.4. 관계기관 협의</t>
    <phoneticPr fontId="3" type="noConversion"/>
  </si>
  <si>
    <t>주</t>
    <phoneticPr fontId="3" type="noConversion"/>
  </si>
  <si>
    <t>1) 기술협의는 2회 기준이며, 횟수 증가에 따라 비용을 가산한다.</t>
    <phoneticPr fontId="14" type="noConversion"/>
  </si>
  <si>
    <t>2) 각종영향성검토 및 각종영향평가업무 등은 별도 계상한다.</t>
    <phoneticPr fontId="3" type="noConversion"/>
  </si>
  <si>
    <t>3) '1.기초조사 및 분석'은 도시군기본계획수립지침을 참고로 해당 도시의 필요에 따라 조사항목을 조절할 수 있으며</t>
    <phoneticPr fontId="14" type="noConversion"/>
  </si>
  <si>
    <t xml:space="preserve">   이경우 '12-3 도시계획 기초조사'를 준용하여 계상한다.</t>
    <phoneticPr fontId="14" type="noConversion"/>
  </si>
  <si>
    <t>4) 도시재생전략계획의 계획인구는 계획기준년도의 당해 시·군인구수(행정안전부 자치단체별 인구수)를 원칙으로 한다.</t>
    <phoneticPr fontId="14" type="noConversion"/>
  </si>
  <si>
    <t>보정계수(ⓐ)=재생계획 유형 :</t>
    <phoneticPr fontId="3" type="noConversion"/>
  </si>
  <si>
    <t>근린재생형 활성화 계획(근린재생활성화 지원사업, 주거환경개선사업, 공동체활성화 사업)</t>
    <phoneticPr fontId="14" type="noConversion"/>
  </si>
  <si>
    <t>근린재생형 활성화 계획(국비지원 확보를 위한 공모계획 수립 및 지원)</t>
    <phoneticPr fontId="14" type="noConversion"/>
  </si>
  <si>
    <t>도시경제기반형 활성화계획(도시경제활성화 지원사업, 도시환경개선사업, 공동체 활성화 사업)</t>
    <phoneticPr fontId="14" type="noConversion"/>
  </si>
  <si>
    <t>도시경제기반형 활성화계획(핵심시설사업, 국비지원 확보를 위한 공모계획 수립 및 지원)</t>
    <phoneticPr fontId="14" type="noConversion"/>
  </si>
  <si>
    <t>1.1. 상위계획 및 관련계획</t>
    <phoneticPr fontId="3" type="noConversion"/>
  </si>
  <si>
    <t>1) 기술협의는 2회 기준이며, 횟수 증가에 따라 비용을 가산한다.</t>
    <phoneticPr fontId="14" type="noConversion"/>
  </si>
  <si>
    <t>2) 각종영향성검토 및 각종영향평가업무 등은 별도 계상한다.</t>
    <phoneticPr fontId="3" type="noConversion"/>
  </si>
  <si>
    <t>3) 현황측량 비용을 별도 계상한다.</t>
    <phoneticPr fontId="14" type="noConversion"/>
  </si>
  <si>
    <t>4) 도시재생활성화계획의 계획면적은 과정별 업무성격에 따라 과업지구면적을 기준으로 산정한다.</t>
    <phoneticPr fontId="14" type="noConversion"/>
  </si>
  <si>
    <t>기준면적:</t>
    <phoneticPr fontId="3" type="noConversion"/>
  </si>
  <si>
    <t>①계획면적(A) :</t>
    <phoneticPr fontId="3" type="noConversion"/>
  </si>
  <si>
    <t>주 : 최소계획면적은 주거지형 15만㎡, 중심지형·고밀복합형 10만㎡에 준함</t>
    <phoneticPr fontId="3" type="noConversion"/>
  </si>
  <si>
    <t>1.1. 도시현황조사</t>
    <phoneticPr fontId="3" type="noConversion"/>
  </si>
  <si>
    <t>1.2. 관련계획조사</t>
    <phoneticPr fontId="3" type="noConversion"/>
  </si>
  <si>
    <t>1.3. 교통관계조사</t>
    <phoneticPr fontId="3" type="noConversion"/>
  </si>
  <si>
    <t>1.4. 시설관계조사</t>
    <phoneticPr fontId="3" type="noConversion"/>
  </si>
  <si>
    <t>1.5. 공급처리시설 관계조사</t>
    <phoneticPr fontId="3" type="noConversion"/>
  </si>
  <si>
    <t>2.1. 지구의 개요 및 목적</t>
    <phoneticPr fontId="3" type="noConversion"/>
  </si>
  <si>
    <t>2.2. 지구의 지정요건 분석</t>
    <phoneticPr fontId="3" type="noConversion"/>
  </si>
  <si>
    <t>2.3. 개발의 기본방향</t>
    <phoneticPr fontId="3" type="noConversion"/>
  </si>
  <si>
    <t>2.4. 추진사업의 현황</t>
    <phoneticPr fontId="3" type="noConversion"/>
  </si>
  <si>
    <t>2.5. 기반시설 설치에 관한 사항</t>
    <phoneticPr fontId="3" type="noConversion"/>
  </si>
  <si>
    <t>2.6. 기타 지구의 지정에 관한 사항</t>
    <phoneticPr fontId="3" type="noConversion"/>
  </si>
  <si>
    <t>3.1. 보고서작성 및 편집</t>
    <phoneticPr fontId="3" type="noConversion"/>
  </si>
  <si>
    <t>3.2. 관련도서작성</t>
    <phoneticPr fontId="3" type="noConversion"/>
  </si>
  <si>
    <t>4.1. 공청회/주민설명회</t>
    <phoneticPr fontId="3" type="noConversion"/>
  </si>
  <si>
    <t>4.2. 주민간담회/시민계획단</t>
    <phoneticPr fontId="3" type="noConversion"/>
  </si>
  <si>
    <t>4.4. 관계기관 협의</t>
    <phoneticPr fontId="3" type="noConversion"/>
  </si>
  <si>
    <t>1) 기술협의는 2회 기준이며, 횟수 증가에 따라 비용을 가산한다.</t>
    <phoneticPr fontId="14" type="noConversion"/>
  </si>
  <si>
    <t>2) 각종영향성검토 및 각종영향평가업무 등은 별도 계상한다.</t>
    <phoneticPr fontId="14" type="noConversion"/>
  </si>
  <si>
    <t>①</t>
    <phoneticPr fontId="14" type="noConversion"/>
  </si>
  <si>
    <t>②</t>
    <phoneticPr fontId="14" type="noConversion"/>
  </si>
  <si>
    <t>1.2. 관련계획조사</t>
    <phoneticPr fontId="3" type="noConversion"/>
  </si>
  <si>
    <t>1.3. 교통관계조사</t>
    <phoneticPr fontId="3" type="noConversion"/>
  </si>
  <si>
    <t>1.4. 시설관계조사</t>
    <phoneticPr fontId="3" type="noConversion"/>
  </si>
  <si>
    <t>1.5 공급처리시설 관계조사</t>
    <phoneticPr fontId="3" type="noConversion"/>
  </si>
  <si>
    <t>2. 기본계획</t>
    <phoneticPr fontId="3" type="noConversion"/>
  </si>
  <si>
    <t>2.1. 기본방향</t>
    <phoneticPr fontId="3" type="noConversion"/>
  </si>
  <si>
    <t>2.2. 정비의 기본방향 및 목표</t>
    <phoneticPr fontId="3" type="noConversion"/>
  </si>
  <si>
    <t>2.3. 토지 이용에 관한 계획</t>
    <phoneticPr fontId="3" type="noConversion"/>
  </si>
  <si>
    <t>2.4. 인구·주택 수용계획</t>
    <phoneticPr fontId="3" type="noConversion"/>
  </si>
  <si>
    <t>2.5. 기반시설 설치계획</t>
    <phoneticPr fontId="3" type="noConversion"/>
  </si>
  <si>
    <t>2.6. 공원·녹지 조성 및 환경보전계획</t>
    <phoneticPr fontId="3" type="noConversion"/>
  </si>
  <si>
    <t>2.7. 교통계획</t>
    <phoneticPr fontId="3" type="noConversion"/>
  </si>
  <si>
    <t>2.8. 경관계획</t>
    <phoneticPr fontId="3" type="noConversion"/>
  </si>
  <si>
    <t>2.9. 촉진구역 지정에 관한 사항</t>
    <phoneticPr fontId="3" type="noConversion"/>
  </si>
  <si>
    <t>2.10. 재정비촉진사업별 건축계획</t>
    <phoneticPr fontId="3" type="noConversion"/>
  </si>
  <si>
    <t>2.11. 기반시설의 비용분담계획</t>
    <phoneticPr fontId="3" type="noConversion"/>
  </si>
  <si>
    <t>2.12. 세입자 등의 주거대책</t>
    <phoneticPr fontId="3" type="noConversion"/>
  </si>
  <si>
    <t>2.13. 범죄예방대책</t>
    <phoneticPr fontId="3" type="noConversion"/>
  </si>
  <si>
    <t>2.14. 단계적 사업 추진에 관한 사항</t>
    <phoneticPr fontId="3" type="noConversion"/>
  </si>
  <si>
    <t>2.15. 상가의 분포 및 수용계획</t>
    <phoneticPr fontId="3" type="noConversion"/>
  </si>
  <si>
    <t>2.16. 계획의 수립기준에 관한 사항</t>
    <phoneticPr fontId="3" type="noConversion"/>
  </si>
  <si>
    <t>4.2. 주민간담회/시민계획단</t>
    <phoneticPr fontId="3" type="noConversion"/>
  </si>
  <si>
    <t>4.4. 관계기관 협의</t>
    <phoneticPr fontId="3" type="noConversion"/>
  </si>
  <si>
    <t>①, ⓐ</t>
  </si>
  <si>
    <t>①, ⓐ</t>
    <phoneticPr fontId="14" type="noConversion"/>
  </si>
  <si>
    <t>②</t>
    <phoneticPr fontId="14" type="noConversion"/>
  </si>
  <si>
    <r>
      <t>보정계수 = (A/50)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</si>
  <si>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보정계수(ⓐ) (촉진계획 유형) :</t>
    <phoneticPr fontId="3" type="noConversion"/>
  </si>
  <si>
    <t>주거지형</t>
    <phoneticPr fontId="14" type="noConversion"/>
  </si>
  <si>
    <t>중심지형</t>
    <phoneticPr fontId="14" type="noConversion"/>
  </si>
  <si>
    <t>고밀복합형</t>
    <phoneticPr fontId="14" type="noConversion"/>
  </si>
  <si>
    <t>①</t>
    <phoneticPr fontId="14" type="noConversion"/>
  </si>
  <si>
    <t>②</t>
    <phoneticPr fontId="14" type="noConversion"/>
  </si>
  <si>
    <r>
      <t>보정계수 = (A/10)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14" type="noConversion"/>
  </si>
  <si>
    <t>①, ⓐ</t>
    <phoneticPr fontId="14" type="noConversion"/>
  </si>
  <si>
    <t>②</t>
    <phoneticPr fontId="14" type="noConversion"/>
  </si>
  <si>
    <t>②</t>
    <phoneticPr fontId="14" type="noConversion"/>
  </si>
  <si>
    <t>주</t>
    <phoneticPr fontId="3" type="noConversion"/>
  </si>
  <si>
    <t>1) '1.현황조사'는 발주자가 기초자료 제공 기준이며 전수조사 등 추가조사는 별도 계상한다.</t>
    <phoneticPr fontId="14" type="noConversion"/>
  </si>
  <si>
    <t>2) 기술협의는 2회 기준이며, 횟수 증가에 따라 비용을 가산한다.</t>
    <phoneticPr fontId="14" type="noConversion"/>
  </si>
  <si>
    <t>4) 경관계획은 별도 계상한다.</t>
    <phoneticPr fontId="14" type="noConversion"/>
  </si>
  <si>
    <t>1.1. 도시현황조사</t>
    <phoneticPr fontId="14" type="noConversion"/>
  </si>
  <si>
    <t>1.2. 관련계획조사</t>
    <phoneticPr fontId="14" type="noConversion"/>
  </si>
  <si>
    <t>1.3. 교통관계조사</t>
    <phoneticPr fontId="14" type="noConversion"/>
  </si>
  <si>
    <t>1.4. 시설관계조사</t>
    <phoneticPr fontId="14" type="noConversion"/>
  </si>
  <si>
    <t>1.5. 공급처리시설 관계조사</t>
    <phoneticPr fontId="14" type="noConversion"/>
  </si>
  <si>
    <t>2.1. 기본원칙</t>
    <phoneticPr fontId="14" type="noConversion"/>
  </si>
  <si>
    <t>2.2. 정비예정구역의 설정</t>
    <phoneticPr fontId="14" type="noConversion"/>
  </si>
  <si>
    <t>2.3. 도심기능의 활성화 및 도심공동화 방지 방안</t>
    <phoneticPr fontId="14" type="noConversion"/>
  </si>
  <si>
    <t>2.4. 주거지관리계획</t>
    <phoneticPr fontId="14" type="noConversion"/>
  </si>
  <si>
    <t>2.5. 공공과 민간의 역할분담 계획</t>
    <phoneticPr fontId="14" type="noConversion"/>
  </si>
  <si>
    <t>2.6. 재원조달계획</t>
    <phoneticPr fontId="14" type="noConversion"/>
  </si>
  <si>
    <t>2.7. 단계별 추진계획</t>
    <phoneticPr fontId="14" type="noConversion"/>
  </si>
  <si>
    <t>2.8. 사업지구내 거주민 주거안정대책</t>
    <phoneticPr fontId="14" type="noConversion"/>
  </si>
  <si>
    <t>2.9. 정비예정구역의 관리계획</t>
    <phoneticPr fontId="14" type="noConversion"/>
  </si>
  <si>
    <t>2.10. 토지이용계획</t>
    <phoneticPr fontId="14" type="noConversion"/>
  </si>
  <si>
    <t>2.11. 정비기반시설계획 및 공동 이용시설 설치계획</t>
    <phoneticPr fontId="14" type="noConversion"/>
  </si>
  <si>
    <t>2.12. 교통계획</t>
    <phoneticPr fontId="14" type="noConversion"/>
  </si>
  <si>
    <t>2.13. 환경계획</t>
    <phoneticPr fontId="14" type="noConversion"/>
  </si>
  <si>
    <t>2.14. 사회복지 및 주민문화시설 등의 설치계획</t>
    <phoneticPr fontId="14" type="noConversion"/>
  </si>
  <si>
    <t>2.15. 건폐율·용적률 등에 관한 건축물의 밀도계획</t>
    <phoneticPr fontId="14" type="noConversion"/>
  </si>
  <si>
    <t>2.16. 역사적 유물 및 전통건축물 보존 및 활용계획</t>
    <phoneticPr fontId="14" type="noConversion"/>
  </si>
  <si>
    <t>2.17. 도시경관에 관한 계획</t>
    <phoneticPr fontId="14" type="noConversion"/>
  </si>
  <si>
    <t>3.1. 보고서 작성 및 편집</t>
    <phoneticPr fontId="14" type="noConversion"/>
  </si>
  <si>
    <t>3.2. 관련도서 작성</t>
    <phoneticPr fontId="14" type="noConversion"/>
  </si>
  <si>
    <t>4.1. 공청회/주민설명회</t>
    <phoneticPr fontId="14" type="noConversion"/>
  </si>
  <si>
    <t>4.2. 주민간담회/시민계획단</t>
    <phoneticPr fontId="14" type="noConversion"/>
  </si>
  <si>
    <t>4.3. 위원회심의 지원</t>
    <phoneticPr fontId="14" type="noConversion"/>
  </si>
  <si>
    <t>4.4. 관계기관 협의</t>
    <phoneticPr fontId="14" type="noConversion"/>
  </si>
  <si>
    <t>①계획면적(A) :</t>
    <phoneticPr fontId="3" type="noConversion"/>
  </si>
  <si>
    <t>1. 현황조사</t>
    <phoneticPr fontId="14" type="noConversion"/>
  </si>
  <si>
    <t>1.2. 관련계획조사</t>
    <phoneticPr fontId="14" type="noConversion"/>
  </si>
  <si>
    <t>1.4. 시설관계조사</t>
    <phoneticPr fontId="14" type="noConversion"/>
  </si>
  <si>
    <t>1.5. 공급처리시설 관계조사</t>
    <phoneticPr fontId="14" type="noConversion"/>
  </si>
  <si>
    <t>1.6. 주거수준조사</t>
    <phoneticPr fontId="14" type="noConversion"/>
  </si>
  <si>
    <t>2. 생활권설정 및 분석</t>
    <phoneticPr fontId="14" type="noConversion"/>
  </si>
  <si>
    <t>2.1. 현황종합분석</t>
    <phoneticPr fontId="14" type="noConversion"/>
  </si>
  <si>
    <t>2.2. 주거생활권 구분</t>
    <phoneticPr fontId="14" type="noConversion"/>
  </si>
  <si>
    <t>2.3. 주거환경지표 분석</t>
    <phoneticPr fontId="14" type="noConversion"/>
  </si>
  <si>
    <t>3.1. 주거지관리방향</t>
    <phoneticPr fontId="14" type="noConversion"/>
  </si>
  <si>
    <t>3.2. 주거지 관리계획</t>
    <phoneticPr fontId="14" type="noConversion"/>
  </si>
  <si>
    <t>3.3. 생활권종합계획</t>
    <phoneticPr fontId="14" type="noConversion"/>
  </si>
  <si>
    <t>3.4. 부문별 계획(주거환경관리, 생활권기반시설, 생활가로, 특성관리)</t>
    <phoneticPr fontId="14" type="noConversion"/>
  </si>
  <si>
    <t>3.5. 주택수급계획</t>
    <phoneticPr fontId="14" type="noConversion"/>
  </si>
  <si>
    <t>4.1. 보고서 작성 및 편집</t>
    <phoneticPr fontId="3" type="noConversion"/>
  </si>
  <si>
    <t>4.2. 관련도서 작성</t>
    <phoneticPr fontId="3" type="noConversion"/>
  </si>
  <si>
    <t>5.2. 주민간담회/시민계획단</t>
    <phoneticPr fontId="14" type="noConversion"/>
  </si>
  <si>
    <t>5.3. 위원회심의 지원</t>
    <phoneticPr fontId="14" type="noConversion"/>
  </si>
  <si>
    <t>5.4. 관계기관 협의</t>
    <phoneticPr fontId="14" type="noConversion"/>
  </si>
  <si>
    <t>①</t>
    <phoneticPr fontId="14" type="noConversion"/>
  </si>
  <si>
    <t>①</t>
    <phoneticPr fontId="14" type="noConversion"/>
  </si>
  <si>
    <t>주 : 계획면적이 기준면적(10㎢)이하인 경우 10㎢를 기준으로 산정</t>
    <phoneticPr fontId="3" type="noConversion"/>
  </si>
  <si>
    <t>1) 기술협의는 2회 기준이며, 횟수 증가에 따라 비용을 가산한다.</t>
    <phoneticPr fontId="3" type="noConversion"/>
  </si>
  <si>
    <t>1.1. 주민·산업의 현황</t>
    <phoneticPr fontId="3" type="noConversion"/>
  </si>
  <si>
    <t>1.2. 토지·건축물의 이용·소유현황</t>
    <phoneticPr fontId="3" type="noConversion"/>
  </si>
  <si>
    <t>1.3. 정비기반시설의 설치현황</t>
    <phoneticPr fontId="3" type="noConversion"/>
  </si>
  <si>
    <t>1.4. 정비구역·주변지역의 교통상황</t>
    <phoneticPr fontId="3" type="noConversion"/>
  </si>
  <si>
    <t>1.5. 토지·건축물의 가격·임대차 현황</t>
    <phoneticPr fontId="3" type="noConversion"/>
  </si>
  <si>
    <t>1.6. 정비사업에 대한 주민의 의견</t>
    <phoneticPr fontId="3" type="noConversion"/>
  </si>
  <si>
    <t>②</t>
    <phoneticPr fontId="14" type="noConversion"/>
  </si>
  <si>
    <t>2.1. 계획의 수립방향</t>
    <phoneticPr fontId="3" type="noConversion"/>
  </si>
  <si>
    <t>2.2. 정비사업의 시행 계획</t>
    <phoneticPr fontId="3" type="noConversion"/>
  </si>
  <si>
    <t>2.3. 토지이용계획</t>
    <phoneticPr fontId="3" type="noConversion"/>
  </si>
  <si>
    <t>2.4. 정비기반시설의 설치 계획</t>
    <phoneticPr fontId="3" type="noConversion"/>
  </si>
  <si>
    <t>2.5. 공동이용시설 설치계획</t>
    <phoneticPr fontId="3" type="noConversion"/>
  </si>
  <si>
    <t>2.6. 기존 건축물의 정비·개량 계획</t>
    <phoneticPr fontId="3" type="noConversion"/>
  </si>
  <si>
    <t>2.7. 건축물 계획</t>
    <phoneticPr fontId="3" type="noConversion"/>
  </si>
  <si>
    <t>2.8. 교통·동선처리계획</t>
    <phoneticPr fontId="3" type="noConversion"/>
  </si>
  <si>
    <t>2.9. 환경보전·재난방지 계획</t>
    <phoneticPr fontId="3" type="noConversion"/>
  </si>
  <si>
    <t>2.10. 구역 주변의 교육환경 보호 계획</t>
    <phoneticPr fontId="3" type="noConversion"/>
  </si>
  <si>
    <t>2.11. 구역의 분할·결합에 관한 계획</t>
    <phoneticPr fontId="3" type="noConversion"/>
  </si>
  <si>
    <t>2.12. 주택수급에 관한 사항</t>
    <phoneticPr fontId="3" type="noConversion"/>
  </si>
  <si>
    <t>2.13. 세입자 주거대책</t>
    <phoneticPr fontId="3" type="noConversion"/>
  </si>
  <si>
    <t>2.14. 안전·범죄예방 사항</t>
    <phoneticPr fontId="3" type="noConversion"/>
  </si>
  <si>
    <t>3.1. 보고서작성 및 편집</t>
    <phoneticPr fontId="3" type="noConversion"/>
  </si>
  <si>
    <t>①</t>
    <phoneticPr fontId="14" type="noConversion"/>
  </si>
  <si>
    <t>1) 기술협의는 2회 기준이며, 횟수 증가에 따라 비용을 가산한다.</t>
    <phoneticPr fontId="14" type="noConversion"/>
  </si>
  <si>
    <t>2) 환경성검토는 환경영향평가의 내용을 반영하기 위한 작업만을 범위로 한다.</t>
    <phoneticPr fontId="14" type="noConversion"/>
  </si>
  <si>
    <r>
      <t>보정계수(α) = (A/50)</t>
    </r>
    <r>
      <rPr>
        <vertAlign val="superscript"/>
        <sz val="11"/>
        <rFont val="굴림체"/>
        <family val="3"/>
        <charset val="129"/>
      </rPr>
      <t>0.7</t>
    </r>
    <r>
      <rPr>
        <sz val="11"/>
        <rFont val="굴림체"/>
        <family val="3"/>
        <charset val="129"/>
      </rPr>
      <t xml:space="preserve"> :</t>
    </r>
    <phoneticPr fontId="3" type="noConversion"/>
  </si>
  <si>
    <t>주1 : 계획면적이 기준면적(5만㎡)이하인 경우 3만㎡ 기준으로 산정</t>
    <phoneticPr fontId="3" type="noConversion"/>
  </si>
  <si>
    <t>1.1. 도시계획현황 및 지형현황</t>
    <phoneticPr fontId="3" type="noConversion"/>
  </si>
  <si>
    <t>1.2. 토지이용현황</t>
    <phoneticPr fontId="3" type="noConversion"/>
  </si>
  <si>
    <t>1.3. 건축물현황</t>
    <phoneticPr fontId="3" type="noConversion"/>
  </si>
  <si>
    <t>1.4. 인구 및 산업현황</t>
    <phoneticPr fontId="3" type="noConversion"/>
  </si>
  <si>
    <t>1.5. 정비사업에 대한 주민의 의견</t>
    <phoneticPr fontId="3" type="noConversion"/>
  </si>
  <si>
    <t>1.6. 가로시설물 및 조경환경</t>
    <phoneticPr fontId="3" type="noConversion"/>
  </si>
  <si>
    <t>1.7. 자연환경 및 생활환경</t>
    <phoneticPr fontId="3" type="noConversion"/>
  </si>
  <si>
    <t>1.8. 교통관련현황</t>
    <phoneticPr fontId="3" type="noConversion"/>
  </si>
  <si>
    <t>1.9. 도시시설 설치현황</t>
    <phoneticPr fontId="3" type="noConversion"/>
  </si>
  <si>
    <t>2.1. 정비목표 및 구현전략의 설정</t>
    <phoneticPr fontId="3" type="noConversion"/>
  </si>
  <si>
    <t>2.2. 기본방향 및 지표설정</t>
    <phoneticPr fontId="3" type="noConversion"/>
  </si>
  <si>
    <t>3.1. 토지이용계획</t>
    <phoneticPr fontId="3" type="noConversion"/>
  </si>
  <si>
    <t>3.2. 공동이용시설 설치계획</t>
    <phoneticPr fontId="3" type="noConversion"/>
  </si>
  <si>
    <t>3.3. 주민공동체 활성화 방안</t>
    <phoneticPr fontId="3" type="noConversion"/>
  </si>
  <si>
    <t>3.4. 주거환경관리사업 시행계획</t>
    <phoneticPr fontId="3" type="noConversion"/>
  </si>
  <si>
    <t>3.5. 건축물의 정비·개량 및 건축시설계획</t>
    <phoneticPr fontId="3" type="noConversion"/>
  </si>
  <si>
    <t>3.6. 도시경관·환경보전·재난방지 계획</t>
    <phoneticPr fontId="3" type="noConversion"/>
  </si>
  <si>
    <t>3.7. 구역주변의 교육환경 보호계획</t>
    <phoneticPr fontId="3" type="noConversion"/>
  </si>
  <si>
    <t>3.8. 기존수목의 현황 및 활용계획</t>
    <phoneticPr fontId="3" type="noConversion"/>
  </si>
  <si>
    <t>3.9. 안전·범죄예방 사항</t>
    <phoneticPr fontId="3" type="noConversion"/>
  </si>
  <si>
    <t>3.10. 재원조달방안</t>
    <phoneticPr fontId="3" type="noConversion"/>
  </si>
  <si>
    <t>3.11. 환경성검토</t>
    <phoneticPr fontId="3" type="noConversion"/>
  </si>
  <si>
    <t>3.12. 교통성검토</t>
    <phoneticPr fontId="3" type="noConversion"/>
  </si>
  <si>
    <t>4.2. 관련도서작성</t>
    <phoneticPr fontId="3" type="noConversion"/>
  </si>
  <si>
    <t>5.1. 주민워크샵 등</t>
    <phoneticPr fontId="3" type="noConversion"/>
  </si>
  <si>
    <t>6.1. 공청회/주민설명회</t>
    <phoneticPr fontId="3" type="noConversion"/>
  </si>
  <si>
    <t>6.3. 위원회심의 지원</t>
    <phoneticPr fontId="3" type="noConversion"/>
  </si>
  <si>
    <t>6.4. 관계기관 협의</t>
    <phoneticPr fontId="3" type="noConversion"/>
  </si>
  <si>
    <t>①</t>
    <phoneticPr fontId="14" type="noConversion"/>
  </si>
  <si>
    <t>②</t>
    <phoneticPr fontId="14" type="noConversion"/>
  </si>
  <si>
    <t>1.2. 토지·건축물의 이용·소유현황</t>
    <phoneticPr fontId="3" type="noConversion"/>
  </si>
  <si>
    <t>1.3. 정비기반시설의 설치현황</t>
    <phoneticPr fontId="3" type="noConversion"/>
  </si>
  <si>
    <t>1.4. 정비구역·주변지역의 교통상홍</t>
    <phoneticPr fontId="3" type="noConversion"/>
  </si>
  <si>
    <t>1.5. 토지·건축물의 가격·임대차 현황</t>
    <phoneticPr fontId="3" type="noConversion"/>
  </si>
  <si>
    <t>1.6. 개략 사업성 분석</t>
    <phoneticPr fontId="3" type="noConversion"/>
  </si>
  <si>
    <t>1.7. 정비사업에 대한 주민의 의견</t>
    <phoneticPr fontId="3" type="noConversion"/>
  </si>
  <si>
    <t>2.1. 토지이용계획</t>
    <phoneticPr fontId="3" type="noConversion"/>
  </si>
  <si>
    <t>2.2. 기반시설 및 공공용지 분담계획</t>
    <phoneticPr fontId="3" type="noConversion"/>
  </si>
  <si>
    <t>2.3. 교통처리 계획</t>
    <phoneticPr fontId="3" type="noConversion"/>
  </si>
  <si>
    <t>3.1. 상위·주변지역 계획과 정합성 유지방안</t>
    <phoneticPr fontId="3" type="noConversion"/>
  </si>
  <si>
    <t>3.2. 정비기반시설의 조정방안</t>
    <phoneticPr fontId="3" type="noConversion"/>
  </si>
  <si>
    <t>3.3. 기존 건축물의 정비·개량 계획</t>
    <phoneticPr fontId="3" type="noConversion"/>
  </si>
  <si>
    <t>3.4. 환경보전·재난방지 계획</t>
    <phoneticPr fontId="3" type="noConversion"/>
  </si>
  <si>
    <t>3.5. 대책 반영에 따른 소요비용 비교 검토</t>
    <phoneticPr fontId="3" type="noConversion"/>
  </si>
  <si>
    <t>3.6. 공공 지원 대책 검토</t>
    <phoneticPr fontId="3" type="noConversion"/>
  </si>
  <si>
    <t>3.7. 관계법령에 따른 후속 추진사항 검토</t>
    <phoneticPr fontId="3" type="noConversion"/>
  </si>
  <si>
    <t>4.1. 보고서작성 및 편집</t>
    <phoneticPr fontId="3" type="noConversion"/>
  </si>
  <si>
    <t>4.2. 관련도서작성</t>
    <phoneticPr fontId="3" type="noConversion"/>
  </si>
  <si>
    <t>5.1. 공청회/주민설명회</t>
    <phoneticPr fontId="3" type="noConversion"/>
  </si>
  <si>
    <t>5.2. 주민간담회/시민계획단</t>
    <phoneticPr fontId="3" type="noConversion"/>
  </si>
  <si>
    <t xml:space="preserve"> 기술협의는 2회 기준이며, 횟수 증가에 따라 비용을 가산한다.</t>
    <phoneticPr fontId="14" type="noConversion"/>
  </si>
  <si>
    <t>①</t>
    <phoneticPr fontId="14" type="noConversion"/>
  </si>
  <si>
    <t>②</t>
    <phoneticPr fontId="14" type="noConversion"/>
  </si>
  <si>
    <t>■ 소규모주택정비사업(사업계획)</t>
    <phoneticPr fontId="3" type="noConversion"/>
  </si>
  <si>
    <t>1.2. 도시·군관리계획현황</t>
    <phoneticPr fontId="3" type="noConversion"/>
  </si>
  <si>
    <t>1.3. 토지현황</t>
    <phoneticPr fontId="3" type="noConversion"/>
  </si>
  <si>
    <t>1.4. 건축물현황</t>
    <phoneticPr fontId="3" type="noConversion"/>
  </si>
  <si>
    <t>1.5. 공시가격</t>
    <phoneticPr fontId="3" type="noConversion"/>
  </si>
  <si>
    <t>2.1. 주택건설예정 호수·세대수</t>
    <phoneticPr fontId="3" type="noConversion"/>
  </si>
  <si>
    <t>2.2. 시행구역 및 범위·지번·지목 및 등기명의자</t>
    <phoneticPr fontId="3" type="noConversion"/>
  </si>
  <si>
    <t>2.3. 도시·군관리계획의 용도지역</t>
    <phoneticPr fontId="3" type="noConversion"/>
  </si>
  <si>
    <t>2.4. 대지·주변현황 사업계획서</t>
    <phoneticPr fontId="3" type="noConversion"/>
  </si>
  <si>
    <t>2.5. 위치도 및 현황도</t>
    <phoneticPr fontId="3" type="noConversion"/>
  </si>
  <si>
    <t>2.6. 토지·건축물 지적현황도</t>
    <phoneticPr fontId="3" type="noConversion"/>
  </si>
  <si>
    <t>3.2. 관련도서작성</t>
    <phoneticPr fontId="3" type="noConversion"/>
  </si>
  <si>
    <t>4.1. 공청회/주민설명회</t>
    <phoneticPr fontId="3" type="noConversion"/>
  </si>
  <si>
    <t>4.3. 위원회심의 지원</t>
    <phoneticPr fontId="3" type="noConversion"/>
  </si>
  <si>
    <t>4.4. 관계기관 협의</t>
    <phoneticPr fontId="3" type="noConversion"/>
  </si>
  <si>
    <t>업무내용</t>
    <phoneticPr fontId="14" type="noConversion"/>
  </si>
  <si>
    <r>
      <t>보정계수(α) = (A/1)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</si>
  <si>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주1 : 계획면적이 기준면적(5천㎡)이하인 경우 5천㎡ 기준으로 산정</t>
    <phoneticPr fontId="3" type="noConversion"/>
  </si>
  <si>
    <t>1.1. 소규모주택정비사업 충족여부</t>
    <phoneticPr fontId="3" type="noConversion"/>
  </si>
  <si>
    <t xml:space="preserve"> 기술협의는 2회 기준이며, 횟수 증가에 따라 비용을 가산한다.</t>
    <phoneticPr fontId="14" type="noConversion"/>
  </si>
  <si>
    <t>1. 토지 및 건물권리조사</t>
    <phoneticPr fontId="3" type="noConversion"/>
  </si>
  <si>
    <t>주1 : 기준면적(5만㎡)이하인 경우 3만㎡ 기준으로 산정</t>
    <phoneticPr fontId="3" type="noConversion"/>
  </si>
  <si>
    <t>1.1. 지적도, 토지 및 건물대장 및 등기부 열람</t>
    <phoneticPr fontId="3" type="noConversion"/>
  </si>
  <si>
    <t>1.2. 고정자산세, 과세표준액 등 조사</t>
    <phoneticPr fontId="3" type="noConversion"/>
  </si>
  <si>
    <t>3.1. 개략사업비 산정</t>
    <phoneticPr fontId="3" type="noConversion"/>
  </si>
  <si>
    <t>3.2. 수지계획</t>
    <phoneticPr fontId="3" type="noConversion"/>
  </si>
  <si>
    <t>4.1. 사업설명서</t>
    <phoneticPr fontId="3" type="noConversion"/>
  </si>
  <si>
    <t>4.2. 부속도서</t>
    <phoneticPr fontId="3" type="noConversion"/>
  </si>
  <si>
    <t>4.3. 인가신청</t>
    <phoneticPr fontId="3" type="noConversion"/>
  </si>
  <si>
    <t>별도계상</t>
    <phoneticPr fontId="3" type="noConversion"/>
  </si>
  <si>
    <t xml:space="preserve"> 별도계상</t>
    <phoneticPr fontId="3" type="noConversion"/>
  </si>
  <si>
    <t>6.2. 주민간담회/시민계획단</t>
    <phoneticPr fontId="3" type="noConversion"/>
  </si>
  <si>
    <t>6.4. 관계기관 협의</t>
    <phoneticPr fontId="3" type="noConversion"/>
  </si>
  <si>
    <t>②</t>
    <phoneticPr fontId="3" type="noConversion"/>
  </si>
  <si>
    <t>주1 : 계획면적이 기준면적(5만㎡)이하인 경우 3만㎡ 기준으로 산정</t>
    <phoneticPr fontId="3" type="noConversion"/>
  </si>
  <si>
    <t xml:space="preserve">    : 소규모주택정비사업(사업계획)의 경우 1만㎡를 최소기준으로 산정</t>
    <phoneticPr fontId="14" type="noConversion"/>
  </si>
  <si>
    <t xml:space="preserve">    : 도시주거환경정비기본계획 및 생활권계획의 면적은 ㎢로 적용</t>
    <phoneticPr fontId="14" type="noConversion"/>
  </si>
  <si>
    <t>1.1. 토지 및 건물 권리조사 보정</t>
    <phoneticPr fontId="3" type="noConversion"/>
  </si>
  <si>
    <t>1.2. 종전토지지적의 결정</t>
    <phoneticPr fontId="3" type="noConversion"/>
  </si>
  <si>
    <t>1.3. 토지 및 건물가격 평가기준 작성</t>
    <phoneticPr fontId="3" type="noConversion"/>
  </si>
  <si>
    <t>1.4. 분양설계기준의 작성</t>
    <phoneticPr fontId="3" type="noConversion"/>
  </si>
  <si>
    <t>2.1. 자료조사</t>
    <phoneticPr fontId="3" type="noConversion"/>
  </si>
  <si>
    <t>2.2. 정리전후 노선가 설정</t>
    <phoneticPr fontId="3" type="noConversion"/>
  </si>
  <si>
    <t>2.3. 정리전 각 필지 평가</t>
    <phoneticPr fontId="3" type="noConversion"/>
  </si>
  <si>
    <t>2.4. 정리후 가구평가</t>
    <phoneticPr fontId="3" type="noConversion"/>
  </si>
  <si>
    <t>2.5. 증진율 계산</t>
    <phoneticPr fontId="3" type="noConversion"/>
  </si>
  <si>
    <t>3-1. 비례평가식 환지(분양) 계산</t>
    <phoneticPr fontId="3" type="noConversion"/>
  </si>
  <si>
    <t>3.1.1. 비례율 산정</t>
    <phoneticPr fontId="3" type="noConversion"/>
  </si>
  <si>
    <t>3.1.2. 권리지수 산정</t>
    <phoneticPr fontId="3" type="noConversion"/>
  </si>
  <si>
    <t>3.1-3. 분양배당지수 및 지적산출</t>
    <phoneticPr fontId="3" type="noConversion"/>
  </si>
  <si>
    <t>3.2.1. 공통부담률 계산</t>
    <phoneticPr fontId="3" type="noConversion"/>
  </si>
  <si>
    <t>3.2.2. 잠정환지 지적</t>
    <phoneticPr fontId="3" type="noConversion"/>
  </si>
  <si>
    <t>3.3.3. 잠정환지의 평가</t>
    <phoneticPr fontId="3" type="noConversion"/>
  </si>
  <si>
    <t>3.3.4. 증가배분율의 계산</t>
    <phoneticPr fontId="3" type="noConversion"/>
  </si>
  <si>
    <t>3.3.5. 권리지수 산정</t>
    <phoneticPr fontId="3" type="noConversion"/>
  </si>
  <si>
    <t>3.3.1. 공통부담률 계산</t>
    <phoneticPr fontId="3" type="noConversion"/>
  </si>
  <si>
    <t>3.3.2. 급지별 공통부담률 계산</t>
    <phoneticPr fontId="3" type="noConversion"/>
  </si>
  <si>
    <t>4.1. 가할당</t>
    <phoneticPr fontId="3" type="noConversion"/>
  </si>
  <si>
    <t>4.2. 분양할당</t>
    <phoneticPr fontId="3" type="noConversion"/>
  </si>
  <si>
    <t>4.3. 분양할당 수정</t>
    <phoneticPr fontId="3" type="noConversion"/>
  </si>
  <si>
    <t>4.4. 가구별 분양조서 및 할당도</t>
    <phoneticPr fontId="3" type="noConversion"/>
  </si>
  <si>
    <t>4.5. 공람에 따른 분양계산의 보완</t>
    <phoneticPr fontId="3" type="noConversion"/>
  </si>
  <si>
    <t>4.6. 분양원가 설명</t>
    <phoneticPr fontId="3" type="noConversion"/>
  </si>
  <si>
    <t>5.1. 분양예정지 지정서 작성</t>
    <phoneticPr fontId="3" type="noConversion"/>
  </si>
  <si>
    <t>6.1. 인가신청도서 작성</t>
    <phoneticPr fontId="3" type="noConversion"/>
  </si>
  <si>
    <t>7.1. 공청회/주민설명회</t>
    <phoneticPr fontId="3" type="noConversion"/>
  </si>
  <si>
    <t>7.2. 주민간담회/시민계획단</t>
    <phoneticPr fontId="3" type="noConversion"/>
  </si>
  <si>
    <t>7.3. 위원회심의 지원</t>
    <phoneticPr fontId="3" type="noConversion"/>
  </si>
  <si>
    <t>7.4. 관계기관 협의</t>
    <phoneticPr fontId="3" type="noConversion"/>
  </si>
  <si>
    <t xml:space="preserve"> 1) 필지 200기준은 최소기준이며, 증가 필지수에 비례하여 작업품 및 비용을 가산한다.</t>
    <phoneticPr fontId="14" type="noConversion"/>
  </si>
  <si>
    <t xml:space="preserve"> 2) 기술협의는 2회 기준이며, 횟수 증가에 따라 비용을 가산한다.</t>
    <phoneticPr fontId="3" type="noConversion"/>
  </si>
  <si>
    <t xml:space="preserve"> 3) 평가식에 한함</t>
    <phoneticPr fontId="14" type="noConversion"/>
  </si>
  <si>
    <t xml:space="preserve"> 4) 면적식 및 절충식</t>
    <phoneticPr fontId="14" type="noConversion"/>
  </si>
  <si>
    <t>■ 공업지역 기본계획</t>
    <phoneticPr fontId="3" type="noConversion"/>
  </si>
  <si>
    <t>㎢</t>
    <phoneticPr fontId="3" type="noConversion"/>
  </si>
  <si>
    <t>주</t>
    <phoneticPr fontId="14" type="noConversion"/>
  </si>
  <si>
    <t xml:space="preserve"> : 계획면적(공업지역 면적)</t>
    <phoneticPr fontId="14" type="noConversion"/>
  </si>
  <si>
    <t>1.1. 도시공업지역 현황</t>
    <phoneticPr fontId="14" type="noConversion"/>
  </si>
  <si>
    <t>1.2. 지역산업생태계(지역자산)</t>
    <phoneticPr fontId="14" type="noConversion"/>
  </si>
  <si>
    <t>1.3. 기초생활인프라 조사</t>
    <phoneticPr fontId="14" type="noConversion"/>
  </si>
  <si>
    <t>1.4. 국내외 사례조사</t>
    <phoneticPr fontId="14" type="noConversion"/>
  </si>
  <si>
    <t>1.5. 기타 필요한 사항</t>
    <phoneticPr fontId="14" type="noConversion"/>
  </si>
  <si>
    <t>2. 공업지역 기본계획</t>
    <phoneticPr fontId="14" type="noConversion"/>
  </si>
  <si>
    <t>2.1. 계획의 목표 및 범위·방안</t>
    <phoneticPr fontId="14" type="noConversion"/>
  </si>
  <si>
    <t>2.2. 쇠퇴진단 및 여건분석</t>
    <phoneticPr fontId="14" type="noConversion"/>
  </si>
  <si>
    <t>2.3. 종합적관리 및 활성화방안</t>
    <phoneticPr fontId="14" type="noConversion"/>
  </si>
  <si>
    <t>2.4. 공업지역 유형별 관리방향</t>
    <phoneticPr fontId="14" type="noConversion"/>
  </si>
  <si>
    <t>2.5. 공업정비구역 설정</t>
    <phoneticPr fontId="14" type="noConversion"/>
  </si>
  <si>
    <t>2.6. 건축물 권장용도 및 밀도계획</t>
    <phoneticPr fontId="14" type="noConversion"/>
  </si>
  <si>
    <t>2.7. 지원기반시설계획</t>
    <phoneticPr fontId="14" type="noConversion"/>
  </si>
  <si>
    <t>2.8. 환경관리방안</t>
    <phoneticPr fontId="14" type="noConversion"/>
  </si>
  <si>
    <t>2.9. 재원조달방안</t>
    <phoneticPr fontId="14" type="noConversion"/>
  </si>
  <si>
    <t>2.10. 산업혁신 및 일자리창출방안</t>
    <phoneticPr fontId="14" type="noConversion"/>
  </si>
  <si>
    <t>2.11. 관리 및 정비방안</t>
    <phoneticPr fontId="14" type="noConversion"/>
  </si>
  <si>
    <t>2.12. 용도 혼재지역 계획적 정비 및 관리방안</t>
    <phoneticPr fontId="14" type="noConversion"/>
  </si>
  <si>
    <t>2.13. 산업문화유산 보전 및 활용방안</t>
    <phoneticPr fontId="14" type="noConversion"/>
  </si>
  <si>
    <t>2.14. 부동산 가격안정화 방안</t>
    <phoneticPr fontId="14" type="noConversion"/>
  </si>
  <si>
    <t>3.2. 관련도서 작성</t>
    <phoneticPr fontId="14" type="noConversion"/>
  </si>
  <si>
    <t>4.3. 위원회심의 지원</t>
    <phoneticPr fontId="14" type="noConversion"/>
  </si>
  <si>
    <t>4.4. 관계기관 협의</t>
    <phoneticPr fontId="14" type="noConversion"/>
  </si>
  <si>
    <t>②</t>
    <phoneticPr fontId="14" type="noConversion"/>
  </si>
  <si>
    <t xml:space="preserve"> 1) '1. 조사 및 분석'은 발주자가 기초자료 제공 기준이며, 전주조사 등 추가조사는 별도 계상한다.</t>
    <phoneticPr fontId="3" type="noConversion"/>
  </si>
  <si>
    <t xml:space="preserve"> 3) 각종영향성검토 및 각종영향평가업무 등은 별도 계상한다.</t>
    <phoneticPr fontId="3" type="noConversion"/>
  </si>
  <si>
    <t xml:space="preserve"> 4) 도시계획 퍼실리테이션 등은 별도 계상한다.</t>
    <phoneticPr fontId="3" type="noConversion"/>
  </si>
  <si>
    <t xml:space="preserve">   기준면적 30만㎡이하인 경우 30만㎡ 적용, 15㎢초과 15㎢ 적용</t>
    <phoneticPr fontId="14" type="noConversion"/>
  </si>
  <si>
    <t>1. 조사 및 분석</t>
    <phoneticPr fontId="14" type="noConversion"/>
  </si>
  <si>
    <t>1.1. 도시 일반현황</t>
    <phoneticPr fontId="14" type="noConversion"/>
  </si>
  <si>
    <t>1.2. 관련계획</t>
    <phoneticPr fontId="14" type="noConversion"/>
  </si>
  <si>
    <t>1.3. 공동주택현황</t>
    <phoneticPr fontId="14" type="noConversion"/>
  </si>
  <si>
    <t>1.4. 기반시설현황</t>
    <phoneticPr fontId="14" type="noConversion"/>
  </si>
  <si>
    <t>2.1. 계획의 목표 및 기본방향</t>
    <phoneticPr fontId="14" type="noConversion"/>
  </si>
  <si>
    <t>2.2. 리모델링 수요 예측</t>
    <phoneticPr fontId="14" type="noConversion"/>
  </si>
  <si>
    <t>2.3. 기반시설 영향 검토(일반)</t>
    <phoneticPr fontId="14" type="noConversion"/>
  </si>
  <si>
    <t>2.4. 단계별 리모델링 시행방안</t>
    <phoneticPr fontId="14" type="noConversion"/>
  </si>
  <si>
    <t>2.5. 도시경관 관리방안</t>
    <phoneticPr fontId="14" type="noConversion"/>
  </si>
  <si>
    <t>2.6. 공동주택 저에너지·장수명화 방안</t>
    <phoneticPr fontId="14" type="noConversion"/>
  </si>
  <si>
    <t>2.7. 리모델링 지원방안</t>
    <phoneticPr fontId="14" type="noConversion"/>
  </si>
  <si>
    <t>①</t>
    <phoneticPr fontId="14" type="noConversion"/>
  </si>
  <si>
    <t>①</t>
    <phoneticPr fontId="14" type="noConversion"/>
  </si>
  <si>
    <t>②</t>
    <phoneticPr fontId="14" type="noConversion"/>
  </si>
  <si>
    <t>3.1. 보고서 작성 및 편집</t>
    <phoneticPr fontId="14" type="noConversion"/>
  </si>
  <si>
    <t>4.1. 공청회/주민설명회</t>
    <phoneticPr fontId="14" type="noConversion"/>
  </si>
  <si>
    <t>4.2. 주민간담회/시민계획단</t>
    <phoneticPr fontId="14" type="noConversion"/>
  </si>
  <si>
    <t>4.3. 위원회심의 지원</t>
    <phoneticPr fontId="14" type="noConversion"/>
  </si>
  <si>
    <t>4.4. 관계기관 협의</t>
    <phoneticPr fontId="14" type="noConversion"/>
  </si>
  <si>
    <t>주 : 계획인구 10만인 미만인 경우에는 계획인구 10만인을 기준으로 산정</t>
    <phoneticPr fontId="3" type="noConversion"/>
  </si>
  <si>
    <t xml:space="preserve">     계획인구는 기준년도의 당해 도시 인구수(행안부 자치단체별 인구수) 적용</t>
    <phoneticPr fontId="14" type="noConversion"/>
  </si>
  <si>
    <t xml:space="preserve">  1) '1. 조사 및 분석'은 발주자가 기초자료 제공 기준이며 전수조사 등 추가조사는 별도 계상한다.</t>
    <phoneticPr fontId="14" type="noConversion"/>
  </si>
  <si>
    <t xml:space="preserve">  2) 기술협의는 2회 기준이며, 횟수 증가에 따라 비용을 가산한다.</t>
    <phoneticPr fontId="3" type="noConversion"/>
  </si>
  <si>
    <t xml:space="preserve">  3) 각종영향성검토 및 각종영향평가업무 등은 별도 계상한다.</t>
    <phoneticPr fontId="3" type="noConversion"/>
  </si>
  <si>
    <t xml:space="preserve">  4) 기반시설 영향 검토(특정지역) 업무는 교통품셈(산업부)의 교통성검토를 적용하여 계상한다.</t>
    <phoneticPr fontId="3" type="noConversion"/>
  </si>
  <si>
    <t>■ 도시경관계획</t>
    <phoneticPr fontId="3" type="noConversion"/>
  </si>
  <si>
    <t>①계획인구(A) :</t>
    <phoneticPr fontId="3" type="noConversion"/>
  </si>
  <si>
    <t>주 : 계획인구 10만인 미만인 경우에는 10만인을 기준으로 산정</t>
    <phoneticPr fontId="3" type="noConversion"/>
  </si>
  <si>
    <t xml:space="preserve">  계획인구는 당해 도시권의 목표인구 원칙</t>
    <phoneticPr fontId="14" type="noConversion"/>
  </si>
  <si>
    <t>1. 조사 및 분석</t>
    <phoneticPr fontId="3" type="noConversion"/>
  </si>
  <si>
    <t>1.1. 현황조사</t>
    <phoneticPr fontId="3" type="noConversion"/>
  </si>
  <si>
    <t>1.2. 경관자원조사</t>
    <phoneticPr fontId="3" type="noConversion"/>
  </si>
  <si>
    <t>1-3. 경관구조분석</t>
    <phoneticPr fontId="3" type="noConversion"/>
  </si>
  <si>
    <t>1-4. 경관의식조사</t>
    <phoneticPr fontId="3" type="noConversion"/>
  </si>
  <si>
    <t>1-5. 관계법령/관련계획 및 사례분석</t>
    <phoneticPr fontId="3" type="noConversion"/>
  </si>
  <si>
    <t>1-6. 종합분석</t>
    <phoneticPr fontId="3" type="noConversion"/>
  </si>
  <si>
    <t>2. 도시경관 구상</t>
    <phoneticPr fontId="3" type="noConversion"/>
  </si>
  <si>
    <t>2.1. 기본방향설정</t>
    <phoneticPr fontId="3" type="noConversion"/>
  </si>
  <si>
    <t>2.2. 미래상 설정</t>
    <phoneticPr fontId="3" type="noConversion"/>
  </si>
  <si>
    <t>2.3. 경관구조 설정</t>
    <phoneticPr fontId="3" type="noConversion"/>
  </si>
  <si>
    <t>2.4. 추진전략 설정</t>
    <phoneticPr fontId="3" type="noConversion"/>
  </si>
  <si>
    <t>3. 경관기본 계획</t>
    <phoneticPr fontId="3" type="noConversion"/>
  </si>
  <si>
    <t>3.1. 경관권역계획</t>
    <phoneticPr fontId="3" type="noConversion"/>
  </si>
  <si>
    <t>3.2. 경관축계획</t>
    <phoneticPr fontId="3" type="noConversion"/>
  </si>
  <si>
    <t>3.3. 경관거점계획</t>
    <phoneticPr fontId="3" type="noConversion"/>
  </si>
  <si>
    <t>3.4. 중점경관관리구역계획</t>
    <phoneticPr fontId="3" type="noConversion"/>
  </si>
  <si>
    <t>3.5. 경관지구계획</t>
    <phoneticPr fontId="3" type="noConversion"/>
  </si>
  <si>
    <t>4.1. 경관권역 등의 가이드라인</t>
    <phoneticPr fontId="3" type="noConversion"/>
  </si>
  <si>
    <t>4.2. 경관·미관지구의 경관가이드라인</t>
    <phoneticPr fontId="3" type="noConversion"/>
  </si>
  <si>
    <t>4.3. 중점경관관리구역의 경관가이드라인</t>
    <phoneticPr fontId="3" type="noConversion"/>
  </si>
  <si>
    <t>5.1. 경관관련 지구·구역 적용 및 연계방안</t>
    <phoneticPr fontId="3" type="noConversion"/>
  </si>
  <si>
    <t>5.2. 관련 계획과의 연계방안</t>
    <phoneticPr fontId="3" type="noConversion"/>
  </si>
  <si>
    <t>5.3. 경관사업 및 단계별 추진계획</t>
    <phoneticPr fontId="3" type="noConversion"/>
  </si>
  <si>
    <t>5.4. 경관협정의 적용 및 운영</t>
    <phoneticPr fontId="3" type="noConversion"/>
  </si>
  <si>
    <t>5.5. 경관관리 실행조직 및 실행체계</t>
    <phoneticPr fontId="3" type="noConversion"/>
  </si>
  <si>
    <t>5.6. 경관조례 및 경관관련 자문 및 심의</t>
    <phoneticPr fontId="3" type="noConversion"/>
  </si>
  <si>
    <t>5.7. 경관가이드라인</t>
    <phoneticPr fontId="3" type="noConversion"/>
  </si>
  <si>
    <t>5.8. 실행방안</t>
    <phoneticPr fontId="3" type="noConversion"/>
  </si>
  <si>
    <t>6.1. 보고서작성 및 편집</t>
    <phoneticPr fontId="3" type="noConversion"/>
  </si>
  <si>
    <t>6.2. 관련도서작성</t>
    <phoneticPr fontId="3" type="noConversion"/>
  </si>
  <si>
    <t>7.3. 위원회심의 지원</t>
    <phoneticPr fontId="3" type="noConversion"/>
  </si>
  <si>
    <t>7.4. 관계기관 협의</t>
    <phoneticPr fontId="3" type="noConversion"/>
  </si>
  <si>
    <t>1) '1.조사 및 분석'은 발주자가 기초자료 제공 기준이며 전수조사 등 추가조사는 별도 계상한다.</t>
    <phoneticPr fontId="14" type="noConversion"/>
  </si>
  <si>
    <t>2) 기술협의는 2회 기준이며, 횟수 증가에 따라 비용을 가산한다.</t>
    <phoneticPr fontId="3" type="noConversion"/>
  </si>
  <si>
    <t>3) 각종영향성검토 및 각종영향평가업무 등은 별도 계상한다.</t>
    <phoneticPr fontId="14" type="noConversion"/>
  </si>
  <si>
    <t>4) 특정한 지역에 대하여 특정경관계획을 수립하는 경우, 지구경관계획을 준용하여 비용을 계상한다.</t>
    <phoneticPr fontId="14" type="noConversion"/>
  </si>
  <si>
    <t>5) 특정한 경관유형 등에 대한 특정경관계획은 도시경관계획 품셈의 70%이상, 시군경관계획(재정비)는 도시경관계획</t>
    <phoneticPr fontId="14" type="noConversion"/>
  </si>
  <si>
    <t xml:space="preserve">   품셈기준의 70% 이상으로 계상한다.</t>
    <phoneticPr fontId="14" type="noConversion"/>
  </si>
  <si>
    <t>6) 경관디자인, 도시군관리계획 수립에 따른 경관검토서, 지형도면고시계획은 별도 계상한다.</t>
    <phoneticPr fontId="14" type="noConversion"/>
  </si>
  <si>
    <t>7) 시군경관계획의 경우 '기본업무 1.1, 5.7, 5.8'은 제외하여 산정할 수 있다.</t>
    <phoneticPr fontId="14" type="noConversion"/>
  </si>
  <si>
    <t xml:space="preserve">8) 도시군경관부문계획의 경우 '기본업무 1.2, 1.3, 1.4, 2.1, 4.1, 4.2, 4.3, 5.1, 5.2, 5.3, 5.4, 5.5, 5.6'은 </t>
    <phoneticPr fontId="14" type="noConversion"/>
  </si>
  <si>
    <t xml:space="preserve">   제외하여 산정할 수 있다.</t>
    <phoneticPr fontId="14" type="noConversion"/>
  </si>
  <si>
    <t>1.3. 경관구조분석</t>
    <phoneticPr fontId="3" type="noConversion"/>
  </si>
  <si>
    <t>1.4. 경관의식조사</t>
    <phoneticPr fontId="3" type="noConversion"/>
  </si>
  <si>
    <t>1.5. 관계법령/관련계획 및 사례분석</t>
    <phoneticPr fontId="3" type="noConversion"/>
  </si>
  <si>
    <t>1.6. 종합분석</t>
    <phoneticPr fontId="3" type="noConversion"/>
  </si>
  <si>
    <t>■ 지구경관계획</t>
    <phoneticPr fontId="3" type="noConversion"/>
  </si>
  <si>
    <t>사전경관계획 비수립</t>
    <phoneticPr fontId="14" type="noConversion"/>
  </si>
  <si>
    <t>사전경관계획 수립</t>
    <phoneticPr fontId="14" type="noConversion"/>
  </si>
  <si>
    <t>경관상세계획</t>
    <phoneticPr fontId="14" type="noConversion"/>
  </si>
  <si>
    <t>주1 : 사전경관계획 비수립 3만㎡이하 3만㎡기준</t>
    <phoneticPr fontId="14" type="noConversion"/>
  </si>
  <si>
    <t xml:space="preserve"> : 사전경관계획 수립 10만㎡이하 10만㎡기준</t>
    <phoneticPr fontId="14" type="noConversion"/>
  </si>
  <si>
    <t xml:space="preserve"> : 경관상세계획 10만㎡이하 10만㎡기준</t>
    <phoneticPr fontId="14" type="noConversion"/>
  </si>
  <si>
    <t>1. 조사 및 분석</t>
    <phoneticPr fontId="3" type="noConversion"/>
  </si>
  <si>
    <t>①</t>
    <phoneticPr fontId="14" type="noConversion"/>
  </si>
  <si>
    <t>1.3. 관련 법규 및 계획(유사사례 검토)</t>
    <phoneticPr fontId="3" type="noConversion"/>
  </si>
  <si>
    <t>1.2. 경관자원 및 특성</t>
    <phoneticPr fontId="3" type="noConversion"/>
  </si>
  <si>
    <t>1.1. 일반현황조사</t>
    <phoneticPr fontId="3" type="noConversion"/>
  </si>
  <si>
    <t>1.4. 경관 종합분석</t>
    <phoneticPr fontId="3" type="noConversion"/>
  </si>
  <si>
    <t>2.1. 기본방향 및 목표설정(미래상설정)</t>
    <phoneticPr fontId="3" type="noConversion"/>
  </si>
  <si>
    <t>2.2. 경관형성전략 수립</t>
    <phoneticPr fontId="3" type="noConversion"/>
  </si>
  <si>
    <t>3. 경관 기본 구상</t>
    <phoneticPr fontId="3" type="noConversion"/>
  </si>
  <si>
    <t>3.1. 경관구조 설정</t>
    <phoneticPr fontId="3" type="noConversion"/>
  </si>
  <si>
    <t>3.2. 경관권역 기본구상</t>
    <phoneticPr fontId="3" type="noConversion"/>
  </si>
  <si>
    <t>3.3. 경관축 기본구상</t>
    <phoneticPr fontId="3" type="noConversion"/>
  </si>
  <si>
    <t>3.4. 경관거점 기본구상</t>
    <phoneticPr fontId="3" type="noConversion"/>
  </si>
  <si>
    <t>3.5. 블록(장소)별 세부구조 설정</t>
    <phoneticPr fontId="3" type="noConversion"/>
  </si>
  <si>
    <t>4. 경관 부문별 계획</t>
    <phoneticPr fontId="3" type="noConversion"/>
  </si>
  <si>
    <t>4.1. 요소별 기본구상</t>
    <phoneticPr fontId="3" type="noConversion"/>
  </si>
  <si>
    <t>4.2. 요소별 계획</t>
    <phoneticPr fontId="3" type="noConversion"/>
  </si>
  <si>
    <t>4.3. 건축물 경관계획</t>
    <phoneticPr fontId="3" type="noConversion"/>
  </si>
  <si>
    <t>4.4. 가로경관계획</t>
    <phoneticPr fontId="3" type="noConversion"/>
  </si>
  <si>
    <t>4.5. 공원 및 녹지 경관계획</t>
    <phoneticPr fontId="3" type="noConversion"/>
  </si>
  <si>
    <t>4.6. 색채 등 경관계획</t>
    <phoneticPr fontId="3" type="noConversion"/>
  </si>
  <si>
    <t>4.7. 기타 계획</t>
    <phoneticPr fontId="3" type="noConversion"/>
  </si>
  <si>
    <t>5. 경관지침</t>
    <phoneticPr fontId="3" type="noConversion"/>
  </si>
  <si>
    <t>5.1. 종합계획 및 통합지침도 작성</t>
    <phoneticPr fontId="3" type="noConversion"/>
  </si>
  <si>
    <t>5.2. 장소별 지침, 요소별 지침</t>
    <phoneticPr fontId="3" type="noConversion"/>
  </si>
  <si>
    <t>6. 경관시뮬레이션 구상</t>
    <phoneticPr fontId="3" type="noConversion"/>
  </si>
  <si>
    <t>6.1. 경관시뮬레이션</t>
    <phoneticPr fontId="3" type="noConversion"/>
  </si>
  <si>
    <t>7. 성과품작성</t>
    <phoneticPr fontId="3" type="noConversion"/>
  </si>
  <si>
    <t>7.1. 보고서작성 및 편집</t>
    <phoneticPr fontId="3" type="noConversion"/>
  </si>
  <si>
    <t>7.2. 관련도서작성</t>
    <phoneticPr fontId="3" type="noConversion"/>
  </si>
  <si>
    <t>②</t>
    <phoneticPr fontId="14" type="noConversion"/>
  </si>
  <si>
    <t>8. 기술협의</t>
    <phoneticPr fontId="3" type="noConversion"/>
  </si>
  <si>
    <t>8.1. 공청회/주민설명회</t>
    <phoneticPr fontId="3" type="noConversion"/>
  </si>
  <si>
    <t>8.2. 주민간담회/시민계획단</t>
    <phoneticPr fontId="3" type="noConversion"/>
  </si>
  <si>
    <t>8.3. 위원회심의 지원</t>
    <phoneticPr fontId="3" type="noConversion"/>
  </si>
  <si>
    <t>8.4. 관계기관 협의</t>
    <phoneticPr fontId="3" type="noConversion"/>
  </si>
  <si>
    <t>주</t>
    <phoneticPr fontId="3" type="noConversion"/>
  </si>
  <si>
    <t>1) '1. 조사 및 분석'은 발주자가 기초자료 제공 기준이며 전수조사 등 추가조사는 별도 계상한다.</t>
    <phoneticPr fontId="14" type="noConversion"/>
  </si>
  <si>
    <t>4) 경관시뮬레이션, 조감도, 투시도 제작비용은 별도 계상한다.</t>
    <phoneticPr fontId="3" type="noConversion"/>
  </si>
  <si>
    <t>5) 기준단위는 '마. 환산계수 및 보정계수'를 참고한다.</t>
    <phoneticPr fontId="14" type="noConversion"/>
  </si>
  <si>
    <t>주1 : 계획면적이 40만㎡ 미만인 경우에는 계획면적 40만㎡를 기준으로 산정</t>
    <phoneticPr fontId="3" type="noConversion"/>
  </si>
  <si>
    <t>①계획면적(A) :</t>
    <phoneticPr fontId="3" type="noConversion"/>
  </si>
  <si>
    <t>①계획면적(A) :</t>
    <phoneticPr fontId="3" type="noConversion"/>
  </si>
  <si>
    <t>1.1. 일반현황조사</t>
    <phoneticPr fontId="14" type="noConversion"/>
  </si>
  <si>
    <t>1.2. 경관현황조사</t>
    <phoneticPr fontId="14" type="noConversion"/>
  </si>
  <si>
    <t>1.3. 경관의식조사</t>
    <phoneticPr fontId="14" type="noConversion"/>
  </si>
  <si>
    <t>1.4. 종합분석</t>
    <phoneticPr fontId="14" type="noConversion"/>
  </si>
  <si>
    <t>2.1. 기본방향 및 미래상 설정</t>
    <phoneticPr fontId="14" type="noConversion"/>
  </si>
  <si>
    <t>2.2. 경관구조 설정</t>
    <phoneticPr fontId="14" type="noConversion"/>
  </si>
  <si>
    <t>3.1. 경관권역, 축, 거점계획</t>
    <phoneticPr fontId="14" type="noConversion"/>
  </si>
  <si>
    <t>3.2. 요소별 계획</t>
    <phoneticPr fontId="14" type="noConversion"/>
  </si>
  <si>
    <t>4. 실행계획</t>
    <phoneticPr fontId="14" type="noConversion"/>
  </si>
  <si>
    <t>4.1. 실행계획</t>
    <phoneticPr fontId="14" type="noConversion"/>
  </si>
  <si>
    <t>4.2. 경관시뮬레이션</t>
    <phoneticPr fontId="14" type="noConversion"/>
  </si>
  <si>
    <t>5.1. 보고서 작성 및 편집</t>
    <phoneticPr fontId="14" type="noConversion"/>
  </si>
  <si>
    <t>5.2. 관련 도서 작성</t>
    <phoneticPr fontId="14" type="noConversion"/>
  </si>
  <si>
    <t>①</t>
    <phoneticPr fontId="14" type="noConversion"/>
  </si>
  <si>
    <t>②</t>
    <phoneticPr fontId="14" type="noConversion"/>
  </si>
  <si>
    <t>1) '1.조사 및 분석'은 발주자가 기초자료 제공 기준이며 전수조사 등 추가조사는 별도 계상한다.</t>
    <phoneticPr fontId="3" type="noConversion"/>
  </si>
  <si>
    <t>3) 각종영향성검토 및 각종영향평가업무 등은 별도 계상한다.</t>
    <phoneticPr fontId="3" type="noConversion"/>
  </si>
  <si>
    <t>4) 경관시뮬레이션, 조감도, 투시도 제작비용은 별도 계상한다.</t>
    <phoneticPr fontId="3" type="noConversion"/>
  </si>
  <si>
    <t>■ 경관디자인</t>
    <phoneticPr fontId="3" type="noConversion"/>
  </si>
  <si>
    <t>일반형(터널, 교량등 입체구조물 불포함)</t>
    <phoneticPr fontId="14" type="noConversion"/>
  </si>
  <si>
    <t>입체형(터널, 교량등 입체구조물 포함)</t>
    <phoneticPr fontId="14" type="noConversion"/>
  </si>
  <si>
    <t>주 : 기준면적 1만㎡, 최소면적 0.5㎢ 적용, 면적기준 적용이 어려운 경우</t>
    <phoneticPr fontId="3" type="noConversion"/>
  </si>
  <si>
    <t xml:space="preserve">  거리기준을 적용하며, 기준거리 1㎞, 최소거리 0.5㎞ 적용</t>
    <phoneticPr fontId="14" type="noConversion"/>
  </si>
  <si>
    <t>ⓐ난이도 보정계수(β):</t>
    <phoneticPr fontId="3" type="noConversion"/>
  </si>
  <si>
    <t>1. 조사 및 분석</t>
    <phoneticPr fontId="3" type="noConversion"/>
  </si>
  <si>
    <t>1.2. 경관현황조사</t>
    <phoneticPr fontId="3" type="noConversion"/>
  </si>
  <si>
    <t>1.3. 국내외 사례검토</t>
    <phoneticPr fontId="3" type="noConversion"/>
  </si>
  <si>
    <t>1.4. 종합분석</t>
    <phoneticPr fontId="3" type="noConversion"/>
  </si>
  <si>
    <t>2.1. 기본방향 및 테마설정</t>
    <phoneticPr fontId="3" type="noConversion"/>
  </si>
  <si>
    <t>2.2. 공간구상</t>
    <phoneticPr fontId="3" type="noConversion"/>
  </si>
  <si>
    <t>2.3. 디자인구상</t>
    <phoneticPr fontId="3" type="noConversion"/>
  </si>
  <si>
    <t>2.4. 종합구상</t>
    <phoneticPr fontId="3" type="noConversion"/>
  </si>
  <si>
    <t>3.1. 디자인 대안 및 타당성 검토</t>
    <phoneticPr fontId="3" type="noConversion"/>
  </si>
  <si>
    <t>3.2. 항목별 디자인 제시</t>
    <phoneticPr fontId="3" type="noConversion"/>
  </si>
  <si>
    <t>3.3. 배치계획 및 세부계획</t>
    <phoneticPr fontId="3" type="noConversion"/>
  </si>
  <si>
    <t>3.4. 종합계획</t>
    <phoneticPr fontId="3" type="noConversion"/>
  </si>
  <si>
    <t>4.1. 마스터플랜</t>
    <phoneticPr fontId="3" type="noConversion"/>
  </si>
  <si>
    <t>4.2. 기본설계도 작성</t>
    <phoneticPr fontId="3" type="noConversion"/>
  </si>
  <si>
    <t>4.3. 개략사업비 산출</t>
    <phoneticPr fontId="3" type="noConversion"/>
  </si>
  <si>
    <t>4.4. 기본 설계안 시뮬레이션</t>
    <phoneticPr fontId="3" type="noConversion"/>
  </si>
  <si>
    <t>5.1. 유지방안 및 유지관리 비용산출</t>
    <phoneticPr fontId="3" type="noConversion"/>
  </si>
  <si>
    <t>5.2. 담당기관에서의 관리범위 및 대상등 규정</t>
    <phoneticPr fontId="3" type="noConversion"/>
  </si>
  <si>
    <t>6.1. 보고서작성 및 편집</t>
    <phoneticPr fontId="3" type="noConversion"/>
  </si>
  <si>
    <t>6.2. 관련도서작성</t>
    <phoneticPr fontId="3" type="noConversion"/>
  </si>
  <si>
    <t>7.1. 공청회/주민설명회</t>
    <phoneticPr fontId="3" type="noConversion"/>
  </si>
  <si>
    <t>7.2. 주민간담회/시민계획단</t>
    <phoneticPr fontId="3" type="noConversion"/>
  </si>
  <si>
    <t>①, ⓐ</t>
    <phoneticPr fontId="14" type="noConversion"/>
  </si>
  <si>
    <t>②</t>
    <phoneticPr fontId="14" type="noConversion"/>
  </si>
  <si>
    <t>①</t>
    <phoneticPr fontId="14" type="noConversion"/>
  </si>
  <si>
    <t>1)'1.조사 및 분석'은 발주자가 기초자료 제공 기준이며 전수조사 등 추가조사는 별도 계상한다.</t>
    <phoneticPr fontId="14" type="noConversion"/>
  </si>
  <si>
    <t>2) 기술협의는 2회 기준이며, 횟수 증가에 따라 가산한다.</t>
    <phoneticPr fontId="14" type="noConversion"/>
  </si>
  <si>
    <t>4) 경관시뮬레이션, 조감도, 투시도 제작비용, 경관실시설계는 별도 계상한다.</t>
    <phoneticPr fontId="14" type="noConversion"/>
  </si>
  <si>
    <t>가. 일반형(터널, 교량 등 입체구조물 불포함)</t>
    <phoneticPr fontId="14" type="noConversion"/>
  </si>
  <si>
    <t>가. 입체형(터널, 교량 등 입체구조물 포함)</t>
    <phoneticPr fontId="14" type="noConversion"/>
  </si>
  <si>
    <t>나. 복합용도형(주상복합시설 등 복합용도 건축물)</t>
    <phoneticPr fontId="14" type="noConversion"/>
  </si>
  <si>
    <t>나. 단일용도형(상가 제외한 단일용도 건축물)</t>
    <phoneticPr fontId="14" type="noConversion"/>
  </si>
  <si>
    <t>①계획면적(거리)(A) :</t>
    <phoneticPr fontId="3" type="noConversion"/>
  </si>
  <si>
    <t>ⓑ 용도특성 보정계수(γ):</t>
    <phoneticPr fontId="3" type="noConversion"/>
  </si>
  <si>
    <t>ⓐ 시설특성 보정계수(β):</t>
    <phoneticPr fontId="3" type="noConversion"/>
  </si>
  <si>
    <t>주1 : 선형적 특성이 강한 사업의 성격을 고려하여 기준거리 1㎞(면적1만㎡)</t>
    <phoneticPr fontId="14" type="noConversion"/>
  </si>
  <si>
    <t xml:space="preserve">   최소거리 0.5㎞(면적 0.5만㎡) 적용</t>
    <phoneticPr fontId="14" type="noConversion"/>
  </si>
  <si>
    <t>1. 조사 및 분석</t>
    <phoneticPr fontId="3" type="noConversion"/>
  </si>
  <si>
    <t>1.1. 경관자원 및 경관특성</t>
    <phoneticPr fontId="3" type="noConversion"/>
  </si>
  <si>
    <t>1.2. 경관관련계획</t>
    <phoneticPr fontId="3" type="noConversion"/>
  </si>
  <si>
    <t>1.3. 종합분석</t>
    <phoneticPr fontId="3" type="noConversion"/>
  </si>
  <si>
    <t>2.1. 기본방향 및 테마설정</t>
    <phoneticPr fontId="3" type="noConversion"/>
  </si>
  <si>
    <t>2.2. 공간 및 디자인 구상</t>
    <phoneticPr fontId="3" type="noConversion"/>
  </si>
  <si>
    <t>2.3. 경관구조설정</t>
    <phoneticPr fontId="3" type="noConversion"/>
  </si>
  <si>
    <t>3.1. 사회기반시설</t>
    <phoneticPr fontId="3" type="noConversion"/>
  </si>
  <si>
    <t xml:space="preserve"> 3.1.1 구간별 경관설계</t>
    <phoneticPr fontId="3" type="noConversion"/>
  </si>
  <si>
    <t xml:space="preserve"> 3.1.2 주요 시설(장소) 경관설계</t>
    <phoneticPr fontId="3" type="noConversion"/>
  </si>
  <si>
    <t>3.2. 건축</t>
    <phoneticPr fontId="3" type="noConversion"/>
  </si>
  <si>
    <t xml:space="preserve"> 3.2.1 배치·규모·형태계획</t>
    <phoneticPr fontId="3" type="noConversion"/>
  </si>
  <si>
    <t xml:space="preserve"> 3.2.2 외부공간계획</t>
    <phoneticPr fontId="3" type="noConversion"/>
  </si>
  <si>
    <t xml:space="preserve"> 3.2.3 옥외광고물 등 계획</t>
    <phoneticPr fontId="3" type="noConversion"/>
  </si>
  <si>
    <t>4.1. 조망점 선정</t>
    <phoneticPr fontId="3" type="noConversion"/>
  </si>
  <si>
    <t>4.2. 경관시뮬레이션</t>
    <phoneticPr fontId="3" type="noConversion"/>
  </si>
  <si>
    <t>5. 성과품 작성</t>
    <phoneticPr fontId="14" type="noConversion"/>
  </si>
  <si>
    <t>5.1. 보고서 작성 및 편집</t>
    <phoneticPr fontId="3" type="noConversion"/>
  </si>
  <si>
    <t>5.2. 관련 도서 작성</t>
    <phoneticPr fontId="3" type="noConversion"/>
  </si>
  <si>
    <t>6.1. 관계기관 협의</t>
    <phoneticPr fontId="3" type="noConversion"/>
  </si>
  <si>
    <t>6.2. 위원회심의</t>
    <phoneticPr fontId="3" type="noConversion"/>
  </si>
  <si>
    <t>①,ⓐ,ⓑ</t>
  </si>
  <si>
    <t>①,ⓐ,ⓑ</t>
    <phoneticPr fontId="14" type="noConversion"/>
  </si>
  <si>
    <t>②</t>
    <phoneticPr fontId="14" type="noConversion"/>
  </si>
  <si>
    <t>1.1. 세부평가기준 및 평가방법수립</t>
    <phoneticPr fontId="14" type="noConversion"/>
  </si>
  <si>
    <t>2.1. 계획적 타당성 검토</t>
    <phoneticPr fontId="14" type="noConversion"/>
  </si>
  <si>
    <t>2.2. 환경적 타당성 검토</t>
    <phoneticPr fontId="14" type="noConversion"/>
  </si>
  <si>
    <t>3.1. 균형적 국토발전</t>
    <phoneticPr fontId="14" type="noConversion"/>
  </si>
  <si>
    <t>3.2. 국토의 경쟁력 강화</t>
    <phoneticPr fontId="14" type="noConversion"/>
  </si>
  <si>
    <t>3.3. 환경친화적 국토관리</t>
    <phoneticPr fontId="14" type="noConversion"/>
  </si>
  <si>
    <t>3.4. 계획의 적정성</t>
    <phoneticPr fontId="14" type="noConversion"/>
  </si>
  <si>
    <t>4.1. 자체평가표 작성</t>
    <phoneticPr fontId="3" type="noConversion"/>
  </si>
  <si>
    <t>4.2. 평가요청서 작성</t>
    <phoneticPr fontId="14" type="noConversion"/>
  </si>
  <si>
    <t>5.1. 위원회심의 지원</t>
    <phoneticPr fontId="14" type="noConversion"/>
  </si>
  <si>
    <t>5.2. 관계기관 협의</t>
    <phoneticPr fontId="14" type="noConversion"/>
  </si>
  <si>
    <t>①</t>
    <phoneticPr fontId="14" type="noConversion"/>
  </si>
  <si>
    <t>②</t>
    <phoneticPr fontId="14" type="noConversion"/>
  </si>
  <si>
    <t>주1 : 과업면적이 100㎢미만인 경우 과업면적 100㎢를 기준으로 산정</t>
    <phoneticPr fontId="3" type="noConversion"/>
  </si>
  <si>
    <t>①계획면적(A) :</t>
    <phoneticPr fontId="3" type="noConversion"/>
  </si>
  <si>
    <t xml:space="preserve"> 기술협의는 2회 이내 기준이며, 횟수 증가에 따라 비용을 가산한다.</t>
    <phoneticPr fontId="3" type="noConversion"/>
  </si>
  <si>
    <r>
      <t>① 면적보정계수(α) = (A/50)</t>
    </r>
    <r>
      <rPr>
        <vertAlign val="superscript"/>
        <sz val="11"/>
        <rFont val="굴림체"/>
        <family val="3"/>
        <charset val="129"/>
      </rPr>
      <t>0.3</t>
    </r>
    <r>
      <rPr>
        <sz val="11"/>
        <rFont val="굴림체"/>
        <family val="3"/>
        <charset val="129"/>
      </rPr>
      <t xml:space="preserve"> :</t>
    </r>
    <phoneticPr fontId="3" type="noConversion"/>
  </si>
  <si>
    <t>ⓐ계획단위 밀도 보정계수(β):</t>
    <phoneticPr fontId="3" type="noConversion"/>
  </si>
  <si>
    <t>1.1. 기초자료 정비</t>
    <phoneticPr fontId="3" type="noConversion"/>
  </si>
  <si>
    <t>2.1. 평가지표 선정</t>
    <phoneticPr fontId="3" type="noConversion"/>
  </si>
  <si>
    <t>2.2. 평가기준 설정 및 점수산정</t>
    <phoneticPr fontId="3" type="noConversion"/>
  </si>
  <si>
    <t>2.3. 적성값 산정</t>
    <phoneticPr fontId="3" type="noConversion"/>
  </si>
  <si>
    <t>2.4. 표준화값 산정 및 별도분류</t>
    <phoneticPr fontId="3" type="noConversion"/>
  </si>
  <si>
    <t>2.5. 적성등급 적용기준 검토 지원</t>
    <phoneticPr fontId="3" type="noConversion"/>
  </si>
  <si>
    <t>3.1. 평가보고서 작성</t>
    <phoneticPr fontId="3" type="noConversion"/>
  </si>
  <si>
    <t>4.1. 위원회심의 및 자문 지원</t>
    <phoneticPr fontId="3" type="noConversion"/>
  </si>
  <si>
    <t>4.2. 관계기관협의</t>
    <phoneticPr fontId="3" type="noConversion"/>
  </si>
  <si>
    <t>①</t>
    <phoneticPr fontId="14" type="noConversion"/>
  </si>
  <si>
    <t>①,ⓐ</t>
    <phoneticPr fontId="14" type="noConversion"/>
  </si>
  <si>
    <t>②</t>
    <phoneticPr fontId="14" type="noConversion"/>
  </si>
  <si>
    <t>②</t>
    <phoneticPr fontId="14" type="noConversion"/>
  </si>
  <si>
    <t>1. 기성시가지(2,500필지/㎢이상)</t>
    <phoneticPr fontId="14" type="noConversion"/>
  </si>
  <si>
    <t>2. 시가지인접지역(1,000필지/㎢이상~2,000필지/㎢미만)</t>
    <phoneticPr fontId="14" type="noConversion"/>
  </si>
  <si>
    <t>3. 농지지역(400필지/㎢이상~1,000필지/㎢미만)</t>
    <phoneticPr fontId="14" type="noConversion"/>
  </si>
  <si>
    <t>4. 산지지역(400필지/㎢미만)</t>
    <phoneticPr fontId="14" type="noConversion"/>
  </si>
  <si>
    <t>주1 : 과업면적이 50㎢미만인 경우 과업면적 50㎢를 기준으로 산정</t>
    <phoneticPr fontId="3" type="noConversion"/>
  </si>
  <si>
    <t>1) '1.조사 및 분석'은 발주자가 기초자료 제공 기준이며 전수조사 등 추가조사는 별도 계상한다.</t>
    <phoneticPr fontId="14" type="noConversion"/>
  </si>
  <si>
    <t>2) 기술협의는 2회 기준이며, 횟수 증가에 따라 비용을 가산한다.</t>
    <phoneticPr fontId="14" type="noConversion"/>
  </si>
  <si>
    <t xml:space="preserve">3) 공간정보의 미구축지역에 대한 공간정보구축업무, 토지적성평가결과 반영을 위한 도시군관리계획업무는 별도 </t>
    <phoneticPr fontId="14" type="noConversion"/>
  </si>
  <si>
    <t xml:space="preserve">   계상한다.</t>
    <phoneticPr fontId="14" type="noConversion"/>
  </si>
  <si>
    <t>1. 조사 및 분석</t>
    <phoneticPr fontId="3" type="noConversion"/>
  </si>
  <si>
    <t>1.1. 분석유형설정 및 계획수립</t>
    <phoneticPr fontId="3" type="noConversion"/>
  </si>
  <si>
    <t>2.1. 일반현황조사</t>
    <phoneticPr fontId="3" type="noConversion"/>
  </si>
  <si>
    <t>2.2. 재해발생현황조사</t>
    <phoneticPr fontId="3" type="noConversion"/>
  </si>
  <si>
    <t>2.3. 관련계획 조사</t>
    <phoneticPr fontId="3" type="noConversion"/>
  </si>
  <si>
    <t>3.1. 도시민감도 DB구축</t>
    <phoneticPr fontId="14" type="noConversion"/>
  </si>
  <si>
    <t>3.2. 기후노출 DB구축</t>
    <phoneticPr fontId="3" type="noConversion"/>
  </si>
  <si>
    <t>4.1. 재해취약성분석구조 및 절차수립</t>
    <phoneticPr fontId="3" type="noConversion"/>
  </si>
  <si>
    <t>4.2. 현재 기후노출 분석</t>
    <phoneticPr fontId="3" type="noConversion"/>
  </si>
  <si>
    <t>4.3. 도시민감도 분석</t>
    <phoneticPr fontId="3" type="noConversion"/>
  </si>
  <si>
    <t>4.4. 현재 취약성 분석</t>
    <phoneticPr fontId="3" type="noConversion"/>
  </si>
  <si>
    <t>4.5. 미래기후노출 분석</t>
    <phoneticPr fontId="3" type="noConversion"/>
  </si>
  <si>
    <t>4.6. 미래도시민감도 분석</t>
    <phoneticPr fontId="3" type="noConversion"/>
  </si>
  <si>
    <t>4.7. 미래취약성 분석</t>
    <phoneticPr fontId="3" type="noConversion"/>
  </si>
  <si>
    <t>4.8. 종합재해취약성 분석</t>
    <phoneticPr fontId="3" type="noConversion"/>
  </si>
  <si>
    <t>5.1. 취약지역 공간분석</t>
    <phoneticPr fontId="3" type="noConversion"/>
  </si>
  <si>
    <t>5.2. 취약지 현장조사</t>
    <phoneticPr fontId="3" type="noConversion"/>
  </si>
  <si>
    <t>5.3. 현장조사 결과 분석</t>
    <phoneticPr fontId="3" type="noConversion"/>
  </si>
  <si>
    <t>5.4. 현재취약지 평가 및 개선방향 수립</t>
    <phoneticPr fontId="3" type="noConversion"/>
  </si>
  <si>
    <t>6.1. 요약 및 정책제언</t>
    <phoneticPr fontId="3" type="noConversion"/>
  </si>
  <si>
    <t>7.1. 보고서 작성</t>
    <phoneticPr fontId="3" type="noConversion"/>
  </si>
  <si>
    <t>8.1. 전문가 자문 및 지원</t>
    <phoneticPr fontId="3" type="noConversion"/>
  </si>
  <si>
    <t>8.2. 관계기관 협의</t>
    <phoneticPr fontId="3" type="noConversion"/>
  </si>
  <si>
    <t>①,ⓐ</t>
    <phoneticPr fontId="14" type="noConversion"/>
  </si>
  <si>
    <t xml:space="preserve">ⓐ 보정계수(γ) : </t>
    <phoneticPr fontId="14" type="noConversion"/>
  </si>
  <si>
    <t>계획면적(㎢)</t>
    <phoneticPr fontId="14" type="noConversion"/>
  </si>
  <si>
    <t>계획인구(만인)</t>
    <phoneticPr fontId="14" type="noConversion"/>
  </si>
  <si>
    <t xml:space="preserve">    : 계획인구가 10만인 미만인 경우 계획인구 10만인을 기준으로 산정</t>
    <phoneticPr fontId="14" type="noConversion"/>
  </si>
  <si>
    <t>주1 : 계획면적이 100㎢ 미만인 경우 계획면적 100㎢를 기준으로 산정</t>
    <phoneticPr fontId="14" type="noConversion"/>
  </si>
  <si>
    <t xml:space="preserve">      계획면적은 과업면적.계획인구는 목표인구를 적용</t>
    <phoneticPr fontId="14" type="noConversion"/>
  </si>
  <si>
    <t>연평균피해액</t>
    <phoneticPr fontId="14" type="noConversion"/>
  </si>
  <si>
    <t>주1 : 교육환경영향평가시 과업대상지 외부의 학교(유치원 포함)를 포함하여</t>
    <phoneticPr fontId="3" type="noConversion"/>
  </si>
  <si>
    <t xml:space="preserve">      평가할 경우 학교수에 추가하여 적용</t>
    <phoneticPr fontId="14" type="noConversion"/>
  </si>
  <si>
    <r>
      <t>보정계수(a) = (B/1)</t>
    </r>
    <r>
      <rPr>
        <vertAlign val="superscript"/>
        <sz val="11"/>
        <rFont val="굴림체"/>
        <family val="3"/>
        <charset val="129"/>
      </rPr>
      <t>0.8</t>
    </r>
    <r>
      <rPr>
        <sz val="11"/>
        <rFont val="굴림체"/>
        <family val="3"/>
        <charset val="129"/>
      </rPr>
      <t xml:space="preserve"> :</t>
    </r>
    <phoneticPr fontId="3" type="noConversion"/>
  </si>
  <si>
    <t>①계획학교수(A) :</t>
    <phoneticPr fontId="3" type="noConversion"/>
  </si>
  <si>
    <t>1. 사업계획 검토</t>
    <phoneticPr fontId="3" type="noConversion"/>
  </si>
  <si>
    <t>1.1. 사업계획서 분석</t>
    <phoneticPr fontId="3" type="noConversion"/>
  </si>
  <si>
    <t>2. 평가계획 수립</t>
    <phoneticPr fontId="3" type="noConversion"/>
  </si>
  <si>
    <t>2.1. 교육환경평가 추진계획</t>
    <phoneticPr fontId="3" type="noConversion"/>
  </si>
  <si>
    <t>3.1. 위치</t>
    <phoneticPr fontId="3" type="noConversion"/>
  </si>
  <si>
    <t>3.2. 크기 및 외형</t>
    <phoneticPr fontId="3" type="noConversion"/>
  </si>
  <si>
    <t>3.3. 지형 및 토양환경</t>
    <phoneticPr fontId="3" type="noConversion"/>
  </si>
  <si>
    <t>3.4. 대기환경</t>
    <phoneticPr fontId="3" type="noConversion"/>
  </si>
  <si>
    <t>3.5. 주변유해환경</t>
    <phoneticPr fontId="3" type="noConversion"/>
  </si>
  <si>
    <t>3.6. 공공시설</t>
    <phoneticPr fontId="3" type="noConversion"/>
  </si>
  <si>
    <t>4.1. 종합평가</t>
    <phoneticPr fontId="3" type="noConversion"/>
  </si>
  <si>
    <t>5.1. 성과품 작성</t>
    <phoneticPr fontId="3" type="noConversion"/>
  </si>
  <si>
    <t>6.1. 관계기관 협의</t>
    <phoneticPr fontId="3" type="noConversion"/>
  </si>
  <si>
    <t>①</t>
    <phoneticPr fontId="14" type="noConversion"/>
  </si>
  <si>
    <t>1) '사업계획검토'를 위한 모든 자료는 발주자가 제공하며, 건축계획, 조경계획등 학교시설계획은 별도 계상한다.</t>
    <phoneticPr fontId="14" type="noConversion"/>
  </si>
  <si>
    <t>2) 기술협의는 2회 기준이며, 횟수 증가에 따라 비용을 가산한다.</t>
    <phoneticPr fontId="14" type="noConversion"/>
  </si>
  <si>
    <t>주1 : 계획면적이 5만㎡ 미만인 경우 계획면적 5만㎡를 기준으로 산정</t>
    <phoneticPr fontId="3" type="noConversion"/>
  </si>
  <si>
    <t xml:space="preserve">      면적은 계획이 이루어지는 면적이며, "1.조사분석"업무 면적은 조사분석 수행면적</t>
    <phoneticPr fontId="14" type="noConversion"/>
  </si>
  <si>
    <t xml:space="preserve">      강, 바다등을 포함하는 지역은 강, 바다등이 시설지구로 이용될 때 기준면적에 포함 원칙</t>
    <phoneticPr fontId="14" type="noConversion"/>
  </si>
  <si>
    <t>내륙형</t>
    <phoneticPr fontId="14" type="noConversion"/>
  </si>
  <si>
    <t>도시형</t>
    <phoneticPr fontId="14" type="noConversion"/>
  </si>
  <si>
    <t>해안호수형</t>
    <phoneticPr fontId="14" type="noConversion"/>
  </si>
  <si>
    <r>
      <t>①환산계수(α) = (A/10)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</si>
  <si>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ⓐ보정계수(β)</t>
    <phoneticPr fontId="3" type="noConversion"/>
  </si>
  <si>
    <t>1. 조사분석</t>
    <phoneticPr fontId="3" type="noConversion"/>
  </si>
  <si>
    <t>1.2. 인문환경</t>
    <phoneticPr fontId="3" type="noConversion"/>
  </si>
  <si>
    <t>1.3. 종합분석</t>
    <phoneticPr fontId="3" type="noConversion"/>
  </si>
  <si>
    <t>2.1. 개발방향설정</t>
    <phoneticPr fontId="3" type="noConversion"/>
  </si>
  <si>
    <t>2.2. 계획지표설정</t>
    <phoneticPr fontId="3" type="noConversion"/>
  </si>
  <si>
    <t>2.3. 토지이용체계구상</t>
    <phoneticPr fontId="3" type="noConversion"/>
  </si>
  <si>
    <t>2.4. 동선체계구상</t>
    <phoneticPr fontId="3" type="noConversion"/>
  </si>
  <si>
    <t>2.5. 유치시설종류 및 규모설정</t>
    <phoneticPr fontId="3" type="noConversion"/>
  </si>
  <si>
    <t>3.1. 토지이용계획</t>
    <phoneticPr fontId="3" type="noConversion"/>
  </si>
  <si>
    <t>3.2. 교통동선 및 포장계획</t>
    <phoneticPr fontId="3" type="noConversion"/>
  </si>
  <si>
    <t>3.3. 시설배치계획</t>
    <phoneticPr fontId="3" type="noConversion"/>
  </si>
  <si>
    <t>3.4. 식재계획</t>
    <phoneticPr fontId="3" type="noConversion"/>
  </si>
  <si>
    <t>3.5. 공급처리계획</t>
    <phoneticPr fontId="3" type="noConversion"/>
  </si>
  <si>
    <t>4. 집행(사업)계획</t>
    <phoneticPr fontId="3" type="noConversion"/>
  </si>
  <si>
    <t>4.1. 개발추진계획</t>
    <phoneticPr fontId="3" type="noConversion"/>
  </si>
  <si>
    <t>4.2. 관리운영계획</t>
    <phoneticPr fontId="3" type="noConversion"/>
  </si>
  <si>
    <t>5.1. 보고서</t>
    <phoneticPr fontId="3" type="noConversion"/>
  </si>
  <si>
    <t>5.2. 관련도서</t>
    <phoneticPr fontId="3" type="noConversion"/>
  </si>
  <si>
    <t>6.1. 위원회 심의 지원</t>
    <phoneticPr fontId="3" type="noConversion"/>
  </si>
  <si>
    <t>6.2. 주민설명회 자료 작성 등</t>
    <phoneticPr fontId="3" type="noConversion"/>
  </si>
  <si>
    <t>6.3. 관계기관 협의</t>
    <phoneticPr fontId="3" type="noConversion"/>
  </si>
  <si>
    <t>1식</t>
    <phoneticPr fontId="14" type="noConversion"/>
  </si>
  <si>
    <t>1식</t>
    <phoneticPr fontId="14" type="noConversion"/>
  </si>
  <si>
    <t>②</t>
    <phoneticPr fontId="14" type="noConversion"/>
  </si>
  <si>
    <t xml:space="preserve"> 1) 각종 영향평가 및 영향성 검토(환경, 교통, 재해, 인구, 경관 등)등은 별도 계상한다.</t>
    <phoneticPr fontId="3" type="noConversion"/>
  </si>
  <si>
    <t xml:space="preserve"> 2) 각종 인·허가 업무를 위한 추가업무(농지전용, 산지전용, 하천점용 등)는 별도 계상한다.</t>
    <phoneticPr fontId="14" type="noConversion"/>
  </si>
  <si>
    <t xml:space="preserve"> 3) 주민설명회 자료 작성 등은 2회 기준이며, 횟수 증가에 따라 비용을 가산한다.</t>
    <phoneticPr fontId="3" type="noConversion"/>
  </si>
  <si>
    <t>ㅇ 도시숲, 생활숲, 수렵장 등</t>
    <phoneticPr fontId="3" type="noConversion"/>
  </si>
  <si>
    <t>■ 주제형 사업</t>
    <phoneticPr fontId="3" type="noConversion"/>
  </si>
  <si>
    <t>■ 주제형 사업</t>
    <phoneticPr fontId="3" type="noConversion"/>
  </si>
  <si>
    <t>2) 도시숲, 생활숲, 수렵장 등</t>
    <phoneticPr fontId="3" type="noConversion"/>
  </si>
  <si>
    <t>1) 산림휴양시설, 수목원·정원, 농어촌휴양단지, 온천지 등</t>
    <phoneticPr fontId="3" type="noConversion"/>
  </si>
  <si>
    <t>2.2. 수요 및 규모추정</t>
    <phoneticPr fontId="3" type="noConversion"/>
  </si>
  <si>
    <t xml:space="preserve">      면적은 시설형계획이 이루어지는 면적, 1. 조사분석업무 면적은 조사분석 수행면적</t>
    <phoneticPr fontId="14" type="noConversion"/>
  </si>
  <si>
    <t xml:space="preserve"> 3) 도시계획시설의 운영관리를 위한 경미한(소규모) 변경이 필요한 경우 각 기본업무의 10-30%로 적용한다.</t>
    <phoneticPr fontId="3" type="noConversion"/>
  </si>
  <si>
    <t xml:space="preserve"> 4) 주민설명회 자료 작성 등은 2회 기준이며, 횟수 증가에 따라 비용을 가산한다.</t>
    <phoneticPr fontId="14" type="noConversion"/>
  </si>
  <si>
    <t>유원지, 문화시설 등 유사시설</t>
    <phoneticPr fontId="14" type="noConversion"/>
  </si>
  <si>
    <t>청소년수련시설, 장사시설 등 유사시설</t>
    <phoneticPr fontId="14" type="noConversion"/>
  </si>
  <si>
    <t>체육시설 등 유사시설</t>
    <phoneticPr fontId="14" type="noConversion"/>
  </si>
  <si>
    <t>■ 특화분야</t>
    <phoneticPr fontId="3" type="noConversion"/>
  </si>
  <si>
    <t>ㅇ 광장,테마거리, 건축관련, 단지조경, 문화재 사적지 등</t>
    <phoneticPr fontId="3" type="noConversion"/>
  </si>
  <si>
    <t>2.2. 계획지표설정</t>
    <phoneticPr fontId="3" type="noConversion"/>
  </si>
  <si>
    <t>2.3. 종합배치계획</t>
    <phoneticPr fontId="3" type="noConversion"/>
  </si>
  <si>
    <t xml:space="preserve"> 3) 주민설명회 자료 작성 등은 2회 기준이며, 횟수 증가에 따라 비용을 가산한다.</t>
    <phoneticPr fontId="14" type="noConversion"/>
  </si>
  <si>
    <t>광장과 건축관련 공간시설 등 유사시설</t>
    <phoneticPr fontId="14" type="noConversion"/>
  </si>
  <si>
    <t>단지조경계획(주택단지, 산업단지)</t>
    <phoneticPr fontId="14" type="noConversion"/>
  </si>
  <si>
    <t>문화재 및 사적지계획 등 유사시설</t>
    <phoneticPr fontId="14" type="noConversion"/>
  </si>
  <si>
    <t>ㅇ 환경생태복원계획</t>
    <phoneticPr fontId="3" type="noConversion"/>
  </si>
  <si>
    <t>1.1. 자연환경 조사</t>
    <phoneticPr fontId="3" type="noConversion"/>
  </si>
  <si>
    <t>1.2. 인문/사회현황조사</t>
    <phoneticPr fontId="3" type="noConversion"/>
  </si>
  <si>
    <t>1.3. 조사결과의 도면화</t>
    <phoneticPr fontId="3" type="noConversion"/>
  </si>
  <si>
    <t>1.4. 분석/평가</t>
    <phoneticPr fontId="3" type="noConversion"/>
  </si>
  <si>
    <t>2.1. 계획의 목표설정</t>
    <phoneticPr fontId="3" type="noConversion"/>
  </si>
  <si>
    <t>2.2. 보호/관리/이용지역 설정</t>
    <phoneticPr fontId="3" type="noConversion"/>
  </si>
  <si>
    <t>2.3. 이용체계구상</t>
    <phoneticPr fontId="3" type="noConversion"/>
  </si>
  <si>
    <t>2.4. 시설종류 및 규모설정</t>
    <phoneticPr fontId="3" type="noConversion"/>
  </si>
  <si>
    <t>2.5. 환경/생태복원구상</t>
    <phoneticPr fontId="3" type="noConversion"/>
  </si>
  <si>
    <t>3.1. 보호/관리/이용지역계획</t>
    <phoneticPr fontId="3" type="noConversion"/>
  </si>
  <si>
    <t>3.2. 생태·복원 탐방계획</t>
    <phoneticPr fontId="3" type="noConversion"/>
  </si>
  <si>
    <t>3.3. 이용 및 시설계획</t>
    <phoneticPr fontId="3" type="noConversion"/>
  </si>
  <si>
    <t>3.4. 환경생태복원계획</t>
    <phoneticPr fontId="3" type="noConversion"/>
  </si>
  <si>
    <t>주1 : 계획면적이 10만㎡ 미만인 경우 계획면적 10만㎡를 기준으로 산정</t>
    <phoneticPr fontId="14" type="noConversion"/>
  </si>
  <si>
    <t xml:space="preserve">      면적은 환경생태복원계획이 이루어지는 면적, 1. 조사분석업무 면적은 조사분석 수행면적</t>
    <phoneticPr fontId="14" type="noConversion"/>
  </si>
  <si>
    <t>1. 조사 및 분석</t>
    <phoneticPr fontId="3" type="noConversion"/>
  </si>
  <si>
    <t>1.1. 현황조사</t>
    <phoneticPr fontId="3" type="noConversion"/>
  </si>
  <si>
    <t>1.2. 분석, 평가, 진단</t>
    <phoneticPr fontId="3" type="noConversion"/>
  </si>
  <si>
    <t>2.1. 기본구상</t>
    <phoneticPr fontId="3" type="noConversion"/>
  </si>
  <si>
    <t>2.2. 타당성검토 및 경제성 검토</t>
    <phoneticPr fontId="3" type="noConversion"/>
  </si>
  <si>
    <t>3.1. 성과품 작성</t>
    <phoneticPr fontId="3" type="noConversion"/>
  </si>
  <si>
    <t>4.1. 공청회/주민설명회</t>
    <phoneticPr fontId="3" type="noConversion"/>
  </si>
  <si>
    <t>4.3. 위원회심의 지원</t>
    <phoneticPr fontId="3" type="noConversion"/>
  </si>
  <si>
    <t>4.4. 관계기관 협의</t>
    <phoneticPr fontId="3" type="noConversion"/>
  </si>
  <si>
    <t>①</t>
    <phoneticPr fontId="14" type="noConversion"/>
  </si>
  <si>
    <t>①,ⓐ</t>
    <phoneticPr fontId="14" type="noConversion"/>
  </si>
  <si>
    <t>②</t>
    <phoneticPr fontId="14" type="noConversion"/>
  </si>
  <si>
    <r>
      <t>① 보정계수(α) = (A/10)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</si>
  <si>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ⓐ분석난이도에 대한 보정계수(γ):</t>
    <phoneticPr fontId="3" type="noConversion"/>
  </si>
  <si>
    <t>주1 : 계획면적이 3만㎡미만인 경우 과업면적 3만㎡를 기준으로 산정</t>
    <phoneticPr fontId="3" type="noConversion"/>
  </si>
  <si>
    <t>주a : 난이도 : 리스크분석, 비용-편익분석, 손익분석, 투자수익분석,</t>
    <phoneticPr fontId="3" type="noConversion"/>
  </si>
  <si>
    <t xml:space="preserve">         추정현금흐름표작성 등 경제적 타당성 검토에 있어 난이도 높은경우</t>
    <phoneticPr fontId="14" type="noConversion"/>
  </si>
  <si>
    <t>1) '1.조사 및 분석'은 발주자가 기초자료 제공 기준이며 전수조사 등 추가조사는 별도 계상한다.</t>
    <phoneticPr fontId="14" type="noConversion"/>
  </si>
  <si>
    <t>2) 기술협의는 2회 기준이며, 횟수 증가에 따라 비용을 가산한다.</t>
    <phoneticPr fontId="14" type="noConversion"/>
  </si>
  <si>
    <t>3) 각종영향성검토 및 각종영향평가업무 등은 별도 계상한다.</t>
    <phoneticPr fontId="3" type="noConversion"/>
  </si>
  <si>
    <t>4) 입주수요조사(설문조사포함), 마케팅계획 등의 업무는 별도 계상한다.</t>
    <phoneticPr fontId="14" type="noConversion"/>
  </si>
  <si>
    <t>■ 사업타당성 조사분석 업무(도시개발부문(도시시설개발))</t>
    <phoneticPr fontId="3" type="noConversion"/>
  </si>
  <si>
    <r>
      <t>① 보정계수(α) = (A/3)</t>
    </r>
    <r>
      <rPr>
        <vertAlign val="superscript"/>
        <sz val="11"/>
        <rFont val="굴림체"/>
        <family val="3"/>
        <charset val="129"/>
      </rPr>
      <t>0.8</t>
    </r>
    <r>
      <rPr>
        <sz val="11"/>
        <rFont val="굴림체"/>
        <family val="3"/>
        <charset val="129"/>
      </rPr>
      <t xml:space="preserve"> :</t>
    </r>
    <phoneticPr fontId="3" type="noConversion"/>
  </si>
  <si>
    <t>■ 사업타당성 조사분석 업무(지역개발부문)</t>
    <phoneticPr fontId="3" type="noConversion"/>
  </si>
  <si>
    <r>
      <t>① 보정계수(α) = (A/50)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</si>
  <si>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주1 : 계획면적이 10만㎡미만인 경우 과업면적 10만㎡를 기준으로 산정</t>
    <phoneticPr fontId="3" type="noConversion"/>
  </si>
  <si>
    <t>2.1. 개발규모 및 내용설정</t>
    <phoneticPr fontId="3" type="noConversion"/>
  </si>
  <si>
    <t>2.2. 기본구상안 작성</t>
    <phoneticPr fontId="3" type="noConversion"/>
  </si>
  <si>
    <t>2.3. 타당성검토</t>
    <phoneticPr fontId="3" type="noConversion"/>
  </si>
  <si>
    <t>3. 실행계획</t>
    <phoneticPr fontId="3" type="noConversion"/>
  </si>
  <si>
    <t>3.1. 사업집행계획</t>
    <phoneticPr fontId="3" type="noConversion"/>
  </si>
  <si>
    <t>4.1. 성과품 작성</t>
    <phoneticPr fontId="3" type="noConversion"/>
  </si>
  <si>
    <t>5. 기술협의</t>
    <phoneticPr fontId="3" type="noConversion"/>
  </si>
  <si>
    <t>5.1. 공청회/주민설명회</t>
    <phoneticPr fontId="3" type="noConversion"/>
  </si>
  <si>
    <t>5.2. 주민간담회/시민계획단</t>
    <phoneticPr fontId="3" type="noConversion"/>
  </si>
  <si>
    <t>ⓑ분석난이도에 대한 보정계수(γ):</t>
    <phoneticPr fontId="3" type="noConversion"/>
  </si>
  <si>
    <t>ⓐ대상지성격에 대한 보정계수(β):</t>
    <phoneticPr fontId="3" type="noConversion"/>
  </si>
  <si>
    <t>주b : 난이도 : 리스크분석, 비용-편익분석, 손익분석, 투자수익분석,</t>
    <phoneticPr fontId="3" type="noConversion"/>
  </si>
  <si>
    <t>1.1. 현황조사분석</t>
    <phoneticPr fontId="3" type="noConversion"/>
  </si>
  <si>
    <t>3. 집행(사업)계획</t>
    <phoneticPr fontId="3" type="noConversion"/>
  </si>
  <si>
    <t>4.1. 보고서</t>
    <phoneticPr fontId="3" type="noConversion"/>
  </si>
  <si>
    <t>4.1. 관련도서</t>
    <phoneticPr fontId="3" type="noConversion"/>
  </si>
  <si>
    <t>■ 관광레저조경분야 사업타당성 조사분석업무</t>
    <phoneticPr fontId="3" type="noConversion"/>
  </si>
  <si>
    <t>주a</t>
    <phoneticPr fontId="14" type="noConversion"/>
  </si>
  <si>
    <t>공원분야(테마거리, 광장등/ 도시공원,자연공원등 / 개별법에 따른 유사테마파크 조성사업 등</t>
    <phoneticPr fontId="14" type="noConversion"/>
  </si>
  <si>
    <t>주제형 및 특화사업(도시숲, 농어촌휴양지, 온천지등 / 산림문화휴양시설, 수목원 정원등 / 환경생태복원사업, 문화재 사적지등</t>
    <phoneticPr fontId="14" type="noConversion"/>
  </si>
  <si>
    <t>관광레저분야(도시계획시설형(유원지, 문화시설, 청소년수련시설등) / 관광(단)지, 관광개발계획(지역특화발전특구계획등)  / 관광레저복합단지, 관광시설형(궤도등), 체육시설형(골프장, 스키장등)</t>
    <phoneticPr fontId="14" type="noConversion"/>
  </si>
  <si>
    <t>공원분야</t>
    <phoneticPr fontId="14" type="noConversion"/>
  </si>
  <si>
    <t>주제형 및 특화사업</t>
    <phoneticPr fontId="14" type="noConversion"/>
  </si>
  <si>
    <t>관광레저분야</t>
    <phoneticPr fontId="14" type="noConversion"/>
  </si>
  <si>
    <t xml:space="preserve">  사업타당성조사 업무가 이루어지는 면적이며, 1.조사분석은 현황조사 분석 수행 면적 적용</t>
    <phoneticPr fontId="14" type="noConversion"/>
  </si>
  <si>
    <t>①,ⓐ,ⓑ</t>
    <phoneticPr fontId="14" type="noConversion"/>
  </si>
  <si>
    <t>5.1. 위원회 심의 지원</t>
    <phoneticPr fontId="3" type="noConversion"/>
  </si>
  <si>
    <t>5.2. 주민설명회 자료 작성 등</t>
    <phoneticPr fontId="3" type="noConversion"/>
  </si>
  <si>
    <t>5.3. 관계기관 협의</t>
    <phoneticPr fontId="3" type="noConversion"/>
  </si>
  <si>
    <t>②</t>
    <phoneticPr fontId="14" type="noConversion"/>
  </si>
  <si>
    <t>1식</t>
    <phoneticPr fontId="14" type="noConversion"/>
  </si>
  <si>
    <t>Ⅰ-2. 직접경비</t>
  </si>
  <si>
    <t>Ⅰ-2. 직접경비</t>
    <phoneticPr fontId="3" type="noConversion"/>
  </si>
  <si>
    <t>1.1. 인문환경</t>
    <phoneticPr fontId="3" type="noConversion"/>
  </si>
  <si>
    <t>1.2. 자연환경</t>
    <phoneticPr fontId="3" type="noConversion"/>
  </si>
  <si>
    <t>1.3. 토지이용</t>
    <phoneticPr fontId="3" type="noConversion"/>
  </si>
  <si>
    <t>1.4. 건축 관련</t>
    <phoneticPr fontId="3" type="noConversion"/>
  </si>
  <si>
    <t>1.5. 인구 및 산업</t>
    <phoneticPr fontId="3" type="noConversion"/>
  </si>
  <si>
    <t>1.6. 교통시설</t>
    <phoneticPr fontId="3" type="noConversion"/>
  </si>
  <si>
    <t>1.7. 유통 및 공급시설</t>
    <phoneticPr fontId="3" type="noConversion"/>
  </si>
  <si>
    <t>1.8. 공간시설</t>
    <phoneticPr fontId="3" type="noConversion"/>
  </si>
  <si>
    <t>1.9. 재정</t>
    <phoneticPr fontId="3" type="noConversion"/>
  </si>
  <si>
    <t>1.10. GIS구축</t>
    <phoneticPr fontId="3" type="noConversion"/>
  </si>
  <si>
    <t>2.1. 보고서 작성</t>
    <phoneticPr fontId="3" type="noConversion"/>
  </si>
  <si>
    <t>2.2. 관련도서작성</t>
    <phoneticPr fontId="3" type="noConversion"/>
  </si>
  <si>
    <t>계획인구(도시군관리계획 수립)</t>
    <phoneticPr fontId="3" type="noConversion"/>
  </si>
  <si>
    <t>계획면적(기타계획 수립)</t>
    <phoneticPr fontId="3" type="noConversion"/>
  </si>
  <si>
    <t>주1 : 계획인구 1만인 미만은 계획인구 1만인을 기준으로 산정</t>
    <phoneticPr fontId="3" type="noConversion"/>
  </si>
  <si>
    <t xml:space="preserve">      계획면적 3만㎡ 미만인 경우 계획면적 3만㎡를 기준으로 산정</t>
    <phoneticPr fontId="3" type="noConversion"/>
  </si>
  <si>
    <t>①</t>
    <phoneticPr fontId="3" type="noConversion"/>
  </si>
  <si>
    <t xml:space="preserve">  는 별도로 한다.</t>
    <phoneticPr fontId="3" type="noConversion"/>
  </si>
  <si>
    <t>②본 기초조사는 발주자가 모든 관련 자료를 제공하는 간접조사방식에 의한 조사이며, 관련 자료를 제공하지 못하는</t>
    <phoneticPr fontId="3" type="noConversion"/>
  </si>
  <si>
    <t xml:space="preserve">  경우 기초자료 수집내용에 따른 별도 계상한다.</t>
    <phoneticPr fontId="3" type="noConversion"/>
  </si>
  <si>
    <t xml:space="preserve">③주민의식조사를 위한 설문조사 및 지역산업생태계 조사를 위한 기업체 인터뷰, 각종 공문서 열람수수료는 별도 </t>
    <phoneticPr fontId="3" type="noConversion"/>
  </si>
  <si>
    <t xml:space="preserve">  계상한다. </t>
    <phoneticPr fontId="3" type="noConversion"/>
  </si>
  <si>
    <t>④기준면적은 도시게획관련 각종 계획대상지의 규모분포를 분석하여 설정하며, 직능별 직접인력 소요원단위는 기</t>
    <phoneticPr fontId="3" type="noConversion"/>
  </si>
  <si>
    <t xml:space="preserve">  작성된 계획등의 투입기술자 비율을 감안하여 설정한다.</t>
    <phoneticPr fontId="3" type="noConversion"/>
  </si>
  <si>
    <t>■ 도시계획 기초조사</t>
    <phoneticPr fontId="3" type="noConversion"/>
  </si>
  <si>
    <t>1.1. 도시·군관리계획의 개요</t>
    <phoneticPr fontId="14" type="noConversion"/>
  </si>
  <si>
    <t>1.2. 환경현황 조사·분석</t>
    <phoneticPr fontId="14" type="noConversion"/>
  </si>
  <si>
    <t>2.1. 검토항목 설정</t>
    <phoneticPr fontId="14" type="noConversion"/>
  </si>
  <si>
    <t>2.2. 대안의 설정</t>
    <phoneticPr fontId="14" type="noConversion"/>
  </si>
  <si>
    <t>3.1. 계획의 적정성 및 입지의 타당성</t>
    <phoneticPr fontId="14" type="noConversion"/>
  </si>
  <si>
    <t>3.2. 생물다양성 서식지 보전</t>
    <phoneticPr fontId="14" type="noConversion"/>
  </si>
  <si>
    <t>3.3. 지형 및 생태계 보전</t>
    <phoneticPr fontId="14" type="noConversion"/>
  </si>
  <si>
    <t>3.4. 주변 자연경관에 미치는 영향</t>
    <phoneticPr fontId="14" type="noConversion"/>
  </si>
  <si>
    <t>3.5. 수환경의 보전</t>
    <phoneticPr fontId="14" type="noConversion"/>
  </si>
  <si>
    <t>3.6. 환경기준 부합성</t>
    <phoneticPr fontId="14" type="noConversion"/>
  </si>
  <si>
    <t>3.7. 환경기초시설의 적정성</t>
    <phoneticPr fontId="14" type="noConversion"/>
  </si>
  <si>
    <t>3.8. 자원, 에너지 순환의 효율성</t>
    <phoneticPr fontId="14" type="noConversion"/>
  </si>
  <si>
    <t>3.9. 환경영향분석</t>
    <phoneticPr fontId="14" type="noConversion"/>
  </si>
  <si>
    <t>4.1. 저감방안수립</t>
    <phoneticPr fontId="3" type="noConversion"/>
  </si>
  <si>
    <t>6. 성과품 작성</t>
    <phoneticPr fontId="14" type="noConversion"/>
  </si>
  <si>
    <t>6.1. 보고서작성</t>
    <phoneticPr fontId="14" type="noConversion"/>
  </si>
  <si>
    <t>6.2. 관련도서작성</t>
    <phoneticPr fontId="14" type="noConversion"/>
  </si>
  <si>
    <t>7.1. 공청회/주민설명회</t>
    <phoneticPr fontId="14" type="noConversion"/>
  </si>
  <si>
    <t>7.2. 주민간담회/시민계획단</t>
    <phoneticPr fontId="14" type="noConversion"/>
  </si>
  <si>
    <t>7.3. 위원회심의 지원</t>
    <phoneticPr fontId="14" type="noConversion"/>
  </si>
  <si>
    <t>7.4. 관계기관 협의</t>
    <phoneticPr fontId="14" type="noConversion"/>
  </si>
  <si>
    <t>①</t>
    <phoneticPr fontId="14" type="noConversion"/>
  </si>
  <si>
    <t xml:space="preserve">     계획면적은 과업면적을 적용</t>
    <phoneticPr fontId="14" type="noConversion"/>
  </si>
  <si>
    <t>주1 : 과업면적이 3만㎡미만인 경우에는 과업면적 3만㎡를 기준으로 산정</t>
    <phoneticPr fontId="3" type="noConversion"/>
  </si>
  <si>
    <t xml:space="preserve">1) 기술협의는 2회 기준이며, 횟수 증가에 따라 비용을 가산한다. </t>
    <phoneticPr fontId="3" type="noConversion"/>
  </si>
  <si>
    <t xml:space="preserve">2) 각종 환경관련 직접조사(동식물상, 대기질, 소음 등)는 별도 계상한다. </t>
    <phoneticPr fontId="3" type="noConversion"/>
  </si>
  <si>
    <r>
      <t>①보정계수(α) = (A/1)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</si>
  <si>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주1 : 과업면적이 0.5만㎡미만인 경우 과업면적 0.5만㎡를 기준으로 산정</t>
    <phoneticPr fontId="3" type="noConversion"/>
  </si>
  <si>
    <t xml:space="preserve">      기준면적은 단위사업 등 과업면적을 적용</t>
    <phoneticPr fontId="14" type="noConversion"/>
  </si>
  <si>
    <t>1. 조사 및 분석</t>
    <phoneticPr fontId="3" type="noConversion"/>
  </si>
  <si>
    <t>1.1. 현황조사</t>
    <phoneticPr fontId="3" type="noConversion"/>
  </si>
  <si>
    <t>1.2. 관련법규·계획 검토</t>
    <phoneticPr fontId="3" type="noConversion"/>
  </si>
  <si>
    <t>1.3. 현황종합분석</t>
    <phoneticPr fontId="3" type="noConversion"/>
  </si>
  <si>
    <t>2. 도시·군관리계획 개요</t>
    <phoneticPr fontId="3" type="noConversion"/>
  </si>
  <si>
    <t>2.1. 사업개요</t>
    <phoneticPr fontId="3" type="noConversion"/>
  </si>
  <si>
    <t>2.2. 시뮬레이션 여건</t>
    <phoneticPr fontId="3" type="noConversion"/>
  </si>
  <si>
    <t>3.1. 예비조망점 선정</t>
    <phoneticPr fontId="3" type="noConversion"/>
  </si>
  <si>
    <t>3.2. 가시권분석</t>
    <phoneticPr fontId="3" type="noConversion"/>
  </si>
  <si>
    <t>3.3. 최종조망점 선정</t>
    <phoneticPr fontId="3" type="noConversion"/>
  </si>
  <si>
    <t>4.1. 조망점별 시뮬레이션 분석</t>
    <phoneticPr fontId="3" type="noConversion"/>
  </si>
  <si>
    <t>4.2. 시뮬레이션 종합분석</t>
    <phoneticPr fontId="3" type="noConversion"/>
  </si>
  <si>
    <t>5.1. 경관예측</t>
    <phoneticPr fontId="3" type="noConversion"/>
  </si>
  <si>
    <t>5.2. 저감방안 수립</t>
    <phoneticPr fontId="3" type="noConversion"/>
  </si>
  <si>
    <t>6.1. 보고서 작성 및 편집</t>
    <phoneticPr fontId="3" type="noConversion"/>
  </si>
  <si>
    <t>6.2. 관련도서 작성</t>
    <phoneticPr fontId="3" type="noConversion"/>
  </si>
  <si>
    <t>7.1. 공청회/주민설명회</t>
    <phoneticPr fontId="3" type="noConversion"/>
  </si>
  <si>
    <t>7.2. 주민간담회/시민계획단</t>
    <phoneticPr fontId="3" type="noConversion"/>
  </si>
  <si>
    <t>7.3. 위원회심의 지원</t>
    <phoneticPr fontId="3" type="noConversion"/>
  </si>
  <si>
    <t>①</t>
    <phoneticPr fontId="14" type="noConversion"/>
  </si>
  <si>
    <t>②</t>
    <phoneticPr fontId="14" type="noConversion"/>
  </si>
  <si>
    <t xml:space="preserve"> 1) '1.조사 및 분석'은 발주자가 기초자료 제공 기준이며 전수조사 등 추가조사는 별도 계상한다.</t>
    <phoneticPr fontId="14" type="noConversion"/>
  </si>
  <si>
    <t xml:space="preserve"> 2) 기술협의는 2회 기준이며, 횟수 증가에 따라 비용을 가산한다.</t>
    <phoneticPr fontId="14" type="noConversion"/>
  </si>
  <si>
    <t xml:space="preserve"> 3) 경관시뮬레이션은 별도 계상한다.</t>
    <phoneticPr fontId="3" type="noConversion"/>
  </si>
  <si>
    <t>■ 도시계획 퍼실리테이션(Facilitation) 및 스마트도시 시민 리빙랩</t>
    <phoneticPr fontId="3" type="noConversion"/>
  </si>
  <si>
    <r>
      <t>①보정계수(α) = (A/4)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</si>
  <si>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②참여인원 규모에 따른 보정계수(β):</t>
    <phoneticPr fontId="3" type="noConversion"/>
  </si>
  <si>
    <t>1.1. 조직배분 및 구성</t>
    <phoneticPr fontId="3" type="noConversion"/>
  </si>
  <si>
    <t>1.2. 프로세스 구성</t>
    <phoneticPr fontId="3" type="noConversion"/>
  </si>
  <si>
    <t>①</t>
    <phoneticPr fontId="14" type="noConversion"/>
  </si>
  <si>
    <t>2.1. 비전만들기</t>
    <phoneticPr fontId="3" type="noConversion"/>
  </si>
  <si>
    <t>3.1. 이슈도출</t>
    <phoneticPr fontId="3" type="noConversion"/>
  </si>
  <si>
    <t>3.2. SWOT분석</t>
    <phoneticPr fontId="3" type="noConversion"/>
  </si>
  <si>
    <t>3.3. 핵심과제 도출</t>
    <phoneticPr fontId="3" type="noConversion"/>
  </si>
  <si>
    <t>4.1. 전략수립</t>
    <phoneticPr fontId="3" type="noConversion"/>
  </si>
  <si>
    <t>4.2. 아이디어 창출</t>
    <phoneticPr fontId="3" type="noConversion"/>
  </si>
  <si>
    <t>4.3. 문제해결방안 도출</t>
    <phoneticPr fontId="3" type="noConversion"/>
  </si>
  <si>
    <t>4.4. 갈등해결방안 도출</t>
    <phoneticPr fontId="3" type="noConversion"/>
  </si>
  <si>
    <t>5. 스마트도시 시민 리빙랩</t>
    <phoneticPr fontId="3" type="noConversion"/>
  </si>
  <si>
    <t>5.1. 사전준비</t>
    <phoneticPr fontId="3" type="noConversion"/>
  </si>
  <si>
    <t>5.2. 핵심과제 도출</t>
    <phoneticPr fontId="3" type="noConversion"/>
  </si>
  <si>
    <t>5.3. Pre-Research</t>
    <phoneticPr fontId="3" type="noConversion"/>
  </si>
  <si>
    <t>5.4. Ideation</t>
    <phoneticPr fontId="3" type="noConversion"/>
  </si>
  <si>
    <t>5.5. User Research</t>
    <phoneticPr fontId="3" type="noConversion"/>
  </si>
  <si>
    <t>5.6. User Test</t>
    <phoneticPr fontId="3" type="noConversion"/>
  </si>
  <si>
    <t>5.7. 스마트서비스 구축현황 점검</t>
    <phoneticPr fontId="3" type="noConversion"/>
  </si>
  <si>
    <t>5.8. 리빙랩성과 점검 및 확산방안 도출</t>
    <phoneticPr fontId="3" type="noConversion"/>
  </si>
  <si>
    <t>6. 성과점검</t>
    <phoneticPr fontId="3" type="noConversion"/>
  </si>
  <si>
    <t>6.1. 성과내용 반영여부 점검</t>
    <phoneticPr fontId="3" type="noConversion"/>
  </si>
  <si>
    <t>①</t>
    <phoneticPr fontId="14" type="noConversion"/>
  </si>
  <si>
    <t>①</t>
    <phoneticPr fontId="14" type="noConversion"/>
  </si>
  <si>
    <t>①/②</t>
  </si>
  <si>
    <t>①/②</t>
    <phoneticPr fontId="14" type="noConversion"/>
  </si>
  <si>
    <t xml:space="preserve">주 </t>
    <phoneticPr fontId="14" type="noConversion"/>
  </si>
  <si>
    <t>1) 퍼실리테이터는 특급기술자 이상의 기술자를 적용할 수 있어 특급기술자를 일반적으로 적용하되 기술사로 운용할</t>
    <phoneticPr fontId="14" type="noConversion"/>
  </si>
  <si>
    <t xml:space="preserve">   경우 특급기술자 대신 기술사 노임단가를 적용한다.</t>
    <phoneticPr fontId="14" type="noConversion"/>
  </si>
  <si>
    <t>2) 도시계획 퍼실리테이션은 '기본업무 1,2,3,4,6'을 적용하고 스마트도시 리빙랩은 '기본업무 5'를 적용한다.</t>
    <phoneticPr fontId="14" type="noConversion"/>
  </si>
  <si>
    <t>1. 조사 및 분석</t>
    <phoneticPr fontId="3" type="noConversion"/>
  </si>
  <si>
    <t>1.1. 현황조사</t>
    <phoneticPr fontId="3" type="noConversion"/>
  </si>
  <si>
    <t>1.2. 분석·평가·진단</t>
    <phoneticPr fontId="3" type="noConversion"/>
  </si>
  <si>
    <t>3.1. 단계별집행계획</t>
    <phoneticPr fontId="3" type="noConversion"/>
  </si>
  <si>
    <t>4.1. 보고서작성 및 편집</t>
    <phoneticPr fontId="3" type="noConversion"/>
  </si>
  <si>
    <t>5.1. 공청회/주민설명회</t>
    <phoneticPr fontId="3" type="noConversion"/>
  </si>
  <si>
    <t>5.2. 주민간담회/시민계획단</t>
    <phoneticPr fontId="3" type="noConversion"/>
  </si>
  <si>
    <t>5.4. 관계기관 협의</t>
    <phoneticPr fontId="3" type="noConversion"/>
  </si>
  <si>
    <t>②</t>
    <phoneticPr fontId="14" type="noConversion"/>
  </si>
  <si>
    <t>주1 : 단계별 집행계획 : 도시권의 과업면적 적용</t>
    <phoneticPr fontId="3" type="noConversion"/>
  </si>
  <si>
    <t>: 단계별 집행계획 계획면적이 10만㎡ 미만인 경우 10만㎡를 기준으로 산정</t>
    <phoneticPr fontId="14" type="noConversion"/>
  </si>
  <si>
    <t>: 단위계획시설 집행계획면적이 1만㎡미만인 경우 1만㎡를 기준으로 산정</t>
    <phoneticPr fontId="14" type="noConversion"/>
  </si>
  <si>
    <t>: 평균폭이 25m이상의 선적시설은 면적을 기준으로 산정</t>
    <phoneticPr fontId="14" type="noConversion"/>
  </si>
  <si>
    <t>1) '1. 조사 및 분석'은 발주자가 기초자료 제공 기준이며 전수조사 등 추가조사는 별도 계상한다.</t>
    <phoneticPr fontId="3" type="noConversion"/>
  </si>
  <si>
    <t>2) 기술협의는 2회 기주이며, 횟수증가에 따라 비용을 가산한다.</t>
    <phoneticPr fontId="14" type="noConversion"/>
  </si>
  <si>
    <t xml:space="preserve">   기본구상업무에 대하여 기술자의 투입인력을 60% 감할 수 있다.</t>
    <phoneticPr fontId="14" type="noConversion"/>
  </si>
  <si>
    <t>3) 도시군기본계획(재정비)계획 또는 지형도면고시계획과 단일 건으로 종합하여 발주할 경우 조사·분석과</t>
    <phoneticPr fontId="3" type="noConversion"/>
  </si>
  <si>
    <t xml:space="preserve">4) 도시·군관리계획 변경(재정비)계획 또는 지형도면고시계획을 수행 중에 도시군계획시설 단계별집행계획을 </t>
    <phoneticPr fontId="14" type="noConversion"/>
  </si>
  <si>
    <t xml:space="preserve">   동일 수행자에게 수의계약에 의하여 발주하고자 할 때에 현황조사와 기본구상업무에 대하여 기술자의 </t>
    <phoneticPr fontId="14" type="noConversion"/>
  </si>
  <si>
    <t xml:space="preserve">   투입인력을 40% 감할 수 있다.</t>
    <phoneticPr fontId="3" type="noConversion"/>
  </si>
  <si>
    <t>Ⅰ-2. 직접경비</t>
    <phoneticPr fontId="3" type="noConversion"/>
  </si>
  <si>
    <t>■ 도시·군관리계획시설사업 실시계획 인가</t>
    <phoneticPr fontId="3" type="noConversion"/>
  </si>
  <si>
    <t>1식</t>
    <phoneticPr fontId="14" type="noConversion"/>
  </si>
  <si>
    <t>1식</t>
    <phoneticPr fontId="14" type="noConversion"/>
  </si>
  <si>
    <t>주 : 1)계획면적이 10만㎡(10㎞)이상인 경우에는 계획면적 10만㎡(10㎞)를 기준으로 산정</t>
    <phoneticPr fontId="3" type="noConversion"/>
  </si>
  <si>
    <t xml:space="preserve">     2)평균폭이 25M 이상의 선적시설은 면적을 기준으로 산정</t>
    <phoneticPr fontId="14" type="noConversion"/>
  </si>
  <si>
    <t>1. 도시군계획시설사업 실시계획 인가</t>
    <phoneticPr fontId="3" type="noConversion"/>
  </si>
  <si>
    <t>1.1. 실시계획 승인도서 작성</t>
    <phoneticPr fontId="3" type="noConversion"/>
  </si>
  <si>
    <t>1.2. 보고서작성 및 편집</t>
    <phoneticPr fontId="3" type="noConversion"/>
  </si>
  <si>
    <t>1.3. 관련도서 작성</t>
    <phoneticPr fontId="3" type="noConversion"/>
  </si>
  <si>
    <t>1.4. 주민공람</t>
    <phoneticPr fontId="3" type="noConversion"/>
  </si>
  <si>
    <t>1.5. 관계기관 협의</t>
    <phoneticPr fontId="3" type="noConversion"/>
  </si>
  <si>
    <t>1) 토지적성평가, 사업인정의제협의, 농지·산지전용협의, 국공유지무상귀속 등은 별도 계상한다.</t>
    <phoneticPr fontId="14" type="noConversion"/>
  </si>
  <si>
    <t>2) 지하안전영향평가 등 각종영향성검토 및 각종영향평가업무는 별도 계상한다.</t>
    <phoneticPr fontId="14" type="noConversion"/>
  </si>
  <si>
    <t>3) 기본설계 및 실시설계, 측량, 토질조사 등 설계 및 조사, 시험은 별도 계상한다.</t>
    <phoneticPr fontId="3" type="noConversion"/>
  </si>
  <si>
    <t>4) 실시계획인가는 도시·군관리계획 결정 이후 도시·군계획시설사업 시행 시 적용한다.</t>
    <phoneticPr fontId="14" type="noConversion"/>
  </si>
  <si>
    <t>5) 실시계획 인가 업무내용 중 보고서 작성 및 편집은 필요시 적용한다.</t>
    <phoneticPr fontId="3" type="noConversion"/>
  </si>
  <si>
    <t>6) 해당시설의 종류에 따라 면적시설 또는 선적 시설로 구분하고, 구분에 따라 규모를 산정하며, 기준면적(거리)은</t>
    <phoneticPr fontId="14" type="noConversion"/>
  </si>
  <si>
    <t xml:space="preserve">    1만㎡(1.0㎞)를 원칙으로 한다.</t>
    <phoneticPr fontId="14" type="noConversion"/>
  </si>
  <si>
    <t>■ 개발사업 실시계획인가</t>
    <phoneticPr fontId="3" type="noConversion"/>
  </si>
  <si>
    <t>1. 실시계획 수립</t>
    <phoneticPr fontId="3" type="noConversion"/>
  </si>
  <si>
    <t>1.1. 용도지역 결정(변경)</t>
    <phoneticPr fontId="3" type="noConversion"/>
  </si>
  <si>
    <t>1.2. 도시계획시설 결정(변경)</t>
    <phoneticPr fontId="3" type="noConversion"/>
  </si>
  <si>
    <t>1.3. 토지이용계획(변경)</t>
    <phoneticPr fontId="3" type="noConversion"/>
  </si>
  <si>
    <t>2. 실시계획 승인도서 작성</t>
    <phoneticPr fontId="3" type="noConversion"/>
  </si>
  <si>
    <t>Ⅰ-2. 직접경비</t>
    <phoneticPr fontId="3" type="noConversion"/>
  </si>
  <si>
    <t>주 : 1)계획면적이 3만㎡이하는 3만㎡를 기준으로 산정</t>
    <phoneticPr fontId="3" type="noConversion"/>
  </si>
  <si>
    <t>①</t>
    <phoneticPr fontId="14" type="noConversion"/>
  </si>
  <si>
    <t>①</t>
    <phoneticPr fontId="14" type="noConversion"/>
  </si>
  <si>
    <t>1) 각종영향성검토 및 각종영향평가업무 등은 별도 계상한다.</t>
    <phoneticPr fontId="14" type="noConversion"/>
  </si>
  <si>
    <t xml:space="preserve">2) 이주대책계획, 타당성조사, 조사측량, 수요조사, 토질조사 및 시험, 기본 및 실시설계, 건축계획(설계), </t>
    <phoneticPr fontId="14" type="noConversion"/>
  </si>
  <si>
    <t xml:space="preserve">   농지(산지, 초지)전용협의, 국공유지 무상귀속, 사업인정의제 등은 별도 계상한다.</t>
    <phoneticPr fontId="3" type="noConversion"/>
  </si>
  <si>
    <t xml:space="preserve">3) 개발계획(주택단지, 산업단지, 유통단지 등)과 실시계획이 동시에 추진되는 사업은 개발계획과 실시계획의 </t>
    <phoneticPr fontId="14" type="noConversion"/>
  </si>
  <si>
    <t xml:space="preserve">    업무를 모두를 적용햐어야 한다. </t>
    <phoneticPr fontId="3" type="noConversion"/>
  </si>
  <si>
    <t>4) 실시계획인가는 개발사업의 개발계획(주택단지, 산업단지, 유통단지 등) 승인 이후 실시계획인가 시 적용하며,</t>
    <phoneticPr fontId="14" type="noConversion"/>
  </si>
  <si>
    <t xml:space="preserve">   본 과업 외 사항은(주택단지, 산업단지, 유통단지) 개발계획 품을 준용하여 사용한다.</t>
    <phoneticPr fontId="14" type="noConversion"/>
  </si>
  <si>
    <t>■ 사업인정의제 협의</t>
    <phoneticPr fontId="3" type="noConversion"/>
  </si>
  <si>
    <t>주 : 계획면적인 10만㎡미만인 경우 계획면적 10만㎡를 기준으로 하여 산정</t>
    <phoneticPr fontId="3" type="noConversion"/>
  </si>
  <si>
    <t>1. 계획안 검토</t>
    <phoneticPr fontId="14" type="noConversion"/>
  </si>
  <si>
    <t>1.1. 관련법규 검토</t>
    <phoneticPr fontId="14" type="noConversion"/>
  </si>
  <si>
    <t>1.2. 관련계획 검토</t>
    <phoneticPr fontId="14" type="noConversion"/>
  </si>
  <si>
    <t>2. 사업인정 의제 협의 도서 작성</t>
    <phoneticPr fontId="14" type="noConversion"/>
  </si>
  <si>
    <t>2.1. 주변지역과의 상관성 검토</t>
    <phoneticPr fontId="14" type="noConversion"/>
  </si>
  <si>
    <t>2.2. 시행목적의 공공성</t>
    <phoneticPr fontId="14" type="noConversion"/>
  </si>
  <si>
    <t>2.3. 사업의 공공기여도</t>
    <phoneticPr fontId="14" type="noConversion"/>
  </si>
  <si>
    <t>2.4. 사업시행자 유형</t>
    <phoneticPr fontId="14" type="noConversion"/>
  </si>
  <si>
    <t>2.5. 사업재원의 공공성</t>
    <phoneticPr fontId="14" type="noConversion"/>
  </si>
  <si>
    <t>2.6. 사업수행능력</t>
    <phoneticPr fontId="14" type="noConversion"/>
  </si>
  <si>
    <t>2.7. 목적 및 상위계획 부합여부</t>
    <phoneticPr fontId="14" type="noConversion"/>
  </si>
  <si>
    <t>2.8. 공익의 지속성</t>
    <phoneticPr fontId="14" type="noConversion"/>
  </si>
  <si>
    <t>2.12. 사업의 시급성</t>
    <phoneticPr fontId="14" type="noConversion"/>
  </si>
  <si>
    <t>2.9. 시설의 대중성</t>
    <phoneticPr fontId="14" type="noConversion"/>
  </si>
  <si>
    <t>2.10. 피해의 최소성</t>
    <phoneticPr fontId="14" type="noConversion"/>
  </si>
  <si>
    <t>2.11. 방법의 적절성</t>
    <phoneticPr fontId="14" type="noConversion"/>
  </si>
  <si>
    <t>Ⅰ-2. 직접경비</t>
    <phoneticPr fontId="3" type="noConversion"/>
  </si>
  <si>
    <t>■ 농지(초지)·산지전용</t>
    <phoneticPr fontId="3" type="noConversion"/>
  </si>
  <si>
    <t>1.1. 관련법규 검토</t>
    <phoneticPr fontId="3" type="noConversion"/>
  </si>
  <si>
    <t>1.2. 관련계획 검토</t>
    <phoneticPr fontId="3" type="noConversion"/>
  </si>
  <si>
    <t>1.3. 주변지역과의 상관성 검토</t>
    <phoneticPr fontId="3" type="noConversion"/>
  </si>
  <si>
    <t>2. 농지·산지전용 도서작성</t>
    <phoneticPr fontId="3" type="noConversion"/>
  </si>
  <si>
    <t>2.1. 농지·산지 전용협의 요청서 작성</t>
    <phoneticPr fontId="3" type="noConversion"/>
  </si>
  <si>
    <t>2.2. 농지·산지 편입현황조서 작성</t>
    <phoneticPr fontId="3" type="noConversion"/>
  </si>
  <si>
    <t>2.3. 피해방지계획서 작성</t>
    <phoneticPr fontId="3" type="noConversion"/>
  </si>
  <si>
    <t>2.4. 계획 관련도서 작성</t>
    <phoneticPr fontId="3" type="noConversion"/>
  </si>
  <si>
    <t>2.5. 농지·산지 관련도서 작성</t>
    <phoneticPr fontId="3" type="noConversion"/>
  </si>
  <si>
    <t>2.6. 초지 관련도서 작성(농지)</t>
    <phoneticPr fontId="3" type="noConversion"/>
  </si>
  <si>
    <t>3.1. 공청회/주민설명회</t>
    <phoneticPr fontId="14" type="noConversion"/>
  </si>
  <si>
    <t>3.2. 주민간담회/시민계획단</t>
    <phoneticPr fontId="14" type="noConversion"/>
  </si>
  <si>
    <t>3.3. 위원회심의 지원</t>
    <phoneticPr fontId="14" type="noConversion"/>
  </si>
  <si>
    <t>3.4. 관계기관 협의</t>
    <phoneticPr fontId="14" type="noConversion"/>
  </si>
  <si>
    <t>주1:계획면적이 10만㎡미만인 경우 계획면적 10만㎡를 기준으로 산정</t>
    <phoneticPr fontId="3" type="noConversion"/>
  </si>
  <si>
    <r>
      <t>①보정계수(α) = (A/50)</t>
    </r>
    <r>
      <rPr>
        <vertAlign val="superscript"/>
        <sz val="11"/>
        <rFont val="굴림체"/>
        <family val="3"/>
        <charset val="129"/>
      </rPr>
      <t>0.5</t>
    </r>
    <r>
      <rPr>
        <sz val="11"/>
        <rFont val="굴림체"/>
        <family val="3"/>
        <charset val="129"/>
      </rPr>
      <t xml:space="preserve"> :</t>
    </r>
    <phoneticPr fontId="3" type="noConversion"/>
  </si>
  <si>
    <t>1) 산지조사는 표본조사를 원칙으로 하며 전수조사 등 추가조사는 별도 계상한다.</t>
    <phoneticPr fontId="14" type="noConversion"/>
  </si>
  <si>
    <t>2) 기술협의는 2회 기준이며, 횟수 증가에 따라 비용을 가산한다.</t>
    <phoneticPr fontId="3" type="noConversion"/>
  </si>
  <si>
    <t>3) 농지분야협의, 지역·지구 및 구역 등의 지정·결정 협의(산지분야협의)는 별도 계상한다.</t>
    <phoneticPr fontId="14" type="noConversion"/>
  </si>
  <si>
    <t>4) 산림조사서, 산지전용타당성조사, 재해위험성 검토의견서, 산지경관영향검토서, 재선충병방제계획등</t>
    <phoneticPr fontId="14" type="noConversion"/>
  </si>
  <si>
    <t xml:space="preserve">   산림기술자가 수행하는 업무는 별도 계상한다.</t>
    <phoneticPr fontId="14" type="noConversion"/>
  </si>
  <si>
    <t>5) 산지분야협의와 산지전용협의(허가)가 별도로 이루어지는 경우에는 각각의 업무로 계상한다.</t>
    <phoneticPr fontId="14" type="noConversion"/>
  </si>
  <si>
    <t>6) 농업진흥지역해제, 농지전용협의(허가)는 별도 계상한다.</t>
    <phoneticPr fontId="14" type="noConversion"/>
  </si>
  <si>
    <t>7) 보전산지지정해제, 산지전용협의(허가)는 별도 계상한다.</t>
    <phoneticPr fontId="14" type="noConversion"/>
  </si>
  <si>
    <t>■ 국·공유지 무상귀속</t>
    <phoneticPr fontId="3" type="noConversion"/>
  </si>
  <si>
    <t>주 : 계획면적은 과업면적을 적용</t>
    <phoneticPr fontId="3" type="noConversion"/>
  </si>
  <si>
    <t>2. 국·공유지 무상귀속 도서작성</t>
    <phoneticPr fontId="3" type="noConversion"/>
  </si>
  <si>
    <t>2.1. 국·공유지 무상귀속 사전협의 요청서 작성</t>
    <phoneticPr fontId="3" type="noConversion"/>
  </si>
  <si>
    <t>2.2. 국·공유지 편입도서 작성</t>
    <phoneticPr fontId="3" type="noConversion"/>
  </si>
  <si>
    <t>2.3. 현장조사</t>
    <phoneticPr fontId="3" type="noConversion"/>
  </si>
  <si>
    <t>2.4. 도시계획 관련도서 작성</t>
    <phoneticPr fontId="3" type="noConversion"/>
  </si>
  <si>
    <t>2.5. 국·공유지 무상귀속 관련도서 작성</t>
    <phoneticPr fontId="3" type="noConversion"/>
  </si>
  <si>
    <t>Ⅰ-2. 직접경비</t>
    <phoneticPr fontId="3" type="noConversion"/>
  </si>
  <si>
    <t>1. 조사 및 분석</t>
    <phoneticPr fontId="3" type="noConversion"/>
  </si>
  <si>
    <t>1.1. 상위관련계획분석 및 이용상황검토</t>
    <phoneticPr fontId="3" type="noConversion"/>
  </si>
  <si>
    <t>2.1. 위치, 면적, 선형확정 도시</t>
    <phoneticPr fontId="3" type="noConversion"/>
  </si>
  <si>
    <t>2.2. 조서,도면작성</t>
    <phoneticPr fontId="3" type="noConversion"/>
  </si>
  <si>
    <t>2.3. 검토정리</t>
    <phoneticPr fontId="3" type="noConversion"/>
  </si>
  <si>
    <t>3.1. 토지이용계획확인서 도면작성(KRAS등재)</t>
    <phoneticPr fontId="3" type="noConversion"/>
  </si>
  <si>
    <t>1) '1. 조사 및 분석'은 발주자가 기초자료 제공 기준이며 전주조사 등 추가조사는 별도 계상한다.</t>
    <phoneticPr fontId="3" type="noConversion"/>
  </si>
  <si>
    <t>2) 측량비용은 별도 계상한다.</t>
    <phoneticPr fontId="3" type="noConversion"/>
  </si>
  <si>
    <t>3) 시가화지역은 투입인원수 산정기준의 '1.1 상위관련계획 분석 및 이용상황검토'를 제외할 수 있다.</t>
    <phoneticPr fontId="3" type="noConversion"/>
  </si>
  <si>
    <t xml:space="preserve"> 예) 시가화구역 면적이 5.0㎢이고, 이중 도시계획사업(계획적 시가화 조성사업)을 시행한 지역이 2.0㎢인 경우 3.0㎢에</t>
    <phoneticPr fontId="3" type="noConversion"/>
  </si>
  <si>
    <t xml:space="preserve">     대하여는 계획비 전체(1~5항)을 적용하고 2.0㎢에 대하여는 2~5항만 적용한다.</t>
    <phoneticPr fontId="3" type="noConversion"/>
  </si>
  <si>
    <t>주 : 계획면적이 3만㎡ 미만인 경우 계획면적 3만㎡을 기준으로 산정</t>
    <phoneticPr fontId="3" type="noConversion"/>
  </si>
  <si>
    <t xml:space="preserve">     시가화구역은 과업면적을 대상</t>
    <phoneticPr fontId="3" type="noConversion"/>
  </si>
  <si>
    <t>■ 사업관리계획</t>
    <phoneticPr fontId="3" type="noConversion"/>
  </si>
  <si>
    <t>주1 : 계획면적이 3만㎡ 미만인 경우 3만㎡를 기준으로 산정</t>
    <phoneticPr fontId="3" type="noConversion"/>
  </si>
  <si>
    <r>
      <t>①보정계수(α) = (A/50)</t>
    </r>
    <r>
      <rPr>
        <vertAlign val="superscript"/>
        <sz val="11"/>
        <rFont val="굴림체"/>
        <family val="3"/>
        <charset val="129"/>
      </rPr>
      <t>0.6</t>
    </r>
    <r>
      <rPr>
        <sz val="11"/>
        <rFont val="굴림체"/>
        <family val="3"/>
        <charset val="129"/>
      </rPr>
      <t xml:space="preserve"> :</t>
    </r>
    <phoneticPr fontId="3" type="noConversion"/>
  </si>
  <si>
    <t>1. 기존계획 변경</t>
    <phoneticPr fontId="3" type="noConversion"/>
  </si>
  <si>
    <t>1.1. 기존계획검토</t>
    <phoneticPr fontId="3" type="noConversion"/>
  </si>
  <si>
    <t>1.2. 주택계획</t>
    <phoneticPr fontId="3" type="noConversion"/>
  </si>
  <si>
    <t>1.3. 토지이용계획</t>
    <phoneticPr fontId="3" type="noConversion"/>
  </si>
  <si>
    <t>1.4. 교통계획</t>
    <phoneticPr fontId="3" type="noConversion"/>
  </si>
  <si>
    <t>1.5. 공급처리시설계획</t>
    <phoneticPr fontId="3" type="noConversion"/>
  </si>
  <si>
    <t>2. 지구단위 계획변경</t>
    <phoneticPr fontId="3" type="noConversion"/>
  </si>
  <si>
    <t>2.1. 용도지역·지구</t>
    <phoneticPr fontId="3" type="noConversion"/>
  </si>
  <si>
    <t>2.2. 가구 및 획지</t>
    <phoneticPr fontId="3" type="noConversion"/>
  </si>
  <si>
    <t>2.3. 건축물</t>
    <phoneticPr fontId="3" type="noConversion"/>
  </si>
  <si>
    <t>3.1. 인·허가 승인도서 작성</t>
    <phoneticPr fontId="3" type="noConversion"/>
  </si>
  <si>
    <t>3.2. 관련도서 작성</t>
    <phoneticPr fontId="3" type="noConversion"/>
  </si>
  <si>
    <t>4.2. 주민간담회/시민계획단</t>
    <phoneticPr fontId="14" type="noConversion"/>
  </si>
  <si>
    <t>4.3. 위원회심의 지원</t>
    <phoneticPr fontId="14" type="noConversion"/>
  </si>
  <si>
    <t>4.4. 관계기관 협의</t>
    <phoneticPr fontId="14" type="noConversion"/>
  </si>
  <si>
    <t>①</t>
    <phoneticPr fontId="3" type="noConversion"/>
  </si>
  <si>
    <t>②</t>
    <phoneticPr fontId="3" type="noConversion"/>
  </si>
  <si>
    <t>1) 기존계획은 발주자가 제공한다.</t>
    <phoneticPr fontId="14" type="noConversion"/>
  </si>
  <si>
    <t>2) 기술협의는 2회 기준이며, 횟수 증가에 따라 비용을 가산한다.</t>
    <phoneticPr fontId="3" type="noConversion"/>
  </si>
  <si>
    <t>3) 각종영향성검토 및 각종영향평가업무 등은 별도 계상한다.</t>
    <phoneticPr fontId="14" type="noConversion"/>
  </si>
  <si>
    <t>4) 기본계획변경, 지구단위계획변경은 설계 및 시공 결과를 반영하는 계획에 한정한다.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</si>
</sst>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_(* #,##0_);_(* \(#,##0\);_(* &quot;-&quot;_);_(@_)"/>
    <numFmt numFmtId="177" formatCode="_(* #,##0.00_);_(* \(#,##0.00\);_(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0.0"/>
    <numFmt numFmtId="181" formatCode="_-* #,##0_-;\-* #,##0_-;_-* &quot;-&quot;??_-;_-@_-"/>
    <numFmt numFmtId="182" formatCode="_(* #,##0.0_);_(* \(#,##0.0\);_(* &quot;-&quot;??_);_(@_)"/>
    <numFmt numFmtId="183" formatCode="_(* #,##0_);_(* \(#,##0\);_(* &quot;-&quot;??_);_(@_)"/>
    <numFmt numFmtId="184" formatCode="_(* #,##0.0_);_(* \(#,##0.0\);_(* &quot;-&quot;_);_(@_)"/>
    <numFmt numFmtId="185" formatCode="_(* #,##0.000_);_(* \(#,##0.000\);_(* &quot;-&quot;_);_(@_)"/>
    <numFmt numFmtId="186" formatCode="_(* #,##0.000_);_(* \(#,##0.000\);_(* &quot;-&quot;??_);_(@_)"/>
    <numFmt numFmtId="187" formatCode="0.0%"/>
    <numFmt numFmtId="188" formatCode="_(* #,##0.00_);_(* \(#,##0.00\);_(* &quot;-&quot;_);_(@_)"/>
  </numFmts>
  <fonts count="35">
    <font>
      <sz val="10"/>
      <name val="돋움"/>
      <family val="3"/>
      <charset val="129"/>
    </font>
    <font>
      <sz val="10"/>
      <name val="돋움"/>
      <family val="3"/>
      <charset val="129"/>
    </font>
    <font>
      <sz val="12"/>
      <name val="바탕체"/>
      <family val="1"/>
      <charset val="129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b/>
      <sz val="11"/>
      <name val="굴림체"/>
      <family val="3"/>
      <charset val="129"/>
    </font>
    <font>
      <b/>
      <sz val="11"/>
      <color indexed="10"/>
      <name val="굴림체"/>
      <family val="3"/>
      <charset val="129"/>
    </font>
    <font>
      <vertAlign val="superscript"/>
      <sz val="11"/>
      <name val="굴림체"/>
      <family val="3"/>
      <charset val="129"/>
    </font>
    <font>
      <b/>
      <i/>
      <sz val="11"/>
      <name val="굴림체"/>
      <family val="3"/>
      <charset val="129"/>
    </font>
    <font>
      <i/>
      <sz val="11"/>
      <name val="굴림체"/>
      <family val="3"/>
      <charset val="129"/>
    </font>
    <font>
      <b/>
      <sz val="18"/>
      <name val="굴림체"/>
      <family val="3"/>
      <charset val="129"/>
    </font>
    <font>
      <sz val="11"/>
      <color indexed="12"/>
      <name val="굴림체"/>
      <family val="3"/>
      <charset val="129"/>
    </font>
    <font>
      <sz val="11"/>
      <color indexed="10"/>
      <name val="굴림체"/>
      <family val="3"/>
      <charset val="129"/>
    </font>
    <font>
      <b/>
      <sz val="14"/>
      <name val="굴림"/>
      <family val="3"/>
      <charset val="129"/>
    </font>
    <font>
      <sz val="8"/>
      <name val="돋움"/>
      <family val="3"/>
      <charset val="129"/>
    </font>
    <font>
      <b/>
      <sz val="12"/>
      <name val="굴림체"/>
      <family val="3"/>
      <charset val="129"/>
    </font>
    <font>
      <sz val="11"/>
      <color indexed="9"/>
      <name val="굴림체"/>
      <family val="3"/>
      <charset val="129"/>
    </font>
    <font>
      <sz val="11"/>
      <color indexed="51"/>
      <name val="굴림체"/>
      <family val="3"/>
      <charset val="129"/>
    </font>
    <font>
      <b/>
      <sz val="14"/>
      <name val="굴림체"/>
      <family val="3"/>
      <charset val="129"/>
    </font>
    <font>
      <sz val="11"/>
      <color indexed="43"/>
      <name val="굴림체"/>
      <family val="3"/>
      <charset val="129"/>
    </font>
    <font>
      <sz val="11"/>
      <color indexed="8"/>
      <name val="굴림체"/>
      <family val="3"/>
      <charset val="129"/>
    </font>
    <font>
      <sz val="9"/>
      <name val="굴림체"/>
      <family val="3"/>
      <charset val="129"/>
    </font>
    <font>
      <b/>
      <sz val="12"/>
      <name val="굴림"/>
      <family val="3"/>
      <charset val="129"/>
    </font>
    <font>
      <b/>
      <sz val="18"/>
      <name val="굴림"/>
      <family val="3"/>
      <charset val="129"/>
    </font>
    <font>
      <sz val="11"/>
      <color rgb="FF0000FF"/>
      <name val="굴림체"/>
      <family val="3"/>
      <charset val="129"/>
    </font>
    <font>
      <sz val="11"/>
      <color theme="0"/>
      <name val="굴림체"/>
      <family val="3"/>
      <charset val="129"/>
    </font>
    <font>
      <sz val="11"/>
      <color theme="1"/>
      <name val="굴림체"/>
      <family val="3"/>
      <charset val="129"/>
    </font>
    <font>
      <sz val="11"/>
      <color rgb="FF7030A0"/>
      <name val="굴림체"/>
      <family val="3"/>
      <charset val="129"/>
    </font>
    <font>
      <sz val="11"/>
      <color theme="0" tint="-0.499984740745262"/>
      <name val="굴림체"/>
      <family val="3"/>
      <charset val="129"/>
    </font>
    <font>
      <sz val="9"/>
      <color rgb="FF000000"/>
      <name val="굴림"/>
      <family val="3"/>
      <charset val="129"/>
    </font>
    <font>
      <sz val="9"/>
      <color rgb="FF000000"/>
      <name val="Malgun Gothic"/>
      <family val="3"/>
      <charset val="129"/>
    </font>
    <font>
      <b/>
      <sz val="11"/>
      <color rgb="FFFF0000"/>
      <name val="굴림체"/>
      <family val="3"/>
      <charset val="129"/>
    </font>
    <font>
      <sz val="11"/>
      <color rgb="FFFF0000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1"/>
      <color rgb="FF92D050"/>
      <name val="굴림체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8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/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hair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/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dotted">
        <color indexed="64"/>
      </top>
      <bottom style="dotted">
        <color indexed="64"/>
      </bottom>
      <diagonal/>
    </border>
    <border>
      <left style="hair">
        <color indexed="64"/>
      </left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dotted">
        <color indexed="64"/>
      </bottom>
      <diagonal/>
    </border>
    <border>
      <left/>
      <right style="hair">
        <color indexed="64"/>
      </right>
      <top style="hair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9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8" fontId="2" fillId="0" borderId="0" applyFont="0" applyFill="0" applyBorder="0" applyAlignment="0" applyProtection="0"/>
    <xf numFmtId="0" fontId="2" fillId="0" borderId="0" applyFont="0"/>
    <xf numFmtId="176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</cellStyleXfs>
  <cellXfs count="872">
    <xf numFmtId="0" fontId="0" fillId="0" borderId="0" xfId="0"/>
    <xf numFmtId="0" fontId="4" fillId="0" borderId="0" xfId="8" applyFont="1" applyAlignment="1">
      <alignment vertical="center"/>
    </xf>
    <xf numFmtId="0" fontId="4" fillId="0" borderId="1" xfId="8" applyFont="1" applyBorder="1" applyAlignment="1">
      <alignment vertical="center"/>
    </xf>
    <xf numFmtId="179" fontId="4" fillId="0" borderId="0" xfId="4" quotePrefix="1" applyFont="1" applyBorder="1" applyAlignment="1">
      <alignment horizontal="left" vertical="center"/>
    </xf>
    <xf numFmtId="179" fontId="4" fillId="0" borderId="0" xfId="4" applyFont="1" applyBorder="1" applyAlignment="1">
      <alignment vertical="center"/>
    </xf>
    <xf numFmtId="179" fontId="5" fillId="2" borderId="2" xfId="4" applyFont="1" applyFill="1" applyBorder="1" applyAlignment="1">
      <alignment horizontal="centerContinuous" vertical="center"/>
    </xf>
    <xf numFmtId="179" fontId="4" fillId="0" borderId="0" xfId="4" applyFont="1" applyAlignment="1">
      <alignment vertical="center"/>
    </xf>
    <xf numFmtId="0" fontId="10" fillId="0" borderId="0" xfId="8" applyFont="1" applyAlignment="1">
      <alignment vertical="center"/>
    </xf>
    <xf numFmtId="0" fontId="4" fillId="0" borderId="0" xfId="8" applyFont="1" applyAlignment="1">
      <alignment horizontal="left" vertical="center" indent="2"/>
    </xf>
    <xf numFmtId="0" fontId="4" fillId="0" borderId="0" xfId="8" applyFont="1" applyAlignment="1">
      <alignment horizontal="left" vertical="center"/>
    </xf>
    <xf numFmtId="0" fontId="0" fillId="0" borderId="0" xfId="0" applyAlignment="1">
      <alignment horizontal="left" vertical="center" indent="2"/>
    </xf>
    <xf numFmtId="0" fontId="4" fillId="0" borderId="3" xfId="8" applyFont="1" applyBorder="1" applyAlignment="1">
      <alignment vertical="center"/>
    </xf>
    <xf numFmtId="0" fontId="4" fillId="0" borderId="4" xfId="8" applyFont="1" applyBorder="1" applyAlignment="1">
      <alignment vertical="center"/>
    </xf>
    <xf numFmtId="0" fontId="4" fillId="0" borderId="5" xfId="8" applyFont="1" applyBorder="1" applyAlignment="1">
      <alignment vertical="center"/>
    </xf>
    <xf numFmtId="0" fontId="5" fillId="2" borderId="6" xfId="8" applyFont="1" applyFill="1" applyBorder="1" applyAlignment="1">
      <alignment horizontal="centerContinuous" vertical="center"/>
    </xf>
    <xf numFmtId="0" fontId="5" fillId="2" borderId="7" xfId="8" applyFont="1" applyFill="1" applyBorder="1" applyAlignment="1">
      <alignment horizontal="centerContinuous" vertical="center"/>
    </xf>
    <xf numFmtId="0" fontId="5" fillId="2" borderId="8" xfId="8" applyFont="1" applyFill="1" applyBorder="1" applyAlignment="1">
      <alignment horizontal="centerContinuous" vertical="center"/>
    </xf>
    <xf numFmtId="0" fontId="5" fillId="2" borderId="9" xfId="8" applyFont="1" applyFill="1" applyBorder="1" applyAlignment="1">
      <alignment horizontal="center" vertical="center"/>
    </xf>
    <xf numFmtId="0" fontId="5" fillId="2" borderId="10" xfId="8" applyFont="1" applyFill="1" applyBorder="1" applyAlignment="1">
      <alignment horizontal="center" vertical="center"/>
    </xf>
    <xf numFmtId="0" fontId="5" fillId="2" borderId="11" xfId="8" applyFont="1" applyFill="1" applyBorder="1" applyAlignment="1">
      <alignment horizontal="center" vertical="center"/>
    </xf>
    <xf numFmtId="182" fontId="4" fillId="0" borderId="12" xfId="1" applyNumberFormat="1" applyFont="1" applyBorder="1" applyAlignment="1">
      <alignment vertical="center"/>
    </xf>
    <xf numFmtId="182" fontId="4" fillId="0" borderId="13" xfId="1" applyNumberFormat="1" applyFont="1" applyBorder="1" applyAlignment="1">
      <alignment vertical="center"/>
    </xf>
    <xf numFmtId="182" fontId="4" fillId="0" borderId="14" xfId="1" applyNumberFormat="1" applyFont="1" applyBorder="1" applyAlignment="1">
      <alignment vertical="center"/>
    </xf>
    <xf numFmtId="0" fontId="4" fillId="0" borderId="15" xfId="8" applyFont="1" applyBorder="1" applyAlignment="1">
      <alignment vertical="center"/>
    </xf>
    <xf numFmtId="182" fontId="4" fillId="0" borderId="16" xfId="1" applyNumberFormat="1" applyFont="1" applyBorder="1" applyAlignment="1">
      <alignment vertical="center"/>
    </xf>
    <xf numFmtId="182" fontId="4" fillId="0" borderId="17" xfId="1" applyNumberFormat="1" applyFont="1" applyBorder="1" applyAlignment="1">
      <alignment vertical="center"/>
    </xf>
    <xf numFmtId="182" fontId="4" fillId="0" borderId="18" xfId="1" applyNumberFormat="1" applyFont="1" applyBorder="1" applyAlignment="1">
      <alignment vertical="center"/>
    </xf>
    <xf numFmtId="0" fontId="4" fillId="0" borderId="19" xfId="8" applyFont="1" applyBorder="1" applyAlignment="1">
      <alignment vertical="center"/>
    </xf>
    <xf numFmtId="0" fontId="4" fillId="0" borderId="20" xfId="8" applyFont="1" applyBorder="1" applyAlignment="1">
      <alignment vertical="center"/>
    </xf>
    <xf numFmtId="0" fontId="4" fillId="0" borderId="21" xfId="8" applyFont="1" applyBorder="1" applyAlignment="1">
      <alignment vertical="center"/>
    </xf>
    <xf numFmtId="184" fontId="11" fillId="0" borderId="22" xfId="2" applyNumberFormat="1" applyFont="1" applyBorder="1" applyAlignment="1">
      <alignment vertical="center"/>
    </xf>
    <xf numFmtId="184" fontId="11" fillId="0" borderId="23" xfId="2" applyNumberFormat="1" applyFont="1" applyBorder="1" applyAlignment="1">
      <alignment vertical="center"/>
    </xf>
    <xf numFmtId="184" fontId="11" fillId="0" borderId="24" xfId="2" applyNumberFormat="1" applyFont="1" applyBorder="1" applyAlignment="1">
      <alignment vertical="center"/>
    </xf>
    <xf numFmtId="182" fontId="11" fillId="0" borderId="3" xfId="1" applyNumberFormat="1" applyFont="1" applyBorder="1" applyAlignment="1">
      <alignment vertical="center"/>
    </xf>
    <xf numFmtId="182" fontId="11" fillId="0" borderId="25" xfId="1" applyNumberFormat="1" applyFont="1" applyBorder="1" applyAlignment="1">
      <alignment vertical="center"/>
    </xf>
    <xf numFmtId="182" fontId="11" fillId="0" borderId="4" xfId="1" applyNumberFormat="1" applyFont="1" applyBorder="1" applyAlignment="1">
      <alignment vertical="center"/>
    </xf>
    <xf numFmtId="0" fontId="4" fillId="0" borderId="0" xfId="8" quotePrefix="1" applyFont="1" applyAlignment="1">
      <alignment horizontal="left" vertical="center"/>
    </xf>
    <xf numFmtId="0" fontId="4" fillId="0" borderId="26" xfId="8" applyFont="1" applyBorder="1" applyAlignment="1">
      <alignment vertical="center"/>
    </xf>
    <xf numFmtId="0" fontId="4" fillId="0" borderId="27" xfId="8" applyFont="1" applyBorder="1" applyAlignment="1">
      <alignment vertical="center"/>
    </xf>
    <xf numFmtId="180" fontId="4" fillId="0" borderId="26" xfId="8" applyNumberFormat="1" applyFont="1" applyBorder="1" applyAlignment="1">
      <alignment vertical="center"/>
    </xf>
    <xf numFmtId="182" fontId="4" fillId="0" borderId="28" xfId="1" applyNumberFormat="1" applyFont="1" applyBorder="1" applyAlignment="1">
      <alignment vertical="center"/>
    </xf>
    <xf numFmtId="182" fontId="4" fillId="0" borderId="29" xfId="1" applyNumberFormat="1" applyFont="1" applyBorder="1" applyAlignment="1">
      <alignment vertical="center"/>
    </xf>
    <xf numFmtId="182" fontId="4" fillId="0" borderId="30" xfId="1" applyNumberFormat="1" applyFont="1" applyBorder="1" applyAlignment="1">
      <alignment vertical="center"/>
    </xf>
    <xf numFmtId="0" fontId="4" fillId="0" borderId="31" xfId="8" applyFont="1" applyBorder="1" applyAlignment="1">
      <alignment vertical="center"/>
    </xf>
    <xf numFmtId="0" fontId="4" fillId="0" borderId="32" xfId="8" applyFont="1" applyBorder="1" applyAlignment="1">
      <alignment vertical="center"/>
    </xf>
    <xf numFmtId="0" fontId="4" fillId="0" borderId="33" xfId="8" applyFont="1" applyBorder="1" applyAlignment="1">
      <alignment vertical="center"/>
    </xf>
    <xf numFmtId="0" fontId="4" fillId="0" borderId="34" xfId="8" applyFont="1" applyBorder="1" applyAlignment="1">
      <alignment vertical="center"/>
    </xf>
    <xf numFmtId="0" fontId="4" fillId="0" borderId="35" xfId="8" applyFont="1" applyBorder="1" applyAlignment="1">
      <alignment vertical="center"/>
    </xf>
    <xf numFmtId="182" fontId="11" fillId="0" borderId="36" xfId="1" applyNumberFormat="1" applyFont="1" applyBorder="1" applyAlignment="1">
      <alignment vertical="center"/>
    </xf>
    <xf numFmtId="182" fontId="11" fillId="0" borderId="37" xfId="1" applyNumberFormat="1" applyFont="1" applyBorder="1" applyAlignment="1">
      <alignment vertical="center"/>
    </xf>
    <xf numFmtId="182" fontId="11" fillId="0" borderId="38" xfId="1" applyNumberFormat="1" applyFont="1" applyBorder="1" applyAlignment="1">
      <alignment vertical="center"/>
    </xf>
    <xf numFmtId="0" fontId="4" fillId="0" borderId="39" xfId="8" applyFont="1" applyBorder="1" applyAlignment="1">
      <alignment vertical="center"/>
    </xf>
    <xf numFmtId="180" fontId="4" fillId="0" borderId="39" xfId="8" applyNumberFormat="1" applyFont="1" applyBorder="1" applyAlignment="1">
      <alignment vertical="center"/>
    </xf>
    <xf numFmtId="0" fontId="4" fillId="3" borderId="9" xfId="8" applyFont="1" applyFill="1" applyBorder="1" applyAlignment="1">
      <alignment horizontal="centerContinuous" vertical="center"/>
    </xf>
    <xf numFmtId="0" fontId="4" fillId="3" borderId="10" xfId="8" applyFont="1" applyFill="1" applyBorder="1" applyAlignment="1">
      <alignment horizontal="centerContinuous" vertical="center"/>
    </xf>
    <xf numFmtId="182" fontId="12" fillId="3" borderId="9" xfId="1" applyNumberFormat="1" applyFont="1" applyFill="1" applyBorder="1" applyAlignment="1">
      <alignment vertical="center"/>
    </xf>
    <xf numFmtId="182" fontId="12" fillId="3" borderId="11" xfId="1" applyNumberFormat="1" applyFont="1" applyFill="1" applyBorder="1" applyAlignment="1">
      <alignment vertical="center"/>
    </xf>
    <xf numFmtId="182" fontId="12" fillId="3" borderId="10" xfId="1" applyNumberFormat="1" applyFont="1" applyFill="1" applyBorder="1" applyAlignment="1">
      <alignment vertical="center"/>
    </xf>
    <xf numFmtId="0" fontId="4" fillId="3" borderId="40" xfId="8" applyFont="1" applyFill="1" applyBorder="1" applyAlignment="1">
      <alignment horizontal="centerContinuous" vertical="center"/>
    </xf>
    <xf numFmtId="0" fontId="4" fillId="3" borderId="41" xfId="8" applyFont="1" applyFill="1" applyBorder="1" applyAlignment="1">
      <alignment horizontal="centerContinuous" vertical="center"/>
    </xf>
    <xf numFmtId="182" fontId="12" fillId="3" borderId="40" xfId="1" applyNumberFormat="1" applyFont="1" applyFill="1" applyBorder="1" applyAlignment="1">
      <alignment vertical="center"/>
    </xf>
    <xf numFmtId="182" fontId="12" fillId="3" borderId="42" xfId="1" applyNumberFormat="1" applyFont="1" applyFill="1" applyBorder="1" applyAlignment="1">
      <alignment vertical="center"/>
    </xf>
    <xf numFmtId="182" fontId="12" fillId="3" borderId="41" xfId="1" applyNumberFormat="1" applyFont="1" applyFill="1" applyBorder="1" applyAlignment="1">
      <alignment vertical="center"/>
    </xf>
    <xf numFmtId="0" fontId="4" fillId="3" borderId="43" xfId="8" applyFont="1" applyFill="1" applyBorder="1" applyAlignment="1">
      <alignment vertical="center"/>
    </xf>
    <xf numFmtId="185" fontId="6" fillId="0" borderId="0" xfId="2" applyNumberFormat="1" applyFont="1" applyBorder="1" applyAlignment="1">
      <alignment horizontal="center" vertical="center"/>
    </xf>
    <xf numFmtId="0" fontId="4" fillId="4" borderId="44" xfId="8" applyFont="1" applyFill="1" applyBorder="1" applyAlignment="1">
      <alignment vertical="center"/>
    </xf>
    <xf numFmtId="0" fontId="13" fillId="0" borderId="0" xfId="8" applyFont="1" applyAlignment="1">
      <alignment vertical="center"/>
    </xf>
    <xf numFmtId="179" fontId="5" fillId="2" borderId="45" xfId="4" applyFont="1" applyFill="1" applyBorder="1" applyAlignment="1">
      <alignment horizontal="center" vertical="center"/>
    </xf>
    <xf numFmtId="0" fontId="4" fillId="0" borderId="46" xfId="8" applyFont="1" applyBorder="1" applyAlignment="1">
      <alignment vertical="center"/>
    </xf>
    <xf numFmtId="182" fontId="4" fillId="0" borderId="46" xfId="8" applyNumberFormat="1" applyFont="1" applyBorder="1" applyAlignment="1">
      <alignment vertical="center"/>
    </xf>
    <xf numFmtId="0" fontId="4" fillId="0" borderId="46" xfId="8" applyFont="1" applyBorder="1" applyAlignment="1">
      <alignment horizontal="left" vertical="center"/>
    </xf>
    <xf numFmtId="179" fontId="4" fillId="0" borderId="46" xfId="4" applyFont="1" applyFill="1" applyBorder="1" applyAlignment="1">
      <alignment vertical="center"/>
    </xf>
    <xf numFmtId="0" fontId="4" fillId="0" borderId="47" xfId="8" applyFont="1" applyBorder="1" applyAlignment="1">
      <alignment vertical="center"/>
    </xf>
    <xf numFmtId="0" fontId="4" fillId="0" borderId="48" xfId="8" applyFont="1" applyBorder="1" applyAlignment="1">
      <alignment vertical="center"/>
    </xf>
    <xf numFmtId="0" fontId="4" fillId="0" borderId="49" xfId="8" applyFont="1" applyBorder="1" applyAlignment="1">
      <alignment vertical="center"/>
    </xf>
    <xf numFmtId="0" fontId="4" fillId="0" borderId="50" xfId="8" applyFont="1" applyBorder="1" applyAlignment="1">
      <alignment vertical="center"/>
    </xf>
    <xf numFmtId="0" fontId="4" fillId="0" borderId="51" xfId="8" applyFont="1" applyBorder="1" applyAlignment="1">
      <alignment horizontal="left" vertical="center"/>
    </xf>
    <xf numFmtId="0" fontId="4" fillId="0" borderId="52" xfId="8" applyFont="1" applyBorder="1" applyAlignment="1">
      <alignment horizontal="left" vertical="center"/>
    </xf>
    <xf numFmtId="0" fontId="4" fillId="0" borderId="39" xfId="8" applyFont="1" applyBorder="1" applyAlignment="1">
      <alignment horizontal="left" vertical="center" indent="2"/>
    </xf>
    <xf numFmtId="0" fontId="4" fillId="0" borderId="26" xfId="8" applyFont="1" applyBorder="1" applyAlignment="1">
      <alignment horizontal="left" vertical="center" indent="2"/>
    </xf>
    <xf numFmtId="0" fontId="3" fillId="0" borderId="0" xfId="8" applyFont="1" applyAlignment="1">
      <alignment horizontal="left" vertical="center"/>
    </xf>
    <xf numFmtId="182" fontId="11" fillId="0" borderId="53" xfId="1" applyNumberFormat="1" applyFont="1" applyBorder="1" applyAlignment="1">
      <alignment vertical="center"/>
    </xf>
    <xf numFmtId="182" fontId="11" fillId="0" borderId="54" xfId="1" applyNumberFormat="1" applyFont="1" applyBorder="1" applyAlignment="1">
      <alignment vertical="center"/>
    </xf>
    <xf numFmtId="182" fontId="11" fillId="0" borderId="55" xfId="1" applyNumberFormat="1" applyFont="1" applyBorder="1" applyAlignment="1">
      <alignment vertical="center"/>
    </xf>
    <xf numFmtId="0" fontId="3" fillId="0" borderId="0" xfId="8" applyFont="1" applyAlignment="1">
      <alignment horizontal="center" vertical="center"/>
    </xf>
    <xf numFmtId="0" fontId="3" fillId="0" borderId="0" xfId="8" applyFont="1" applyAlignment="1">
      <alignment vertical="center"/>
    </xf>
    <xf numFmtId="179" fontId="3" fillId="0" borderId="0" xfId="4" applyFont="1" applyFill="1" applyBorder="1" applyAlignment="1">
      <alignment horizontal="right" vertical="center"/>
    </xf>
    <xf numFmtId="179" fontId="3" fillId="0" borderId="56" xfId="4" applyFont="1" applyFill="1" applyBorder="1" applyAlignment="1">
      <alignment horizontal="center" vertical="center"/>
    </xf>
    <xf numFmtId="179" fontId="3" fillId="5" borderId="56" xfId="4" applyFont="1" applyFill="1" applyBorder="1" applyAlignment="1">
      <alignment horizontal="center" vertical="center"/>
    </xf>
    <xf numFmtId="179" fontId="3" fillId="0" borderId="56" xfId="4" applyFont="1" applyFill="1" applyBorder="1" applyAlignment="1">
      <alignment horizontal="right" vertical="center"/>
    </xf>
    <xf numFmtId="179" fontId="3" fillId="5" borderId="56" xfId="4" applyFont="1" applyFill="1" applyBorder="1" applyAlignment="1">
      <alignment horizontal="right" vertical="center"/>
    </xf>
    <xf numFmtId="181" fontId="3" fillId="0" borderId="56" xfId="6" applyNumberFormat="1" applyFont="1" applyFill="1" applyBorder="1" applyAlignment="1">
      <alignment vertical="center"/>
    </xf>
    <xf numFmtId="181" fontId="3" fillId="5" borderId="56" xfId="6" applyNumberFormat="1" applyFont="1" applyFill="1" applyBorder="1" applyAlignment="1">
      <alignment vertical="center"/>
    </xf>
    <xf numFmtId="183" fontId="3" fillId="0" borderId="57" xfId="1" applyNumberFormat="1" applyFont="1" applyFill="1" applyBorder="1" applyAlignment="1">
      <alignment horizontal="center" vertical="center"/>
    </xf>
    <xf numFmtId="183" fontId="3" fillId="5" borderId="57" xfId="1" applyNumberFormat="1" applyFont="1" applyFill="1" applyBorder="1" applyAlignment="1">
      <alignment horizontal="center" vertical="center"/>
    </xf>
    <xf numFmtId="183" fontId="3" fillId="0" borderId="58" xfId="1" applyNumberFormat="1" applyFont="1" applyFill="1" applyBorder="1" applyAlignment="1">
      <alignment horizontal="center" vertical="center"/>
    </xf>
    <xf numFmtId="179" fontId="3" fillId="0" borderId="59" xfId="4" applyFont="1" applyFill="1" applyBorder="1" applyAlignment="1">
      <alignment horizontal="center" vertical="center"/>
    </xf>
    <xf numFmtId="181" fontId="3" fillId="0" borderId="59" xfId="6" applyNumberFormat="1" applyFont="1" applyFill="1" applyBorder="1" applyAlignment="1">
      <alignment vertical="center"/>
    </xf>
    <xf numFmtId="0" fontId="3" fillId="2" borderId="60" xfId="8" applyFont="1" applyFill="1" applyBorder="1" applyAlignment="1">
      <alignment horizontal="center" vertical="center"/>
    </xf>
    <xf numFmtId="0" fontId="3" fillId="2" borderId="61" xfId="8" applyFont="1" applyFill="1" applyBorder="1" applyAlignment="1">
      <alignment horizontal="center" vertical="center"/>
    </xf>
    <xf numFmtId="0" fontId="3" fillId="2" borderId="62" xfId="8" applyFont="1" applyFill="1" applyBorder="1" applyAlignment="1">
      <alignment horizontal="center" vertical="center"/>
    </xf>
    <xf numFmtId="0" fontId="3" fillId="2" borderId="63" xfId="8" applyFont="1" applyFill="1" applyBorder="1" applyAlignment="1">
      <alignment horizontal="center" vertical="center"/>
    </xf>
    <xf numFmtId="0" fontId="3" fillId="2" borderId="64" xfId="8" applyFont="1" applyFill="1" applyBorder="1" applyAlignment="1">
      <alignment horizontal="center" vertical="center"/>
    </xf>
    <xf numFmtId="183" fontId="3" fillId="5" borderId="65" xfId="1" applyNumberFormat="1" applyFont="1" applyFill="1" applyBorder="1" applyAlignment="1">
      <alignment horizontal="center" vertical="center"/>
    </xf>
    <xf numFmtId="0" fontId="3" fillId="2" borderId="66" xfId="8" applyFont="1" applyFill="1" applyBorder="1" applyAlignment="1">
      <alignment horizontal="center" vertical="center"/>
    </xf>
    <xf numFmtId="179" fontId="3" fillId="5" borderId="67" xfId="4" applyFont="1" applyFill="1" applyBorder="1" applyAlignment="1">
      <alignment horizontal="center" vertical="center"/>
    </xf>
    <xf numFmtId="179" fontId="3" fillId="5" borderId="67" xfId="4" applyFont="1" applyFill="1" applyBorder="1" applyAlignment="1">
      <alignment horizontal="right" vertical="center"/>
    </xf>
    <xf numFmtId="181" fontId="3" fillId="5" borderId="67" xfId="6" applyNumberFormat="1" applyFont="1" applyFill="1" applyBorder="1" applyAlignment="1">
      <alignment vertical="center"/>
    </xf>
    <xf numFmtId="0" fontId="3" fillId="2" borderId="68" xfId="8" applyFont="1" applyFill="1" applyBorder="1" applyAlignment="1">
      <alignment horizontal="center" vertical="center"/>
    </xf>
    <xf numFmtId="181" fontId="3" fillId="0" borderId="69" xfId="6" applyNumberFormat="1" applyFont="1" applyFill="1" applyBorder="1" applyAlignment="1">
      <alignment vertical="center"/>
    </xf>
    <xf numFmtId="181" fontId="3" fillId="0" borderId="70" xfId="6" applyNumberFormat="1" applyFont="1" applyFill="1" applyBorder="1" applyAlignment="1">
      <alignment vertical="center"/>
    </xf>
    <xf numFmtId="181" fontId="3" fillId="5" borderId="70" xfId="6" applyNumberFormat="1" applyFont="1" applyFill="1" applyBorder="1" applyAlignment="1">
      <alignment vertical="center"/>
    </xf>
    <xf numFmtId="181" fontId="3" fillId="5" borderId="71" xfId="6" applyNumberFormat="1" applyFont="1" applyFill="1" applyBorder="1" applyAlignment="1">
      <alignment vertical="center"/>
    </xf>
    <xf numFmtId="176" fontId="4" fillId="0" borderId="56" xfId="2" applyFont="1" applyBorder="1" applyAlignment="1">
      <alignment horizontal="centerContinuous" vertical="center"/>
    </xf>
    <xf numFmtId="0" fontId="4" fillId="0" borderId="72" xfId="8" applyFont="1" applyBorder="1" applyAlignment="1">
      <alignment vertical="center"/>
    </xf>
    <xf numFmtId="0" fontId="4" fillId="0" borderId="56" xfId="8" applyFont="1" applyBorder="1" applyAlignment="1">
      <alignment vertical="center"/>
    </xf>
    <xf numFmtId="179" fontId="4" fillId="0" borderId="27" xfId="4" applyFont="1" applyFill="1" applyBorder="1" applyAlignment="1">
      <alignment vertical="center"/>
    </xf>
    <xf numFmtId="179" fontId="4" fillId="0" borderId="26" xfId="4" applyFont="1" applyFill="1" applyBorder="1" applyAlignment="1">
      <alignment vertical="center"/>
    </xf>
    <xf numFmtId="179" fontId="4" fillId="0" borderId="56" xfId="4" applyFont="1" applyFill="1" applyBorder="1" applyAlignment="1">
      <alignment vertical="center"/>
    </xf>
    <xf numFmtId="178" fontId="5" fillId="6" borderId="73" xfId="7" applyFont="1" applyFill="1" applyBorder="1" applyAlignment="1">
      <alignment horizontal="center" vertical="center"/>
    </xf>
    <xf numFmtId="178" fontId="8" fillId="6" borderId="73" xfId="7" applyFont="1" applyFill="1" applyBorder="1" applyAlignment="1">
      <alignment horizontal="center" vertical="center"/>
    </xf>
    <xf numFmtId="176" fontId="4" fillId="6" borderId="73" xfId="2" applyFont="1" applyFill="1" applyBorder="1" applyAlignment="1">
      <alignment horizontal="centerContinuous" vertical="center"/>
    </xf>
    <xf numFmtId="178" fontId="4" fillId="2" borderId="74" xfId="7" applyFont="1" applyFill="1" applyBorder="1" applyAlignment="1">
      <alignment horizontal="left" vertical="center"/>
    </xf>
    <xf numFmtId="178" fontId="9" fillId="2" borderId="74" xfId="7" applyFont="1" applyFill="1" applyBorder="1" applyAlignment="1">
      <alignment horizontal="left" vertical="center"/>
    </xf>
    <xf numFmtId="0" fontId="4" fillId="3" borderId="74" xfId="8" applyFont="1" applyFill="1" applyBorder="1" applyAlignment="1">
      <alignment vertical="center"/>
    </xf>
    <xf numFmtId="178" fontId="4" fillId="3" borderId="74" xfId="7" applyFont="1" applyFill="1" applyBorder="1" applyAlignment="1">
      <alignment horizontal="left" vertical="center"/>
    </xf>
    <xf numFmtId="178" fontId="9" fillId="3" borderId="74" xfId="7" applyFont="1" applyFill="1" applyBorder="1" applyAlignment="1">
      <alignment horizontal="left" vertical="center"/>
    </xf>
    <xf numFmtId="178" fontId="5" fillId="2" borderId="74" xfId="7" applyFont="1" applyFill="1" applyBorder="1" applyAlignment="1">
      <alignment horizontal="left" vertical="center"/>
    </xf>
    <xf numFmtId="0" fontId="4" fillId="0" borderId="39" xfId="8" quotePrefix="1" applyFont="1" applyBorder="1" applyAlignment="1">
      <alignment horizontal="left" vertical="center" indent="2"/>
    </xf>
    <xf numFmtId="0" fontId="4" fillId="3" borderId="74" xfId="8" applyFont="1" applyFill="1" applyBorder="1" applyAlignment="1">
      <alignment horizontal="centerContinuous" vertical="center"/>
    </xf>
    <xf numFmtId="180" fontId="4" fillId="3" borderId="74" xfId="8" applyNumberFormat="1" applyFont="1" applyFill="1" applyBorder="1" applyAlignment="1">
      <alignment horizontal="centerContinuous" vertical="center"/>
    </xf>
    <xf numFmtId="179" fontId="4" fillId="3" borderId="74" xfId="4" applyFont="1" applyFill="1" applyBorder="1" applyAlignment="1">
      <alignment vertical="center"/>
    </xf>
    <xf numFmtId="0" fontId="4" fillId="0" borderId="27" xfId="8" applyFont="1" applyBorder="1" applyAlignment="1">
      <alignment horizontal="left" vertical="center" indent="2"/>
    </xf>
    <xf numFmtId="179" fontId="5" fillId="3" borderId="74" xfId="4" applyFont="1" applyFill="1" applyBorder="1" applyAlignment="1">
      <alignment horizontal="left" vertical="center" indent="1"/>
    </xf>
    <xf numFmtId="180" fontId="4" fillId="3" borderId="74" xfId="8" applyNumberFormat="1" applyFont="1" applyFill="1" applyBorder="1" applyAlignment="1">
      <alignment vertical="center"/>
    </xf>
    <xf numFmtId="179" fontId="5" fillId="3" borderId="75" xfId="4" applyFont="1" applyFill="1" applyBorder="1" applyAlignment="1">
      <alignment horizontal="left" vertical="center" indent="1"/>
    </xf>
    <xf numFmtId="0" fontId="4" fillId="3" borderId="75" xfId="8" applyFont="1" applyFill="1" applyBorder="1" applyAlignment="1">
      <alignment vertical="center"/>
    </xf>
    <xf numFmtId="180" fontId="4" fillId="3" borderId="75" xfId="8" applyNumberFormat="1" applyFont="1" applyFill="1" applyBorder="1" applyAlignment="1">
      <alignment vertical="center"/>
    </xf>
    <xf numFmtId="179" fontId="4" fillId="3" borderId="75" xfId="4" applyFont="1" applyFill="1" applyBorder="1" applyAlignment="1">
      <alignment vertical="center"/>
    </xf>
    <xf numFmtId="0" fontId="4" fillId="0" borderId="46" xfId="8" applyFont="1" applyBorder="1" applyAlignment="1">
      <alignment horizontal="centerContinuous" vertical="center"/>
    </xf>
    <xf numFmtId="0" fontId="4" fillId="0" borderId="72" xfId="8" applyFont="1" applyBorder="1" applyAlignment="1">
      <alignment horizontal="centerContinuous" vertical="center"/>
    </xf>
    <xf numFmtId="0" fontId="4" fillId="0" borderId="72" xfId="8" applyFont="1" applyBorder="1" applyAlignment="1">
      <alignment horizontal="left" vertical="center"/>
    </xf>
    <xf numFmtId="179" fontId="4" fillId="0" borderId="72" xfId="4" applyFont="1" applyFill="1" applyBorder="1" applyAlignment="1">
      <alignment vertical="center"/>
    </xf>
    <xf numFmtId="0" fontId="4" fillId="0" borderId="56" xfId="8" applyFont="1" applyBorder="1" applyAlignment="1">
      <alignment horizontal="centerContinuous" vertical="center"/>
    </xf>
    <xf numFmtId="0" fontId="4" fillId="0" borderId="56" xfId="8" applyFont="1" applyBorder="1" applyAlignment="1">
      <alignment horizontal="left" vertical="center"/>
    </xf>
    <xf numFmtId="0" fontId="4" fillId="0" borderId="56" xfId="8" quotePrefix="1" applyFont="1" applyBorder="1" applyAlignment="1">
      <alignment horizontal="centerContinuous" vertical="center"/>
    </xf>
    <xf numFmtId="0" fontId="17" fillId="0" borderId="39" xfId="8" applyFont="1" applyBorder="1" applyAlignment="1">
      <alignment vertical="center"/>
    </xf>
    <xf numFmtId="176" fontId="17" fillId="0" borderId="39" xfId="2" applyFont="1" applyFill="1" applyBorder="1" applyAlignment="1">
      <alignment vertical="center"/>
    </xf>
    <xf numFmtId="0" fontId="4" fillId="0" borderId="74" xfId="8" applyFont="1" applyBorder="1" applyAlignment="1">
      <alignment vertical="center"/>
    </xf>
    <xf numFmtId="179" fontId="4" fillId="0" borderId="74" xfId="4" applyFont="1" applyFill="1" applyBorder="1" applyAlignment="1">
      <alignment vertical="center"/>
    </xf>
    <xf numFmtId="0" fontId="4" fillId="0" borderId="26" xfId="8" applyFont="1" applyBorder="1" applyAlignment="1">
      <alignment horizontal="left" vertical="center" indent="1"/>
    </xf>
    <xf numFmtId="178" fontId="15" fillId="6" borderId="73" xfId="7" applyFont="1" applyFill="1" applyBorder="1" applyAlignment="1">
      <alignment horizontal="left" vertical="center"/>
    </xf>
    <xf numFmtId="185" fontId="6" fillId="0" borderId="76" xfId="2" applyNumberFormat="1" applyFont="1" applyBorder="1" applyAlignment="1">
      <alignment horizontal="centerContinuous" vertical="center"/>
    </xf>
    <xf numFmtId="176" fontId="4" fillId="0" borderId="77" xfId="2" applyFont="1" applyBorder="1" applyAlignment="1">
      <alignment horizontal="centerContinuous" vertical="center"/>
    </xf>
    <xf numFmtId="176" fontId="4" fillId="0" borderId="59" xfId="2" applyFont="1" applyBorder="1" applyAlignment="1">
      <alignment horizontal="centerContinuous" vertical="center"/>
    </xf>
    <xf numFmtId="176" fontId="4" fillId="0" borderId="78" xfId="2" applyFont="1" applyFill="1" applyBorder="1" applyAlignment="1">
      <alignment horizontal="centerContinuous" vertical="center"/>
    </xf>
    <xf numFmtId="176" fontId="4" fillId="0" borderId="79" xfId="2" applyFont="1" applyFill="1" applyBorder="1" applyAlignment="1">
      <alignment horizontal="centerContinuous" vertical="center"/>
    </xf>
    <xf numFmtId="176" fontId="4" fillId="0" borderId="77" xfId="2" applyFont="1" applyFill="1" applyBorder="1" applyAlignment="1">
      <alignment horizontal="centerContinuous" vertical="center"/>
    </xf>
    <xf numFmtId="176" fontId="4" fillId="0" borderId="59" xfId="2" applyFont="1" applyFill="1" applyBorder="1" applyAlignment="1">
      <alignment horizontal="centerContinuous" vertical="center"/>
    </xf>
    <xf numFmtId="176" fontId="4" fillId="3" borderId="80" xfId="2" applyFont="1" applyFill="1" applyBorder="1" applyAlignment="1">
      <alignment horizontal="centerContinuous" vertical="center"/>
    </xf>
    <xf numFmtId="176" fontId="4" fillId="3" borderId="81" xfId="2" applyFont="1" applyFill="1" applyBorder="1" applyAlignment="1">
      <alignment horizontal="centerContinuous" vertical="center"/>
    </xf>
    <xf numFmtId="176" fontId="4" fillId="0" borderId="82" xfId="2" applyFont="1" applyFill="1" applyBorder="1" applyAlignment="1">
      <alignment horizontal="centerContinuous" vertical="center"/>
    </xf>
    <xf numFmtId="176" fontId="4" fillId="0" borderId="58" xfId="2" applyFont="1" applyFill="1" applyBorder="1" applyAlignment="1">
      <alignment horizontal="centerContinuous" vertical="center"/>
    </xf>
    <xf numFmtId="176" fontId="4" fillId="2" borderId="80" xfId="2" applyFont="1" applyFill="1" applyBorder="1" applyAlignment="1">
      <alignment horizontal="centerContinuous" vertical="center"/>
    </xf>
    <xf numFmtId="176" fontId="4" fillId="2" borderId="81" xfId="2" applyFont="1" applyFill="1" applyBorder="1" applyAlignment="1">
      <alignment horizontal="centerContinuous" vertical="center"/>
    </xf>
    <xf numFmtId="176" fontId="4" fillId="3" borderId="83" xfId="2" applyFont="1" applyFill="1" applyBorder="1" applyAlignment="1">
      <alignment horizontal="centerContinuous" vertical="center"/>
    </xf>
    <xf numFmtId="176" fontId="4" fillId="3" borderId="84" xfId="2" applyFont="1" applyFill="1" applyBorder="1" applyAlignment="1">
      <alignment horizontal="centerContinuous" vertical="center"/>
    </xf>
    <xf numFmtId="178" fontId="9" fillId="2" borderId="85" xfId="7" applyFont="1" applyFill="1" applyBorder="1" applyAlignment="1">
      <alignment horizontal="center" vertical="center"/>
    </xf>
    <xf numFmtId="178" fontId="9" fillId="2" borderId="86" xfId="7" applyFont="1" applyFill="1" applyBorder="1" applyAlignment="1">
      <alignment horizontal="center" vertical="center"/>
    </xf>
    <xf numFmtId="0" fontId="4" fillId="0" borderId="87" xfId="8" applyFont="1" applyBorder="1" applyAlignment="1">
      <alignment vertical="center"/>
    </xf>
    <xf numFmtId="0" fontId="4" fillId="0" borderId="87" xfId="8" applyFont="1" applyBorder="1" applyAlignment="1">
      <alignment horizontal="left" vertical="center" indent="1"/>
    </xf>
    <xf numFmtId="0" fontId="16" fillId="0" borderId="0" xfId="8" applyFont="1" applyAlignment="1">
      <alignment vertical="center"/>
    </xf>
    <xf numFmtId="0" fontId="16" fillId="0" borderId="72" xfId="8" applyFont="1" applyBorder="1" applyAlignment="1">
      <alignment vertical="center"/>
    </xf>
    <xf numFmtId="0" fontId="16" fillId="0" borderId="56" xfId="8" applyFont="1" applyBorder="1" applyAlignment="1">
      <alignment vertical="center"/>
    </xf>
    <xf numFmtId="0" fontId="16" fillId="0" borderId="88" xfId="8" applyFont="1" applyBorder="1" applyAlignment="1">
      <alignment vertical="center"/>
    </xf>
    <xf numFmtId="0" fontId="5" fillId="2" borderId="89" xfId="8" applyFont="1" applyFill="1" applyBorder="1" applyAlignment="1">
      <alignment horizontal="center" vertical="center"/>
    </xf>
    <xf numFmtId="0" fontId="4" fillId="0" borderId="90" xfId="8" applyFont="1" applyBorder="1" applyAlignment="1">
      <alignment vertical="center"/>
    </xf>
    <xf numFmtId="178" fontId="5" fillId="2" borderId="85" xfId="7" applyFont="1" applyFill="1" applyBorder="1" applyAlignment="1">
      <alignment horizontal="center" vertical="center"/>
    </xf>
    <xf numFmtId="178" fontId="5" fillId="2" borderId="0" xfId="7" applyFont="1" applyFill="1" applyBorder="1" applyAlignment="1">
      <alignment horizontal="centerContinuous" vertical="center"/>
    </xf>
    <xf numFmtId="178" fontId="9" fillId="2" borderId="0" xfId="7" applyFont="1" applyFill="1" applyBorder="1" applyAlignment="1">
      <alignment horizontal="centerContinuous" vertical="center"/>
    </xf>
    <xf numFmtId="176" fontId="4" fillId="0" borderId="26" xfId="2" applyFont="1" applyFill="1" applyBorder="1" applyAlignment="1">
      <alignment horizontal="centerContinuous" vertical="center"/>
    </xf>
    <xf numFmtId="176" fontId="4" fillId="3" borderId="74" xfId="2" applyFont="1" applyFill="1" applyBorder="1" applyAlignment="1">
      <alignment horizontal="centerContinuous" vertical="center"/>
    </xf>
    <xf numFmtId="176" fontId="4" fillId="0" borderId="39" xfId="2" applyFont="1" applyFill="1" applyBorder="1" applyAlignment="1">
      <alignment horizontal="centerContinuous" vertical="center"/>
    </xf>
    <xf numFmtId="176" fontId="4" fillId="0" borderId="27" xfId="2" applyFont="1" applyFill="1" applyBorder="1" applyAlignment="1">
      <alignment horizontal="centerContinuous" vertical="center"/>
    </xf>
    <xf numFmtId="176" fontId="4" fillId="2" borderId="74" xfId="2" applyFont="1" applyFill="1" applyBorder="1" applyAlignment="1">
      <alignment horizontal="centerContinuous" vertical="center"/>
    </xf>
    <xf numFmtId="176" fontId="4" fillId="3" borderId="75" xfId="2" applyFont="1" applyFill="1" applyBorder="1" applyAlignment="1">
      <alignment horizontal="centerContinuous" vertical="center"/>
    </xf>
    <xf numFmtId="176" fontId="4" fillId="6" borderId="91" xfId="2" applyFont="1" applyFill="1" applyBorder="1" applyAlignment="1">
      <alignment horizontal="centerContinuous" vertical="center"/>
    </xf>
    <xf numFmtId="176" fontId="4" fillId="6" borderId="92" xfId="2" applyFont="1" applyFill="1" applyBorder="1" applyAlignment="1">
      <alignment horizontal="centerContinuous" vertical="center"/>
    </xf>
    <xf numFmtId="179" fontId="4" fillId="0" borderId="93" xfId="4" applyFont="1" applyBorder="1" applyAlignment="1">
      <alignment horizontal="centerContinuous" vertical="center"/>
    </xf>
    <xf numFmtId="179" fontId="4" fillId="0" borderId="94" xfId="4" applyFont="1" applyBorder="1" applyAlignment="1">
      <alignment horizontal="centerContinuous" vertical="center"/>
    </xf>
    <xf numFmtId="9" fontId="17" fillId="3" borderId="74" xfId="8" applyNumberFormat="1" applyFont="1" applyFill="1" applyBorder="1" applyAlignment="1">
      <alignment vertical="center"/>
    </xf>
    <xf numFmtId="9" fontId="17" fillId="3" borderId="75" xfId="8" applyNumberFormat="1" applyFont="1" applyFill="1" applyBorder="1" applyAlignment="1">
      <alignment vertical="center"/>
    </xf>
    <xf numFmtId="182" fontId="17" fillId="0" borderId="26" xfId="1" applyNumberFormat="1" applyFont="1" applyFill="1" applyBorder="1" applyAlignment="1">
      <alignment horizontal="centerContinuous" vertical="center"/>
    </xf>
    <xf numFmtId="176" fontId="11" fillId="0" borderId="95" xfId="2" applyFont="1" applyBorder="1" applyAlignment="1">
      <alignment horizontal="centerContinuous" vertical="center"/>
    </xf>
    <xf numFmtId="176" fontId="11" fillId="0" borderId="96" xfId="2" applyFont="1" applyBorder="1" applyAlignment="1">
      <alignment horizontal="centerContinuous" vertical="center"/>
    </xf>
    <xf numFmtId="176" fontId="11" fillId="0" borderId="77" xfId="2" applyFont="1" applyBorder="1" applyAlignment="1">
      <alignment horizontal="centerContinuous" vertical="center"/>
    </xf>
    <xf numFmtId="176" fontId="11" fillId="0" borderId="59" xfId="2" applyFont="1" applyBorder="1" applyAlignment="1">
      <alignment horizontal="centerContinuous" vertical="center"/>
    </xf>
    <xf numFmtId="182" fontId="4" fillId="0" borderId="12" xfId="1" applyNumberFormat="1" applyFont="1" applyFill="1" applyBorder="1" applyAlignment="1">
      <alignment vertical="center"/>
    </xf>
    <xf numFmtId="182" fontId="4" fillId="0" borderId="13" xfId="1" applyNumberFormat="1" applyFont="1" applyFill="1" applyBorder="1" applyAlignment="1">
      <alignment vertical="center"/>
    </xf>
    <xf numFmtId="182" fontId="4" fillId="0" borderId="14" xfId="1" applyNumberFormat="1" applyFont="1" applyFill="1" applyBorder="1" applyAlignment="1">
      <alignment vertical="center"/>
    </xf>
    <xf numFmtId="182" fontId="4" fillId="0" borderId="16" xfId="1" applyNumberFormat="1" applyFont="1" applyFill="1" applyBorder="1" applyAlignment="1">
      <alignment vertical="center"/>
    </xf>
    <xf numFmtId="182" fontId="4" fillId="0" borderId="17" xfId="1" applyNumberFormat="1" applyFont="1" applyFill="1" applyBorder="1" applyAlignment="1">
      <alignment vertical="center"/>
    </xf>
    <xf numFmtId="182" fontId="4" fillId="0" borderId="18" xfId="1" applyNumberFormat="1" applyFont="1" applyFill="1" applyBorder="1" applyAlignment="1">
      <alignment vertical="center"/>
    </xf>
    <xf numFmtId="184" fontId="11" fillId="0" borderId="97" xfId="2" applyNumberFormat="1" applyFont="1" applyFill="1" applyBorder="1" applyAlignment="1">
      <alignment vertical="center"/>
    </xf>
    <xf numFmtId="184" fontId="11" fillId="0" borderId="98" xfId="2" applyNumberFormat="1" applyFont="1" applyFill="1" applyBorder="1" applyAlignment="1">
      <alignment vertical="center"/>
    </xf>
    <xf numFmtId="184" fontId="11" fillId="0" borderId="99" xfId="2" applyNumberFormat="1" applyFont="1" applyFill="1" applyBorder="1" applyAlignment="1">
      <alignment vertical="center"/>
    </xf>
    <xf numFmtId="182" fontId="4" fillId="0" borderId="28" xfId="1" applyNumberFormat="1" applyFont="1" applyFill="1" applyBorder="1" applyAlignment="1">
      <alignment vertical="center"/>
    </xf>
    <xf numFmtId="182" fontId="4" fillId="0" borderId="29" xfId="1" applyNumberFormat="1" applyFont="1" applyFill="1" applyBorder="1" applyAlignment="1">
      <alignment vertical="center"/>
    </xf>
    <xf numFmtId="182" fontId="4" fillId="0" borderId="30" xfId="1" applyNumberFormat="1" applyFont="1" applyFill="1" applyBorder="1" applyAlignment="1">
      <alignment vertical="center"/>
    </xf>
    <xf numFmtId="182" fontId="11" fillId="0" borderId="53" xfId="1" applyNumberFormat="1" applyFont="1" applyFill="1" applyBorder="1" applyAlignment="1">
      <alignment vertical="center"/>
    </xf>
    <xf numFmtId="182" fontId="11" fillId="0" borderId="54" xfId="1" applyNumberFormat="1" applyFont="1" applyFill="1" applyBorder="1" applyAlignment="1">
      <alignment vertical="center"/>
    </xf>
    <xf numFmtId="186" fontId="11" fillId="0" borderId="3" xfId="1" applyNumberFormat="1" applyFont="1" applyBorder="1" applyAlignment="1">
      <alignment vertical="center"/>
    </xf>
    <xf numFmtId="186" fontId="11" fillId="0" borderId="25" xfId="1" applyNumberFormat="1" applyFont="1" applyBorder="1" applyAlignment="1">
      <alignment vertical="center"/>
    </xf>
    <xf numFmtId="186" fontId="11" fillId="0" borderId="4" xfId="1" applyNumberFormat="1" applyFont="1" applyBorder="1" applyAlignment="1">
      <alignment vertical="center"/>
    </xf>
    <xf numFmtId="182" fontId="11" fillId="0" borderId="36" xfId="1" applyNumberFormat="1" applyFont="1" applyFill="1" applyBorder="1" applyAlignment="1">
      <alignment vertical="center"/>
    </xf>
    <xf numFmtId="182" fontId="11" fillId="0" borderId="37" xfId="1" applyNumberFormat="1" applyFont="1" applyFill="1" applyBorder="1" applyAlignment="1">
      <alignment vertical="center"/>
    </xf>
    <xf numFmtId="182" fontId="11" fillId="0" borderId="38" xfId="1" applyNumberFormat="1" applyFont="1" applyFill="1" applyBorder="1" applyAlignment="1">
      <alignment vertical="center"/>
    </xf>
    <xf numFmtId="0" fontId="4" fillId="0" borderId="44" xfId="8" applyFont="1" applyBorder="1" applyAlignment="1">
      <alignment vertical="center"/>
    </xf>
    <xf numFmtId="176" fontId="4" fillId="3" borderId="102" xfId="2" applyFont="1" applyFill="1" applyBorder="1" applyAlignment="1">
      <alignment horizontal="centerContinuous" vertical="center"/>
    </xf>
    <xf numFmtId="186" fontId="4" fillId="0" borderId="72" xfId="1" applyNumberFormat="1" applyFont="1" applyFill="1" applyBorder="1" applyAlignment="1">
      <alignment vertical="center"/>
    </xf>
    <xf numFmtId="178" fontId="9" fillId="2" borderId="0" xfId="7" applyFont="1" applyFill="1" applyBorder="1" applyAlignment="1">
      <alignment horizontal="center" vertical="center"/>
    </xf>
    <xf numFmtId="0" fontId="5" fillId="0" borderId="80" xfId="1" applyNumberFormat="1" applyFont="1" applyFill="1" applyBorder="1" applyAlignment="1">
      <alignment horizontal="left" vertical="center"/>
    </xf>
    <xf numFmtId="0" fontId="4" fillId="0" borderId="103" xfId="8" applyFont="1" applyBorder="1" applyAlignment="1">
      <alignment vertical="center"/>
    </xf>
    <xf numFmtId="0" fontId="4" fillId="0" borderId="100" xfId="8" applyFont="1" applyBorder="1" applyAlignment="1">
      <alignment horizontal="left" vertical="center" indent="1"/>
    </xf>
    <xf numFmtId="0" fontId="4" fillId="0" borderId="104" xfId="8" applyFont="1" applyBorder="1" applyAlignment="1">
      <alignment horizontal="left" vertical="center" indent="1"/>
    </xf>
    <xf numFmtId="0" fontId="4" fillId="0" borderId="105" xfId="8" applyFont="1" applyBorder="1" applyAlignment="1">
      <alignment vertical="center"/>
    </xf>
    <xf numFmtId="176" fontId="19" fillId="0" borderId="87" xfId="2" applyFont="1" applyBorder="1" applyAlignment="1">
      <alignment horizontal="center" vertical="center"/>
    </xf>
    <xf numFmtId="176" fontId="19" fillId="0" borderId="26" xfId="2" applyFont="1" applyBorder="1" applyAlignment="1">
      <alignment horizontal="center" vertical="center"/>
    </xf>
    <xf numFmtId="176" fontId="19" fillId="0" borderId="26" xfId="2" applyFont="1" applyFill="1" applyBorder="1" applyAlignment="1">
      <alignment horizontal="center" vertical="center"/>
    </xf>
    <xf numFmtId="176" fontId="4" fillId="0" borderId="0" xfId="8" applyNumberFormat="1" applyFont="1" applyAlignment="1">
      <alignment vertical="center"/>
    </xf>
    <xf numFmtId="182" fontId="19" fillId="0" borderId="87" xfId="1" applyNumberFormat="1" applyFont="1" applyBorder="1" applyAlignment="1">
      <alignment horizontal="centerContinuous" vertical="center"/>
    </xf>
    <xf numFmtId="182" fontId="19" fillId="0" borderId="26" xfId="1" applyNumberFormat="1" applyFont="1" applyBorder="1" applyAlignment="1">
      <alignment horizontal="centerContinuous" vertical="center"/>
    </xf>
    <xf numFmtId="182" fontId="11" fillId="4" borderId="87" xfId="1" applyNumberFormat="1" applyFont="1" applyFill="1" applyBorder="1" applyAlignment="1">
      <alignment horizontal="centerContinuous" vertical="center"/>
    </xf>
    <xf numFmtId="182" fontId="11" fillId="4" borderId="26" xfId="1" applyNumberFormat="1" applyFont="1" applyFill="1" applyBorder="1" applyAlignment="1">
      <alignment horizontal="centerContinuous" vertical="center"/>
    </xf>
    <xf numFmtId="186" fontId="4" fillId="0" borderId="56" xfId="8" applyNumberFormat="1" applyFont="1" applyBorder="1" applyAlignment="1">
      <alignment vertical="center"/>
    </xf>
    <xf numFmtId="186" fontId="4" fillId="0" borderId="88" xfId="8" applyNumberFormat="1" applyFont="1" applyBorder="1" applyAlignment="1">
      <alignment vertical="center"/>
    </xf>
    <xf numFmtId="186" fontId="4" fillId="0" borderId="0" xfId="8" applyNumberFormat="1" applyFont="1" applyAlignment="1">
      <alignment vertical="center"/>
    </xf>
    <xf numFmtId="0" fontId="4" fillId="0" borderId="15" xfId="8" applyFont="1" applyBorder="1" applyAlignment="1">
      <alignment horizontal="left" vertical="center" indent="1"/>
    </xf>
    <xf numFmtId="0" fontId="4" fillId="0" borderId="19" xfId="8" applyFont="1" applyBorder="1" applyAlignment="1">
      <alignment horizontal="left" vertical="center" indent="1"/>
    </xf>
    <xf numFmtId="0" fontId="4" fillId="0" borderId="106" xfId="8" applyFont="1" applyBorder="1" applyAlignment="1">
      <alignment vertical="center"/>
    </xf>
    <xf numFmtId="0" fontId="4" fillId="3" borderId="107" xfId="8" applyFont="1" applyFill="1" applyBorder="1" applyAlignment="1">
      <alignment vertical="center"/>
    </xf>
    <xf numFmtId="0" fontId="5" fillId="2" borderId="97" xfId="8" applyFont="1" applyFill="1" applyBorder="1" applyAlignment="1">
      <alignment horizontal="centerContinuous" vertical="center"/>
    </xf>
    <xf numFmtId="0" fontId="5" fillId="2" borderId="98" xfId="8" applyFont="1" applyFill="1" applyBorder="1" applyAlignment="1">
      <alignment horizontal="centerContinuous" vertical="center"/>
    </xf>
    <xf numFmtId="0" fontId="5" fillId="2" borderId="99" xfId="8" applyFont="1" applyFill="1" applyBorder="1" applyAlignment="1">
      <alignment horizontal="centerContinuous" vertical="center"/>
    </xf>
    <xf numFmtId="0" fontId="4" fillId="0" borderId="108" xfId="8" applyFont="1" applyBorder="1" applyAlignment="1">
      <alignment horizontal="center" vertical="center"/>
    </xf>
    <xf numFmtId="186" fontId="11" fillId="0" borderId="97" xfId="1" applyNumberFormat="1" applyFont="1" applyBorder="1" applyAlignment="1">
      <alignment vertical="center"/>
    </xf>
    <xf numFmtId="186" fontId="11" fillId="0" borderId="98" xfId="1" applyNumberFormat="1" applyFont="1" applyBorder="1" applyAlignment="1">
      <alignment vertical="center"/>
    </xf>
    <xf numFmtId="186" fontId="11" fillId="0" borderId="99" xfId="1" applyNumberFormat="1" applyFont="1" applyBorder="1" applyAlignment="1">
      <alignment vertical="center"/>
    </xf>
    <xf numFmtId="182" fontId="19" fillId="0" borderId="96" xfId="1" applyNumberFormat="1" applyFont="1" applyBorder="1" applyAlignment="1">
      <alignment horizontal="centerContinuous" vertical="center"/>
    </xf>
    <xf numFmtId="0" fontId="5" fillId="2" borderId="109" xfId="8" applyFont="1" applyFill="1" applyBorder="1" applyAlignment="1">
      <alignment horizontal="centerContinuous" vertical="center"/>
    </xf>
    <xf numFmtId="0" fontId="5" fillId="2" borderId="110" xfId="8" applyFont="1" applyFill="1" applyBorder="1" applyAlignment="1">
      <alignment horizontal="centerContinuous" vertical="center"/>
    </xf>
    <xf numFmtId="0" fontId="5" fillId="2" borderId="111" xfId="8" applyFont="1" applyFill="1" applyBorder="1" applyAlignment="1">
      <alignment horizontal="centerContinuous" vertical="center"/>
    </xf>
    <xf numFmtId="0" fontId="4" fillId="0" borderId="112" xfId="8" applyFont="1" applyBorder="1" applyAlignment="1">
      <alignment vertical="center"/>
    </xf>
    <xf numFmtId="0" fontId="4" fillId="0" borderId="113" xfId="8" applyFont="1" applyBorder="1" applyAlignment="1">
      <alignment vertical="center"/>
    </xf>
    <xf numFmtId="0" fontId="4" fillId="0" borderId="114" xfId="8" applyFont="1" applyBorder="1" applyAlignment="1">
      <alignment vertical="center"/>
    </xf>
    <xf numFmtId="176" fontId="4" fillId="3" borderId="115" xfId="2" applyFont="1" applyFill="1" applyBorder="1" applyAlignment="1">
      <alignment horizontal="centerContinuous" vertical="center"/>
    </xf>
    <xf numFmtId="176" fontId="4" fillId="3" borderId="116" xfId="2" applyFont="1" applyFill="1" applyBorder="1" applyAlignment="1">
      <alignment horizontal="centerContinuous" vertical="center"/>
    </xf>
    <xf numFmtId="176" fontId="4" fillId="0" borderId="72" xfId="2" applyFont="1" applyBorder="1" applyAlignment="1">
      <alignment horizontal="centerContinuous" vertical="center"/>
    </xf>
    <xf numFmtId="176" fontId="19" fillId="0" borderId="102" xfId="2" applyFont="1" applyBorder="1" applyAlignment="1">
      <alignment horizontal="center" vertical="center"/>
    </xf>
    <xf numFmtId="0" fontId="4" fillId="0" borderId="117" xfId="8" applyFont="1" applyBorder="1" applyAlignment="1">
      <alignment horizontal="left" vertical="center" indent="1"/>
    </xf>
    <xf numFmtId="0" fontId="4" fillId="3" borderId="49" xfId="8" applyFont="1" applyFill="1" applyBorder="1" applyAlignment="1">
      <alignment vertical="center"/>
    </xf>
    <xf numFmtId="0" fontId="4" fillId="3" borderId="90" xfId="8" applyFont="1" applyFill="1" applyBorder="1" applyAlignment="1">
      <alignment vertical="center"/>
    </xf>
    <xf numFmtId="0" fontId="4" fillId="0" borderId="95" xfId="8" applyFont="1" applyBorder="1" applyAlignment="1">
      <alignment horizontal="left" vertical="center" indent="1"/>
    </xf>
    <xf numFmtId="0" fontId="4" fillId="0" borderId="77" xfId="8" applyFont="1" applyBorder="1" applyAlignment="1">
      <alignment horizontal="left" vertical="center" indent="1"/>
    </xf>
    <xf numFmtId="0" fontId="4" fillId="0" borderId="31" xfId="8" applyFont="1" applyBorder="1" applyAlignment="1">
      <alignment horizontal="left" vertical="center" indent="1"/>
    </xf>
    <xf numFmtId="176" fontId="20" fillId="0" borderId="87" xfId="2" applyFont="1" applyBorder="1" applyAlignment="1">
      <alignment horizontal="center" vertical="center"/>
    </xf>
    <xf numFmtId="182" fontId="19" fillId="0" borderId="59" xfId="1" applyNumberFormat="1" applyFont="1" applyBorder="1" applyAlignment="1">
      <alignment horizontal="centerContinuous" vertical="center"/>
    </xf>
    <xf numFmtId="182" fontId="11" fillId="0" borderId="12" xfId="1" applyNumberFormat="1" applyFont="1" applyFill="1" applyBorder="1" applyAlignment="1">
      <alignment vertical="center"/>
    </xf>
    <xf numFmtId="182" fontId="11" fillId="0" borderId="13" xfId="1" applyNumberFormat="1" applyFont="1" applyFill="1" applyBorder="1" applyAlignment="1">
      <alignment vertical="center"/>
    </xf>
    <xf numFmtId="182" fontId="11" fillId="0" borderId="14" xfId="1" applyNumberFormat="1" applyFont="1" applyFill="1" applyBorder="1" applyAlignment="1">
      <alignment vertical="center"/>
    </xf>
    <xf numFmtId="0" fontId="13" fillId="2" borderId="51" xfId="8" applyFont="1" applyFill="1" applyBorder="1" applyAlignment="1">
      <alignment vertical="center"/>
    </xf>
    <xf numFmtId="0" fontId="4" fillId="2" borderId="52" xfId="8" applyFont="1" applyFill="1" applyBorder="1" applyAlignment="1">
      <alignment vertical="center"/>
    </xf>
    <xf numFmtId="0" fontId="4" fillId="2" borderId="120" xfId="8" applyFont="1" applyFill="1" applyBorder="1" applyAlignment="1">
      <alignment vertical="center"/>
    </xf>
    <xf numFmtId="0" fontId="4" fillId="0" borderId="121" xfId="8" applyFont="1" applyBorder="1" applyAlignment="1">
      <alignment horizontal="left" vertical="center"/>
    </xf>
    <xf numFmtId="0" fontId="4" fillId="0" borderId="122" xfId="8" applyFont="1" applyBorder="1" applyAlignment="1">
      <alignment horizontal="left" vertical="center"/>
    </xf>
    <xf numFmtId="0" fontId="4" fillId="0" borderId="123" xfId="8" applyFont="1" applyBorder="1" applyAlignment="1">
      <alignment vertical="center"/>
    </xf>
    <xf numFmtId="0" fontId="4" fillId="0" borderId="108" xfId="8" applyFont="1" applyBorder="1" applyAlignment="1">
      <alignment horizontal="left" vertical="center"/>
    </xf>
    <xf numFmtId="0" fontId="4" fillId="0" borderId="91" xfId="8" applyFont="1" applyBorder="1" applyAlignment="1">
      <alignment vertical="center"/>
    </xf>
    <xf numFmtId="0" fontId="12" fillId="0" borderId="0" xfId="8" applyFont="1" applyAlignment="1">
      <alignment vertical="center"/>
    </xf>
    <xf numFmtId="49" fontId="12" fillId="0" borderId="0" xfId="8" applyNumberFormat="1" applyFont="1" applyAlignment="1">
      <alignment vertical="center"/>
    </xf>
    <xf numFmtId="0" fontId="4" fillId="0" borderId="112" xfId="8" applyFont="1" applyBorder="1" applyAlignment="1">
      <alignment horizontal="left" vertical="center"/>
    </xf>
    <xf numFmtId="182" fontId="4" fillId="0" borderId="53" xfId="1" applyNumberFormat="1" applyFont="1" applyFill="1" applyBorder="1" applyAlignment="1">
      <alignment vertical="center"/>
    </xf>
    <xf numFmtId="182" fontId="4" fillId="0" borderId="54" xfId="1" applyNumberFormat="1" applyFont="1" applyFill="1" applyBorder="1" applyAlignment="1">
      <alignment vertical="center"/>
    </xf>
    <xf numFmtId="182" fontId="4" fillId="0" borderId="55" xfId="1" applyNumberFormat="1" applyFont="1" applyFill="1" applyBorder="1" applyAlignment="1">
      <alignment vertical="center"/>
    </xf>
    <xf numFmtId="184" fontId="11" fillId="0" borderId="125" xfId="2" applyNumberFormat="1" applyFont="1" applyFill="1" applyBorder="1" applyAlignment="1">
      <alignment vertical="center"/>
    </xf>
    <xf numFmtId="184" fontId="11" fillId="0" borderId="126" xfId="2" applyNumberFormat="1" applyFont="1" applyFill="1" applyBorder="1" applyAlignment="1">
      <alignment vertical="center"/>
    </xf>
    <xf numFmtId="184" fontId="11" fillId="0" borderId="127" xfId="2" applyNumberFormat="1" applyFont="1" applyFill="1" applyBorder="1" applyAlignment="1">
      <alignment vertical="center"/>
    </xf>
    <xf numFmtId="0" fontId="4" fillId="0" borderId="130" xfId="8" applyFont="1" applyBorder="1" applyAlignment="1">
      <alignment vertical="center"/>
    </xf>
    <xf numFmtId="0" fontId="4" fillId="0" borderId="103" xfId="8" applyFont="1" applyBorder="1" applyAlignment="1">
      <alignment horizontal="left" vertical="center"/>
    </xf>
    <xf numFmtId="0" fontId="4" fillId="0" borderId="112" xfId="8" applyFont="1" applyBorder="1" applyAlignment="1">
      <alignment horizontal="left" vertical="center" indent="1"/>
    </xf>
    <xf numFmtId="178" fontId="5" fillId="3" borderId="74" xfId="7" applyFont="1" applyFill="1" applyBorder="1" applyAlignment="1">
      <alignment horizontal="left" vertical="center" indent="1"/>
    </xf>
    <xf numFmtId="0" fontId="4" fillId="0" borderId="39" xfId="8" quotePrefix="1" applyFont="1" applyBorder="1" applyAlignment="1">
      <alignment horizontal="left" vertical="center" indent="3"/>
    </xf>
    <xf numFmtId="0" fontId="4" fillId="0" borderId="26" xfId="8" applyFont="1" applyBorder="1" applyAlignment="1">
      <alignment horizontal="left" vertical="center" indent="3"/>
    </xf>
    <xf numFmtId="0" fontId="4" fillId="0" borderId="27" xfId="8" applyFont="1" applyBorder="1" applyAlignment="1">
      <alignment horizontal="left" vertical="center" indent="3"/>
    </xf>
    <xf numFmtId="0" fontId="4" fillId="0" borderId="87" xfId="8" applyFont="1" applyBorder="1" applyAlignment="1">
      <alignment horizontal="left" vertical="center" indent="3"/>
    </xf>
    <xf numFmtId="0" fontId="4" fillId="0" borderId="87" xfId="8" applyFont="1" applyBorder="1" applyAlignment="1">
      <alignment horizontal="left" vertical="center" indent="4"/>
    </xf>
    <xf numFmtId="0" fontId="4" fillId="0" borderId="26" xfId="8" applyFont="1" applyBorder="1" applyAlignment="1">
      <alignment horizontal="left" vertical="center" indent="4"/>
    </xf>
    <xf numFmtId="0" fontId="21" fillId="0" borderId="0" xfId="8" applyFont="1" applyAlignment="1">
      <alignment vertical="center"/>
    </xf>
    <xf numFmtId="176" fontId="4" fillId="4" borderId="80" xfId="2" applyFont="1" applyFill="1" applyBorder="1" applyAlignment="1">
      <alignment horizontal="center" vertical="center"/>
    </xf>
    <xf numFmtId="176" fontId="4" fillId="4" borderId="81" xfId="2" applyFont="1" applyFill="1" applyBorder="1" applyAlignment="1">
      <alignment horizontal="center" vertical="center"/>
    </xf>
    <xf numFmtId="0" fontId="4" fillId="0" borderId="134" xfId="8" applyFont="1" applyBorder="1" applyAlignment="1">
      <alignment horizontal="left" vertical="center" indent="4"/>
    </xf>
    <xf numFmtId="176" fontId="4" fillId="0" borderId="91" xfId="2" applyFont="1" applyBorder="1" applyAlignment="1">
      <alignment horizontal="center" vertical="center"/>
    </xf>
    <xf numFmtId="0" fontId="4" fillId="0" borderId="124" xfId="8" applyFont="1" applyBorder="1" applyAlignment="1">
      <alignment vertical="center"/>
    </xf>
    <xf numFmtId="0" fontId="4" fillId="0" borderId="87" xfId="8" applyFont="1" applyBorder="1" applyAlignment="1">
      <alignment horizontal="left" vertical="center" indent="5"/>
    </xf>
    <xf numFmtId="177" fontId="4" fillId="0" borderId="0" xfId="1" applyFont="1" applyAlignment="1">
      <alignment vertical="center"/>
    </xf>
    <xf numFmtId="176" fontId="4" fillId="4" borderId="91" xfId="2" applyFont="1" applyFill="1" applyBorder="1" applyAlignment="1">
      <alignment horizontal="center" vertical="center"/>
    </xf>
    <xf numFmtId="176" fontId="4" fillId="4" borderId="92" xfId="2" applyFont="1" applyFill="1" applyBorder="1" applyAlignment="1">
      <alignment horizontal="center" vertical="center"/>
    </xf>
    <xf numFmtId="176" fontId="4" fillId="0" borderId="80" xfId="2" applyFont="1" applyFill="1" applyBorder="1" applyAlignment="1">
      <alignment horizontal="center" vertical="center"/>
    </xf>
    <xf numFmtId="176" fontId="4" fillId="0" borderId="123" xfId="2" applyFont="1" applyFill="1" applyBorder="1" applyAlignment="1">
      <alignment horizontal="center" vertical="center"/>
    </xf>
    <xf numFmtId="176" fontId="4" fillId="4" borderId="123" xfId="2" applyFont="1" applyFill="1" applyBorder="1" applyAlignment="1">
      <alignment horizontal="center" vertical="center"/>
    </xf>
    <xf numFmtId="176" fontId="4" fillId="4" borderId="133" xfId="2" applyFont="1" applyFill="1" applyBorder="1" applyAlignment="1">
      <alignment horizontal="center" vertical="center"/>
    </xf>
    <xf numFmtId="0" fontId="4" fillId="4" borderId="80" xfId="8" applyFont="1" applyFill="1" applyBorder="1" applyAlignment="1">
      <alignment horizontal="distributed" vertical="center"/>
    </xf>
    <xf numFmtId="0" fontId="4" fillId="0" borderId="91" xfId="8" applyFont="1" applyBorder="1" applyAlignment="1">
      <alignment horizontal="distributed" vertical="center"/>
    </xf>
    <xf numFmtId="0" fontId="4" fillId="0" borderId="80" xfId="8" applyFont="1" applyBorder="1" applyAlignment="1">
      <alignment horizontal="distributed" vertical="center"/>
    </xf>
    <xf numFmtId="0" fontId="4" fillId="0" borderId="123" xfId="8" applyFont="1" applyBorder="1" applyAlignment="1">
      <alignment horizontal="distributed" vertical="center"/>
    </xf>
    <xf numFmtId="0" fontId="4" fillId="0" borderId="0" xfId="8" applyFont="1" applyAlignment="1">
      <alignment horizontal="center" vertical="center"/>
    </xf>
    <xf numFmtId="0" fontId="4" fillId="0" borderId="73" xfId="8" applyFont="1" applyBorder="1" applyAlignment="1">
      <alignment vertical="center"/>
    </xf>
    <xf numFmtId="0" fontId="4" fillId="0" borderId="76" xfId="8" applyFont="1" applyBorder="1" applyAlignment="1">
      <alignment vertical="center"/>
    </xf>
    <xf numFmtId="0" fontId="5" fillId="0" borderId="80" xfId="1" applyNumberFormat="1" applyFont="1" applyFill="1" applyBorder="1" applyAlignment="1">
      <alignment horizontal="left" vertical="center" indent="1"/>
    </xf>
    <xf numFmtId="0" fontId="4" fillId="0" borderId="135" xfId="8" applyFont="1" applyBorder="1" applyAlignment="1">
      <alignment horizontal="centerContinuous" vertical="center"/>
    </xf>
    <xf numFmtId="0" fontId="16" fillId="0" borderId="135" xfId="8" applyFont="1" applyBorder="1" applyAlignment="1">
      <alignment vertical="center"/>
    </xf>
    <xf numFmtId="186" fontId="4" fillId="0" borderId="136" xfId="1" applyNumberFormat="1" applyFont="1" applyFill="1" applyBorder="1" applyAlignment="1">
      <alignment vertical="center"/>
    </xf>
    <xf numFmtId="0" fontId="4" fillId="0" borderId="135" xfId="8" applyFont="1" applyBorder="1" applyAlignment="1">
      <alignment horizontal="left" vertical="center"/>
    </xf>
    <xf numFmtId="179" fontId="4" fillId="0" borderId="135" xfId="4" applyFont="1" applyFill="1" applyBorder="1" applyAlignment="1">
      <alignment vertical="center"/>
    </xf>
    <xf numFmtId="0" fontId="4" fillId="0" borderId="135" xfId="8" applyFont="1" applyBorder="1" applyAlignment="1">
      <alignment vertical="center"/>
    </xf>
    <xf numFmtId="0" fontId="16" fillId="0" borderId="81" xfId="8" applyFont="1" applyBorder="1" applyAlignment="1">
      <alignment vertical="center"/>
    </xf>
    <xf numFmtId="0" fontId="12" fillId="0" borderId="0" xfId="8" applyFont="1" applyAlignment="1">
      <alignment horizontal="center" vertical="center"/>
    </xf>
    <xf numFmtId="0" fontId="16" fillId="0" borderId="0" xfId="8" applyFont="1" applyAlignment="1">
      <alignment horizontal="center" vertical="center"/>
    </xf>
    <xf numFmtId="182" fontId="11" fillId="4" borderId="27" xfId="1" applyNumberFormat="1" applyFont="1" applyFill="1" applyBorder="1" applyAlignment="1">
      <alignment horizontal="centerContinuous" vertical="center"/>
    </xf>
    <xf numFmtId="185" fontId="6" fillId="0" borderId="137" xfId="2" applyNumberFormat="1" applyFont="1" applyBorder="1" applyAlignment="1">
      <alignment horizontal="centerContinuous" vertical="center"/>
    </xf>
    <xf numFmtId="185" fontId="6" fillId="0" borderId="115" xfId="2" applyNumberFormat="1" applyFont="1" applyBorder="1" applyAlignment="1">
      <alignment horizontal="centerContinuous" vertical="center"/>
    </xf>
    <xf numFmtId="185" fontId="6" fillId="0" borderId="73" xfId="2" applyNumberFormat="1" applyFont="1" applyBorder="1" applyAlignment="1">
      <alignment horizontal="centerContinuous" vertical="center"/>
    </xf>
    <xf numFmtId="0" fontId="4" fillId="0" borderId="138" xfId="8" applyFont="1" applyBorder="1" applyAlignment="1">
      <alignment horizontal="centerContinuous" vertical="center"/>
    </xf>
    <xf numFmtId="185" fontId="6" fillId="0" borderId="139" xfId="2" applyNumberFormat="1" applyFont="1" applyBorder="1" applyAlignment="1">
      <alignment horizontal="centerContinuous" vertical="center"/>
    </xf>
    <xf numFmtId="185" fontId="6" fillId="0" borderId="121" xfId="2" applyNumberFormat="1" applyFont="1" applyBorder="1" applyAlignment="1">
      <alignment horizontal="centerContinuous" vertical="center"/>
    </xf>
    <xf numFmtId="185" fontId="6" fillId="0" borderId="108" xfId="2" applyNumberFormat="1" applyFont="1" applyBorder="1" applyAlignment="1">
      <alignment horizontal="centerContinuous" vertical="center"/>
    </xf>
    <xf numFmtId="0" fontId="4" fillId="0" borderId="137" xfId="8" applyFont="1" applyBorder="1" applyAlignment="1">
      <alignment horizontal="centerContinuous" vertical="center"/>
    </xf>
    <xf numFmtId="0" fontId="4" fillId="0" borderId="115" xfId="8" applyFont="1" applyBorder="1" applyAlignment="1">
      <alignment horizontal="centerContinuous" vertical="center"/>
    </xf>
    <xf numFmtId="0" fontId="4" fillId="0" borderId="76" xfId="8" applyFont="1" applyBorder="1" applyAlignment="1">
      <alignment horizontal="distributed" vertical="center"/>
    </xf>
    <xf numFmtId="187" fontId="4" fillId="0" borderId="32" xfId="8" applyNumberFormat="1" applyFont="1" applyBorder="1" applyAlignment="1">
      <alignment horizontal="centerContinuous" vertical="center"/>
    </xf>
    <xf numFmtId="187" fontId="4" fillId="0" borderId="33" xfId="8" applyNumberFormat="1" applyFont="1" applyBorder="1" applyAlignment="1">
      <alignment horizontal="centerContinuous" vertical="center"/>
    </xf>
    <xf numFmtId="182" fontId="11" fillId="4" borderId="140" xfId="1" applyNumberFormat="1" applyFont="1" applyFill="1" applyBorder="1" applyAlignment="1">
      <alignment horizontal="centerContinuous" vertical="center"/>
    </xf>
    <xf numFmtId="0" fontId="4" fillId="0" borderId="141" xfId="8" applyFont="1" applyBorder="1" applyAlignment="1">
      <alignment vertical="center"/>
    </xf>
    <xf numFmtId="182" fontId="4" fillId="0" borderId="142" xfId="1" applyNumberFormat="1" applyFont="1" applyFill="1" applyBorder="1" applyAlignment="1">
      <alignment vertical="center"/>
    </xf>
    <xf numFmtId="182" fontId="4" fillId="0" borderId="143" xfId="1" applyNumberFormat="1" applyFont="1" applyFill="1" applyBorder="1" applyAlignment="1">
      <alignment vertical="center"/>
    </xf>
    <xf numFmtId="182" fontId="4" fillId="0" borderId="144" xfId="1" applyNumberFormat="1" applyFont="1" applyFill="1" applyBorder="1" applyAlignment="1">
      <alignment vertical="center"/>
    </xf>
    <xf numFmtId="0" fontId="3" fillId="2" borderId="145" xfId="8" applyFont="1" applyFill="1" applyBorder="1" applyAlignment="1">
      <alignment horizontal="center" vertical="center"/>
    </xf>
    <xf numFmtId="183" fontId="3" fillId="0" borderId="146" xfId="1" applyNumberFormat="1" applyFont="1" applyFill="1" applyBorder="1" applyAlignment="1">
      <alignment horizontal="center" vertical="center"/>
    </xf>
    <xf numFmtId="183" fontId="3" fillId="0" borderId="147" xfId="1" applyNumberFormat="1" applyFont="1" applyFill="1" applyBorder="1" applyAlignment="1">
      <alignment horizontal="center" vertical="center"/>
    </xf>
    <xf numFmtId="183" fontId="3" fillId="5" borderId="147" xfId="1" applyNumberFormat="1" applyFont="1" applyFill="1" applyBorder="1" applyAlignment="1">
      <alignment horizontal="center" vertical="center"/>
    </xf>
    <xf numFmtId="183" fontId="3" fillId="5" borderId="148" xfId="1" applyNumberFormat="1" applyFont="1" applyFill="1" applyBorder="1" applyAlignment="1">
      <alignment horizontal="center" vertical="center"/>
    </xf>
    <xf numFmtId="0" fontId="3" fillId="7" borderId="149" xfId="8" applyFont="1" applyFill="1" applyBorder="1" applyAlignment="1">
      <alignment horizontal="center" vertical="center"/>
    </xf>
    <xf numFmtId="0" fontId="22" fillId="0" borderId="0" xfId="8" applyFont="1" applyAlignment="1">
      <alignment horizontal="left" vertical="center"/>
    </xf>
    <xf numFmtId="176" fontId="19" fillId="0" borderId="87" xfId="2" applyFont="1" applyBorder="1" applyAlignment="1">
      <alignment horizontal="left" vertical="center" indent="1"/>
    </xf>
    <xf numFmtId="0" fontId="4" fillId="0" borderId="87" xfId="8" applyFont="1" applyBorder="1" applyAlignment="1">
      <alignment horizontal="left" vertical="center" indent="2"/>
    </xf>
    <xf numFmtId="49" fontId="12" fillId="0" borderId="0" xfId="8" applyNumberFormat="1" applyFont="1" applyAlignment="1">
      <alignment horizontal="center" vertical="center"/>
    </xf>
    <xf numFmtId="0" fontId="23" fillId="0" borderId="0" xfId="8" applyFont="1" applyAlignment="1">
      <alignment vertical="center"/>
    </xf>
    <xf numFmtId="179" fontId="4" fillId="0" borderId="0" xfId="4" applyFont="1" applyFill="1" applyBorder="1" applyAlignment="1">
      <alignment vertical="center"/>
    </xf>
    <xf numFmtId="0" fontId="12" fillId="0" borderId="0" xfId="8" quotePrefix="1" applyFont="1" applyAlignment="1">
      <alignment horizontal="center" vertical="center"/>
    </xf>
    <xf numFmtId="0" fontId="4" fillId="4" borderId="74" xfId="8" applyFont="1" applyFill="1" applyBorder="1" applyAlignment="1">
      <alignment vertical="center"/>
    </xf>
    <xf numFmtId="0" fontId="4" fillId="2" borderId="0" xfId="8" applyFont="1" applyFill="1" applyAlignment="1">
      <alignment vertical="center"/>
    </xf>
    <xf numFmtId="0" fontId="4" fillId="2" borderId="21" xfId="8" applyFont="1" applyFill="1" applyBorder="1" applyAlignment="1">
      <alignment vertical="center"/>
    </xf>
    <xf numFmtId="0" fontId="4" fillId="2" borderId="150" xfId="8" applyFont="1" applyFill="1" applyBorder="1" applyAlignment="1">
      <alignment vertical="center"/>
    </xf>
    <xf numFmtId="0" fontId="4" fillId="2" borderId="75" xfId="8" applyFont="1" applyFill="1" applyBorder="1" applyAlignment="1">
      <alignment vertical="center"/>
    </xf>
    <xf numFmtId="177" fontId="4" fillId="2" borderId="151" xfId="1" applyFont="1" applyFill="1" applyBorder="1" applyAlignment="1">
      <alignment horizontal="left" vertical="center"/>
    </xf>
    <xf numFmtId="0" fontId="4" fillId="2" borderId="152" xfId="8" applyFont="1" applyFill="1" applyBorder="1" applyAlignment="1">
      <alignment horizontal="center" vertical="center"/>
    </xf>
    <xf numFmtId="0" fontId="4" fillId="2" borderId="152" xfId="8" applyFont="1" applyFill="1" applyBorder="1" applyAlignment="1">
      <alignment vertical="center"/>
    </xf>
    <xf numFmtId="0" fontId="4" fillId="2" borderId="153" xfId="8" applyFont="1" applyFill="1" applyBorder="1" applyAlignment="1">
      <alignment vertical="center"/>
    </xf>
    <xf numFmtId="177" fontId="12" fillId="2" borderId="20" xfId="1" applyFont="1" applyFill="1" applyBorder="1" applyAlignment="1">
      <alignment vertical="center"/>
    </xf>
    <xf numFmtId="177" fontId="12" fillId="2" borderId="154" xfId="1" applyFont="1" applyFill="1" applyBorder="1" applyAlignment="1">
      <alignment vertical="center"/>
    </xf>
    <xf numFmtId="0" fontId="16" fillId="0" borderId="75" xfId="8" applyFont="1" applyBorder="1" applyAlignment="1">
      <alignment vertical="center"/>
    </xf>
    <xf numFmtId="180" fontId="4" fillId="0" borderId="0" xfId="8" applyNumberFormat="1" applyFont="1" applyAlignment="1">
      <alignment vertical="center"/>
    </xf>
    <xf numFmtId="182" fontId="19" fillId="0" borderId="102" xfId="1" applyNumberFormat="1" applyFont="1" applyBorder="1" applyAlignment="1">
      <alignment horizontal="centerContinuous" vertical="center"/>
    </xf>
    <xf numFmtId="176" fontId="4" fillId="0" borderId="155" xfId="2" applyFont="1" applyBorder="1" applyAlignment="1">
      <alignment horizontal="centerContinuous" vertical="center"/>
    </xf>
    <xf numFmtId="176" fontId="4" fillId="0" borderId="146" xfId="2" applyFont="1" applyBorder="1" applyAlignment="1">
      <alignment horizontal="centerContinuous" vertical="center"/>
    </xf>
    <xf numFmtId="0" fontId="4" fillId="0" borderId="102" xfId="8" applyFont="1" applyBorder="1" applyAlignment="1">
      <alignment horizontal="left" vertical="center" indent="1"/>
    </xf>
    <xf numFmtId="0" fontId="16" fillId="0" borderId="26" xfId="8" applyFont="1" applyBorder="1" applyAlignment="1">
      <alignment horizontal="left" vertical="center" indent="2"/>
    </xf>
    <xf numFmtId="0" fontId="4" fillId="0" borderId="0" xfId="8" applyFont="1" applyAlignment="1">
      <alignment horizontal="left" vertical="center" indent="3"/>
    </xf>
    <xf numFmtId="0" fontId="4" fillId="0" borderId="0" xfId="8" applyFont="1" applyAlignment="1">
      <alignment horizontal="left" vertical="center" indent="1"/>
    </xf>
    <xf numFmtId="0" fontId="4" fillId="0" borderId="86" xfId="8" applyFont="1" applyBorder="1" applyAlignment="1">
      <alignment horizontal="left" vertical="center" indent="4"/>
    </xf>
    <xf numFmtId="182" fontId="19" fillId="0" borderId="0" xfId="1" applyNumberFormat="1" applyFont="1" applyBorder="1" applyAlignment="1">
      <alignment horizontal="centerContinuous" vertical="center"/>
    </xf>
    <xf numFmtId="184" fontId="4" fillId="0" borderId="54" xfId="2" applyNumberFormat="1" applyFont="1" applyBorder="1" applyAlignment="1">
      <alignment vertical="center"/>
    </xf>
    <xf numFmtId="184" fontId="4" fillId="0" borderId="55" xfId="2" applyNumberFormat="1" applyFont="1" applyBorder="1" applyAlignment="1">
      <alignment vertical="center"/>
    </xf>
    <xf numFmtId="182" fontId="4" fillId="0" borderId="53" xfId="1" applyNumberFormat="1" applyFont="1" applyBorder="1" applyAlignment="1">
      <alignment vertical="center"/>
    </xf>
    <xf numFmtId="0" fontId="3" fillId="7" borderId="156" xfId="8" quotePrefix="1" applyFont="1" applyFill="1" applyBorder="1" applyAlignment="1">
      <alignment horizontal="center" vertical="center"/>
    </xf>
    <xf numFmtId="182" fontId="24" fillId="0" borderId="12" xfId="1" applyNumberFormat="1" applyFont="1" applyBorder="1" applyAlignment="1">
      <alignment vertical="center"/>
    </xf>
    <xf numFmtId="182" fontId="24" fillId="0" borderId="13" xfId="1" applyNumberFormat="1" applyFont="1" applyBorder="1" applyAlignment="1">
      <alignment vertical="center"/>
    </xf>
    <xf numFmtId="182" fontId="24" fillId="0" borderId="14" xfId="1" applyNumberFormat="1" applyFont="1" applyBorder="1" applyAlignment="1">
      <alignment vertical="center"/>
    </xf>
    <xf numFmtId="0" fontId="4" fillId="0" borderId="157" xfId="8" applyFont="1" applyBorder="1" applyAlignment="1">
      <alignment horizontal="left" vertical="center" indent="1"/>
    </xf>
    <xf numFmtId="0" fontId="4" fillId="0" borderId="49" xfId="8" applyFont="1" applyBorder="1" applyAlignment="1">
      <alignment horizontal="center" vertical="center"/>
    </xf>
    <xf numFmtId="0" fontId="4" fillId="0" borderId="106" xfId="8" applyFont="1" applyBorder="1" applyAlignment="1">
      <alignment horizontal="center" vertical="center"/>
    </xf>
    <xf numFmtId="0" fontId="25" fillId="0" borderId="0" xfId="8" applyFont="1" applyAlignment="1">
      <alignment vertical="center"/>
    </xf>
    <xf numFmtId="0" fontId="5" fillId="9" borderId="0" xfId="8" applyFont="1" applyFill="1" applyAlignment="1">
      <alignment horizontal="center" vertical="center"/>
    </xf>
    <xf numFmtId="0" fontId="4" fillId="0" borderId="100" xfId="8" applyFont="1" applyBorder="1" applyAlignment="1">
      <alignment vertical="center"/>
    </xf>
    <xf numFmtId="184" fontId="4" fillId="0" borderId="12" xfId="2" applyNumberFormat="1" applyFont="1" applyBorder="1" applyAlignment="1">
      <alignment vertical="center"/>
    </xf>
    <xf numFmtId="184" fontId="4" fillId="0" borderId="13" xfId="2" applyNumberFormat="1" applyFont="1" applyBorder="1" applyAlignment="1">
      <alignment vertical="center"/>
    </xf>
    <xf numFmtId="184" fontId="4" fillId="0" borderId="14" xfId="2" applyNumberFormat="1" applyFont="1" applyBorder="1" applyAlignment="1">
      <alignment vertical="center"/>
    </xf>
    <xf numFmtId="182" fontId="4" fillId="0" borderId="142" xfId="1" applyNumberFormat="1" applyFont="1" applyBorder="1" applyAlignment="1">
      <alignment vertical="center"/>
    </xf>
    <xf numFmtId="182" fontId="4" fillId="0" borderId="143" xfId="1" applyNumberFormat="1" applyFont="1" applyBorder="1" applyAlignment="1">
      <alignment vertical="center"/>
    </xf>
    <xf numFmtId="182" fontId="4" fillId="0" borderId="144" xfId="1" applyNumberFormat="1" applyFont="1" applyBorder="1" applyAlignment="1">
      <alignment vertical="center"/>
    </xf>
    <xf numFmtId="0" fontId="4" fillId="0" borderId="15" xfId="8" applyFont="1" applyBorder="1" applyAlignment="1">
      <alignment horizontal="center" vertical="center"/>
    </xf>
    <xf numFmtId="0" fontId="4" fillId="0" borderId="141" xfId="8" applyFont="1" applyBorder="1" applyAlignment="1">
      <alignment horizontal="left" vertical="center" indent="1"/>
    </xf>
    <xf numFmtId="182" fontId="11" fillId="0" borderId="125" xfId="1" applyNumberFormat="1" applyFont="1" applyBorder="1" applyAlignment="1">
      <alignment vertical="center"/>
    </xf>
    <xf numFmtId="182" fontId="11" fillId="0" borderId="126" xfId="1" applyNumberFormat="1" applyFont="1" applyBorder="1" applyAlignment="1">
      <alignment vertical="center"/>
    </xf>
    <xf numFmtId="182" fontId="11" fillId="0" borderId="127" xfId="1" applyNumberFormat="1" applyFont="1" applyBorder="1" applyAlignment="1">
      <alignment vertical="center"/>
    </xf>
    <xf numFmtId="183" fontId="3" fillId="0" borderId="59" xfId="1" applyNumberFormat="1" applyFont="1" applyFill="1" applyBorder="1" applyAlignment="1">
      <alignment horizontal="center" vertical="center"/>
    </xf>
    <xf numFmtId="183" fontId="3" fillId="0" borderId="56" xfId="1" applyNumberFormat="1" applyFont="1" applyFill="1" applyBorder="1" applyAlignment="1">
      <alignment horizontal="center" vertical="center"/>
    </xf>
    <xf numFmtId="183" fontId="3" fillId="5" borderId="56" xfId="1" applyNumberFormat="1" applyFont="1" applyFill="1" applyBorder="1" applyAlignment="1">
      <alignment horizontal="center" vertical="center"/>
    </xf>
    <xf numFmtId="183" fontId="3" fillId="5" borderId="67" xfId="1" applyNumberFormat="1" applyFont="1" applyFill="1" applyBorder="1" applyAlignment="1">
      <alignment horizontal="center" vertical="center"/>
    </xf>
    <xf numFmtId="0" fontId="4" fillId="0" borderId="49" xfId="8" applyFont="1" applyBorder="1" applyAlignment="1">
      <alignment horizontal="left" vertical="center" indent="1"/>
    </xf>
    <xf numFmtId="0" fontId="4" fillId="0" borderId="50" xfId="8" applyFont="1" applyBorder="1" applyAlignment="1">
      <alignment horizontal="left" vertical="center" indent="1"/>
    </xf>
    <xf numFmtId="0" fontId="24" fillId="0" borderId="0" xfId="8" applyFont="1" applyAlignment="1">
      <alignment vertical="center"/>
    </xf>
    <xf numFmtId="182" fontId="24" fillId="0" borderId="36" xfId="1" applyNumberFormat="1" applyFont="1" applyFill="1" applyBorder="1" applyAlignment="1">
      <alignment vertical="center"/>
    </xf>
    <xf numFmtId="182" fontId="24" fillId="0" borderId="37" xfId="1" applyNumberFormat="1" applyFont="1" applyFill="1" applyBorder="1" applyAlignment="1">
      <alignment vertical="center"/>
    </xf>
    <xf numFmtId="182" fontId="24" fillId="0" borderId="38" xfId="1" applyNumberFormat="1" applyFont="1" applyFill="1" applyBorder="1" applyAlignment="1">
      <alignment vertical="center"/>
    </xf>
    <xf numFmtId="182" fontId="11" fillId="4" borderId="128" xfId="1" applyNumberFormat="1" applyFont="1" applyFill="1" applyBorder="1" applyAlignment="1">
      <alignment horizontal="centerContinuous" vertical="center"/>
    </xf>
    <xf numFmtId="182" fontId="26" fillId="0" borderId="12" xfId="1" applyNumberFormat="1" applyFont="1" applyFill="1" applyBorder="1" applyAlignment="1">
      <alignment vertical="center"/>
    </xf>
    <xf numFmtId="182" fontId="26" fillId="0" borderId="13" xfId="1" applyNumberFormat="1" applyFont="1" applyFill="1" applyBorder="1" applyAlignment="1">
      <alignment vertical="center"/>
    </xf>
    <xf numFmtId="182" fontId="26" fillId="0" borderId="14" xfId="1" applyNumberFormat="1" applyFont="1" applyFill="1" applyBorder="1" applyAlignment="1">
      <alignment vertical="center"/>
    </xf>
    <xf numFmtId="182" fontId="26" fillId="0" borderId="53" xfId="1" applyNumberFormat="1" applyFont="1" applyFill="1" applyBorder="1" applyAlignment="1">
      <alignment vertical="center"/>
    </xf>
    <xf numFmtId="182" fontId="26" fillId="0" borderId="54" xfId="1" applyNumberFormat="1" applyFont="1" applyFill="1" applyBorder="1" applyAlignment="1">
      <alignment vertical="center"/>
    </xf>
    <xf numFmtId="182" fontId="26" fillId="0" borderId="55" xfId="1" applyNumberFormat="1" applyFont="1" applyFill="1" applyBorder="1" applyAlignment="1">
      <alignment vertical="center"/>
    </xf>
    <xf numFmtId="182" fontId="11" fillId="4" borderId="159" xfId="1" applyNumberFormat="1" applyFont="1" applyFill="1" applyBorder="1" applyAlignment="1">
      <alignment horizontal="centerContinuous" vertical="center"/>
    </xf>
    <xf numFmtId="182" fontId="26" fillId="0" borderId="142" xfId="1" applyNumberFormat="1" applyFont="1" applyFill="1" applyBorder="1" applyAlignment="1">
      <alignment vertical="center"/>
    </xf>
    <xf numFmtId="182" fontId="26" fillId="0" borderId="143" xfId="1" applyNumberFormat="1" applyFont="1" applyFill="1" applyBorder="1" applyAlignment="1">
      <alignment vertical="center"/>
    </xf>
    <xf numFmtId="182" fontId="26" fillId="0" borderId="144" xfId="1" applyNumberFormat="1" applyFont="1" applyFill="1" applyBorder="1" applyAlignment="1">
      <alignment vertical="center"/>
    </xf>
    <xf numFmtId="0" fontId="4" fillId="8" borderId="21" xfId="8" applyFont="1" applyFill="1" applyBorder="1" applyAlignment="1">
      <alignment vertical="center"/>
    </xf>
    <xf numFmtId="186" fontId="4" fillId="8" borderId="0" xfId="1" applyNumberFormat="1" applyFont="1" applyFill="1" applyBorder="1" applyAlignment="1">
      <alignment vertical="center"/>
    </xf>
    <xf numFmtId="0" fontId="4" fillId="8" borderId="0" xfId="8" applyFont="1" applyFill="1" applyAlignment="1">
      <alignment vertical="center"/>
    </xf>
    <xf numFmtId="177" fontId="12" fillId="8" borderId="0" xfId="1" applyFont="1" applyFill="1" applyBorder="1" applyAlignment="1">
      <alignment vertical="center"/>
    </xf>
    <xf numFmtId="0" fontId="16" fillId="0" borderId="33" xfId="8" applyFont="1" applyBorder="1" applyAlignment="1">
      <alignment vertical="center"/>
    </xf>
    <xf numFmtId="183" fontId="12" fillId="0" borderId="0" xfId="1" applyNumberFormat="1" applyFont="1" applyFill="1" applyBorder="1" applyAlignment="1">
      <alignment horizontal="centerContinuous" vertical="center"/>
    </xf>
    <xf numFmtId="183" fontId="11" fillId="0" borderId="0" xfId="1" applyNumberFormat="1" applyFont="1" applyFill="1" applyBorder="1" applyAlignment="1">
      <alignment horizontal="centerContinuous" vertical="center"/>
    </xf>
    <xf numFmtId="183" fontId="4" fillId="0" borderId="0" xfId="1" applyNumberFormat="1" applyFont="1" applyFill="1" applyBorder="1" applyAlignment="1">
      <alignment horizontal="centerContinuous" vertical="center"/>
    </xf>
    <xf numFmtId="0" fontId="27" fillId="0" borderId="0" xfId="8" applyFont="1" applyAlignment="1">
      <alignment horizontal="left" vertical="center"/>
    </xf>
    <xf numFmtId="0" fontId="27" fillId="0" borderId="0" xfId="8" applyFont="1" applyAlignment="1">
      <alignment vertical="center"/>
    </xf>
    <xf numFmtId="0" fontId="16" fillId="8" borderId="0" xfId="8" applyFont="1" applyFill="1" applyAlignment="1">
      <alignment vertical="center"/>
    </xf>
    <xf numFmtId="0" fontId="4" fillId="2" borderId="160" xfId="8" applyFont="1" applyFill="1" applyBorder="1" applyAlignment="1">
      <alignment vertical="center"/>
    </xf>
    <xf numFmtId="177" fontId="12" fillId="2" borderId="161" xfId="1" applyFont="1" applyFill="1" applyBorder="1" applyAlignment="1">
      <alignment vertical="center"/>
    </xf>
    <xf numFmtId="177" fontId="12" fillId="0" borderId="0" xfId="1" applyFont="1" applyFill="1" applyBorder="1" applyAlignment="1">
      <alignment vertical="center"/>
    </xf>
    <xf numFmtId="177" fontId="25" fillId="0" borderId="0" xfId="1" applyFont="1" applyFill="1" applyBorder="1" applyAlignment="1">
      <alignment horizontal="left" vertical="center"/>
    </xf>
    <xf numFmtId="0" fontId="25" fillId="0" borderId="44" xfId="8" applyFont="1" applyBorder="1" applyAlignment="1">
      <alignment vertical="center"/>
    </xf>
    <xf numFmtId="0" fontId="4" fillId="10" borderId="152" xfId="8" applyFont="1" applyFill="1" applyBorder="1" applyAlignment="1">
      <alignment vertical="center"/>
    </xf>
    <xf numFmtId="0" fontId="4" fillId="0" borderId="50" xfId="8" applyFont="1" applyBorder="1" applyAlignment="1">
      <alignment horizontal="center" vertical="center"/>
    </xf>
    <xf numFmtId="0" fontId="5" fillId="2" borderId="2" xfId="8" applyFont="1" applyFill="1" applyBorder="1" applyAlignment="1">
      <alignment horizontal="center" vertical="center"/>
    </xf>
    <xf numFmtId="0" fontId="5" fillId="2" borderId="45" xfId="8" applyFont="1" applyFill="1" applyBorder="1" applyAlignment="1">
      <alignment horizontal="center" vertical="center"/>
    </xf>
    <xf numFmtId="179" fontId="5" fillId="2" borderId="2" xfId="4" applyFont="1" applyFill="1" applyBorder="1" applyAlignment="1">
      <alignment horizontal="center" vertical="center"/>
    </xf>
    <xf numFmtId="184" fontId="11" fillId="0" borderId="36" xfId="2" applyNumberFormat="1" applyFont="1" applyBorder="1" applyAlignment="1">
      <alignment vertical="center"/>
    </xf>
    <xf numFmtId="184" fontId="11" fillId="0" borderId="37" xfId="2" applyNumberFormat="1" applyFont="1" applyBorder="1" applyAlignment="1">
      <alignment vertical="center"/>
    </xf>
    <xf numFmtId="184" fontId="11" fillId="0" borderId="38" xfId="2" applyNumberFormat="1" applyFont="1" applyBorder="1" applyAlignment="1">
      <alignment vertical="center"/>
    </xf>
    <xf numFmtId="182" fontId="11" fillId="0" borderId="97" xfId="1" applyNumberFormat="1" applyFont="1" applyBorder="1" applyAlignment="1">
      <alignment vertical="center"/>
    </xf>
    <xf numFmtId="182" fontId="11" fillId="0" borderId="98" xfId="1" applyNumberFormat="1" applyFont="1" applyBorder="1" applyAlignment="1">
      <alignment vertical="center"/>
    </xf>
    <xf numFmtId="182" fontId="11" fillId="0" borderId="99" xfId="1" applyNumberFormat="1" applyFont="1" applyBorder="1" applyAlignment="1">
      <alignment vertical="center"/>
    </xf>
    <xf numFmtId="182" fontId="11" fillId="0" borderId="22" xfId="1" applyNumberFormat="1" applyFont="1" applyBorder="1" applyAlignment="1">
      <alignment vertical="center"/>
    </xf>
    <xf numFmtId="182" fontId="11" fillId="0" borderId="23" xfId="1" applyNumberFormat="1" applyFont="1" applyBorder="1" applyAlignment="1">
      <alignment vertical="center"/>
    </xf>
    <xf numFmtId="182" fontId="11" fillId="0" borderId="24" xfId="1" applyNumberFormat="1" applyFont="1" applyBorder="1" applyAlignment="1">
      <alignment vertical="center"/>
    </xf>
    <xf numFmtId="182" fontId="11" fillId="8" borderId="0" xfId="1" applyNumberFormat="1" applyFont="1" applyFill="1" applyBorder="1" applyAlignment="1">
      <alignment horizontal="centerContinuous" vertical="center"/>
    </xf>
    <xf numFmtId="0" fontId="28" fillId="0" borderId="33" xfId="8" applyFont="1" applyBorder="1" applyAlignment="1">
      <alignment vertical="center"/>
    </xf>
    <xf numFmtId="0" fontId="28" fillId="0" borderId="0" xfId="8" applyFont="1" applyAlignment="1">
      <alignment vertical="center"/>
    </xf>
    <xf numFmtId="0" fontId="5" fillId="2" borderId="164" xfId="8" applyFont="1" applyFill="1" applyBorder="1" applyAlignment="1">
      <alignment horizontal="center" vertical="center"/>
    </xf>
    <xf numFmtId="0" fontId="5" fillId="2" borderId="166" xfId="8" applyFont="1" applyFill="1" applyBorder="1" applyAlignment="1">
      <alignment horizontal="center" vertical="center"/>
    </xf>
    <xf numFmtId="0" fontId="5" fillId="2" borderId="167" xfId="8" applyFont="1" applyFill="1" applyBorder="1" applyAlignment="1">
      <alignment horizontal="center" vertical="center"/>
    </xf>
    <xf numFmtId="0" fontId="4" fillId="0" borderId="131" xfId="8" applyFont="1" applyBorder="1" applyAlignment="1">
      <alignment horizontal="distributed" vertical="center"/>
    </xf>
    <xf numFmtId="0" fontId="4" fillId="0" borderId="101" xfId="8" applyFont="1" applyBorder="1" applyAlignment="1">
      <alignment horizontal="distributed" vertical="center"/>
    </xf>
    <xf numFmtId="0" fontId="4" fillId="0" borderId="132" xfId="8" applyFont="1" applyBorder="1" applyAlignment="1">
      <alignment horizontal="distributed" vertical="center"/>
    </xf>
    <xf numFmtId="0" fontId="4" fillId="0" borderId="81" xfId="8" applyFont="1" applyBorder="1" applyAlignment="1">
      <alignment horizontal="distributed" vertical="center"/>
    </xf>
    <xf numFmtId="0" fontId="4" fillId="0" borderId="92" xfId="8" applyFont="1" applyBorder="1" applyAlignment="1">
      <alignment horizontal="distributed" vertical="center"/>
    </xf>
    <xf numFmtId="0" fontId="4" fillId="0" borderId="133" xfId="8" applyFont="1" applyBorder="1" applyAlignment="1">
      <alignment horizontal="distributed" vertical="center"/>
    </xf>
    <xf numFmtId="185" fontId="6" fillId="0" borderId="0" xfId="9" applyNumberFormat="1" applyFont="1" applyBorder="1" applyAlignment="1">
      <alignment horizontal="center" vertical="center"/>
    </xf>
    <xf numFmtId="0" fontId="32" fillId="0" borderId="0" xfId="8" quotePrefix="1" applyFont="1" applyAlignment="1">
      <alignment horizontal="left" vertical="center"/>
    </xf>
    <xf numFmtId="176" fontId="4" fillId="6" borderId="73" xfId="9" applyFont="1" applyFill="1" applyBorder="1" applyAlignment="1">
      <alignment horizontal="centerContinuous" vertical="center"/>
    </xf>
    <xf numFmtId="176" fontId="4" fillId="6" borderId="91" xfId="9" applyFont="1" applyFill="1" applyBorder="1" applyAlignment="1">
      <alignment horizontal="centerContinuous" vertical="center"/>
    </xf>
    <xf numFmtId="176" fontId="4" fillId="6" borderId="92" xfId="9" applyFont="1" applyFill="1" applyBorder="1" applyAlignment="1">
      <alignment horizontal="centerContinuous" vertical="center"/>
    </xf>
    <xf numFmtId="176" fontId="4" fillId="2" borderId="74" xfId="9" applyFont="1" applyFill="1" applyBorder="1" applyAlignment="1">
      <alignment horizontal="centerContinuous" vertical="center"/>
    </xf>
    <xf numFmtId="176" fontId="4" fillId="2" borderId="80" xfId="9" applyFont="1" applyFill="1" applyBorder="1" applyAlignment="1">
      <alignment horizontal="centerContinuous" vertical="center"/>
    </xf>
    <xf numFmtId="176" fontId="4" fillId="2" borderId="81" xfId="9" applyFont="1" applyFill="1" applyBorder="1" applyAlignment="1">
      <alignment horizontal="centerContinuous" vertical="center"/>
    </xf>
    <xf numFmtId="176" fontId="4" fillId="3" borderId="74" xfId="9" applyFont="1" applyFill="1" applyBorder="1" applyAlignment="1">
      <alignment horizontal="centerContinuous" vertical="center"/>
    </xf>
    <xf numFmtId="176" fontId="4" fillId="3" borderId="102" xfId="9" applyFont="1" applyFill="1" applyBorder="1" applyAlignment="1">
      <alignment horizontal="centerContinuous" vertical="center"/>
    </xf>
    <xf numFmtId="176" fontId="4" fillId="3" borderId="81" xfId="9" applyFont="1" applyFill="1" applyBorder="1" applyAlignment="1">
      <alignment horizontal="centerContinuous" vertical="center"/>
    </xf>
    <xf numFmtId="184" fontId="11" fillId="0" borderId="97" xfId="9" applyNumberFormat="1" applyFont="1" applyFill="1" applyBorder="1" applyAlignment="1">
      <alignment vertical="center"/>
    </xf>
    <xf numFmtId="184" fontId="11" fillId="0" borderId="98" xfId="9" applyNumberFormat="1" applyFont="1" applyFill="1" applyBorder="1" applyAlignment="1">
      <alignment vertical="center"/>
    </xf>
    <xf numFmtId="184" fontId="11" fillId="0" borderId="99" xfId="9" applyNumberFormat="1" applyFont="1" applyFill="1" applyBorder="1" applyAlignment="1">
      <alignment vertical="center"/>
    </xf>
    <xf numFmtId="182" fontId="11" fillId="4" borderId="87" xfId="10" applyNumberFormat="1" applyFont="1" applyFill="1" applyBorder="1" applyAlignment="1">
      <alignment horizontal="centerContinuous" vertical="center"/>
    </xf>
    <xf numFmtId="0" fontId="4" fillId="11" borderId="48" xfId="8" applyFont="1" applyFill="1" applyBorder="1" applyAlignment="1">
      <alignment vertical="center"/>
    </xf>
    <xf numFmtId="176" fontId="19" fillId="0" borderId="87" xfId="9" applyFont="1" applyBorder="1" applyAlignment="1">
      <alignment horizontal="center" vertical="center"/>
    </xf>
    <xf numFmtId="182" fontId="19" fillId="0" borderId="96" xfId="10" applyNumberFormat="1" applyFont="1" applyBorder="1" applyAlignment="1">
      <alignment horizontal="centerContinuous" vertical="center"/>
    </xf>
    <xf numFmtId="176" fontId="11" fillId="0" borderId="95" xfId="9" applyFont="1" applyBorder="1" applyAlignment="1">
      <alignment horizontal="centerContinuous" vertical="center"/>
    </xf>
    <xf numFmtId="176" fontId="11" fillId="0" borderId="96" xfId="9" applyFont="1" applyBorder="1" applyAlignment="1">
      <alignment horizontal="centerContinuous" vertical="center"/>
    </xf>
    <xf numFmtId="182" fontId="4" fillId="0" borderId="12" xfId="10" applyNumberFormat="1" applyFont="1" applyFill="1" applyBorder="1" applyAlignment="1">
      <alignment vertical="center"/>
    </xf>
    <xf numFmtId="182" fontId="4" fillId="0" borderId="13" xfId="10" applyNumberFormat="1" applyFont="1" applyFill="1" applyBorder="1" applyAlignment="1">
      <alignment vertical="center"/>
    </xf>
    <xf numFmtId="182" fontId="4" fillId="0" borderId="14" xfId="10" applyNumberFormat="1" applyFont="1" applyFill="1" applyBorder="1" applyAlignment="1">
      <alignment vertical="center"/>
    </xf>
    <xf numFmtId="182" fontId="4" fillId="0" borderId="28" xfId="10" applyNumberFormat="1" applyFont="1" applyFill="1" applyBorder="1" applyAlignment="1">
      <alignment vertical="center"/>
    </xf>
    <xf numFmtId="182" fontId="4" fillId="0" borderId="29" xfId="10" applyNumberFormat="1" applyFont="1" applyFill="1" applyBorder="1" applyAlignment="1">
      <alignment vertical="center"/>
    </xf>
    <xf numFmtId="182" fontId="4" fillId="0" borderId="30" xfId="10" applyNumberFormat="1" applyFont="1" applyFill="1" applyBorder="1" applyAlignment="1">
      <alignment vertical="center"/>
    </xf>
    <xf numFmtId="182" fontId="11" fillId="4" borderId="26" xfId="10" applyNumberFormat="1" applyFont="1" applyFill="1" applyBorder="1" applyAlignment="1">
      <alignment horizontal="centerContinuous" vertical="center"/>
    </xf>
    <xf numFmtId="182" fontId="4" fillId="11" borderId="12" xfId="10" applyNumberFormat="1" applyFont="1" applyFill="1" applyBorder="1" applyAlignment="1">
      <alignment vertical="center"/>
    </xf>
    <xf numFmtId="182" fontId="4" fillId="11" borderId="13" xfId="10" applyNumberFormat="1" applyFont="1" applyFill="1" applyBorder="1" applyAlignment="1">
      <alignment vertical="center"/>
    </xf>
    <xf numFmtId="182" fontId="4" fillId="11" borderId="14" xfId="10" applyNumberFormat="1" applyFont="1" applyFill="1" applyBorder="1" applyAlignment="1">
      <alignment vertical="center"/>
    </xf>
    <xf numFmtId="9" fontId="31" fillId="11" borderId="15" xfId="11" applyFont="1" applyFill="1" applyBorder="1" applyAlignment="1">
      <alignment vertical="center"/>
    </xf>
    <xf numFmtId="0" fontId="4" fillId="11" borderId="49" xfId="8" applyFont="1" applyFill="1" applyBorder="1" applyAlignment="1">
      <alignment vertical="center"/>
    </xf>
    <xf numFmtId="182" fontId="19" fillId="0" borderId="26" xfId="10" applyNumberFormat="1" applyFont="1" applyBorder="1" applyAlignment="1">
      <alignment horizontal="centerContinuous" vertical="center"/>
    </xf>
    <xf numFmtId="176" fontId="4" fillId="0" borderId="77" xfId="9" applyFont="1" applyBorder="1" applyAlignment="1">
      <alignment horizontal="centerContinuous" vertical="center"/>
    </xf>
    <xf numFmtId="176" fontId="4" fillId="0" borderId="59" xfId="9" applyFont="1" applyBorder="1" applyAlignment="1">
      <alignment horizontal="centerContinuous" vertical="center"/>
    </xf>
    <xf numFmtId="182" fontId="11" fillId="0" borderId="36" xfId="10" applyNumberFormat="1" applyFont="1" applyFill="1" applyBorder="1" applyAlignment="1">
      <alignment vertical="center"/>
    </xf>
    <xf numFmtId="182" fontId="11" fillId="0" borderId="37" xfId="10" applyNumberFormat="1" applyFont="1" applyFill="1" applyBorder="1" applyAlignment="1">
      <alignment vertical="center"/>
    </xf>
    <xf numFmtId="182" fontId="11" fillId="0" borderId="38" xfId="10" applyNumberFormat="1" applyFont="1" applyFill="1" applyBorder="1" applyAlignment="1">
      <alignment vertical="center"/>
    </xf>
    <xf numFmtId="176" fontId="11" fillId="0" borderId="77" xfId="9" applyFont="1" applyBorder="1" applyAlignment="1">
      <alignment horizontal="centerContinuous" vertical="center"/>
    </xf>
    <xf numFmtId="0" fontId="4" fillId="12" borderId="40" xfId="8" applyFont="1" applyFill="1" applyBorder="1" applyAlignment="1">
      <alignment horizontal="centerContinuous" vertical="center"/>
    </xf>
    <xf numFmtId="0" fontId="4" fillId="12" borderId="41" xfId="8" applyFont="1" applyFill="1" applyBorder="1" applyAlignment="1">
      <alignment horizontal="centerContinuous" vertical="center"/>
    </xf>
    <xf numFmtId="182" fontId="11" fillId="0" borderId="53" xfId="10" applyNumberFormat="1" applyFont="1" applyFill="1" applyBorder="1" applyAlignment="1">
      <alignment vertical="center"/>
    </xf>
    <xf numFmtId="182" fontId="11" fillId="0" borderId="54" xfId="10" applyNumberFormat="1" applyFont="1" applyFill="1" applyBorder="1" applyAlignment="1">
      <alignment vertical="center"/>
    </xf>
    <xf numFmtId="182" fontId="11" fillId="0" borderId="55" xfId="10" applyNumberFormat="1" applyFont="1" applyFill="1" applyBorder="1" applyAlignment="1">
      <alignment vertical="center"/>
    </xf>
    <xf numFmtId="182" fontId="11" fillId="11" borderId="53" xfId="10" applyNumberFormat="1" applyFont="1" applyFill="1" applyBorder="1" applyAlignment="1">
      <alignment vertical="center"/>
    </xf>
    <xf numFmtId="182" fontId="11" fillId="11" borderId="54" xfId="10" applyNumberFormat="1" applyFont="1" applyFill="1" applyBorder="1" applyAlignment="1">
      <alignment vertical="center"/>
    </xf>
    <xf numFmtId="182" fontId="11" fillId="11" borderId="55" xfId="10" applyNumberFormat="1" applyFont="1" applyFill="1" applyBorder="1" applyAlignment="1">
      <alignment vertical="center"/>
    </xf>
    <xf numFmtId="0" fontId="5" fillId="0" borderId="85" xfId="8" applyFont="1" applyBorder="1" applyAlignment="1">
      <alignment horizontal="centerContinuous" vertical="center"/>
    </xf>
    <xf numFmtId="0" fontId="5" fillId="0" borderId="85" xfId="8" applyFont="1" applyBorder="1" applyAlignment="1">
      <alignment horizontal="center" vertical="center"/>
    </xf>
    <xf numFmtId="176" fontId="4" fillId="3" borderId="80" xfId="9" applyFont="1" applyFill="1" applyBorder="1" applyAlignment="1">
      <alignment horizontal="centerContinuous" vertical="center"/>
    </xf>
    <xf numFmtId="184" fontId="11" fillId="0" borderId="0" xfId="9" applyNumberFormat="1" applyFont="1" applyFill="1" applyBorder="1" applyAlignment="1">
      <alignment vertical="center"/>
    </xf>
    <xf numFmtId="176" fontId="17" fillId="0" borderId="39" xfId="9" applyFont="1" applyFill="1" applyBorder="1" applyAlignment="1">
      <alignment vertical="center"/>
    </xf>
    <xf numFmtId="176" fontId="4" fillId="0" borderId="82" xfId="9" applyFont="1" applyFill="1" applyBorder="1" applyAlignment="1">
      <alignment horizontal="centerContinuous" vertical="center"/>
    </xf>
    <xf numFmtId="176" fontId="4" fillId="0" borderId="58" xfId="9" applyFont="1" applyFill="1" applyBorder="1" applyAlignment="1">
      <alignment horizontal="centerContinuous" vertical="center"/>
    </xf>
    <xf numFmtId="182" fontId="4" fillId="0" borderId="0" xfId="10" applyNumberFormat="1" applyFont="1" applyFill="1" applyBorder="1" applyAlignment="1">
      <alignment vertical="center"/>
    </xf>
    <xf numFmtId="176" fontId="4" fillId="0" borderId="26" xfId="9" applyFont="1" applyFill="1" applyBorder="1" applyAlignment="1">
      <alignment horizontal="centerContinuous" vertical="center"/>
    </xf>
    <xf numFmtId="176" fontId="4" fillId="0" borderId="77" xfId="9" applyFont="1" applyFill="1" applyBorder="1" applyAlignment="1">
      <alignment horizontal="centerContinuous" vertical="center"/>
    </xf>
    <xf numFmtId="176" fontId="4" fillId="0" borderId="59" xfId="9" applyFont="1" applyFill="1" applyBorder="1" applyAlignment="1">
      <alignment horizontal="centerContinuous" vertical="center"/>
    </xf>
    <xf numFmtId="176" fontId="4" fillId="0" borderId="27" xfId="9" applyFont="1" applyFill="1" applyBorder="1" applyAlignment="1">
      <alignment horizontal="centerContinuous" vertical="center"/>
    </xf>
    <xf numFmtId="176" fontId="4" fillId="0" borderId="78" xfId="9" applyFont="1" applyFill="1" applyBorder="1" applyAlignment="1">
      <alignment horizontal="centerContinuous" vertical="center"/>
    </xf>
    <xf numFmtId="176" fontId="4" fillId="0" borderId="79" xfId="9" applyFont="1" applyFill="1" applyBorder="1" applyAlignment="1">
      <alignment horizontal="centerContinuous" vertical="center"/>
    </xf>
    <xf numFmtId="176" fontId="4" fillId="3" borderId="75" xfId="9" applyFont="1" applyFill="1" applyBorder="1" applyAlignment="1">
      <alignment horizontal="centerContinuous" vertical="center"/>
    </xf>
    <xf numFmtId="176" fontId="4" fillId="3" borderId="84" xfId="9" applyFont="1" applyFill="1" applyBorder="1" applyAlignment="1">
      <alignment horizontal="centerContinuous" vertical="center"/>
    </xf>
    <xf numFmtId="182" fontId="11" fillId="0" borderId="0" xfId="10" applyNumberFormat="1" applyFont="1" applyFill="1" applyBorder="1" applyAlignment="1">
      <alignment vertical="center"/>
    </xf>
    <xf numFmtId="0" fontId="5" fillId="0" borderId="80" xfId="10" applyNumberFormat="1" applyFont="1" applyFill="1" applyBorder="1" applyAlignment="1">
      <alignment horizontal="left" vertical="center" indent="1"/>
    </xf>
    <xf numFmtId="0" fontId="5" fillId="0" borderId="80" xfId="10" applyNumberFormat="1" applyFont="1" applyFill="1" applyBorder="1" applyAlignment="1">
      <alignment horizontal="left" vertical="center"/>
    </xf>
    <xf numFmtId="186" fontId="4" fillId="0" borderId="72" xfId="10" applyNumberFormat="1" applyFont="1" applyFill="1" applyBorder="1" applyAlignment="1">
      <alignment vertical="center"/>
    </xf>
    <xf numFmtId="182" fontId="4" fillId="0" borderId="142" xfId="10" applyNumberFormat="1" applyFont="1" applyFill="1" applyBorder="1" applyAlignment="1">
      <alignment vertical="center"/>
    </xf>
    <xf numFmtId="182" fontId="4" fillId="0" borderId="143" xfId="10" applyNumberFormat="1" applyFont="1" applyFill="1" applyBorder="1" applyAlignment="1">
      <alignment vertical="center"/>
    </xf>
    <xf numFmtId="182" fontId="4" fillId="0" borderId="144" xfId="10" applyNumberFormat="1" applyFont="1" applyFill="1" applyBorder="1" applyAlignment="1">
      <alignment vertical="center"/>
    </xf>
    <xf numFmtId="182" fontId="4" fillId="8" borderId="12" xfId="10" applyNumberFormat="1" applyFont="1" applyFill="1" applyBorder="1" applyAlignment="1">
      <alignment vertical="center"/>
    </xf>
    <xf numFmtId="182" fontId="4" fillId="8" borderId="13" xfId="10" applyNumberFormat="1" applyFont="1" applyFill="1" applyBorder="1" applyAlignment="1">
      <alignment vertical="center"/>
    </xf>
    <xf numFmtId="182" fontId="4" fillId="8" borderId="14" xfId="10" applyNumberFormat="1" applyFont="1" applyFill="1" applyBorder="1" applyAlignment="1">
      <alignment vertical="center"/>
    </xf>
    <xf numFmtId="0" fontId="4" fillId="12" borderId="43" xfId="8" applyFont="1" applyFill="1" applyBorder="1" applyAlignment="1">
      <alignment vertical="center"/>
    </xf>
    <xf numFmtId="182" fontId="12" fillId="12" borderId="41" xfId="10" applyNumberFormat="1" applyFont="1" applyFill="1" applyBorder="1" applyAlignment="1">
      <alignment vertical="center"/>
    </xf>
    <xf numFmtId="182" fontId="12" fillId="12" borderId="42" xfId="10" applyNumberFormat="1" applyFont="1" applyFill="1" applyBorder="1" applyAlignment="1">
      <alignment vertical="center"/>
    </xf>
    <xf numFmtId="182" fontId="12" fillId="12" borderId="40" xfId="10" applyNumberFormat="1" applyFont="1" applyFill="1" applyBorder="1" applyAlignment="1">
      <alignment vertical="center"/>
    </xf>
    <xf numFmtId="182" fontId="12" fillId="0" borderId="0" xfId="10" applyNumberFormat="1" applyFont="1" applyFill="1" applyBorder="1" applyAlignment="1">
      <alignment vertical="center"/>
    </xf>
    <xf numFmtId="182" fontId="11" fillId="0" borderId="4" xfId="10" applyNumberFormat="1" applyFont="1" applyFill="1" applyBorder="1" applyAlignment="1">
      <alignment vertical="center"/>
    </xf>
    <xf numFmtId="182" fontId="11" fillId="0" borderId="25" xfId="10" applyNumberFormat="1" applyFont="1" applyFill="1" applyBorder="1" applyAlignment="1">
      <alignment vertical="center"/>
    </xf>
    <xf numFmtId="182" fontId="11" fillId="0" borderId="3" xfId="10" applyNumberFormat="1" applyFont="1" applyFill="1" applyBorder="1" applyAlignment="1">
      <alignment vertical="center"/>
    </xf>
    <xf numFmtId="176" fontId="4" fillId="3" borderId="83" xfId="9" applyFont="1" applyFill="1" applyBorder="1" applyAlignment="1">
      <alignment horizontal="centerContinuous" vertical="center"/>
    </xf>
    <xf numFmtId="176" fontId="4" fillId="0" borderId="39" xfId="9" applyFont="1" applyFill="1" applyBorder="1" applyAlignment="1">
      <alignment horizontal="centerContinuous" vertical="center"/>
    </xf>
    <xf numFmtId="176" fontId="4" fillId="0" borderId="146" xfId="9" applyFont="1" applyBorder="1" applyAlignment="1">
      <alignment horizontal="centerContinuous" vertical="center"/>
    </xf>
    <xf numFmtId="176" fontId="4" fillId="0" borderId="155" xfId="9" applyFont="1" applyBorder="1" applyAlignment="1">
      <alignment horizontal="centerContinuous" vertical="center"/>
    </xf>
    <xf numFmtId="182" fontId="19" fillId="0" borderId="0" xfId="10" applyNumberFormat="1" applyFont="1" applyBorder="1" applyAlignment="1">
      <alignment horizontal="centerContinuous" vertical="center"/>
    </xf>
    <xf numFmtId="176" fontId="19" fillId="0" borderId="0" xfId="9" applyFont="1" applyFill="1" applyBorder="1" applyAlignment="1">
      <alignment horizontal="center" vertical="center"/>
    </xf>
    <xf numFmtId="0" fontId="4" fillId="11" borderId="15" xfId="8" applyFont="1" applyFill="1" applyBorder="1" applyAlignment="1">
      <alignment vertical="center"/>
    </xf>
    <xf numFmtId="176" fontId="19" fillId="0" borderId="26" xfId="9" applyFont="1" applyFill="1" applyBorder="1" applyAlignment="1">
      <alignment horizontal="center" vertical="center"/>
    </xf>
    <xf numFmtId="0" fontId="4" fillId="11" borderId="5" xfId="8" applyFont="1" applyFill="1" applyBorder="1" applyAlignment="1">
      <alignment vertical="center"/>
    </xf>
    <xf numFmtId="9" fontId="31" fillId="3" borderId="43" xfId="11" applyFont="1" applyFill="1" applyBorder="1" applyAlignment="1">
      <alignment vertical="center"/>
    </xf>
    <xf numFmtId="182" fontId="12" fillId="3" borderId="41" xfId="10" applyNumberFormat="1" applyFont="1" applyFill="1" applyBorder="1" applyAlignment="1">
      <alignment vertical="center"/>
    </xf>
    <xf numFmtId="182" fontId="12" fillId="3" borderId="42" xfId="10" applyNumberFormat="1" applyFont="1" applyFill="1" applyBorder="1" applyAlignment="1">
      <alignment vertical="center"/>
    </xf>
    <xf numFmtId="182" fontId="12" fillId="3" borderId="40" xfId="10" applyNumberFormat="1" applyFont="1" applyFill="1" applyBorder="1" applyAlignment="1">
      <alignment vertical="center"/>
    </xf>
    <xf numFmtId="176" fontId="19" fillId="0" borderId="26" xfId="9" applyFont="1" applyBorder="1" applyAlignment="1">
      <alignment horizontal="center" vertical="center"/>
    </xf>
    <xf numFmtId="9" fontId="31" fillId="11" borderId="5" xfId="11" applyFont="1" applyFill="1" applyBorder="1" applyAlignment="1">
      <alignment vertical="center"/>
    </xf>
    <xf numFmtId="182" fontId="11" fillId="11" borderId="4" xfId="10" applyNumberFormat="1" applyFont="1" applyFill="1" applyBorder="1" applyAlignment="1">
      <alignment vertical="center"/>
    </xf>
    <xf numFmtId="182" fontId="11" fillId="11" borderId="25" xfId="10" applyNumberFormat="1" applyFont="1" applyFill="1" applyBorder="1" applyAlignment="1">
      <alignment vertical="center"/>
    </xf>
    <xf numFmtId="182" fontId="11" fillId="11" borderId="3" xfId="10" applyNumberFormat="1" applyFont="1" applyFill="1" applyBorder="1" applyAlignment="1">
      <alignment vertical="center"/>
    </xf>
    <xf numFmtId="0" fontId="26" fillId="0" borderId="15" xfId="8" applyFont="1" applyBorder="1" applyAlignment="1">
      <alignment horizontal="left" vertical="center" indent="1"/>
    </xf>
    <xf numFmtId="0" fontId="26" fillId="0" borderId="100" xfId="8" applyFont="1" applyBorder="1" applyAlignment="1">
      <alignment horizontal="left" vertical="center" indent="1"/>
    </xf>
    <xf numFmtId="0" fontId="32" fillId="0" borderId="15" xfId="8" applyFont="1" applyBorder="1" applyAlignment="1">
      <alignment horizontal="left" vertical="center" indent="1"/>
    </xf>
    <xf numFmtId="184" fontId="11" fillId="11" borderId="24" xfId="9" applyNumberFormat="1" applyFont="1" applyFill="1" applyBorder="1" applyAlignment="1">
      <alignment vertical="center"/>
    </xf>
    <xf numFmtId="184" fontId="11" fillId="11" borderId="23" xfId="9" applyNumberFormat="1" applyFont="1" applyFill="1" applyBorder="1" applyAlignment="1">
      <alignment vertical="center"/>
    </xf>
    <xf numFmtId="184" fontId="11" fillId="11" borderId="22" xfId="9" applyNumberFormat="1" applyFont="1" applyFill="1" applyBorder="1" applyAlignment="1">
      <alignment vertical="center"/>
    </xf>
    <xf numFmtId="9" fontId="31" fillId="11" borderId="20" xfId="11" applyFont="1" applyFill="1" applyBorder="1" applyAlignment="1">
      <alignment vertical="center"/>
    </xf>
    <xf numFmtId="184" fontId="11" fillId="0" borderId="24" xfId="9" applyNumberFormat="1" applyFont="1" applyFill="1" applyBorder="1" applyAlignment="1">
      <alignment vertical="center"/>
    </xf>
    <xf numFmtId="184" fontId="11" fillId="0" borderId="23" xfId="9" applyNumberFormat="1" applyFont="1" applyFill="1" applyBorder="1" applyAlignment="1">
      <alignment vertical="center"/>
    </xf>
    <xf numFmtId="184" fontId="11" fillId="0" borderId="22" xfId="9" applyNumberFormat="1" applyFont="1" applyFill="1" applyBorder="1" applyAlignment="1">
      <alignment vertical="center"/>
    </xf>
    <xf numFmtId="0" fontId="4" fillId="0" borderId="113" xfId="8" applyFont="1" applyBorder="1" applyAlignment="1">
      <alignment horizontal="left" vertical="center" indent="1"/>
    </xf>
    <xf numFmtId="182" fontId="4" fillId="0" borderId="53" xfId="10" applyNumberFormat="1" applyFont="1" applyFill="1" applyBorder="1" applyAlignment="1">
      <alignment vertical="center"/>
    </xf>
    <xf numFmtId="182" fontId="4" fillId="0" borderId="54" xfId="10" applyNumberFormat="1" applyFont="1" applyFill="1" applyBorder="1" applyAlignment="1">
      <alignment vertical="center"/>
    </xf>
    <xf numFmtId="182" fontId="4" fillId="0" borderId="55" xfId="10" applyNumberFormat="1" applyFont="1" applyFill="1" applyBorder="1" applyAlignment="1">
      <alignment vertical="center"/>
    </xf>
    <xf numFmtId="0" fontId="4" fillId="0" borderId="163" xfId="8" applyFont="1" applyBorder="1" applyAlignment="1">
      <alignment vertical="center"/>
    </xf>
    <xf numFmtId="182" fontId="11" fillId="4" borderId="0" xfId="10" applyNumberFormat="1" applyFont="1" applyFill="1" applyBorder="1" applyAlignment="1">
      <alignment horizontal="centerContinuous" vertical="center"/>
    </xf>
    <xf numFmtId="180" fontId="4" fillId="0" borderId="27" xfId="8" applyNumberFormat="1" applyFont="1" applyBorder="1" applyAlignment="1">
      <alignment vertical="center"/>
    </xf>
    <xf numFmtId="188" fontId="4" fillId="4" borderId="86" xfId="9" applyNumberFormat="1" applyFont="1" applyFill="1" applyBorder="1" applyAlignment="1">
      <alignment horizontal="center" vertical="center"/>
    </xf>
    <xf numFmtId="184" fontId="11" fillId="0" borderId="22" xfId="9" applyNumberFormat="1" applyFont="1" applyBorder="1" applyAlignment="1">
      <alignment vertical="center"/>
    </xf>
    <xf numFmtId="184" fontId="11" fillId="0" borderId="23" xfId="9" applyNumberFormat="1" applyFont="1" applyBorder="1" applyAlignment="1">
      <alignment vertical="center"/>
    </xf>
    <xf numFmtId="184" fontId="11" fillId="0" borderId="24" xfId="9" applyNumberFormat="1" applyFont="1" applyBorder="1" applyAlignment="1">
      <alignment vertical="center"/>
    </xf>
    <xf numFmtId="182" fontId="4" fillId="0" borderId="12" xfId="10" applyNumberFormat="1" applyFont="1" applyBorder="1" applyAlignment="1">
      <alignment vertical="center"/>
    </xf>
    <xf numFmtId="182" fontId="4" fillId="0" borderId="13" xfId="10" applyNumberFormat="1" applyFont="1" applyBorder="1" applyAlignment="1">
      <alignment vertical="center"/>
    </xf>
    <xf numFmtId="182" fontId="4" fillId="0" borderId="14" xfId="10" applyNumberFormat="1" applyFont="1" applyBorder="1" applyAlignment="1">
      <alignment vertical="center"/>
    </xf>
    <xf numFmtId="182" fontId="11" fillId="0" borderId="3" xfId="10" applyNumberFormat="1" applyFont="1" applyBorder="1" applyAlignment="1">
      <alignment vertical="center"/>
    </xf>
    <xf numFmtId="182" fontId="11" fillId="0" borderId="25" xfId="10" applyNumberFormat="1" applyFont="1" applyBorder="1" applyAlignment="1">
      <alignment vertical="center"/>
    </xf>
    <xf numFmtId="182" fontId="11" fillId="0" borderId="4" xfId="10" applyNumberFormat="1" applyFont="1" applyBorder="1" applyAlignment="1">
      <alignment vertical="center"/>
    </xf>
    <xf numFmtId="0" fontId="4" fillId="0" borderId="5" xfId="8" applyFont="1" applyBorder="1" applyAlignment="1">
      <alignment horizontal="center" vertical="center"/>
    </xf>
    <xf numFmtId="0" fontId="26" fillId="0" borderId="0" xfId="8" applyFont="1" applyAlignment="1">
      <alignment horizontal="center" vertical="center"/>
    </xf>
    <xf numFmtId="182" fontId="26" fillId="0" borderId="12" xfId="10" applyNumberFormat="1" applyFont="1" applyBorder="1" applyAlignment="1">
      <alignment vertical="center"/>
    </xf>
    <xf numFmtId="182" fontId="26" fillId="0" borderId="13" xfId="10" applyNumberFormat="1" applyFont="1" applyBorder="1" applyAlignment="1">
      <alignment vertical="center"/>
    </xf>
    <xf numFmtId="182" fontId="26" fillId="0" borderId="14" xfId="10" applyNumberFormat="1" applyFont="1" applyBorder="1" applyAlignment="1">
      <alignment vertical="center"/>
    </xf>
    <xf numFmtId="49" fontId="26" fillId="0" borderId="0" xfId="8" applyNumberFormat="1" applyFont="1" applyAlignment="1">
      <alignment horizontal="center" vertical="center"/>
    </xf>
    <xf numFmtId="182" fontId="11" fillId="0" borderId="53" xfId="10" applyNumberFormat="1" applyFont="1" applyBorder="1" applyAlignment="1">
      <alignment vertical="center"/>
    </xf>
    <xf numFmtId="182" fontId="11" fillId="0" borderId="54" xfId="10" applyNumberFormat="1" applyFont="1" applyBorder="1" applyAlignment="1">
      <alignment vertical="center"/>
    </xf>
    <xf numFmtId="182" fontId="11" fillId="0" borderId="55" xfId="10" applyNumberFormat="1" applyFont="1" applyBorder="1" applyAlignment="1">
      <alignment vertical="center"/>
    </xf>
    <xf numFmtId="0" fontId="4" fillId="0" borderId="72" xfId="8" applyFont="1" applyBorder="1" applyAlignment="1">
      <alignment horizontal="center" vertical="center"/>
    </xf>
    <xf numFmtId="0" fontId="4" fillId="0" borderId="56" xfId="8" applyFont="1" applyBorder="1" applyAlignment="1">
      <alignment horizontal="center" vertical="center"/>
    </xf>
    <xf numFmtId="0" fontId="4" fillId="0" borderId="56" xfId="8" quotePrefix="1" applyFont="1" applyBorder="1" applyAlignment="1">
      <alignment horizontal="center" vertical="center"/>
    </xf>
    <xf numFmtId="0" fontId="4" fillId="0" borderId="135" xfId="8" applyFont="1" applyBorder="1" applyAlignment="1">
      <alignment horizontal="center" vertical="center"/>
    </xf>
    <xf numFmtId="0" fontId="4" fillId="0" borderId="46" xfId="8" applyFont="1" applyBorder="1" applyAlignment="1">
      <alignment horizontal="center" vertical="center"/>
    </xf>
    <xf numFmtId="176" fontId="4" fillId="2" borderId="80" xfId="9" applyFont="1" applyFill="1" applyBorder="1" applyAlignment="1">
      <alignment horizontal="center" vertical="center"/>
    </xf>
    <xf numFmtId="182" fontId="32" fillId="11" borderId="14" xfId="10" applyNumberFormat="1" applyFont="1" applyFill="1" applyBorder="1" applyAlignment="1">
      <alignment vertical="center"/>
    </xf>
    <xf numFmtId="182" fontId="32" fillId="11" borderId="13" xfId="10" applyNumberFormat="1" applyFont="1" applyFill="1" applyBorder="1" applyAlignment="1">
      <alignment vertical="center"/>
    </xf>
    <xf numFmtId="182" fontId="32" fillId="11" borderId="12" xfId="10" applyNumberFormat="1" applyFont="1" applyFill="1" applyBorder="1" applyAlignment="1">
      <alignment vertical="center"/>
    </xf>
    <xf numFmtId="0" fontId="4" fillId="0" borderId="90" xfId="8" applyFont="1" applyBorder="1" applyAlignment="1">
      <alignment horizontal="center" vertical="center"/>
    </xf>
    <xf numFmtId="0" fontId="4" fillId="0" borderId="15" xfId="8" applyFont="1" applyBorder="1" applyAlignment="1">
      <alignment vertical="center" shrinkToFit="1"/>
    </xf>
    <xf numFmtId="188" fontId="11" fillId="0" borderId="22" xfId="2" applyNumberFormat="1" applyFont="1" applyBorder="1" applyAlignment="1">
      <alignment vertical="center"/>
    </xf>
    <xf numFmtId="188" fontId="11" fillId="0" borderId="23" xfId="2" applyNumberFormat="1" applyFont="1" applyBorder="1" applyAlignment="1">
      <alignment vertical="center"/>
    </xf>
    <xf numFmtId="188" fontId="11" fillId="0" borderId="24" xfId="2" applyNumberFormat="1" applyFont="1" applyBorder="1" applyAlignment="1">
      <alignment vertical="center"/>
    </xf>
    <xf numFmtId="188" fontId="4" fillId="0" borderId="12" xfId="1" applyNumberFormat="1" applyFont="1" applyBorder="1" applyAlignment="1">
      <alignment vertical="center"/>
    </xf>
    <xf numFmtId="188" fontId="4" fillId="0" borderId="13" xfId="1" applyNumberFormat="1" applyFont="1" applyBorder="1" applyAlignment="1">
      <alignment vertical="center"/>
    </xf>
    <xf numFmtId="188" fontId="4" fillId="0" borderId="14" xfId="1" applyNumberFormat="1" applyFont="1" applyBorder="1" applyAlignment="1">
      <alignment vertical="center"/>
    </xf>
    <xf numFmtId="0" fontId="4" fillId="0" borderId="130" xfId="8" applyFont="1" applyBorder="1" applyAlignment="1">
      <alignment horizontal="center" vertical="center"/>
    </xf>
    <xf numFmtId="0" fontId="25" fillId="0" borderId="33" xfId="8" applyFont="1" applyBorder="1" applyAlignment="1">
      <alignment vertical="center"/>
    </xf>
    <xf numFmtId="0" fontId="16" fillId="0" borderId="154" xfId="8" applyFont="1" applyBorder="1" applyAlignment="1">
      <alignment vertical="center"/>
    </xf>
    <xf numFmtId="188" fontId="11" fillId="0" borderId="97" xfId="2" applyNumberFormat="1" applyFont="1" applyFill="1" applyBorder="1" applyAlignment="1">
      <alignment vertical="center"/>
    </xf>
    <xf numFmtId="188" fontId="11" fillId="0" borderId="98" xfId="2" applyNumberFormat="1" applyFont="1" applyFill="1" applyBorder="1" applyAlignment="1">
      <alignment vertical="center"/>
    </xf>
    <xf numFmtId="188" fontId="11" fillId="0" borderId="99" xfId="2" applyNumberFormat="1" applyFont="1" applyFill="1" applyBorder="1" applyAlignment="1">
      <alignment vertical="center"/>
    </xf>
    <xf numFmtId="188" fontId="4" fillId="0" borderId="12" xfId="1" applyNumberFormat="1" applyFont="1" applyFill="1" applyBorder="1" applyAlignment="1">
      <alignment vertical="center"/>
    </xf>
    <xf numFmtId="188" fontId="4" fillId="0" borderId="13" xfId="1" applyNumberFormat="1" applyFont="1" applyFill="1" applyBorder="1" applyAlignment="1">
      <alignment vertical="center"/>
    </xf>
    <xf numFmtId="188" fontId="4" fillId="0" borderId="14" xfId="1" applyNumberFormat="1" applyFont="1" applyFill="1" applyBorder="1" applyAlignment="1">
      <alignment vertical="center"/>
    </xf>
    <xf numFmtId="188" fontId="11" fillId="0" borderId="36" xfId="1" applyNumberFormat="1" applyFont="1" applyBorder="1" applyAlignment="1">
      <alignment vertical="center"/>
    </xf>
    <xf numFmtId="188" fontId="11" fillId="0" borderId="37" xfId="1" applyNumberFormat="1" applyFont="1" applyBorder="1" applyAlignment="1">
      <alignment vertical="center"/>
    </xf>
    <xf numFmtId="188" fontId="11" fillId="0" borderId="38" xfId="1" applyNumberFormat="1" applyFont="1" applyBorder="1" applyAlignment="1">
      <alignment vertical="center"/>
    </xf>
    <xf numFmtId="188" fontId="4" fillId="0" borderId="28" xfId="1" applyNumberFormat="1" applyFont="1" applyFill="1" applyBorder="1" applyAlignment="1">
      <alignment vertical="center"/>
    </xf>
    <xf numFmtId="188" fontId="4" fillId="0" borderId="29" xfId="1" applyNumberFormat="1" applyFont="1" applyFill="1" applyBorder="1" applyAlignment="1">
      <alignment vertical="center"/>
    </xf>
    <xf numFmtId="188" fontId="4" fillId="0" borderId="30" xfId="1" applyNumberFormat="1" applyFont="1" applyFill="1" applyBorder="1" applyAlignment="1">
      <alignment vertical="center"/>
    </xf>
    <xf numFmtId="188" fontId="4" fillId="0" borderId="36" xfId="1" applyNumberFormat="1" applyFont="1" applyBorder="1" applyAlignment="1">
      <alignment vertical="center"/>
    </xf>
    <xf numFmtId="188" fontId="4" fillId="0" borderId="37" xfId="1" applyNumberFormat="1" applyFont="1" applyBorder="1" applyAlignment="1">
      <alignment vertical="center"/>
    </xf>
    <xf numFmtId="188" fontId="4" fillId="0" borderId="38" xfId="1" applyNumberFormat="1" applyFont="1" applyBorder="1" applyAlignment="1">
      <alignment vertical="center"/>
    </xf>
    <xf numFmtId="0" fontId="4" fillId="0" borderId="178" xfId="8" applyFont="1" applyBorder="1" applyAlignment="1">
      <alignment vertical="center"/>
    </xf>
    <xf numFmtId="0" fontId="4" fillId="0" borderId="165" xfId="8" applyFont="1" applyBorder="1" applyAlignment="1">
      <alignment vertical="center"/>
    </xf>
    <xf numFmtId="182" fontId="4" fillId="0" borderId="9" xfId="1" applyNumberFormat="1" applyFont="1" applyBorder="1" applyAlignment="1">
      <alignment vertical="center"/>
    </xf>
    <xf numFmtId="182" fontId="4" fillId="0" borderId="11" xfId="1" applyNumberFormat="1" applyFont="1" applyBorder="1" applyAlignment="1">
      <alignment vertical="center"/>
    </xf>
    <xf numFmtId="182" fontId="4" fillId="0" borderId="10" xfId="1" applyNumberFormat="1" applyFont="1" applyBorder="1" applyAlignment="1">
      <alignment vertical="center"/>
    </xf>
    <xf numFmtId="188" fontId="4" fillId="0" borderId="9" xfId="1" applyNumberFormat="1" applyFont="1" applyBorder="1" applyAlignment="1">
      <alignment vertical="center"/>
    </xf>
    <xf numFmtId="188" fontId="4" fillId="0" borderId="11" xfId="1" applyNumberFormat="1" applyFont="1" applyBorder="1" applyAlignment="1">
      <alignment vertical="center"/>
    </xf>
    <xf numFmtId="188" fontId="4" fillId="0" borderId="10" xfId="1" applyNumberFormat="1" applyFont="1" applyBorder="1" applyAlignment="1">
      <alignment vertical="center"/>
    </xf>
    <xf numFmtId="185" fontId="6" fillId="0" borderId="83" xfId="2" applyNumberFormat="1" applyFont="1" applyBorder="1" applyAlignment="1">
      <alignment horizontal="center" vertical="center"/>
    </xf>
    <xf numFmtId="185" fontId="6" fillId="0" borderId="75" xfId="2" applyNumberFormat="1" applyFont="1" applyBorder="1" applyAlignment="1">
      <alignment horizontal="center" vertical="center"/>
    </xf>
    <xf numFmtId="0" fontId="5" fillId="2" borderId="3" xfId="8" applyFont="1" applyFill="1" applyBorder="1" applyAlignment="1">
      <alignment horizontal="center" vertical="center"/>
    </xf>
    <xf numFmtId="0" fontId="5" fillId="2" borderId="4" xfId="8" applyFont="1" applyFill="1" applyBorder="1" applyAlignment="1">
      <alignment horizontal="center" vertical="center"/>
    </xf>
    <xf numFmtId="176" fontId="4" fillId="4" borderId="74" xfId="2" applyFont="1" applyFill="1" applyBorder="1" applyAlignment="1">
      <alignment horizontal="center" vertical="center"/>
    </xf>
    <xf numFmtId="176" fontId="4" fillId="0" borderId="85" xfId="2" applyFont="1" applyBorder="1" applyAlignment="1">
      <alignment horizontal="center" vertical="center"/>
    </xf>
    <xf numFmtId="0" fontId="5" fillId="2" borderId="149" xfId="8" applyFont="1" applyFill="1" applyBorder="1" applyAlignment="1">
      <alignment horizontal="center" vertical="center"/>
    </xf>
    <xf numFmtId="0" fontId="4" fillId="0" borderId="124" xfId="8" applyFont="1" applyBorder="1" applyAlignment="1">
      <alignment horizontal="center" vertical="center"/>
    </xf>
    <xf numFmtId="0" fontId="4" fillId="0" borderId="48" xfId="8" applyFont="1" applyBorder="1" applyAlignment="1">
      <alignment horizontal="center" vertical="center"/>
    </xf>
    <xf numFmtId="0" fontId="4" fillId="4" borderId="44" xfId="8" applyFont="1" applyFill="1" applyBorder="1" applyAlignment="1">
      <alignment horizontal="center" vertical="center"/>
    </xf>
    <xf numFmtId="176" fontId="4" fillId="0" borderId="166" xfId="2" applyFont="1" applyBorder="1" applyAlignment="1">
      <alignment horizontal="center" vertical="center"/>
    </xf>
    <xf numFmtId="0" fontId="4" fillId="0" borderId="85" xfId="8" applyFont="1" applyBorder="1" applyAlignment="1">
      <alignment horizontal="center" vertical="center"/>
    </xf>
    <xf numFmtId="0" fontId="4" fillId="0" borderId="119" xfId="8" applyFont="1" applyBorder="1" applyAlignment="1">
      <alignment horizontal="center" vertical="center"/>
    </xf>
    <xf numFmtId="0" fontId="4" fillId="4" borderId="74" xfId="8" applyFont="1" applyFill="1" applyBorder="1" applyAlignment="1">
      <alignment horizontal="center" vertical="center"/>
    </xf>
    <xf numFmtId="0" fontId="4" fillId="0" borderId="75" xfId="8" applyFont="1" applyBorder="1" applyAlignment="1">
      <alignment horizontal="center" vertical="center"/>
    </xf>
    <xf numFmtId="0" fontId="4" fillId="0" borderId="154" xfId="8" applyFont="1" applyBorder="1" applyAlignment="1">
      <alignment horizontal="center" vertical="center"/>
    </xf>
    <xf numFmtId="0" fontId="5" fillId="2" borderId="25" xfId="8" applyFont="1" applyFill="1" applyBorder="1" applyAlignment="1">
      <alignment horizontal="center" vertical="center"/>
    </xf>
    <xf numFmtId="184" fontId="11" fillId="0" borderId="22" xfId="2" applyNumberFormat="1" applyFont="1" applyFill="1" applyBorder="1" applyAlignment="1">
      <alignment vertical="center"/>
    </xf>
    <xf numFmtId="184" fontId="11" fillId="0" borderId="23" xfId="2" applyNumberFormat="1" applyFont="1" applyFill="1" applyBorder="1" applyAlignment="1">
      <alignment vertical="center"/>
    </xf>
    <xf numFmtId="184" fontId="11" fillId="0" borderId="24" xfId="2" applyNumberFormat="1" applyFont="1" applyFill="1" applyBorder="1" applyAlignment="1">
      <alignment vertical="center"/>
    </xf>
    <xf numFmtId="182" fontId="4" fillId="0" borderId="12" xfId="1" applyNumberFormat="1" applyFont="1" applyFill="1" applyBorder="1" applyAlignment="1">
      <alignment horizontal="center" vertical="center"/>
    </xf>
    <xf numFmtId="182" fontId="4" fillId="0" borderId="13" xfId="1" applyNumberFormat="1" applyFont="1" applyFill="1" applyBorder="1" applyAlignment="1">
      <alignment horizontal="center" vertical="center"/>
    </xf>
    <xf numFmtId="182" fontId="4" fillId="0" borderId="14" xfId="1" applyNumberFormat="1" applyFont="1" applyFill="1" applyBorder="1" applyAlignment="1">
      <alignment horizontal="center" vertical="center"/>
    </xf>
    <xf numFmtId="176" fontId="4" fillId="0" borderId="119" xfId="2" applyFont="1" applyBorder="1" applyAlignment="1">
      <alignment horizontal="center" vertical="center"/>
    </xf>
    <xf numFmtId="176" fontId="4" fillId="4" borderId="44" xfId="2" applyFont="1" applyFill="1" applyBorder="1" applyAlignment="1">
      <alignment horizontal="center" vertical="center"/>
    </xf>
    <xf numFmtId="185" fontId="6" fillId="0" borderId="154" xfId="2" applyNumberFormat="1" applyFont="1" applyBorder="1" applyAlignment="1">
      <alignment horizontal="center" vertical="center"/>
    </xf>
    <xf numFmtId="184" fontId="11" fillId="0" borderId="36" xfId="2" applyNumberFormat="1" applyFont="1" applyFill="1" applyBorder="1" applyAlignment="1">
      <alignment vertical="center"/>
    </xf>
    <xf numFmtId="184" fontId="11" fillId="0" borderId="37" xfId="2" applyNumberFormat="1" applyFont="1" applyFill="1" applyBorder="1" applyAlignment="1">
      <alignment vertical="center"/>
    </xf>
    <xf numFmtId="184" fontId="11" fillId="0" borderId="38" xfId="2" applyNumberFormat="1" applyFont="1" applyFill="1" applyBorder="1" applyAlignment="1">
      <alignment vertical="center"/>
    </xf>
    <xf numFmtId="0" fontId="4" fillId="0" borderId="149" xfId="8" applyFont="1" applyBorder="1" applyAlignment="1">
      <alignment horizontal="center" vertical="center"/>
    </xf>
    <xf numFmtId="179" fontId="4" fillId="0" borderId="0" xfId="4" applyFont="1" applyBorder="1" applyAlignment="1">
      <alignment horizontal="centerContinuous" vertical="center"/>
    </xf>
    <xf numFmtId="0" fontId="4" fillId="0" borderId="0" xfId="8" applyFont="1" applyAlignment="1">
      <alignment horizontal="distributed" vertical="center"/>
    </xf>
    <xf numFmtId="0" fontId="4" fillId="0" borderId="20" xfId="8" applyFont="1" applyBorder="1" applyAlignment="1">
      <alignment horizontal="center" vertical="center"/>
    </xf>
    <xf numFmtId="0" fontId="4" fillId="0" borderId="19" xfId="8" applyFont="1" applyBorder="1" applyAlignment="1">
      <alignment horizontal="center" vertical="center"/>
    </xf>
    <xf numFmtId="176" fontId="4" fillId="4" borderId="120" xfId="2" applyFont="1" applyFill="1" applyBorder="1" applyAlignment="1">
      <alignment horizontal="center" vertical="center"/>
    </xf>
    <xf numFmtId="0" fontId="4" fillId="0" borderId="33" xfId="8" applyFont="1" applyBorder="1" applyAlignment="1">
      <alignment horizontal="center" vertical="center"/>
    </xf>
    <xf numFmtId="182" fontId="4" fillId="0" borderId="28" xfId="10" applyNumberFormat="1" applyFont="1" applyBorder="1" applyAlignment="1">
      <alignment vertical="center"/>
    </xf>
    <xf numFmtId="182" fontId="4" fillId="0" borderId="29" xfId="10" applyNumberFormat="1" applyFont="1" applyBorder="1" applyAlignment="1">
      <alignment vertical="center"/>
    </xf>
    <xf numFmtId="182" fontId="4" fillId="0" borderId="30" xfId="10" applyNumberFormat="1" applyFont="1" applyBorder="1" applyAlignment="1">
      <alignment vertical="center"/>
    </xf>
    <xf numFmtId="0" fontId="4" fillId="0" borderId="31" xfId="8" applyFont="1" applyBorder="1" applyAlignment="1">
      <alignment horizontal="center" vertical="center"/>
    </xf>
    <xf numFmtId="182" fontId="11" fillId="0" borderId="36" xfId="10" applyNumberFormat="1" applyFont="1" applyBorder="1" applyAlignment="1">
      <alignment vertical="center"/>
    </xf>
    <xf numFmtId="182" fontId="11" fillId="0" borderId="37" xfId="10" applyNumberFormat="1" applyFont="1" applyBorder="1" applyAlignment="1">
      <alignment vertical="center"/>
    </xf>
    <xf numFmtId="182" fontId="11" fillId="0" borderId="38" xfId="10" applyNumberFormat="1" applyFont="1" applyBorder="1" applyAlignment="1">
      <alignment vertical="center"/>
    </xf>
    <xf numFmtId="2" fontId="4" fillId="2" borderId="153" xfId="8" applyNumberFormat="1" applyFont="1" applyFill="1" applyBorder="1" applyAlignment="1">
      <alignment vertical="center"/>
    </xf>
    <xf numFmtId="179" fontId="25" fillId="0" borderId="0" xfId="4" applyFont="1" applyAlignment="1">
      <alignment vertical="center"/>
    </xf>
    <xf numFmtId="0" fontId="34" fillId="2" borderId="152" xfId="8" applyFont="1" applyFill="1" applyBorder="1" applyAlignment="1">
      <alignment vertical="center"/>
    </xf>
    <xf numFmtId="176" fontId="31" fillId="4" borderId="168" xfId="2" applyFont="1" applyFill="1" applyBorder="1" applyAlignment="1">
      <alignment horizontal="center" vertical="center"/>
    </xf>
    <xf numFmtId="184" fontId="11" fillId="0" borderId="97" xfId="2" applyNumberFormat="1" applyFont="1" applyBorder="1" applyAlignment="1">
      <alignment vertical="center"/>
    </xf>
    <xf numFmtId="184" fontId="11" fillId="0" borderId="98" xfId="2" applyNumberFormat="1" applyFont="1" applyBorder="1" applyAlignment="1">
      <alignment vertical="center"/>
    </xf>
    <xf numFmtId="184" fontId="11" fillId="0" borderId="99" xfId="2" applyNumberFormat="1" applyFont="1" applyBorder="1" applyAlignment="1">
      <alignment vertical="center"/>
    </xf>
    <xf numFmtId="0" fontId="4" fillId="0" borderId="106" xfId="8" applyFont="1" applyBorder="1" applyAlignment="1">
      <alignment horizontal="left" vertical="center" indent="1"/>
    </xf>
    <xf numFmtId="0" fontId="4" fillId="0" borderId="2" xfId="8" applyFont="1" applyBorder="1" applyAlignment="1">
      <alignment horizontal="distributed" vertical="center"/>
    </xf>
    <xf numFmtId="0" fontId="4" fillId="0" borderId="172" xfId="8" applyFont="1" applyBorder="1" applyAlignment="1">
      <alignment horizontal="distributed" vertical="center"/>
    </xf>
    <xf numFmtId="0" fontId="4" fillId="0" borderId="100" xfId="8" applyFont="1" applyBorder="1" applyAlignment="1">
      <alignment horizontal="left" vertical="center" indent="2"/>
    </xf>
    <xf numFmtId="0" fontId="32" fillId="0" borderId="20" xfId="8" applyFont="1" applyBorder="1" applyAlignment="1">
      <alignment horizontal="center" vertical="center"/>
    </xf>
    <xf numFmtId="182" fontId="11" fillId="4" borderId="39" xfId="1" applyNumberFormat="1" applyFont="1" applyFill="1" applyBorder="1" applyAlignment="1">
      <alignment horizontal="centerContinuous" vertical="center"/>
    </xf>
    <xf numFmtId="182" fontId="11" fillId="0" borderId="54" xfId="1" applyNumberFormat="1" applyFont="1" applyFill="1" applyBorder="1" applyAlignment="1">
      <alignment vertical="center" shrinkToFit="1"/>
    </xf>
    <xf numFmtId="182" fontId="11" fillId="0" borderId="55" xfId="1" applyNumberFormat="1" applyFont="1" applyFill="1" applyBorder="1" applyAlignment="1">
      <alignment vertical="center" shrinkToFit="1"/>
    </xf>
    <xf numFmtId="182" fontId="11" fillId="0" borderId="53" xfId="1" applyNumberFormat="1" applyFont="1" applyFill="1" applyBorder="1" applyAlignment="1">
      <alignment vertical="center" shrinkToFit="1"/>
    </xf>
    <xf numFmtId="182" fontId="11" fillId="4" borderId="129" xfId="1" applyNumberFormat="1" applyFont="1" applyFill="1" applyBorder="1" applyAlignment="1">
      <alignment horizontal="centerContinuous" vertical="center"/>
    </xf>
    <xf numFmtId="184" fontId="4" fillId="0" borderId="12" xfId="1" applyNumberFormat="1" applyFont="1" applyFill="1" applyBorder="1" applyAlignment="1">
      <alignment vertical="center"/>
    </xf>
    <xf numFmtId="184" fontId="4" fillId="0" borderId="13" xfId="1" applyNumberFormat="1" applyFont="1" applyFill="1" applyBorder="1" applyAlignment="1">
      <alignment vertical="center"/>
    </xf>
    <xf numFmtId="184" fontId="4" fillId="0" borderId="14" xfId="1" applyNumberFormat="1" applyFont="1" applyFill="1" applyBorder="1" applyAlignment="1">
      <alignment vertical="center"/>
    </xf>
    <xf numFmtId="184" fontId="11" fillId="0" borderId="36" xfId="1" applyNumberFormat="1" applyFont="1" applyFill="1" applyBorder="1" applyAlignment="1">
      <alignment vertical="center"/>
    </xf>
    <xf numFmtId="184" fontId="11" fillId="0" borderId="37" xfId="1" applyNumberFormat="1" applyFont="1" applyFill="1" applyBorder="1" applyAlignment="1">
      <alignment vertical="center"/>
    </xf>
    <xf numFmtId="184" fontId="11" fillId="0" borderId="38" xfId="1" applyNumberFormat="1" applyFont="1" applyFill="1" applyBorder="1" applyAlignment="1">
      <alignment vertical="center"/>
    </xf>
    <xf numFmtId="182" fontId="4" fillId="0" borderId="13" xfId="1" applyNumberFormat="1" applyFont="1" applyFill="1" applyBorder="1" applyAlignment="1">
      <alignment vertical="center" shrinkToFit="1"/>
    </xf>
    <xf numFmtId="182" fontId="4" fillId="0" borderId="14" xfId="1" applyNumberFormat="1" applyFont="1" applyFill="1" applyBorder="1" applyAlignment="1">
      <alignment vertical="center" shrinkToFit="1"/>
    </xf>
    <xf numFmtId="182" fontId="4" fillId="0" borderId="12" xfId="1" applyNumberFormat="1" applyFont="1" applyFill="1" applyBorder="1" applyAlignment="1">
      <alignment vertical="center" shrinkToFit="1"/>
    </xf>
    <xf numFmtId="176" fontId="24" fillId="0" borderId="77" xfId="2" applyFont="1" applyBorder="1" applyAlignment="1">
      <alignment horizontal="centerContinuous" vertical="center"/>
    </xf>
    <xf numFmtId="184" fontId="4" fillId="0" borderId="73" xfId="2" applyNumberFormat="1" applyFont="1" applyBorder="1" applyAlignment="1">
      <alignment vertical="center"/>
    </xf>
    <xf numFmtId="184" fontId="4" fillId="0" borderId="92" xfId="2" applyNumberFormat="1" applyFont="1" applyBorder="1" applyAlignment="1">
      <alignment vertical="center"/>
    </xf>
    <xf numFmtId="184" fontId="4" fillId="4" borderId="74" xfId="2" applyNumberFormat="1" applyFont="1" applyFill="1" applyBorder="1" applyAlignment="1">
      <alignment vertical="center"/>
    </xf>
    <xf numFmtId="184" fontId="4" fillId="4" borderId="81" xfId="2" applyNumberFormat="1" applyFont="1" applyFill="1" applyBorder="1" applyAlignment="1">
      <alignment vertical="center"/>
    </xf>
    <xf numFmtId="185" fontId="6" fillId="0" borderId="76" xfId="2" applyNumberFormat="1" applyFont="1" applyBorder="1" applyAlignment="1">
      <alignment vertical="center"/>
    </xf>
    <xf numFmtId="185" fontId="6" fillId="0" borderId="133" xfId="2" applyNumberFormat="1" applyFont="1" applyBorder="1" applyAlignment="1">
      <alignment vertical="center"/>
    </xf>
    <xf numFmtId="0" fontId="4" fillId="0" borderId="0" xfId="8" applyFont="1" applyAlignment="1">
      <alignment horizontal="left" vertical="center" wrapText="1"/>
    </xf>
    <xf numFmtId="176" fontId="4" fillId="8" borderId="0" xfId="2" applyFont="1" applyFill="1" applyBorder="1" applyAlignment="1">
      <alignment vertical="center"/>
    </xf>
    <xf numFmtId="20" fontId="4" fillId="0" borderId="0" xfId="8" applyNumberFormat="1" applyFont="1" applyAlignment="1">
      <alignment horizontal="left" vertical="center"/>
    </xf>
    <xf numFmtId="0" fontId="4" fillId="0" borderId="163" xfId="8" applyFont="1" applyBorder="1" applyAlignment="1">
      <alignment horizontal="center" vertical="center"/>
    </xf>
    <xf numFmtId="0" fontId="4" fillId="0" borderId="121" xfId="8" applyFont="1" applyBorder="1" applyAlignment="1">
      <alignment vertical="center"/>
    </xf>
    <xf numFmtId="0" fontId="4" fillId="4" borderId="122" xfId="8" applyFont="1" applyFill="1" applyBorder="1" applyAlignment="1">
      <alignment vertical="center"/>
    </xf>
    <xf numFmtId="0" fontId="4" fillId="0" borderId="119" xfId="8" applyFont="1" applyBorder="1" applyAlignment="1">
      <alignment vertical="center"/>
    </xf>
    <xf numFmtId="0" fontId="4" fillId="0" borderId="156" xfId="8" applyFont="1" applyBorder="1" applyAlignment="1">
      <alignment horizontal="center" vertical="center"/>
    </xf>
    <xf numFmtId="0" fontId="16" fillId="0" borderId="180" xfId="8" applyFont="1" applyBorder="1" applyAlignment="1">
      <alignment vertical="center"/>
    </xf>
    <xf numFmtId="182" fontId="11" fillId="0" borderId="12" xfId="1" applyNumberFormat="1" applyFont="1" applyBorder="1" applyAlignment="1">
      <alignment vertical="center"/>
    </xf>
    <xf numFmtId="182" fontId="11" fillId="0" borderId="13" xfId="1" applyNumberFormat="1" applyFont="1" applyBorder="1" applyAlignment="1">
      <alignment vertical="center"/>
    </xf>
    <xf numFmtId="182" fontId="11" fillId="0" borderId="14" xfId="1" applyNumberFormat="1" applyFont="1" applyBorder="1" applyAlignment="1">
      <alignment vertical="center"/>
    </xf>
    <xf numFmtId="182" fontId="24" fillId="0" borderId="12" xfId="1" applyNumberFormat="1" applyFont="1" applyFill="1" applyBorder="1" applyAlignment="1">
      <alignment vertical="center"/>
    </xf>
    <xf numFmtId="182" fontId="24" fillId="0" borderId="13" xfId="1" applyNumberFormat="1" applyFont="1" applyFill="1" applyBorder="1" applyAlignment="1">
      <alignment vertical="center"/>
    </xf>
    <xf numFmtId="182" fontId="24" fillId="0" borderId="14" xfId="1" applyNumberFormat="1" applyFont="1" applyFill="1" applyBorder="1" applyAlignment="1">
      <alignment vertical="center"/>
    </xf>
    <xf numFmtId="0" fontId="4" fillId="0" borderId="181" xfId="8" applyFont="1" applyBorder="1" applyAlignment="1">
      <alignment vertical="center"/>
    </xf>
    <xf numFmtId="0" fontId="25" fillId="8" borderId="182" xfId="8" applyFont="1" applyFill="1" applyBorder="1" applyAlignment="1">
      <alignment horizontal="center" vertical="center"/>
    </xf>
    <xf numFmtId="2" fontId="25" fillId="8" borderId="182" xfId="8" applyNumberFormat="1" applyFont="1" applyFill="1" applyBorder="1" applyAlignment="1">
      <alignment horizontal="center" vertical="center"/>
    </xf>
    <xf numFmtId="176" fontId="4" fillId="0" borderId="0" xfId="2" applyFont="1" applyBorder="1" applyAlignment="1">
      <alignment horizontal="left" vertical="center"/>
    </xf>
    <xf numFmtId="176" fontId="4" fillId="8" borderId="0" xfId="2" applyFont="1" applyFill="1" applyBorder="1" applyAlignment="1">
      <alignment horizontal="left" vertical="center"/>
    </xf>
    <xf numFmtId="0" fontId="4" fillId="8" borderId="0" xfId="8" applyFont="1" applyFill="1" applyAlignment="1">
      <alignment horizontal="left" vertical="center"/>
    </xf>
    <xf numFmtId="185" fontId="6" fillId="8" borderId="0" xfId="2" applyNumberFormat="1" applyFont="1" applyFill="1" applyBorder="1" applyAlignment="1">
      <alignment horizontal="left" vertical="center"/>
    </xf>
    <xf numFmtId="0" fontId="16" fillId="0" borderId="0" xfId="8" applyFont="1" applyAlignment="1">
      <alignment horizontal="left" vertical="center"/>
    </xf>
    <xf numFmtId="182" fontId="11" fillId="4" borderId="26" xfId="1" applyNumberFormat="1" applyFont="1" applyFill="1" applyBorder="1" applyAlignment="1">
      <alignment vertical="center"/>
    </xf>
    <xf numFmtId="188" fontId="6" fillId="0" borderId="83" xfId="2" applyNumberFormat="1" applyFont="1" applyBorder="1" applyAlignment="1">
      <alignment horizontal="center" vertical="center"/>
    </xf>
    <xf numFmtId="188" fontId="6" fillId="0" borderId="0" xfId="2" applyNumberFormat="1" applyFont="1" applyBorder="1" applyAlignment="1">
      <alignment horizontal="left" vertical="center"/>
    </xf>
    <xf numFmtId="177" fontId="4" fillId="0" borderId="21" xfId="1" applyFont="1" applyFill="1" applyBorder="1" applyAlignment="1">
      <alignment vertical="center"/>
    </xf>
    <xf numFmtId="177" fontId="4" fillId="0" borderId="0" xfId="1" applyFont="1" applyFill="1" applyBorder="1" applyAlignment="1">
      <alignment vertical="center"/>
    </xf>
    <xf numFmtId="177" fontId="4" fillId="0" borderId="21" xfId="1" applyFont="1" applyFill="1" applyBorder="1" applyAlignment="1">
      <alignment horizontal="left" vertical="center"/>
    </xf>
    <xf numFmtId="186" fontId="12" fillId="0" borderId="0" xfId="1" applyNumberFormat="1" applyFont="1" applyFill="1" applyBorder="1" applyAlignment="1">
      <alignment vertical="center"/>
    </xf>
    <xf numFmtId="184" fontId="4" fillId="0" borderId="12" xfId="1" applyNumberFormat="1" applyFont="1" applyBorder="1" applyAlignment="1">
      <alignment vertical="center"/>
    </xf>
    <xf numFmtId="184" fontId="4" fillId="0" borderId="13" xfId="1" applyNumberFormat="1" applyFont="1" applyBorder="1" applyAlignment="1">
      <alignment vertical="center"/>
    </xf>
    <xf numFmtId="184" fontId="4" fillId="0" borderId="14" xfId="1" applyNumberFormat="1" applyFont="1" applyBorder="1" applyAlignment="1">
      <alignment vertical="center"/>
    </xf>
    <xf numFmtId="0" fontId="5" fillId="2" borderId="2" xfId="8" applyFont="1" applyFill="1" applyBorder="1" applyAlignment="1">
      <alignment horizontal="center" vertical="center"/>
    </xf>
    <xf numFmtId="0" fontId="5" fillId="2" borderId="45" xfId="8" applyFont="1" applyFill="1" applyBorder="1" applyAlignment="1">
      <alignment horizontal="center" vertical="center"/>
    </xf>
    <xf numFmtId="0" fontId="5" fillId="2" borderId="6" xfId="8" applyFont="1" applyFill="1" applyBorder="1" applyAlignment="1">
      <alignment horizontal="center" vertical="center"/>
    </xf>
    <xf numFmtId="0" fontId="5" fillId="2" borderId="8" xfId="8" applyFont="1" applyFill="1" applyBorder="1" applyAlignment="1">
      <alignment horizontal="center" vertical="center"/>
    </xf>
    <xf numFmtId="0" fontId="5" fillId="2" borderId="3" xfId="8" applyFont="1" applyFill="1" applyBorder="1" applyAlignment="1">
      <alignment horizontal="center" vertical="center"/>
    </xf>
    <xf numFmtId="0" fontId="5" fillId="2" borderId="4" xfId="8" applyFont="1" applyFill="1" applyBorder="1" applyAlignment="1">
      <alignment horizontal="center" vertical="center"/>
    </xf>
    <xf numFmtId="0" fontId="5" fillId="2" borderId="164" xfId="8" applyFont="1" applyFill="1" applyBorder="1" applyAlignment="1">
      <alignment horizontal="center" vertical="center"/>
    </xf>
    <xf numFmtId="0" fontId="5" fillId="2" borderId="165" xfId="8" applyFont="1" applyFill="1" applyBorder="1" applyAlignment="1">
      <alignment horizontal="center" vertical="center"/>
    </xf>
    <xf numFmtId="0" fontId="5" fillId="6" borderId="149" xfId="8" applyFont="1" applyFill="1" applyBorder="1" applyAlignment="1">
      <alignment horizontal="center" vertical="center" wrapText="1"/>
    </xf>
    <xf numFmtId="0" fontId="5" fillId="6" borderId="156" xfId="8" applyFont="1" applyFill="1" applyBorder="1" applyAlignment="1">
      <alignment horizontal="center" vertical="center"/>
    </xf>
    <xf numFmtId="0" fontId="5" fillId="2" borderId="166" xfId="8" applyFont="1" applyFill="1" applyBorder="1" applyAlignment="1">
      <alignment horizontal="center" vertical="center"/>
    </xf>
    <xf numFmtId="0" fontId="5" fillId="2" borderId="167" xfId="8" applyFont="1" applyFill="1" applyBorder="1" applyAlignment="1">
      <alignment horizontal="center" vertical="center"/>
    </xf>
    <xf numFmtId="0" fontId="4" fillId="0" borderId="131" xfId="8" applyFont="1" applyBorder="1" applyAlignment="1">
      <alignment horizontal="center" vertical="center"/>
    </xf>
    <xf numFmtId="0" fontId="4" fillId="0" borderId="92" xfId="8" applyFont="1" applyBorder="1" applyAlignment="1">
      <alignment horizontal="center" vertical="center"/>
    </xf>
    <xf numFmtId="0" fontId="4" fillId="0" borderId="101" xfId="8" applyFont="1" applyBorder="1" applyAlignment="1">
      <alignment horizontal="center" vertical="center"/>
    </xf>
    <xf numFmtId="0" fontId="4" fillId="0" borderId="81" xfId="8" applyFont="1" applyBorder="1" applyAlignment="1">
      <alignment horizontal="center" vertical="center"/>
    </xf>
    <xf numFmtId="0" fontId="4" fillId="0" borderId="132" xfId="8" applyFont="1" applyBorder="1" applyAlignment="1">
      <alignment horizontal="center" vertical="center"/>
    </xf>
    <xf numFmtId="0" fontId="4" fillId="0" borderId="133" xfId="8" applyFont="1" applyBorder="1" applyAlignment="1">
      <alignment horizontal="center" vertical="center"/>
    </xf>
    <xf numFmtId="0" fontId="4" fillId="0" borderId="131" xfId="8" applyFont="1" applyBorder="1" applyAlignment="1">
      <alignment horizontal="distributed" vertical="center"/>
    </xf>
    <xf numFmtId="0" fontId="4" fillId="0" borderId="73" xfId="8" applyFont="1" applyBorder="1" applyAlignment="1">
      <alignment horizontal="distributed" vertical="center"/>
    </xf>
    <xf numFmtId="176" fontId="4" fillId="0" borderId="91" xfId="2" applyFont="1" applyBorder="1" applyAlignment="1">
      <alignment horizontal="center" vertical="center"/>
    </xf>
    <xf numFmtId="176" fontId="4" fillId="0" borderId="73" xfId="2" applyFont="1" applyBorder="1" applyAlignment="1">
      <alignment horizontal="center" vertical="center"/>
    </xf>
    <xf numFmtId="0" fontId="4" fillId="0" borderId="101" xfId="8" applyFont="1" applyBorder="1" applyAlignment="1">
      <alignment horizontal="distributed" vertical="center"/>
    </xf>
    <xf numFmtId="0" fontId="0" fillId="0" borderId="74" xfId="0" applyBorder="1" applyAlignment="1">
      <alignment horizontal="distributed" vertical="center"/>
    </xf>
    <xf numFmtId="176" fontId="4" fillId="4" borderId="80" xfId="2" applyFont="1" applyFill="1" applyBorder="1" applyAlignment="1">
      <alignment horizontal="center" vertical="center"/>
    </xf>
    <xf numFmtId="176" fontId="4" fillId="4" borderId="74" xfId="2" applyFont="1" applyFill="1" applyBorder="1" applyAlignment="1">
      <alignment horizontal="center" vertical="center"/>
    </xf>
    <xf numFmtId="0" fontId="4" fillId="0" borderId="132" xfId="8" applyFont="1" applyBorder="1" applyAlignment="1">
      <alignment horizontal="distributed" vertical="center"/>
    </xf>
    <xf numFmtId="0" fontId="4" fillId="0" borderId="76" xfId="8" applyFont="1" applyBorder="1" applyAlignment="1">
      <alignment horizontal="distributed" vertical="center"/>
    </xf>
    <xf numFmtId="185" fontId="6" fillId="0" borderId="123" xfId="2" applyNumberFormat="1" applyFont="1" applyBorder="1" applyAlignment="1">
      <alignment horizontal="center" vertical="center"/>
    </xf>
    <xf numFmtId="185" fontId="6" fillId="0" borderId="76" xfId="2" applyNumberFormat="1" applyFont="1" applyBorder="1" applyAlignment="1">
      <alignment horizontal="center" vertical="center"/>
    </xf>
    <xf numFmtId="0" fontId="5" fillId="2" borderId="5" xfId="8" applyFont="1" applyFill="1" applyBorder="1" applyAlignment="1">
      <alignment horizontal="center" vertical="center"/>
    </xf>
    <xf numFmtId="0" fontId="4" fillId="0" borderId="158" xfId="8" applyFont="1" applyBorder="1" applyAlignment="1">
      <alignment horizontal="center" vertical="center"/>
    </xf>
    <xf numFmtId="0" fontId="4" fillId="0" borderId="163" xfId="8" applyFont="1" applyBorder="1" applyAlignment="1">
      <alignment horizontal="center" vertical="center"/>
    </xf>
    <xf numFmtId="0" fontId="4" fillId="0" borderId="156" xfId="8" applyFont="1" applyBorder="1" applyAlignment="1">
      <alignment horizontal="center" vertical="center"/>
    </xf>
    <xf numFmtId="0" fontId="4" fillId="0" borderId="106" xfId="8" applyFont="1" applyBorder="1" applyAlignment="1">
      <alignment horizontal="center" vertical="center"/>
    </xf>
    <xf numFmtId="0" fontId="4" fillId="0" borderId="124" xfId="8" applyFont="1" applyBorder="1" applyAlignment="1">
      <alignment horizontal="center" vertical="center"/>
    </xf>
    <xf numFmtId="0" fontId="4" fillId="0" borderId="100" xfId="8" applyFont="1" applyBorder="1" applyAlignment="1">
      <alignment horizontal="left" vertical="center" indent="1" shrinkToFit="1"/>
    </xf>
    <xf numFmtId="0" fontId="4" fillId="0" borderId="15" xfId="8" applyFont="1" applyBorder="1" applyAlignment="1">
      <alignment horizontal="left" vertical="center" indent="1" shrinkToFit="1"/>
    </xf>
    <xf numFmtId="176" fontId="4" fillId="0" borderId="91" xfId="9" applyFont="1" applyBorder="1" applyAlignment="1">
      <alignment horizontal="center" vertical="center"/>
    </xf>
    <xf numFmtId="176" fontId="4" fillId="0" borderId="73" xfId="9" applyFont="1" applyBorder="1" applyAlignment="1">
      <alignment horizontal="center" vertical="center"/>
    </xf>
    <xf numFmtId="176" fontId="4" fillId="4" borderId="80" xfId="9" applyFont="1" applyFill="1" applyBorder="1" applyAlignment="1">
      <alignment horizontal="center" vertical="center"/>
    </xf>
    <xf numFmtId="176" fontId="4" fillId="4" borderId="74" xfId="9" applyFont="1" applyFill="1" applyBorder="1" applyAlignment="1">
      <alignment horizontal="center" vertical="center"/>
    </xf>
    <xf numFmtId="185" fontId="6" fillId="0" borderId="123" xfId="9" applyNumberFormat="1" applyFont="1" applyBorder="1" applyAlignment="1">
      <alignment horizontal="center" vertical="center"/>
    </xf>
    <xf numFmtId="185" fontId="6" fillId="0" borderId="76" xfId="9" applyNumberFormat="1" applyFont="1" applyBorder="1" applyAlignment="1">
      <alignment horizontal="center" vertical="center"/>
    </xf>
    <xf numFmtId="0" fontId="5" fillId="2" borderId="176" xfId="8" applyFont="1" applyFill="1" applyBorder="1" applyAlignment="1">
      <alignment horizontal="center" vertical="center"/>
    </xf>
    <xf numFmtId="184" fontId="4" fillId="0" borderId="85" xfId="9" applyNumberFormat="1" applyFont="1" applyBorder="1" applyAlignment="1">
      <alignment horizontal="center" vertical="center"/>
    </xf>
    <xf numFmtId="184" fontId="4" fillId="4" borderId="74" xfId="9" applyNumberFormat="1" applyFont="1" applyFill="1" applyBorder="1" applyAlignment="1">
      <alignment horizontal="center" vertical="center"/>
    </xf>
    <xf numFmtId="185" fontId="6" fillId="0" borderId="75" xfId="2" applyNumberFormat="1" applyFont="1" applyBorder="1" applyAlignment="1">
      <alignment horizontal="center" vertical="center"/>
    </xf>
    <xf numFmtId="176" fontId="4" fillId="0" borderId="85" xfId="2" applyFont="1" applyBorder="1" applyAlignment="1">
      <alignment horizontal="center" vertical="center"/>
    </xf>
    <xf numFmtId="176" fontId="4" fillId="4" borderId="51" xfId="2" applyFont="1" applyFill="1" applyBorder="1" applyAlignment="1">
      <alignment horizontal="center" vertical="center"/>
    </xf>
    <xf numFmtId="176" fontId="4" fillId="4" borderId="120" xfId="2" applyFont="1" applyFill="1" applyBorder="1" applyAlignment="1">
      <alignment horizontal="center" vertical="center"/>
    </xf>
    <xf numFmtId="176" fontId="4" fillId="0" borderId="85" xfId="9" applyFont="1" applyBorder="1" applyAlignment="1">
      <alignment horizontal="center" vertical="center"/>
    </xf>
    <xf numFmtId="184" fontId="4" fillId="4" borderId="51" xfId="9" applyNumberFormat="1" applyFont="1" applyFill="1" applyBorder="1" applyAlignment="1">
      <alignment horizontal="center" vertical="center"/>
    </xf>
    <xf numFmtId="184" fontId="4" fillId="4" borderId="120" xfId="9" applyNumberFormat="1" applyFont="1" applyFill="1" applyBorder="1" applyAlignment="1">
      <alignment horizontal="center" vertical="center"/>
    </xf>
    <xf numFmtId="184" fontId="4" fillId="0" borderId="91" xfId="2" applyNumberFormat="1" applyFont="1" applyBorder="1" applyAlignment="1">
      <alignment horizontal="center" vertical="center"/>
    </xf>
    <xf numFmtId="184" fontId="4" fillId="0" borderId="92" xfId="2" applyNumberFormat="1" applyFont="1" applyBorder="1" applyAlignment="1">
      <alignment horizontal="center" vertical="center"/>
    </xf>
    <xf numFmtId="184" fontId="4" fillId="4" borderId="80" xfId="2" applyNumberFormat="1" applyFont="1" applyFill="1" applyBorder="1" applyAlignment="1">
      <alignment horizontal="center" vertical="center"/>
    </xf>
    <xf numFmtId="184" fontId="4" fillId="4" borderId="81" xfId="2" applyNumberFormat="1" applyFont="1" applyFill="1" applyBorder="1" applyAlignment="1">
      <alignment horizontal="center" vertical="center"/>
    </xf>
    <xf numFmtId="185" fontId="6" fillId="0" borderId="133" xfId="2" applyNumberFormat="1" applyFont="1" applyBorder="1" applyAlignment="1">
      <alignment horizontal="center" vertical="center"/>
    </xf>
    <xf numFmtId="0" fontId="4" fillId="0" borderId="74" xfId="8" applyFont="1" applyBorder="1" applyAlignment="1">
      <alignment horizontal="distributed" vertical="center"/>
    </xf>
    <xf numFmtId="185" fontId="6" fillId="0" borderId="80" xfId="2" applyNumberFormat="1" applyFont="1" applyBorder="1" applyAlignment="1">
      <alignment horizontal="center" vertical="center"/>
    </xf>
    <xf numFmtId="185" fontId="6" fillId="0" borderId="74" xfId="2" applyNumberFormat="1" applyFont="1" applyBorder="1" applyAlignment="1">
      <alignment horizontal="center" vertical="center"/>
    </xf>
    <xf numFmtId="0" fontId="4" fillId="0" borderId="150" xfId="8" applyFont="1" applyBorder="1" applyAlignment="1">
      <alignment horizontal="distributed" vertical="center"/>
    </xf>
    <xf numFmtId="0" fontId="4" fillId="0" borderId="75" xfId="8" applyFont="1" applyBorder="1" applyAlignment="1">
      <alignment horizontal="distributed" vertical="center"/>
    </xf>
    <xf numFmtId="185" fontId="6" fillId="0" borderId="83" xfId="2" applyNumberFormat="1" applyFont="1" applyBorder="1" applyAlignment="1">
      <alignment horizontal="center" vertical="center"/>
    </xf>
    <xf numFmtId="0" fontId="5" fillId="2" borderId="9" xfId="8" applyFont="1" applyFill="1" applyBorder="1" applyAlignment="1">
      <alignment horizontal="center" vertical="center"/>
    </xf>
    <xf numFmtId="0" fontId="5" fillId="2" borderId="10" xfId="8" applyFont="1" applyFill="1" applyBorder="1" applyAlignment="1">
      <alignment horizontal="center" vertical="center"/>
    </xf>
    <xf numFmtId="0" fontId="4" fillId="0" borderId="51" xfId="8" applyFont="1" applyBorder="1" applyAlignment="1">
      <alignment horizontal="center" vertical="center"/>
    </xf>
    <xf numFmtId="0" fontId="4" fillId="0" borderId="179" xfId="8" applyFont="1" applyBorder="1" applyAlignment="1">
      <alignment horizontal="center" vertical="center"/>
    </xf>
    <xf numFmtId="185" fontId="6" fillId="0" borderId="0" xfId="2" applyNumberFormat="1" applyFont="1" applyBorder="1" applyAlignment="1">
      <alignment horizontal="center" vertical="center"/>
    </xf>
    <xf numFmtId="0" fontId="5" fillId="0" borderId="0" xfId="8" applyFont="1" applyAlignment="1">
      <alignment horizontal="left" vertical="center" indent="1"/>
    </xf>
    <xf numFmtId="0" fontId="4" fillId="0" borderId="0" xfId="1" applyNumberFormat="1" applyFont="1" applyFill="1" applyBorder="1" applyAlignment="1">
      <alignment horizontal="left" vertical="center" indent="2"/>
    </xf>
    <xf numFmtId="0" fontId="4" fillId="0" borderId="0" xfId="8" applyFont="1" applyAlignment="1">
      <alignment horizontal="left" vertical="center" indent="2"/>
    </xf>
    <xf numFmtId="0" fontId="4" fillId="0" borderId="169" xfId="8" applyFont="1" applyBorder="1" applyAlignment="1">
      <alignment horizontal="distributed" vertical="center"/>
    </xf>
    <xf numFmtId="0" fontId="4" fillId="0" borderId="136" xfId="8" applyFont="1" applyBorder="1" applyAlignment="1">
      <alignment horizontal="distributed" vertical="center"/>
    </xf>
    <xf numFmtId="0" fontId="4" fillId="0" borderId="170" xfId="8" applyFont="1" applyBorder="1" applyAlignment="1">
      <alignment horizontal="distributed" vertical="center"/>
    </xf>
    <xf numFmtId="0" fontId="4" fillId="0" borderId="2" xfId="8" applyFont="1" applyBorder="1" applyAlignment="1">
      <alignment horizontal="distributed" vertical="center"/>
    </xf>
    <xf numFmtId="0" fontId="4" fillId="0" borderId="171" xfId="8" applyFont="1" applyBorder="1" applyAlignment="1">
      <alignment horizontal="distributed" vertical="center"/>
    </xf>
    <xf numFmtId="0" fontId="4" fillId="0" borderId="172" xfId="8" applyFont="1" applyBorder="1" applyAlignment="1">
      <alignment horizontal="distributed" vertical="center"/>
    </xf>
    <xf numFmtId="0" fontId="4" fillId="0" borderId="173" xfId="8" applyFont="1" applyBorder="1" applyAlignment="1">
      <alignment horizontal="distributed" vertical="center"/>
    </xf>
    <xf numFmtId="0" fontId="4" fillId="0" borderId="162" xfId="8" applyFont="1" applyBorder="1" applyAlignment="1">
      <alignment horizontal="distributed" vertical="center"/>
    </xf>
    <xf numFmtId="0" fontId="4" fillId="0" borderId="174" xfId="8" applyFont="1" applyBorder="1" applyAlignment="1">
      <alignment horizontal="distributed" vertical="center"/>
    </xf>
    <xf numFmtId="0" fontId="4" fillId="0" borderId="175" xfId="8" applyFont="1" applyBorder="1" applyAlignment="1">
      <alignment horizontal="distributed" vertical="center"/>
    </xf>
    <xf numFmtId="0" fontId="4" fillId="0" borderId="118" xfId="8" applyFont="1" applyBorder="1" applyAlignment="1">
      <alignment horizontal="distributed" vertical="center"/>
    </xf>
    <xf numFmtId="0" fontId="4" fillId="0" borderId="85" xfId="8" applyFont="1" applyBorder="1" applyAlignment="1">
      <alignment horizontal="distributed" vertical="center"/>
    </xf>
    <xf numFmtId="0" fontId="4" fillId="0" borderId="0" xfId="8" applyFont="1" applyAlignment="1">
      <alignment horizontal="center" vertical="center"/>
    </xf>
    <xf numFmtId="0" fontId="5" fillId="2" borderId="149" xfId="8" applyFont="1" applyFill="1" applyBorder="1" applyAlignment="1">
      <alignment horizontal="center" vertical="center"/>
    </xf>
    <xf numFmtId="0" fontId="5" fillId="2" borderId="156" xfId="8" applyFont="1" applyFill="1" applyBorder="1" applyAlignment="1">
      <alignment horizontal="center" vertical="center"/>
    </xf>
    <xf numFmtId="0" fontId="4" fillId="8" borderId="0" xfId="8" applyFont="1" applyFill="1" applyAlignment="1">
      <alignment horizontal="distributed" vertical="center"/>
    </xf>
    <xf numFmtId="185" fontId="6" fillId="8" borderId="0" xfId="2" applyNumberFormat="1" applyFont="1" applyFill="1" applyBorder="1" applyAlignment="1">
      <alignment horizontal="center" vertical="center"/>
    </xf>
    <xf numFmtId="184" fontId="4" fillId="0" borderId="73" xfId="2" applyNumberFormat="1" applyFont="1" applyBorder="1" applyAlignment="1">
      <alignment horizontal="center" vertical="center"/>
    </xf>
    <xf numFmtId="184" fontId="4" fillId="4" borderId="74" xfId="2" applyNumberFormat="1" applyFont="1" applyFill="1" applyBorder="1" applyAlignment="1">
      <alignment horizontal="center" vertical="center"/>
    </xf>
    <xf numFmtId="0" fontId="4" fillId="0" borderId="177" xfId="8" applyFont="1" applyBorder="1" applyAlignment="1">
      <alignment horizontal="distributed" vertical="center"/>
    </xf>
    <xf numFmtId="0" fontId="4" fillId="0" borderId="102" xfId="8" applyFont="1" applyBorder="1" applyAlignment="1">
      <alignment horizontal="distributed" vertical="center"/>
    </xf>
    <xf numFmtId="185" fontId="6" fillId="0" borderId="115" xfId="2" applyNumberFormat="1" applyFont="1" applyBorder="1" applyAlignment="1">
      <alignment horizontal="center" vertical="center"/>
    </xf>
    <xf numFmtId="185" fontId="6" fillId="0" borderId="102" xfId="2" applyNumberFormat="1" applyFont="1" applyBorder="1" applyAlignment="1">
      <alignment horizontal="center" vertical="center"/>
    </xf>
    <xf numFmtId="0" fontId="25" fillId="8" borderId="182" xfId="8" applyFont="1" applyFill="1" applyBorder="1" applyAlignment="1">
      <alignment horizontal="center" vertical="center"/>
    </xf>
    <xf numFmtId="179" fontId="4" fillId="0" borderId="78" xfId="4" applyFont="1" applyBorder="1" applyAlignment="1">
      <alignment horizontal="center" vertical="center"/>
    </xf>
    <xf numFmtId="179" fontId="4" fillId="0" borderId="79" xfId="4" applyFont="1" applyBorder="1" applyAlignment="1">
      <alignment horizontal="center" vertical="center"/>
    </xf>
    <xf numFmtId="0" fontId="25" fillId="8" borderId="182" xfId="8" applyFont="1" applyFill="1" applyBorder="1" applyAlignment="1">
      <alignment horizontal="center" vertical="center" wrapText="1"/>
    </xf>
    <xf numFmtId="0" fontId="4" fillId="0" borderId="0" xfId="8" applyFont="1" applyAlignment="1">
      <alignment horizontal="left" vertical="center" wrapText="1"/>
    </xf>
    <xf numFmtId="0" fontId="4" fillId="0" borderId="49" xfId="8" applyFont="1" applyBorder="1" applyAlignment="1">
      <alignment horizontal="center" vertical="center"/>
    </xf>
    <xf numFmtId="188" fontId="6" fillId="0" borderId="123" xfId="2" applyNumberFormat="1" applyFont="1" applyBorder="1" applyAlignment="1">
      <alignment horizontal="center" vertical="center"/>
    </xf>
    <xf numFmtId="188" fontId="6" fillId="0" borderId="76" xfId="2" applyNumberFormat="1" applyFont="1" applyBorder="1" applyAlignment="1">
      <alignment horizontal="center" vertical="center"/>
    </xf>
    <xf numFmtId="188" fontId="6" fillId="0" borderId="80" xfId="2" applyNumberFormat="1" applyFont="1" applyBorder="1" applyAlignment="1">
      <alignment horizontal="center" vertical="center"/>
    </xf>
    <xf numFmtId="188" fontId="6" fillId="0" borderId="74" xfId="2" applyNumberFormat="1" applyFont="1" applyBorder="1" applyAlignment="1">
      <alignment horizontal="center" vertical="center"/>
    </xf>
    <xf numFmtId="0" fontId="4" fillId="0" borderId="0" xfId="8" applyFont="1" applyAlignment="1">
      <alignment horizontal="distributed" vertical="center"/>
    </xf>
    <xf numFmtId="0" fontId="4" fillId="0" borderId="133" xfId="8" applyFont="1" applyBorder="1" applyAlignment="1">
      <alignment horizontal="distributed" vertical="center"/>
    </xf>
    <xf numFmtId="0" fontId="4" fillId="0" borderId="92" xfId="8" applyFont="1" applyBorder="1" applyAlignment="1">
      <alignment horizontal="distributed" vertical="center"/>
    </xf>
    <xf numFmtId="0" fontId="4" fillId="4" borderId="101" xfId="8" applyFont="1" applyFill="1" applyBorder="1" applyAlignment="1">
      <alignment horizontal="distributed" vertical="center"/>
    </xf>
    <xf numFmtId="0" fontId="0" fillId="4" borderId="81" xfId="0" applyFill="1" applyBorder="1" applyAlignment="1">
      <alignment horizontal="distributed" vertical="center"/>
    </xf>
    <xf numFmtId="176" fontId="4" fillId="0" borderId="137" xfId="9" applyFont="1" applyBorder="1" applyAlignment="1">
      <alignment horizontal="center" vertical="center"/>
    </xf>
    <xf numFmtId="176" fontId="4" fillId="0" borderId="44" xfId="9" applyFont="1" applyBorder="1" applyAlignment="1">
      <alignment horizontal="center" vertical="center"/>
    </xf>
    <xf numFmtId="185" fontId="6" fillId="0" borderId="74" xfId="9" applyNumberFormat="1" applyFont="1" applyBorder="1" applyAlignment="1">
      <alignment horizontal="center" vertical="center"/>
    </xf>
    <xf numFmtId="185" fontId="6" fillId="0" borderId="168" xfId="2" applyNumberFormat="1" applyFont="1" applyBorder="1" applyAlignment="1">
      <alignment horizontal="center" vertical="center"/>
    </xf>
    <xf numFmtId="185" fontId="6" fillId="0" borderId="52" xfId="2" applyNumberFormat="1" applyFont="1" applyBorder="1" applyAlignment="1">
      <alignment horizontal="center" vertical="center"/>
    </xf>
    <xf numFmtId="185" fontId="6" fillId="0" borderId="120" xfId="2" applyNumberFormat="1" applyFont="1" applyBorder="1" applyAlignment="1">
      <alignment horizontal="center" vertical="center"/>
    </xf>
  </cellXfs>
  <cellStyles count="12">
    <cellStyle name="백분율 2" xfId="11" xr:uid="{00000000-0005-0000-0000-000000000000}"/>
    <cellStyle name="쉼표" xfId="1" builtinId="3"/>
    <cellStyle name="쉼표 [0]" xfId="2" builtinId="6"/>
    <cellStyle name="쉼표 [0] 2" xfId="9" xr:uid="{00000000-0005-0000-0000-000003000000}"/>
    <cellStyle name="쉼표 2" xfId="10" xr:uid="{00000000-0005-0000-0000-000004000000}"/>
    <cellStyle name="콤마 [0]_구획정리사업비(일반0)" xfId="3" xr:uid="{00000000-0005-0000-0000-000005000000}"/>
    <cellStyle name="콤마 [0]_국토개~0" xfId="4" xr:uid="{00000000-0005-0000-0000-000006000000}"/>
    <cellStyle name="콤마_구획정리사업비(일반0)" xfId="5" xr:uid="{00000000-0005-0000-0000-000007000000}"/>
    <cellStyle name="콤마_표준품셈(최종)" xfId="6" xr:uid="{00000000-0005-0000-0000-000008000000}"/>
    <cellStyle name="통화 [0]_국토개~0" xfId="7" xr:uid="{00000000-0005-0000-0000-000009000000}"/>
    <cellStyle name="표준" xfId="0" builtinId="0"/>
    <cellStyle name="표준_국토개~0" xfId="8" xr:uid="{00000000-0005-0000-0000-00000B000000}"/>
  </cellStyles>
  <dxfs count="73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Light16"/>
  <colors>
    <mruColors>
      <color rgb="FF0000FF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ctrlProps/ctrlProp1.xml><?xml version="1.0" encoding="utf-8"?>
<formControlPr xmlns="http://schemas.microsoft.com/office/spreadsheetml/2009/9/main" objectType="Drop" dropStyle="combo" dx="22" fmlaLink="$C$3" fmlaRange="$B$6:$B$25" sel="3" val="0"/>
</file>

<file path=xl/ctrlProps/ctrlProp2.xml><?xml version="1.0" encoding="utf-8"?>
<formControlPr xmlns="http://schemas.microsoft.com/office/spreadsheetml/2009/9/main" objectType="GBox"/>
</file>

<file path=xl/ctrlProps/ctrlProp3.xml><?xml version="1.0" encoding="utf-8"?>
<formControlPr xmlns="http://schemas.microsoft.com/office/spreadsheetml/2009/9/main" objectType="Radio" checked="Checked" firstButton="1" fmlaLink="$G$2" lockText="1"/>
</file>

<file path=xl/ctrlProps/ctrlProp4.xml><?xml version="1.0" encoding="utf-8"?>
<formControlPr xmlns="http://schemas.microsoft.com/office/spreadsheetml/2009/9/main" objectType="Radio" lockText="1"/>
</file>

<file path=xl/ctrlProps/ctrlProp5.xml><?xml version="1.0" encoding="utf-8"?>
<formControlPr xmlns="http://schemas.microsoft.com/office/spreadsheetml/2009/9/main" objectType="Drop" dropStyle="combo" dx="22" fmlaLink="$I$3" fmlaRange="$R$3:$R$7" sel="2" val="0"/>
</file>

<file path=xl/ctrlProps/ctrlProp6.xml><?xml version="1.0" encoding="utf-8"?>
<formControlPr xmlns="http://schemas.microsoft.com/office/spreadsheetml/2009/9/main" objectType="Drop" dropStyle="combo" dx="22" fmlaLink="$I$3" fmlaRange="$R$3:$R$7" sel="4" val="0"/>
</file>

<file path=xl/ctrlProps/ctrlProp7.xml><?xml version="1.0" encoding="utf-8"?>
<formControlPr xmlns="http://schemas.microsoft.com/office/spreadsheetml/2009/9/main" objectType="GBox"/>
</file>

<file path=xl/ctrlProps/ctrlProp8.xml><?xml version="1.0" encoding="utf-8"?>
<formControlPr xmlns="http://schemas.microsoft.com/office/spreadsheetml/2009/9/main" objectType="Radio" firstButton="1" fmlaLink="$J$3" lockText="1"/>
</file>

<file path=xl/ctrlProps/ctrlProp9.xml><?xml version="1.0" encoding="utf-8"?>
<formControlPr xmlns="http://schemas.microsoft.com/office/spreadsheetml/2009/9/main" objectType="Radio" lockText="1"/>
</file>

<file path=xl/ctrlProps/ctrlProp10.xml><?xml version="1.0" encoding="utf-8"?>
<formControlPr xmlns="http://schemas.microsoft.com/office/spreadsheetml/2009/9/main" objectType="Radio" checked="Checked" lockText="1"/>
</file>

<file path=xl/ctrlProps/ctrlProp11.xml><?xml version="1.0" encoding="utf-8"?>
<formControlPr xmlns="http://schemas.microsoft.com/office/spreadsheetml/2009/9/main" objectType="Drop" dropStyle="combo" dx="22" fmlaLink="$C$7" fmlaRange="$R$2:$R$6" sel="4" val="0"/>
</file>

<file path=xl/ctrlProps/ctrlProp12.xml><?xml version="1.0" encoding="utf-8"?>
<formControlPr xmlns="http://schemas.microsoft.com/office/spreadsheetml/2009/9/main" objectType="Drop" dropLines="3" dropStyle="combo" dx="22" fmlaLink="$C$8" fmlaRange="$N$3:$N$5" sel="2" val="0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Radio" checked="Checked" firstButton="1" fmlaLink="$D$2" lockText="1"/>
</file>

<file path=xl/ctrlProps/ctrlProp15.xml><?xml version="1.0" encoding="utf-8"?>
<formControlPr xmlns="http://schemas.microsoft.com/office/spreadsheetml/2009/9/main" objectType="Radio" lockText="1"/>
</file>

<file path=xl/ctrlProps/ctrlProp16.xml><?xml version="1.0" encoding="utf-8"?>
<formControlPr xmlns="http://schemas.microsoft.com/office/spreadsheetml/2009/9/main" objectType="Radio" lockText="1"/>
</file>

<file path=xl/ctrlProps/ctrlProp17.xml><?xml version="1.0" encoding="utf-8"?>
<formControlPr xmlns="http://schemas.microsoft.com/office/spreadsheetml/2009/9/main" objectType="Drop" dropStyle="combo" dx="22" fmlaLink="$F$2" fmlaRange="$N$3:$N$5" sel="1" val="0"/>
</file>

<file path=xl/ctrlProps/ctrlProp18.xml><?xml version="1.0" encoding="utf-8"?>
<formControlPr xmlns="http://schemas.microsoft.com/office/spreadsheetml/2009/9/main" objectType="GBox"/>
</file>

<file path=xl/ctrlProps/ctrlProp19.xml><?xml version="1.0" encoding="utf-8"?>
<formControlPr xmlns="http://schemas.microsoft.com/office/spreadsheetml/2009/9/main" objectType="Radio" checked="Checked" firstButton="1" fmlaLink="$F$2" lockText="1"/>
</file>

<file path=xl/ctrlProps/ctrlProp20.xml><?xml version="1.0" encoding="utf-8"?>
<formControlPr xmlns="http://schemas.microsoft.com/office/spreadsheetml/2009/9/main" objectType="Radio" lockText="1"/>
</file>

<file path=xl/ctrlProps/ctrlProp21.xml><?xml version="1.0" encoding="utf-8"?>
<formControlPr xmlns="http://schemas.microsoft.com/office/spreadsheetml/2009/9/main" objectType="Drop" dropLines="2" dropStyle="combo" dx="22" fmlaLink="$F$6" fmlaRange="$G$1:$G$2" sel="1" val="0"/>
</file>

<file path=xl/ctrlProps/ctrlProp22.xml><?xml version="1.0" encoding="utf-8"?>
<formControlPr xmlns="http://schemas.microsoft.com/office/spreadsheetml/2009/9/main" objectType="Drop" dropLines="2" dropStyle="combo" dx="22" fmlaLink="$F$6" fmlaRange="$V$1:$V$2" sel="1" val="0"/>
</file>

<file path=xl/ctrlProps/ctrlProp23.xml><?xml version="1.0" encoding="utf-8"?>
<formControlPr xmlns="http://schemas.microsoft.com/office/spreadsheetml/2009/9/main" objectType="GBox"/>
</file>

<file path=xl/ctrlProps/ctrlProp24.xml><?xml version="1.0" encoding="utf-8"?>
<formControlPr xmlns="http://schemas.microsoft.com/office/spreadsheetml/2009/9/main" objectType="Radio" checked="Checked" firstButton="1" fmlaLink="$F$2" lockText="1"/>
</file>

<file path=xl/ctrlProps/ctrlProp25.xml><?xml version="1.0" encoding="utf-8"?>
<formControlPr xmlns="http://schemas.microsoft.com/office/spreadsheetml/2009/9/main" objectType="Radio" lockText="1"/>
</file>

<file path=xl/ctrlProps/ctrlProp26.xml><?xml version="1.0" encoding="utf-8"?>
<formControlPr xmlns="http://schemas.microsoft.com/office/spreadsheetml/2009/9/main" objectType="Drop" dropLines="2" dropStyle="combo" dx="22" fmlaLink="$F$7" fmlaRange="$V$3:$V$4" sel="1" val="0"/>
</file>

<file path=xl/ctrlProps/ctrlProp27.xml><?xml version="1.0" encoding="utf-8"?>
<formControlPr xmlns="http://schemas.microsoft.com/office/spreadsheetml/2009/9/main" objectType="Drop" dropLines="4" dropStyle="combo" dx="22" fmlaLink="$F$6" fmlaRange="$AC$1:$AC$4" sel="3" val="0"/>
</file>

<file path=xl/ctrlProps/ctrlProp28.xml><?xml version="1.0" encoding="utf-8"?>
<formControlPr xmlns="http://schemas.microsoft.com/office/spreadsheetml/2009/9/main" objectType="Drop" dropLines="6" dropStyle="combo" dx="22" fmlaLink="$I$2" fmlaRange="$AP$2:$AP$7" sel="6" val="0"/>
</file>

<file path=xl/ctrlProps/ctrlProp29.xml><?xml version="1.0" encoding="utf-8"?>
<formControlPr xmlns="http://schemas.microsoft.com/office/spreadsheetml/2009/9/main" objectType="Drop" dropLines="9" dropStyle="combo" dx="22" fmlaLink="$J$2" fmlaRange="$AD$3:$AD$11" sel="5" val="0"/>
</file>

<file path=xl/ctrlProps/ctrlProp30.xml><?xml version="1.0" encoding="utf-8"?>
<formControlPr xmlns="http://schemas.microsoft.com/office/spreadsheetml/2009/9/main" objectType="Drop" dropLines="2" dropStyle="combo" dx="22" fmlaLink="$D$1" fmlaRange="$AP$8:$AP$9" sel="2" val="0"/>
</file>

<file path=xl/ctrlProps/ctrlProp31.xml><?xml version="1.0" encoding="utf-8"?>
<formControlPr xmlns="http://schemas.microsoft.com/office/spreadsheetml/2009/9/main" objectType="Drop" dropLines="3" dropStyle="combo" dx="22" fmlaLink="$F$6" fmlaRange="$Z$1:$Z$3" sel="1" val="0"/>
</file>

<file path=xl/ctrlProps/ctrlProp32.xml><?xml version="1.0" encoding="utf-8"?>
<formControlPr xmlns="http://schemas.microsoft.com/office/spreadsheetml/2009/9/main" objectType="Drop" dropLines="3" dropStyle="combo" dx="22" fmlaLink="$F$6" fmlaRange="$Z$1:$Z$3" sel="1" val="0"/>
</file>

<file path=xl/ctrlProps/ctrlProp33.xml><?xml version="1.0" encoding="utf-8"?>
<formControlPr xmlns="http://schemas.microsoft.com/office/spreadsheetml/2009/9/main" objectType="Drop" dropLines="3" dropStyle="combo" dx="22" fmlaLink="$F$6" fmlaRange="$Z$1:$Z$3" sel="2" val="0"/>
</file>

<file path=xl/ctrlProps/ctrlProp34.xml><?xml version="1.0" encoding="utf-8"?>
<formControlPr xmlns="http://schemas.microsoft.com/office/spreadsheetml/2009/9/main" objectType="Drop" dropLines="3" dropStyle="combo" dx="22" fmlaLink="$F$6" fmlaRange="$Z$1:$Z$3" sel="3" val="0"/>
</file>

<file path=xl/ctrlProps/ctrlProp35.xml><?xml version="1.0" encoding="utf-8"?>
<formControlPr xmlns="http://schemas.microsoft.com/office/spreadsheetml/2009/9/main" objectType="Radio" checked="Checked" firstButton="1" fmlaLink="$G$2" lockText="1"/>
</file>

<file path=xl/ctrlProps/ctrlProp36.xml><?xml version="1.0" encoding="utf-8"?>
<formControlPr xmlns="http://schemas.microsoft.com/office/spreadsheetml/2009/9/main" objectType="Radio" lockText="1"/>
</file>

<file path=xl/ctrlProps/ctrlProp37.xml><?xml version="1.0" encoding="utf-8"?>
<formControlPr xmlns="http://schemas.microsoft.com/office/spreadsheetml/2009/9/main" objectType="Radio" checked="Checked" firstButton="1" fmlaLink="$G$2" lockText="1"/>
</file>

<file path=xl/ctrlProps/ctrlProp38.xml><?xml version="1.0" encoding="utf-8"?>
<formControlPr xmlns="http://schemas.microsoft.com/office/spreadsheetml/2009/9/main" objectType="Radio" lockText="1"/>
</file>

<file path=xl/ctrlProps/ctrlProp39.xml><?xml version="1.0" encoding="utf-8"?>
<formControlPr xmlns="http://schemas.microsoft.com/office/spreadsheetml/2009/9/main" objectType="Radio" checked="Checked" firstButton="1" fmlaLink="$G$2" lockText="1"/>
</file>

<file path=xl/ctrlProps/ctrlProp40.xml><?xml version="1.0" encoding="utf-8"?>
<formControlPr xmlns="http://schemas.microsoft.com/office/spreadsheetml/2009/9/main" objectType="Radio" lockText="1"/>
</file>

<file path=xl/ctrlProps/ctrlProp41.xml><?xml version="1.0" encoding="utf-8"?>
<formControlPr xmlns="http://schemas.microsoft.com/office/spreadsheetml/2009/9/main" objectType="Radio" firstButton="1" fmlaLink="$F$7" lockText="1"/>
</file>

<file path=xl/ctrlProps/ctrlProp42.xml><?xml version="1.0" encoding="utf-8"?>
<formControlPr xmlns="http://schemas.microsoft.com/office/spreadsheetml/2009/9/main" objectType="Radio" checked="Checked" lockText="1"/>
</file>

<file path=xl/ctrlProps/ctrlProp43.xml><?xml version="1.0" encoding="utf-8"?>
<formControlPr xmlns="http://schemas.microsoft.com/office/spreadsheetml/2009/9/main" objectType="Drop" dropLines="3" dropStyle="combo" dx="22" fmlaLink="$F$6" fmlaRange="$Z$1:$Z$3" sel="2" val="0"/>
</file>

<file path=xl/ctrlProps/ctrlProp44.xml><?xml version="1.0" encoding="utf-8"?>
<formControlPr xmlns="http://schemas.microsoft.com/office/spreadsheetml/2009/9/main" objectType="Drop" dropLines="2" dropStyle="combo" dx="22" fmlaLink="$F$5" fmlaRange="$Z$1:$Z$2" sel="1" val="0"/>
</file>

<file path=xl/ctrlProps/ctrlProp45.xml><?xml version="1.0" encoding="utf-8"?>
<formControlPr xmlns="http://schemas.microsoft.com/office/spreadsheetml/2009/9/main" objectType="Drop" dropLines="6" dropStyle="combo" dx="22" fmlaLink="$F$6" fmlaRange="$Z$1:$Z$6" sel="2" val="0"/>
</file>

<file path=xl/ctrlProps/ctrlProp46.xml><?xml version="1.0" encoding="utf-8"?>
<formControlPr xmlns="http://schemas.microsoft.com/office/spreadsheetml/2009/9/main" objectType="Radio" checked="Checked" firstButton="1" fmlaLink="$F$5" lockText="1"/>
</file>

<file path=xl/ctrlProps/ctrlProp47.xml><?xml version="1.0" encoding="utf-8"?>
<formControlPr xmlns="http://schemas.microsoft.com/office/spreadsheetml/2009/9/main" objectType="Radio" lockText="1"/>
</file>

<file path=xl/ctrlProps/ctrlProp48.xml><?xml version="1.0" encoding="utf-8"?>
<formControlPr xmlns="http://schemas.microsoft.com/office/spreadsheetml/2009/9/main" objectType="Radio" checked="Checked" firstButton="1" fmlaLink="$F$5" lockText="1"/>
</file>

<file path=xl/ctrlProps/ctrlProp49.xml><?xml version="1.0" encoding="utf-8"?>
<formControlPr xmlns="http://schemas.microsoft.com/office/spreadsheetml/2009/9/main" objectType="Radio" lockText="1"/>
</file>

<file path=xl/ctrlProps/ctrlProp50.xml><?xml version="1.0" encoding="utf-8"?>
<formControlPr xmlns="http://schemas.microsoft.com/office/spreadsheetml/2009/9/main" objectType="GBox"/>
</file>

<file path=xl/ctrlProps/ctrlProp51.xml><?xml version="1.0" encoding="utf-8"?>
<formControlPr xmlns="http://schemas.microsoft.com/office/spreadsheetml/2009/9/main" objectType="Radio" checked="Checked" firstButton="1" fmlaLink="$G$3" lockText="1"/>
</file>

<file path=xl/ctrlProps/ctrlProp52.xml><?xml version="1.0" encoding="utf-8"?>
<formControlPr xmlns="http://schemas.microsoft.com/office/spreadsheetml/2009/9/main" objectType="Radio" lockText="1"/>
</file>

<file path=xl/ctrlProps/ctrlProp53.xml><?xml version="1.0" encoding="utf-8"?>
<formControlPr xmlns="http://schemas.microsoft.com/office/spreadsheetml/2009/9/main" objectType="GBox"/>
</file>

<file path=xl/ctrlProps/ctrlProp54.xml><?xml version="1.0" encoding="utf-8"?>
<formControlPr xmlns="http://schemas.microsoft.com/office/spreadsheetml/2009/9/main" objectType="Radio" checked="Checked" firstButton="1" fmlaLink="$G$3" lockText="1"/>
</file>

<file path=xl/ctrlProps/ctrlProp55.xml><?xml version="1.0" encoding="utf-8"?>
<formControlPr xmlns="http://schemas.microsoft.com/office/spreadsheetml/2009/9/main" objectType="Radio" lockText="1"/>
</file>

<file path=xl/ctrlProps/ctrlProp56.xml><?xml version="1.0" encoding="utf-8"?>
<formControlPr xmlns="http://schemas.microsoft.com/office/spreadsheetml/2009/9/main" objectType="GBox"/>
</file>

<file path=xl/ctrlProps/ctrlProp57.xml><?xml version="1.0" encoding="utf-8"?>
<formControlPr xmlns="http://schemas.microsoft.com/office/spreadsheetml/2009/9/main" objectType="Radio" checked="Checked" firstButton="1" fmlaLink="$F$2" lockText="1"/>
</file>

<file path=xl/ctrlProps/ctrlProp58.xml><?xml version="1.0" encoding="utf-8"?>
<formControlPr xmlns="http://schemas.microsoft.com/office/spreadsheetml/2009/9/main" objectType="Radio" lockText="1"/>
</file>

<file path=xl/ctrlProps/ctrlProp59.xml><?xml version="1.0" encoding="utf-8"?>
<formControlPr xmlns="http://schemas.microsoft.com/office/spreadsheetml/2009/9/main" objectType="GBox"/>
</file>

<file path=xl/ctrlProps/ctrlProp60.xml><?xml version="1.0" encoding="utf-8"?>
<formControlPr xmlns="http://schemas.microsoft.com/office/spreadsheetml/2009/9/main" objectType="Radio" checked="Checked" firstButton="1" fmlaLink="$F$2" lockText="1"/>
</file>

<file path=xl/ctrlProps/ctrlProp61.xml><?xml version="1.0" encoding="utf-8"?>
<formControlPr xmlns="http://schemas.microsoft.com/office/spreadsheetml/2009/9/main" objectType="Radio" lockText="1"/>
</file>

<file path=xl/ctrlProps/ctrlProp62.xml><?xml version="1.0" encoding="utf-8"?>
<formControlPr xmlns="http://schemas.microsoft.com/office/spreadsheetml/2009/9/main" objectType="Drop" dropStyle="combo" dx="22" fmlaLink="$F$5" fmlaRange="$G$4:$G$7" sel="1" val="0"/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</xdr:row>
          <xdr:rowOff>0</xdr:rowOff>
        </xdr:from>
        <xdr:to>
          <xdr:col>4</xdr:col>
          <xdr:colOff>0</xdr:colOff>
          <xdr:row>3</xdr:row>
          <xdr:rowOff>0</xdr:rowOff>
        </xdr:to>
        <xdr:sp macro="" textlink="">
          <xdr:nvSpPr>
            <xdr:cNvPr id="32771" name="Drop Down 3" hidden="1">
              <a:extLst>
                <a:ext uri="{63B3BB69-23CF-44E3-9099-C40C66FF867C}">
                  <a14:compatExt spid="_x0000_s32771"/>
                </a:ext>
                <a:ext uri="{FF2B5EF4-FFF2-40B4-BE49-F238E27FC236}">
                  <a16:creationId xmlns:a16="http://schemas.microsoft.com/office/drawing/2014/main" id="{00000000-0008-0000-0000-0000038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66676</xdr:colOff>
          <xdr:row>0</xdr:row>
          <xdr:rowOff>92448</xdr:rowOff>
        </xdr:from>
        <xdr:to>
          <xdr:col>12</xdr:col>
          <xdr:colOff>242608</xdr:colOff>
          <xdr:row>5</xdr:row>
          <xdr:rowOff>44263</xdr:rowOff>
        </xdr:to>
        <xdr:grpSp>
          <xdr:nvGrpSpPr>
            <xdr:cNvPr id="49301" name="Group 8">
              <a:extLst>
                <a:ext uri="{FF2B5EF4-FFF2-40B4-BE49-F238E27FC236}">
                  <a16:creationId xmlns:a16="http://schemas.microsoft.com/office/drawing/2014/main" id="{00000000-0008-0000-0600-000095C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742705" y="92448"/>
              <a:ext cx="971550" cy="1162050"/>
              <a:chOff x="594" y="38"/>
              <a:chExt cx="102" cy="122"/>
            </a:xfrm>
          </xdr:grpSpPr>
          <xdr:sp macro="" textlink="">
            <xdr:nvSpPr>
              <xdr:cNvPr id="49154" name="Group Box 2" hidden="1">
                <a:extLst>
                  <a:ext uri="{63B3BB69-23CF-44E3-9099-C40C66FF867C}">
                    <a14:compatExt spid="_x0000_s49154"/>
                  </a:ext>
                  <a:ext uri="{FF2B5EF4-FFF2-40B4-BE49-F238E27FC236}">
                    <a16:creationId xmlns:a16="http://schemas.microsoft.com/office/drawing/2014/main" id="{00000000-0008-0000-0500-000002C00000}"/>
                  </a:ext>
                </a:extLst>
              </xdr:cNvPr>
              <xdr:cNvSpPr/>
            </xdr:nvSpPr>
            <xdr:spPr bwMode="auto">
              <a:xfrm>
                <a:off x="594" y="38"/>
                <a:ext cx="102" cy="1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49302" name="Group 7">
                <a:extLst>
                  <a:ext uri="{FF2B5EF4-FFF2-40B4-BE49-F238E27FC236}">
                    <a16:creationId xmlns:a16="http://schemas.microsoft.com/office/drawing/2014/main" id="{00000000-0008-0000-0600-000096C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6" y="58"/>
                <a:ext cx="77" cy="84"/>
                <a:chOff x="606" y="58"/>
                <a:chExt cx="77" cy="84"/>
              </a:xfrm>
            </xdr:grpSpPr>
            <xdr:sp macro="" textlink="">
              <xdr:nvSpPr>
                <xdr:cNvPr id="49156" name="Option Button 4" hidden="1">
                  <a:extLst>
                    <a:ext uri="{63B3BB69-23CF-44E3-9099-C40C66FF867C}">
                      <a14:compatExt spid="_x0000_s49156"/>
                    </a:ext>
                    <a:ext uri="{FF2B5EF4-FFF2-40B4-BE49-F238E27FC236}">
                      <a16:creationId xmlns:a16="http://schemas.microsoft.com/office/drawing/2014/main" id="{00000000-0008-0000-0500-000004C00000}"/>
                    </a:ext>
                  </a:extLst>
                </xdr:cNvPr>
                <xdr:cNvSpPr/>
              </xdr:nvSpPr>
              <xdr:spPr bwMode="auto">
                <a:xfrm>
                  <a:off x="606" y="58"/>
                  <a:ext cx="77" cy="4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49157" name="Option Button 5" hidden="1">
                  <a:extLst>
                    <a:ext uri="{63B3BB69-23CF-44E3-9099-C40C66FF867C}">
                      <a14:compatExt spid="_x0000_s49157"/>
                    </a:ext>
                    <a:ext uri="{FF2B5EF4-FFF2-40B4-BE49-F238E27FC236}">
                      <a16:creationId xmlns:a16="http://schemas.microsoft.com/office/drawing/2014/main" id="{00000000-0008-0000-0500-000005C00000}"/>
                    </a:ext>
                  </a:extLst>
                </xdr:cNvPr>
                <xdr:cNvSpPr/>
              </xdr:nvSpPr>
              <xdr:spPr bwMode="auto">
                <a:xfrm>
                  <a:off x="606" y="98"/>
                  <a:ext cx="77" cy="44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거리</a:t>
                  </a:r>
                </a:p>
              </xdr:txBody>
            </xdr:sp>
          </xdr:grpSp>
        </xdr:grp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0</xdr:row>
          <xdr:rowOff>209550</xdr:rowOff>
        </xdr:from>
        <xdr:to>
          <xdr:col>10</xdr:col>
          <xdr:colOff>9525</xdr:colOff>
          <xdr:row>1</xdr:row>
          <xdr:rowOff>228600</xdr:rowOff>
        </xdr:to>
        <xdr:sp macro="" textlink="">
          <xdr:nvSpPr>
            <xdr:cNvPr id="58369" name="Drop Down 1" hidden="1">
              <a:extLst>
                <a:ext uri="{63B3BB69-23CF-44E3-9099-C40C66FF867C}">
                  <a14:compatExt spid="_x0000_s58369"/>
                </a:ext>
                <a:ext uri="{FF2B5EF4-FFF2-40B4-BE49-F238E27FC236}">
                  <a16:creationId xmlns:a16="http://schemas.microsoft.com/office/drawing/2014/main" id="{00000000-0008-0000-0E00-000001E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</xdr:colOff>
          <xdr:row>0</xdr:row>
          <xdr:rowOff>209550</xdr:rowOff>
        </xdr:from>
        <xdr:to>
          <xdr:col>10</xdr:col>
          <xdr:colOff>9525</xdr:colOff>
          <xdr:row>1</xdr:row>
          <xdr:rowOff>228600</xdr:rowOff>
        </xdr:to>
        <xdr:sp macro="" textlink="">
          <xdr:nvSpPr>
            <xdr:cNvPr id="59395" name="Drop Down 3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0F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172302</xdr:colOff>
          <xdr:row>0</xdr:row>
          <xdr:rowOff>-227860</xdr:rowOff>
        </xdr:from>
        <xdr:to>
          <xdr:col>11</xdr:col>
          <xdr:colOff>78441</xdr:colOff>
          <xdr:row>8</xdr:row>
          <xdr:rowOff>211230</xdr:rowOff>
        </xdr:to>
        <xdr:grpSp>
          <xdr:nvGrpSpPr>
            <xdr:cNvPr id="23907" name="Group 37">
              <a:extLst>
                <a:ext uri="{FF2B5EF4-FFF2-40B4-BE49-F238E27FC236}">
                  <a16:creationId xmlns:a16="http://schemas.microsoft.com/office/drawing/2014/main" id="{00000000-0008-0000-1C00-0000635D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172302" y="-227860"/>
              <a:ext cx="7806286" cy="2321678"/>
              <a:chOff x="0" y="0"/>
              <a:chExt cx="7806286" cy="2321678"/>
            </a:xfrm>
          </xdr:grpSpPr>
          <xdr:sp macro="" textlink="">
            <xdr:nvSpPr>
              <xdr:cNvPr id="23583" name="Group Box 31" hidden="1">
                <a:extLst>
                  <a:ext uri="{63B3BB69-23CF-44E3-9099-C40C66FF867C}">
                    <a14:compatExt spid="_x0000_s23583"/>
                  </a:ext>
                  <a:ext uri="{FF2B5EF4-FFF2-40B4-BE49-F238E27FC236}">
                    <a16:creationId xmlns:a16="http://schemas.microsoft.com/office/drawing/2014/main" id="{00000000-0008-0000-1600-00001F5C0000}"/>
                  </a:ext>
                </a:extLst>
              </xdr:cNvPr>
              <xdr:cNvSpPr/>
            </xdr:nvSpPr>
            <xdr:spPr bwMode="auto">
              <a:xfrm>
                <a:off x="6076658" y="744451"/>
                <a:ext cx="1729628" cy="1577227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환지방식 선택</a:t>
                </a:r>
              </a:p>
            </xdr:txBody>
          </xdr:sp>
          <xdr:grpSp>
            <xdr:nvGrpSpPr>
              <xdr:cNvPr id="23908" name="Group 36">
                <a:extLst>
                  <a:ext uri="{FF2B5EF4-FFF2-40B4-BE49-F238E27FC236}">
                    <a16:creationId xmlns:a16="http://schemas.microsoft.com/office/drawing/2014/main" id="{00000000-0008-0000-1C00-0000645D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0" y="0"/>
                <a:ext cx="0" cy="0"/>
                <a:chOff x="0" y="0"/>
                <a:chExt cx="0" cy="0"/>
              </a:xfrm>
            </xdr:grpSpPr>
          </xdr:grp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133350</xdr:colOff>
          <xdr:row>2</xdr:row>
          <xdr:rowOff>180975</xdr:rowOff>
        </xdr:from>
        <xdr:to>
          <xdr:col>10</xdr:col>
          <xdr:colOff>533400</xdr:colOff>
          <xdr:row>8</xdr:row>
          <xdr:rowOff>85725</xdr:rowOff>
        </xdr:to>
        <xdr:grpSp>
          <xdr:nvGrpSpPr>
            <xdr:cNvPr id="23587" name="Group 35">
              <a:extLst>
                <a:ext uri="{FF2B5EF4-FFF2-40B4-BE49-F238E27FC236}">
                  <a16:creationId xmlns:a16="http://schemas.microsoft.com/office/drawing/2014/main" id="{00000000-0008-0000-1600-0000235C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6352615" y="718857"/>
              <a:ext cx="1520638" cy="1249456"/>
              <a:chOff x="667" y="75"/>
              <a:chExt cx="160" cy="134"/>
            </a:xfrm>
          </xdr:grpSpPr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133350</xdr:colOff>
          <xdr:row>3</xdr:row>
          <xdr:rowOff>1681</xdr:rowOff>
        </xdr:from>
        <xdr:to>
          <xdr:col>10</xdr:col>
          <xdr:colOff>533400</xdr:colOff>
          <xdr:row>8</xdr:row>
          <xdr:rowOff>85725</xdr:rowOff>
        </xdr:to>
        <xdr:grpSp>
          <xdr:nvGrpSpPr>
            <xdr:cNvPr id="3" name="그룹 2">
              <a:extLst>
                <a:ext uri="{FF2B5EF4-FFF2-40B4-BE49-F238E27FC236}">
                  <a16:creationId xmlns:a16="http://schemas.microsoft.com/office/drawing/2014/main" id="{00000000-0008-0000-1600-000003000000}"/>
                </a:ext>
              </a:extLst>
            </xdr:cNvPr>
            <xdr:cNvGrpSpPr/>
          </xdr:nvGrpSpPr>
          <xdr:grpSpPr>
            <a:xfrm>
              <a:off x="6352615" y="763681"/>
              <a:ext cx="1520638" cy="1204632"/>
              <a:chOff x="6352615" y="763681"/>
              <a:chExt cx="1520638" cy="1204632"/>
            </a:xfrm>
          </xdr:grpSpPr>
          <xdr:sp macro="" textlink="">
            <xdr:nvSpPr>
              <xdr:cNvPr id="23584" name="Option Button 32" hidden="1">
                <a:extLst>
                  <a:ext uri="{63B3BB69-23CF-44E3-9099-C40C66FF867C}">
                    <a14:compatExt spid="_x0000_s23584"/>
                  </a:ext>
                  <a:ext uri="{FF2B5EF4-FFF2-40B4-BE49-F238E27FC236}">
                    <a16:creationId xmlns:a16="http://schemas.microsoft.com/office/drawing/2014/main" id="{00000000-0008-0000-1600-0000205C0000}"/>
                  </a:ext>
                </a:extLst>
              </xdr:cNvPr>
              <xdr:cNvSpPr/>
            </xdr:nvSpPr>
            <xdr:spPr bwMode="auto">
              <a:xfrm>
                <a:off x="6357097" y="763681"/>
                <a:ext cx="1516156" cy="419660"/>
              </a:xfrm>
              <a:prstGeom prst="rect">
                <a:avLst/>
              </a:prstGeom>
              <a:solidFill>
                <a:srgbClr val="CCFFCC" mc:Ignorable="a14" a14:legacySpreadsheetColorIndex="42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비례평가식 환지계산</a:t>
                </a:r>
              </a:p>
            </xdr:txBody>
          </xdr:sp>
          <xdr:sp macro="" textlink="">
            <xdr:nvSpPr>
              <xdr:cNvPr id="23585" name="Option Button 33" hidden="1">
                <a:extLst>
                  <a:ext uri="{63B3BB69-23CF-44E3-9099-C40C66FF867C}">
                    <a14:compatExt spid="_x0000_s23585"/>
                  </a:ext>
                  <a:ext uri="{FF2B5EF4-FFF2-40B4-BE49-F238E27FC236}">
                    <a16:creationId xmlns:a16="http://schemas.microsoft.com/office/drawing/2014/main" id="{00000000-0008-0000-1600-0000215C0000}"/>
                  </a:ext>
                </a:extLst>
              </xdr:cNvPr>
              <xdr:cNvSpPr/>
            </xdr:nvSpPr>
            <xdr:spPr bwMode="auto">
              <a:xfrm>
                <a:off x="6352615" y="1160930"/>
                <a:ext cx="1520638" cy="410135"/>
              </a:xfrm>
              <a:prstGeom prst="rect">
                <a:avLst/>
              </a:prstGeom>
              <a:solidFill>
                <a:srgbClr val="CCFFCC" mc:Ignorable="a14" a14:legacySpreadsheetColorIndex="42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절충식 환지계산</a:t>
                </a:r>
              </a:p>
            </xdr:txBody>
          </xdr:sp>
          <xdr:sp macro="" textlink="">
            <xdr:nvSpPr>
              <xdr:cNvPr id="23586" name="Option Button 34" hidden="1">
                <a:extLst>
                  <a:ext uri="{63B3BB69-23CF-44E3-9099-C40C66FF867C}">
                    <a14:compatExt spid="_x0000_s23586"/>
                  </a:ext>
                  <a:ext uri="{FF2B5EF4-FFF2-40B4-BE49-F238E27FC236}">
                    <a16:creationId xmlns:a16="http://schemas.microsoft.com/office/drawing/2014/main" id="{00000000-0008-0000-1600-0000225C0000}"/>
                  </a:ext>
                </a:extLst>
              </xdr:cNvPr>
              <xdr:cNvSpPr/>
            </xdr:nvSpPr>
            <xdr:spPr bwMode="auto">
              <a:xfrm>
                <a:off x="6352615" y="1548653"/>
                <a:ext cx="1520638" cy="419660"/>
              </a:xfrm>
              <a:prstGeom prst="rect">
                <a:avLst/>
              </a:prstGeom>
              <a:solidFill>
                <a:srgbClr val="CCFFCC" mc:Ignorable="a14" a14:legacySpreadsheetColorIndex="42"/>
              </a:solidFill>
              <a:ln>
                <a:noFill/>
              </a:ln>
              <a:extLs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 면적식 환지계산</a:t>
                </a:r>
              </a:p>
            </xdr:txBody>
          </xdr:sp>
        </xdr:grp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304800</xdr:colOff>
          <xdr:row>6</xdr:row>
          <xdr:rowOff>38100</xdr:rowOff>
        </xdr:from>
        <xdr:to>
          <xdr:col>9</xdr:col>
          <xdr:colOff>676275</xdr:colOff>
          <xdr:row>7</xdr:row>
          <xdr:rowOff>47625</xdr:rowOff>
        </xdr:to>
        <xdr:sp macro="" textlink="">
          <xdr:nvSpPr>
            <xdr:cNvPr id="290819" name="Drop Down 3" hidden="1">
              <a:extLst>
                <a:ext uri="{63B3BB69-23CF-44E3-9099-C40C66FF867C}">
                  <a14:compatExt spid="_x0000_s290819"/>
                </a:ext>
                <a:ext uri="{FF2B5EF4-FFF2-40B4-BE49-F238E27FC236}">
                  <a16:creationId xmlns:a16="http://schemas.microsoft.com/office/drawing/2014/main" id="{00000000-0008-0000-1800-00000370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295275</xdr:colOff>
          <xdr:row>6</xdr:row>
          <xdr:rowOff>266700</xdr:rowOff>
        </xdr:from>
        <xdr:to>
          <xdr:col>6</xdr:col>
          <xdr:colOff>19050</xdr:colOff>
          <xdr:row>7</xdr:row>
          <xdr:rowOff>285750</xdr:rowOff>
        </xdr:to>
        <xdr:sp macro="" textlink="">
          <xdr:nvSpPr>
            <xdr:cNvPr id="70657" name="Drop Down 1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1A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248061</xdr:colOff>
          <xdr:row>0</xdr:row>
          <xdr:rowOff>136501</xdr:rowOff>
        </xdr:from>
        <xdr:to>
          <xdr:col>13</xdr:col>
          <xdr:colOff>836033</xdr:colOff>
          <xdr:row>6</xdr:row>
          <xdr:rowOff>132575</xdr:rowOff>
        </xdr:to>
        <xdr:grpSp>
          <xdr:nvGrpSpPr>
            <xdr:cNvPr id="78996" name="Group 2">
              <a:extLst>
                <a:ext uri="{FF2B5EF4-FFF2-40B4-BE49-F238E27FC236}">
                  <a16:creationId xmlns:a16="http://schemas.microsoft.com/office/drawing/2014/main" id="{00000000-0008-0000-2B00-00009434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8450767" y="136501"/>
              <a:ext cx="1428413" cy="1654545"/>
              <a:chOff x="792" y="60"/>
              <a:chExt cx="229" cy="125"/>
            </a:xfrm>
          </xdr:grpSpPr>
          <xdr:sp macro="" textlink="">
            <xdr:nvSpPr>
              <xdr:cNvPr id="78851" name="Group Box 3" hidden="1">
                <a:extLst>
                  <a:ext uri="{63B3BB69-23CF-44E3-9099-C40C66FF867C}">
                    <a14:compatExt spid="_x0000_s78851"/>
                  </a:ext>
                  <a:ext uri="{FF2B5EF4-FFF2-40B4-BE49-F238E27FC236}">
                    <a16:creationId xmlns:a16="http://schemas.microsoft.com/office/drawing/2014/main" id="{00000000-0008-0000-2200-000003340100}"/>
                  </a:ext>
                </a:extLst>
              </xdr:cNvPr>
              <xdr:cNvSpPr/>
            </xdr:nvSpPr>
            <xdr:spPr bwMode="auto">
              <a:xfrm>
                <a:off x="792" y="60"/>
                <a:ext cx="229" cy="125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사업방식 선택</a:t>
                </a:r>
              </a:p>
            </xdr:txBody>
          </xdr:sp>
          <xdr:grpSp>
            <xdr:nvGrpSpPr>
              <xdr:cNvPr id="78997" name="Group 4">
                <a:extLst>
                  <a:ext uri="{FF2B5EF4-FFF2-40B4-BE49-F238E27FC236}">
                    <a16:creationId xmlns:a16="http://schemas.microsoft.com/office/drawing/2014/main" id="{00000000-0008-0000-2B00-0000953401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807" y="76"/>
                <a:ext cx="200" cy="97"/>
                <a:chOff x="807" y="76"/>
                <a:chExt cx="200" cy="97"/>
              </a:xfrm>
            </xdr:grpSpPr>
            <xdr:sp macro="" textlink="">
              <xdr:nvSpPr>
                <xdr:cNvPr id="78853" name="Option Button 5" hidden="1">
                  <a:extLst>
                    <a:ext uri="{63B3BB69-23CF-44E3-9099-C40C66FF867C}">
                      <a14:compatExt spid="_x0000_s78853"/>
                    </a:ext>
                    <a:ext uri="{FF2B5EF4-FFF2-40B4-BE49-F238E27FC236}">
                      <a16:creationId xmlns:a16="http://schemas.microsoft.com/office/drawing/2014/main" id="{00000000-0008-0000-2200-000005340100}"/>
                    </a:ext>
                  </a:extLst>
                </xdr:cNvPr>
                <xdr:cNvSpPr/>
              </xdr:nvSpPr>
              <xdr:spPr bwMode="auto">
                <a:xfrm>
                  <a:off x="807" y="76"/>
                  <a:ext cx="200" cy="3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 관리처분 일반</a:t>
                  </a:r>
                </a:p>
              </xdr:txBody>
            </xdr:sp>
            <xdr:sp macro="" textlink="">
              <xdr:nvSpPr>
                <xdr:cNvPr id="78854" name="Option Button 6" hidden="1">
                  <a:extLst>
                    <a:ext uri="{63B3BB69-23CF-44E3-9099-C40C66FF867C}">
                      <a14:compatExt spid="_x0000_s78854"/>
                    </a:ext>
                    <a:ext uri="{FF2B5EF4-FFF2-40B4-BE49-F238E27FC236}">
                      <a16:creationId xmlns:a16="http://schemas.microsoft.com/office/drawing/2014/main" id="{00000000-0008-0000-2200-000006340100}"/>
                    </a:ext>
                  </a:extLst>
                </xdr:cNvPr>
                <xdr:cNvSpPr/>
              </xdr:nvSpPr>
              <xdr:spPr bwMode="auto">
                <a:xfrm>
                  <a:off x="807" y="109"/>
                  <a:ext cx="200" cy="32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소규모주택정비사업</a:t>
                  </a:r>
                </a:p>
              </xdr:txBody>
            </xdr:sp>
            <xdr:sp macro="" textlink="">
              <xdr:nvSpPr>
                <xdr:cNvPr id="78855" name="Option Button 7" hidden="1">
                  <a:extLst>
                    <a:ext uri="{63B3BB69-23CF-44E3-9099-C40C66FF867C}">
                      <a14:compatExt spid="_x0000_s78855"/>
                    </a:ext>
                    <a:ext uri="{FF2B5EF4-FFF2-40B4-BE49-F238E27FC236}">
                      <a16:creationId xmlns:a16="http://schemas.microsoft.com/office/drawing/2014/main" id="{00000000-0008-0000-2200-000007340100}"/>
                    </a:ext>
                  </a:extLst>
                </xdr:cNvPr>
                <xdr:cNvSpPr/>
              </xdr:nvSpPr>
              <xdr:spPr bwMode="auto">
                <a:xfrm>
                  <a:off x="807" y="140"/>
                  <a:ext cx="200" cy="3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 생활권계획</a:t>
                  </a:r>
                </a:p>
              </xdr:txBody>
            </xdr:sp>
          </xdr:grpSp>
        </xdr:grp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1895475</xdr:colOff>
          <xdr:row>0</xdr:row>
          <xdr:rowOff>180975</xdr:rowOff>
        </xdr:from>
        <xdr:to>
          <xdr:col>5</xdr:col>
          <xdr:colOff>657225</xdr:colOff>
          <xdr:row>1</xdr:row>
          <xdr:rowOff>200025</xdr:rowOff>
        </xdr:to>
        <xdr:sp macro="" textlink="">
          <xdr:nvSpPr>
            <xdr:cNvPr id="84993" name="Drop Down 1" hidden="1">
              <a:extLst>
                <a:ext uri="{63B3BB69-23CF-44E3-9099-C40C66FF867C}">
                  <a14:compatExt spid="_x0000_s84993"/>
                </a:ext>
                <a:ext uri="{FF2B5EF4-FFF2-40B4-BE49-F238E27FC236}">
                  <a16:creationId xmlns:a16="http://schemas.microsoft.com/office/drawing/2014/main" id="{00000000-0008-0000-2600-0000014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210671</xdr:colOff>
          <xdr:row>0</xdr:row>
          <xdr:rowOff>89086</xdr:rowOff>
        </xdr:from>
        <xdr:to>
          <xdr:col>6</xdr:col>
          <xdr:colOff>5043</xdr:colOff>
          <xdr:row>1</xdr:row>
          <xdr:rowOff>216833</xdr:rowOff>
        </xdr:to>
        <xdr:grpSp>
          <xdr:nvGrpSpPr>
            <xdr:cNvPr id="89239" name="Group 10">
              <a:extLst>
                <a:ext uri="{FF2B5EF4-FFF2-40B4-BE49-F238E27FC236}">
                  <a16:creationId xmlns:a16="http://schemas.microsoft.com/office/drawing/2014/main" id="{00000000-0008-0000-3300-0000975C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437965" y="89086"/>
              <a:ext cx="1609725" cy="419100"/>
              <a:chOff x="806" y="5"/>
              <a:chExt cx="169" cy="44"/>
            </a:xfrm>
          </xdr:grpSpPr>
          <xdr:sp macro="" textlink="">
            <xdr:nvSpPr>
              <xdr:cNvPr id="89090" name="Group Box 2" hidden="1">
                <a:extLst>
                  <a:ext uri="{63B3BB69-23CF-44E3-9099-C40C66FF867C}">
                    <a14:compatExt spid="_x0000_s89090"/>
                  </a:ext>
                  <a:ext uri="{FF2B5EF4-FFF2-40B4-BE49-F238E27FC236}">
                    <a16:creationId xmlns:a16="http://schemas.microsoft.com/office/drawing/2014/main" id="{00000000-0008-0000-2800-0000025C0100}"/>
                  </a:ext>
                </a:extLst>
              </xdr:cNvPr>
              <xdr:cNvSpPr/>
            </xdr:nvSpPr>
            <xdr:spPr bwMode="auto">
              <a:xfrm>
                <a:off x="806" y="5"/>
                <a:ext cx="169" cy="4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89240" name="Group 9">
                <a:extLst>
                  <a:ext uri="{FF2B5EF4-FFF2-40B4-BE49-F238E27FC236}">
                    <a16:creationId xmlns:a16="http://schemas.microsoft.com/office/drawing/2014/main" id="{00000000-0008-0000-3300-0000985C01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816" y="12"/>
                <a:ext cx="152" cy="33"/>
                <a:chOff x="816" y="12"/>
                <a:chExt cx="152" cy="33"/>
              </a:xfrm>
            </xdr:grpSpPr>
            <xdr:sp macro="" textlink="">
              <xdr:nvSpPr>
                <xdr:cNvPr id="89092" name="Option Button 4" hidden="1">
                  <a:extLst>
                    <a:ext uri="{63B3BB69-23CF-44E3-9099-C40C66FF867C}">
                      <a14:compatExt spid="_x0000_s89092"/>
                    </a:ext>
                    <a:ext uri="{FF2B5EF4-FFF2-40B4-BE49-F238E27FC236}">
                      <a16:creationId xmlns:a16="http://schemas.microsoft.com/office/drawing/2014/main" id="{00000000-0008-0000-2800-0000045C0100}"/>
                    </a:ext>
                  </a:extLst>
                </xdr:cNvPr>
                <xdr:cNvSpPr/>
              </xdr:nvSpPr>
              <xdr:spPr bwMode="auto">
                <a:xfrm>
                  <a:off x="816" y="12"/>
                  <a:ext cx="77" cy="3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89093" name="Option Button 5" hidden="1">
                  <a:extLst>
                    <a:ext uri="{63B3BB69-23CF-44E3-9099-C40C66FF867C}">
                      <a14:compatExt spid="_x0000_s89093"/>
                    </a:ext>
                    <a:ext uri="{FF2B5EF4-FFF2-40B4-BE49-F238E27FC236}">
                      <a16:creationId xmlns:a16="http://schemas.microsoft.com/office/drawing/2014/main" id="{00000000-0008-0000-2800-0000055C0100}"/>
                    </a:ext>
                  </a:extLst>
                </xdr:cNvPr>
                <xdr:cNvSpPr/>
              </xdr:nvSpPr>
              <xdr:spPr bwMode="auto">
                <a:xfrm>
                  <a:off x="891" y="12"/>
                  <a:ext cx="77" cy="31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계획거리</a:t>
                  </a:r>
                </a:p>
              </xdr:txBody>
            </xdr:sp>
          </xdr:grp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47625</xdr:colOff>
          <xdr:row>0</xdr:row>
          <xdr:rowOff>133350</xdr:rowOff>
        </xdr:from>
        <xdr:to>
          <xdr:col>11</xdr:col>
          <xdr:colOff>85725</xdr:colOff>
          <xdr:row>1</xdr:row>
          <xdr:rowOff>142875</xdr:rowOff>
        </xdr:to>
        <xdr:sp macro="" textlink="">
          <xdr:nvSpPr>
            <xdr:cNvPr id="89094" name="Drop Down 6" hidden="1">
              <a:extLst>
                <a:ext uri="{63B3BB69-23CF-44E3-9099-C40C66FF867C}">
                  <a14:compatExt spid="_x0000_s89094"/>
                </a:ext>
                <a:ext uri="{FF2B5EF4-FFF2-40B4-BE49-F238E27FC236}">
                  <a16:creationId xmlns:a16="http://schemas.microsoft.com/office/drawing/2014/main" id="{00000000-0008-0000-2800-0000065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266700</xdr:colOff>
          <xdr:row>0</xdr:row>
          <xdr:rowOff>44263</xdr:rowOff>
        </xdr:from>
        <xdr:to>
          <xdr:col>7</xdr:col>
          <xdr:colOff>61072</xdr:colOff>
          <xdr:row>1</xdr:row>
          <xdr:rowOff>172010</xdr:rowOff>
        </xdr:to>
        <xdr:grpSp>
          <xdr:nvGrpSpPr>
            <xdr:cNvPr id="90259" name="Group 1">
              <a:extLst>
                <a:ext uri="{FF2B5EF4-FFF2-40B4-BE49-F238E27FC236}">
                  <a16:creationId xmlns:a16="http://schemas.microsoft.com/office/drawing/2014/main" id="{00000000-0008-0000-3400-00009360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4099112" y="44263"/>
              <a:ext cx="1609725" cy="419100"/>
              <a:chOff x="806" y="5"/>
              <a:chExt cx="169" cy="44"/>
            </a:xfrm>
          </xdr:grpSpPr>
          <xdr:sp macro="" textlink="">
            <xdr:nvSpPr>
              <xdr:cNvPr id="90114" name="Group Box 2" hidden="1">
                <a:extLst>
                  <a:ext uri="{63B3BB69-23CF-44E3-9099-C40C66FF867C}">
                    <a14:compatExt spid="_x0000_s90114"/>
                  </a:ext>
                  <a:ext uri="{FF2B5EF4-FFF2-40B4-BE49-F238E27FC236}">
                    <a16:creationId xmlns:a16="http://schemas.microsoft.com/office/drawing/2014/main" id="{00000000-0008-0000-2900-000002600100}"/>
                  </a:ext>
                </a:extLst>
              </xdr:cNvPr>
              <xdr:cNvSpPr/>
            </xdr:nvSpPr>
            <xdr:spPr bwMode="auto">
              <a:xfrm>
                <a:off x="806" y="5"/>
                <a:ext cx="169" cy="4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90260" name="Group 3">
                <a:extLst>
                  <a:ext uri="{FF2B5EF4-FFF2-40B4-BE49-F238E27FC236}">
                    <a16:creationId xmlns:a16="http://schemas.microsoft.com/office/drawing/2014/main" id="{00000000-0008-0000-3400-0000946001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816" y="12"/>
                <a:ext cx="152" cy="33"/>
                <a:chOff x="816" y="12"/>
                <a:chExt cx="152" cy="33"/>
              </a:xfrm>
            </xdr:grpSpPr>
            <xdr:sp macro="" textlink="">
              <xdr:nvSpPr>
                <xdr:cNvPr id="90116" name="Option Button 4" hidden="1">
                  <a:extLst>
                    <a:ext uri="{63B3BB69-23CF-44E3-9099-C40C66FF867C}">
                      <a14:compatExt spid="_x0000_s90116"/>
                    </a:ext>
                    <a:ext uri="{FF2B5EF4-FFF2-40B4-BE49-F238E27FC236}">
                      <a16:creationId xmlns:a16="http://schemas.microsoft.com/office/drawing/2014/main" id="{00000000-0008-0000-2900-000004600100}"/>
                    </a:ext>
                  </a:extLst>
                </xdr:cNvPr>
                <xdr:cNvSpPr/>
              </xdr:nvSpPr>
              <xdr:spPr bwMode="auto">
                <a:xfrm>
                  <a:off x="816" y="12"/>
                  <a:ext cx="77" cy="3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90117" name="Option Button 5" hidden="1">
                  <a:extLst>
                    <a:ext uri="{63B3BB69-23CF-44E3-9099-C40C66FF867C}">
                      <a14:compatExt spid="_x0000_s90117"/>
                    </a:ext>
                    <a:ext uri="{FF2B5EF4-FFF2-40B4-BE49-F238E27FC236}">
                      <a16:creationId xmlns:a16="http://schemas.microsoft.com/office/drawing/2014/main" id="{00000000-0008-0000-2900-000005600100}"/>
                    </a:ext>
                  </a:extLst>
                </xdr:cNvPr>
                <xdr:cNvSpPr/>
              </xdr:nvSpPr>
              <xdr:spPr bwMode="auto">
                <a:xfrm>
                  <a:off x="891" y="12"/>
                  <a:ext cx="77" cy="31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거리</a:t>
                  </a:r>
                </a:p>
              </xdr:txBody>
            </xdr:sp>
          </xdr:grp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104775</xdr:colOff>
          <xdr:row>0</xdr:row>
          <xdr:rowOff>133350</xdr:rowOff>
        </xdr:from>
        <xdr:to>
          <xdr:col>11</xdr:col>
          <xdr:colOff>400050</xdr:colOff>
          <xdr:row>1</xdr:row>
          <xdr:rowOff>142875</xdr:rowOff>
        </xdr:to>
        <xdr:sp macro="" textlink="">
          <xdr:nvSpPr>
            <xdr:cNvPr id="90118" name="Drop Down 6" hidden="1">
              <a:extLst>
                <a:ext uri="{63B3BB69-23CF-44E3-9099-C40C66FF867C}">
                  <a14:compatExt spid="_x0000_s90118"/>
                </a:ext>
                <a:ext uri="{FF2B5EF4-FFF2-40B4-BE49-F238E27FC236}">
                  <a16:creationId xmlns:a16="http://schemas.microsoft.com/office/drawing/2014/main" id="{00000000-0008-0000-2900-000006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419100</xdr:colOff>
          <xdr:row>0</xdr:row>
          <xdr:rowOff>133350</xdr:rowOff>
        </xdr:from>
        <xdr:to>
          <xdr:col>16</xdr:col>
          <xdr:colOff>228600</xdr:colOff>
          <xdr:row>1</xdr:row>
          <xdr:rowOff>142875</xdr:rowOff>
        </xdr:to>
        <xdr:sp macro="" textlink="">
          <xdr:nvSpPr>
            <xdr:cNvPr id="90120" name="Drop Down 8" hidden="1">
              <a:extLst>
                <a:ext uri="{63B3BB69-23CF-44E3-9099-C40C66FF867C}">
                  <a14:compatExt spid="_x0000_s90120"/>
                </a:ext>
                <a:ext uri="{FF2B5EF4-FFF2-40B4-BE49-F238E27FC236}">
                  <a16:creationId xmlns:a16="http://schemas.microsoft.com/office/drawing/2014/main" id="{00000000-0008-0000-2900-0000086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2181225</xdr:colOff>
          <xdr:row>0</xdr:row>
          <xdr:rowOff>161925</xdr:rowOff>
        </xdr:from>
        <xdr:to>
          <xdr:col>7</xdr:col>
          <xdr:colOff>190500</xdr:colOff>
          <xdr:row>1</xdr:row>
          <xdr:rowOff>180975</xdr:rowOff>
        </xdr:to>
        <xdr:sp macro="" textlink="">
          <xdr:nvSpPr>
            <xdr:cNvPr id="93185" name="Drop Down 1" hidden="1">
              <a:extLst>
                <a:ext uri="{63B3BB69-23CF-44E3-9099-C40C66FF867C}">
                  <a14:compatExt spid="_x0000_s93185"/>
                </a:ext>
                <a:ext uri="{FF2B5EF4-FFF2-40B4-BE49-F238E27FC236}">
                  <a16:creationId xmlns:a16="http://schemas.microsoft.com/office/drawing/2014/main" id="{00000000-0008-0000-2B00-0000016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438150</xdr:colOff>
          <xdr:row>3</xdr:row>
          <xdr:rowOff>38100</xdr:rowOff>
        </xdr:from>
        <xdr:to>
          <xdr:col>9</xdr:col>
          <xdr:colOff>657225</xdr:colOff>
          <xdr:row>3</xdr:row>
          <xdr:rowOff>247650</xdr:rowOff>
        </xdr:to>
        <xdr:sp macro="" textlink="">
          <xdr:nvSpPr>
            <xdr:cNvPr id="95234" name="Drop Down 2" hidden="1">
              <a:extLst>
                <a:ext uri="{63B3BB69-23CF-44E3-9099-C40C66FF867C}">
                  <a14:compatExt spid="_x0000_s95234"/>
                </a:ext>
                <a:ext uri="{FF2B5EF4-FFF2-40B4-BE49-F238E27FC236}">
                  <a16:creationId xmlns:a16="http://schemas.microsoft.com/office/drawing/2014/main" id="{00000000-0008-0000-2C00-000002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447675</xdr:colOff>
          <xdr:row>4</xdr:row>
          <xdr:rowOff>57150</xdr:rowOff>
        </xdr:from>
        <xdr:to>
          <xdr:col>9</xdr:col>
          <xdr:colOff>676275</xdr:colOff>
          <xdr:row>4</xdr:row>
          <xdr:rowOff>266700</xdr:rowOff>
        </xdr:to>
        <xdr:sp macro="" textlink="">
          <xdr:nvSpPr>
            <xdr:cNvPr id="95235" name="Drop Down 3" hidden="1">
              <a:extLst>
                <a:ext uri="{63B3BB69-23CF-44E3-9099-C40C66FF867C}">
                  <a14:compatExt spid="_x0000_s95235"/>
                </a:ext>
                <a:ext uri="{FF2B5EF4-FFF2-40B4-BE49-F238E27FC236}">
                  <a16:creationId xmlns:a16="http://schemas.microsoft.com/office/drawing/2014/main" id="{00000000-0008-0000-2C00-000003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190500</xdr:rowOff>
        </xdr:from>
        <xdr:to>
          <xdr:col>5</xdr:col>
          <xdr:colOff>657225</xdr:colOff>
          <xdr:row>1</xdr:row>
          <xdr:rowOff>190500</xdr:rowOff>
        </xdr:to>
        <xdr:sp macro="" textlink="">
          <xdr:nvSpPr>
            <xdr:cNvPr id="95236" name="Drop Down 4" hidden="1">
              <a:extLst>
                <a:ext uri="{63B3BB69-23CF-44E3-9099-C40C66FF867C}">
                  <a14:compatExt spid="_x0000_s95236"/>
                </a:ext>
                <a:ext uri="{FF2B5EF4-FFF2-40B4-BE49-F238E27FC236}">
                  <a16:creationId xmlns:a16="http://schemas.microsoft.com/office/drawing/2014/main" id="{00000000-0008-0000-2C00-0000047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0</xdr:row>
          <xdr:rowOff>200025</xdr:rowOff>
        </xdr:from>
        <xdr:to>
          <xdr:col>10</xdr:col>
          <xdr:colOff>0</xdr:colOff>
          <xdr:row>1</xdr:row>
          <xdr:rowOff>228600</xdr:rowOff>
        </xdr:to>
        <xdr:sp macro="" textlink="">
          <xdr:nvSpPr>
            <xdr:cNvPr id="360449" name="Drop Down 1" hidden="1">
              <a:extLst>
                <a:ext uri="{63B3BB69-23CF-44E3-9099-C40C66FF867C}">
                  <a14:compatExt spid="_x0000_s360449"/>
                </a:ext>
                <a:ext uri="{FF2B5EF4-FFF2-40B4-BE49-F238E27FC236}">
                  <a16:creationId xmlns:a16="http://schemas.microsoft.com/office/drawing/2014/main" id="{00000000-0008-0000-2E00-00000180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0</xdr:row>
          <xdr:rowOff>200025</xdr:rowOff>
        </xdr:from>
        <xdr:to>
          <xdr:col>11</xdr:col>
          <xdr:colOff>228600</xdr:colOff>
          <xdr:row>1</xdr:row>
          <xdr:rowOff>228600</xdr:rowOff>
        </xdr:to>
        <xdr:sp macro="" textlink="">
          <xdr:nvSpPr>
            <xdr:cNvPr id="361473" name="Drop Down 1" hidden="1">
              <a:extLst>
                <a:ext uri="{63B3BB69-23CF-44E3-9099-C40C66FF867C}">
                  <a14:compatExt spid="_x0000_s361473"/>
                </a:ext>
                <a:ext uri="{FF2B5EF4-FFF2-40B4-BE49-F238E27FC236}">
                  <a16:creationId xmlns:a16="http://schemas.microsoft.com/office/drawing/2014/main" id="{00000000-0008-0000-2F00-0000018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0</xdr:row>
          <xdr:rowOff>200025</xdr:rowOff>
        </xdr:from>
        <xdr:to>
          <xdr:col>11</xdr:col>
          <xdr:colOff>228600</xdr:colOff>
          <xdr:row>1</xdr:row>
          <xdr:rowOff>228600</xdr:rowOff>
        </xdr:to>
        <xdr:sp macro="" textlink="">
          <xdr:nvSpPr>
            <xdr:cNvPr id="362497" name="Drop Down 1" hidden="1">
              <a:extLst>
                <a:ext uri="{63B3BB69-23CF-44E3-9099-C40C66FF867C}">
                  <a14:compatExt spid="_x0000_s362497"/>
                </a:ext>
                <a:ext uri="{FF2B5EF4-FFF2-40B4-BE49-F238E27FC236}">
                  <a16:creationId xmlns:a16="http://schemas.microsoft.com/office/drawing/2014/main" id="{00000000-0008-0000-3000-00000188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409575</xdr:colOff>
          <xdr:row>0</xdr:row>
          <xdr:rowOff>200025</xdr:rowOff>
        </xdr:from>
        <xdr:to>
          <xdr:col>11</xdr:col>
          <xdr:colOff>228600</xdr:colOff>
          <xdr:row>1</xdr:row>
          <xdr:rowOff>228600</xdr:rowOff>
        </xdr:to>
        <xdr:sp macro="" textlink="">
          <xdr:nvSpPr>
            <xdr:cNvPr id="363521" name="Drop Down 1" hidden="1">
              <a:extLst>
                <a:ext uri="{63B3BB69-23CF-44E3-9099-C40C66FF867C}">
                  <a14:compatExt spid="_x0000_s363521"/>
                </a:ext>
                <a:ext uri="{FF2B5EF4-FFF2-40B4-BE49-F238E27FC236}">
                  <a16:creationId xmlns:a16="http://schemas.microsoft.com/office/drawing/2014/main" id="{00000000-0008-0000-3100-0000018C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76200</xdr:rowOff>
    </xdr:from>
    <xdr:to>
      <xdr:col>9</xdr:col>
      <xdr:colOff>714375</xdr:colOff>
      <xdr:row>1</xdr:row>
      <xdr:rowOff>142875</xdr:rowOff>
    </xdr:to>
    <xdr:sp macro="" textlink="">
      <xdr:nvSpPr>
        <xdr:cNvPr id="105498" name="직사각형 1">
          <a:extLst>
            <a:ext uri="{FF2B5EF4-FFF2-40B4-BE49-F238E27FC236}">
              <a16:creationId xmlns:a16="http://schemas.microsoft.com/office/drawing/2014/main" id="{00000000-0008-0000-3F00-00001A9C0100}"/>
            </a:ext>
          </a:extLst>
        </xdr:cNvPr>
        <xdr:cNvSpPr>
          <a:spLocks noChangeArrowheads="1"/>
        </xdr:cNvSpPr>
      </xdr:nvSpPr>
      <xdr:spPr bwMode="auto">
        <a:xfrm>
          <a:off x="5623112" y="76200"/>
          <a:ext cx="2274234" cy="358028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542925</xdr:colOff>
          <xdr:row>0</xdr:row>
          <xdr:rowOff>123825</xdr:rowOff>
        </xdr:from>
        <xdr:to>
          <xdr:col>8</xdr:col>
          <xdr:colOff>152400</xdr:colOff>
          <xdr:row>1</xdr:row>
          <xdr:rowOff>66675</xdr:rowOff>
        </xdr:to>
        <xdr:sp macro="" textlink="">
          <xdr:nvSpPr>
            <xdr:cNvPr id="105477" name="Option Button 5" hidden="1">
              <a:extLst>
                <a:ext uri="{63B3BB69-23CF-44E3-9099-C40C66FF867C}">
                  <a14:compatExt spid="_x0000_s105477"/>
                </a:ext>
                <a:ext uri="{FF2B5EF4-FFF2-40B4-BE49-F238E27FC236}">
                  <a16:creationId xmlns:a16="http://schemas.microsoft.com/office/drawing/2014/main" id="{00000000-0008-0000-3300-0000059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난이도 보통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333375</xdr:colOff>
          <xdr:row>0</xdr:row>
          <xdr:rowOff>123825</xdr:rowOff>
        </xdr:from>
        <xdr:to>
          <xdr:col>9</xdr:col>
          <xdr:colOff>619125</xdr:colOff>
          <xdr:row>1</xdr:row>
          <xdr:rowOff>66675</xdr:rowOff>
        </xdr:to>
        <xdr:sp macro="" textlink="">
          <xdr:nvSpPr>
            <xdr:cNvPr id="105478" name="Option Button 6" hidden="1">
              <a:extLst>
                <a:ext uri="{63B3BB69-23CF-44E3-9099-C40C66FF867C}">
                  <a14:compatExt spid="_x0000_s105478"/>
                </a:ext>
                <a:ext uri="{FF2B5EF4-FFF2-40B4-BE49-F238E27FC236}">
                  <a16:creationId xmlns:a16="http://schemas.microsoft.com/office/drawing/2014/main" id="{00000000-0008-0000-3300-0000069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난이도 높음</a:t>
              </a:r>
            </a:p>
          </xdr:txBody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76200</xdr:rowOff>
    </xdr:from>
    <xdr:to>
      <xdr:col>9</xdr:col>
      <xdr:colOff>714375</xdr:colOff>
      <xdr:row>1</xdr:row>
      <xdr:rowOff>142875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3F00-00001A9C0100}"/>
            </a:ext>
          </a:extLst>
        </xdr:cNvPr>
        <xdr:cNvSpPr>
          <a:spLocks noChangeArrowheads="1"/>
        </xdr:cNvSpPr>
      </xdr:nvSpPr>
      <xdr:spPr bwMode="auto">
        <a:xfrm>
          <a:off x="5610225" y="76200"/>
          <a:ext cx="2286000" cy="352425"/>
        </a:xfrm>
        <a:prstGeom prst="rect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542925</xdr:colOff>
          <xdr:row>0</xdr:row>
          <xdr:rowOff>123825</xdr:rowOff>
        </xdr:from>
        <xdr:to>
          <xdr:col>8</xdr:col>
          <xdr:colOff>152400</xdr:colOff>
          <xdr:row>1</xdr:row>
          <xdr:rowOff>66675</xdr:rowOff>
        </xdr:to>
        <xdr:sp macro="" textlink="">
          <xdr:nvSpPr>
            <xdr:cNvPr id="381953" name="Option Button 1" hidden="1">
              <a:extLst>
                <a:ext uri="{63B3BB69-23CF-44E3-9099-C40C66FF867C}">
                  <a14:compatExt spid="_x0000_s381953"/>
                </a:ext>
                <a:ext uri="{FF2B5EF4-FFF2-40B4-BE49-F238E27FC236}">
                  <a16:creationId xmlns:a16="http://schemas.microsoft.com/office/drawing/2014/main" id="{00000000-0008-0000-3400-000001D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난이도 보통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333375</xdr:colOff>
          <xdr:row>0</xdr:row>
          <xdr:rowOff>123825</xdr:rowOff>
        </xdr:from>
        <xdr:to>
          <xdr:col>9</xdr:col>
          <xdr:colOff>619125</xdr:colOff>
          <xdr:row>1</xdr:row>
          <xdr:rowOff>66675</xdr:rowOff>
        </xdr:to>
        <xdr:sp macro="" textlink="">
          <xdr:nvSpPr>
            <xdr:cNvPr id="381954" name="Option Button 2" hidden="1">
              <a:extLst>
                <a:ext uri="{63B3BB69-23CF-44E3-9099-C40C66FF867C}">
                  <a14:compatExt spid="_x0000_s381954"/>
                </a:ext>
                <a:ext uri="{FF2B5EF4-FFF2-40B4-BE49-F238E27FC236}">
                  <a16:creationId xmlns:a16="http://schemas.microsoft.com/office/drawing/2014/main" id="{00000000-0008-0000-3400-000002D405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CCFFCC" mc:Ignorable="a14" a14:legacySpreadsheetColorIndex="42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ko-KR" altLang="en-US" sz="900" b="0" i="0" u="none" strike="noStrike" baseline="0">
                  <a:solidFill>
                    <a:srgbClr val="000000"/>
                  </a:solidFill>
                  <a:latin typeface="Malgun Gothic"/>
                  <a:ea typeface="Malgun Gothic"/>
                </a:rPr>
                <a:t>난이도 높음</a:t>
              </a:r>
            </a:p>
          </xdr:txBody>
        </xdr:sp>
        <xdr:clientData/>
      </xdr:twoCellAnchor>
    </mc:Choice>
    <mc:Fallback/>
  </mc:AlternateContent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109817</xdr:rowOff>
    </xdr:from>
    <xdr:to>
      <xdr:col>9</xdr:col>
      <xdr:colOff>714375</xdr:colOff>
      <xdr:row>1</xdr:row>
      <xdr:rowOff>176492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GrpSpPr/>
      </xdr:nvGrpSpPr>
      <xdr:grpSpPr>
        <a:xfrm>
          <a:off x="5623112" y="109817"/>
          <a:ext cx="2274234" cy="358028"/>
          <a:chOff x="5623112" y="76200"/>
          <a:chExt cx="2274234" cy="358028"/>
        </a:xfrm>
      </xdr:grpSpPr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00000000-0008-0000-3F00-00001A9C0100}"/>
              </a:ext>
            </a:extLst>
          </xdr:cNvPr>
          <xdr:cNvSpPr>
            <a:spLocks noChangeArrowheads="1"/>
          </xdr:cNvSpPr>
        </xdr:nvSpPr>
        <xdr:spPr bwMode="auto">
          <a:xfrm>
            <a:off x="5623112" y="76200"/>
            <a:ext cx="2274234" cy="358028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28033" name="Option Button 1" hidden="1">
                <a:extLst>
                  <a:ext uri="{63B3BB69-23CF-44E3-9099-C40C66FF867C}">
                    <a14:compatExt spid="_x0000_s428033"/>
                  </a:ext>
                  <a:ext uri="{FF2B5EF4-FFF2-40B4-BE49-F238E27FC236}">
                    <a16:creationId xmlns:a16="http://schemas.microsoft.com/office/drawing/2014/main" id="{00000000-0008-0000-3500-000001880600}"/>
                  </a:ext>
                </a:extLst>
              </xdr:cNvPr>
              <xdr:cNvSpPr/>
            </xdr:nvSpPr>
            <xdr:spPr bwMode="auto">
              <a:xfrm>
                <a:off x="5676900" y="147358"/>
                <a:ext cx="96202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FFCC" mc:Ignorable="a14" a14:legacySpreadsheetColorIndex="42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난이도 보통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28034" name="Option Button 2" hidden="1">
                <a:extLst>
                  <a:ext uri="{63B3BB69-23CF-44E3-9099-C40C66FF867C}">
                    <a14:compatExt spid="_x0000_s428034"/>
                  </a:ext>
                  <a:ext uri="{FF2B5EF4-FFF2-40B4-BE49-F238E27FC236}">
                    <a16:creationId xmlns:a16="http://schemas.microsoft.com/office/drawing/2014/main" id="{00000000-0008-0000-3500-000002880600}"/>
                  </a:ext>
                </a:extLst>
              </xdr:cNvPr>
              <xdr:cNvSpPr/>
            </xdr:nvSpPr>
            <xdr:spPr bwMode="auto">
              <a:xfrm>
                <a:off x="6819900" y="147358"/>
                <a:ext cx="981075" cy="2095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FFCC" mc:Ignorable="a14" a14:legacySpreadsheetColorIndex="42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난이도 높음</a:t>
                </a:r>
              </a:p>
            </xdr:txBody>
          </xdr:sp>
        </mc:Choice>
        <mc:Fallback/>
      </mc:AlternateContent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457200</xdr:colOff>
      <xdr:row>0</xdr:row>
      <xdr:rowOff>109817</xdr:rowOff>
    </xdr:from>
    <xdr:to>
      <xdr:col>10</xdr:col>
      <xdr:colOff>0</xdr:colOff>
      <xdr:row>1</xdr:row>
      <xdr:rowOff>176492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GrpSpPr/>
      </xdr:nvGrpSpPr>
      <xdr:grpSpPr>
        <a:xfrm>
          <a:off x="5623112" y="109817"/>
          <a:ext cx="2277035" cy="358028"/>
          <a:chOff x="5623112" y="109817"/>
          <a:chExt cx="2277035" cy="358028"/>
        </a:xfrm>
      </xdr:grpSpPr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3F00-00001A9C0100}"/>
              </a:ext>
            </a:extLst>
          </xdr:cNvPr>
          <xdr:cNvSpPr>
            <a:spLocks noChangeArrowheads="1"/>
          </xdr:cNvSpPr>
        </xdr:nvSpPr>
        <xdr:spPr bwMode="auto">
          <a:xfrm>
            <a:off x="5623112" y="109817"/>
            <a:ext cx="2277035" cy="358028"/>
          </a:xfrm>
          <a:prstGeom prst="rect">
            <a:avLst/>
          </a:prstGeom>
          <a:solidFill>
            <a:srgbClr val="FFFFFF"/>
          </a:solidFill>
          <a:ln w="9525" algn="ctr">
            <a:solidFill>
              <a:srgbClr val="000000"/>
            </a:solidFill>
            <a:round/>
            <a:headEnd/>
            <a:tailEnd/>
          </a:ln>
        </xdr:spPr>
      </xdr: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29057" name="Option Button 1" hidden="1">
                <a:extLst>
                  <a:ext uri="{63B3BB69-23CF-44E3-9099-C40C66FF867C}">
                    <a14:compatExt spid="_x0000_s429057"/>
                  </a:ext>
                  <a:ext uri="{FF2B5EF4-FFF2-40B4-BE49-F238E27FC236}">
                    <a16:creationId xmlns:a16="http://schemas.microsoft.com/office/drawing/2014/main" id="{00000000-0008-0000-3600-0000018C0600}"/>
                  </a:ext>
                </a:extLst>
              </xdr:cNvPr>
              <xdr:cNvSpPr/>
            </xdr:nvSpPr>
            <xdr:spPr bwMode="auto">
              <a:xfrm>
                <a:off x="5708943" y="157442"/>
                <a:ext cx="955356" cy="23420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FFCC" mc:Ignorable="a14" a14:legacySpreadsheetColorIndex="42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난이도 보통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29058" name="Option Button 2" hidden="1">
                <a:extLst>
                  <a:ext uri="{63B3BB69-23CF-44E3-9099-C40C66FF867C}">
                    <a14:compatExt spid="_x0000_s429058"/>
                  </a:ext>
                  <a:ext uri="{FF2B5EF4-FFF2-40B4-BE49-F238E27FC236}">
                    <a16:creationId xmlns:a16="http://schemas.microsoft.com/office/drawing/2014/main" id="{00000000-0008-0000-3600-0000028C0600}"/>
                  </a:ext>
                </a:extLst>
              </xdr:cNvPr>
              <xdr:cNvSpPr/>
            </xdr:nvSpPr>
            <xdr:spPr bwMode="auto">
              <a:xfrm>
                <a:off x="6845497" y="157442"/>
                <a:ext cx="959283" cy="234203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CCFFCC" mc:Ignorable="a14" a14:legacySpreadsheetColorIndex="42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난이도 높음</a:t>
                </a:r>
              </a:p>
            </xdr:txBody>
          </xdr:sp>
        </mc:Choice>
        <mc:Fallback/>
      </mc:AlternateContent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76200</xdr:colOff>
          <xdr:row>0</xdr:row>
          <xdr:rowOff>123825</xdr:rowOff>
        </xdr:from>
        <xdr:to>
          <xdr:col>13</xdr:col>
          <xdr:colOff>828675</xdr:colOff>
          <xdr:row>1</xdr:row>
          <xdr:rowOff>142875</xdr:rowOff>
        </xdr:to>
        <xdr:sp macro="" textlink="">
          <xdr:nvSpPr>
            <xdr:cNvPr id="429059" name="Drop Down 3" hidden="1">
              <a:extLst>
                <a:ext uri="{63B3BB69-23CF-44E3-9099-C40C66FF867C}">
                  <a14:compatExt spid="_x0000_s429059"/>
                </a:ext>
                <a:ext uri="{FF2B5EF4-FFF2-40B4-BE49-F238E27FC236}">
                  <a16:creationId xmlns:a16="http://schemas.microsoft.com/office/drawing/2014/main" id="{00000000-0008-0000-3600-0000038C06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457200</xdr:colOff>
          <xdr:row>0</xdr:row>
          <xdr:rowOff>152400</xdr:rowOff>
        </xdr:from>
        <xdr:to>
          <xdr:col>8</xdr:col>
          <xdr:colOff>571500</xdr:colOff>
          <xdr:row>1</xdr:row>
          <xdr:rowOff>171450</xdr:rowOff>
        </xdr:to>
        <xdr:sp macro="" textlink="">
          <xdr:nvSpPr>
            <xdr:cNvPr id="35858" name="Drop Down 18" hidden="1">
              <a:extLst>
                <a:ext uri="{63B3BB69-23CF-44E3-9099-C40C66FF867C}">
                  <a14:compatExt spid="_x0000_s35858"/>
                </a:ext>
                <a:ext uri="{FF2B5EF4-FFF2-40B4-BE49-F238E27FC236}">
                  <a16:creationId xmlns:a16="http://schemas.microsoft.com/office/drawing/2014/main" id="{00000000-0008-0000-3700-0000128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152400</xdr:rowOff>
        </xdr:from>
        <xdr:to>
          <xdr:col>10</xdr:col>
          <xdr:colOff>133350</xdr:colOff>
          <xdr:row>5</xdr:row>
          <xdr:rowOff>152400</xdr:rowOff>
        </xdr:to>
        <xdr:sp macro="" textlink="">
          <xdr:nvSpPr>
            <xdr:cNvPr id="110593" name="Drop Down 1" hidden="1">
              <a:extLst>
                <a:ext uri="{63B3BB69-23CF-44E3-9099-C40C66FF867C}">
                  <a14:compatExt spid="_x0000_s110593"/>
                </a:ext>
                <a:ext uri="{FF2B5EF4-FFF2-40B4-BE49-F238E27FC236}">
                  <a16:creationId xmlns:a16="http://schemas.microsoft.com/office/drawing/2014/main" id="{00000000-0008-0000-3A00-000001B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145676</xdr:colOff>
      <xdr:row>1</xdr:row>
      <xdr:rowOff>214032</xdr:rowOff>
    </xdr:from>
    <xdr:to>
      <xdr:col>7</xdr:col>
      <xdr:colOff>537882</xdr:colOff>
      <xdr:row>4</xdr:row>
      <xdr:rowOff>18489</xdr:rowOff>
    </xdr:to>
    <xdr:grpSp>
      <xdr:nvGrpSpPr>
        <xdr:cNvPr id="4" name="그룹 3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GrpSpPr/>
      </xdr:nvGrpSpPr>
      <xdr:grpSpPr>
        <a:xfrm>
          <a:off x="5311588" y="505385"/>
          <a:ext cx="1064559" cy="577663"/>
          <a:chOff x="5210735" y="314885"/>
          <a:chExt cx="1064559" cy="577663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594" name="Option Button 2" hidden="1">
                <a:extLst>
                  <a:ext uri="{63B3BB69-23CF-44E3-9099-C40C66FF867C}">
                    <a14:compatExt spid="_x0000_s110594"/>
                  </a:ext>
                  <a:ext uri="{FF2B5EF4-FFF2-40B4-BE49-F238E27FC236}">
                    <a16:creationId xmlns:a16="http://schemas.microsoft.com/office/drawing/2014/main" id="{00000000-0008-0000-3A00-000002B00100}"/>
                  </a:ext>
                </a:extLst>
              </xdr:cNvPr>
              <xdr:cNvSpPr/>
            </xdr:nvSpPr>
            <xdr:spPr bwMode="auto">
              <a:xfrm>
                <a:off x="5248275" y="314885"/>
                <a:ext cx="1004607" cy="3574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퍼실리테이션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110598" name="Option Button 6" hidden="1">
                <a:extLst>
                  <a:ext uri="{63B3BB69-23CF-44E3-9099-C40C66FF867C}">
                    <a14:compatExt spid="_x0000_s110598"/>
                  </a:ext>
                  <a:ext uri="{FF2B5EF4-FFF2-40B4-BE49-F238E27FC236}">
                    <a16:creationId xmlns:a16="http://schemas.microsoft.com/office/drawing/2014/main" id="{00000000-0008-0000-3A00-000006B00100}"/>
                  </a:ext>
                </a:extLst>
              </xdr:cNvPr>
              <xdr:cNvSpPr/>
            </xdr:nvSpPr>
            <xdr:spPr bwMode="auto">
              <a:xfrm>
                <a:off x="5240431" y="534520"/>
                <a:ext cx="1005728" cy="35802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시민리빙랩</a:t>
                </a:r>
              </a:p>
            </xdr:txBody>
          </xdr:sp>
        </mc:Choice>
        <mc:Fallback/>
      </mc:AlternateContent>
      <xdr:sp macro="" textlink="">
        <xdr:nvSpPr>
          <xdr:cNvPr id="3" name="직사각형 2">
            <a:extLst>
              <a:ext uri="{FF2B5EF4-FFF2-40B4-BE49-F238E27FC236}">
                <a16:creationId xmlns:a16="http://schemas.microsoft.com/office/drawing/2014/main" id="{00000000-0008-0000-3A00-000003000000}"/>
              </a:ext>
            </a:extLst>
          </xdr:cNvPr>
          <xdr:cNvSpPr/>
        </xdr:nvSpPr>
        <xdr:spPr bwMode="auto">
          <a:xfrm>
            <a:off x="5210735" y="336176"/>
            <a:ext cx="1064559" cy="549089"/>
          </a:xfrm>
          <a:prstGeom prst="rect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123264</xdr:colOff>
      <xdr:row>0</xdr:row>
      <xdr:rowOff>0</xdr:rowOff>
    </xdr:from>
    <xdr:to>
      <xdr:col>5</xdr:col>
      <xdr:colOff>560294</xdr:colOff>
      <xdr:row>1</xdr:row>
      <xdr:rowOff>299758</xdr:rowOff>
    </xdr:to>
    <xdr:grpSp>
      <xdr:nvGrpSpPr>
        <xdr:cNvPr id="3" name="그룹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GrpSpPr/>
      </xdr:nvGrpSpPr>
      <xdr:grpSpPr>
        <a:xfrm>
          <a:off x="3350558" y="0"/>
          <a:ext cx="1647265" cy="591111"/>
          <a:chOff x="8807824" y="405092"/>
          <a:chExt cx="1647265" cy="591111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84356" name="Option Button 4" hidden="1">
                <a:extLst>
                  <a:ext uri="{63B3BB69-23CF-44E3-9099-C40C66FF867C}">
                    <a14:compatExt spid="_x0000_s484356"/>
                  </a:ext>
                  <a:ext uri="{FF2B5EF4-FFF2-40B4-BE49-F238E27FC236}">
                    <a16:creationId xmlns:a16="http://schemas.microsoft.com/office/drawing/2014/main" id="{00000000-0008-0000-3B00-000004640700}"/>
                  </a:ext>
                </a:extLst>
              </xdr:cNvPr>
              <xdr:cNvSpPr/>
            </xdr:nvSpPr>
            <xdr:spPr bwMode="auto">
              <a:xfrm>
                <a:off x="8901392" y="405092"/>
                <a:ext cx="1239931" cy="33897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단계별 집행계획</a:t>
                </a:r>
              </a:p>
            </xdr:txBody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484357" name="Option Button 5" hidden="1">
                <a:extLst>
                  <a:ext uri="{63B3BB69-23CF-44E3-9099-C40C66FF867C}">
                    <a14:compatExt spid="_x0000_s484357"/>
                  </a:ext>
                  <a:ext uri="{FF2B5EF4-FFF2-40B4-BE49-F238E27FC236}">
                    <a16:creationId xmlns:a16="http://schemas.microsoft.com/office/drawing/2014/main" id="{00000000-0008-0000-3B00-000005640700}"/>
                  </a:ext>
                </a:extLst>
              </xdr:cNvPr>
              <xdr:cNvSpPr/>
            </xdr:nvSpPr>
            <xdr:spPr bwMode="auto">
              <a:xfrm>
                <a:off x="8904755" y="657785"/>
                <a:ext cx="1243853" cy="33841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22860" rIns="0" bIns="22860" anchor="ctr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Malgun Gothic"/>
                    <a:ea typeface="Malgun Gothic"/>
                  </a:rPr>
                  <a:t>단위계획시설 집행계획</a:t>
                </a:r>
              </a:p>
            </xdr:txBody>
          </xdr:sp>
        </mc:Choice>
        <mc:Fallback/>
      </mc:AlternateContent>
      <xdr:sp macro="" textlink="">
        <xdr:nvSpPr>
          <xdr:cNvPr id="2" name="직사각형 1">
            <a:extLst>
              <a:ext uri="{FF2B5EF4-FFF2-40B4-BE49-F238E27FC236}">
                <a16:creationId xmlns:a16="http://schemas.microsoft.com/office/drawing/2014/main" id="{00000000-0008-0000-3B00-000002000000}"/>
              </a:ext>
            </a:extLst>
          </xdr:cNvPr>
          <xdr:cNvSpPr/>
        </xdr:nvSpPr>
        <xdr:spPr bwMode="auto">
          <a:xfrm>
            <a:off x="8807824" y="437029"/>
            <a:ext cx="1647265" cy="526677"/>
          </a:xfrm>
          <a:prstGeom prst="rect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257175</xdr:colOff>
          <xdr:row>0</xdr:row>
          <xdr:rowOff>47625</xdr:rowOff>
        </xdr:from>
        <xdr:to>
          <xdr:col>11</xdr:col>
          <xdr:colOff>108137</xdr:colOff>
          <xdr:row>4</xdr:row>
          <xdr:rowOff>223557</xdr:rowOff>
        </xdr:to>
        <xdr:grpSp>
          <xdr:nvGrpSpPr>
            <xdr:cNvPr id="2" name="Group 8">
              <a:extLst>
                <a:ext uri="{FF2B5EF4-FFF2-40B4-BE49-F238E27FC236}">
                  <a16:creationId xmlns:a16="http://schemas.microsoft.com/office/drawing/2014/main" id="{00000000-0008-0000-1500-0000020000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7115175" y="47625"/>
              <a:ext cx="971550" cy="1162050"/>
              <a:chOff x="594" y="38"/>
              <a:chExt cx="102" cy="122"/>
            </a:xfrm>
          </xdr:grpSpPr>
          <xdr:sp macro="" textlink="">
            <xdr:nvSpPr>
              <xdr:cNvPr id="148481" name="Group Box 1" hidden="1">
                <a:extLst>
                  <a:ext uri="{63B3BB69-23CF-44E3-9099-C40C66FF867C}">
                    <a14:compatExt spid="_x0000_s148481"/>
                  </a:ext>
                  <a:ext uri="{FF2B5EF4-FFF2-40B4-BE49-F238E27FC236}">
                    <a16:creationId xmlns:a16="http://schemas.microsoft.com/office/drawing/2014/main" id="{00000000-0008-0000-3C00-000001440200}"/>
                  </a:ext>
                </a:extLst>
              </xdr:cNvPr>
              <xdr:cNvSpPr/>
            </xdr:nvSpPr>
            <xdr:spPr bwMode="auto">
              <a:xfrm>
                <a:off x="594" y="38"/>
                <a:ext cx="102" cy="1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4" name="Group 7">
                <a:extLst>
                  <a:ext uri="{FF2B5EF4-FFF2-40B4-BE49-F238E27FC236}">
                    <a16:creationId xmlns:a16="http://schemas.microsoft.com/office/drawing/2014/main" id="{00000000-0008-0000-1500-0000040000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6" y="58"/>
                <a:ext cx="77" cy="84"/>
                <a:chOff x="606" y="58"/>
                <a:chExt cx="77" cy="84"/>
              </a:xfrm>
            </xdr:grpSpPr>
            <xdr:sp macro="" textlink="">
              <xdr:nvSpPr>
                <xdr:cNvPr id="148482" name="Option Button 2" hidden="1">
                  <a:extLst>
                    <a:ext uri="{63B3BB69-23CF-44E3-9099-C40C66FF867C}">
                      <a14:compatExt spid="_x0000_s148482"/>
                    </a:ext>
                    <a:ext uri="{FF2B5EF4-FFF2-40B4-BE49-F238E27FC236}">
                      <a16:creationId xmlns:a16="http://schemas.microsoft.com/office/drawing/2014/main" id="{00000000-0008-0000-3C00-000002440200}"/>
                    </a:ext>
                  </a:extLst>
                </xdr:cNvPr>
                <xdr:cNvSpPr/>
              </xdr:nvSpPr>
              <xdr:spPr bwMode="auto">
                <a:xfrm>
                  <a:off x="606" y="58"/>
                  <a:ext cx="77" cy="4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148483" name="Option Button 3" hidden="1">
                  <a:extLst>
                    <a:ext uri="{63B3BB69-23CF-44E3-9099-C40C66FF867C}">
                      <a14:compatExt spid="_x0000_s148483"/>
                    </a:ext>
                    <a:ext uri="{FF2B5EF4-FFF2-40B4-BE49-F238E27FC236}">
                      <a16:creationId xmlns:a16="http://schemas.microsoft.com/office/drawing/2014/main" id="{00000000-0008-0000-3C00-000003440200}"/>
                    </a:ext>
                  </a:extLst>
                </xdr:cNvPr>
                <xdr:cNvSpPr/>
              </xdr:nvSpPr>
              <xdr:spPr bwMode="auto">
                <a:xfrm>
                  <a:off x="606" y="98"/>
                  <a:ext cx="77" cy="44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거리</a:t>
                  </a:r>
                </a:p>
              </xdr:txBody>
            </xdr:sp>
          </xdr:grpSp>
        </xdr:grp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81643</xdr:colOff>
      <xdr:row>37</xdr:row>
      <xdr:rowOff>149679</xdr:rowOff>
    </xdr:from>
    <xdr:to>
      <xdr:col>7</xdr:col>
      <xdr:colOff>130112</xdr:colOff>
      <xdr:row>62</xdr:row>
      <xdr:rowOff>203554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3" y="8790215"/>
          <a:ext cx="6049219" cy="5782482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19050</xdr:colOff>
          <xdr:row>2</xdr:row>
          <xdr:rowOff>9525</xdr:rowOff>
        </xdr:from>
        <xdr:to>
          <xdr:col>7</xdr:col>
          <xdr:colOff>390525</xdr:colOff>
          <xdr:row>7</xdr:row>
          <xdr:rowOff>28574</xdr:rowOff>
        </xdr:to>
        <xdr:grpSp>
          <xdr:nvGrpSpPr>
            <xdr:cNvPr id="66708" name="Group 1">
              <a:extLst>
                <a:ext uri="{FF2B5EF4-FFF2-40B4-BE49-F238E27FC236}">
                  <a16:creationId xmlns:a16="http://schemas.microsoft.com/office/drawing/2014/main" id="{00000000-0008-0000-0D00-00009404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61697" y="547407"/>
              <a:ext cx="976593" cy="1139638"/>
              <a:chOff x="594" y="38"/>
              <a:chExt cx="102" cy="122"/>
            </a:xfrm>
          </xdr:grpSpPr>
          <xdr:sp macro="" textlink="">
            <xdr:nvSpPr>
              <xdr:cNvPr id="66562" name="Group Box 2" hidden="1">
                <a:extLst>
                  <a:ext uri="{63B3BB69-23CF-44E3-9099-C40C66FF867C}">
                    <a14:compatExt spid="_x0000_s66562"/>
                  </a:ext>
                  <a:ext uri="{FF2B5EF4-FFF2-40B4-BE49-F238E27FC236}">
                    <a16:creationId xmlns:a16="http://schemas.microsoft.com/office/drawing/2014/main" id="{00000000-0008-0000-4400-000002040100}"/>
                  </a:ext>
                </a:extLst>
              </xdr:cNvPr>
              <xdr:cNvSpPr/>
            </xdr:nvSpPr>
            <xdr:spPr bwMode="auto">
              <a:xfrm>
                <a:off x="594" y="38"/>
                <a:ext cx="102" cy="12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66709" name="Group 3">
                <a:extLst>
                  <a:ext uri="{FF2B5EF4-FFF2-40B4-BE49-F238E27FC236}">
                    <a16:creationId xmlns:a16="http://schemas.microsoft.com/office/drawing/2014/main" id="{00000000-0008-0000-0D00-0000950401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606" y="58"/>
                <a:ext cx="77" cy="84"/>
                <a:chOff x="606" y="58"/>
                <a:chExt cx="77" cy="84"/>
              </a:xfrm>
            </xdr:grpSpPr>
            <xdr:sp macro="" textlink="">
              <xdr:nvSpPr>
                <xdr:cNvPr id="66564" name="Option Button 4" hidden="1">
                  <a:extLst>
                    <a:ext uri="{63B3BB69-23CF-44E3-9099-C40C66FF867C}">
                      <a14:compatExt spid="_x0000_s66564"/>
                    </a:ext>
                    <a:ext uri="{FF2B5EF4-FFF2-40B4-BE49-F238E27FC236}">
                      <a16:creationId xmlns:a16="http://schemas.microsoft.com/office/drawing/2014/main" id="{00000000-0008-0000-4400-000004040100}"/>
                    </a:ext>
                  </a:extLst>
                </xdr:cNvPr>
                <xdr:cNvSpPr/>
              </xdr:nvSpPr>
              <xdr:spPr bwMode="auto">
                <a:xfrm>
                  <a:off x="606" y="58"/>
                  <a:ext cx="77" cy="4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66565" name="Option Button 5" hidden="1">
                  <a:extLst>
                    <a:ext uri="{63B3BB69-23CF-44E3-9099-C40C66FF867C}">
                      <a14:compatExt spid="_x0000_s66565"/>
                    </a:ext>
                    <a:ext uri="{FF2B5EF4-FFF2-40B4-BE49-F238E27FC236}">
                      <a16:creationId xmlns:a16="http://schemas.microsoft.com/office/drawing/2014/main" id="{00000000-0008-0000-4400-000005040100}"/>
                    </a:ext>
                  </a:extLst>
                </xdr:cNvPr>
                <xdr:cNvSpPr/>
              </xdr:nvSpPr>
              <xdr:spPr bwMode="auto">
                <a:xfrm>
                  <a:off x="606" y="98"/>
                  <a:ext cx="77" cy="44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거리</a:t>
                  </a:r>
                </a:p>
              </xdr:txBody>
            </xdr:sp>
          </xdr:grpSp>
        </xdr:grp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591671</xdr:colOff>
          <xdr:row>0</xdr:row>
          <xdr:rowOff>66675</xdr:rowOff>
        </xdr:from>
        <xdr:to>
          <xdr:col>8</xdr:col>
          <xdr:colOff>386043</xdr:colOff>
          <xdr:row>1</xdr:row>
          <xdr:rowOff>194422</xdr:rowOff>
        </xdr:to>
        <xdr:grpSp>
          <xdr:nvGrpSpPr>
            <xdr:cNvPr id="2" name="Group 10">
              <a:extLst>
                <a:ext uri="{FF2B5EF4-FFF2-40B4-BE49-F238E27FC236}">
                  <a16:creationId xmlns:a16="http://schemas.microsoft.com/office/drawing/2014/main" id="{00000000-0008-0000-3300-0000975C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29200" y="66675"/>
              <a:ext cx="1609725" cy="419100"/>
              <a:chOff x="806" y="5"/>
              <a:chExt cx="169" cy="44"/>
            </a:xfrm>
          </xdr:grpSpPr>
          <xdr:sp macro="" textlink="">
            <xdr:nvSpPr>
              <xdr:cNvPr id="285697" name="Group Box 1" hidden="1">
                <a:extLst>
                  <a:ext uri="{63B3BB69-23CF-44E3-9099-C40C66FF867C}">
                    <a14:compatExt spid="_x0000_s285697"/>
                  </a:ext>
                  <a:ext uri="{FF2B5EF4-FFF2-40B4-BE49-F238E27FC236}">
                    <a16:creationId xmlns:a16="http://schemas.microsoft.com/office/drawing/2014/main" id="{00000000-0008-0000-4500-0000015C0400}"/>
                  </a:ext>
                </a:extLst>
              </xdr:cNvPr>
              <xdr:cNvSpPr/>
            </xdr:nvSpPr>
            <xdr:spPr bwMode="auto">
              <a:xfrm>
                <a:off x="806" y="5"/>
                <a:ext cx="169" cy="4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4" name="Group 9">
                <a:extLst>
                  <a:ext uri="{FF2B5EF4-FFF2-40B4-BE49-F238E27FC236}">
                    <a16:creationId xmlns:a16="http://schemas.microsoft.com/office/drawing/2014/main" id="{00000000-0008-0000-3300-0000985C01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816" y="12"/>
                <a:ext cx="152" cy="33"/>
                <a:chOff x="816" y="12"/>
                <a:chExt cx="152" cy="33"/>
              </a:xfrm>
            </xdr:grpSpPr>
            <xdr:sp macro="" textlink="">
              <xdr:nvSpPr>
                <xdr:cNvPr id="285698" name="Option Button 2" hidden="1">
                  <a:extLst>
                    <a:ext uri="{63B3BB69-23CF-44E3-9099-C40C66FF867C}">
                      <a14:compatExt spid="_x0000_s285698"/>
                    </a:ext>
                    <a:ext uri="{FF2B5EF4-FFF2-40B4-BE49-F238E27FC236}">
                      <a16:creationId xmlns:a16="http://schemas.microsoft.com/office/drawing/2014/main" id="{00000000-0008-0000-4500-0000025C0400}"/>
                    </a:ext>
                  </a:extLst>
                </xdr:cNvPr>
                <xdr:cNvSpPr/>
              </xdr:nvSpPr>
              <xdr:spPr bwMode="auto">
                <a:xfrm>
                  <a:off x="816" y="12"/>
                  <a:ext cx="77" cy="3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285699" name="Option Button 3" hidden="1">
                  <a:extLst>
                    <a:ext uri="{63B3BB69-23CF-44E3-9099-C40C66FF867C}">
                      <a14:compatExt spid="_x0000_s285699"/>
                    </a:ext>
                    <a:ext uri="{FF2B5EF4-FFF2-40B4-BE49-F238E27FC236}">
                      <a16:creationId xmlns:a16="http://schemas.microsoft.com/office/drawing/2014/main" id="{00000000-0008-0000-4500-0000035C0400}"/>
                    </a:ext>
                  </a:extLst>
                </xdr:cNvPr>
                <xdr:cNvSpPr/>
              </xdr:nvSpPr>
              <xdr:spPr bwMode="auto">
                <a:xfrm>
                  <a:off x="891" y="12"/>
                  <a:ext cx="77" cy="31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거리</a:t>
                  </a:r>
                </a:p>
              </xdr:txBody>
            </xdr:sp>
          </xdr:grpSp>
        </xdr:grpSp>
        <xdr:clientData/>
      </xdr:twoCellAnchor>
    </mc:Choice>
    <mc:Fallback/>
  </mc:AlternateContent>
</xdr:wsDr>
</file>

<file path=xl/drawings/drawing2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591671</xdr:colOff>
          <xdr:row>0</xdr:row>
          <xdr:rowOff>66675</xdr:rowOff>
        </xdr:from>
        <xdr:to>
          <xdr:col>8</xdr:col>
          <xdr:colOff>386043</xdr:colOff>
          <xdr:row>1</xdr:row>
          <xdr:rowOff>194422</xdr:rowOff>
        </xdr:to>
        <xdr:grpSp>
          <xdr:nvGrpSpPr>
            <xdr:cNvPr id="2" name="Group 10">
              <a:extLst>
                <a:ext uri="{FF2B5EF4-FFF2-40B4-BE49-F238E27FC236}">
                  <a16:creationId xmlns:a16="http://schemas.microsoft.com/office/drawing/2014/main" id="{00000000-0008-0000-3300-0000975C0100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5029200" y="66675"/>
              <a:ext cx="1609725" cy="419100"/>
              <a:chOff x="806" y="5"/>
              <a:chExt cx="169" cy="44"/>
            </a:xfrm>
          </xdr:grpSpPr>
          <xdr:sp macro="" textlink="">
            <xdr:nvSpPr>
              <xdr:cNvPr id="284673" name="Group Box 1" hidden="1">
                <a:extLst>
                  <a:ext uri="{63B3BB69-23CF-44E3-9099-C40C66FF867C}">
                    <a14:compatExt spid="_x0000_s284673"/>
                  </a:ext>
                  <a:ext uri="{FF2B5EF4-FFF2-40B4-BE49-F238E27FC236}">
                    <a16:creationId xmlns:a16="http://schemas.microsoft.com/office/drawing/2014/main" id="{00000000-0008-0000-4600-000001580400}"/>
                  </a:ext>
                </a:extLst>
              </xdr:cNvPr>
              <xdr:cNvSpPr/>
            </xdr:nvSpPr>
            <xdr:spPr bwMode="auto">
              <a:xfrm>
                <a:off x="806" y="5"/>
                <a:ext cx="169" cy="4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noFill/>
                  </a14:hiddenFill>
                </a:ex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none" lIns="27432" tIns="18288" rIns="0" bIns="0" anchor="t" upright="1"/>
              <a:lstStyle/>
              <a:p>
                <a:pPr algn="l" rtl="0">
                  <a:defRPr sz="1000"/>
                </a:pPr>
                <a:r>
                  <a:rPr lang="ko-KR" altLang="en-US" sz="900" b="0" i="0" u="none" strike="noStrike" baseline="0">
                    <a:solidFill>
                      <a:srgbClr val="000000"/>
                    </a:solidFill>
                    <a:latin typeface="굴림"/>
                    <a:ea typeface="굴림"/>
                  </a:rPr>
                  <a:t>기준설정</a:t>
                </a:r>
              </a:p>
            </xdr:txBody>
          </xdr:sp>
          <xdr:grpSp>
            <xdr:nvGrpSpPr>
              <xdr:cNvPr id="4" name="Group 9">
                <a:extLst>
                  <a:ext uri="{FF2B5EF4-FFF2-40B4-BE49-F238E27FC236}">
                    <a16:creationId xmlns:a16="http://schemas.microsoft.com/office/drawing/2014/main" id="{00000000-0008-0000-3300-0000985C0100}"/>
                  </a:ext>
                </a:extLst>
              </xdr:cNvPr>
              <xdr:cNvGrpSpPr>
                <a:grpSpLocks/>
              </xdr:cNvGrpSpPr>
            </xdr:nvGrpSpPr>
            <xdr:grpSpPr bwMode="auto">
              <a:xfrm>
                <a:off x="816" y="12"/>
                <a:ext cx="152" cy="33"/>
                <a:chOff x="816" y="12"/>
                <a:chExt cx="152" cy="33"/>
              </a:xfrm>
            </xdr:grpSpPr>
            <xdr:sp macro="" textlink="">
              <xdr:nvSpPr>
                <xdr:cNvPr id="284674" name="Option Button 2" hidden="1">
                  <a:extLst>
                    <a:ext uri="{63B3BB69-23CF-44E3-9099-C40C66FF867C}">
                      <a14:compatExt spid="_x0000_s284674"/>
                    </a:ext>
                    <a:ext uri="{FF2B5EF4-FFF2-40B4-BE49-F238E27FC236}">
                      <a16:creationId xmlns:a16="http://schemas.microsoft.com/office/drawing/2014/main" id="{00000000-0008-0000-4600-000002580400}"/>
                    </a:ext>
                  </a:extLst>
                </xdr:cNvPr>
                <xdr:cNvSpPr/>
              </xdr:nvSpPr>
              <xdr:spPr bwMode="auto">
                <a:xfrm>
                  <a:off x="816" y="12"/>
                  <a:ext cx="77" cy="33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계획면적</a:t>
                  </a:r>
                </a:p>
              </xdr:txBody>
            </xdr:sp>
            <xdr:sp macro="" textlink="">
              <xdr:nvSpPr>
                <xdr:cNvPr id="284675" name="Option Button 3" hidden="1">
                  <a:extLst>
                    <a:ext uri="{63B3BB69-23CF-44E3-9099-C40C66FF867C}">
                      <a14:compatExt spid="_x0000_s284675"/>
                    </a:ext>
                    <a:ext uri="{FF2B5EF4-FFF2-40B4-BE49-F238E27FC236}">
                      <a16:creationId xmlns:a16="http://schemas.microsoft.com/office/drawing/2014/main" id="{00000000-0008-0000-4600-000003580400}"/>
                    </a:ext>
                  </a:extLst>
                </xdr:cNvPr>
                <xdr:cNvSpPr/>
              </xdr:nvSpPr>
              <xdr:spPr bwMode="auto">
                <a:xfrm>
                  <a:off x="891" y="12"/>
                  <a:ext cx="77" cy="31"/>
                </a:xfrm>
                <a:prstGeom prst="rect">
                  <a:avLst/>
                </a:prstGeom>
                <a:solidFill>
                  <a:srgbClr val="CCFFCC" mc:Ignorable="a14" a14:legacySpreadsheetColorIndex="42"/>
                </a:solidFill>
                <a:ln>
                  <a:noFill/>
                </a:ln>
                <a:extLst>
                  <a:ext uri="{91240B29-F687-4F45-9708-019B960494DF}">
                    <a14:hiddenLine w="9525">
                      <a:solidFill>
                        <a:srgbClr val="000000" mc:Ignorable="a14" a14:legacySpreadsheetColorIndex="64"/>
                      </a:solidFill>
                      <a:miter lim="800000"/>
                      <a:headEnd/>
                      <a:tailEnd/>
                    </a14:hiddenLine>
                  </a:ext>
                </a:extLst>
              </xdr:spPr>
              <xdr:txBody>
                <a:bodyPr vertOverflow="clip" wrap="square" lIns="27432" tIns="18288" rIns="0" bIns="18288" anchor="ctr" upright="1"/>
                <a:lstStyle/>
                <a:p>
                  <a:pPr algn="l" rtl="0">
                    <a:defRPr sz="1000"/>
                  </a:pPr>
                  <a:r>
                    <a:rPr lang="ko-KR" altLang="en-US" sz="900" b="0" i="0" u="none" strike="noStrike" baseline="0">
                      <a:solidFill>
                        <a:srgbClr val="000000"/>
                      </a:solidFill>
                      <a:latin typeface="굴림"/>
                      <a:ea typeface="굴림"/>
                    </a:rPr>
                    <a:t>거리</a:t>
                  </a:r>
                </a:p>
              </xdr:txBody>
            </xdr:sp>
          </xdr:grp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1</xdr:row>
          <xdr:rowOff>238125</xdr:rowOff>
        </xdr:from>
        <xdr:to>
          <xdr:col>14</xdr:col>
          <xdr:colOff>104775</xdr:colOff>
          <xdr:row>2</xdr:row>
          <xdr:rowOff>209550</xdr:rowOff>
        </xdr:to>
        <xdr:sp macro="" textlink="">
          <xdr:nvSpPr>
            <xdr:cNvPr id="284676" name="Drop Down 4" hidden="1">
              <a:extLst>
                <a:ext uri="{63B3BB69-23CF-44E3-9099-C40C66FF867C}">
                  <a14:compatExt spid="_x0000_s284676"/>
                </a:ext>
                <a:ext uri="{FF2B5EF4-FFF2-40B4-BE49-F238E27FC236}">
                  <a16:creationId xmlns:a16="http://schemas.microsoft.com/office/drawing/2014/main" id="{00000000-0008-0000-4600-000004580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Relationship Id="rId4" Type="http://schemas.openxmlformats.org/officeDocument/2006/relationships/ctrlProp" Target="../ctrlProps/ctrlProp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Relationship Id="rId4" Type="http://schemas.openxmlformats.org/officeDocument/2006/relationships/ctrlProp" Target="../ctrlProps/ctrlProp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3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5.bin"/><Relationship Id="rId4" Type="http://schemas.openxmlformats.org/officeDocument/2006/relationships/ctrlProp" Target="../ctrlProps/ctrlProp11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7.bin"/><Relationship Id="rId4" Type="http://schemas.openxmlformats.org/officeDocument/2006/relationships/ctrlProp" Target="../ctrlProps/ctrlProp12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16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5.bin"/><Relationship Id="rId6" Type="http://schemas.openxmlformats.org/officeDocument/2006/relationships/ctrlProp" Target="../ctrlProps/ctrlProp15.xml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39.bin"/><Relationship Id="rId4" Type="http://schemas.openxmlformats.org/officeDocument/2006/relationships/ctrlProp" Target="../ctrlProps/ctrlProp17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7" Type="http://schemas.openxmlformats.org/officeDocument/2006/relationships/ctrlProp" Target="../ctrlProps/ctrlProp21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1.bin"/><Relationship Id="rId6" Type="http://schemas.openxmlformats.org/officeDocument/2006/relationships/ctrlProp" Target="../ctrlProps/ctrlProp20.xml"/><Relationship Id="rId5" Type="http://schemas.openxmlformats.org/officeDocument/2006/relationships/ctrlProp" Target="../ctrlProps/ctrlProp19.xml"/><Relationship Id="rId4" Type="http://schemas.openxmlformats.org/officeDocument/2006/relationships/ctrlProp" Target="../ctrlProps/ctrlProp18.xm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6.xml"/><Relationship Id="rId3" Type="http://schemas.openxmlformats.org/officeDocument/2006/relationships/vmlDrawing" Target="../drawings/vmlDrawing11.vml"/><Relationship Id="rId7" Type="http://schemas.openxmlformats.org/officeDocument/2006/relationships/ctrlProp" Target="../ctrlProps/ctrlProp25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42.bin"/><Relationship Id="rId6" Type="http://schemas.openxmlformats.org/officeDocument/2006/relationships/ctrlProp" Target="../ctrlProps/ctrlProp24.xml"/><Relationship Id="rId5" Type="http://schemas.openxmlformats.org/officeDocument/2006/relationships/ctrlProp" Target="../ctrlProps/ctrlProp23.xml"/><Relationship Id="rId4" Type="http://schemas.openxmlformats.org/officeDocument/2006/relationships/ctrlProp" Target="../ctrlProps/ctrlProp2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4.bin"/><Relationship Id="rId4" Type="http://schemas.openxmlformats.org/officeDocument/2006/relationships/ctrlProp" Target="../ctrlProps/ctrlProp27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45.bin"/><Relationship Id="rId6" Type="http://schemas.openxmlformats.org/officeDocument/2006/relationships/ctrlProp" Target="../ctrlProps/ctrlProp30.xml"/><Relationship Id="rId5" Type="http://schemas.openxmlformats.org/officeDocument/2006/relationships/ctrlProp" Target="../ctrlProps/ctrlProp29.xml"/><Relationship Id="rId4" Type="http://schemas.openxmlformats.org/officeDocument/2006/relationships/ctrlProp" Target="../ctrlProps/ctrlProp28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7.bin"/><Relationship Id="rId4" Type="http://schemas.openxmlformats.org/officeDocument/2006/relationships/ctrlProp" Target="../ctrlProps/ctrlProp31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48.bin"/><Relationship Id="rId4" Type="http://schemas.openxmlformats.org/officeDocument/2006/relationships/ctrlProp" Target="../ctrlProps/ctrlProp32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49.bin"/><Relationship Id="rId4" Type="http://schemas.openxmlformats.org/officeDocument/2006/relationships/ctrlProp" Target="../ctrlProps/ctrlProp33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50.bin"/><Relationship Id="rId4" Type="http://schemas.openxmlformats.org/officeDocument/2006/relationships/ctrlProp" Target="../ctrlProps/ctrlProp34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52.bin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9.vml"/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53.bin"/><Relationship Id="rId5" Type="http://schemas.openxmlformats.org/officeDocument/2006/relationships/ctrlProp" Target="../ctrlProps/ctrlProp38.xml"/><Relationship Id="rId4" Type="http://schemas.openxmlformats.org/officeDocument/2006/relationships/ctrlProp" Target="../ctrlProps/ctrlProp37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54.bin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55.bin"/><Relationship Id="rId6" Type="http://schemas.openxmlformats.org/officeDocument/2006/relationships/ctrlProp" Target="../ctrlProps/ctrlProp43.xml"/><Relationship Id="rId5" Type="http://schemas.openxmlformats.org/officeDocument/2006/relationships/ctrlProp" Target="../ctrlProps/ctrlProp42.xml"/><Relationship Id="rId4" Type="http://schemas.openxmlformats.org/officeDocument/2006/relationships/ctrlProp" Target="../ctrlProps/ctrlProp41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2.vml"/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56.bin"/><Relationship Id="rId4" Type="http://schemas.openxmlformats.org/officeDocument/2006/relationships/ctrlProp" Target="../ctrlProps/ctrlProp44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59.bin"/><Relationship Id="rId6" Type="http://schemas.openxmlformats.org/officeDocument/2006/relationships/ctrlProp" Target="../ctrlProps/ctrlProp47.xml"/><Relationship Id="rId5" Type="http://schemas.openxmlformats.org/officeDocument/2006/relationships/ctrlProp" Target="../ctrlProps/ctrlProp46.xml"/><Relationship Id="rId4" Type="http://schemas.openxmlformats.org/officeDocument/2006/relationships/ctrlProp" Target="../ctrlProps/ctrlProp45.x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60.bin"/><Relationship Id="rId5" Type="http://schemas.openxmlformats.org/officeDocument/2006/relationships/ctrlProp" Target="../ctrlProps/ctrlProp49.xml"/><Relationship Id="rId4" Type="http://schemas.openxmlformats.org/officeDocument/2006/relationships/ctrlProp" Target="../ctrlProps/ctrlProp48.xml"/></Relationships>
</file>

<file path=xl/worksheets/_rels/sheet6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5.vml"/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61.bin"/><Relationship Id="rId6" Type="http://schemas.openxmlformats.org/officeDocument/2006/relationships/ctrlProp" Target="../ctrlProps/ctrlProp52.xml"/><Relationship Id="rId5" Type="http://schemas.openxmlformats.org/officeDocument/2006/relationships/ctrlProp" Target="../ctrlProps/ctrlProp51.xml"/><Relationship Id="rId4" Type="http://schemas.openxmlformats.org/officeDocument/2006/relationships/ctrlProp" Target="../ctrlProps/ctrlProp50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69.bin"/><Relationship Id="rId6" Type="http://schemas.openxmlformats.org/officeDocument/2006/relationships/ctrlProp" Target="../ctrlProps/ctrlProp55.xml"/><Relationship Id="rId5" Type="http://schemas.openxmlformats.org/officeDocument/2006/relationships/ctrlProp" Target="../ctrlProps/ctrlProp54.xml"/><Relationship Id="rId4" Type="http://schemas.openxmlformats.org/officeDocument/2006/relationships/ctrlProp" Target="../ctrlProps/ctrlProp53.xml"/></Relationships>
</file>

<file path=xl/worksheets/_rels/sheet7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7.vml"/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70.bin"/><Relationship Id="rId6" Type="http://schemas.openxmlformats.org/officeDocument/2006/relationships/ctrlProp" Target="../ctrlProps/ctrlProp58.xml"/><Relationship Id="rId5" Type="http://schemas.openxmlformats.org/officeDocument/2006/relationships/ctrlProp" Target="../ctrlProps/ctrlProp57.xml"/><Relationship Id="rId4" Type="http://schemas.openxmlformats.org/officeDocument/2006/relationships/ctrlProp" Target="../ctrlProps/ctrlProp56.xml"/></Relationships>
</file>

<file path=xl/worksheets/_rels/sheet7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8.vml"/><Relationship Id="rId7" Type="http://schemas.openxmlformats.org/officeDocument/2006/relationships/ctrlProp" Target="../ctrlProps/ctrlProp62.xml"/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71.bin"/><Relationship Id="rId6" Type="http://schemas.openxmlformats.org/officeDocument/2006/relationships/ctrlProp" Target="../ctrlProps/ctrlProp61.xml"/><Relationship Id="rId5" Type="http://schemas.openxmlformats.org/officeDocument/2006/relationships/ctrlProp" Target="../ctrlProps/ctrlProp60.xml"/><Relationship Id="rId4" Type="http://schemas.openxmlformats.org/officeDocument/2006/relationships/ctrlProp" Target="../ctrlProps/ctrlProp59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/>
  <dimension ref="A1:J37"/>
  <sheetViews>
    <sheetView tabSelected="1" zoomScale="115" zoomScaleNormal="115" workbookViewId="0">
      <selection activeCell="C8" sqref="C8"/>
    </sheetView>
  </sheetViews>
  <sheetFormatPr defaultColWidth="12" defaultRowHeight="12"/>
  <cols>
    <col min="1" max="1" width="9.33203125" style="85" customWidth="1"/>
    <col min="2" max="2" width="14.5" style="84" customWidth="1"/>
    <col min="3" max="3" width="12.83203125" style="84" bestFit="1" customWidth="1"/>
    <col min="4" max="4" width="14.1640625" style="84" bestFit="1" customWidth="1"/>
    <col min="5" max="7" width="14.1640625" style="85" bestFit="1" customWidth="1"/>
    <col min="8" max="8" width="19.1640625" style="85" customWidth="1"/>
    <col min="9" max="9" width="17.5" style="85" customWidth="1"/>
    <col min="10" max="10" width="19.83203125" style="85" customWidth="1"/>
    <col min="11" max="11" width="1.83203125" style="85" customWidth="1"/>
    <col min="12" max="12" width="14.33203125" style="85" customWidth="1"/>
    <col min="13" max="13" width="16.83203125" style="85" bestFit="1" customWidth="1"/>
    <col min="14" max="16384" width="12" style="85"/>
  </cols>
  <sheetData>
    <row r="1" spans="1:10" ht="12.75" thickBot="1">
      <c r="C1" s="80"/>
    </row>
    <row r="2" spans="1:10">
      <c r="B2" s="351" t="s">
        <v>113</v>
      </c>
      <c r="C2" s="80"/>
    </row>
    <row r="3" spans="1:10" ht="12.75" thickBot="1">
      <c r="B3" s="384" t="s">
        <v>114</v>
      </c>
      <c r="C3" s="80">
        <v>3</v>
      </c>
    </row>
    <row r="4" spans="1:10" ht="25.5" customHeight="1" thickBot="1">
      <c r="B4" s="352" t="s">
        <v>1184</v>
      </c>
      <c r="C4" s="80"/>
      <c r="D4" s="86"/>
      <c r="I4" s="85" t="s">
        <v>1185</v>
      </c>
    </row>
    <row r="5" spans="1:10" ht="20.100000000000001" customHeight="1" thickBot="1">
      <c r="B5" s="98" t="s">
        <v>67</v>
      </c>
      <c r="C5" s="99" t="s">
        <v>66</v>
      </c>
      <c r="D5" s="100" t="s">
        <v>32</v>
      </c>
      <c r="E5" s="100" t="s">
        <v>39</v>
      </c>
      <c r="F5" s="100" t="s">
        <v>40</v>
      </c>
      <c r="G5" s="100" t="s">
        <v>41</v>
      </c>
      <c r="H5" s="100" t="s">
        <v>616</v>
      </c>
      <c r="I5" s="100" t="s">
        <v>614</v>
      </c>
      <c r="J5" s="101" t="s">
        <v>615</v>
      </c>
    </row>
    <row r="6" spans="1:10" ht="20.100000000000001" customHeight="1" thickTop="1">
      <c r="B6" s="104" t="s">
        <v>1088</v>
      </c>
      <c r="C6" s="95"/>
      <c r="D6" s="93"/>
      <c r="E6" s="93"/>
      <c r="F6" s="93"/>
      <c r="G6" s="93"/>
      <c r="H6" s="93"/>
      <c r="I6" s="94"/>
      <c r="J6" s="103"/>
    </row>
    <row r="7" spans="1:10" ht="20.100000000000001" customHeight="1">
      <c r="A7" s="85" t="s">
        <v>1083</v>
      </c>
      <c r="B7" s="104" t="s">
        <v>1087</v>
      </c>
      <c r="C7" s="95"/>
      <c r="D7" s="93"/>
      <c r="E7" s="93"/>
      <c r="F7" s="93"/>
      <c r="G7" s="93"/>
      <c r="H7" s="93"/>
      <c r="I7" s="94"/>
      <c r="J7" s="103"/>
    </row>
    <row r="8" spans="1:10" ht="20.100000000000001" customHeight="1">
      <c r="B8" s="104" t="s">
        <v>1086</v>
      </c>
      <c r="C8" s="95">
        <v>467217</v>
      </c>
      <c r="D8" s="93">
        <v>373353</v>
      </c>
      <c r="E8" s="93">
        <v>310884</v>
      </c>
      <c r="F8" s="93">
        <v>295138</v>
      </c>
      <c r="G8" s="93">
        <v>235459</v>
      </c>
      <c r="H8" s="93">
        <v>250087</v>
      </c>
      <c r="I8" s="94">
        <v>281075</v>
      </c>
      <c r="J8" s="103">
        <v>218142</v>
      </c>
    </row>
    <row r="9" spans="1:10" ht="20.100000000000001" customHeight="1">
      <c r="B9" s="104" t="s">
        <v>1085</v>
      </c>
      <c r="C9" s="95">
        <v>452718</v>
      </c>
      <c r="D9" s="93">
        <v>358273</v>
      </c>
      <c r="E9" s="93">
        <v>300980</v>
      </c>
      <c r="F9" s="93">
        <v>284046</v>
      </c>
      <c r="G9" s="93">
        <v>223644</v>
      </c>
      <c r="H9" s="93">
        <v>240710</v>
      </c>
      <c r="I9" s="94">
        <v>267012</v>
      </c>
      <c r="J9" s="103">
        <v>204392</v>
      </c>
    </row>
    <row r="10" spans="1:10" ht="20.100000000000001" customHeight="1">
      <c r="B10" s="104" t="s">
        <v>1084</v>
      </c>
      <c r="C10" s="95">
        <v>446055</v>
      </c>
      <c r="D10" s="93">
        <v>346855</v>
      </c>
      <c r="E10" s="93">
        <v>293799</v>
      </c>
      <c r="F10" s="93">
        <v>272915</v>
      </c>
      <c r="G10" s="93">
        <v>213496</v>
      </c>
      <c r="H10" s="93">
        <v>238259</v>
      </c>
      <c r="I10" s="94">
        <v>252328</v>
      </c>
      <c r="J10" s="103">
        <v>194029</v>
      </c>
    </row>
    <row r="11" spans="1:10" ht="20.100000000000001" customHeight="1">
      <c r="B11" s="104" t="s">
        <v>1082</v>
      </c>
      <c r="C11" s="95">
        <v>432440</v>
      </c>
      <c r="D11" s="93">
        <v>335638</v>
      </c>
      <c r="E11" s="93">
        <v>282545</v>
      </c>
      <c r="F11" s="93">
        <v>261571</v>
      </c>
      <c r="G11" s="93">
        <v>205686</v>
      </c>
      <c r="H11" s="93">
        <v>220894</v>
      </c>
      <c r="I11" s="94">
        <v>240947</v>
      </c>
      <c r="J11" s="103">
        <v>186909</v>
      </c>
    </row>
    <row r="12" spans="1:10" ht="20.100000000000001" customHeight="1">
      <c r="B12" s="104" t="s">
        <v>879</v>
      </c>
      <c r="C12" s="95">
        <v>390500</v>
      </c>
      <c r="D12" s="93">
        <v>308530</v>
      </c>
      <c r="E12" s="93">
        <v>253985</v>
      </c>
      <c r="F12" s="93">
        <v>231775</v>
      </c>
      <c r="G12" s="93">
        <v>182591</v>
      </c>
      <c r="H12" s="93">
        <v>194638</v>
      </c>
      <c r="I12" s="94">
        <v>218613</v>
      </c>
      <c r="J12" s="103">
        <v>169084</v>
      </c>
    </row>
    <row r="13" spans="1:10" ht="20.100000000000001" customHeight="1">
      <c r="B13" s="104" t="s">
        <v>680</v>
      </c>
      <c r="C13" s="95">
        <v>371891</v>
      </c>
      <c r="D13" s="93">
        <v>292249</v>
      </c>
      <c r="E13" s="93">
        <v>242055</v>
      </c>
      <c r="F13" s="93">
        <v>220497</v>
      </c>
      <c r="G13" s="93">
        <v>172529</v>
      </c>
      <c r="H13" s="93">
        <v>185073</v>
      </c>
      <c r="I13" s="94">
        <v>207510</v>
      </c>
      <c r="J13" s="103">
        <v>162285</v>
      </c>
    </row>
    <row r="14" spans="1:10" ht="20.100000000000001" customHeight="1">
      <c r="B14" s="102" t="s">
        <v>679</v>
      </c>
      <c r="C14" s="95">
        <v>369831</v>
      </c>
      <c r="D14" s="93">
        <v>288036</v>
      </c>
      <c r="E14" s="93">
        <v>235682</v>
      </c>
      <c r="F14" s="93">
        <v>219451</v>
      </c>
      <c r="G14" s="93">
        <v>170615</v>
      </c>
      <c r="H14" s="93">
        <v>174996</v>
      </c>
      <c r="I14" s="94">
        <v>204010</v>
      </c>
      <c r="J14" s="103">
        <v>157750</v>
      </c>
    </row>
    <row r="15" spans="1:10" ht="20.100000000000001" customHeight="1">
      <c r="B15" s="104" t="s">
        <v>146</v>
      </c>
      <c r="C15" s="95">
        <v>367654</v>
      </c>
      <c r="D15" s="93">
        <v>281833</v>
      </c>
      <c r="E15" s="93">
        <v>224061</v>
      </c>
      <c r="F15" s="93">
        <v>207080</v>
      </c>
      <c r="G15" s="93">
        <v>160096</v>
      </c>
      <c r="H15" s="93">
        <v>169477</v>
      </c>
      <c r="I15" s="94">
        <v>198902</v>
      </c>
      <c r="J15" s="103">
        <v>150170</v>
      </c>
    </row>
    <row r="16" spans="1:10" ht="20.100000000000001" customHeight="1">
      <c r="B16" s="102" t="s">
        <v>145</v>
      </c>
      <c r="C16" s="95">
        <v>363289</v>
      </c>
      <c r="D16" s="93">
        <v>276720</v>
      </c>
      <c r="E16" s="93">
        <v>224307</v>
      </c>
      <c r="F16" s="93">
        <v>198567</v>
      </c>
      <c r="G16" s="93">
        <v>156448</v>
      </c>
      <c r="H16" s="93">
        <v>162349</v>
      </c>
      <c r="I16" s="94">
        <v>196898</v>
      </c>
      <c r="J16" s="103">
        <v>147296</v>
      </c>
    </row>
    <row r="17" spans="2:10" ht="20.100000000000001" customHeight="1">
      <c r="B17" s="104" t="s">
        <v>678</v>
      </c>
      <c r="C17" s="95">
        <v>351417</v>
      </c>
      <c r="D17" s="93">
        <v>270333</v>
      </c>
      <c r="E17" s="93">
        <v>219469</v>
      </c>
      <c r="F17" s="93">
        <v>194687</v>
      </c>
      <c r="G17" s="93">
        <v>152187</v>
      </c>
      <c r="H17" s="93">
        <v>156364</v>
      </c>
      <c r="I17" s="94">
        <v>188392</v>
      </c>
      <c r="J17" s="103">
        <v>140151</v>
      </c>
    </row>
    <row r="18" spans="2:10" ht="20.100000000000001" customHeight="1">
      <c r="B18" s="346" t="s">
        <v>677</v>
      </c>
      <c r="C18" s="347">
        <v>348160</v>
      </c>
      <c r="D18" s="348">
        <v>264306</v>
      </c>
      <c r="E18" s="348">
        <v>209485</v>
      </c>
      <c r="F18" s="348">
        <v>190910</v>
      </c>
      <c r="G18" s="348">
        <v>149647</v>
      </c>
      <c r="H18" s="348">
        <v>148700</v>
      </c>
      <c r="I18" s="349">
        <v>175906</v>
      </c>
      <c r="J18" s="350">
        <v>128933</v>
      </c>
    </row>
    <row r="19" spans="2:10" ht="20.100000000000001" customHeight="1">
      <c r="B19" s="104" t="s">
        <v>676</v>
      </c>
      <c r="C19" s="405">
        <v>340765</v>
      </c>
      <c r="D19" s="406">
        <v>249900</v>
      </c>
      <c r="E19" s="406">
        <v>208973</v>
      </c>
      <c r="F19" s="406">
        <v>181229</v>
      </c>
      <c r="G19" s="406">
        <v>140862</v>
      </c>
      <c r="H19" s="406">
        <v>141768</v>
      </c>
      <c r="I19" s="407">
        <v>163029</v>
      </c>
      <c r="J19" s="408">
        <v>123044</v>
      </c>
    </row>
    <row r="20" spans="2:10" ht="20.100000000000001" customHeight="1">
      <c r="B20" s="102" t="s">
        <v>675</v>
      </c>
      <c r="C20" s="95">
        <v>334901</v>
      </c>
      <c r="D20" s="93">
        <v>247598</v>
      </c>
      <c r="E20" s="93">
        <v>205518</v>
      </c>
      <c r="F20" s="93">
        <v>187789</v>
      </c>
      <c r="G20" s="93">
        <v>140332</v>
      </c>
      <c r="H20" s="93">
        <v>147647</v>
      </c>
      <c r="I20" s="94">
        <v>153967</v>
      </c>
      <c r="J20" s="103">
        <v>118217</v>
      </c>
    </row>
    <row r="21" spans="2:10" ht="20.100000000000001" customHeight="1">
      <c r="B21" s="104" t="s">
        <v>674</v>
      </c>
      <c r="C21" s="96">
        <v>319299</v>
      </c>
      <c r="D21" s="87">
        <v>245203</v>
      </c>
      <c r="E21" s="87">
        <v>199093</v>
      </c>
      <c r="F21" s="87">
        <v>175860</v>
      </c>
      <c r="G21" s="87">
        <v>134313</v>
      </c>
      <c r="H21" s="87">
        <v>141106</v>
      </c>
      <c r="I21" s="88">
        <v>144136</v>
      </c>
      <c r="J21" s="105">
        <v>107668</v>
      </c>
    </row>
    <row r="22" spans="2:10" ht="20.100000000000001" customHeight="1">
      <c r="B22" s="104" t="s">
        <v>673</v>
      </c>
      <c r="C22" s="96">
        <v>330109</v>
      </c>
      <c r="D22" s="89">
        <v>258612</v>
      </c>
      <c r="E22" s="87">
        <v>205855</v>
      </c>
      <c r="F22" s="87">
        <v>181472</v>
      </c>
      <c r="G22" s="87">
        <v>133629</v>
      </c>
      <c r="H22" s="89">
        <v>136981</v>
      </c>
      <c r="I22" s="90">
        <v>145353</v>
      </c>
      <c r="J22" s="106">
        <v>115960</v>
      </c>
    </row>
    <row r="23" spans="2:10" ht="20.100000000000001" customHeight="1">
      <c r="B23" s="104" t="s">
        <v>672</v>
      </c>
      <c r="C23" s="96">
        <v>325979</v>
      </c>
      <c r="D23" s="87">
        <v>258726</v>
      </c>
      <c r="E23" s="87">
        <v>203802</v>
      </c>
      <c r="F23" s="87">
        <v>174250</v>
      </c>
      <c r="G23" s="87">
        <v>131853</v>
      </c>
      <c r="H23" s="87">
        <v>138346</v>
      </c>
      <c r="I23" s="88">
        <v>136699</v>
      </c>
      <c r="J23" s="105">
        <v>111171</v>
      </c>
    </row>
    <row r="24" spans="2:10" ht="20.100000000000001" customHeight="1">
      <c r="B24" s="104" t="s">
        <v>671</v>
      </c>
      <c r="C24" s="97">
        <v>320277</v>
      </c>
      <c r="D24" s="91">
        <v>258303</v>
      </c>
      <c r="E24" s="91">
        <v>20327</v>
      </c>
      <c r="F24" s="91">
        <v>174482</v>
      </c>
      <c r="G24" s="91">
        <v>127396</v>
      </c>
      <c r="H24" s="91">
        <v>134427</v>
      </c>
      <c r="I24" s="92">
        <v>130603</v>
      </c>
      <c r="J24" s="107">
        <v>106708</v>
      </c>
    </row>
    <row r="25" spans="2:10" ht="20.100000000000001" customHeight="1" thickBot="1">
      <c r="B25" s="108" t="s">
        <v>670</v>
      </c>
      <c r="C25" s="109">
        <v>296530</v>
      </c>
      <c r="D25" s="110">
        <v>234433</v>
      </c>
      <c r="E25" s="110">
        <v>189895</v>
      </c>
      <c r="F25" s="110">
        <v>162228</v>
      </c>
      <c r="G25" s="110">
        <v>120491</v>
      </c>
      <c r="H25" s="110">
        <v>120811</v>
      </c>
      <c r="I25" s="111">
        <v>130396</v>
      </c>
      <c r="J25" s="112">
        <v>95576</v>
      </c>
    </row>
    <row r="27" spans="2:10">
      <c r="B27" s="85"/>
    </row>
    <row r="34" s="85" customFormat="1"/>
    <row r="35" s="85" customFormat="1"/>
    <row r="36" s="85" customFormat="1"/>
    <row r="37" s="85" customFormat="1"/>
  </sheetData>
  <phoneticPr fontId="2" type="noConversion"/>
  <pageMargins left="0.75" right="0.75" top="1" bottom="1" header="0.5" footer="0.5"/>
  <pageSetup paperSize="9" scale="56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1" r:id="rId4" name="Drop Down 3">
              <controlPr defaultSize="0" autoLine="0" autoPict="0">
                <anchor moveWithCells="1">
                  <from>
                    <xdr:col>2</xdr:col>
                    <xdr:colOff>0</xdr:colOff>
                    <xdr:row>1</xdr:row>
                    <xdr:rowOff>0</xdr:rowOff>
                  </from>
                  <to>
                    <xdr:col>4</xdr:col>
                    <xdr:colOff>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4">
    <tabColor rgb="FFFF0000"/>
    <pageSetUpPr fitToPage="1"/>
  </sheetPr>
  <dimension ref="A1:AC782"/>
  <sheetViews>
    <sheetView showGridLines="0" zoomScale="85" zoomScaleNormal="85" zoomScaleSheetLayoutView="75" workbookViewId="0">
      <selection activeCell="H9" sqref="H9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1099</v>
      </c>
    </row>
    <row r="2" spans="1:26" ht="19.5" thickBot="1">
      <c r="B2" s="66" t="s">
        <v>1100</v>
      </c>
    </row>
    <row r="3" spans="1:26" ht="18" customHeight="1">
      <c r="B3" s="773" t="s">
        <v>48</v>
      </c>
      <c r="C3" s="774"/>
      <c r="D3" s="775">
        <v>500</v>
      </c>
      <c r="E3" s="776"/>
      <c r="F3" s="44" t="s">
        <v>147</v>
      </c>
      <c r="G3" s="767" t="s">
        <v>1104</v>
      </c>
      <c r="H3" s="768"/>
      <c r="I3" s="656">
        <v>2</v>
      </c>
      <c r="J3" s="651"/>
      <c r="K3" s="657" t="s">
        <v>1106</v>
      </c>
      <c r="L3" s="658"/>
    </row>
    <row r="4" spans="1:26" ht="18" customHeight="1">
      <c r="B4" s="777" t="s">
        <v>1101</v>
      </c>
      <c r="C4" s="778"/>
      <c r="D4" s="779">
        <v>500</v>
      </c>
      <c r="E4" s="780"/>
      <c r="F4" s="65" t="str">
        <f>F3</f>
        <v>㎢</v>
      </c>
      <c r="G4" s="769" t="s">
        <v>1109</v>
      </c>
      <c r="H4" s="770"/>
      <c r="I4" s="298">
        <v>2</v>
      </c>
      <c r="J4" s="650"/>
      <c r="K4" s="659" t="s">
        <v>1103</v>
      </c>
      <c r="L4" s="655"/>
    </row>
    <row r="5" spans="1:26" ht="18" customHeight="1" thickBot="1">
      <c r="B5" s="781" t="s">
        <v>148</v>
      </c>
      <c r="C5" s="782"/>
      <c r="D5" s="783">
        <f>ROUND((IF(D4&lt;=300,300,D4)/D3)^0.5,3)</f>
        <v>1</v>
      </c>
      <c r="E5" s="784"/>
      <c r="F5" s="45"/>
      <c r="G5" s="771" t="s">
        <v>1102</v>
      </c>
      <c r="H5" s="772"/>
      <c r="I5" s="646">
        <f>ROUND(I4/I3,3)</f>
        <v>1</v>
      </c>
      <c r="J5" s="647"/>
      <c r="K5" s="660"/>
      <c r="L5" s="661"/>
    </row>
    <row r="6" spans="1:26" ht="18" customHeight="1">
      <c r="A6" s="358"/>
      <c r="B6" s="9" t="s">
        <v>1108</v>
      </c>
      <c r="C6" s="36"/>
      <c r="D6" s="36"/>
      <c r="E6" s="36"/>
      <c r="F6" s="36"/>
      <c r="G6" s="9" t="s">
        <v>1107</v>
      </c>
      <c r="H6" s="36"/>
    </row>
    <row r="7" spans="1:26" ht="18" customHeight="1">
      <c r="B7" s="9"/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SUBTOTAL(9,W11:W58)</f>
        <v>1979172437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SUBTOTAL(9,W12:W55)</f>
        <v>711965094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SUBTOTAL(9,W13:W50)</f>
        <v>705965094</v>
      </c>
      <c r="X12" s="160"/>
      <c r="Y12" s="168"/>
      <c r="Z12" s="168"/>
    </row>
    <row r="13" spans="1:26" ht="18" customHeight="1">
      <c r="B13" s="225" t="s">
        <v>1089</v>
      </c>
      <c r="C13" s="72"/>
      <c r="D13" s="203">
        <f t="shared" ref="D13:I13" si="0">SUBTOTAL(9,D14:D19)</f>
        <v>9.9</v>
      </c>
      <c r="E13" s="204">
        <f t="shared" si="0"/>
        <v>15.7</v>
      </c>
      <c r="F13" s="204">
        <f t="shared" si="0"/>
        <v>44</v>
      </c>
      <c r="G13" s="204">
        <f t="shared" si="0"/>
        <v>87.8</v>
      </c>
      <c r="H13" s="204">
        <f t="shared" si="0"/>
        <v>164.6</v>
      </c>
      <c r="I13" s="205">
        <f t="shared" si="0"/>
        <v>286.60000000000002</v>
      </c>
      <c r="J13" s="654"/>
      <c r="L13" s="232"/>
      <c r="N13" s="294" t="s">
        <v>1110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SUBTOTAL(9,W14:W19)</f>
        <v>160510578</v>
      </c>
      <c r="X13" s="194"/>
      <c r="Y13" s="170" t="str">
        <f>IF(A29&gt;0, "제 " &amp;A29&amp; " 호표","")</f>
        <v/>
      </c>
      <c r="Z13" s="170"/>
    </row>
    <row r="14" spans="1:26" ht="18" customHeight="1">
      <c r="B14" s="223" t="s">
        <v>149</v>
      </c>
      <c r="C14" s="23"/>
      <c r="D14" s="197">
        <v>1.5</v>
      </c>
      <c r="E14" s="198">
        <v>2.4</v>
      </c>
      <c r="F14" s="198">
        <v>7</v>
      </c>
      <c r="G14" s="198">
        <v>14.5</v>
      </c>
      <c r="H14" s="198">
        <v>28.3</v>
      </c>
      <c r="I14" s="199">
        <v>49.7</v>
      </c>
      <c r="J14" s="389" t="s">
        <v>1091</v>
      </c>
      <c r="L14" s="233">
        <v>1</v>
      </c>
      <c r="N14" s="296" t="s">
        <v>186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SUM((ROUNDDOWN((D53:I53)*단가,0)))</f>
        <v>27145373</v>
      </c>
      <c r="X14" s="154"/>
      <c r="Y14" s="150" t="str">
        <f>IF(A53&gt;0, "제 " &amp;A53&amp; " 호표","")</f>
        <v>제 1 호표</v>
      </c>
      <c r="Z14" s="150"/>
    </row>
    <row r="15" spans="1:26" ht="18" customHeight="1">
      <c r="B15" s="223" t="s">
        <v>150</v>
      </c>
      <c r="C15" s="23"/>
      <c r="D15" s="197">
        <v>1.5</v>
      </c>
      <c r="E15" s="198">
        <v>2.4</v>
      </c>
      <c r="F15" s="198">
        <v>7</v>
      </c>
      <c r="G15" s="198">
        <v>14.5</v>
      </c>
      <c r="H15" s="198">
        <v>28.3</v>
      </c>
      <c r="I15" s="199">
        <v>49.7</v>
      </c>
      <c r="J15" s="389" t="s">
        <v>1090</v>
      </c>
      <c r="L15" s="233">
        <v>1</v>
      </c>
      <c r="N15" s="296" t="s">
        <v>187</v>
      </c>
      <c r="O15" s="37"/>
      <c r="P15" s="37"/>
      <c r="Q15" s="37"/>
      <c r="R15" s="37"/>
      <c r="S15" s="37"/>
      <c r="T15" s="37"/>
      <c r="U15" s="226"/>
      <c r="V15" s="231"/>
      <c r="W15" s="153">
        <f t="array" aca="1" ref="W15" ca="1">SUM((ROUNDDOWN((D54:I54)*단가,0)))</f>
        <v>27145373</v>
      </c>
      <c r="X15" s="154"/>
      <c r="Y15" s="150" t="str">
        <f t="shared" ref="Y15:Y50" si="1">IF(A54&gt;0, "제 " &amp;A54&amp; " 호표","")</f>
        <v>제 2 호표</v>
      </c>
      <c r="Z15" s="150"/>
    </row>
    <row r="16" spans="1:26" ht="18" customHeight="1">
      <c r="B16" s="223" t="s">
        <v>151</v>
      </c>
      <c r="C16" s="23"/>
      <c r="D16" s="197">
        <v>1.8</v>
      </c>
      <c r="E16" s="198">
        <v>2.9</v>
      </c>
      <c r="F16" s="198">
        <v>7</v>
      </c>
      <c r="G16" s="198">
        <v>14.5</v>
      </c>
      <c r="H16" s="198">
        <v>27</v>
      </c>
      <c r="I16" s="199">
        <v>46.8</v>
      </c>
      <c r="J16" s="389" t="s">
        <v>1090</v>
      </c>
      <c r="L16" s="233">
        <v>1</v>
      </c>
      <c r="N16" s="296" t="s">
        <v>188</v>
      </c>
      <c r="O16" s="37"/>
      <c r="P16" s="37"/>
      <c r="Q16" s="37"/>
      <c r="R16" s="37"/>
      <c r="S16" s="37"/>
      <c r="T16" s="37"/>
      <c r="U16" s="226"/>
      <c r="V16" s="231"/>
      <c r="W16" s="153">
        <f t="array" aca="1" ref="W16" ca="1">SUM((ROUNDDOWN((D55:I55)*단가,0)))</f>
        <v>26440866</v>
      </c>
      <c r="X16" s="154"/>
      <c r="Y16" s="150" t="str">
        <f t="shared" si="1"/>
        <v>제 3 호표</v>
      </c>
      <c r="Z16" s="150"/>
    </row>
    <row r="17" spans="2:26" ht="18" customHeight="1">
      <c r="B17" s="223" t="s">
        <v>152</v>
      </c>
      <c r="C17" s="23"/>
      <c r="D17" s="197">
        <v>1.5</v>
      </c>
      <c r="E17" s="198">
        <v>2.4</v>
      </c>
      <c r="F17" s="198">
        <v>8</v>
      </c>
      <c r="G17" s="198">
        <v>14.9</v>
      </c>
      <c r="H17" s="198">
        <v>27</v>
      </c>
      <c r="I17" s="199">
        <v>46.8</v>
      </c>
      <c r="J17" s="389" t="s">
        <v>1090</v>
      </c>
      <c r="L17" s="233">
        <v>1</v>
      </c>
      <c r="N17" s="296" t="s">
        <v>189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SUM((ROUNDDOWN((D56:I56)*단가,0)))</f>
        <v>26542964</v>
      </c>
      <c r="X17" s="154"/>
      <c r="Y17" s="150" t="str">
        <f t="shared" si="1"/>
        <v>제 4 호표</v>
      </c>
      <c r="Z17" s="150"/>
    </row>
    <row r="18" spans="2:26" ht="18" customHeight="1">
      <c r="B18" s="223" t="s">
        <v>153</v>
      </c>
      <c r="C18" s="23"/>
      <c r="D18" s="197">
        <v>1.6</v>
      </c>
      <c r="E18" s="198">
        <v>2.4</v>
      </c>
      <c r="F18" s="198">
        <v>8</v>
      </c>
      <c r="G18" s="198">
        <v>14.9</v>
      </c>
      <c r="H18" s="198">
        <v>27</v>
      </c>
      <c r="I18" s="199">
        <v>46.8</v>
      </c>
      <c r="J18" s="389" t="s">
        <v>1090</v>
      </c>
      <c r="L18" s="233">
        <v>1</v>
      </c>
      <c r="N18" s="296" t="s">
        <v>190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SUM((ROUNDDOWN((D57:I57)*단가,0)))</f>
        <v>26589686</v>
      </c>
      <c r="X18" s="154"/>
      <c r="Y18" s="150" t="str">
        <f t="shared" si="1"/>
        <v>제 5 호표</v>
      </c>
      <c r="Z18" s="150"/>
    </row>
    <row r="19" spans="2:26" ht="18" customHeight="1">
      <c r="B19" s="224" t="s">
        <v>154</v>
      </c>
      <c r="C19" s="27"/>
      <c r="D19" s="206">
        <v>2</v>
      </c>
      <c r="E19" s="207">
        <v>3.2</v>
      </c>
      <c r="F19" s="207">
        <v>7</v>
      </c>
      <c r="G19" s="207">
        <v>14.5</v>
      </c>
      <c r="H19" s="207">
        <v>27</v>
      </c>
      <c r="I19" s="208">
        <v>46.8</v>
      </c>
      <c r="J19" s="389" t="s">
        <v>1092</v>
      </c>
      <c r="L19" s="233">
        <v>1</v>
      </c>
      <c r="N19" s="296" t="s">
        <v>191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SUM((ROUNDDOWN((D58:I58)*단가,0)))</f>
        <v>26646316</v>
      </c>
      <c r="X19" s="154"/>
      <c r="Y19" s="150" t="str">
        <f t="shared" si="1"/>
        <v>제 6 호표</v>
      </c>
      <c r="Z19" s="150"/>
    </row>
    <row r="20" spans="2:26" ht="18" customHeight="1">
      <c r="B20" s="222" t="s">
        <v>155</v>
      </c>
      <c r="C20" s="47"/>
      <c r="D20" s="48">
        <f t="shared" ref="D20:I20" si="2">SUBTOTAL(9,D21:D24)</f>
        <v>8.1999999999999993</v>
      </c>
      <c r="E20" s="49">
        <f t="shared" si="2"/>
        <v>13.3</v>
      </c>
      <c r="F20" s="49">
        <f t="shared" si="2"/>
        <v>36.6</v>
      </c>
      <c r="G20" s="49">
        <f t="shared" si="2"/>
        <v>43.8</v>
      </c>
      <c r="H20" s="49">
        <f t="shared" si="2"/>
        <v>98.6</v>
      </c>
      <c r="I20" s="50">
        <f t="shared" si="2"/>
        <v>95.5</v>
      </c>
      <c r="J20" s="389"/>
      <c r="L20" s="233"/>
      <c r="N20" s="292" t="s">
        <v>192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SUBTOTAL(9,W21:W24)</f>
        <v>80201732</v>
      </c>
      <c r="X20" s="196"/>
      <c r="Y20" s="150"/>
      <c r="Z20" s="150"/>
    </row>
    <row r="21" spans="2:26" ht="18" customHeight="1">
      <c r="B21" s="223" t="s">
        <v>156</v>
      </c>
      <c r="C21" s="23"/>
      <c r="D21" s="197">
        <v>2</v>
      </c>
      <c r="E21" s="198">
        <v>3.2</v>
      </c>
      <c r="F21" s="198">
        <v>9.5</v>
      </c>
      <c r="G21" s="198">
        <v>11.4</v>
      </c>
      <c r="H21" s="198">
        <v>24.3</v>
      </c>
      <c r="I21" s="199">
        <v>22.9</v>
      </c>
      <c r="J21" s="389" t="s">
        <v>1090</v>
      </c>
      <c r="L21" s="233">
        <v>1</v>
      </c>
      <c r="N21" s="296" t="s">
        <v>193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SUM((ROUNDDOWN((D60:I60)*단가,0)))</f>
        <v>19895779</v>
      </c>
      <c r="X21" s="154"/>
      <c r="Y21" s="150" t="str">
        <f t="shared" si="1"/>
        <v>제 7 호표</v>
      </c>
      <c r="Z21" s="150"/>
    </row>
    <row r="22" spans="2:26" ht="18" customHeight="1">
      <c r="B22" s="223" t="s">
        <v>157</v>
      </c>
      <c r="C22" s="23"/>
      <c r="D22" s="197">
        <v>2.2000000000000002</v>
      </c>
      <c r="E22" s="198">
        <v>3.7</v>
      </c>
      <c r="F22" s="198">
        <v>8.8000000000000007</v>
      </c>
      <c r="G22" s="198">
        <v>10.5</v>
      </c>
      <c r="H22" s="198">
        <v>24.3</v>
      </c>
      <c r="I22" s="199">
        <v>22.9</v>
      </c>
      <c r="J22" s="389" t="s">
        <v>1090</v>
      </c>
      <c r="L22" s="233">
        <v>1</v>
      </c>
      <c r="N22" s="296" t="s">
        <v>194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SUM((ROUNDDOWN((D61:I61)*단가,0)))</f>
        <v>19692656</v>
      </c>
      <c r="X22" s="154"/>
      <c r="Y22" s="150" t="str">
        <f t="shared" si="1"/>
        <v>제 8 호표</v>
      </c>
      <c r="Z22" s="150"/>
    </row>
    <row r="23" spans="2:26" ht="18" customHeight="1">
      <c r="B23" s="223" t="s">
        <v>158</v>
      </c>
      <c r="C23" s="23"/>
      <c r="D23" s="197">
        <v>2</v>
      </c>
      <c r="E23" s="198">
        <v>3.2</v>
      </c>
      <c r="F23" s="198">
        <v>8.8000000000000007</v>
      </c>
      <c r="G23" s="198">
        <v>10.5</v>
      </c>
      <c r="H23" s="198">
        <v>25.7</v>
      </c>
      <c r="I23" s="199">
        <v>26.8</v>
      </c>
      <c r="J23" s="389" t="s">
        <v>1090</v>
      </c>
      <c r="L23" s="233">
        <v>1</v>
      </c>
      <c r="N23" s="296" t="s">
        <v>195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SUM((ROUNDDOWN((D62:I62)*단가,0)))</f>
        <v>20717518</v>
      </c>
      <c r="X23" s="154"/>
      <c r="Y23" s="150" t="str">
        <f t="shared" si="1"/>
        <v>제 9 호표</v>
      </c>
      <c r="Z23" s="150"/>
    </row>
    <row r="24" spans="2:26" ht="18" customHeight="1">
      <c r="B24" s="223" t="s">
        <v>159</v>
      </c>
      <c r="C24" s="23"/>
      <c r="D24" s="197">
        <v>2</v>
      </c>
      <c r="E24" s="198">
        <v>3.2</v>
      </c>
      <c r="F24" s="198">
        <v>9.5</v>
      </c>
      <c r="G24" s="198">
        <v>11.4</v>
      </c>
      <c r="H24" s="198">
        <v>24.3</v>
      </c>
      <c r="I24" s="199">
        <v>22.9</v>
      </c>
      <c r="J24" s="389" t="s">
        <v>1090</v>
      </c>
      <c r="L24" s="233">
        <v>1</v>
      </c>
      <c r="N24" s="296" t="s">
        <v>196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SUM((ROUNDDOWN((D63:I63)*단가,0)))</f>
        <v>19895779</v>
      </c>
      <c r="X24" s="154"/>
      <c r="Y24" s="150" t="str">
        <f t="shared" si="1"/>
        <v>제 10 호표</v>
      </c>
      <c r="Z24" s="150"/>
    </row>
    <row r="25" spans="2:26" ht="18" customHeight="1">
      <c r="B25" s="222" t="s">
        <v>160</v>
      </c>
      <c r="C25" s="47"/>
      <c r="D25" s="48">
        <f t="shared" ref="D25:I25" si="3">SUBTOTAL(9,D26:D29)</f>
        <v>9.8999999999999986</v>
      </c>
      <c r="E25" s="49">
        <f t="shared" si="3"/>
        <v>15.8</v>
      </c>
      <c r="F25" s="49">
        <f t="shared" si="3"/>
        <v>43.8</v>
      </c>
      <c r="G25" s="49">
        <f t="shared" si="3"/>
        <v>43.8</v>
      </c>
      <c r="H25" s="49">
        <f t="shared" si="3"/>
        <v>65.800000000000011</v>
      </c>
      <c r="I25" s="50">
        <f t="shared" si="3"/>
        <v>95.499999999999986</v>
      </c>
      <c r="J25" s="389"/>
      <c r="L25" s="233"/>
      <c r="N25" s="292" t="s">
        <v>197</v>
      </c>
      <c r="O25" s="37"/>
      <c r="P25" s="39"/>
      <c r="Q25" s="37"/>
      <c r="R25" s="117"/>
      <c r="S25" s="37"/>
      <c r="T25" s="37"/>
      <c r="U25" s="226"/>
      <c r="V25" s="231"/>
      <c r="W25" s="195">
        <f ca="1">SUBTOTAL(9,W26:W29)</f>
        <v>76444690</v>
      </c>
      <c r="X25" s="154"/>
      <c r="Y25" s="150" t="str">
        <f t="shared" si="1"/>
        <v/>
      </c>
      <c r="Z25" s="150"/>
    </row>
    <row r="26" spans="2:26" ht="18" customHeight="1">
      <c r="B26" s="223" t="s">
        <v>161</v>
      </c>
      <c r="C26" s="23"/>
      <c r="D26" s="197">
        <v>2.6</v>
      </c>
      <c r="E26" s="198">
        <v>4.0999999999999996</v>
      </c>
      <c r="F26" s="198">
        <v>10.7</v>
      </c>
      <c r="G26" s="198">
        <v>10.5</v>
      </c>
      <c r="H26" s="198">
        <v>15.8</v>
      </c>
      <c r="I26" s="199">
        <v>22.9</v>
      </c>
      <c r="J26" s="389" t="s">
        <v>1090</v>
      </c>
      <c r="L26" s="233">
        <v>1</v>
      </c>
      <c r="N26" s="296" t="s">
        <v>198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SUM((ROUNDDOWN((D65:I65)*단가,0)))</f>
        <v>18618162</v>
      </c>
      <c r="X26" s="154"/>
      <c r="Y26" s="150" t="str">
        <f t="shared" si="1"/>
        <v>제 11 호표</v>
      </c>
      <c r="Z26" s="150"/>
    </row>
    <row r="27" spans="2:26" ht="18" customHeight="1">
      <c r="B27" s="223" t="s">
        <v>162</v>
      </c>
      <c r="C27" s="23"/>
      <c r="D27" s="197">
        <v>2.1</v>
      </c>
      <c r="E27" s="198">
        <v>3.4</v>
      </c>
      <c r="F27" s="198">
        <v>11.7</v>
      </c>
      <c r="G27" s="198">
        <v>12.3</v>
      </c>
      <c r="H27" s="198">
        <v>15.8</v>
      </c>
      <c r="I27" s="199">
        <v>22.9</v>
      </c>
      <c r="J27" s="389" t="s">
        <v>1090</v>
      </c>
      <c r="L27" s="233">
        <v>1</v>
      </c>
      <c r="N27" s="296" t="s">
        <v>199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SUM((ROUNDDOWN((D66:I66)*단가,0)))</f>
        <v>18965338</v>
      </c>
      <c r="X27" s="154"/>
      <c r="Y27" s="150" t="str">
        <f t="shared" si="1"/>
        <v>제 12 호표</v>
      </c>
      <c r="Z27" s="150"/>
    </row>
    <row r="28" spans="2:26" ht="18" customHeight="1">
      <c r="B28" s="223" t="s">
        <v>163</v>
      </c>
      <c r="C28" s="23"/>
      <c r="D28" s="197">
        <v>2.4</v>
      </c>
      <c r="E28" s="198">
        <v>3.9</v>
      </c>
      <c r="F28" s="198">
        <v>10.7</v>
      </c>
      <c r="G28" s="198">
        <v>10.5</v>
      </c>
      <c r="H28" s="198">
        <v>15.8</v>
      </c>
      <c r="I28" s="199">
        <v>22.9</v>
      </c>
      <c r="J28" s="389" t="s">
        <v>1090</v>
      </c>
      <c r="L28" s="233">
        <v>1</v>
      </c>
      <c r="N28" s="296" t="s">
        <v>200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SUM((ROUNDDOWN((D67:I67)*단가,0)))</f>
        <v>18450047</v>
      </c>
      <c r="X28" s="154"/>
      <c r="Y28" s="150" t="str">
        <f t="shared" si="1"/>
        <v>제 13 호표</v>
      </c>
      <c r="Z28" s="150"/>
    </row>
    <row r="29" spans="2:26" ht="18" customHeight="1">
      <c r="B29" s="223" t="s">
        <v>164</v>
      </c>
      <c r="C29" s="23"/>
      <c r="D29" s="197">
        <v>2.8</v>
      </c>
      <c r="E29" s="198">
        <v>4.4000000000000004</v>
      </c>
      <c r="F29" s="198">
        <v>10.7</v>
      </c>
      <c r="G29" s="198">
        <v>10.5</v>
      </c>
      <c r="H29" s="198">
        <v>18.399999999999999</v>
      </c>
      <c r="I29" s="199">
        <v>26.8</v>
      </c>
      <c r="J29" s="389" t="s">
        <v>1090</v>
      </c>
      <c r="L29" s="233">
        <v>1</v>
      </c>
      <c r="N29" s="300" t="s">
        <v>201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SUM((ROUNDDOWN((D68:I68)*단가,0)))</f>
        <v>20411143</v>
      </c>
      <c r="X29" s="154"/>
      <c r="Y29" s="150" t="str">
        <f t="shared" si="1"/>
        <v>제 14 호표</v>
      </c>
      <c r="Z29" s="150"/>
    </row>
    <row r="30" spans="2:26" ht="18" customHeight="1">
      <c r="B30" s="222" t="s">
        <v>165</v>
      </c>
      <c r="C30" s="47"/>
      <c r="D30" s="48">
        <f t="shared" ref="D30:I30" si="4">SUBTOTAL(9,D31:D36)</f>
        <v>26.3</v>
      </c>
      <c r="E30" s="49">
        <f t="shared" si="4"/>
        <v>41.9</v>
      </c>
      <c r="F30" s="49">
        <f t="shared" si="4"/>
        <v>124.3</v>
      </c>
      <c r="G30" s="49">
        <f t="shared" si="4"/>
        <v>175.2</v>
      </c>
      <c r="H30" s="49">
        <f t="shared" si="4"/>
        <v>197.7</v>
      </c>
      <c r="I30" s="50">
        <f t="shared" si="4"/>
        <v>286.59999999999997</v>
      </c>
      <c r="J30" s="389"/>
      <c r="L30" s="233"/>
      <c r="N30" s="292" t="s">
        <v>202</v>
      </c>
      <c r="O30" s="37"/>
      <c r="P30" s="39"/>
      <c r="Q30" s="37"/>
      <c r="R30" s="117"/>
      <c r="S30" s="37"/>
      <c r="T30" s="37"/>
      <c r="U30" s="226"/>
      <c r="V30" s="231"/>
      <c r="W30" s="195">
        <f ca="1">SUBTOTAL(9,W31:W36)</f>
        <v>236507522</v>
      </c>
      <c r="X30" s="154"/>
      <c r="Y30" s="150" t="str">
        <f t="shared" si="1"/>
        <v/>
      </c>
      <c r="Z30" s="150"/>
    </row>
    <row r="31" spans="2:26" ht="18" customHeight="1">
      <c r="B31" s="223" t="s">
        <v>166</v>
      </c>
      <c r="C31" s="23"/>
      <c r="D31" s="197">
        <v>5</v>
      </c>
      <c r="E31" s="198">
        <v>8</v>
      </c>
      <c r="F31" s="198">
        <v>20.3</v>
      </c>
      <c r="G31" s="198">
        <v>28.4</v>
      </c>
      <c r="H31" s="198">
        <v>32.299999999999997</v>
      </c>
      <c r="I31" s="199">
        <v>46.8</v>
      </c>
      <c r="J31" s="389" t="s">
        <v>1090</v>
      </c>
      <c r="L31" s="233">
        <v>1</v>
      </c>
      <c r="N31" s="296" t="s">
        <v>203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SUM((ROUNDDOWN((D70:I70)*단가,0)))</f>
        <v>39325169</v>
      </c>
      <c r="X31" s="154"/>
      <c r="Y31" s="150" t="str">
        <f t="shared" si="1"/>
        <v>제 15 호표</v>
      </c>
      <c r="Z31" s="150"/>
    </row>
    <row r="32" spans="2:26" ht="18" customHeight="1">
      <c r="B32" s="223" t="s">
        <v>167</v>
      </c>
      <c r="C32" s="23"/>
      <c r="D32" s="197">
        <v>4.3</v>
      </c>
      <c r="E32" s="198">
        <v>6.8</v>
      </c>
      <c r="F32" s="198">
        <v>21</v>
      </c>
      <c r="G32" s="198">
        <v>29.7</v>
      </c>
      <c r="H32" s="198">
        <v>32.299999999999997</v>
      </c>
      <c r="I32" s="199">
        <v>46.8</v>
      </c>
      <c r="J32" s="389" t="s">
        <v>1090</v>
      </c>
      <c r="L32" s="233">
        <v>1</v>
      </c>
      <c r="N32" s="296" t="s">
        <v>204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SUM((ROUNDDOWN((D71:I71)*단가,0)))</f>
        <v>39151391</v>
      </c>
      <c r="X32" s="154"/>
      <c r="Y32" s="150" t="str">
        <f t="shared" si="1"/>
        <v>제 16 호표</v>
      </c>
      <c r="Z32" s="150"/>
    </row>
    <row r="33" spans="2:26" ht="18" customHeight="1">
      <c r="B33" s="223" t="s">
        <v>168</v>
      </c>
      <c r="C33" s="23"/>
      <c r="D33" s="197">
        <v>4.3</v>
      </c>
      <c r="E33" s="198">
        <v>6.8</v>
      </c>
      <c r="F33" s="198">
        <v>21</v>
      </c>
      <c r="G33" s="198">
        <v>29.7</v>
      </c>
      <c r="H33" s="198">
        <v>32.299999999999997</v>
      </c>
      <c r="I33" s="199">
        <v>46.8</v>
      </c>
      <c r="J33" s="389" t="s">
        <v>1090</v>
      </c>
      <c r="L33" s="233">
        <v>1</v>
      </c>
      <c r="N33" s="296" t="s">
        <v>205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SUM((ROUNDDOWN((D72:I72)*단가,0)))</f>
        <v>39151391</v>
      </c>
      <c r="X33" s="154"/>
      <c r="Y33" s="150" t="str">
        <f t="shared" si="1"/>
        <v>제 17 호표</v>
      </c>
      <c r="Z33" s="150"/>
    </row>
    <row r="34" spans="2:26" ht="18" customHeight="1">
      <c r="B34" s="223" t="s">
        <v>169</v>
      </c>
      <c r="C34" s="23"/>
      <c r="D34" s="197">
        <v>4.2</v>
      </c>
      <c r="E34" s="198">
        <v>6.7</v>
      </c>
      <c r="F34" s="198">
        <v>21</v>
      </c>
      <c r="G34" s="198">
        <v>29.7</v>
      </c>
      <c r="H34" s="198">
        <v>32.299999999999997</v>
      </c>
      <c r="I34" s="199">
        <v>46.8</v>
      </c>
      <c r="J34" s="389" t="s">
        <v>1090</v>
      </c>
      <c r="L34" s="233">
        <v>1</v>
      </c>
      <c r="N34" s="296" t="s">
        <v>206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SUM((ROUNDDOWN((D73:I73)*단가,0)))</f>
        <v>39067334</v>
      </c>
      <c r="X34" s="154"/>
      <c r="Y34" s="150" t="str">
        <f t="shared" si="1"/>
        <v>제 18 호표</v>
      </c>
      <c r="Z34" s="150"/>
    </row>
    <row r="35" spans="2:26" ht="18" customHeight="1">
      <c r="B35" s="223" t="s">
        <v>170</v>
      </c>
      <c r="C35" s="23"/>
      <c r="D35" s="197">
        <v>4.2</v>
      </c>
      <c r="E35" s="198">
        <v>6.8</v>
      </c>
      <c r="F35" s="198">
        <v>20</v>
      </c>
      <c r="G35" s="198">
        <v>28</v>
      </c>
      <c r="H35" s="198">
        <v>36.200000000000003</v>
      </c>
      <c r="I35" s="199">
        <v>52.6</v>
      </c>
      <c r="J35" s="389" t="s">
        <v>1090</v>
      </c>
      <c r="L35" s="233">
        <v>1</v>
      </c>
      <c r="N35" s="296" t="s">
        <v>207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SUM((ROUNDDOWN((D74:I74)*단가,0)))</f>
        <v>40660846</v>
      </c>
      <c r="X35" s="154"/>
      <c r="Y35" s="150" t="str">
        <f t="shared" si="1"/>
        <v>제 19 호표</v>
      </c>
      <c r="Z35" s="150"/>
    </row>
    <row r="36" spans="2:26" ht="18" customHeight="1">
      <c r="B36" s="223" t="s">
        <v>171</v>
      </c>
      <c r="C36" s="23"/>
      <c r="D36" s="197">
        <v>4.3</v>
      </c>
      <c r="E36" s="198">
        <v>6.8</v>
      </c>
      <c r="F36" s="198">
        <v>21</v>
      </c>
      <c r="G36" s="198">
        <v>29.7</v>
      </c>
      <c r="H36" s="198">
        <v>32.299999999999997</v>
      </c>
      <c r="I36" s="199">
        <v>46.8</v>
      </c>
      <c r="J36" s="389" t="s">
        <v>1090</v>
      </c>
      <c r="L36" s="233">
        <v>1</v>
      </c>
      <c r="N36" s="300" t="s">
        <v>208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SUM((ROUNDDOWN((D75:I75)*단가,0)))</f>
        <v>39151391</v>
      </c>
      <c r="X36" s="154"/>
      <c r="Y36" s="150" t="str">
        <f t="shared" si="1"/>
        <v>제 20 호표</v>
      </c>
      <c r="Z36" s="150"/>
    </row>
    <row r="37" spans="2:26" ht="18" customHeight="1">
      <c r="B37" s="222" t="s">
        <v>172</v>
      </c>
      <c r="C37" s="47"/>
      <c r="D37" s="48">
        <f t="shared" ref="D37:I37" si="5">SUBTOTAL(9,D38:D42)</f>
        <v>8.1999999999999993</v>
      </c>
      <c r="E37" s="49">
        <f t="shared" si="5"/>
        <v>13.1</v>
      </c>
      <c r="F37" s="49">
        <f t="shared" si="5"/>
        <v>29.3</v>
      </c>
      <c r="G37" s="49">
        <f t="shared" si="5"/>
        <v>43.8</v>
      </c>
      <c r="H37" s="49">
        <f t="shared" si="5"/>
        <v>66</v>
      </c>
      <c r="I37" s="50">
        <f t="shared" si="5"/>
        <v>48</v>
      </c>
      <c r="J37" s="389"/>
      <c r="L37" s="233"/>
      <c r="N37" s="292" t="s">
        <v>209</v>
      </c>
      <c r="O37" s="37"/>
      <c r="P37" s="39"/>
      <c r="Q37" s="37"/>
      <c r="R37" s="117"/>
      <c r="S37" s="37"/>
      <c r="T37" s="37"/>
      <c r="U37" s="226"/>
      <c r="V37" s="231"/>
      <c r="W37" s="195">
        <f ca="1">SUBTOTAL(9,W38:W42)</f>
        <v>58302507</v>
      </c>
      <c r="X37" s="154"/>
      <c r="Y37" s="150"/>
      <c r="Z37" s="150"/>
    </row>
    <row r="38" spans="2:26" ht="18" customHeight="1">
      <c r="B38" s="223" t="s">
        <v>173</v>
      </c>
      <c r="C38" s="23"/>
      <c r="D38" s="197">
        <v>1.2</v>
      </c>
      <c r="E38" s="198">
        <v>2</v>
      </c>
      <c r="F38" s="198">
        <v>5.3</v>
      </c>
      <c r="G38" s="198">
        <v>8.3000000000000007</v>
      </c>
      <c r="H38" s="198">
        <v>13.2</v>
      </c>
      <c r="I38" s="199">
        <v>9.6</v>
      </c>
      <c r="J38" s="389" t="s">
        <v>1090</v>
      </c>
      <c r="L38" s="233">
        <v>1</v>
      </c>
      <c r="N38" s="296" t="s">
        <v>210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SUM((ROUNDDOWN((D77:I77)*단가,0)))</f>
        <v>10913589</v>
      </c>
      <c r="X38" s="154"/>
      <c r="Y38" s="150" t="str">
        <f t="shared" si="1"/>
        <v>제 21 호표</v>
      </c>
      <c r="Z38" s="150"/>
    </row>
    <row r="39" spans="2:26" ht="18" customHeight="1">
      <c r="B39" s="223" t="s">
        <v>174</v>
      </c>
      <c r="C39" s="23"/>
      <c r="D39" s="197">
        <v>1.2</v>
      </c>
      <c r="E39" s="198">
        <v>2</v>
      </c>
      <c r="F39" s="198">
        <v>6.7</v>
      </c>
      <c r="G39" s="198">
        <v>9.1999999999999993</v>
      </c>
      <c r="H39" s="198">
        <v>13.2</v>
      </c>
      <c r="I39" s="199">
        <v>9.6</v>
      </c>
      <c r="J39" s="389" t="s">
        <v>1090</v>
      </c>
      <c r="L39" s="233">
        <v>1</v>
      </c>
      <c r="N39" s="296" t="s">
        <v>211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SUM((ROUNDDOWN((D78:I78)*단가,0)))</f>
        <v>11614450</v>
      </c>
      <c r="X39" s="154"/>
      <c r="Y39" s="150" t="str">
        <f t="shared" si="1"/>
        <v>제 22 호표</v>
      </c>
      <c r="Z39" s="150"/>
    </row>
    <row r="40" spans="2:26" ht="18" customHeight="1">
      <c r="B40" s="223" t="s">
        <v>175</v>
      </c>
      <c r="C40" s="23"/>
      <c r="D40" s="197">
        <v>1.3</v>
      </c>
      <c r="E40" s="198">
        <v>2</v>
      </c>
      <c r="F40" s="198">
        <v>6.7</v>
      </c>
      <c r="G40" s="198">
        <v>9.6999999999999993</v>
      </c>
      <c r="H40" s="198">
        <v>13.2</v>
      </c>
      <c r="I40" s="199">
        <v>9.6</v>
      </c>
      <c r="J40" s="389" t="s">
        <v>1090</v>
      </c>
      <c r="L40" s="233">
        <v>1</v>
      </c>
      <c r="M40" s="171"/>
      <c r="N40" s="296" t="s">
        <v>212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SUM((ROUNDDOWN((D79:I79)*단가,0)))</f>
        <v>11808741</v>
      </c>
      <c r="X40" s="154"/>
      <c r="Y40" s="150" t="str">
        <f t="shared" si="1"/>
        <v>제 23 호표</v>
      </c>
      <c r="Z40" s="150"/>
    </row>
    <row r="41" spans="2:26" ht="18" customHeight="1">
      <c r="B41" s="223" t="s">
        <v>176</v>
      </c>
      <c r="C41" s="23"/>
      <c r="D41" s="197">
        <v>2.2000000000000002</v>
      </c>
      <c r="E41" s="198">
        <v>3.5</v>
      </c>
      <c r="F41" s="198">
        <v>5.3</v>
      </c>
      <c r="G41" s="198">
        <v>8.3000000000000007</v>
      </c>
      <c r="H41" s="198">
        <v>13.2</v>
      </c>
      <c r="I41" s="199">
        <v>9.6</v>
      </c>
      <c r="J41" s="389" t="s">
        <v>1090</v>
      </c>
      <c r="L41" s="233">
        <v>1</v>
      </c>
      <c r="M41" s="171"/>
      <c r="N41" s="296" t="s">
        <v>213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SUM((ROUNDDOWN((D80:I80)*단가,0)))</f>
        <v>11940835</v>
      </c>
      <c r="X41" s="154"/>
      <c r="Y41" s="150" t="str">
        <f t="shared" si="1"/>
        <v>제 24 호표</v>
      </c>
      <c r="Z41" s="150"/>
    </row>
    <row r="42" spans="2:26" ht="18" customHeight="1">
      <c r="B42" s="223" t="s">
        <v>177</v>
      </c>
      <c r="C42" s="23"/>
      <c r="D42" s="197">
        <v>2.2999999999999998</v>
      </c>
      <c r="E42" s="198">
        <v>3.6</v>
      </c>
      <c r="F42" s="198">
        <v>5.3</v>
      </c>
      <c r="G42" s="198">
        <v>8.3000000000000007</v>
      </c>
      <c r="H42" s="198">
        <v>13.2</v>
      </c>
      <c r="I42" s="199">
        <v>9.6</v>
      </c>
      <c r="J42" s="389" t="s">
        <v>1090</v>
      </c>
      <c r="L42" s="233">
        <v>1</v>
      </c>
      <c r="M42" s="171"/>
      <c r="N42" s="296" t="s">
        <v>214</v>
      </c>
      <c r="O42" s="37"/>
      <c r="P42" s="39"/>
      <c r="Q42" s="37"/>
      <c r="R42" s="117"/>
      <c r="S42" s="37"/>
      <c r="T42" s="37"/>
      <c r="U42" s="226"/>
      <c r="V42" s="231"/>
      <c r="W42" s="153">
        <f t="array" aca="1" ref="W42" ca="1">SUM((ROUNDDOWN((D81:I81)*단가,0)))</f>
        <v>12024892</v>
      </c>
      <c r="X42" s="154"/>
      <c r="Y42" s="150" t="str">
        <f t="shared" si="1"/>
        <v>제 25 호표</v>
      </c>
      <c r="Z42" s="150"/>
    </row>
    <row r="43" spans="2:26" ht="18" customHeight="1">
      <c r="B43" s="222" t="s">
        <v>257</v>
      </c>
      <c r="C43" s="47"/>
      <c r="D43" s="48">
        <f t="shared" ref="D43:I43" si="6">SUBTOTAL(9,D44:D45)</f>
        <v>3.2</v>
      </c>
      <c r="E43" s="49">
        <f t="shared" si="6"/>
        <v>5.3000000000000007</v>
      </c>
      <c r="F43" s="49">
        <f t="shared" si="6"/>
        <v>14.600000000000001</v>
      </c>
      <c r="G43" s="49">
        <f t="shared" si="6"/>
        <v>43.8</v>
      </c>
      <c r="H43" s="49">
        <f t="shared" si="6"/>
        <v>65.800000000000011</v>
      </c>
      <c r="I43" s="50">
        <f t="shared" si="6"/>
        <v>143.4</v>
      </c>
      <c r="J43" s="389"/>
      <c r="L43" s="233"/>
      <c r="M43" s="171"/>
      <c r="N43" s="292" t="s">
        <v>258</v>
      </c>
      <c r="O43" s="37"/>
      <c r="P43" s="39"/>
      <c r="Q43" s="37"/>
      <c r="R43" s="117"/>
      <c r="S43" s="37"/>
      <c r="T43" s="37"/>
      <c r="U43" s="226"/>
      <c r="V43" s="231"/>
      <c r="W43" s="195">
        <f ca="1">SUBTOTAL(9,W44:W45)</f>
        <v>72295489</v>
      </c>
      <c r="X43" s="154"/>
      <c r="Y43" s="150"/>
      <c r="Z43" s="150"/>
    </row>
    <row r="44" spans="2:26" ht="18" customHeight="1">
      <c r="B44" s="223" t="s">
        <v>178</v>
      </c>
      <c r="C44" s="23"/>
      <c r="D44" s="197">
        <v>1.9</v>
      </c>
      <c r="E44" s="198">
        <v>3.2</v>
      </c>
      <c r="F44" s="198">
        <v>6.3</v>
      </c>
      <c r="G44" s="198">
        <v>21.5</v>
      </c>
      <c r="H44" s="198">
        <v>32.200000000000003</v>
      </c>
      <c r="I44" s="199">
        <v>71.7</v>
      </c>
      <c r="J44" s="389" t="s">
        <v>1090</v>
      </c>
      <c r="L44" s="233">
        <v>1</v>
      </c>
      <c r="M44" s="171"/>
      <c r="N44" s="296" t="s">
        <v>215</v>
      </c>
      <c r="O44" s="37"/>
      <c r="P44" s="39"/>
      <c r="Q44" s="37"/>
      <c r="R44" s="117"/>
      <c r="S44" s="37"/>
      <c r="T44" s="37"/>
      <c r="U44" s="226"/>
      <c r="V44" s="231"/>
      <c r="W44" s="153">
        <f t="array" aca="1" ref="W44" ca="1">SUM((ROUNDDOWN((D83:I83)*단가,0)))</f>
        <v>35899493</v>
      </c>
      <c r="X44" s="154"/>
      <c r="Y44" s="150" t="str">
        <f t="shared" si="1"/>
        <v>제 26 호표</v>
      </c>
      <c r="Z44" s="150"/>
    </row>
    <row r="45" spans="2:26" ht="18" customHeight="1">
      <c r="B45" s="223" t="s">
        <v>179</v>
      </c>
      <c r="C45" s="23"/>
      <c r="D45" s="197">
        <v>1.3</v>
      </c>
      <c r="E45" s="198">
        <v>2.1</v>
      </c>
      <c r="F45" s="198">
        <v>8.3000000000000007</v>
      </c>
      <c r="G45" s="198">
        <v>22.3</v>
      </c>
      <c r="H45" s="198">
        <v>33.6</v>
      </c>
      <c r="I45" s="199">
        <v>71.7</v>
      </c>
      <c r="J45" s="389" t="s">
        <v>1093</v>
      </c>
      <c r="L45" s="233">
        <v>1</v>
      </c>
      <c r="M45" s="171"/>
      <c r="N45" s="296" t="s">
        <v>216</v>
      </c>
      <c r="O45" s="37"/>
      <c r="P45" s="39"/>
      <c r="Q45" s="37"/>
      <c r="R45" s="117"/>
      <c r="S45" s="37"/>
      <c r="T45" s="37"/>
      <c r="U45" s="226"/>
      <c r="V45" s="231"/>
      <c r="W45" s="153">
        <f t="array" aca="1" ref="W45" ca="1">SUM((ROUNDDOWN((D84:I84)*단가,0)))</f>
        <v>36395996</v>
      </c>
      <c r="X45" s="154"/>
      <c r="Y45" s="150" t="str">
        <f t="shared" si="1"/>
        <v>제 27 호표</v>
      </c>
      <c r="Z45" s="150"/>
    </row>
    <row r="46" spans="2:26" ht="18" customHeight="1">
      <c r="B46" s="252" t="s">
        <v>180</v>
      </c>
      <c r="C46" s="253"/>
      <c r="D46" s="81">
        <f t="shared" ref="D46:I46" si="7">SUBTOTAL(9,D47:D50)</f>
        <v>8</v>
      </c>
      <c r="E46" s="82">
        <f t="shared" si="7"/>
        <v>8</v>
      </c>
      <c r="F46" s="82">
        <f t="shared" si="7"/>
        <v>8</v>
      </c>
      <c r="G46" s="82">
        <f t="shared" si="7"/>
        <v>16</v>
      </c>
      <c r="H46" s="82">
        <f t="shared" si="7"/>
        <v>16</v>
      </c>
      <c r="I46" s="83">
        <f t="shared" si="7"/>
        <v>16</v>
      </c>
      <c r="J46" s="74"/>
      <c r="L46" s="233"/>
      <c r="M46" s="171"/>
      <c r="N46" s="292" t="s">
        <v>217</v>
      </c>
      <c r="O46" s="37"/>
      <c r="P46" s="39"/>
      <c r="Q46" s="37"/>
      <c r="R46" s="117"/>
      <c r="S46" s="37"/>
      <c r="T46" s="37"/>
      <c r="U46" s="226"/>
      <c r="V46" s="231"/>
      <c r="W46" s="195">
        <f ca="1">SUBTOTAL(9,W47:W50)</f>
        <v>21702576</v>
      </c>
      <c r="X46" s="154"/>
      <c r="Y46" s="150" t="str">
        <f>IF(A85&gt;0, "제 " &amp;A85&amp; " 호표","")</f>
        <v/>
      </c>
      <c r="Z46" s="150"/>
    </row>
    <row r="47" spans="2:26" ht="18" customHeight="1">
      <c r="B47" s="223" t="s">
        <v>181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389" t="s">
        <v>1095</v>
      </c>
      <c r="L47" s="233">
        <v>1</v>
      </c>
      <c r="M47" s="171"/>
      <c r="N47" s="296" t="s">
        <v>218</v>
      </c>
      <c r="O47" s="37"/>
      <c r="P47" s="39"/>
      <c r="Q47" s="37"/>
      <c r="R47" s="117"/>
      <c r="S47" s="37"/>
      <c r="T47" s="37"/>
      <c r="U47" s="226"/>
      <c r="V47" s="231"/>
      <c r="W47" s="153">
        <f t="array" aca="1" ref="W47" ca="1">SUM((ROUNDDOWN((D86:I86)*단가,0)))</f>
        <v>5425644</v>
      </c>
      <c r="X47" s="154"/>
      <c r="Y47" s="150" t="str">
        <f t="shared" si="1"/>
        <v>제 28 호표</v>
      </c>
      <c r="Z47" s="150"/>
    </row>
    <row r="48" spans="2:26" ht="18" customHeight="1">
      <c r="B48" s="223" t="s">
        <v>182</v>
      </c>
      <c r="C48" s="23"/>
      <c r="D48" s="197">
        <v>2</v>
      </c>
      <c r="E48" s="198">
        <v>2</v>
      </c>
      <c r="F48" s="198">
        <v>2</v>
      </c>
      <c r="G48" s="198">
        <v>4</v>
      </c>
      <c r="H48" s="198">
        <v>4</v>
      </c>
      <c r="I48" s="199">
        <v>4</v>
      </c>
      <c r="J48" s="389" t="s">
        <v>1094</v>
      </c>
      <c r="L48" s="233">
        <v>1</v>
      </c>
      <c r="M48" s="171"/>
      <c r="N48" s="296" t="s">
        <v>219</v>
      </c>
      <c r="O48" s="37"/>
      <c r="P48" s="39"/>
      <c r="Q48" s="37"/>
      <c r="R48" s="117"/>
      <c r="S48" s="37"/>
      <c r="T48" s="37"/>
      <c r="U48" s="226"/>
      <c r="V48" s="231"/>
      <c r="W48" s="153">
        <f t="array" aca="1" ref="W48" ca="1">SUM((ROUNDDOWN((D87:I87)*단가,0)))</f>
        <v>5425644</v>
      </c>
      <c r="X48" s="154"/>
      <c r="Y48" s="150" t="str">
        <f t="shared" si="1"/>
        <v>제 29 호표</v>
      </c>
      <c r="Z48" s="150"/>
    </row>
    <row r="49" spans="1:26" ht="18" customHeight="1">
      <c r="B49" s="223" t="s">
        <v>183</v>
      </c>
      <c r="C49" s="23"/>
      <c r="D49" s="197">
        <v>2</v>
      </c>
      <c r="E49" s="198">
        <v>2</v>
      </c>
      <c r="F49" s="198">
        <v>2</v>
      </c>
      <c r="G49" s="198">
        <v>4</v>
      </c>
      <c r="H49" s="198">
        <v>4</v>
      </c>
      <c r="I49" s="199">
        <v>4</v>
      </c>
      <c r="J49" s="389" t="s">
        <v>1094</v>
      </c>
      <c r="L49" s="233">
        <v>1</v>
      </c>
      <c r="M49" s="171"/>
      <c r="N49" s="296" t="s">
        <v>220</v>
      </c>
      <c r="O49" s="37"/>
      <c r="P49" s="39"/>
      <c r="Q49" s="37"/>
      <c r="R49" s="117"/>
      <c r="S49" s="37"/>
      <c r="T49" s="37"/>
      <c r="U49" s="226"/>
      <c r="V49" s="231"/>
      <c r="W49" s="153">
        <f t="array" aca="1" ref="W49" ca="1">SUM((ROUNDDOWN((D88:I88)*단가,0)))</f>
        <v>5425644</v>
      </c>
      <c r="X49" s="154"/>
      <c r="Y49" s="150" t="str">
        <f t="shared" si="1"/>
        <v>제 30 호표</v>
      </c>
      <c r="Z49" s="150"/>
    </row>
    <row r="50" spans="1:26" ht="18" customHeight="1" thickBot="1">
      <c r="B50" s="223" t="s">
        <v>184</v>
      </c>
      <c r="C50" s="23"/>
      <c r="D50" s="197">
        <v>2</v>
      </c>
      <c r="E50" s="198">
        <v>2</v>
      </c>
      <c r="F50" s="198">
        <v>2</v>
      </c>
      <c r="G50" s="198">
        <v>4</v>
      </c>
      <c r="H50" s="198">
        <v>4</v>
      </c>
      <c r="I50" s="199">
        <v>4</v>
      </c>
      <c r="J50" s="389" t="s">
        <v>1094</v>
      </c>
      <c r="L50" s="233">
        <v>1</v>
      </c>
      <c r="M50" s="171"/>
      <c r="N50" s="296" t="s">
        <v>221</v>
      </c>
      <c r="O50" s="37"/>
      <c r="P50" s="39"/>
      <c r="Q50" s="37"/>
      <c r="R50" s="117"/>
      <c r="S50" s="37"/>
      <c r="T50" s="37"/>
      <c r="U50" s="226"/>
      <c r="V50" s="231"/>
      <c r="W50" s="153">
        <f t="array" aca="1" ref="W50" ca="1">SUM((ROUNDDOWN((D89:I89)*단가,0)))</f>
        <v>5425644</v>
      </c>
      <c r="X50" s="154"/>
      <c r="Y50" s="150" t="str">
        <f t="shared" si="1"/>
        <v>제 31 호표</v>
      </c>
      <c r="Z50" s="150"/>
    </row>
    <row r="51" spans="1:26" ht="18" customHeight="1" thickBot="1">
      <c r="B51" s="14" t="s">
        <v>30</v>
      </c>
      <c r="C51" s="16"/>
      <c r="D51" s="14" t="s">
        <v>12</v>
      </c>
      <c r="E51" s="15"/>
      <c r="F51" s="15"/>
      <c r="G51" s="15"/>
      <c r="H51" s="15"/>
      <c r="I51" s="16"/>
      <c r="J51" s="175" t="s">
        <v>31</v>
      </c>
      <c r="M51" s="171"/>
      <c r="N51" s="379"/>
      <c r="P51" s="371"/>
      <c r="R51" s="357"/>
      <c r="S51" s="1"/>
      <c r="T51" s="1"/>
      <c r="U51" s="258"/>
      <c r="V51" s="380"/>
      <c r="W51" s="373"/>
      <c r="X51" s="374"/>
      <c r="Y51" s="378"/>
      <c r="Z51" s="378"/>
    </row>
    <row r="52" spans="1:26" ht="18" customHeight="1">
      <c r="B52" s="225" t="s">
        <v>1089</v>
      </c>
      <c r="C52" s="72"/>
      <c r="D52" s="203">
        <f t="shared" ref="D52:I52" si="8">SUBTOTAL(9,D53:D58)</f>
        <v>9.9</v>
      </c>
      <c r="E52" s="204">
        <f t="shared" si="8"/>
        <v>15.7</v>
      </c>
      <c r="F52" s="204">
        <f t="shared" si="8"/>
        <v>44</v>
      </c>
      <c r="G52" s="204">
        <f t="shared" si="8"/>
        <v>87.8</v>
      </c>
      <c r="H52" s="204">
        <f t="shared" si="8"/>
        <v>164.6</v>
      </c>
      <c r="I52" s="205">
        <f t="shared" si="8"/>
        <v>286.60000000000002</v>
      </c>
      <c r="J52" s="654"/>
      <c r="M52" s="171"/>
      <c r="N52" s="290" t="s">
        <v>453</v>
      </c>
      <c r="O52" s="129"/>
      <c r="P52" s="130"/>
      <c r="Q52" s="124"/>
      <c r="R52" s="131"/>
      <c r="S52" s="124"/>
      <c r="T52" s="124"/>
      <c r="U52" s="181"/>
      <c r="V52" s="181"/>
      <c r="W52" s="159">
        <f>SUBTOTAL(9,W53:W55)</f>
        <v>6000000</v>
      </c>
      <c r="X52" s="160"/>
      <c r="Y52" s="124"/>
      <c r="Z52" s="124"/>
    </row>
    <row r="53" spans="1:26" ht="18" customHeight="1">
      <c r="A53" s="326">
        <v>1</v>
      </c>
      <c r="B53" s="223" t="s">
        <v>149</v>
      </c>
      <c r="C53" s="23"/>
      <c r="D53" s="197">
        <f t="array" ref="D53:I55">ROUNDDOWN(D14:I19*D5*L14:L19,3)</f>
        <v>1.5</v>
      </c>
      <c r="E53" s="198">
        <v>2.4</v>
      </c>
      <c r="F53" s="198">
        <v>7</v>
      </c>
      <c r="G53" s="198">
        <v>14.5</v>
      </c>
      <c r="H53" s="198">
        <v>28.3</v>
      </c>
      <c r="I53" s="199">
        <v>49.7</v>
      </c>
      <c r="J53" s="389" t="s">
        <v>1091</v>
      </c>
      <c r="M53" s="171"/>
      <c r="N53" s="291" t="str">
        <f>"여비("&amp;TEXT(T53,"#인 ×")&amp;TEXT(U53,"#일 ×")&amp;TEXT(V53,"###,###원)")</f>
        <v>여비(3인 ×10일 ×100,000원)</v>
      </c>
      <c r="O53" s="78"/>
      <c r="P53" s="52"/>
      <c r="Q53" s="51"/>
      <c r="T53" s="146">
        <v>3</v>
      </c>
      <c r="U53" s="146">
        <v>10</v>
      </c>
      <c r="V53" s="147">
        <v>100000</v>
      </c>
      <c r="W53" s="161">
        <f>T53*U53*V53</f>
        <v>3000000</v>
      </c>
      <c r="X53" s="162"/>
      <c r="Y53" s="51"/>
      <c r="Z53" s="51"/>
    </row>
    <row r="54" spans="1:26" ht="18" customHeight="1">
      <c r="A54" s="326">
        <v>2</v>
      </c>
      <c r="B54" s="223" t="s">
        <v>150</v>
      </c>
      <c r="C54" s="23"/>
      <c r="D54" s="197">
        <v>1.5</v>
      </c>
      <c r="E54" s="198">
        <v>2.4</v>
      </c>
      <c r="F54" s="198">
        <v>7</v>
      </c>
      <c r="G54" s="198">
        <v>14.5</v>
      </c>
      <c r="H54" s="198">
        <v>28.3</v>
      </c>
      <c r="I54" s="199">
        <v>49.7</v>
      </c>
      <c r="J54" s="389" t="s">
        <v>1090</v>
      </c>
      <c r="M54" s="171"/>
      <c r="N54" s="292" t="s">
        <v>46</v>
      </c>
      <c r="O54" s="79"/>
      <c r="P54" s="39"/>
      <c r="Q54" s="37"/>
      <c r="R54" s="117"/>
      <c r="S54" s="37"/>
      <c r="T54" s="37"/>
      <c r="U54" s="180"/>
      <c r="V54" s="180"/>
      <c r="W54" s="157">
        <v>2000000</v>
      </c>
      <c r="X54" s="158"/>
      <c r="Y54" s="37"/>
      <c r="Z54" s="37"/>
    </row>
    <row r="55" spans="1:26" ht="18" customHeight="1">
      <c r="A55" s="326">
        <v>3</v>
      </c>
      <c r="B55" s="223" t="s">
        <v>151</v>
      </c>
      <c r="C55" s="23"/>
      <c r="D55" s="197">
        <v>1.8</v>
      </c>
      <c r="E55" s="198">
        <v>2.9</v>
      </c>
      <c r="F55" s="198">
        <v>7</v>
      </c>
      <c r="G55" s="198">
        <v>14.5</v>
      </c>
      <c r="H55" s="198">
        <v>27</v>
      </c>
      <c r="I55" s="199">
        <v>46.8</v>
      </c>
      <c r="J55" s="389" t="s">
        <v>1090</v>
      </c>
      <c r="M55" s="171"/>
      <c r="N55" s="293" t="s">
        <v>13</v>
      </c>
      <c r="O55" s="132"/>
      <c r="P55" s="38"/>
      <c r="Q55" s="38"/>
      <c r="R55" s="116"/>
      <c r="S55" s="38"/>
      <c r="T55" s="38"/>
      <c r="U55" s="183"/>
      <c r="V55" s="183"/>
      <c r="W55" s="155">
        <v>1000000</v>
      </c>
      <c r="X55" s="156"/>
      <c r="Y55" s="38"/>
      <c r="Z55" s="38"/>
    </row>
    <row r="56" spans="1:26" ht="18" customHeight="1">
      <c r="A56" s="326">
        <v>4</v>
      </c>
      <c r="B56" s="223" t="s">
        <v>152</v>
      </c>
      <c r="C56" s="23"/>
      <c r="D56" s="197">
        <v>1.5</v>
      </c>
      <c r="E56" s="198">
        <v>2.4</v>
      </c>
      <c r="F56" s="198">
        <v>8</v>
      </c>
      <c r="G56" s="198">
        <v>14.9</v>
      </c>
      <c r="H56" s="198">
        <v>27</v>
      </c>
      <c r="I56" s="199">
        <v>46.8</v>
      </c>
      <c r="J56" s="389" t="s">
        <v>1090</v>
      </c>
      <c r="M56" s="171"/>
      <c r="N56" s="127" t="s">
        <v>47</v>
      </c>
      <c r="O56" s="123"/>
      <c r="P56" s="123"/>
      <c r="Q56" s="123"/>
      <c r="R56" s="123"/>
      <c r="S56" s="123"/>
      <c r="T56" s="123"/>
      <c r="U56" s="184"/>
      <c r="V56" s="184"/>
      <c r="W56" s="163">
        <f ca="1">SUBTOTAL(9,W57:W58)</f>
        <v>1267207343</v>
      </c>
      <c r="X56" s="164"/>
      <c r="Y56" s="123"/>
      <c r="Z56" s="123"/>
    </row>
    <row r="57" spans="1:26" ht="18" customHeight="1">
      <c r="A57" s="326">
        <v>5</v>
      </c>
      <c r="B57" s="223" t="s">
        <v>153</v>
      </c>
      <c r="C57" s="23"/>
      <c r="D57" s="197">
        <v>1.6</v>
      </c>
      <c r="E57" s="198">
        <v>2.4</v>
      </c>
      <c r="F57" s="198">
        <v>8</v>
      </c>
      <c r="G57" s="198">
        <v>14.9</v>
      </c>
      <c r="H57" s="198">
        <v>27</v>
      </c>
      <c r="I57" s="199">
        <v>46.8</v>
      </c>
      <c r="J57" s="389" t="s">
        <v>1090</v>
      </c>
      <c r="M57" s="171"/>
      <c r="N57" s="133" t="s">
        <v>861</v>
      </c>
      <c r="O57" s="124"/>
      <c r="P57" s="134"/>
      <c r="Q57" s="124"/>
      <c r="R57" s="131"/>
      <c r="S57" s="124"/>
      <c r="T57" s="181"/>
      <c r="U57" s="181"/>
      <c r="V57" s="190">
        <v>1.1499999999999999</v>
      </c>
      <c r="W57" s="159">
        <f ca="1">ROUNDDOWN(W12*V57,0)</f>
        <v>811859858</v>
      </c>
      <c r="X57" s="160"/>
      <c r="Y57" s="124"/>
      <c r="Z57" s="124"/>
    </row>
    <row r="58" spans="1:26" ht="18" customHeight="1" thickBot="1">
      <c r="A58" s="326">
        <v>6</v>
      </c>
      <c r="B58" s="224" t="s">
        <v>154</v>
      </c>
      <c r="C58" s="27"/>
      <c r="D58" s="206">
        <v>2</v>
      </c>
      <c r="E58" s="207">
        <v>3.2</v>
      </c>
      <c r="F58" s="207">
        <v>7</v>
      </c>
      <c r="G58" s="207">
        <v>14.5</v>
      </c>
      <c r="H58" s="207">
        <v>27</v>
      </c>
      <c r="I58" s="208">
        <v>46.8</v>
      </c>
      <c r="J58" s="389" t="s">
        <v>1092</v>
      </c>
      <c r="M58" s="171"/>
      <c r="N58" s="135" t="s">
        <v>863</v>
      </c>
      <c r="O58" s="136"/>
      <c r="P58" s="137"/>
      <c r="Q58" s="136"/>
      <c r="R58" s="138"/>
      <c r="S58" s="136"/>
      <c r="T58" s="185"/>
      <c r="U58" s="185"/>
      <c r="V58" s="191">
        <v>0.3</v>
      </c>
      <c r="W58" s="165">
        <f ca="1">ROUNDDOWN((W12+W57)*V58,0)</f>
        <v>455347485</v>
      </c>
      <c r="X58" s="166"/>
      <c r="Y58" s="136"/>
      <c r="Z58" s="136"/>
    </row>
    <row r="59" spans="1:26" ht="18" customHeight="1">
      <c r="B59" s="222" t="s">
        <v>155</v>
      </c>
      <c r="C59" s="47"/>
      <c r="D59" s="48">
        <f t="shared" ref="D59:I59" si="9">SUBTOTAL(9,D60:D63)</f>
        <v>8.1999999999999993</v>
      </c>
      <c r="E59" s="49">
        <f t="shared" si="9"/>
        <v>13.3</v>
      </c>
      <c r="F59" s="49">
        <f t="shared" si="9"/>
        <v>36.6</v>
      </c>
      <c r="G59" s="49">
        <f t="shared" si="9"/>
        <v>43.8</v>
      </c>
      <c r="H59" s="49">
        <f t="shared" si="9"/>
        <v>98.6</v>
      </c>
      <c r="I59" s="50">
        <f t="shared" si="9"/>
        <v>95.5</v>
      </c>
      <c r="J59" s="389"/>
      <c r="M59" s="171"/>
    </row>
    <row r="60" spans="1:26" ht="18" customHeight="1">
      <c r="A60" s="326">
        <v>7</v>
      </c>
      <c r="B60" s="223" t="s">
        <v>156</v>
      </c>
      <c r="C60" s="23"/>
      <c r="D60" s="197">
        <f t="array" ref="D60:I63">ROUNDDOWN(D21:I24*D5*L21:L24,3)</f>
        <v>2</v>
      </c>
      <c r="E60" s="198">
        <v>3.2</v>
      </c>
      <c r="F60" s="198">
        <v>9.5</v>
      </c>
      <c r="G60" s="198">
        <v>11.4</v>
      </c>
      <c r="H60" s="198">
        <v>24.3</v>
      </c>
      <c r="I60" s="199">
        <v>22.9</v>
      </c>
      <c r="J60" s="389" t="s">
        <v>1090</v>
      </c>
      <c r="M60" s="171"/>
    </row>
    <row r="61" spans="1:26" ht="18" customHeight="1" thickBot="1">
      <c r="A61" s="326">
        <v>8</v>
      </c>
      <c r="B61" s="223" t="s">
        <v>157</v>
      </c>
      <c r="C61" s="23"/>
      <c r="D61" s="197">
        <v>2.2000000000000002</v>
      </c>
      <c r="E61" s="198">
        <v>3.7</v>
      </c>
      <c r="F61" s="198">
        <v>8.8000000000000007</v>
      </c>
      <c r="G61" s="198">
        <v>10.5</v>
      </c>
      <c r="H61" s="198">
        <v>24.3</v>
      </c>
      <c r="I61" s="199">
        <v>22.9</v>
      </c>
      <c r="J61" s="389" t="s">
        <v>1090</v>
      </c>
      <c r="M61" s="171"/>
      <c r="N61" s="66" t="s">
        <v>18</v>
      </c>
      <c r="O61" s="2"/>
      <c r="P61" s="2"/>
      <c r="Q61" s="2"/>
      <c r="R61" s="3"/>
      <c r="S61" s="4"/>
      <c r="T61" s="3"/>
      <c r="U61" s="4"/>
      <c r="V61" s="3"/>
      <c r="W61" s="4"/>
      <c r="X61" s="3"/>
      <c r="Y61" s="4"/>
      <c r="Z61" s="2"/>
    </row>
    <row r="62" spans="1:26" ht="18" customHeight="1">
      <c r="A62" s="326">
        <v>9</v>
      </c>
      <c r="B62" s="223" t="s">
        <v>158</v>
      </c>
      <c r="C62" s="23"/>
      <c r="D62" s="197">
        <v>2</v>
      </c>
      <c r="E62" s="198">
        <v>3.2</v>
      </c>
      <c r="F62" s="198">
        <v>8.8000000000000007</v>
      </c>
      <c r="G62" s="198">
        <v>10.5</v>
      </c>
      <c r="H62" s="198">
        <v>25.7</v>
      </c>
      <c r="I62" s="199">
        <v>26.8</v>
      </c>
      <c r="J62" s="389" t="s">
        <v>1090</v>
      </c>
      <c r="M62" s="171"/>
      <c r="N62" s="765" t="s">
        <v>19</v>
      </c>
      <c r="O62" s="755" t="s">
        <v>20</v>
      </c>
      <c r="P62" s="755" t="s">
        <v>21</v>
      </c>
      <c r="Q62" s="755" t="s">
        <v>16</v>
      </c>
      <c r="R62" s="5" t="s">
        <v>22</v>
      </c>
      <c r="S62" s="5"/>
      <c r="T62" s="5" t="s">
        <v>23</v>
      </c>
      <c r="U62" s="5"/>
      <c r="V62" s="5" t="s">
        <v>24</v>
      </c>
      <c r="W62" s="5"/>
      <c r="X62" s="5" t="s">
        <v>25</v>
      </c>
      <c r="Y62" s="5"/>
      <c r="Z62" s="755" t="s">
        <v>26</v>
      </c>
    </row>
    <row r="63" spans="1:26" ht="18" customHeight="1" thickBot="1">
      <c r="A63" s="326">
        <v>10</v>
      </c>
      <c r="B63" s="223" t="s">
        <v>159</v>
      </c>
      <c r="C63" s="23"/>
      <c r="D63" s="197">
        <v>2</v>
      </c>
      <c r="E63" s="198">
        <v>3.2</v>
      </c>
      <c r="F63" s="198">
        <v>9.5</v>
      </c>
      <c r="G63" s="198">
        <v>11.4</v>
      </c>
      <c r="H63" s="198">
        <v>24.3</v>
      </c>
      <c r="I63" s="199">
        <v>22.9</v>
      </c>
      <c r="J63" s="389" t="s">
        <v>1090</v>
      </c>
      <c r="M63" s="171"/>
      <c r="N63" s="766"/>
      <c r="O63" s="756"/>
      <c r="P63" s="756"/>
      <c r="Q63" s="756"/>
      <c r="R63" s="67" t="s">
        <v>27</v>
      </c>
      <c r="S63" s="67" t="s">
        <v>28</v>
      </c>
      <c r="T63" s="67" t="s">
        <v>27</v>
      </c>
      <c r="U63" s="67" t="s">
        <v>28</v>
      </c>
      <c r="V63" s="67" t="s">
        <v>27</v>
      </c>
      <c r="W63" s="67" t="s">
        <v>28</v>
      </c>
      <c r="X63" s="67" t="s">
        <v>27</v>
      </c>
      <c r="Y63" s="67" t="s">
        <v>28</v>
      </c>
      <c r="Z63" s="756"/>
    </row>
    <row r="64" spans="1:26" ht="18" customHeight="1" thickTop="1">
      <c r="B64" s="222" t="s">
        <v>160</v>
      </c>
      <c r="C64" s="47"/>
      <c r="D64" s="48">
        <f t="shared" ref="D64:I64" si="10">SUBTOTAL(9,D65:D68)</f>
        <v>9.8999999999999986</v>
      </c>
      <c r="E64" s="49">
        <f t="shared" si="10"/>
        <v>15.8</v>
      </c>
      <c r="F64" s="49">
        <f t="shared" si="10"/>
        <v>43.8</v>
      </c>
      <c r="G64" s="49">
        <f t="shared" si="10"/>
        <v>43.8</v>
      </c>
      <c r="H64" s="49">
        <f t="shared" si="10"/>
        <v>65.800000000000011</v>
      </c>
      <c r="I64" s="50">
        <f t="shared" si="10"/>
        <v>95.499999999999986</v>
      </c>
      <c r="J64" s="389"/>
      <c r="M64" s="171"/>
      <c r="N64" s="318" t="str">
        <f ca="1">"제 " &amp; Z64 &amp; " 호표  "&amp; OFFSET($A$1,MATCH(Z64,$A:$A,0)-1,1)</f>
        <v>제 1 호표  1-1. 자연환경조사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v>1</v>
      </c>
    </row>
    <row r="65" spans="1:26" ht="18" customHeight="1">
      <c r="A65" s="326">
        <v>11</v>
      </c>
      <c r="B65" s="223" t="s">
        <v>161</v>
      </c>
      <c r="C65" s="23"/>
      <c r="D65" s="197">
        <f t="array" ref="D65:I68">ROUNDDOWN(D26:I29*D5*L26:L29,3)</f>
        <v>2.6</v>
      </c>
      <c r="E65" s="198">
        <v>4.0999999999999996</v>
      </c>
      <c r="F65" s="198">
        <v>10.7</v>
      </c>
      <c r="G65" s="198">
        <v>10.5</v>
      </c>
      <c r="H65" s="198">
        <v>15.8</v>
      </c>
      <c r="I65" s="199">
        <v>22.9</v>
      </c>
      <c r="J65" s="389" t="s">
        <v>1090</v>
      </c>
      <c r="M65" s="171"/>
      <c r="N65" s="140" t="s">
        <v>43</v>
      </c>
      <c r="O65" s="172">
        <v>3</v>
      </c>
      <c r="P65" s="219">
        <f ca="1">OFFSET($A$1,MATCH(Z64,$A:$A,0)-1,O65)</f>
        <v>1.5</v>
      </c>
      <c r="Q65" s="141" t="s">
        <v>29</v>
      </c>
      <c r="R65" s="142">
        <f t="shared" ref="R65:S70" ca="1" si="11">T65</f>
        <v>467217</v>
      </c>
      <c r="S65" s="142">
        <f t="shared" ca="1" si="11"/>
        <v>700825</v>
      </c>
      <c r="T65" s="142">
        <f ca="1">기술사</f>
        <v>467217</v>
      </c>
      <c r="U65" s="142">
        <f t="shared" ref="U65:U70" ca="1" si="12">ROUNDDOWN(P65*R65,0)</f>
        <v>700825</v>
      </c>
      <c r="V65" s="142"/>
      <c r="W65" s="142"/>
      <c r="X65" s="142"/>
      <c r="Y65" s="142"/>
      <c r="Z65" s="114"/>
    </row>
    <row r="66" spans="1:26" ht="18" customHeight="1">
      <c r="A66" s="326">
        <v>12</v>
      </c>
      <c r="B66" s="223" t="s">
        <v>162</v>
      </c>
      <c r="C66" s="23"/>
      <c r="D66" s="197">
        <v>2.1</v>
      </c>
      <c r="E66" s="198">
        <v>3.4</v>
      </c>
      <c r="F66" s="198">
        <v>11.7</v>
      </c>
      <c r="G66" s="198">
        <v>12.3</v>
      </c>
      <c r="H66" s="198">
        <v>15.8</v>
      </c>
      <c r="I66" s="199">
        <v>22.9</v>
      </c>
      <c r="J66" s="389" t="s">
        <v>1090</v>
      </c>
      <c r="M66" s="171"/>
      <c r="N66" s="143" t="s">
        <v>32</v>
      </c>
      <c r="O66" s="173">
        <v>4</v>
      </c>
      <c r="P66" s="234">
        <f ca="1">OFFSET($A$1,MATCH(Z64,$A:$A,0)-1,O66)</f>
        <v>2.4</v>
      </c>
      <c r="Q66" s="144" t="s">
        <v>29</v>
      </c>
      <c r="R66" s="118">
        <f t="shared" ca="1" si="11"/>
        <v>373353</v>
      </c>
      <c r="S66" s="118">
        <f t="shared" ca="1" si="11"/>
        <v>896047</v>
      </c>
      <c r="T66" s="118">
        <f ca="1">특급</f>
        <v>373353</v>
      </c>
      <c r="U66" s="118">
        <f t="shared" ca="1" si="12"/>
        <v>896047</v>
      </c>
      <c r="V66" s="118"/>
      <c r="W66" s="118"/>
      <c r="X66" s="118"/>
      <c r="Y66" s="118"/>
      <c r="Z66" s="115"/>
    </row>
    <row r="67" spans="1:26" ht="18" customHeight="1">
      <c r="A67" s="326">
        <v>13</v>
      </c>
      <c r="B67" s="223" t="s">
        <v>163</v>
      </c>
      <c r="C67" s="23"/>
      <c r="D67" s="197">
        <v>2.4</v>
      </c>
      <c r="E67" s="198">
        <v>3.9</v>
      </c>
      <c r="F67" s="198">
        <v>10.7</v>
      </c>
      <c r="G67" s="198">
        <v>10.5</v>
      </c>
      <c r="H67" s="198">
        <v>15.8</v>
      </c>
      <c r="I67" s="199">
        <v>22.9</v>
      </c>
      <c r="J67" s="389" t="s">
        <v>1090</v>
      </c>
      <c r="M67" s="171"/>
      <c r="N67" s="145" t="s">
        <v>39</v>
      </c>
      <c r="O67" s="173">
        <v>5</v>
      </c>
      <c r="P67" s="234">
        <f ca="1">OFFSET($A$1,MATCH(Z64,$A:$A,0)-1,O67)</f>
        <v>7</v>
      </c>
      <c r="Q67" s="144" t="s">
        <v>29</v>
      </c>
      <c r="R67" s="118">
        <f t="shared" ca="1" si="11"/>
        <v>310884</v>
      </c>
      <c r="S67" s="118">
        <f t="shared" ca="1" si="11"/>
        <v>2176188</v>
      </c>
      <c r="T67" s="118">
        <f ca="1">고급</f>
        <v>310884</v>
      </c>
      <c r="U67" s="118">
        <f t="shared" ca="1" si="12"/>
        <v>2176188</v>
      </c>
      <c r="V67" s="118"/>
      <c r="W67" s="118"/>
      <c r="X67" s="118"/>
      <c r="Y67" s="118"/>
      <c r="Z67" s="115"/>
    </row>
    <row r="68" spans="1:26" ht="18" customHeight="1">
      <c r="A68" s="326">
        <v>14</v>
      </c>
      <c r="B68" s="223" t="s">
        <v>164</v>
      </c>
      <c r="C68" s="23"/>
      <c r="D68" s="197">
        <v>2.8</v>
      </c>
      <c r="E68" s="198">
        <v>4.4000000000000004</v>
      </c>
      <c r="F68" s="198">
        <v>10.7</v>
      </c>
      <c r="G68" s="198">
        <v>10.5</v>
      </c>
      <c r="H68" s="198">
        <v>18.399999999999999</v>
      </c>
      <c r="I68" s="199">
        <v>26.8</v>
      </c>
      <c r="J68" s="389" t="s">
        <v>1090</v>
      </c>
      <c r="M68" s="171"/>
      <c r="N68" s="145" t="s">
        <v>40</v>
      </c>
      <c r="O68" s="173">
        <v>6</v>
      </c>
      <c r="P68" s="234">
        <f ca="1">OFFSET($A$1,MATCH(Z64,$A:$A,0)-1,O68)</f>
        <v>14.5</v>
      </c>
      <c r="Q68" s="144" t="s">
        <v>29</v>
      </c>
      <c r="R68" s="118">
        <f t="shared" ca="1" si="11"/>
        <v>295138</v>
      </c>
      <c r="S68" s="118">
        <f t="shared" ca="1" si="11"/>
        <v>4279501</v>
      </c>
      <c r="T68" s="118">
        <f ca="1">중급</f>
        <v>295138</v>
      </c>
      <c r="U68" s="118">
        <f t="shared" ca="1" si="12"/>
        <v>4279501</v>
      </c>
      <c r="V68" s="118"/>
      <c r="W68" s="118"/>
      <c r="X68" s="118"/>
      <c r="Y68" s="118"/>
      <c r="Z68" s="115"/>
    </row>
    <row r="69" spans="1:26" ht="18" customHeight="1">
      <c r="B69" s="222" t="s">
        <v>165</v>
      </c>
      <c r="C69" s="47"/>
      <c r="D69" s="48">
        <f t="shared" ref="D69:I69" si="13">SUBTOTAL(9,D70:D75)</f>
        <v>26.3</v>
      </c>
      <c r="E69" s="49">
        <f t="shared" si="13"/>
        <v>41.9</v>
      </c>
      <c r="F69" s="49">
        <f t="shared" si="13"/>
        <v>124.3</v>
      </c>
      <c r="G69" s="49">
        <f t="shared" si="13"/>
        <v>175.2</v>
      </c>
      <c r="H69" s="49">
        <f t="shared" si="13"/>
        <v>197.7</v>
      </c>
      <c r="I69" s="50">
        <f t="shared" si="13"/>
        <v>286.59999999999997</v>
      </c>
      <c r="J69" s="389"/>
      <c r="M69" s="171"/>
      <c r="N69" s="145" t="s">
        <v>41</v>
      </c>
      <c r="O69" s="173">
        <v>7</v>
      </c>
      <c r="P69" s="234">
        <f ca="1">OFFSET($A$1,MATCH(Z64,$A:$A,0)-1,O69)</f>
        <v>28.3</v>
      </c>
      <c r="Q69" s="144" t="s">
        <v>29</v>
      </c>
      <c r="R69" s="118">
        <f t="shared" ca="1" si="11"/>
        <v>235459</v>
      </c>
      <c r="S69" s="118">
        <f t="shared" ca="1" si="11"/>
        <v>6663489</v>
      </c>
      <c r="T69" s="118">
        <f ca="1">초급</f>
        <v>235459</v>
      </c>
      <c r="U69" s="118">
        <f t="shared" ca="1" si="12"/>
        <v>6663489</v>
      </c>
      <c r="V69" s="118"/>
      <c r="W69" s="118"/>
      <c r="X69" s="118"/>
      <c r="Y69" s="118"/>
      <c r="Z69" s="115"/>
    </row>
    <row r="70" spans="1:26" ht="18" customHeight="1">
      <c r="A70" s="326">
        <v>15</v>
      </c>
      <c r="B70" s="223" t="s">
        <v>166</v>
      </c>
      <c r="C70" s="23"/>
      <c r="D70" s="197">
        <f t="array" ref="D70:I75">ROUNDDOWN(D31:I36*D5*L31:L36,3)</f>
        <v>5</v>
      </c>
      <c r="E70" s="198">
        <v>8</v>
      </c>
      <c r="F70" s="198">
        <v>20.3</v>
      </c>
      <c r="G70" s="198">
        <v>28.4</v>
      </c>
      <c r="H70" s="198">
        <v>32.299999999999997</v>
      </c>
      <c r="I70" s="199">
        <v>46.8</v>
      </c>
      <c r="J70" s="389" t="s">
        <v>1090</v>
      </c>
      <c r="M70" s="171"/>
      <c r="N70" s="319" t="s">
        <v>42</v>
      </c>
      <c r="O70" s="174">
        <v>8</v>
      </c>
      <c r="P70" s="235">
        <f ca="1">OFFSET($A$1,MATCH(Z64,$A:$A,0)-1,O70)</f>
        <v>49.7</v>
      </c>
      <c r="Q70" s="322" t="s">
        <v>29</v>
      </c>
      <c r="R70" s="323">
        <f t="shared" ca="1" si="11"/>
        <v>250087</v>
      </c>
      <c r="S70" s="323">
        <f t="shared" ca="1" si="11"/>
        <v>12429323</v>
      </c>
      <c r="T70" s="323">
        <f ca="1">보조원</f>
        <v>250087</v>
      </c>
      <c r="U70" s="323">
        <f t="shared" ca="1" si="12"/>
        <v>12429323</v>
      </c>
      <c r="V70" s="323"/>
      <c r="W70" s="323"/>
      <c r="X70" s="323"/>
      <c r="Y70" s="323"/>
      <c r="Z70" s="324"/>
    </row>
    <row r="71" spans="1:26" ht="18" customHeight="1">
      <c r="A71" s="326">
        <v>16</v>
      </c>
      <c r="B71" s="223" t="s">
        <v>167</v>
      </c>
      <c r="C71" s="23"/>
      <c r="D71" s="197">
        <v>4.3</v>
      </c>
      <c r="E71" s="198">
        <v>6.8</v>
      </c>
      <c r="F71" s="198">
        <v>21</v>
      </c>
      <c r="G71" s="198">
        <v>29.7</v>
      </c>
      <c r="H71" s="198">
        <v>32.299999999999997</v>
      </c>
      <c r="I71" s="199">
        <v>46.8</v>
      </c>
      <c r="J71" s="389" t="s">
        <v>1090</v>
      </c>
      <c r="K71" s="171" t="s">
        <v>14</v>
      </c>
      <c r="L71" s="171"/>
      <c r="M71" s="171"/>
      <c r="N71" s="139" t="s">
        <v>17</v>
      </c>
      <c r="O71" s="68"/>
      <c r="P71" s="69"/>
      <c r="Q71" s="70"/>
      <c r="R71" s="71"/>
      <c r="S71" s="71">
        <f ca="1">SUBTOTAL(9,S65:S70)</f>
        <v>27145373</v>
      </c>
      <c r="T71" s="71"/>
      <c r="U71" s="71">
        <f ca="1">SUBTOTAL(9,U65:U70)</f>
        <v>27145373</v>
      </c>
      <c r="V71" s="71"/>
      <c r="W71" s="71"/>
      <c r="X71" s="71"/>
      <c r="Y71" s="71"/>
      <c r="Z71" s="68"/>
    </row>
    <row r="72" spans="1:26" ht="18" customHeight="1">
      <c r="A72" s="326">
        <v>17</v>
      </c>
      <c r="B72" s="223" t="s">
        <v>168</v>
      </c>
      <c r="C72" s="23"/>
      <c r="D72" s="197">
        <v>4.3</v>
      </c>
      <c r="E72" s="198">
        <v>6.8</v>
      </c>
      <c r="F72" s="198">
        <v>21</v>
      </c>
      <c r="G72" s="198">
        <v>29.7</v>
      </c>
      <c r="H72" s="198">
        <v>32.299999999999997</v>
      </c>
      <c r="I72" s="199">
        <v>46.8</v>
      </c>
      <c r="J72" s="389" t="s">
        <v>1090</v>
      </c>
      <c r="K72" s="171" t="s">
        <v>14</v>
      </c>
      <c r="L72" s="171"/>
      <c r="M72" s="171"/>
      <c r="N72" s="318" t="str">
        <f ca="1">"제 " &amp; Z72 &amp; " 호표  "&amp; OFFSET($A$1,MATCH(Z72,$A:$A,0)-1,1)</f>
        <v>제 2 호표  1-2. 인문환경조사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2</v>
      </c>
    </row>
    <row r="73" spans="1:26" ht="18" customHeight="1">
      <c r="A73" s="326">
        <v>18</v>
      </c>
      <c r="B73" s="223" t="s">
        <v>169</v>
      </c>
      <c r="C73" s="23"/>
      <c r="D73" s="197">
        <v>4.2</v>
      </c>
      <c r="E73" s="198">
        <v>6.7</v>
      </c>
      <c r="F73" s="198">
        <v>21</v>
      </c>
      <c r="G73" s="198">
        <v>29.7</v>
      </c>
      <c r="H73" s="198">
        <v>32.299999999999997</v>
      </c>
      <c r="I73" s="199">
        <v>46.8</v>
      </c>
      <c r="J73" s="389" t="s">
        <v>1090</v>
      </c>
      <c r="K73" s="171" t="s">
        <v>14</v>
      </c>
      <c r="L73" s="171"/>
      <c r="M73" s="171"/>
      <c r="N73" s="140" t="s">
        <v>43</v>
      </c>
      <c r="O73" s="172">
        <v>3</v>
      </c>
      <c r="P73" s="219">
        <f ca="1">OFFSET($A$1,MATCH(Z72,$A:$A,0)-1,O73)</f>
        <v>1.5</v>
      </c>
      <c r="Q73" s="141" t="s">
        <v>29</v>
      </c>
      <c r="R73" s="142">
        <f t="shared" ref="R73:S78" ca="1" si="14">T73</f>
        <v>467217</v>
      </c>
      <c r="S73" s="142">
        <f t="shared" ca="1" si="14"/>
        <v>700825</v>
      </c>
      <c r="T73" s="142">
        <f ca="1">기술사</f>
        <v>467217</v>
      </c>
      <c r="U73" s="142">
        <f t="shared" ref="U73:U78" ca="1" si="15">ROUNDDOWN(P73*R73,0)</f>
        <v>700825</v>
      </c>
      <c r="V73" s="142"/>
      <c r="W73" s="142"/>
      <c r="X73" s="142"/>
      <c r="Y73" s="142"/>
      <c r="Z73" s="114"/>
    </row>
    <row r="74" spans="1:26" ht="18" customHeight="1">
      <c r="A74" s="326">
        <v>19</v>
      </c>
      <c r="B74" s="223" t="s">
        <v>170</v>
      </c>
      <c r="C74" s="23"/>
      <c r="D74" s="197">
        <v>4.2</v>
      </c>
      <c r="E74" s="198">
        <v>6.8</v>
      </c>
      <c r="F74" s="198">
        <v>20</v>
      </c>
      <c r="G74" s="198">
        <v>28</v>
      </c>
      <c r="H74" s="198">
        <v>36.200000000000003</v>
      </c>
      <c r="I74" s="199">
        <v>52.6</v>
      </c>
      <c r="J74" s="389" t="s">
        <v>1090</v>
      </c>
      <c r="K74" s="171" t="s">
        <v>14</v>
      </c>
      <c r="L74" s="171"/>
      <c r="M74" s="171"/>
      <c r="N74" s="143" t="s">
        <v>32</v>
      </c>
      <c r="O74" s="173">
        <v>4</v>
      </c>
      <c r="P74" s="234">
        <f ca="1">OFFSET($A$1,MATCH(Z72,$A:$A,0)-1,O74)</f>
        <v>2.4</v>
      </c>
      <c r="Q74" s="144" t="s">
        <v>29</v>
      </c>
      <c r="R74" s="118">
        <f t="shared" ca="1" si="14"/>
        <v>373353</v>
      </c>
      <c r="S74" s="118">
        <f t="shared" ca="1" si="14"/>
        <v>896047</v>
      </c>
      <c r="T74" s="118">
        <f ca="1">특급</f>
        <v>373353</v>
      </c>
      <c r="U74" s="118">
        <f t="shared" ca="1" si="15"/>
        <v>896047</v>
      </c>
      <c r="V74" s="118"/>
      <c r="W74" s="118"/>
      <c r="X74" s="118"/>
      <c r="Y74" s="118"/>
      <c r="Z74" s="115"/>
    </row>
    <row r="75" spans="1:26" ht="18" customHeight="1">
      <c r="A75" s="326">
        <v>20</v>
      </c>
      <c r="B75" s="223" t="s">
        <v>171</v>
      </c>
      <c r="C75" s="23"/>
      <c r="D75" s="197">
        <v>4.3</v>
      </c>
      <c r="E75" s="198">
        <v>6.8</v>
      </c>
      <c r="F75" s="198">
        <v>21</v>
      </c>
      <c r="G75" s="198">
        <v>29.7</v>
      </c>
      <c r="H75" s="198">
        <v>32.299999999999997</v>
      </c>
      <c r="I75" s="199">
        <v>46.8</v>
      </c>
      <c r="J75" s="389" t="s">
        <v>1090</v>
      </c>
      <c r="K75" s="171" t="s">
        <v>14</v>
      </c>
      <c r="L75" s="171"/>
      <c r="M75" s="171"/>
      <c r="N75" s="145" t="s">
        <v>39</v>
      </c>
      <c r="O75" s="173">
        <v>5</v>
      </c>
      <c r="P75" s="234">
        <f ca="1">OFFSET($A$1,MATCH(Z72,$A:$A,0)-1,O75)</f>
        <v>7</v>
      </c>
      <c r="Q75" s="144" t="s">
        <v>29</v>
      </c>
      <c r="R75" s="118">
        <f t="shared" ca="1" si="14"/>
        <v>310884</v>
      </c>
      <c r="S75" s="118">
        <f t="shared" ca="1" si="14"/>
        <v>2176188</v>
      </c>
      <c r="T75" s="118">
        <f ca="1">고급</f>
        <v>310884</v>
      </c>
      <c r="U75" s="118">
        <f t="shared" ca="1" si="15"/>
        <v>2176188</v>
      </c>
      <c r="V75" s="118"/>
      <c r="W75" s="118"/>
      <c r="X75" s="118"/>
      <c r="Y75" s="118"/>
      <c r="Z75" s="115"/>
    </row>
    <row r="76" spans="1:26" ht="18" customHeight="1">
      <c r="B76" s="222" t="s">
        <v>172</v>
      </c>
      <c r="C76" s="47"/>
      <c r="D76" s="48">
        <f t="shared" ref="D76:I76" si="16">SUBTOTAL(9,D77:D81)</f>
        <v>8.1999999999999993</v>
      </c>
      <c r="E76" s="49">
        <f t="shared" si="16"/>
        <v>13.1</v>
      </c>
      <c r="F76" s="49">
        <f t="shared" si="16"/>
        <v>29.3</v>
      </c>
      <c r="G76" s="49">
        <f t="shared" si="16"/>
        <v>43.8</v>
      </c>
      <c r="H76" s="49">
        <f t="shared" si="16"/>
        <v>66</v>
      </c>
      <c r="I76" s="50">
        <f t="shared" si="16"/>
        <v>48</v>
      </c>
      <c r="J76" s="389"/>
      <c r="K76" s="171" t="s">
        <v>14</v>
      </c>
      <c r="L76" s="171"/>
      <c r="M76" s="171"/>
      <c r="N76" s="145" t="s">
        <v>40</v>
      </c>
      <c r="O76" s="173">
        <v>6</v>
      </c>
      <c r="P76" s="234">
        <f ca="1">OFFSET($A$1,MATCH(Z72,$A:$A,0)-1,O76)</f>
        <v>14.5</v>
      </c>
      <c r="Q76" s="144" t="s">
        <v>29</v>
      </c>
      <c r="R76" s="118">
        <f t="shared" ca="1" si="14"/>
        <v>295138</v>
      </c>
      <c r="S76" s="118">
        <f t="shared" ca="1" si="14"/>
        <v>4279501</v>
      </c>
      <c r="T76" s="118">
        <f ca="1">중급</f>
        <v>295138</v>
      </c>
      <c r="U76" s="118">
        <f t="shared" ca="1" si="15"/>
        <v>4279501</v>
      </c>
      <c r="V76" s="118"/>
      <c r="W76" s="118"/>
      <c r="X76" s="118"/>
      <c r="Y76" s="118"/>
      <c r="Z76" s="115"/>
    </row>
    <row r="77" spans="1:26" ht="18" customHeight="1">
      <c r="A77" s="326">
        <v>21</v>
      </c>
      <c r="B77" s="223" t="s">
        <v>173</v>
      </c>
      <c r="C77" s="23"/>
      <c r="D77" s="197">
        <f t="array" ref="D77:I81">ROUNDDOWN(D38:I42*D5*L38:L42,3)</f>
        <v>1.2</v>
      </c>
      <c r="E77" s="198">
        <v>2</v>
      </c>
      <c r="F77" s="198">
        <v>5.3</v>
      </c>
      <c r="G77" s="198">
        <v>8.3000000000000007</v>
      </c>
      <c r="H77" s="198">
        <v>13.2</v>
      </c>
      <c r="I77" s="199">
        <v>9.6</v>
      </c>
      <c r="J77" s="389" t="s">
        <v>1090</v>
      </c>
      <c r="K77" s="171" t="s">
        <v>14</v>
      </c>
      <c r="L77" s="171"/>
      <c r="M77" s="171"/>
      <c r="N77" s="145" t="s">
        <v>41</v>
      </c>
      <c r="O77" s="173">
        <v>7</v>
      </c>
      <c r="P77" s="234">
        <f ca="1">OFFSET($A$1,MATCH(Z72,$A:$A,0)-1,O77)</f>
        <v>28.3</v>
      </c>
      <c r="Q77" s="144" t="s">
        <v>29</v>
      </c>
      <c r="R77" s="118">
        <f t="shared" ca="1" si="14"/>
        <v>235459</v>
      </c>
      <c r="S77" s="118">
        <f t="shared" ca="1" si="14"/>
        <v>6663489</v>
      </c>
      <c r="T77" s="118">
        <f ca="1">초급</f>
        <v>235459</v>
      </c>
      <c r="U77" s="118">
        <f t="shared" ca="1" si="15"/>
        <v>6663489</v>
      </c>
      <c r="V77" s="118"/>
      <c r="W77" s="118"/>
      <c r="X77" s="118"/>
      <c r="Y77" s="118"/>
      <c r="Z77" s="115"/>
    </row>
    <row r="78" spans="1:26" ht="18" customHeight="1">
      <c r="A78" s="326">
        <v>22</v>
      </c>
      <c r="B78" s="223" t="s">
        <v>174</v>
      </c>
      <c r="C78" s="23"/>
      <c r="D78" s="197">
        <v>1.2</v>
      </c>
      <c r="E78" s="198">
        <v>2</v>
      </c>
      <c r="F78" s="198">
        <v>6.7</v>
      </c>
      <c r="G78" s="198">
        <v>9.1999999999999993</v>
      </c>
      <c r="H78" s="198">
        <v>13.2</v>
      </c>
      <c r="I78" s="199">
        <v>9.6</v>
      </c>
      <c r="J78" s="389" t="s">
        <v>1090</v>
      </c>
      <c r="K78" s="171" t="s">
        <v>14</v>
      </c>
      <c r="L78" s="171"/>
      <c r="M78" s="171"/>
      <c r="N78" s="319" t="s">
        <v>42</v>
      </c>
      <c r="O78" s="174">
        <v>8</v>
      </c>
      <c r="P78" s="235">
        <f ca="1">OFFSET($A$1,MATCH(Z72,$A:$A,0)-1,O78)</f>
        <v>49.7</v>
      </c>
      <c r="Q78" s="322" t="s">
        <v>29</v>
      </c>
      <c r="R78" s="323">
        <f t="shared" ca="1" si="14"/>
        <v>250087</v>
      </c>
      <c r="S78" s="323">
        <f t="shared" ca="1" si="14"/>
        <v>12429323</v>
      </c>
      <c r="T78" s="323">
        <f ca="1">보조원</f>
        <v>250087</v>
      </c>
      <c r="U78" s="323">
        <f t="shared" ca="1" si="15"/>
        <v>12429323</v>
      </c>
      <c r="V78" s="323"/>
      <c r="W78" s="323"/>
      <c r="X78" s="323"/>
      <c r="Y78" s="323"/>
      <c r="Z78" s="324"/>
    </row>
    <row r="79" spans="1:26" ht="18" customHeight="1">
      <c r="A79" s="326">
        <v>23</v>
      </c>
      <c r="B79" s="223" t="s">
        <v>175</v>
      </c>
      <c r="C79" s="23"/>
      <c r="D79" s="197">
        <v>1.3</v>
      </c>
      <c r="E79" s="198">
        <v>2</v>
      </c>
      <c r="F79" s="198">
        <v>6.7</v>
      </c>
      <c r="G79" s="198">
        <v>9.6999999999999993</v>
      </c>
      <c r="H79" s="198">
        <v>13.2</v>
      </c>
      <c r="I79" s="199">
        <v>9.6</v>
      </c>
      <c r="J79" s="389" t="s">
        <v>1090</v>
      </c>
      <c r="K79" s="171" t="s">
        <v>14</v>
      </c>
      <c r="L79" s="171"/>
      <c r="M79" s="171"/>
      <c r="N79" s="139" t="s">
        <v>17</v>
      </c>
      <c r="O79" s="68"/>
      <c r="P79" s="69"/>
      <c r="Q79" s="70"/>
      <c r="R79" s="71"/>
      <c r="S79" s="71">
        <f ca="1">SUBTOTAL(9,S73:S78)</f>
        <v>27145373</v>
      </c>
      <c r="T79" s="71"/>
      <c r="U79" s="71">
        <f ca="1">SUBTOTAL(9,U73:U78)</f>
        <v>27145373</v>
      </c>
      <c r="V79" s="71"/>
      <c r="W79" s="71"/>
      <c r="X79" s="71"/>
      <c r="Y79" s="71"/>
      <c r="Z79" s="68"/>
    </row>
    <row r="80" spans="1:26" ht="18" customHeight="1">
      <c r="A80" s="326">
        <v>24</v>
      </c>
      <c r="B80" s="223" t="s">
        <v>176</v>
      </c>
      <c r="C80" s="23"/>
      <c r="D80" s="197">
        <v>2.2000000000000002</v>
      </c>
      <c r="E80" s="198">
        <v>3.5</v>
      </c>
      <c r="F80" s="198">
        <v>5.3</v>
      </c>
      <c r="G80" s="198">
        <v>8.3000000000000007</v>
      </c>
      <c r="H80" s="198">
        <v>13.2</v>
      </c>
      <c r="I80" s="199">
        <v>9.6</v>
      </c>
      <c r="J80" s="389" t="s">
        <v>1090</v>
      </c>
      <c r="K80" s="171" t="s">
        <v>14</v>
      </c>
      <c r="L80" s="171"/>
      <c r="M80" s="171"/>
      <c r="N80" s="318" t="str">
        <f ca="1">"제 " &amp; Z80 &amp; " 호표  "&amp; OFFSET($A$1,MATCH(Z80,$A:$A,0)-1,1)</f>
        <v>제 3 호표  1-3. 산업구조조사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3</v>
      </c>
    </row>
    <row r="81" spans="1:26" ht="18" customHeight="1">
      <c r="A81" s="326">
        <v>25</v>
      </c>
      <c r="B81" s="223" t="s">
        <v>177</v>
      </c>
      <c r="C81" s="23"/>
      <c r="D81" s="197">
        <v>2.2999999999999998</v>
      </c>
      <c r="E81" s="198">
        <v>3.6</v>
      </c>
      <c r="F81" s="198">
        <v>5.3</v>
      </c>
      <c r="G81" s="198">
        <v>8.3000000000000007</v>
      </c>
      <c r="H81" s="198">
        <v>13.2</v>
      </c>
      <c r="I81" s="199">
        <v>9.6</v>
      </c>
      <c r="J81" s="389" t="s">
        <v>1090</v>
      </c>
      <c r="K81" s="171" t="s">
        <v>14</v>
      </c>
      <c r="L81" s="171"/>
      <c r="M81" s="171"/>
      <c r="N81" s="140" t="s">
        <v>43</v>
      </c>
      <c r="O81" s="172">
        <v>3</v>
      </c>
      <c r="P81" s="219">
        <f ca="1">OFFSET($A$1,MATCH(Z80,$A:$A,0)-1,O81)</f>
        <v>1.8</v>
      </c>
      <c r="Q81" s="141" t="s">
        <v>29</v>
      </c>
      <c r="R81" s="142">
        <f t="shared" ref="R81:S86" ca="1" si="17">T81</f>
        <v>467217</v>
      </c>
      <c r="S81" s="142">
        <f t="shared" ca="1" si="17"/>
        <v>840990</v>
      </c>
      <c r="T81" s="142">
        <f ca="1">기술사</f>
        <v>467217</v>
      </c>
      <c r="U81" s="142">
        <f t="shared" ref="U81:U86" ca="1" si="18">ROUNDDOWN(P81*R81,0)</f>
        <v>840990</v>
      </c>
      <c r="V81" s="142"/>
      <c r="W81" s="142"/>
      <c r="X81" s="142"/>
      <c r="Y81" s="142"/>
      <c r="Z81" s="114"/>
    </row>
    <row r="82" spans="1:26" ht="18" customHeight="1">
      <c r="B82" s="222" t="s">
        <v>257</v>
      </c>
      <c r="C82" s="47"/>
      <c r="D82" s="48">
        <f t="shared" ref="D82:I82" si="19">SUBTOTAL(9,D83:D84)</f>
        <v>3.2</v>
      </c>
      <c r="E82" s="49">
        <f t="shared" si="19"/>
        <v>5.3000000000000007</v>
      </c>
      <c r="F82" s="49">
        <f t="shared" si="19"/>
        <v>14.600000000000001</v>
      </c>
      <c r="G82" s="49">
        <f t="shared" si="19"/>
        <v>43.8</v>
      </c>
      <c r="H82" s="49">
        <f t="shared" si="19"/>
        <v>65.800000000000011</v>
      </c>
      <c r="I82" s="50">
        <f t="shared" si="19"/>
        <v>143.4</v>
      </c>
      <c r="J82" s="389"/>
      <c r="K82" s="171" t="s">
        <v>14</v>
      </c>
      <c r="L82" s="171"/>
      <c r="M82" s="171"/>
      <c r="N82" s="143" t="s">
        <v>32</v>
      </c>
      <c r="O82" s="173">
        <v>4</v>
      </c>
      <c r="P82" s="234">
        <f ca="1">OFFSET($A$1,MATCH(Z80,$A:$A,0)-1,O82)</f>
        <v>2.9</v>
      </c>
      <c r="Q82" s="144" t="s">
        <v>29</v>
      </c>
      <c r="R82" s="118">
        <f t="shared" ca="1" si="17"/>
        <v>373353</v>
      </c>
      <c r="S82" s="118">
        <f t="shared" ca="1" si="17"/>
        <v>1082723</v>
      </c>
      <c r="T82" s="118">
        <f ca="1">특급</f>
        <v>373353</v>
      </c>
      <c r="U82" s="118">
        <f t="shared" ca="1" si="18"/>
        <v>1082723</v>
      </c>
      <c r="V82" s="118"/>
      <c r="W82" s="118"/>
      <c r="X82" s="118"/>
      <c r="Y82" s="118"/>
      <c r="Z82" s="115"/>
    </row>
    <row r="83" spans="1:26" ht="18" customHeight="1">
      <c r="A83" s="326">
        <v>26</v>
      </c>
      <c r="B83" s="223" t="s">
        <v>178</v>
      </c>
      <c r="C83" s="23"/>
      <c r="D83" s="197">
        <f t="array" ref="D83:I84">ROUNDDOWN(D44:I47*D5*L44:L47,3)</f>
        <v>1.9</v>
      </c>
      <c r="E83" s="198">
        <v>3.2</v>
      </c>
      <c r="F83" s="198">
        <v>6.3</v>
      </c>
      <c r="G83" s="198">
        <v>21.5</v>
      </c>
      <c r="H83" s="198">
        <v>32.200000000000003</v>
      </c>
      <c r="I83" s="199">
        <v>71.7</v>
      </c>
      <c r="J83" s="389" t="s">
        <v>1090</v>
      </c>
      <c r="K83" s="171" t="s">
        <v>14</v>
      </c>
      <c r="L83" s="171"/>
      <c r="M83" s="171"/>
      <c r="N83" s="145" t="s">
        <v>39</v>
      </c>
      <c r="O83" s="173">
        <v>5</v>
      </c>
      <c r="P83" s="234">
        <f ca="1">OFFSET($A$1,MATCH(Z80,$A:$A,0)-1,O83)</f>
        <v>7</v>
      </c>
      <c r="Q83" s="144" t="s">
        <v>29</v>
      </c>
      <c r="R83" s="118">
        <f t="shared" ca="1" si="17"/>
        <v>310884</v>
      </c>
      <c r="S83" s="118">
        <f t="shared" ca="1" si="17"/>
        <v>2176188</v>
      </c>
      <c r="T83" s="118">
        <f ca="1">고급</f>
        <v>310884</v>
      </c>
      <c r="U83" s="118">
        <f t="shared" ca="1" si="18"/>
        <v>2176188</v>
      </c>
      <c r="V83" s="118"/>
      <c r="W83" s="118"/>
      <c r="X83" s="118"/>
      <c r="Y83" s="118"/>
      <c r="Z83" s="115"/>
    </row>
    <row r="84" spans="1:26" ht="18" customHeight="1">
      <c r="A84" s="326">
        <v>27</v>
      </c>
      <c r="B84" s="259" t="s">
        <v>179</v>
      </c>
      <c r="C84" s="43"/>
      <c r="D84" s="206">
        <v>1.3</v>
      </c>
      <c r="E84" s="207">
        <v>2.1</v>
      </c>
      <c r="F84" s="207">
        <v>8.3000000000000007</v>
      </c>
      <c r="G84" s="207">
        <v>22.3</v>
      </c>
      <c r="H84" s="207">
        <v>33.6</v>
      </c>
      <c r="I84" s="208">
        <v>71.7</v>
      </c>
      <c r="J84" s="389" t="s">
        <v>1093</v>
      </c>
      <c r="K84" s="171" t="s">
        <v>14</v>
      </c>
      <c r="L84" s="171"/>
      <c r="M84" s="171"/>
      <c r="N84" s="145" t="s">
        <v>40</v>
      </c>
      <c r="O84" s="173">
        <v>6</v>
      </c>
      <c r="P84" s="234">
        <f ca="1">OFFSET($A$1,MATCH(Z80,$A:$A,0)-1,O84)</f>
        <v>14.5</v>
      </c>
      <c r="Q84" s="144" t="s">
        <v>29</v>
      </c>
      <c r="R84" s="118">
        <f t="shared" ca="1" si="17"/>
        <v>295138</v>
      </c>
      <c r="S84" s="118">
        <f t="shared" ca="1" si="17"/>
        <v>4279501</v>
      </c>
      <c r="T84" s="118">
        <f ca="1">중급</f>
        <v>295138</v>
      </c>
      <c r="U84" s="118">
        <f t="shared" ca="1" si="18"/>
        <v>4279501</v>
      </c>
      <c r="V84" s="118"/>
      <c r="W84" s="118"/>
      <c r="X84" s="118"/>
      <c r="Y84" s="118"/>
      <c r="Z84" s="115"/>
    </row>
    <row r="85" spans="1:26" ht="18" customHeight="1">
      <c r="B85" s="222" t="s">
        <v>180</v>
      </c>
      <c r="C85" s="47"/>
      <c r="D85" s="48">
        <f t="shared" ref="D85:I85" si="20">SUBTOTAL(9,D86:D89)</f>
        <v>8</v>
      </c>
      <c r="E85" s="49">
        <f t="shared" si="20"/>
        <v>8</v>
      </c>
      <c r="F85" s="49">
        <f t="shared" si="20"/>
        <v>8</v>
      </c>
      <c r="G85" s="49">
        <f t="shared" si="20"/>
        <v>16</v>
      </c>
      <c r="H85" s="49">
        <f t="shared" si="20"/>
        <v>16</v>
      </c>
      <c r="I85" s="50">
        <f t="shared" si="20"/>
        <v>16</v>
      </c>
      <c r="J85" s="74"/>
      <c r="K85" s="171" t="s">
        <v>14</v>
      </c>
      <c r="L85" s="171"/>
      <c r="M85" s="171"/>
      <c r="N85" s="145" t="s">
        <v>41</v>
      </c>
      <c r="O85" s="173">
        <v>7</v>
      </c>
      <c r="P85" s="234">
        <f ca="1">OFFSET($A$1,MATCH(Z80,$A:$A,0)-1,O85)</f>
        <v>27</v>
      </c>
      <c r="Q85" s="144" t="s">
        <v>29</v>
      </c>
      <c r="R85" s="118">
        <f t="shared" ca="1" si="17"/>
        <v>235459</v>
      </c>
      <c r="S85" s="118">
        <f t="shared" ca="1" si="17"/>
        <v>6357393</v>
      </c>
      <c r="T85" s="118">
        <f ca="1">초급</f>
        <v>235459</v>
      </c>
      <c r="U85" s="118">
        <f t="shared" ca="1" si="18"/>
        <v>6357393</v>
      </c>
      <c r="V85" s="118"/>
      <c r="W85" s="118"/>
      <c r="X85" s="118"/>
      <c r="Y85" s="118"/>
      <c r="Z85" s="115"/>
    </row>
    <row r="86" spans="1:26" ht="18" customHeight="1">
      <c r="A86" s="326">
        <v>28</v>
      </c>
      <c r="B86" s="223" t="s">
        <v>181</v>
      </c>
      <c r="C86" s="23"/>
      <c r="D86" s="197">
        <f t="array" ref="D86:I89">ROUNDDOWN(D47:I50*L47:L50*I5,3)</f>
        <v>2</v>
      </c>
      <c r="E86" s="198">
        <v>2</v>
      </c>
      <c r="F86" s="198">
        <v>2</v>
      </c>
      <c r="G86" s="198">
        <v>4</v>
      </c>
      <c r="H86" s="198">
        <v>4</v>
      </c>
      <c r="I86" s="199">
        <v>4</v>
      </c>
      <c r="J86" s="389" t="s">
        <v>1095</v>
      </c>
      <c r="K86" s="171" t="s">
        <v>14</v>
      </c>
      <c r="L86" s="171"/>
      <c r="M86" s="171"/>
      <c r="N86" s="319" t="s">
        <v>42</v>
      </c>
      <c r="O86" s="174">
        <v>8</v>
      </c>
      <c r="P86" s="235">
        <f ca="1">OFFSET($A$1,MATCH(Z80,$A:$A,0)-1,O86)</f>
        <v>46.8</v>
      </c>
      <c r="Q86" s="322" t="s">
        <v>29</v>
      </c>
      <c r="R86" s="323">
        <f t="shared" ca="1" si="17"/>
        <v>250087</v>
      </c>
      <c r="S86" s="323">
        <f t="shared" ca="1" si="17"/>
        <v>11704071</v>
      </c>
      <c r="T86" s="323">
        <f ca="1">보조원</f>
        <v>250087</v>
      </c>
      <c r="U86" s="323">
        <f t="shared" ca="1" si="18"/>
        <v>11704071</v>
      </c>
      <c r="V86" s="323"/>
      <c r="W86" s="323"/>
      <c r="X86" s="323"/>
      <c r="Y86" s="323"/>
      <c r="Z86" s="324"/>
    </row>
    <row r="87" spans="1:26" ht="18" customHeight="1">
      <c r="A87" s="326">
        <v>29</v>
      </c>
      <c r="B87" s="223" t="s">
        <v>182</v>
      </c>
      <c r="C87" s="23"/>
      <c r="D87" s="197">
        <v>2</v>
      </c>
      <c r="E87" s="198">
        <v>2</v>
      </c>
      <c r="F87" s="198">
        <v>2</v>
      </c>
      <c r="G87" s="198">
        <v>4</v>
      </c>
      <c r="H87" s="198">
        <v>4</v>
      </c>
      <c r="I87" s="199">
        <v>4</v>
      </c>
      <c r="J87" s="389" t="s">
        <v>1094</v>
      </c>
      <c r="K87" s="171" t="s">
        <v>14</v>
      </c>
      <c r="L87" s="171"/>
      <c r="M87" s="171"/>
      <c r="N87" s="139" t="s">
        <v>17</v>
      </c>
      <c r="O87" s="68"/>
      <c r="P87" s="69"/>
      <c r="Q87" s="70"/>
      <c r="R87" s="71"/>
      <c r="S87" s="71">
        <f ca="1">SUBTOTAL(9,S81:S86)</f>
        <v>26440866</v>
      </c>
      <c r="T87" s="71"/>
      <c r="U87" s="71">
        <f ca="1">SUBTOTAL(9,U81:U86)</f>
        <v>26440866</v>
      </c>
      <c r="V87" s="71"/>
      <c r="W87" s="71"/>
      <c r="X87" s="71"/>
      <c r="Y87" s="71"/>
      <c r="Z87" s="68"/>
    </row>
    <row r="88" spans="1:26" ht="18" customHeight="1">
      <c r="A88" s="326">
        <v>30</v>
      </c>
      <c r="B88" s="223" t="s">
        <v>183</v>
      </c>
      <c r="C88" s="23"/>
      <c r="D88" s="197">
        <v>2</v>
      </c>
      <c r="E88" s="198">
        <v>2</v>
      </c>
      <c r="F88" s="198">
        <v>2</v>
      </c>
      <c r="G88" s="198">
        <v>4</v>
      </c>
      <c r="H88" s="198">
        <v>4</v>
      </c>
      <c r="I88" s="199">
        <v>4</v>
      </c>
      <c r="J88" s="389" t="s">
        <v>1094</v>
      </c>
      <c r="K88" s="171" t="s">
        <v>14</v>
      </c>
      <c r="L88" s="171"/>
      <c r="M88" s="171"/>
      <c r="N88" s="318" t="str">
        <f ca="1">"제 " &amp; Z88 &amp; " 호표  "&amp; OFFSET($A$1,MATCH(Z88,$A:$A,0)-1,1)</f>
        <v>제 4 호표  1-4. 기반시설조사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4</v>
      </c>
    </row>
    <row r="89" spans="1:26" ht="18" customHeight="1" thickBot="1">
      <c r="A89" s="326">
        <v>31</v>
      </c>
      <c r="B89" s="388" t="s">
        <v>184</v>
      </c>
      <c r="C89" s="342"/>
      <c r="D89" s="343">
        <v>2</v>
      </c>
      <c r="E89" s="344">
        <v>2</v>
      </c>
      <c r="F89" s="344">
        <v>2</v>
      </c>
      <c r="G89" s="344">
        <v>4</v>
      </c>
      <c r="H89" s="344">
        <v>4</v>
      </c>
      <c r="I89" s="345">
        <v>4</v>
      </c>
      <c r="J89" s="612" t="s">
        <v>1094</v>
      </c>
      <c r="K89" s="171" t="s">
        <v>14</v>
      </c>
      <c r="L89" s="171"/>
      <c r="M89" s="171"/>
      <c r="N89" s="140" t="s">
        <v>43</v>
      </c>
      <c r="O89" s="172">
        <v>3</v>
      </c>
      <c r="P89" s="219">
        <f ca="1">OFFSET($A$1,MATCH(Z88,$A:$A,0)-1,O89)</f>
        <v>1.5</v>
      </c>
      <c r="Q89" s="141" t="s">
        <v>29</v>
      </c>
      <c r="R89" s="142">
        <f t="shared" ref="R89:S94" ca="1" si="21">T89</f>
        <v>467217</v>
      </c>
      <c r="S89" s="142">
        <f t="shared" ca="1" si="21"/>
        <v>700825</v>
      </c>
      <c r="T89" s="142">
        <f ca="1">기술사</f>
        <v>467217</v>
      </c>
      <c r="U89" s="142">
        <f t="shared" ref="U89:U94" ca="1" si="22">ROUNDDOWN(P89*R89,0)</f>
        <v>700825</v>
      </c>
      <c r="V89" s="142"/>
      <c r="W89" s="142"/>
      <c r="X89" s="142"/>
      <c r="Y89" s="142"/>
      <c r="Z89" s="114"/>
    </row>
    <row r="90" spans="1:26" ht="18" customHeight="1">
      <c r="B90" s="80" t="s">
        <v>15</v>
      </c>
      <c r="C90" s="9" t="s">
        <v>1096</v>
      </c>
      <c r="K90" s="171" t="s">
        <v>14</v>
      </c>
      <c r="L90" s="171"/>
      <c r="M90" s="171"/>
      <c r="N90" s="143" t="s">
        <v>32</v>
      </c>
      <c r="O90" s="173">
        <v>4</v>
      </c>
      <c r="P90" s="234">
        <f ca="1">OFFSET($A$1,MATCH(Z88,$A:$A,0)-1,O90)</f>
        <v>2.4</v>
      </c>
      <c r="Q90" s="144" t="s">
        <v>29</v>
      </c>
      <c r="R90" s="118">
        <f t="shared" ca="1" si="21"/>
        <v>373353</v>
      </c>
      <c r="S90" s="118">
        <f t="shared" ca="1" si="21"/>
        <v>896047</v>
      </c>
      <c r="T90" s="118">
        <f ca="1">특급</f>
        <v>373353</v>
      </c>
      <c r="U90" s="118">
        <f t="shared" ca="1" si="22"/>
        <v>896047</v>
      </c>
      <c r="V90" s="118"/>
      <c r="W90" s="118"/>
      <c r="X90" s="118"/>
      <c r="Y90" s="118"/>
      <c r="Z90" s="115"/>
    </row>
    <row r="91" spans="1:26" ht="18" customHeight="1">
      <c r="C91" s="9" t="s">
        <v>1097</v>
      </c>
      <c r="K91" s="171" t="s">
        <v>14</v>
      </c>
      <c r="L91" s="171"/>
      <c r="M91" s="171"/>
      <c r="N91" s="145" t="s">
        <v>39</v>
      </c>
      <c r="O91" s="173">
        <v>5</v>
      </c>
      <c r="P91" s="234">
        <f ca="1">OFFSET($A$1,MATCH(Z88,$A:$A,0)-1,O91)</f>
        <v>8</v>
      </c>
      <c r="Q91" s="144" t="s">
        <v>29</v>
      </c>
      <c r="R91" s="118">
        <f t="shared" ca="1" si="21"/>
        <v>310884</v>
      </c>
      <c r="S91" s="118">
        <f t="shared" ca="1" si="21"/>
        <v>2487072</v>
      </c>
      <c r="T91" s="118">
        <f ca="1">고급</f>
        <v>310884</v>
      </c>
      <c r="U91" s="118">
        <f t="shared" ca="1" si="22"/>
        <v>2487072</v>
      </c>
      <c r="V91" s="118"/>
      <c r="W91" s="118"/>
      <c r="X91" s="118"/>
      <c r="Y91" s="118"/>
      <c r="Z91" s="115"/>
    </row>
    <row r="92" spans="1:26" ht="18" customHeight="1">
      <c r="C92" s="9" t="s">
        <v>1098</v>
      </c>
      <c r="K92" s="171" t="s">
        <v>14</v>
      </c>
      <c r="L92" s="171"/>
      <c r="M92" s="171"/>
      <c r="N92" s="145" t="s">
        <v>40</v>
      </c>
      <c r="O92" s="173">
        <v>6</v>
      </c>
      <c r="P92" s="234">
        <f ca="1">OFFSET($A$1,MATCH(Z88,$A:$A,0)-1,O92)</f>
        <v>14.9</v>
      </c>
      <c r="Q92" s="144" t="s">
        <v>29</v>
      </c>
      <c r="R92" s="118">
        <f t="shared" ca="1" si="21"/>
        <v>295138</v>
      </c>
      <c r="S92" s="118">
        <f t="shared" ca="1" si="21"/>
        <v>4397556</v>
      </c>
      <c r="T92" s="118">
        <f ca="1">중급</f>
        <v>295138</v>
      </c>
      <c r="U92" s="118">
        <f t="shared" ca="1" si="22"/>
        <v>4397556</v>
      </c>
      <c r="V92" s="118"/>
      <c r="W92" s="118"/>
      <c r="X92" s="118"/>
      <c r="Y92" s="118"/>
      <c r="Z92" s="115"/>
    </row>
    <row r="93" spans="1:26" ht="18" customHeight="1">
      <c r="C93" s="9"/>
      <c r="K93" s="171" t="s">
        <v>14</v>
      </c>
      <c r="L93" s="171"/>
      <c r="M93" s="171"/>
      <c r="N93" s="145" t="s">
        <v>41</v>
      </c>
      <c r="O93" s="173">
        <v>7</v>
      </c>
      <c r="P93" s="234">
        <f ca="1">OFFSET($A$1,MATCH(Z88,$A:$A,0)-1,O93)</f>
        <v>27</v>
      </c>
      <c r="Q93" s="144" t="s">
        <v>29</v>
      </c>
      <c r="R93" s="118">
        <f t="shared" ca="1" si="21"/>
        <v>235459</v>
      </c>
      <c r="S93" s="118">
        <f t="shared" ca="1" si="21"/>
        <v>6357393</v>
      </c>
      <c r="T93" s="118">
        <f ca="1">초급</f>
        <v>235459</v>
      </c>
      <c r="U93" s="118">
        <f t="shared" ca="1" si="22"/>
        <v>6357393</v>
      </c>
      <c r="V93" s="118"/>
      <c r="W93" s="118"/>
      <c r="X93" s="118"/>
      <c r="Y93" s="118"/>
      <c r="Z93" s="115"/>
    </row>
    <row r="94" spans="1:26" ht="18" customHeight="1">
      <c r="K94" s="171" t="s">
        <v>14</v>
      </c>
      <c r="L94" s="171"/>
      <c r="M94" s="171"/>
      <c r="N94" s="319" t="s">
        <v>42</v>
      </c>
      <c r="O94" s="174">
        <v>8</v>
      </c>
      <c r="P94" s="235">
        <f ca="1">OFFSET($A$1,MATCH(Z88,$A:$A,0)-1,O94)</f>
        <v>46.8</v>
      </c>
      <c r="Q94" s="322" t="s">
        <v>29</v>
      </c>
      <c r="R94" s="323">
        <f t="shared" ca="1" si="21"/>
        <v>250087</v>
      </c>
      <c r="S94" s="323">
        <f t="shared" ca="1" si="21"/>
        <v>11704071</v>
      </c>
      <c r="T94" s="323">
        <f ca="1">보조원</f>
        <v>250087</v>
      </c>
      <c r="U94" s="323">
        <f t="shared" ca="1" si="22"/>
        <v>11704071</v>
      </c>
      <c r="V94" s="323"/>
      <c r="W94" s="323"/>
      <c r="X94" s="323"/>
      <c r="Y94" s="323"/>
      <c r="Z94" s="324"/>
    </row>
    <row r="95" spans="1:26" ht="18" customHeight="1">
      <c r="K95" s="171" t="s">
        <v>14</v>
      </c>
      <c r="L95" s="171"/>
      <c r="M95" s="171"/>
      <c r="N95" s="139" t="s">
        <v>17</v>
      </c>
      <c r="O95" s="68"/>
      <c r="P95" s="69"/>
      <c r="Q95" s="70"/>
      <c r="R95" s="71"/>
      <c r="S95" s="71">
        <f ca="1">SUBTOTAL(9,S89:S94)</f>
        <v>26542964</v>
      </c>
      <c r="T95" s="71"/>
      <c r="U95" s="71">
        <f ca="1">SUBTOTAL(9,U89:U94)</f>
        <v>26542964</v>
      </c>
      <c r="V95" s="71"/>
      <c r="W95" s="71"/>
      <c r="X95" s="71"/>
      <c r="Y95" s="71"/>
      <c r="Z95" s="68"/>
    </row>
    <row r="96" spans="1:26" ht="18" customHeight="1">
      <c r="K96" s="171" t="s">
        <v>14</v>
      </c>
      <c r="L96" s="171"/>
      <c r="M96" s="171"/>
      <c r="N96" s="318" t="str">
        <f ca="1">"제 " &amp; Z96 &amp; " 호표  "&amp; OFFSET($A$1,MATCH(Z96,$A:$A,0)-1,1)</f>
        <v>제 5 호표  1-5. 부존자원조사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5</v>
      </c>
    </row>
    <row r="97" spans="11:26" ht="18" customHeight="1">
      <c r="K97" s="171" t="s">
        <v>14</v>
      </c>
      <c r="L97" s="171"/>
      <c r="M97" s="171"/>
      <c r="N97" s="140" t="s">
        <v>43</v>
      </c>
      <c r="O97" s="172">
        <v>3</v>
      </c>
      <c r="P97" s="219">
        <f ca="1">OFFSET($A$1,MATCH(Z96,$A:$A,0)-1,O97)</f>
        <v>1.6</v>
      </c>
      <c r="Q97" s="141" t="s">
        <v>29</v>
      </c>
      <c r="R97" s="142">
        <f t="shared" ref="R97:S102" ca="1" si="23">T97</f>
        <v>467217</v>
      </c>
      <c r="S97" s="142">
        <f t="shared" ca="1" si="23"/>
        <v>747547</v>
      </c>
      <c r="T97" s="142">
        <f ca="1">기술사</f>
        <v>467217</v>
      </c>
      <c r="U97" s="142">
        <f t="shared" ref="U97:U102" ca="1" si="24">ROUNDDOWN(P97*R97,0)</f>
        <v>747547</v>
      </c>
      <c r="V97" s="142"/>
      <c r="W97" s="142"/>
      <c r="X97" s="142"/>
      <c r="Y97" s="142"/>
      <c r="Z97" s="114"/>
    </row>
    <row r="98" spans="11:26" ht="18" customHeight="1">
      <c r="K98" s="171" t="s">
        <v>14</v>
      </c>
      <c r="L98" s="171"/>
      <c r="M98" s="171"/>
      <c r="N98" s="143" t="s">
        <v>32</v>
      </c>
      <c r="O98" s="173">
        <v>4</v>
      </c>
      <c r="P98" s="234">
        <f ca="1">OFFSET($A$1,MATCH(Z96,$A:$A,0)-1,O98)</f>
        <v>2.4</v>
      </c>
      <c r="Q98" s="144" t="s">
        <v>29</v>
      </c>
      <c r="R98" s="118">
        <f t="shared" ca="1" si="23"/>
        <v>373353</v>
      </c>
      <c r="S98" s="118">
        <f t="shared" ca="1" si="23"/>
        <v>896047</v>
      </c>
      <c r="T98" s="118">
        <f ca="1">특급</f>
        <v>373353</v>
      </c>
      <c r="U98" s="118">
        <f t="shared" ca="1" si="24"/>
        <v>896047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39</v>
      </c>
      <c r="O99" s="173">
        <v>5</v>
      </c>
      <c r="P99" s="234">
        <f ca="1">OFFSET($A$1,MATCH(Z96,$A:$A,0)-1,O99)</f>
        <v>8</v>
      </c>
      <c r="Q99" s="144" t="s">
        <v>29</v>
      </c>
      <c r="R99" s="118">
        <f t="shared" ca="1" si="23"/>
        <v>310884</v>
      </c>
      <c r="S99" s="118">
        <f t="shared" ca="1" si="23"/>
        <v>2487072</v>
      </c>
      <c r="T99" s="118">
        <f ca="1">고급</f>
        <v>310884</v>
      </c>
      <c r="U99" s="118">
        <f t="shared" ca="1" si="24"/>
        <v>2487072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40</v>
      </c>
      <c r="O100" s="173">
        <v>6</v>
      </c>
      <c r="P100" s="234">
        <f ca="1">OFFSET($A$1,MATCH(Z96,$A:$A,0)-1,O100)</f>
        <v>14.9</v>
      </c>
      <c r="Q100" s="144" t="s">
        <v>29</v>
      </c>
      <c r="R100" s="118">
        <f t="shared" ca="1" si="23"/>
        <v>295138</v>
      </c>
      <c r="S100" s="118">
        <f t="shared" ca="1" si="23"/>
        <v>4397556</v>
      </c>
      <c r="T100" s="118">
        <f ca="1">중급</f>
        <v>295138</v>
      </c>
      <c r="U100" s="118">
        <f t="shared" ca="1" si="24"/>
        <v>4397556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41</v>
      </c>
      <c r="O101" s="173">
        <v>7</v>
      </c>
      <c r="P101" s="234">
        <f ca="1">OFFSET($A$1,MATCH(Z96,$A:$A,0)-1,O101)</f>
        <v>27</v>
      </c>
      <c r="Q101" s="144" t="s">
        <v>29</v>
      </c>
      <c r="R101" s="118">
        <f t="shared" ca="1" si="23"/>
        <v>235459</v>
      </c>
      <c r="S101" s="118">
        <f t="shared" ca="1" si="23"/>
        <v>6357393</v>
      </c>
      <c r="T101" s="118">
        <f ca="1">초급</f>
        <v>235459</v>
      </c>
      <c r="U101" s="118">
        <f t="shared" ca="1" si="24"/>
        <v>6357393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319" t="s">
        <v>42</v>
      </c>
      <c r="O102" s="174">
        <v>8</v>
      </c>
      <c r="P102" s="235">
        <f ca="1">OFFSET($A$1,MATCH(Z96,$A:$A,0)-1,O102)</f>
        <v>46.8</v>
      </c>
      <c r="Q102" s="322" t="s">
        <v>29</v>
      </c>
      <c r="R102" s="323">
        <f t="shared" ca="1" si="23"/>
        <v>250087</v>
      </c>
      <c r="S102" s="323">
        <f t="shared" ca="1" si="23"/>
        <v>11704071</v>
      </c>
      <c r="T102" s="323">
        <f ca="1">보조원</f>
        <v>250087</v>
      </c>
      <c r="U102" s="323">
        <f t="shared" ca="1" si="24"/>
        <v>11704071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M103" s="171"/>
      <c r="N103" s="139" t="s">
        <v>17</v>
      </c>
      <c r="O103" s="68"/>
      <c r="P103" s="69"/>
      <c r="Q103" s="70"/>
      <c r="R103" s="71"/>
      <c r="S103" s="71">
        <f ca="1">SUBTOTAL(9,S97:S102)</f>
        <v>26589686</v>
      </c>
      <c r="T103" s="71"/>
      <c r="U103" s="71">
        <f ca="1">SUBTOTAL(9,U97:U102)</f>
        <v>26589686</v>
      </c>
      <c r="V103" s="71"/>
      <c r="W103" s="71"/>
      <c r="X103" s="71"/>
      <c r="Y103" s="71"/>
      <c r="Z103" s="68"/>
    </row>
    <row r="104" spans="11:26" ht="18" customHeight="1">
      <c r="K104" s="171" t="s">
        <v>14</v>
      </c>
      <c r="L104" s="171"/>
      <c r="M104" s="171"/>
      <c r="N104" s="318" t="str">
        <f ca="1">"제 " &amp; Z104 &amp; " 호표  "&amp; OFFSET($A$1,MATCH(Z104,$A:$A,0)-1,1)</f>
        <v>제 6 호표  1-6. 유통구조조사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6</v>
      </c>
    </row>
    <row r="105" spans="11:26" ht="18" customHeight="1">
      <c r="K105" s="171" t="s">
        <v>14</v>
      </c>
      <c r="L105" s="171"/>
      <c r="M105" s="171"/>
      <c r="N105" s="140" t="s">
        <v>43</v>
      </c>
      <c r="O105" s="172">
        <v>3</v>
      </c>
      <c r="P105" s="219">
        <f ca="1">OFFSET($A$1,MATCH(Z104,$A:$A,0)-1,O105)</f>
        <v>2</v>
      </c>
      <c r="Q105" s="141" t="s">
        <v>29</v>
      </c>
      <c r="R105" s="142">
        <f t="shared" ref="R105:S110" ca="1" si="25">T105</f>
        <v>467217</v>
      </c>
      <c r="S105" s="142">
        <f t="shared" ca="1" si="25"/>
        <v>934434</v>
      </c>
      <c r="T105" s="142">
        <f ca="1">기술사</f>
        <v>467217</v>
      </c>
      <c r="U105" s="142">
        <f t="shared" ref="U105:U110" ca="1" si="26">ROUNDDOWN(P105*R105,0)</f>
        <v>934434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M106" s="171"/>
      <c r="N106" s="143" t="s">
        <v>32</v>
      </c>
      <c r="O106" s="173">
        <v>4</v>
      </c>
      <c r="P106" s="234">
        <f ca="1">OFFSET($A$1,MATCH(Z104,$A:$A,0)-1,O106)</f>
        <v>3.2</v>
      </c>
      <c r="Q106" s="144" t="s">
        <v>29</v>
      </c>
      <c r="R106" s="118">
        <f t="shared" ca="1" si="25"/>
        <v>373353</v>
      </c>
      <c r="S106" s="118">
        <f t="shared" ca="1" si="25"/>
        <v>1194729</v>
      </c>
      <c r="T106" s="118">
        <f ca="1">특급</f>
        <v>373353</v>
      </c>
      <c r="U106" s="118">
        <f t="shared" ca="1" si="26"/>
        <v>1194729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39</v>
      </c>
      <c r="O107" s="173">
        <v>5</v>
      </c>
      <c r="P107" s="234">
        <f ca="1">OFFSET($A$1,MATCH(Z104,$A:$A,0)-1,O107)</f>
        <v>7</v>
      </c>
      <c r="Q107" s="144" t="s">
        <v>29</v>
      </c>
      <c r="R107" s="118">
        <f t="shared" ca="1" si="25"/>
        <v>310884</v>
      </c>
      <c r="S107" s="118">
        <f t="shared" ca="1" si="25"/>
        <v>2176188</v>
      </c>
      <c r="T107" s="118">
        <f ca="1">고급</f>
        <v>310884</v>
      </c>
      <c r="U107" s="118">
        <f t="shared" ca="1" si="26"/>
        <v>2176188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40</v>
      </c>
      <c r="O108" s="173">
        <v>6</v>
      </c>
      <c r="P108" s="234">
        <f ca="1">OFFSET($A$1,MATCH(Z104,$A:$A,0)-1,O108)</f>
        <v>14.5</v>
      </c>
      <c r="Q108" s="144" t="s">
        <v>29</v>
      </c>
      <c r="R108" s="118">
        <f t="shared" ca="1" si="25"/>
        <v>295138</v>
      </c>
      <c r="S108" s="118">
        <f t="shared" ca="1" si="25"/>
        <v>4279501</v>
      </c>
      <c r="T108" s="118">
        <f ca="1">중급</f>
        <v>295138</v>
      </c>
      <c r="U108" s="118">
        <f t="shared" ca="1" si="26"/>
        <v>4279501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145" t="s">
        <v>41</v>
      </c>
      <c r="O109" s="173">
        <v>7</v>
      </c>
      <c r="P109" s="234">
        <f ca="1">OFFSET($A$1,MATCH(Z104,$A:$A,0)-1,O109)</f>
        <v>27</v>
      </c>
      <c r="Q109" s="144" t="s">
        <v>29</v>
      </c>
      <c r="R109" s="118">
        <f t="shared" ca="1" si="25"/>
        <v>235459</v>
      </c>
      <c r="S109" s="118">
        <f t="shared" ca="1" si="25"/>
        <v>6357393</v>
      </c>
      <c r="T109" s="118">
        <f ca="1">초급</f>
        <v>235459</v>
      </c>
      <c r="U109" s="118">
        <f t="shared" ca="1" si="26"/>
        <v>6357393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319" t="s">
        <v>42</v>
      </c>
      <c r="O110" s="174">
        <v>8</v>
      </c>
      <c r="P110" s="235">
        <f ca="1">OFFSET($A$1,MATCH(Z104,$A:$A,0)-1,O110)</f>
        <v>46.8</v>
      </c>
      <c r="Q110" s="322" t="s">
        <v>29</v>
      </c>
      <c r="R110" s="323">
        <f t="shared" ca="1" si="25"/>
        <v>250087</v>
      </c>
      <c r="S110" s="323">
        <f t="shared" ca="1" si="25"/>
        <v>11704071</v>
      </c>
      <c r="T110" s="323">
        <f ca="1">보조원</f>
        <v>250087</v>
      </c>
      <c r="U110" s="323">
        <f t="shared" ca="1" si="26"/>
        <v>11704071</v>
      </c>
      <c r="V110" s="323"/>
      <c r="W110" s="323"/>
      <c r="X110" s="323"/>
      <c r="Y110" s="323"/>
      <c r="Z110" s="324"/>
    </row>
    <row r="111" spans="11:26" ht="18" customHeight="1">
      <c r="K111" s="171" t="s">
        <v>14</v>
      </c>
      <c r="L111" s="171"/>
      <c r="M111" s="171"/>
      <c r="N111" s="139" t="s">
        <v>17</v>
      </c>
      <c r="O111" s="68"/>
      <c r="P111" s="69"/>
      <c r="Q111" s="70"/>
      <c r="R111" s="71"/>
      <c r="S111" s="71">
        <f ca="1">SUBTOTAL(9,S105:S110)</f>
        <v>26646316</v>
      </c>
      <c r="T111" s="71"/>
      <c r="U111" s="71">
        <f ca="1">SUBTOTAL(9,U105:U110)</f>
        <v>26646316</v>
      </c>
      <c r="V111" s="71"/>
      <c r="W111" s="71"/>
      <c r="X111" s="71"/>
      <c r="Y111" s="71"/>
      <c r="Z111" s="68"/>
    </row>
    <row r="112" spans="11:26" ht="18" customHeight="1">
      <c r="K112" s="171" t="s">
        <v>14</v>
      </c>
      <c r="L112" s="171"/>
      <c r="M112" s="171"/>
      <c r="N112" s="318" t="str">
        <f ca="1">"제 " &amp; Z112 &amp; " 호표  "&amp; OFFSET($A$1,MATCH(Z112,$A:$A,0)-1,1)</f>
        <v>제 7 호표  2-1. 일반여건전망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7</v>
      </c>
    </row>
    <row r="113" spans="11:26" ht="18" customHeight="1">
      <c r="K113" s="171" t="s">
        <v>14</v>
      </c>
      <c r="L113" s="171"/>
      <c r="M113" s="171"/>
      <c r="N113" s="140" t="s">
        <v>43</v>
      </c>
      <c r="O113" s="172">
        <v>3</v>
      </c>
      <c r="P113" s="219">
        <f ca="1">OFFSET($A$1,MATCH(Z112,$A:$A,0)-1,O113)</f>
        <v>2</v>
      </c>
      <c r="Q113" s="141" t="s">
        <v>29</v>
      </c>
      <c r="R113" s="142">
        <f t="shared" ref="R113:S118" ca="1" si="27">T113</f>
        <v>467217</v>
      </c>
      <c r="S113" s="142">
        <f t="shared" ca="1" si="27"/>
        <v>934434</v>
      </c>
      <c r="T113" s="142">
        <f ca="1">기술사</f>
        <v>467217</v>
      </c>
      <c r="U113" s="142">
        <f t="shared" ref="U113:U118" ca="1" si="28">ROUNDDOWN(P113*R113,0)</f>
        <v>934434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M114" s="171"/>
      <c r="N114" s="143" t="s">
        <v>32</v>
      </c>
      <c r="O114" s="173">
        <v>4</v>
      </c>
      <c r="P114" s="234">
        <f ca="1">OFFSET($A$1,MATCH(Z112,$A:$A,0)-1,O114)</f>
        <v>3.2</v>
      </c>
      <c r="Q114" s="144" t="s">
        <v>29</v>
      </c>
      <c r="R114" s="118">
        <f t="shared" ca="1" si="27"/>
        <v>373353</v>
      </c>
      <c r="S114" s="118">
        <f t="shared" ca="1" si="27"/>
        <v>1194729</v>
      </c>
      <c r="T114" s="118">
        <f ca="1">특급</f>
        <v>373353</v>
      </c>
      <c r="U114" s="118">
        <f t="shared" ca="1" si="28"/>
        <v>1194729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39</v>
      </c>
      <c r="O115" s="173">
        <v>5</v>
      </c>
      <c r="P115" s="234">
        <f ca="1">OFFSET($A$1,MATCH(Z112,$A:$A,0)-1,O115)</f>
        <v>9.5</v>
      </c>
      <c r="Q115" s="144" t="s">
        <v>29</v>
      </c>
      <c r="R115" s="118">
        <f t="shared" ca="1" si="27"/>
        <v>310884</v>
      </c>
      <c r="S115" s="118">
        <f t="shared" ca="1" si="27"/>
        <v>2953398</v>
      </c>
      <c r="T115" s="118">
        <f ca="1">고급</f>
        <v>310884</v>
      </c>
      <c r="U115" s="118">
        <f t="shared" ca="1" si="28"/>
        <v>2953398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40</v>
      </c>
      <c r="O116" s="173">
        <v>6</v>
      </c>
      <c r="P116" s="234">
        <f ca="1">OFFSET($A$1,MATCH(Z112,$A:$A,0)-1,O116)</f>
        <v>11.4</v>
      </c>
      <c r="Q116" s="144" t="s">
        <v>29</v>
      </c>
      <c r="R116" s="118">
        <f t="shared" ca="1" si="27"/>
        <v>295138</v>
      </c>
      <c r="S116" s="118">
        <f t="shared" ca="1" si="27"/>
        <v>3364573</v>
      </c>
      <c r="T116" s="118">
        <f ca="1">중급</f>
        <v>295138</v>
      </c>
      <c r="U116" s="118">
        <f t="shared" ca="1" si="28"/>
        <v>3364573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41</v>
      </c>
      <c r="O117" s="173">
        <v>7</v>
      </c>
      <c r="P117" s="234">
        <f ca="1">OFFSET($A$1,MATCH(Z112,$A:$A,0)-1,O117)</f>
        <v>24.3</v>
      </c>
      <c r="Q117" s="144" t="s">
        <v>29</v>
      </c>
      <c r="R117" s="118">
        <f t="shared" ca="1" si="27"/>
        <v>235459</v>
      </c>
      <c r="S117" s="118">
        <f t="shared" ca="1" si="27"/>
        <v>5721653</v>
      </c>
      <c r="T117" s="118">
        <f ca="1">초급</f>
        <v>235459</v>
      </c>
      <c r="U117" s="118">
        <f t="shared" ca="1" si="28"/>
        <v>5721653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319" t="s">
        <v>42</v>
      </c>
      <c r="O118" s="174">
        <v>8</v>
      </c>
      <c r="P118" s="235">
        <f ca="1">OFFSET($A$1,MATCH(Z112,$A:$A,0)-1,O118)</f>
        <v>22.9</v>
      </c>
      <c r="Q118" s="322" t="s">
        <v>29</v>
      </c>
      <c r="R118" s="323">
        <f t="shared" ca="1" si="27"/>
        <v>250087</v>
      </c>
      <c r="S118" s="323">
        <f t="shared" ca="1" si="27"/>
        <v>5726992</v>
      </c>
      <c r="T118" s="323">
        <f ca="1">보조원</f>
        <v>250087</v>
      </c>
      <c r="U118" s="323">
        <f t="shared" ca="1" si="28"/>
        <v>5726992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M119" s="171"/>
      <c r="N119" s="139" t="s">
        <v>17</v>
      </c>
      <c r="O119" s="68"/>
      <c r="P119" s="69"/>
      <c r="Q119" s="70"/>
      <c r="R119" s="71"/>
      <c r="S119" s="71">
        <f ca="1">SUBTOTAL(9,S113:S118)</f>
        <v>19895779</v>
      </c>
      <c r="T119" s="71"/>
      <c r="U119" s="71">
        <f ca="1">SUBTOTAL(9,U113:U118)</f>
        <v>19895779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M120" s="171"/>
      <c r="N120" s="318" t="str">
        <f ca="1">"제 " &amp; Z120 &amp; " 호표  "&amp; OFFSET($A$1,MATCH(Z120,$A:$A,0)-1,1)</f>
        <v>제 8 호표  2-2. 장기사회경제전망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8</v>
      </c>
    </row>
    <row r="121" spans="11:26" ht="18" customHeight="1">
      <c r="K121" s="171" t="s">
        <v>14</v>
      </c>
      <c r="L121" s="171"/>
      <c r="M121" s="171"/>
      <c r="N121" s="140" t="s">
        <v>43</v>
      </c>
      <c r="O121" s="172">
        <v>3</v>
      </c>
      <c r="P121" s="219">
        <f ca="1">OFFSET($A$1,MATCH(Z120,$A:$A,0)-1,O121)</f>
        <v>2.2000000000000002</v>
      </c>
      <c r="Q121" s="141" t="s">
        <v>29</v>
      </c>
      <c r="R121" s="142">
        <f t="shared" ref="R121:S126" ca="1" si="29">T121</f>
        <v>467217</v>
      </c>
      <c r="S121" s="142">
        <f t="shared" ca="1" si="29"/>
        <v>1027877</v>
      </c>
      <c r="T121" s="142">
        <f ca="1">기술사</f>
        <v>467217</v>
      </c>
      <c r="U121" s="142">
        <f t="shared" ref="U121:U126" ca="1" si="30">ROUNDDOWN(P121*R121,0)</f>
        <v>1027877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M122" s="171"/>
      <c r="N122" s="143" t="s">
        <v>32</v>
      </c>
      <c r="O122" s="173">
        <v>4</v>
      </c>
      <c r="P122" s="234">
        <f ca="1">OFFSET($A$1,MATCH(Z120,$A:$A,0)-1,O122)</f>
        <v>3.7</v>
      </c>
      <c r="Q122" s="144" t="s">
        <v>29</v>
      </c>
      <c r="R122" s="118">
        <f t="shared" ca="1" si="29"/>
        <v>373353</v>
      </c>
      <c r="S122" s="118">
        <f t="shared" ca="1" si="29"/>
        <v>1381406</v>
      </c>
      <c r="T122" s="118">
        <f ca="1">특급</f>
        <v>373353</v>
      </c>
      <c r="U122" s="118">
        <f t="shared" ca="1" si="30"/>
        <v>1381406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39</v>
      </c>
      <c r="O123" s="173">
        <v>5</v>
      </c>
      <c r="P123" s="234">
        <f ca="1">OFFSET($A$1,MATCH(Z120,$A:$A,0)-1,O123)</f>
        <v>8.8000000000000007</v>
      </c>
      <c r="Q123" s="144" t="s">
        <v>29</v>
      </c>
      <c r="R123" s="118">
        <f t="shared" ca="1" si="29"/>
        <v>310884</v>
      </c>
      <c r="S123" s="118">
        <f t="shared" ca="1" si="29"/>
        <v>2735779</v>
      </c>
      <c r="T123" s="118">
        <f ca="1">고급</f>
        <v>310884</v>
      </c>
      <c r="U123" s="118">
        <f t="shared" ca="1" si="30"/>
        <v>2735779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40</v>
      </c>
      <c r="O124" s="173">
        <v>6</v>
      </c>
      <c r="P124" s="234">
        <f ca="1">OFFSET($A$1,MATCH(Z120,$A:$A,0)-1,O124)</f>
        <v>10.5</v>
      </c>
      <c r="Q124" s="144" t="s">
        <v>29</v>
      </c>
      <c r="R124" s="118">
        <f t="shared" ca="1" si="29"/>
        <v>295138</v>
      </c>
      <c r="S124" s="118">
        <f t="shared" ca="1" si="29"/>
        <v>3098949</v>
      </c>
      <c r="T124" s="118">
        <f ca="1">중급</f>
        <v>295138</v>
      </c>
      <c r="U124" s="118">
        <f t="shared" ca="1" si="30"/>
        <v>3098949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41</v>
      </c>
      <c r="O125" s="173">
        <v>7</v>
      </c>
      <c r="P125" s="234">
        <f ca="1">OFFSET($A$1,MATCH(Z120,$A:$A,0)-1,O125)</f>
        <v>24.3</v>
      </c>
      <c r="Q125" s="144" t="s">
        <v>29</v>
      </c>
      <c r="R125" s="118">
        <f t="shared" ca="1" si="29"/>
        <v>235459</v>
      </c>
      <c r="S125" s="118">
        <f t="shared" ca="1" si="29"/>
        <v>5721653</v>
      </c>
      <c r="T125" s="118">
        <f ca="1">초급</f>
        <v>235459</v>
      </c>
      <c r="U125" s="118">
        <f t="shared" ca="1" si="30"/>
        <v>5721653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319" t="s">
        <v>42</v>
      </c>
      <c r="O126" s="174">
        <v>8</v>
      </c>
      <c r="P126" s="235">
        <f ca="1">OFFSET($A$1,MATCH(Z120,$A:$A,0)-1,O126)</f>
        <v>22.9</v>
      </c>
      <c r="Q126" s="322" t="s">
        <v>29</v>
      </c>
      <c r="R126" s="323">
        <f t="shared" ca="1" si="29"/>
        <v>250087</v>
      </c>
      <c r="S126" s="323">
        <f t="shared" ca="1" si="29"/>
        <v>5726992</v>
      </c>
      <c r="T126" s="323">
        <f ca="1">보조원</f>
        <v>250087</v>
      </c>
      <c r="U126" s="323">
        <f t="shared" ca="1" si="30"/>
        <v>5726992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M127" s="171"/>
      <c r="N127" s="139" t="s">
        <v>17</v>
      </c>
      <c r="O127" s="68"/>
      <c r="P127" s="69"/>
      <c r="Q127" s="70"/>
      <c r="R127" s="71"/>
      <c r="S127" s="71">
        <f ca="1">SUBTOTAL(9,S121:S126)</f>
        <v>19692656</v>
      </c>
      <c r="T127" s="71"/>
      <c r="U127" s="71">
        <f ca="1">SUBTOTAL(9,U121:U126)</f>
        <v>19692656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M128" s="171"/>
      <c r="N128" s="318" t="str">
        <f ca="1">"제 " &amp; Z128 &amp; " 호표  "&amp; OFFSET($A$1,MATCH(Z128,$A:$A,0)-1,1)</f>
        <v>제 9 호표  2-3. 상위계획과의 상관성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9</v>
      </c>
    </row>
    <row r="129" spans="11:29" ht="18" customHeight="1">
      <c r="K129" s="171" t="s">
        <v>14</v>
      </c>
      <c r="L129" s="171"/>
      <c r="M129" s="171"/>
      <c r="N129" s="140" t="s">
        <v>43</v>
      </c>
      <c r="O129" s="172">
        <v>3</v>
      </c>
      <c r="P129" s="219">
        <f ca="1">OFFSET($A$1,MATCH(Z128,$A:$A,0)-1,O129)</f>
        <v>2</v>
      </c>
      <c r="Q129" s="141" t="s">
        <v>29</v>
      </c>
      <c r="R129" s="142">
        <f t="shared" ref="R129:S134" ca="1" si="31">T129</f>
        <v>467217</v>
      </c>
      <c r="S129" s="142">
        <f t="shared" ca="1" si="31"/>
        <v>934434</v>
      </c>
      <c r="T129" s="142">
        <f ca="1">기술사</f>
        <v>467217</v>
      </c>
      <c r="U129" s="142">
        <f t="shared" ref="U129:U134" ca="1" si="32">ROUNDDOWN(P129*R129,0)</f>
        <v>934434</v>
      </c>
      <c r="V129" s="142"/>
      <c r="W129" s="142"/>
      <c r="X129" s="142"/>
      <c r="Y129" s="142"/>
      <c r="Z129" s="114"/>
    </row>
    <row r="130" spans="11:29" ht="18" customHeight="1">
      <c r="K130" s="171" t="s">
        <v>14</v>
      </c>
      <c r="L130" s="171"/>
      <c r="M130" s="171"/>
      <c r="N130" s="143" t="s">
        <v>32</v>
      </c>
      <c r="O130" s="173">
        <v>4</v>
      </c>
      <c r="P130" s="234">
        <f ca="1">OFFSET($A$1,MATCH(Z128,$A:$A,0)-1,O130)</f>
        <v>3.2</v>
      </c>
      <c r="Q130" s="144" t="s">
        <v>29</v>
      </c>
      <c r="R130" s="118">
        <f t="shared" ca="1" si="31"/>
        <v>373353</v>
      </c>
      <c r="S130" s="118">
        <f t="shared" ca="1" si="31"/>
        <v>1194729</v>
      </c>
      <c r="T130" s="118">
        <f ca="1">특급</f>
        <v>373353</v>
      </c>
      <c r="U130" s="118">
        <f t="shared" ca="1" si="32"/>
        <v>1194729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39</v>
      </c>
      <c r="O131" s="173">
        <v>5</v>
      </c>
      <c r="P131" s="234">
        <f ca="1">OFFSET($A$1,MATCH(Z128,$A:$A,0)-1,O131)</f>
        <v>8.8000000000000007</v>
      </c>
      <c r="Q131" s="144" t="s">
        <v>29</v>
      </c>
      <c r="R131" s="118">
        <f t="shared" ca="1" si="31"/>
        <v>310884</v>
      </c>
      <c r="S131" s="118">
        <f t="shared" ca="1" si="31"/>
        <v>2735779</v>
      </c>
      <c r="T131" s="118">
        <f ca="1">고급</f>
        <v>310884</v>
      </c>
      <c r="U131" s="118">
        <f t="shared" ca="1" si="32"/>
        <v>2735779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40</v>
      </c>
      <c r="O132" s="173">
        <v>6</v>
      </c>
      <c r="P132" s="234">
        <f ca="1">OFFSET($A$1,MATCH(Z128,$A:$A,0)-1,O132)</f>
        <v>10.5</v>
      </c>
      <c r="Q132" s="144" t="s">
        <v>29</v>
      </c>
      <c r="R132" s="118">
        <f t="shared" ca="1" si="31"/>
        <v>295138</v>
      </c>
      <c r="S132" s="118">
        <f t="shared" ca="1" si="31"/>
        <v>3098949</v>
      </c>
      <c r="T132" s="118">
        <f ca="1">중급</f>
        <v>295138</v>
      </c>
      <c r="U132" s="118">
        <f t="shared" ca="1" si="32"/>
        <v>3098949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145" t="s">
        <v>41</v>
      </c>
      <c r="O133" s="173">
        <v>7</v>
      </c>
      <c r="P133" s="234">
        <f ca="1">OFFSET($A$1,MATCH(Z128,$A:$A,0)-1,O133)</f>
        <v>25.7</v>
      </c>
      <c r="Q133" s="144" t="s">
        <v>29</v>
      </c>
      <c r="R133" s="118">
        <f t="shared" ca="1" si="31"/>
        <v>235459</v>
      </c>
      <c r="S133" s="118">
        <f t="shared" ca="1" si="31"/>
        <v>6051296</v>
      </c>
      <c r="T133" s="118">
        <f ca="1">초급</f>
        <v>235459</v>
      </c>
      <c r="U133" s="118">
        <f t="shared" ca="1" si="32"/>
        <v>6051296</v>
      </c>
      <c r="V133" s="118"/>
      <c r="W133" s="118"/>
      <c r="X133" s="118"/>
      <c r="Y133" s="118"/>
      <c r="Z133" s="115"/>
    </row>
    <row r="134" spans="11:29" ht="18" customHeight="1">
      <c r="K134" s="171" t="s">
        <v>14</v>
      </c>
      <c r="L134" s="171"/>
      <c r="M134" s="171"/>
      <c r="N134" s="319" t="s">
        <v>42</v>
      </c>
      <c r="O134" s="174">
        <v>8</v>
      </c>
      <c r="P134" s="235">
        <f ca="1">OFFSET($A$1,MATCH(Z128,$A:$A,0)-1,O134)</f>
        <v>26.8</v>
      </c>
      <c r="Q134" s="322" t="s">
        <v>29</v>
      </c>
      <c r="R134" s="323">
        <f t="shared" ca="1" si="31"/>
        <v>250087</v>
      </c>
      <c r="S134" s="323">
        <f t="shared" ca="1" si="31"/>
        <v>6702331</v>
      </c>
      <c r="T134" s="323">
        <f ca="1">보조원</f>
        <v>250087</v>
      </c>
      <c r="U134" s="323">
        <f t="shared" ca="1" si="32"/>
        <v>6702331</v>
      </c>
      <c r="V134" s="323"/>
      <c r="W134" s="323"/>
      <c r="X134" s="323"/>
      <c r="Y134" s="323"/>
      <c r="Z134" s="324"/>
    </row>
    <row r="135" spans="11:29" ht="18" customHeight="1">
      <c r="K135" s="171" t="s">
        <v>14</v>
      </c>
      <c r="L135" s="171"/>
      <c r="M135" s="171"/>
      <c r="N135" s="139" t="s">
        <v>17</v>
      </c>
      <c r="O135" s="68"/>
      <c r="P135" s="69"/>
      <c r="Q135" s="70"/>
      <c r="R135" s="71"/>
      <c r="S135" s="71">
        <f ca="1">SUBTOTAL(9,S129:S134)</f>
        <v>20717518</v>
      </c>
      <c r="T135" s="71"/>
      <c r="U135" s="71">
        <f ca="1">SUBTOTAL(9,U129:U134)</f>
        <v>20717518</v>
      </c>
      <c r="V135" s="71"/>
      <c r="W135" s="71"/>
      <c r="X135" s="71"/>
      <c r="Y135" s="71"/>
      <c r="Z135" s="68"/>
    </row>
    <row r="136" spans="11:29" ht="18" customHeight="1">
      <c r="K136" s="171" t="s">
        <v>14</v>
      </c>
      <c r="L136" s="171"/>
      <c r="M136" s="171"/>
      <c r="N136" s="318" t="str">
        <f ca="1">"제 " &amp; Z136 &amp; " 호표  "&amp; OFFSET($A$1,MATCH(Z136,$A:$A,0)-1,1)</f>
        <v>제 10 호표  2-4. 지역의 발전여건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10</v>
      </c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0" t="s">
        <v>43</v>
      </c>
      <c r="O137" s="172">
        <v>3</v>
      </c>
      <c r="P137" s="219">
        <f ca="1">OFFSET($A$1,MATCH(Z136,$A:$A,0)-1,O137)</f>
        <v>2</v>
      </c>
      <c r="Q137" s="141" t="s">
        <v>29</v>
      </c>
      <c r="R137" s="142">
        <f t="shared" ref="R137:S142" ca="1" si="33">T137</f>
        <v>467217</v>
      </c>
      <c r="S137" s="142">
        <f t="shared" ca="1" si="33"/>
        <v>934434</v>
      </c>
      <c r="T137" s="142">
        <f ca="1">기술사</f>
        <v>467217</v>
      </c>
      <c r="U137" s="142">
        <f t="shared" ref="U137:U142" ca="1" si="34">ROUNDDOWN(P137*R137,0)</f>
        <v>934434</v>
      </c>
      <c r="V137" s="142"/>
      <c r="W137" s="142"/>
      <c r="X137" s="142"/>
      <c r="Y137" s="142"/>
      <c r="Z137" s="114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3.2</v>
      </c>
      <c r="Q138" s="144" t="s">
        <v>29</v>
      </c>
      <c r="R138" s="118">
        <f t="shared" ca="1" si="33"/>
        <v>373353</v>
      </c>
      <c r="S138" s="118">
        <f t="shared" ca="1" si="33"/>
        <v>1194729</v>
      </c>
      <c r="T138" s="118">
        <f ca="1">특급</f>
        <v>373353</v>
      </c>
      <c r="U138" s="118">
        <f t="shared" ca="1" si="34"/>
        <v>1194729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9.5</v>
      </c>
      <c r="Q139" s="144" t="s">
        <v>29</v>
      </c>
      <c r="R139" s="118">
        <f t="shared" ca="1" si="33"/>
        <v>310884</v>
      </c>
      <c r="S139" s="118">
        <f t="shared" ca="1" si="33"/>
        <v>2953398</v>
      </c>
      <c r="T139" s="118">
        <f ca="1">고급</f>
        <v>310884</v>
      </c>
      <c r="U139" s="118">
        <f t="shared" ca="1" si="34"/>
        <v>2953398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11.4</v>
      </c>
      <c r="Q140" s="144" t="s">
        <v>29</v>
      </c>
      <c r="R140" s="118">
        <f t="shared" ca="1" si="33"/>
        <v>295138</v>
      </c>
      <c r="S140" s="118">
        <f t="shared" ca="1" si="33"/>
        <v>3364573</v>
      </c>
      <c r="T140" s="118">
        <f ca="1">중급</f>
        <v>295138</v>
      </c>
      <c r="U140" s="118">
        <f t="shared" ca="1" si="34"/>
        <v>3364573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24.3</v>
      </c>
      <c r="Q141" s="144" t="s">
        <v>29</v>
      </c>
      <c r="R141" s="118">
        <f t="shared" ca="1" si="33"/>
        <v>235459</v>
      </c>
      <c r="S141" s="118">
        <f t="shared" ca="1" si="33"/>
        <v>5721653</v>
      </c>
      <c r="T141" s="118">
        <f ca="1">초급</f>
        <v>235459</v>
      </c>
      <c r="U141" s="118">
        <f t="shared" ca="1" si="34"/>
        <v>5721653</v>
      </c>
      <c r="V141" s="118"/>
      <c r="W141" s="118"/>
      <c r="X141" s="118"/>
      <c r="Y141" s="118"/>
      <c r="Z141" s="115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22.9</v>
      </c>
      <c r="Q142" s="322" t="s">
        <v>29</v>
      </c>
      <c r="R142" s="323">
        <f t="shared" ca="1" si="33"/>
        <v>250087</v>
      </c>
      <c r="S142" s="323">
        <f t="shared" ca="1" si="33"/>
        <v>5726992</v>
      </c>
      <c r="T142" s="323">
        <f ca="1">보조원</f>
        <v>250087</v>
      </c>
      <c r="U142" s="323">
        <f t="shared" ca="1" si="34"/>
        <v>5726992</v>
      </c>
      <c r="V142" s="323"/>
      <c r="W142" s="323"/>
      <c r="X142" s="323"/>
      <c r="Y142" s="323"/>
      <c r="Z142" s="324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19895779</v>
      </c>
      <c r="T143" s="71"/>
      <c r="U143" s="71">
        <f ca="1">SUBTOTAL(9,U137:U142)</f>
        <v>19895779</v>
      </c>
      <c r="V143" s="71"/>
      <c r="W143" s="71"/>
      <c r="X143" s="71"/>
      <c r="Y143" s="71"/>
      <c r="Z143" s="68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11 호표  3-1. 기본방향설정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11</v>
      </c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2.6</v>
      </c>
      <c r="Q145" s="141" t="s">
        <v>29</v>
      </c>
      <c r="R145" s="142">
        <f t="shared" ref="R145:S150" ca="1" si="35">T145</f>
        <v>467217</v>
      </c>
      <c r="S145" s="142">
        <f t="shared" ca="1" si="35"/>
        <v>1214764</v>
      </c>
      <c r="T145" s="142">
        <f ca="1">기술사</f>
        <v>467217</v>
      </c>
      <c r="U145" s="142">
        <f t="shared" ref="U145:U150" ca="1" si="36">ROUNDDOWN(P145*R145,0)</f>
        <v>1214764</v>
      </c>
      <c r="V145" s="142"/>
      <c r="W145" s="142"/>
      <c r="X145" s="142"/>
      <c r="Y145" s="142"/>
      <c r="Z145" s="114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4.0999999999999996</v>
      </c>
      <c r="Q146" s="144" t="s">
        <v>29</v>
      </c>
      <c r="R146" s="118">
        <f t="shared" ca="1" si="35"/>
        <v>373353</v>
      </c>
      <c r="S146" s="118">
        <f t="shared" ca="1" si="35"/>
        <v>1530747</v>
      </c>
      <c r="T146" s="118">
        <f ca="1">특급</f>
        <v>373353</v>
      </c>
      <c r="U146" s="118">
        <f t="shared" ca="1" si="36"/>
        <v>1530747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10.7</v>
      </c>
      <c r="Q147" s="144" t="s">
        <v>29</v>
      </c>
      <c r="R147" s="118">
        <f t="shared" ca="1" si="35"/>
        <v>310884</v>
      </c>
      <c r="S147" s="118">
        <f t="shared" ca="1" si="35"/>
        <v>3326458</v>
      </c>
      <c r="T147" s="118">
        <f ca="1">고급</f>
        <v>310884</v>
      </c>
      <c r="U147" s="118">
        <f t="shared" ca="1" si="36"/>
        <v>3326458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10.5</v>
      </c>
      <c r="Q148" s="144" t="s">
        <v>29</v>
      </c>
      <c r="R148" s="118">
        <f t="shared" ca="1" si="35"/>
        <v>295138</v>
      </c>
      <c r="S148" s="118">
        <f t="shared" ca="1" si="35"/>
        <v>3098949</v>
      </c>
      <c r="T148" s="118">
        <f ca="1">중급</f>
        <v>295138</v>
      </c>
      <c r="U148" s="118">
        <f t="shared" ca="1" si="36"/>
        <v>3098949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15.8</v>
      </c>
      <c r="Q149" s="144" t="s">
        <v>29</v>
      </c>
      <c r="R149" s="118">
        <f t="shared" ca="1" si="35"/>
        <v>235459</v>
      </c>
      <c r="S149" s="118">
        <f t="shared" ca="1" si="35"/>
        <v>3720252</v>
      </c>
      <c r="T149" s="118">
        <f ca="1">초급</f>
        <v>235459</v>
      </c>
      <c r="U149" s="118">
        <f t="shared" ca="1" si="36"/>
        <v>3720252</v>
      </c>
      <c r="V149" s="118"/>
      <c r="W149" s="118"/>
      <c r="X149" s="118"/>
      <c r="Y149" s="118"/>
      <c r="Z149" s="115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22.9</v>
      </c>
      <c r="Q150" s="322" t="s">
        <v>29</v>
      </c>
      <c r="R150" s="323">
        <f t="shared" ca="1" si="35"/>
        <v>250087</v>
      </c>
      <c r="S150" s="323">
        <f t="shared" ca="1" si="35"/>
        <v>5726992</v>
      </c>
      <c r="T150" s="323">
        <f ca="1">보조원</f>
        <v>250087</v>
      </c>
      <c r="U150" s="323">
        <f t="shared" ca="1" si="36"/>
        <v>5726992</v>
      </c>
      <c r="V150" s="323"/>
      <c r="W150" s="323"/>
      <c r="X150" s="323"/>
      <c r="Y150" s="323"/>
      <c r="Z150" s="32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18618162</v>
      </c>
      <c r="T151" s="71"/>
      <c r="U151" s="71">
        <f ca="1">SUBTOTAL(9,U145:U150)</f>
        <v>18618162</v>
      </c>
      <c r="V151" s="71"/>
      <c r="W151" s="71"/>
      <c r="X151" s="71"/>
      <c r="Y151" s="71"/>
      <c r="Z151" s="68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12 호표  3-2. 종합개발목표설정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12</v>
      </c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2.1</v>
      </c>
      <c r="Q153" s="141" t="s">
        <v>29</v>
      </c>
      <c r="R153" s="142">
        <f t="shared" ref="R153:S158" ca="1" si="37">T153</f>
        <v>467217</v>
      </c>
      <c r="S153" s="142">
        <f t="shared" ca="1" si="37"/>
        <v>981155</v>
      </c>
      <c r="T153" s="142">
        <f ca="1">기술사</f>
        <v>467217</v>
      </c>
      <c r="U153" s="142">
        <f t="shared" ref="U153:U158" ca="1" si="38">ROUNDDOWN(P153*R153,0)</f>
        <v>981155</v>
      </c>
      <c r="V153" s="142"/>
      <c r="W153" s="142"/>
      <c r="X153" s="142"/>
      <c r="Y153" s="142"/>
      <c r="Z153" s="114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3.4</v>
      </c>
      <c r="Q154" s="144" t="s">
        <v>29</v>
      </c>
      <c r="R154" s="118">
        <f t="shared" ca="1" si="37"/>
        <v>373353</v>
      </c>
      <c r="S154" s="118">
        <f t="shared" ca="1" si="37"/>
        <v>1269400</v>
      </c>
      <c r="T154" s="118">
        <f ca="1">특급</f>
        <v>373353</v>
      </c>
      <c r="U154" s="118">
        <f t="shared" ca="1" si="38"/>
        <v>1269400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11.7</v>
      </c>
      <c r="Q155" s="144" t="s">
        <v>29</v>
      </c>
      <c r="R155" s="118">
        <f t="shared" ca="1" si="37"/>
        <v>310884</v>
      </c>
      <c r="S155" s="118">
        <f t="shared" ca="1" si="37"/>
        <v>3637342</v>
      </c>
      <c r="T155" s="118">
        <f ca="1">고급</f>
        <v>310884</v>
      </c>
      <c r="U155" s="118">
        <f t="shared" ca="1" si="38"/>
        <v>3637342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12.3</v>
      </c>
      <c r="Q156" s="144" t="s">
        <v>29</v>
      </c>
      <c r="R156" s="118">
        <f t="shared" ca="1" si="37"/>
        <v>295138</v>
      </c>
      <c r="S156" s="118">
        <f t="shared" ca="1" si="37"/>
        <v>3630197</v>
      </c>
      <c r="T156" s="118">
        <f ca="1">중급</f>
        <v>295138</v>
      </c>
      <c r="U156" s="118">
        <f t="shared" ca="1" si="38"/>
        <v>3630197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15.8</v>
      </c>
      <c r="Q157" s="144" t="s">
        <v>29</v>
      </c>
      <c r="R157" s="118">
        <f t="shared" ca="1" si="37"/>
        <v>235459</v>
      </c>
      <c r="S157" s="118">
        <f t="shared" ca="1" si="37"/>
        <v>3720252</v>
      </c>
      <c r="T157" s="118">
        <f ca="1">초급</f>
        <v>235459</v>
      </c>
      <c r="U157" s="118">
        <f t="shared" ca="1" si="38"/>
        <v>3720252</v>
      </c>
      <c r="V157" s="118"/>
      <c r="W157" s="118"/>
      <c r="X157" s="118"/>
      <c r="Y157" s="118"/>
      <c r="Z157" s="115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22.9</v>
      </c>
      <c r="Q158" s="322" t="s">
        <v>29</v>
      </c>
      <c r="R158" s="323">
        <f t="shared" ca="1" si="37"/>
        <v>250087</v>
      </c>
      <c r="S158" s="323">
        <f t="shared" ca="1" si="37"/>
        <v>5726992</v>
      </c>
      <c r="T158" s="323">
        <f ca="1">보조원</f>
        <v>250087</v>
      </c>
      <c r="U158" s="323">
        <f t="shared" ca="1" si="38"/>
        <v>5726992</v>
      </c>
      <c r="V158" s="323"/>
      <c r="W158" s="323"/>
      <c r="X158" s="323"/>
      <c r="Y158" s="323"/>
      <c r="Z158" s="32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18965338</v>
      </c>
      <c r="T159" s="71"/>
      <c r="U159" s="71">
        <f ca="1">SUBTOTAL(9,U153:U158)</f>
        <v>18965338</v>
      </c>
      <c r="V159" s="71"/>
      <c r="W159" s="71"/>
      <c r="X159" s="71"/>
      <c r="Y159" s="71"/>
      <c r="Z159" s="68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13 호표  3-3. 계획지표설정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13</v>
      </c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2.4</v>
      </c>
      <c r="Q161" s="141" t="s">
        <v>29</v>
      </c>
      <c r="R161" s="142">
        <f t="shared" ref="R161:R166" ca="1" si="39">T161</f>
        <v>467217</v>
      </c>
      <c r="S161" s="142">
        <f t="shared" ref="S161:S166" ca="1" si="40">U161</f>
        <v>1121320</v>
      </c>
      <c r="T161" s="142">
        <f ca="1">기술사</f>
        <v>467217</v>
      </c>
      <c r="U161" s="142">
        <f t="shared" ref="U161:U166" ca="1" si="41">ROUNDDOWN(P161*R161,0)</f>
        <v>1121320</v>
      </c>
      <c r="V161" s="142"/>
      <c r="W161" s="142"/>
      <c r="X161" s="142"/>
      <c r="Y161" s="142"/>
      <c r="Z161" s="114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3.9</v>
      </c>
      <c r="Q162" s="144" t="s">
        <v>29</v>
      </c>
      <c r="R162" s="118">
        <f t="shared" ca="1" si="39"/>
        <v>373353</v>
      </c>
      <c r="S162" s="118">
        <f t="shared" ca="1" si="40"/>
        <v>1456076</v>
      </c>
      <c r="T162" s="118">
        <f ca="1">특급</f>
        <v>373353</v>
      </c>
      <c r="U162" s="118">
        <f t="shared" ca="1" si="41"/>
        <v>1456076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10.7</v>
      </c>
      <c r="Q163" s="144" t="s">
        <v>29</v>
      </c>
      <c r="R163" s="118">
        <f t="shared" ca="1" si="39"/>
        <v>310884</v>
      </c>
      <c r="S163" s="118">
        <f t="shared" ca="1" si="40"/>
        <v>3326458</v>
      </c>
      <c r="T163" s="118">
        <f ca="1">고급</f>
        <v>310884</v>
      </c>
      <c r="U163" s="118">
        <f t="shared" ca="1" si="41"/>
        <v>3326458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10.5</v>
      </c>
      <c r="Q164" s="144" t="s">
        <v>29</v>
      </c>
      <c r="R164" s="118">
        <f t="shared" ca="1" si="39"/>
        <v>295138</v>
      </c>
      <c r="S164" s="118">
        <f t="shared" ca="1" si="40"/>
        <v>3098949</v>
      </c>
      <c r="T164" s="118">
        <f ca="1">중급</f>
        <v>295138</v>
      </c>
      <c r="U164" s="118">
        <f t="shared" ca="1" si="41"/>
        <v>3098949</v>
      </c>
      <c r="V164" s="118"/>
      <c r="W164" s="118"/>
      <c r="X164" s="118"/>
      <c r="Y164" s="118"/>
      <c r="Z164" s="115"/>
    </row>
    <row r="165" spans="11:29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15.8</v>
      </c>
      <c r="Q165" s="144" t="s">
        <v>29</v>
      </c>
      <c r="R165" s="118">
        <f t="shared" ca="1" si="39"/>
        <v>235459</v>
      </c>
      <c r="S165" s="118">
        <f t="shared" ca="1" si="40"/>
        <v>3720252</v>
      </c>
      <c r="T165" s="118">
        <f ca="1">초급</f>
        <v>235459</v>
      </c>
      <c r="U165" s="118">
        <f t="shared" ca="1" si="41"/>
        <v>3720252</v>
      </c>
      <c r="V165" s="118"/>
      <c r="W165" s="118"/>
      <c r="X165" s="118"/>
      <c r="Y165" s="118"/>
      <c r="Z165" s="115"/>
    </row>
    <row r="166" spans="11:29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22.9</v>
      </c>
      <c r="Q166" s="322" t="s">
        <v>29</v>
      </c>
      <c r="R166" s="323">
        <f t="shared" ca="1" si="39"/>
        <v>250087</v>
      </c>
      <c r="S166" s="323">
        <f t="shared" ca="1" si="40"/>
        <v>5726992</v>
      </c>
      <c r="T166" s="323">
        <f ca="1">보조원</f>
        <v>250087</v>
      </c>
      <c r="U166" s="323">
        <f t="shared" ca="1" si="41"/>
        <v>5726992</v>
      </c>
      <c r="V166" s="323"/>
      <c r="W166" s="323"/>
      <c r="X166" s="323"/>
      <c r="Y166" s="323"/>
      <c r="Z166" s="324"/>
    </row>
    <row r="167" spans="11:29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18450047</v>
      </c>
      <c r="T167" s="71"/>
      <c r="U167" s="71">
        <f ca="1">SUBTOTAL(9,U161:U166)</f>
        <v>18450047</v>
      </c>
      <c r="V167" s="71"/>
      <c r="W167" s="71"/>
      <c r="X167" s="71"/>
      <c r="Y167" s="71"/>
      <c r="Z167" s="68"/>
    </row>
    <row r="168" spans="11:29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14 호표  3-4. 지역생활권배분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14</v>
      </c>
    </row>
    <row r="169" spans="11:29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2.8</v>
      </c>
      <c r="Q169" s="141" t="s">
        <v>29</v>
      </c>
      <c r="R169" s="142">
        <f t="shared" ref="R169:R174" ca="1" si="42">T169</f>
        <v>467217</v>
      </c>
      <c r="S169" s="142">
        <f t="shared" ref="S169:S174" ca="1" si="43">U169</f>
        <v>1308207</v>
      </c>
      <c r="T169" s="142">
        <f ca="1">기술사</f>
        <v>467217</v>
      </c>
      <c r="U169" s="142">
        <f t="shared" ref="U169:U174" ca="1" si="44">ROUNDDOWN(P169*R169,0)</f>
        <v>1308207</v>
      </c>
      <c r="V169" s="142"/>
      <c r="W169" s="142"/>
      <c r="X169" s="142"/>
      <c r="Y169" s="142"/>
      <c r="Z169" s="114"/>
    </row>
    <row r="170" spans="11:29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4.4000000000000004</v>
      </c>
      <c r="Q170" s="144" t="s">
        <v>29</v>
      </c>
      <c r="R170" s="118">
        <f t="shared" ca="1" si="42"/>
        <v>373353</v>
      </c>
      <c r="S170" s="118">
        <f t="shared" ca="1" si="43"/>
        <v>1642753</v>
      </c>
      <c r="T170" s="118">
        <f ca="1">특급</f>
        <v>373353</v>
      </c>
      <c r="U170" s="118">
        <f t="shared" ca="1" si="44"/>
        <v>1642753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10.7</v>
      </c>
      <c r="Q171" s="144" t="s">
        <v>29</v>
      </c>
      <c r="R171" s="118">
        <f t="shared" ca="1" si="42"/>
        <v>310884</v>
      </c>
      <c r="S171" s="118">
        <f t="shared" ca="1" si="43"/>
        <v>3326458</v>
      </c>
      <c r="T171" s="118">
        <f ca="1">고급</f>
        <v>310884</v>
      </c>
      <c r="U171" s="118">
        <f t="shared" ca="1" si="44"/>
        <v>3326458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10.5</v>
      </c>
      <c r="Q172" s="144" t="s">
        <v>29</v>
      </c>
      <c r="R172" s="118">
        <f t="shared" ca="1" si="42"/>
        <v>295138</v>
      </c>
      <c r="S172" s="118">
        <f t="shared" ca="1" si="43"/>
        <v>3098949</v>
      </c>
      <c r="T172" s="118">
        <f ca="1">중급</f>
        <v>295138</v>
      </c>
      <c r="U172" s="118">
        <f t="shared" ca="1" si="44"/>
        <v>3098949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18.399999999999999</v>
      </c>
      <c r="Q173" s="144" t="s">
        <v>29</v>
      </c>
      <c r="R173" s="118">
        <f t="shared" ca="1" si="42"/>
        <v>235459</v>
      </c>
      <c r="S173" s="118">
        <f t="shared" ca="1" si="43"/>
        <v>4332445</v>
      </c>
      <c r="T173" s="118">
        <f ca="1">초급</f>
        <v>235459</v>
      </c>
      <c r="U173" s="118">
        <f t="shared" ca="1" si="44"/>
        <v>4332445</v>
      </c>
      <c r="V173" s="118"/>
      <c r="W173" s="118"/>
      <c r="X173" s="118"/>
      <c r="Y173" s="118"/>
      <c r="Z173" s="115"/>
    </row>
    <row r="174" spans="11:29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26.8</v>
      </c>
      <c r="Q174" s="322" t="s">
        <v>29</v>
      </c>
      <c r="R174" s="323">
        <f t="shared" ca="1" si="42"/>
        <v>250087</v>
      </c>
      <c r="S174" s="323">
        <f t="shared" ca="1" si="43"/>
        <v>6702331</v>
      </c>
      <c r="T174" s="323">
        <f ca="1">보조원</f>
        <v>250087</v>
      </c>
      <c r="U174" s="323">
        <f t="shared" ca="1" si="44"/>
        <v>6702331</v>
      </c>
      <c r="V174" s="323"/>
      <c r="W174" s="323"/>
      <c r="X174" s="323"/>
      <c r="Y174" s="323"/>
      <c r="Z174" s="324"/>
    </row>
    <row r="175" spans="11:29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20411143</v>
      </c>
      <c r="T175" s="71"/>
      <c r="U175" s="71">
        <f ca="1">SUBTOTAL(9,U169:U174)</f>
        <v>20411143</v>
      </c>
      <c r="V175" s="71"/>
      <c r="W175" s="71"/>
      <c r="X175" s="71"/>
      <c r="Y175" s="71"/>
      <c r="Z175" s="68"/>
    </row>
    <row r="176" spans="11:29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15 호표  4-1. 지역별 개발계획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15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5</v>
      </c>
      <c r="Q177" s="141" t="s">
        <v>29</v>
      </c>
      <c r="R177" s="142">
        <f t="shared" ref="R177:R182" ca="1" si="45">T177</f>
        <v>467217</v>
      </c>
      <c r="S177" s="142">
        <f t="shared" ref="S177:S182" ca="1" si="46">U177</f>
        <v>2336085</v>
      </c>
      <c r="T177" s="142">
        <f ca="1">기술사</f>
        <v>467217</v>
      </c>
      <c r="U177" s="142">
        <f t="shared" ref="U177:U182" ca="1" si="47">ROUNDDOWN(P177*R177,0)</f>
        <v>2336085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8</v>
      </c>
      <c r="Q178" s="144" t="s">
        <v>29</v>
      </c>
      <c r="R178" s="118">
        <f t="shared" ca="1" si="45"/>
        <v>373353</v>
      </c>
      <c r="S178" s="118">
        <f t="shared" ca="1" si="46"/>
        <v>2986824</v>
      </c>
      <c r="T178" s="118">
        <f ca="1">특급</f>
        <v>373353</v>
      </c>
      <c r="U178" s="118">
        <f t="shared" ca="1" si="47"/>
        <v>2986824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20.3</v>
      </c>
      <c r="Q179" s="144" t="s">
        <v>29</v>
      </c>
      <c r="R179" s="118">
        <f t="shared" ca="1" si="45"/>
        <v>310884</v>
      </c>
      <c r="S179" s="118">
        <f t="shared" ca="1" si="46"/>
        <v>6310945</v>
      </c>
      <c r="T179" s="118">
        <f ca="1">고급</f>
        <v>310884</v>
      </c>
      <c r="U179" s="118">
        <f t="shared" ca="1" si="47"/>
        <v>6310945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28.4</v>
      </c>
      <c r="Q180" s="144" t="s">
        <v>29</v>
      </c>
      <c r="R180" s="118">
        <f t="shared" ca="1" si="45"/>
        <v>295138</v>
      </c>
      <c r="S180" s="118">
        <f t="shared" ca="1" si="46"/>
        <v>8381919</v>
      </c>
      <c r="T180" s="118">
        <f ca="1">중급</f>
        <v>295138</v>
      </c>
      <c r="U180" s="118">
        <f t="shared" ca="1" si="47"/>
        <v>8381919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32.299999999999997</v>
      </c>
      <c r="Q181" s="144" t="s">
        <v>29</v>
      </c>
      <c r="R181" s="118">
        <f t="shared" ca="1" si="45"/>
        <v>235459</v>
      </c>
      <c r="S181" s="118">
        <f t="shared" ca="1" si="46"/>
        <v>7605325</v>
      </c>
      <c r="T181" s="118">
        <f ca="1">초급</f>
        <v>235459</v>
      </c>
      <c r="U181" s="118">
        <f t="shared" ca="1" si="47"/>
        <v>7605325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46.8</v>
      </c>
      <c r="Q182" s="322" t="s">
        <v>29</v>
      </c>
      <c r="R182" s="323">
        <f t="shared" ca="1" si="45"/>
        <v>250087</v>
      </c>
      <c r="S182" s="323">
        <f t="shared" ca="1" si="46"/>
        <v>11704071</v>
      </c>
      <c r="T182" s="323">
        <f ca="1">보조원</f>
        <v>250087</v>
      </c>
      <c r="U182" s="323">
        <f t="shared" ca="1" si="47"/>
        <v>11704071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39325169</v>
      </c>
      <c r="T183" s="71"/>
      <c r="U183" s="71">
        <f ca="1">SUBTOTAL(9,U177:U182)</f>
        <v>39325169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16 호표  4-2. 지역경제개발계획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16</v>
      </c>
    </row>
    <row r="185" spans="11:26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4.3</v>
      </c>
      <c r="Q185" s="141" t="s">
        <v>29</v>
      </c>
      <c r="R185" s="142">
        <f t="shared" ref="R185:R190" ca="1" si="48">T185</f>
        <v>467217</v>
      </c>
      <c r="S185" s="142">
        <f t="shared" ref="S185:S190" ca="1" si="49">U185</f>
        <v>2009033</v>
      </c>
      <c r="T185" s="142">
        <f ca="1">기술사</f>
        <v>467217</v>
      </c>
      <c r="U185" s="142">
        <f t="shared" ref="U185:U190" ca="1" si="50">ROUNDDOWN(P185*R185,0)</f>
        <v>2009033</v>
      </c>
      <c r="V185" s="142"/>
      <c r="W185" s="142"/>
      <c r="X185" s="142"/>
      <c r="Y185" s="142"/>
      <c r="Z185" s="114"/>
    </row>
    <row r="186" spans="11:26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6.8</v>
      </c>
      <c r="Q186" s="144" t="s">
        <v>29</v>
      </c>
      <c r="R186" s="118">
        <f t="shared" ca="1" si="48"/>
        <v>373353</v>
      </c>
      <c r="S186" s="118">
        <f t="shared" ca="1" si="49"/>
        <v>2538800</v>
      </c>
      <c r="T186" s="118">
        <f ca="1">특급</f>
        <v>373353</v>
      </c>
      <c r="U186" s="118">
        <f t="shared" ca="1" si="50"/>
        <v>2538800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21</v>
      </c>
      <c r="Q187" s="144" t="s">
        <v>29</v>
      </c>
      <c r="R187" s="118">
        <f t="shared" ca="1" si="48"/>
        <v>310884</v>
      </c>
      <c r="S187" s="118">
        <f t="shared" ca="1" si="49"/>
        <v>6528564</v>
      </c>
      <c r="T187" s="118">
        <f ca="1">고급</f>
        <v>310884</v>
      </c>
      <c r="U187" s="118">
        <f t="shared" ca="1" si="50"/>
        <v>6528564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29.7</v>
      </c>
      <c r="Q188" s="144" t="s">
        <v>29</v>
      </c>
      <c r="R188" s="118">
        <f t="shared" ca="1" si="48"/>
        <v>295138</v>
      </c>
      <c r="S188" s="118">
        <f t="shared" ca="1" si="49"/>
        <v>8765598</v>
      </c>
      <c r="T188" s="118">
        <f ca="1">중급</f>
        <v>295138</v>
      </c>
      <c r="U188" s="118">
        <f t="shared" ca="1" si="50"/>
        <v>8765598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32.299999999999997</v>
      </c>
      <c r="Q189" s="144" t="s">
        <v>29</v>
      </c>
      <c r="R189" s="118">
        <f t="shared" ca="1" si="48"/>
        <v>235459</v>
      </c>
      <c r="S189" s="118">
        <f t="shared" ca="1" si="49"/>
        <v>7605325</v>
      </c>
      <c r="T189" s="118">
        <f ca="1">초급</f>
        <v>235459</v>
      </c>
      <c r="U189" s="118">
        <f t="shared" ca="1" si="50"/>
        <v>7605325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46.8</v>
      </c>
      <c r="Q190" s="322" t="s">
        <v>29</v>
      </c>
      <c r="R190" s="323">
        <f t="shared" ca="1" si="48"/>
        <v>250087</v>
      </c>
      <c r="S190" s="323">
        <f t="shared" ca="1" si="49"/>
        <v>11704071</v>
      </c>
      <c r="T190" s="323">
        <f ca="1">보조원</f>
        <v>250087</v>
      </c>
      <c r="U190" s="323">
        <f t="shared" ca="1" si="50"/>
        <v>11704071</v>
      </c>
      <c r="V190" s="323"/>
      <c r="W190" s="323"/>
      <c r="X190" s="323"/>
      <c r="Y190" s="323"/>
      <c r="Z190" s="324"/>
    </row>
    <row r="191" spans="11:26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39151391</v>
      </c>
      <c r="T191" s="71"/>
      <c r="U191" s="71">
        <f ca="1">SUBTOTAL(9,U185:U190)</f>
        <v>39151391</v>
      </c>
      <c r="V191" s="71"/>
      <c r="W191" s="71"/>
      <c r="X191" s="71"/>
      <c r="Y191" s="71"/>
      <c r="Z191" s="68"/>
    </row>
    <row r="192" spans="11:26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17 호표  4-3. 교통통신개발계획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17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4.3</v>
      </c>
      <c r="Q193" s="141" t="s">
        <v>29</v>
      </c>
      <c r="R193" s="142">
        <f t="shared" ref="R193:R198" ca="1" si="51">T193</f>
        <v>467217</v>
      </c>
      <c r="S193" s="142">
        <f t="shared" ref="S193:S198" ca="1" si="52">U193</f>
        <v>2009033</v>
      </c>
      <c r="T193" s="142">
        <f ca="1">기술사</f>
        <v>467217</v>
      </c>
      <c r="U193" s="142">
        <f t="shared" ref="U193:U198" ca="1" si="53">ROUNDDOWN(P193*R193,0)</f>
        <v>2009033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6.8</v>
      </c>
      <c r="Q194" s="144" t="s">
        <v>29</v>
      </c>
      <c r="R194" s="118">
        <f t="shared" ca="1" si="51"/>
        <v>373353</v>
      </c>
      <c r="S194" s="118">
        <f t="shared" ca="1" si="52"/>
        <v>2538800</v>
      </c>
      <c r="T194" s="118">
        <f ca="1">특급</f>
        <v>373353</v>
      </c>
      <c r="U194" s="118">
        <f t="shared" ca="1" si="53"/>
        <v>2538800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21</v>
      </c>
      <c r="Q195" s="144" t="s">
        <v>29</v>
      </c>
      <c r="R195" s="118">
        <f t="shared" ca="1" si="51"/>
        <v>310884</v>
      </c>
      <c r="S195" s="118">
        <f t="shared" ca="1" si="52"/>
        <v>6528564</v>
      </c>
      <c r="T195" s="118">
        <f ca="1">고급</f>
        <v>310884</v>
      </c>
      <c r="U195" s="118">
        <f t="shared" ca="1" si="53"/>
        <v>6528564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29.7</v>
      </c>
      <c r="Q196" s="144" t="s">
        <v>29</v>
      </c>
      <c r="R196" s="118">
        <f t="shared" ca="1" si="51"/>
        <v>295138</v>
      </c>
      <c r="S196" s="118">
        <f t="shared" ca="1" si="52"/>
        <v>8765598</v>
      </c>
      <c r="T196" s="118">
        <f ca="1">중급</f>
        <v>295138</v>
      </c>
      <c r="U196" s="118">
        <f t="shared" ca="1" si="53"/>
        <v>8765598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32.299999999999997</v>
      </c>
      <c r="Q197" s="144" t="s">
        <v>29</v>
      </c>
      <c r="R197" s="118">
        <f t="shared" ca="1" si="51"/>
        <v>235459</v>
      </c>
      <c r="S197" s="118">
        <f t="shared" ca="1" si="52"/>
        <v>7605325</v>
      </c>
      <c r="T197" s="118">
        <f ca="1">초급</f>
        <v>235459</v>
      </c>
      <c r="U197" s="118">
        <f t="shared" ca="1" si="53"/>
        <v>7605325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46.8</v>
      </c>
      <c r="Q198" s="322" t="s">
        <v>29</v>
      </c>
      <c r="R198" s="323">
        <f t="shared" ca="1" si="51"/>
        <v>250087</v>
      </c>
      <c r="S198" s="323">
        <f t="shared" ca="1" si="52"/>
        <v>11704071</v>
      </c>
      <c r="T198" s="323">
        <f ca="1">보조원</f>
        <v>250087</v>
      </c>
      <c r="U198" s="323">
        <f t="shared" ca="1" si="53"/>
        <v>11704071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39151391</v>
      </c>
      <c r="T199" s="71"/>
      <c r="U199" s="71">
        <f ca="1">SUBTOTAL(9,U193:U198)</f>
        <v>39151391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18 호표  4-4. 생활복지환경계획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18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4.2</v>
      </c>
      <c r="Q201" s="141" t="s">
        <v>29</v>
      </c>
      <c r="R201" s="142">
        <f t="shared" ref="R201:R206" ca="1" si="54">T201</f>
        <v>467217</v>
      </c>
      <c r="S201" s="142">
        <f t="shared" ref="S201:S206" ca="1" si="55">U201</f>
        <v>1962311</v>
      </c>
      <c r="T201" s="142">
        <f ca="1">기술사</f>
        <v>467217</v>
      </c>
      <c r="U201" s="142">
        <f t="shared" ref="U201:U206" ca="1" si="56">ROUNDDOWN(P201*R201,0)</f>
        <v>1962311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6.7</v>
      </c>
      <c r="Q202" s="144" t="s">
        <v>29</v>
      </c>
      <c r="R202" s="118">
        <f t="shared" ca="1" si="54"/>
        <v>373353</v>
      </c>
      <c r="S202" s="118">
        <f t="shared" ca="1" si="55"/>
        <v>2501465</v>
      </c>
      <c r="T202" s="118">
        <f ca="1">특급</f>
        <v>373353</v>
      </c>
      <c r="U202" s="118">
        <f t="shared" ca="1" si="56"/>
        <v>2501465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21</v>
      </c>
      <c r="Q203" s="144" t="s">
        <v>29</v>
      </c>
      <c r="R203" s="118">
        <f t="shared" ca="1" si="54"/>
        <v>310884</v>
      </c>
      <c r="S203" s="118">
        <f t="shared" ca="1" si="55"/>
        <v>6528564</v>
      </c>
      <c r="T203" s="118">
        <f ca="1">고급</f>
        <v>310884</v>
      </c>
      <c r="U203" s="118">
        <f t="shared" ca="1" si="56"/>
        <v>6528564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29.7</v>
      </c>
      <c r="Q204" s="144" t="s">
        <v>29</v>
      </c>
      <c r="R204" s="118">
        <f t="shared" ca="1" si="54"/>
        <v>295138</v>
      </c>
      <c r="S204" s="118">
        <f t="shared" ca="1" si="55"/>
        <v>8765598</v>
      </c>
      <c r="T204" s="118">
        <f ca="1">중급</f>
        <v>295138</v>
      </c>
      <c r="U204" s="118">
        <f t="shared" ca="1" si="56"/>
        <v>8765598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32.299999999999997</v>
      </c>
      <c r="Q205" s="144" t="s">
        <v>29</v>
      </c>
      <c r="R205" s="118">
        <f t="shared" ca="1" si="54"/>
        <v>235459</v>
      </c>
      <c r="S205" s="118">
        <f t="shared" ca="1" si="55"/>
        <v>7605325</v>
      </c>
      <c r="T205" s="118">
        <f ca="1">초급</f>
        <v>235459</v>
      </c>
      <c r="U205" s="118">
        <f t="shared" ca="1" si="56"/>
        <v>7605325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46.8</v>
      </c>
      <c r="Q206" s="322" t="s">
        <v>29</v>
      </c>
      <c r="R206" s="323">
        <f t="shared" ca="1" si="54"/>
        <v>250087</v>
      </c>
      <c r="S206" s="323">
        <f t="shared" ca="1" si="55"/>
        <v>11704071</v>
      </c>
      <c r="T206" s="323">
        <f ca="1">보조원</f>
        <v>250087</v>
      </c>
      <c r="U206" s="323">
        <f t="shared" ca="1" si="56"/>
        <v>11704071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39067334</v>
      </c>
      <c r="T207" s="71"/>
      <c r="U207" s="71">
        <f ca="1">SUBTOTAL(9,U201:U206)</f>
        <v>39067334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19 호표  4-5. 환경보전계획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19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4.2</v>
      </c>
      <c r="Q209" s="141" t="s">
        <v>29</v>
      </c>
      <c r="R209" s="142">
        <f t="shared" ref="R209:R214" ca="1" si="57">T209</f>
        <v>467217</v>
      </c>
      <c r="S209" s="142">
        <f t="shared" ref="S209:S214" ca="1" si="58">U209</f>
        <v>1962311</v>
      </c>
      <c r="T209" s="142">
        <f ca="1">기술사</f>
        <v>467217</v>
      </c>
      <c r="U209" s="142">
        <f t="shared" ref="U209:U214" ca="1" si="59">ROUNDDOWN(P209*R209,0)</f>
        <v>1962311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6.8</v>
      </c>
      <c r="Q210" s="144" t="s">
        <v>29</v>
      </c>
      <c r="R210" s="118">
        <f t="shared" ca="1" si="57"/>
        <v>373353</v>
      </c>
      <c r="S210" s="118">
        <f t="shared" ca="1" si="58"/>
        <v>2538800</v>
      </c>
      <c r="T210" s="118">
        <f ca="1">특급</f>
        <v>373353</v>
      </c>
      <c r="U210" s="118">
        <f t="shared" ca="1" si="59"/>
        <v>2538800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20</v>
      </c>
      <c r="Q211" s="144" t="s">
        <v>29</v>
      </c>
      <c r="R211" s="118">
        <f t="shared" ca="1" si="57"/>
        <v>310884</v>
      </c>
      <c r="S211" s="118">
        <f t="shared" ca="1" si="58"/>
        <v>6217680</v>
      </c>
      <c r="T211" s="118">
        <f ca="1">고급</f>
        <v>310884</v>
      </c>
      <c r="U211" s="118">
        <f t="shared" ca="1" si="59"/>
        <v>6217680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28</v>
      </c>
      <c r="Q212" s="144" t="s">
        <v>29</v>
      </c>
      <c r="R212" s="118">
        <f t="shared" ca="1" si="57"/>
        <v>295138</v>
      </c>
      <c r="S212" s="118">
        <f t="shared" ca="1" si="58"/>
        <v>8263864</v>
      </c>
      <c r="T212" s="118">
        <f ca="1">중급</f>
        <v>295138</v>
      </c>
      <c r="U212" s="118">
        <f t="shared" ca="1" si="59"/>
        <v>8263864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36.200000000000003</v>
      </c>
      <c r="Q213" s="144" t="s">
        <v>29</v>
      </c>
      <c r="R213" s="118">
        <f t="shared" ca="1" si="57"/>
        <v>235459</v>
      </c>
      <c r="S213" s="118">
        <f t="shared" ca="1" si="58"/>
        <v>8523615</v>
      </c>
      <c r="T213" s="118">
        <f ca="1">초급</f>
        <v>235459</v>
      </c>
      <c r="U213" s="118">
        <f t="shared" ca="1" si="59"/>
        <v>8523615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52.6</v>
      </c>
      <c r="Q214" s="322" t="s">
        <v>29</v>
      </c>
      <c r="R214" s="323">
        <f t="shared" ca="1" si="57"/>
        <v>250087</v>
      </c>
      <c r="S214" s="323">
        <f t="shared" ca="1" si="58"/>
        <v>13154576</v>
      </c>
      <c r="T214" s="323">
        <f ca="1">보조원</f>
        <v>250087</v>
      </c>
      <c r="U214" s="323">
        <f t="shared" ca="1" si="59"/>
        <v>13154576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40660846</v>
      </c>
      <c r="T215" s="71"/>
      <c r="U215" s="71">
        <f ca="1">SUBTOTAL(9,U209:U214)</f>
        <v>40660846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20 호표  4-6. 자원토지개발계획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20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4.3</v>
      </c>
      <c r="Q217" s="141" t="s">
        <v>29</v>
      </c>
      <c r="R217" s="142">
        <f t="shared" ref="R217:R222" ca="1" si="60">T217</f>
        <v>467217</v>
      </c>
      <c r="S217" s="142">
        <f t="shared" ref="S217:S222" ca="1" si="61">U217</f>
        <v>2009033</v>
      </c>
      <c r="T217" s="142">
        <f ca="1">기술사</f>
        <v>467217</v>
      </c>
      <c r="U217" s="142">
        <f t="shared" ref="U217:U222" ca="1" si="62">ROUNDDOWN(P217*R217,0)</f>
        <v>2009033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6.8</v>
      </c>
      <c r="Q218" s="144" t="s">
        <v>29</v>
      </c>
      <c r="R218" s="118">
        <f t="shared" ca="1" si="60"/>
        <v>373353</v>
      </c>
      <c r="S218" s="118">
        <f t="shared" ca="1" si="61"/>
        <v>2538800</v>
      </c>
      <c r="T218" s="118">
        <f ca="1">특급</f>
        <v>373353</v>
      </c>
      <c r="U218" s="118">
        <f t="shared" ca="1" si="62"/>
        <v>2538800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21</v>
      </c>
      <c r="Q219" s="144" t="s">
        <v>29</v>
      </c>
      <c r="R219" s="118">
        <f t="shared" ca="1" si="60"/>
        <v>310884</v>
      </c>
      <c r="S219" s="118">
        <f t="shared" ca="1" si="61"/>
        <v>6528564</v>
      </c>
      <c r="T219" s="118">
        <f ca="1">고급</f>
        <v>310884</v>
      </c>
      <c r="U219" s="118">
        <f t="shared" ca="1" si="62"/>
        <v>6528564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29.7</v>
      </c>
      <c r="Q220" s="144" t="s">
        <v>29</v>
      </c>
      <c r="R220" s="118">
        <f t="shared" ca="1" si="60"/>
        <v>295138</v>
      </c>
      <c r="S220" s="118">
        <f t="shared" ca="1" si="61"/>
        <v>8765598</v>
      </c>
      <c r="T220" s="118">
        <f ca="1">중급</f>
        <v>295138</v>
      </c>
      <c r="U220" s="118">
        <f t="shared" ca="1" si="62"/>
        <v>8765598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32.299999999999997</v>
      </c>
      <c r="Q221" s="144" t="s">
        <v>29</v>
      </c>
      <c r="R221" s="118">
        <f t="shared" ca="1" si="60"/>
        <v>235459</v>
      </c>
      <c r="S221" s="118">
        <f t="shared" ca="1" si="61"/>
        <v>7605325</v>
      </c>
      <c r="T221" s="118">
        <f ca="1">초급</f>
        <v>235459</v>
      </c>
      <c r="U221" s="118">
        <f t="shared" ca="1" si="62"/>
        <v>7605325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46.8</v>
      </c>
      <c r="Q222" s="322" t="s">
        <v>29</v>
      </c>
      <c r="R222" s="323">
        <f t="shared" ca="1" si="60"/>
        <v>250087</v>
      </c>
      <c r="S222" s="323">
        <f t="shared" ca="1" si="61"/>
        <v>11704071</v>
      </c>
      <c r="T222" s="323">
        <f ca="1">보조원</f>
        <v>250087</v>
      </c>
      <c r="U222" s="323">
        <f t="shared" ca="1" si="62"/>
        <v>11704071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39151391</v>
      </c>
      <c r="T223" s="71"/>
      <c r="U223" s="71">
        <f ca="1">SUBTOTAL(9,U217:U222)</f>
        <v>39151391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  <c r="N224" s="318" t="str">
        <f ca="1">"제 " &amp; Z224 &amp; " 호표  "&amp; OFFSET($A$1,MATCH(Z224,$A:$A,0)-1,1)</f>
        <v>제 21 호표  5-1. 지역개발주요사업선정</v>
      </c>
      <c r="O224" s="221"/>
      <c r="P224" s="148"/>
      <c r="Q224" s="148"/>
      <c r="R224" s="149"/>
      <c r="S224" s="149"/>
      <c r="T224" s="149"/>
      <c r="U224" s="149"/>
      <c r="V224" s="149"/>
      <c r="W224" s="149"/>
      <c r="X224" s="149"/>
      <c r="Y224" s="149"/>
      <c r="Z224" s="325">
        <f>Z216+1</f>
        <v>21</v>
      </c>
    </row>
    <row r="225" spans="11:26" ht="18" customHeight="1">
      <c r="K225" s="171" t="s">
        <v>14</v>
      </c>
      <c r="L225" s="171"/>
      <c r="M225" s="171"/>
      <c r="N225" s="140" t="s">
        <v>43</v>
      </c>
      <c r="O225" s="172">
        <v>3</v>
      </c>
      <c r="P225" s="219">
        <f ca="1">OFFSET($A$1,MATCH(Z224,$A:$A,0)-1,O225)</f>
        <v>1.2</v>
      </c>
      <c r="Q225" s="141" t="s">
        <v>29</v>
      </c>
      <c r="R225" s="142">
        <f t="shared" ref="R225:R230" ca="1" si="63">T225</f>
        <v>467217</v>
      </c>
      <c r="S225" s="142">
        <f t="shared" ref="S225:S230" ca="1" si="64">U225</f>
        <v>560660</v>
      </c>
      <c r="T225" s="142">
        <f ca="1">기술사</f>
        <v>467217</v>
      </c>
      <c r="U225" s="142">
        <f t="shared" ref="U225:U230" ca="1" si="65">ROUNDDOWN(P225*R225,0)</f>
        <v>560660</v>
      </c>
      <c r="V225" s="142"/>
      <c r="W225" s="142"/>
      <c r="X225" s="142"/>
      <c r="Y225" s="142"/>
      <c r="Z225" s="114"/>
    </row>
    <row r="226" spans="11:26" ht="18" customHeight="1">
      <c r="K226" s="171" t="s">
        <v>14</v>
      </c>
      <c r="L226" s="171"/>
      <c r="M226" s="171"/>
      <c r="N226" s="143" t="s">
        <v>32</v>
      </c>
      <c r="O226" s="173">
        <v>4</v>
      </c>
      <c r="P226" s="234">
        <f ca="1">OFFSET($A$1,MATCH(Z224,$A:$A,0)-1,O226)</f>
        <v>2</v>
      </c>
      <c r="Q226" s="144" t="s">
        <v>29</v>
      </c>
      <c r="R226" s="118">
        <f t="shared" ca="1" si="63"/>
        <v>373353</v>
      </c>
      <c r="S226" s="118">
        <f t="shared" ca="1" si="64"/>
        <v>746706</v>
      </c>
      <c r="T226" s="118">
        <f ca="1">특급</f>
        <v>373353</v>
      </c>
      <c r="U226" s="118">
        <f t="shared" ca="1" si="65"/>
        <v>746706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39</v>
      </c>
      <c r="O227" s="173">
        <v>5</v>
      </c>
      <c r="P227" s="234">
        <f ca="1">OFFSET($A$1,MATCH(Z224,$A:$A,0)-1,O227)</f>
        <v>5.3</v>
      </c>
      <c r="Q227" s="144" t="s">
        <v>29</v>
      </c>
      <c r="R227" s="118">
        <f t="shared" ca="1" si="63"/>
        <v>310884</v>
      </c>
      <c r="S227" s="118">
        <f t="shared" ca="1" si="64"/>
        <v>1647685</v>
      </c>
      <c r="T227" s="118">
        <f ca="1">고급</f>
        <v>310884</v>
      </c>
      <c r="U227" s="118">
        <f t="shared" ca="1" si="65"/>
        <v>1647685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40</v>
      </c>
      <c r="O228" s="173">
        <v>6</v>
      </c>
      <c r="P228" s="234">
        <f ca="1">OFFSET($A$1,MATCH(Z224,$A:$A,0)-1,O228)</f>
        <v>8.3000000000000007</v>
      </c>
      <c r="Q228" s="144" t="s">
        <v>29</v>
      </c>
      <c r="R228" s="118">
        <f t="shared" ca="1" si="63"/>
        <v>295138</v>
      </c>
      <c r="S228" s="118">
        <f t="shared" ca="1" si="64"/>
        <v>2449645</v>
      </c>
      <c r="T228" s="118">
        <f ca="1">중급</f>
        <v>295138</v>
      </c>
      <c r="U228" s="118">
        <f t="shared" ca="1" si="65"/>
        <v>2449645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41</v>
      </c>
      <c r="O229" s="173">
        <v>7</v>
      </c>
      <c r="P229" s="234">
        <f ca="1">OFFSET($A$1,MATCH(Z224,$A:$A,0)-1,O229)</f>
        <v>13.2</v>
      </c>
      <c r="Q229" s="144" t="s">
        <v>29</v>
      </c>
      <c r="R229" s="118">
        <f t="shared" ca="1" si="63"/>
        <v>235459</v>
      </c>
      <c r="S229" s="118">
        <f t="shared" ca="1" si="64"/>
        <v>3108058</v>
      </c>
      <c r="T229" s="118">
        <f ca="1">초급</f>
        <v>235459</v>
      </c>
      <c r="U229" s="118">
        <f t="shared" ca="1" si="65"/>
        <v>3108058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319" t="s">
        <v>42</v>
      </c>
      <c r="O230" s="174">
        <v>8</v>
      </c>
      <c r="P230" s="235">
        <f ca="1">OFFSET($A$1,MATCH(Z224,$A:$A,0)-1,O230)</f>
        <v>9.6</v>
      </c>
      <c r="Q230" s="322" t="s">
        <v>29</v>
      </c>
      <c r="R230" s="323">
        <f t="shared" ca="1" si="63"/>
        <v>250087</v>
      </c>
      <c r="S230" s="323">
        <f t="shared" ca="1" si="64"/>
        <v>2400835</v>
      </c>
      <c r="T230" s="323">
        <f ca="1">보조원</f>
        <v>250087</v>
      </c>
      <c r="U230" s="323">
        <f t="shared" ca="1" si="65"/>
        <v>2400835</v>
      </c>
      <c r="V230" s="323"/>
      <c r="W230" s="323"/>
      <c r="X230" s="323"/>
      <c r="Y230" s="323"/>
      <c r="Z230" s="324"/>
    </row>
    <row r="231" spans="11:26" ht="18" customHeight="1">
      <c r="K231" s="171" t="s">
        <v>14</v>
      </c>
      <c r="L231" s="171"/>
      <c r="M231" s="171"/>
      <c r="N231" s="139" t="s">
        <v>17</v>
      </c>
      <c r="O231" s="68"/>
      <c r="P231" s="69"/>
      <c r="Q231" s="70"/>
      <c r="R231" s="71"/>
      <c r="S231" s="71">
        <f ca="1">SUBTOTAL(9,S225:S230)</f>
        <v>10913589</v>
      </c>
      <c r="T231" s="71"/>
      <c r="U231" s="71">
        <f ca="1">SUBTOTAL(9,U225:U230)</f>
        <v>10913589</v>
      </c>
      <c r="V231" s="71"/>
      <c r="W231" s="71"/>
      <c r="X231" s="71"/>
      <c r="Y231" s="71"/>
      <c r="Z231" s="68"/>
    </row>
    <row r="232" spans="11:26" ht="18" customHeight="1">
      <c r="K232" s="171" t="s">
        <v>14</v>
      </c>
      <c r="L232" s="171"/>
      <c r="M232" s="171"/>
      <c r="N232" s="318" t="str">
        <f ca="1">"제 " &amp; Z232 &amp; " 호표  "&amp; OFFSET($A$1,MATCH(Z232,$A:$A,0)-1,1)</f>
        <v>제 22 호표  5-2. 단계별추진계획</v>
      </c>
      <c r="O232" s="221"/>
      <c r="P232" s="148"/>
      <c r="Q232" s="148"/>
      <c r="R232" s="149"/>
      <c r="S232" s="149"/>
      <c r="T232" s="149"/>
      <c r="U232" s="149"/>
      <c r="V232" s="149"/>
      <c r="W232" s="149"/>
      <c r="X232" s="149"/>
      <c r="Y232" s="149"/>
      <c r="Z232" s="325">
        <f>Z224+1</f>
        <v>22</v>
      </c>
    </row>
    <row r="233" spans="11:26" ht="18" customHeight="1">
      <c r="K233" s="171" t="s">
        <v>14</v>
      </c>
      <c r="L233" s="171"/>
      <c r="M233" s="171"/>
      <c r="N233" s="140" t="s">
        <v>43</v>
      </c>
      <c r="O233" s="172">
        <v>3</v>
      </c>
      <c r="P233" s="219">
        <f ca="1">OFFSET($A$1,MATCH(Z232,$A:$A,0)-1,O233)</f>
        <v>1.2</v>
      </c>
      <c r="Q233" s="141" t="s">
        <v>29</v>
      </c>
      <c r="R233" s="142">
        <f t="shared" ref="R233:R238" ca="1" si="66">T233</f>
        <v>467217</v>
      </c>
      <c r="S233" s="142">
        <f t="shared" ref="S233:S238" ca="1" si="67">U233</f>
        <v>560660</v>
      </c>
      <c r="T233" s="142">
        <f ca="1">기술사</f>
        <v>467217</v>
      </c>
      <c r="U233" s="142">
        <f t="shared" ref="U233:U238" ca="1" si="68">ROUNDDOWN(P233*R233,0)</f>
        <v>560660</v>
      </c>
      <c r="V233" s="142"/>
      <c r="W233" s="142"/>
      <c r="X233" s="142"/>
      <c r="Y233" s="142"/>
      <c r="Z233" s="114"/>
    </row>
    <row r="234" spans="11:26" ht="18" customHeight="1">
      <c r="K234" s="171" t="s">
        <v>14</v>
      </c>
      <c r="L234" s="171"/>
      <c r="M234" s="171"/>
      <c r="N234" s="143" t="s">
        <v>32</v>
      </c>
      <c r="O234" s="173">
        <v>4</v>
      </c>
      <c r="P234" s="234">
        <f ca="1">OFFSET($A$1,MATCH(Z232,$A:$A,0)-1,O234)</f>
        <v>2</v>
      </c>
      <c r="Q234" s="144" t="s">
        <v>29</v>
      </c>
      <c r="R234" s="118">
        <f t="shared" ca="1" si="66"/>
        <v>373353</v>
      </c>
      <c r="S234" s="118">
        <f t="shared" ca="1" si="67"/>
        <v>746706</v>
      </c>
      <c r="T234" s="118">
        <f ca="1">특급</f>
        <v>373353</v>
      </c>
      <c r="U234" s="118">
        <f t="shared" ca="1" si="68"/>
        <v>746706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39</v>
      </c>
      <c r="O235" s="173">
        <v>5</v>
      </c>
      <c r="P235" s="234">
        <f ca="1">OFFSET($A$1,MATCH(Z232,$A:$A,0)-1,O235)</f>
        <v>6.7</v>
      </c>
      <c r="Q235" s="144" t="s">
        <v>29</v>
      </c>
      <c r="R235" s="118">
        <f t="shared" ca="1" si="66"/>
        <v>310884</v>
      </c>
      <c r="S235" s="118">
        <f t="shared" ca="1" si="67"/>
        <v>2082922</v>
      </c>
      <c r="T235" s="118">
        <f ca="1">고급</f>
        <v>310884</v>
      </c>
      <c r="U235" s="118">
        <f t="shared" ca="1" si="68"/>
        <v>2082922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40</v>
      </c>
      <c r="O236" s="173">
        <v>6</v>
      </c>
      <c r="P236" s="234">
        <f ca="1">OFFSET($A$1,MATCH(Z232,$A:$A,0)-1,O236)</f>
        <v>9.1999999999999993</v>
      </c>
      <c r="Q236" s="144" t="s">
        <v>29</v>
      </c>
      <c r="R236" s="118">
        <f t="shared" ca="1" si="66"/>
        <v>295138</v>
      </c>
      <c r="S236" s="118">
        <f t="shared" ca="1" si="67"/>
        <v>2715269</v>
      </c>
      <c r="T236" s="118">
        <f ca="1">중급</f>
        <v>295138</v>
      </c>
      <c r="U236" s="118">
        <f t="shared" ca="1" si="68"/>
        <v>2715269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41</v>
      </c>
      <c r="O237" s="173">
        <v>7</v>
      </c>
      <c r="P237" s="234">
        <f ca="1">OFFSET($A$1,MATCH(Z232,$A:$A,0)-1,O237)</f>
        <v>13.2</v>
      </c>
      <c r="Q237" s="144" t="s">
        <v>29</v>
      </c>
      <c r="R237" s="118">
        <f t="shared" ca="1" si="66"/>
        <v>235459</v>
      </c>
      <c r="S237" s="118">
        <f t="shared" ca="1" si="67"/>
        <v>3108058</v>
      </c>
      <c r="T237" s="118">
        <f ca="1">초급</f>
        <v>235459</v>
      </c>
      <c r="U237" s="118">
        <f t="shared" ca="1" si="68"/>
        <v>3108058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319" t="s">
        <v>42</v>
      </c>
      <c r="O238" s="174">
        <v>8</v>
      </c>
      <c r="P238" s="235">
        <f ca="1">OFFSET($A$1,MATCH(Z232,$A:$A,0)-1,O238)</f>
        <v>9.6</v>
      </c>
      <c r="Q238" s="322" t="s">
        <v>29</v>
      </c>
      <c r="R238" s="323">
        <f t="shared" ca="1" si="66"/>
        <v>250087</v>
      </c>
      <c r="S238" s="323">
        <f t="shared" ca="1" si="67"/>
        <v>2400835</v>
      </c>
      <c r="T238" s="323">
        <f ca="1">보조원</f>
        <v>250087</v>
      </c>
      <c r="U238" s="323">
        <f t="shared" ca="1" si="68"/>
        <v>2400835</v>
      </c>
      <c r="V238" s="323"/>
      <c r="W238" s="323"/>
      <c r="X238" s="323"/>
      <c r="Y238" s="323"/>
      <c r="Z238" s="324"/>
    </row>
    <row r="239" spans="11:26" ht="18" customHeight="1">
      <c r="K239" s="171" t="s">
        <v>14</v>
      </c>
      <c r="L239" s="171"/>
      <c r="M239" s="171"/>
      <c r="N239" s="139" t="s">
        <v>17</v>
      </c>
      <c r="O239" s="68"/>
      <c r="P239" s="69"/>
      <c r="Q239" s="70"/>
      <c r="R239" s="71"/>
      <c r="S239" s="71">
        <f ca="1">SUBTOTAL(9,S233:S238)</f>
        <v>11614450</v>
      </c>
      <c r="T239" s="71"/>
      <c r="U239" s="71">
        <f ca="1">SUBTOTAL(9,U233:U238)</f>
        <v>11614450</v>
      </c>
      <c r="V239" s="71"/>
      <c r="W239" s="71"/>
      <c r="X239" s="71"/>
      <c r="Y239" s="71"/>
      <c r="Z239" s="68"/>
    </row>
    <row r="240" spans="11:26" ht="18" customHeight="1">
      <c r="K240" s="171" t="s">
        <v>14</v>
      </c>
      <c r="L240" s="171"/>
      <c r="M240" s="171"/>
      <c r="N240" s="318" t="str">
        <f ca="1">"제 " &amp; Z240 &amp; " 호표  "&amp; OFFSET($A$1,MATCH(Z240,$A:$A,0)-1,1)</f>
        <v>제 23 호표  5-3. 집행·관리계획</v>
      </c>
      <c r="O240" s="221"/>
      <c r="P240" s="148"/>
      <c r="Q240" s="148"/>
      <c r="R240" s="149"/>
      <c r="S240" s="149"/>
      <c r="T240" s="149"/>
      <c r="U240" s="149"/>
      <c r="V240" s="149"/>
      <c r="W240" s="149"/>
      <c r="X240" s="149"/>
      <c r="Y240" s="149"/>
      <c r="Z240" s="325">
        <f>Z232+1</f>
        <v>23</v>
      </c>
    </row>
    <row r="241" spans="11:26" ht="18" customHeight="1">
      <c r="K241" s="171" t="s">
        <v>14</v>
      </c>
      <c r="L241" s="171"/>
      <c r="M241" s="171"/>
      <c r="N241" s="140" t="s">
        <v>43</v>
      </c>
      <c r="O241" s="172">
        <v>3</v>
      </c>
      <c r="P241" s="219">
        <f ca="1">OFFSET($A$1,MATCH(Z240,$A:$A,0)-1,O241)</f>
        <v>1.3</v>
      </c>
      <c r="Q241" s="141" t="s">
        <v>29</v>
      </c>
      <c r="R241" s="142">
        <f t="shared" ref="R241:R246" ca="1" si="69">T241</f>
        <v>467217</v>
      </c>
      <c r="S241" s="142">
        <f t="shared" ref="S241:S246" ca="1" si="70">U241</f>
        <v>607382</v>
      </c>
      <c r="T241" s="142">
        <f ca="1">기술사</f>
        <v>467217</v>
      </c>
      <c r="U241" s="142">
        <f t="shared" ref="U241:U246" ca="1" si="71">ROUNDDOWN(P241*R241,0)</f>
        <v>607382</v>
      </c>
      <c r="V241" s="142"/>
      <c r="W241" s="142"/>
      <c r="X241" s="142"/>
      <c r="Y241" s="142"/>
      <c r="Z241" s="114"/>
    </row>
    <row r="242" spans="11:26" ht="18" customHeight="1">
      <c r="K242" s="171" t="s">
        <v>14</v>
      </c>
      <c r="L242" s="171"/>
      <c r="M242" s="171"/>
      <c r="N242" s="143" t="s">
        <v>32</v>
      </c>
      <c r="O242" s="173">
        <v>4</v>
      </c>
      <c r="P242" s="234">
        <f ca="1">OFFSET($A$1,MATCH(Z240,$A:$A,0)-1,O242)</f>
        <v>2</v>
      </c>
      <c r="Q242" s="144" t="s">
        <v>29</v>
      </c>
      <c r="R242" s="118">
        <f t="shared" ca="1" si="69"/>
        <v>373353</v>
      </c>
      <c r="S242" s="118">
        <f t="shared" ca="1" si="70"/>
        <v>746706</v>
      </c>
      <c r="T242" s="118">
        <f ca="1">특급</f>
        <v>373353</v>
      </c>
      <c r="U242" s="118">
        <f t="shared" ca="1" si="71"/>
        <v>746706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145" t="s">
        <v>39</v>
      </c>
      <c r="O243" s="173">
        <v>5</v>
      </c>
      <c r="P243" s="234">
        <f ca="1">OFFSET($A$1,MATCH(Z240,$A:$A,0)-1,O243)</f>
        <v>6.7</v>
      </c>
      <c r="Q243" s="144" t="s">
        <v>29</v>
      </c>
      <c r="R243" s="118">
        <f t="shared" ca="1" si="69"/>
        <v>310884</v>
      </c>
      <c r="S243" s="118">
        <f t="shared" ca="1" si="70"/>
        <v>2082922</v>
      </c>
      <c r="T243" s="118">
        <f ca="1">고급</f>
        <v>310884</v>
      </c>
      <c r="U243" s="118">
        <f t="shared" ca="1" si="71"/>
        <v>2082922</v>
      </c>
      <c r="V243" s="118"/>
      <c r="W243" s="118"/>
      <c r="X243" s="118"/>
      <c r="Y243" s="118"/>
      <c r="Z243" s="115"/>
    </row>
    <row r="244" spans="11:26" ht="18" customHeight="1">
      <c r="K244" s="171" t="s">
        <v>14</v>
      </c>
      <c r="L244" s="171"/>
      <c r="M244" s="171"/>
      <c r="N244" s="145" t="s">
        <v>40</v>
      </c>
      <c r="O244" s="173">
        <v>6</v>
      </c>
      <c r="P244" s="234">
        <f ca="1">OFFSET($A$1,MATCH(Z240,$A:$A,0)-1,O244)</f>
        <v>9.6999999999999993</v>
      </c>
      <c r="Q244" s="144" t="s">
        <v>29</v>
      </c>
      <c r="R244" s="118">
        <f t="shared" ca="1" si="69"/>
        <v>295138</v>
      </c>
      <c r="S244" s="118">
        <f t="shared" ca="1" si="70"/>
        <v>2862838</v>
      </c>
      <c r="T244" s="118">
        <f ca="1">중급</f>
        <v>295138</v>
      </c>
      <c r="U244" s="118">
        <f t="shared" ca="1" si="71"/>
        <v>2862838</v>
      </c>
      <c r="V244" s="118"/>
      <c r="W244" s="118"/>
      <c r="X244" s="118"/>
      <c r="Y244" s="118"/>
      <c r="Z244" s="115"/>
    </row>
    <row r="245" spans="11:26" ht="18" customHeight="1">
      <c r="K245" s="171" t="s">
        <v>14</v>
      </c>
      <c r="L245" s="171"/>
      <c r="M245" s="171"/>
      <c r="N245" s="145" t="s">
        <v>41</v>
      </c>
      <c r="O245" s="173">
        <v>7</v>
      </c>
      <c r="P245" s="234">
        <f ca="1">OFFSET($A$1,MATCH(Z240,$A:$A,0)-1,O245)</f>
        <v>13.2</v>
      </c>
      <c r="Q245" s="144" t="s">
        <v>29</v>
      </c>
      <c r="R245" s="118">
        <f t="shared" ca="1" si="69"/>
        <v>235459</v>
      </c>
      <c r="S245" s="118">
        <f t="shared" ca="1" si="70"/>
        <v>3108058</v>
      </c>
      <c r="T245" s="118">
        <f ca="1">초급</f>
        <v>235459</v>
      </c>
      <c r="U245" s="118">
        <f t="shared" ca="1" si="71"/>
        <v>3108058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319" t="s">
        <v>42</v>
      </c>
      <c r="O246" s="174">
        <v>8</v>
      </c>
      <c r="P246" s="235">
        <f ca="1">OFFSET($A$1,MATCH(Z240,$A:$A,0)-1,O246)</f>
        <v>9.6</v>
      </c>
      <c r="Q246" s="322" t="s">
        <v>29</v>
      </c>
      <c r="R246" s="323">
        <f t="shared" ca="1" si="69"/>
        <v>250087</v>
      </c>
      <c r="S246" s="323">
        <f t="shared" ca="1" si="70"/>
        <v>2400835</v>
      </c>
      <c r="T246" s="323">
        <f ca="1">보조원</f>
        <v>250087</v>
      </c>
      <c r="U246" s="323">
        <f t="shared" ca="1" si="71"/>
        <v>2400835</v>
      </c>
      <c r="V246" s="323"/>
      <c r="W246" s="323"/>
      <c r="X246" s="323"/>
      <c r="Y246" s="323"/>
      <c r="Z246" s="324"/>
    </row>
    <row r="247" spans="11:26" ht="18" customHeight="1">
      <c r="K247" s="171" t="s">
        <v>14</v>
      </c>
      <c r="L247" s="171"/>
      <c r="M247" s="171"/>
      <c r="N247" s="139" t="s">
        <v>17</v>
      </c>
      <c r="O247" s="68"/>
      <c r="P247" s="69"/>
      <c r="Q247" s="70"/>
      <c r="R247" s="71"/>
      <c r="S247" s="71">
        <f ca="1">SUBTOTAL(9,S241:S246)</f>
        <v>11808741</v>
      </c>
      <c r="T247" s="71"/>
      <c r="U247" s="71">
        <f ca="1">SUBTOTAL(9,U241:U246)</f>
        <v>11808741</v>
      </c>
      <c r="V247" s="71"/>
      <c r="W247" s="71"/>
      <c r="X247" s="71"/>
      <c r="Y247" s="71"/>
      <c r="Z247" s="68"/>
    </row>
    <row r="248" spans="11:26" ht="18" customHeight="1">
      <c r="K248" s="171" t="s">
        <v>14</v>
      </c>
      <c r="L248" s="171"/>
      <c r="M248" s="171"/>
      <c r="N248" s="318" t="str">
        <f ca="1">"제 " &amp; Z248 &amp; " 호표  "&amp; OFFSET($A$1,MATCH(Z248,$A:$A,0)-1,1)</f>
        <v>제 24 호표  5-4. 행·재정계획</v>
      </c>
      <c r="O248" s="221"/>
      <c r="P248" s="148"/>
      <c r="Q248" s="148"/>
      <c r="R248" s="149"/>
      <c r="S248" s="149"/>
      <c r="T248" s="149"/>
      <c r="U248" s="149"/>
      <c r="V248" s="149"/>
      <c r="W248" s="149"/>
      <c r="X248" s="149"/>
      <c r="Y248" s="149"/>
      <c r="Z248" s="325">
        <f>Z240+1</f>
        <v>24</v>
      </c>
    </row>
    <row r="249" spans="11:26" ht="18" customHeight="1">
      <c r="K249" s="171" t="s">
        <v>14</v>
      </c>
      <c r="L249" s="171"/>
      <c r="M249" s="171"/>
      <c r="N249" s="140" t="s">
        <v>43</v>
      </c>
      <c r="O249" s="172">
        <v>3</v>
      </c>
      <c r="P249" s="219">
        <f ca="1">OFFSET($A$1,MATCH(Z248,$A:$A,0)-1,O249)</f>
        <v>2.2000000000000002</v>
      </c>
      <c r="Q249" s="141" t="s">
        <v>29</v>
      </c>
      <c r="R249" s="142">
        <f t="shared" ref="R249:R254" ca="1" si="72">T249</f>
        <v>467217</v>
      </c>
      <c r="S249" s="142">
        <f t="shared" ref="S249:S254" ca="1" si="73">U249</f>
        <v>1027877</v>
      </c>
      <c r="T249" s="142">
        <f ca="1">기술사</f>
        <v>467217</v>
      </c>
      <c r="U249" s="142">
        <f t="shared" ref="U249:U254" ca="1" si="74">ROUNDDOWN(P249*R249,0)</f>
        <v>1027877</v>
      </c>
      <c r="V249" s="142"/>
      <c r="W249" s="142"/>
      <c r="X249" s="142"/>
      <c r="Y249" s="142"/>
      <c r="Z249" s="114"/>
    </row>
    <row r="250" spans="11:26" ht="18" customHeight="1">
      <c r="K250" s="171" t="s">
        <v>14</v>
      </c>
      <c r="L250" s="171"/>
      <c r="M250" s="171"/>
      <c r="N250" s="143" t="s">
        <v>32</v>
      </c>
      <c r="O250" s="173">
        <v>4</v>
      </c>
      <c r="P250" s="234">
        <f ca="1">OFFSET($A$1,MATCH(Z248,$A:$A,0)-1,O250)</f>
        <v>3.5</v>
      </c>
      <c r="Q250" s="144" t="s">
        <v>29</v>
      </c>
      <c r="R250" s="118">
        <f t="shared" ca="1" si="72"/>
        <v>373353</v>
      </c>
      <c r="S250" s="118">
        <f t="shared" ca="1" si="73"/>
        <v>1306735</v>
      </c>
      <c r="T250" s="118">
        <f ca="1">특급</f>
        <v>373353</v>
      </c>
      <c r="U250" s="118">
        <f t="shared" ca="1" si="74"/>
        <v>1306735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145" t="s">
        <v>39</v>
      </c>
      <c r="O251" s="173">
        <v>5</v>
      </c>
      <c r="P251" s="234">
        <f ca="1">OFFSET($A$1,MATCH(Z248,$A:$A,0)-1,O251)</f>
        <v>5.3</v>
      </c>
      <c r="Q251" s="144" t="s">
        <v>29</v>
      </c>
      <c r="R251" s="118">
        <f t="shared" ca="1" si="72"/>
        <v>310884</v>
      </c>
      <c r="S251" s="118">
        <f t="shared" ca="1" si="73"/>
        <v>1647685</v>
      </c>
      <c r="T251" s="118">
        <f ca="1">고급</f>
        <v>310884</v>
      </c>
      <c r="U251" s="118">
        <f t="shared" ca="1" si="74"/>
        <v>1647685</v>
      </c>
      <c r="V251" s="118"/>
      <c r="W251" s="118"/>
      <c r="X251" s="118"/>
      <c r="Y251" s="118"/>
      <c r="Z251" s="115"/>
    </row>
    <row r="252" spans="11:26" ht="18" customHeight="1">
      <c r="K252" s="171" t="s">
        <v>14</v>
      </c>
      <c r="L252" s="171"/>
      <c r="M252" s="171"/>
      <c r="N252" s="145" t="s">
        <v>40</v>
      </c>
      <c r="O252" s="173">
        <v>6</v>
      </c>
      <c r="P252" s="234">
        <f ca="1">OFFSET($A$1,MATCH(Z248,$A:$A,0)-1,O252)</f>
        <v>8.3000000000000007</v>
      </c>
      <c r="Q252" s="144" t="s">
        <v>29</v>
      </c>
      <c r="R252" s="118">
        <f t="shared" ca="1" si="72"/>
        <v>295138</v>
      </c>
      <c r="S252" s="118">
        <f t="shared" ca="1" si="73"/>
        <v>2449645</v>
      </c>
      <c r="T252" s="118">
        <f ca="1">중급</f>
        <v>295138</v>
      </c>
      <c r="U252" s="118">
        <f t="shared" ca="1" si="74"/>
        <v>2449645</v>
      </c>
      <c r="V252" s="118"/>
      <c r="W252" s="118"/>
      <c r="X252" s="118"/>
      <c r="Y252" s="118"/>
      <c r="Z252" s="115"/>
    </row>
    <row r="253" spans="11:26" ht="18" customHeight="1">
      <c r="K253" s="171" t="s">
        <v>14</v>
      </c>
      <c r="L253" s="171"/>
      <c r="M253" s="171"/>
      <c r="N253" s="145" t="s">
        <v>41</v>
      </c>
      <c r="O253" s="173">
        <v>7</v>
      </c>
      <c r="P253" s="234">
        <f ca="1">OFFSET($A$1,MATCH(Z248,$A:$A,0)-1,O253)</f>
        <v>13.2</v>
      </c>
      <c r="Q253" s="144" t="s">
        <v>29</v>
      </c>
      <c r="R253" s="118">
        <f t="shared" ca="1" si="72"/>
        <v>235459</v>
      </c>
      <c r="S253" s="118">
        <f t="shared" ca="1" si="73"/>
        <v>3108058</v>
      </c>
      <c r="T253" s="118">
        <f ca="1">초급</f>
        <v>235459</v>
      </c>
      <c r="U253" s="118">
        <f t="shared" ca="1" si="74"/>
        <v>3108058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319" t="s">
        <v>42</v>
      </c>
      <c r="O254" s="174">
        <v>8</v>
      </c>
      <c r="P254" s="235">
        <f ca="1">OFFSET($A$1,MATCH(Z248,$A:$A,0)-1,O254)</f>
        <v>9.6</v>
      </c>
      <c r="Q254" s="322" t="s">
        <v>29</v>
      </c>
      <c r="R254" s="323">
        <f t="shared" ca="1" si="72"/>
        <v>250087</v>
      </c>
      <c r="S254" s="323">
        <f t="shared" ca="1" si="73"/>
        <v>2400835</v>
      </c>
      <c r="T254" s="323">
        <f ca="1">보조원</f>
        <v>250087</v>
      </c>
      <c r="U254" s="323">
        <f t="shared" ca="1" si="74"/>
        <v>2400835</v>
      </c>
      <c r="V254" s="323"/>
      <c r="W254" s="323"/>
      <c r="X254" s="323"/>
      <c r="Y254" s="323"/>
      <c r="Z254" s="324"/>
    </row>
    <row r="255" spans="11:26" ht="18" customHeight="1">
      <c r="K255" s="171" t="s">
        <v>14</v>
      </c>
      <c r="L255" s="171"/>
      <c r="M255" s="171"/>
      <c r="N255" s="139" t="s">
        <v>17</v>
      </c>
      <c r="O255" s="68"/>
      <c r="P255" s="69"/>
      <c r="Q255" s="70"/>
      <c r="R255" s="71"/>
      <c r="S255" s="71">
        <f ca="1">SUBTOTAL(9,S249:S254)</f>
        <v>11940835</v>
      </c>
      <c r="T255" s="71"/>
      <c r="U255" s="71">
        <f ca="1">SUBTOTAL(9,U249:U254)</f>
        <v>11940835</v>
      </c>
      <c r="V255" s="71"/>
      <c r="W255" s="71"/>
      <c r="X255" s="71"/>
      <c r="Y255" s="71"/>
      <c r="Z255" s="68"/>
    </row>
    <row r="256" spans="11:26" ht="18" customHeight="1">
      <c r="K256" s="171" t="s">
        <v>14</v>
      </c>
      <c r="L256" s="171"/>
      <c r="M256" s="171"/>
      <c r="N256" s="318" t="str">
        <f ca="1">"제 " &amp; Z256 &amp; " 호표  "&amp; OFFSET($A$1,MATCH(Z256,$A:$A,0)-1,1)</f>
        <v>제 25 호표  5-5. 정책건의</v>
      </c>
      <c r="O256" s="221"/>
      <c r="P256" s="148"/>
      <c r="Q256" s="148"/>
      <c r="R256" s="149"/>
      <c r="S256" s="149"/>
      <c r="T256" s="149"/>
      <c r="U256" s="149"/>
      <c r="V256" s="149"/>
      <c r="W256" s="149"/>
      <c r="X256" s="149"/>
      <c r="Y256" s="149"/>
      <c r="Z256" s="325">
        <f>Z248+1</f>
        <v>25</v>
      </c>
    </row>
    <row r="257" spans="11:26" ht="18" customHeight="1">
      <c r="K257" s="171" t="s">
        <v>14</v>
      </c>
      <c r="L257" s="171"/>
      <c r="M257" s="171"/>
      <c r="N257" s="140" t="s">
        <v>43</v>
      </c>
      <c r="O257" s="172">
        <v>3</v>
      </c>
      <c r="P257" s="219">
        <f ca="1">OFFSET($A$1,MATCH(Z256,$A:$A,0)-1,O257)</f>
        <v>2.2999999999999998</v>
      </c>
      <c r="Q257" s="141" t="s">
        <v>29</v>
      </c>
      <c r="R257" s="142">
        <f t="shared" ref="R257:R262" ca="1" si="75">T257</f>
        <v>467217</v>
      </c>
      <c r="S257" s="142">
        <f t="shared" ref="S257:S262" ca="1" si="76">U257</f>
        <v>1074599</v>
      </c>
      <c r="T257" s="142">
        <f ca="1">기술사</f>
        <v>467217</v>
      </c>
      <c r="U257" s="142">
        <f t="shared" ref="U257:U262" ca="1" si="77">ROUNDDOWN(P257*R257,0)</f>
        <v>1074599</v>
      </c>
      <c r="V257" s="142"/>
      <c r="W257" s="142"/>
      <c r="X257" s="142"/>
      <c r="Y257" s="142"/>
      <c r="Z257" s="114"/>
    </row>
    <row r="258" spans="11:26" ht="18" customHeight="1">
      <c r="K258" s="171" t="s">
        <v>14</v>
      </c>
      <c r="L258" s="171"/>
      <c r="M258" s="171"/>
      <c r="N258" s="143" t="s">
        <v>32</v>
      </c>
      <c r="O258" s="173">
        <v>4</v>
      </c>
      <c r="P258" s="234">
        <f ca="1">OFFSET($A$1,MATCH(Z256,$A:$A,0)-1,O258)</f>
        <v>3.6</v>
      </c>
      <c r="Q258" s="144" t="s">
        <v>29</v>
      </c>
      <c r="R258" s="118">
        <f t="shared" ca="1" si="75"/>
        <v>373353</v>
      </c>
      <c r="S258" s="118">
        <f t="shared" ca="1" si="76"/>
        <v>1344070</v>
      </c>
      <c r="T258" s="118">
        <f ca="1">특급</f>
        <v>373353</v>
      </c>
      <c r="U258" s="118">
        <f t="shared" ca="1" si="77"/>
        <v>1344070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145" t="s">
        <v>39</v>
      </c>
      <c r="O259" s="173">
        <v>5</v>
      </c>
      <c r="P259" s="234">
        <f ca="1">OFFSET($A$1,MATCH(Z256,$A:$A,0)-1,O259)</f>
        <v>5.3</v>
      </c>
      <c r="Q259" s="144" t="s">
        <v>29</v>
      </c>
      <c r="R259" s="118">
        <f t="shared" ca="1" si="75"/>
        <v>310884</v>
      </c>
      <c r="S259" s="118">
        <f t="shared" ca="1" si="76"/>
        <v>1647685</v>
      </c>
      <c r="T259" s="118">
        <f ca="1">고급</f>
        <v>310884</v>
      </c>
      <c r="U259" s="118">
        <f t="shared" ca="1" si="77"/>
        <v>1647685</v>
      </c>
      <c r="V259" s="118"/>
      <c r="W259" s="118"/>
      <c r="X259" s="118"/>
      <c r="Y259" s="118"/>
      <c r="Z259" s="115"/>
    </row>
    <row r="260" spans="11:26" ht="18" customHeight="1">
      <c r="K260" s="171" t="s">
        <v>14</v>
      </c>
      <c r="L260" s="171"/>
      <c r="M260" s="171"/>
      <c r="N260" s="145" t="s">
        <v>40</v>
      </c>
      <c r="O260" s="173">
        <v>6</v>
      </c>
      <c r="P260" s="234">
        <f ca="1">OFFSET($A$1,MATCH(Z256,$A:$A,0)-1,O260)</f>
        <v>8.3000000000000007</v>
      </c>
      <c r="Q260" s="144" t="s">
        <v>29</v>
      </c>
      <c r="R260" s="118">
        <f t="shared" ca="1" si="75"/>
        <v>295138</v>
      </c>
      <c r="S260" s="118">
        <f t="shared" ca="1" si="76"/>
        <v>2449645</v>
      </c>
      <c r="T260" s="118">
        <f ca="1">중급</f>
        <v>295138</v>
      </c>
      <c r="U260" s="118">
        <f t="shared" ca="1" si="77"/>
        <v>2449645</v>
      </c>
      <c r="V260" s="118"/>
      <c r="W260" s="118"/>
      <c r="X260" s="118"/>
      <c r="Y260" s="118"/>
      <c r="Z260" s="115"/>
    </row>
    <row r="261" spans="11:26" ht="18" customHeight="1">
      <c r="K261" s="171" t="s">
        <v>14</v>
      </c>
      <c r="L261" s="171"/>
      <c r="M261" s="171"/>
      <c r="N261" s="145" t="s">
        <v>41</v>
      </c>
      <c r="O261" s="173">
        <v>7</v>
      </c>
      <c r="P261" s="234">
        <f ca="1">OFFSET($A$1,MATCH(Z256,$A:$A,0)-1,O261)</f>
        <v>13.2</v>
      </c>
      <c r="Q261" s="144" t="s">
        <v>29</v>
      </c>
      <c r="R261" s="118">
        <f t="shared" ca="1" si="75"/>
        <v>235459</v>
      </c>
      <c r="S261" s="118">
        <f t="shared" ca="1" si="76"/>
        <v>3108058</v>
      </c>
      <c r="T261" s="118">
        <f ca="1">초급</f>
        <v>235459</v>
      </c>
      <c r="U261" s="118">
        <f t="shared" ca="1" si="77"/>
        <v>3108058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319" t="s">
        <v>42</v>
      </c>
      <c r="O262" s="174">
        <v>8</v>
      </c>
      <c r="P262" s="235">
        <f ca="1">OFFSET($A$1,MATCH(Z256,$A:$A,0)-1,O262)</f>
        <v>9.6</v>
      </c>
      <c r="Q262" s="322" t="s">
        <v>29</v>
      </c>
      <c r="R262" s="323">
        <f t="shared" ca="1" si="75"/>
        <v>250087</v>
      </c>
      <c r="S262" s="323">
        <f t="shared" ca="1" si="76"/>
        <v>2400835</v>
      </c>
      <c r="T262" s="323">
        <f ca="1">보조원</f>
        <v>250087</v>
      </c>
      <c r="U262" s="323">
        <f t="shared" ca="1" si="77"/>
        <v>2400835</v>
      </c>
      <c r="V262" s="323"/>
      <c r="W262" s="323"/>
      <c r="X262" s="323"/>
      <c r="Y262" s="323"/>
      <c r="Z262" s="324"/>
    </row>
    <row r="263" spans="11:26" ht="18" customHeight="1">
      <c r="K263" s="171" t="s">
        <v>14</v>
      </c>
      <c r="L263" s="171"/>
      <c r="M263" s="171"/>
      <c r="N263" s="139" t="s">
        <v>17</v>
      </c>
      <c r="O263" s="68"/>
      <c r="P263" s="69"/>
      <c r="Q263" s="70"/>
      <c r="R263" s="71"/>
      <c r="S263" s="71">
        <f ca="1">SUBTOTAL(9,S257:S262)</f>
        <v>12024892</v>
      </c>
      <c r="T263" s="71"/>
      <c r="U263" s="71">
        <f ca="1">SUBTOTAL(9,U257:U262)</f>
        <v>12024892</v>
      </c>
      <c r="V263" s="71"/>
      <c r="W263" s="71"/>
      <c r="X263" s="71"/>
      <c r="Y263" s="71"/>
      <c r="Z263" s="68"/>
    </row>
    <row r="264" spans="11:26" ht="18" customHeight="1">
      <c r="K264" s="171" t="s">
        <v>14</v>
      </c>
      <c r="L264" s="171"/>
      <c r="M264" s="171"/>
      <c r="N264" s="318" t="str">
        <f ca="1">"제 " &amp; Z264 &amp; " 호표  "&amp; OFFSET($A$1,MATCH(Z264,$A:$A,0)-1,1)</f>
        <v>제 26 호표  6-1. 보고서작성 및 편집</v>
      </c>
      <c r="O264" s="221"/>
      <c r="P264" s="148"/>
      <c r="Q264" s="148"/>
      <c r="R264" s="149"/>
      <c r="S264" s="149"/>
      <c r="T264" s="149"/>
      <c r="U264" s="149"/>
      <c r="V264" s="149"/>
      <c r="W264" s="149"/>
      <c r="X264" s="149"/>
      <c r="Y264" s="149"/>
      <c r="Z264" s="325">
        <f>Z256+1</f>
        <v>26</v>
      </c>
    </row>
    <row r="265" spans="11:26" ht="18" customHeight="1">
      <c r="K265" s="171" t="s">
        <v>14</v>
      </c>
      <c r="L265" s="171"/>
      <c r="M265" s="171"/>
      <c r="N265" s="140" t="s">
        <v>43</v>
      </c>
      <c r="O265" s="172">
        <v>3</v>
      </c>
      <c r="P265" s="219">
        <f ca="1">OFFSET($A$1,MATCH(Z264,$A:$A,0)-1,O265)</f>
        <v>1.9</v>
      </c>
      <c r="Q265" s="141" t="s">
        <v>29</v>
      </c>
      <c r="R265" s="142">
        <f t="shared" ref="R265:R270" ca="1" si="78">T265</f>
        <v>467217</v>
      </c>
      <c r="S265" s="142">
        <f t="shared" ref="S265:S270" ca="1" si="79">U265</f>
        <v>887712</v>
      </c>
      <c r="T265" s="142">
        <f ca="1">기술사</f>
        <v>467217</v>
      </c>
      <c r="U265" s="142">
        <f t="shared" ref="U265:U270" ca="1" si="80">ROUNDDOWN(P265*R265,0)</f>
        <v>887712</v>
      </c>
      <c r="V265" s="142"/>
      <c r="W265" s="142"/>
      <c r="X265" s="142"/>
      <c r="Y265" s="142"/>
      <c r="Z265" s="114"/>
    </row>
    <row r="266" spans="11:26" ht="18" customHeight="1">
      <c r="K266" s="171" t="s">
        <v>14</v>
      </c>
      <c r="L266" s="171"/>
      <c r="M266" s="171"/>
      <c r="N266" s="143" t="s">
        <v>32</v>
      </c>
      <c r="O266" s="173">
        <v>4</v>
      </c>
      <c r="P266" s="234">
        <f ca="1">OFFSET($A$1,MATCH(Z264,$A:$A,0)-1,O266)</f>
        <v>3.2</v>
      </c>
      <c r="Q266" s="144" t="s">
        <v>29</v>
      </c>
      <c r="R266" s="118">
        <f t="shared" ca="1" si="78"/>
        <v>373353</v>
      </c>
      <c r="S266" s="118">
        <f t="shared" ca="1" si="79"/>
        <v>1194729</v>
      </c>
      <c r="T266" s="118">
        <f ca="1">특급</f>
        <v>373353</v>
      </c>
      <c r="U266" s="118">
        <f t="shared" ca="1" si="80"/>
        <v>1194729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145" t="s">
        <v>39</v>
      </c>
      <c r="O267" s="173">
        <v>5</v>
      </c>
      <c r="P267" s="234">
        <f ca="1">OFFSET($A$1,MATCH(Z264,$A:$A,0)-1,O267)</f>
        <v>6.3</v>
      </c>
      <c r="Q267" s="144" t="s">
        <v>29</v>
      </c>
      <c r="R267" s="118">
        <f t="shared" ca="1" si="78"/>
        <v>310884</v>
      </c>
      <c r="S267" s="118">
        <f t="shared" ca="1" si="79"/>
        <v>1958569</v>
      </c>
      <c r="T267" s="118">
        <f ca="1">고급</f>
        <v>310884</v>
      </c>
      <c r="U267" s="118">
        <f t="shared" ca="1" si="80"/>
        <v>1958569</v>
      </c>
      <c r="V267" s="118"/>
      <c r="W267" s="118"/>
      <c r="X267" s="118"/>
      <c r="Y267" s="118"/>
      <c r="Z267" s="115"/>
    </row>
    <row r="268" spans="11:26" ht="18" customHeight="1">
      <c r="K268" s="171" t="s">
        <v>14</v>
      </c>
      <c r="L268" s="171"/>
      <c r="M268" s="171"/>
      <c r="N268" s="145" t="s">
        <v>40</v>
      </c>
      <c r="O268" s="173">
        <v>6</v>
      </c>
      <c r="P268" s="234">
        <f ca="1">OFFSET($A$1,MATCH(Z264,$A:$A,0)-1,O268)</f>
        <v>21.5</v>
      </c>
      <c r="Q268" s="144" t="s">
        <v>29</v>
      </c>
      <c r="R268" s="118">
        <f t="shared" ca="1" si="78"/>
        <v>295138</v>
      </c>
      <c r="S268" s="118">
        <f t="shared" ca="1" si="79"/>
        <v>6345467</v>
      </c>
      <c r="T268" s="118">
        <f ca="1">중급</f>
        <v>295138</v>
      </c>
      <c r="U268" s="118">
        <f t="shared" ca="1" si="80"/>
        <v>6345467</v>
      </c>
      <c r="V268" s="118"/>
      <c r="W268" s="118"/>
      <c r="X268" s="118"/>
      <c r="Y268" s="118"/>
      <c r="Z268" s="115"/>
    </row>
    <row r="269" spans="11:26" ht="18" customHeight="1">
      <c r="K269" s="171" t="s">
        <v>14</v>
      </c>
      <c r="L269" s="171"/>
      <c r="M269" s="171"/>
      <c r="N269" s="145" t="s">
        <v>41</v>
      </c>
      <c r="O269" s="173">
        <v>7</v>
      </c>
      <c r="P269" s="234">
        <f ca="1">OFFSET($A$1,MATCH(Z264,$A:$A,0)-1,O269)</f>
        <v>32.200000000000003</v>
      </c>
      <c r="Q269" s="144" t="s">
        <v>29</v>
      </c>
      <c r="R269" s="118">
        <f t="shared" ca="1" si="78"/>
        <v>235459</v>
      </c>
      <c r="S269" s="118">
        <f t="shared" ca="1" si="79"/>
        <v>7581779</v>
      </c>
      <c r="T269" s="118">
        <f ca="1">초급</f>
        <v>235459</v>
      </c>
      <c r="U269" s="118">
        <f t="shared" ca="1" si="80"/>
        <v>7581779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319" t="s">
        <v>42</v>
      </c>
      <c r="O270" s="174">
        <v>8</v>
      </c>
      <c r="P270" s="235">
        <f ca="1">OFFSET($A$1,MATCH(Z264,$A:$A,0)-1,O270)</f>
        <v>71.7</v>
      </c>
      <c r="Q270" s="322" t="s">
        <v>29</v>
      </c>
      <c r="R270" s="323">
        <f t="shared" ca="1" si="78"/>
        <v>250087</v>
      </c>
      <c r="S270" s="323">
        <f t="shared" ca="1" si="79"/>
        <v>17931237</v>
      </c>
      <c r="T270" s="323">
        <f ca="1">보조원</f>
        <v>250087</v>
      </c>
      <c r="U270" s="323">
        <f t="shared" ca="1" si="80"/>
        <v>17931237</v>
      </c>
      <c r="V270" s="323"/>
      <c r="W270" s="323"/>
      <c r="X270" s="323"/>
      <c r="Y270" s="323"/>
      <c r="Z270" s="324"/>
    </row>
    <row r="271" spans="11:26" ht="18" customHeight="1">
      <c r="K271" s="171" t="s">
        <v>14</v>
      </c>
      <c r="L271" s="171"/>
      <c r="M271" s="171"/>
      <c r="N271" s="139" t="s">
        <v>17</v>
      </c>
      <c r="O271" s="68"/>
      <c r="P271" s="69"/>
      <c r="Q271" s="70"/>
      <c r="R271" s="71"/>
      <c r="S271" s="71">
        <f ca="1">SUBTOTAL(9,S265:S270)</f>
        <v>35899493</v>
      </c>
      <c r="T271" s="71"/>
      <c r="U271" s="71">
        <f ca="1">SUBTOTAL(9,U265:U270)</f>
        <v>35899493</v>
      </c>
      <c r="V271" s="71"/>
      <c r="W271" s="71"/>
      <c r="X271" s="71"/>
      <c r="Y271" s="71"/>
      <c r="Z271" s="68"/>
    </row>
    <row r="272" spans="11:26" ht="18" customHeight="1">
      <c r="K272" s="171" t="s">
        <v>14</v>
      </c>
      <c r="L272" s="171"/>
      <c r="M272" s="171"/>
      <c r="N272" s="318" t="str">
        <f ca="1">"제 " &amp; Z272 &amp; " 호표  "&amp; OFFSET($A$1,MATCH(Z272,$A:$A,0)-1,1)</f>
        <v>제 27 호표  6-2. 관련도서작성</v>
      </c>
      <c r="O272" s="221"/>
      <c r="P272" s="148"/>
      <c r="Q272" s="148"/>
      <c r="R272" s="149"/>
      <c r="S272" s="149"/>
      <c r="T272" s="149"/>
      <c r="U272" s="149"/>
      <c r="V272" s="149"/>
      <c r="W272" s="149"/>
      <c r="X272" s="149"/>
      <c r="Y272" s="149"/>
      <c r="Z272" s="325">
        <f>Z264+1</f>
        <v>27</v>
      </c>
    </row>
    <row r="273" spans="11:26" ht="18" customHeight="1">
      <c r="K273" s="171" t="s">
        <v>14</v>
      </c>
      <c r="L273" s="171"/>
      <c r="M273" s="171"/>
      <c r="N273" s="140" t="s">
        <v>43</v>
      </c>
      <c r="O273" s="172">
        <v>3</v>
      </c>
      <c r="P273" s="219">
        <f ca="1">OFFSET($A$1,MATCH(Z272,$A:$A,0)-1,O273)</f>
        <v>1.3</v>
      </c>
      <c r="Q273" s="141" t="s">
        <v>29</v>
      </c>
      <c r="R273" s="142">
        <f t="shared" ref="R273:R278" ca="1" si="81">T273</f>
        <v>467217</v>
      </c>
      <c r="S273" s="142">
        <f t="shared" ref="S273:S278" ca="1" si="82">U273</f>
        <v>607382</v>
      </c>
      <c r="T273" s="142">
        <f ca="1">기술사</f>
        <v>467217</v>
      </c>
      <c r="U273" s="142">
        <f t="shared" ref="U273:U278" ca="1" si="83">ROUNDDOWN(P273*R273,0)</f>
        <v>607382</v>
      </c>
      <c r="V273" s="142"/>
      <c r="W273" s="142"/>
      <c r="X273" s="142"/>
      <c r="Y273" s="142"/>
      <c r="Z273" s="114"/>
    </row>
    <row r="274" spans="11:26" ht="18" customHeight="1">
      <c r="K274" s="171" t="s">
        <v>14</v>
      </c>
      <c r="L274" s="171"/>
      <c r="M274" s="171"/>
      <c r="N274" s="143" t="s">
        <v>32</v>
      </c>
      <c r="O274" s="173">
        <v>4</v>
      </c>
      <c r="P274" s="234">
        <f ca="1">OFFSET($A$1,MATCH(Z272,$A:$A,0)-1,O274)</f>
        <v>2.1</v>
      </c>
      <c r="Q274" s="144" t="s">
        <v>29</v>
      </c>
      <c r="R274" s="118">
        <f t="shared" ca="1" si="81"/>
        <v>373353</v>
      </c>
      <c r="S274" s="118">
        <f t="shared" ca="1" si="82"/>
        <v>784041</v>
      </c>
      <c r="T274" s="118">
        <f ca="1">특급</f>
        <v>373353</v>
      </c>
      <c r="U274" s="118">
        <f t="shared" ca="1" si="83"/>
        <v>784041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145" t="s">
        <v>39</v>
      </c>
      <c r="O275" s="173">
        <v>5</v>
      </c>
      <c r="P275" s="234">
        <f ca="1">OFFSET($A$1,MATCH(Z272,$A:$A,0)-1,O275)</f>
        <v>8.3000000000000007</v>
      </c>
      <c r="Q275" s="144" t="s">
        <v>29</v>
      </c>
      <c r="R275" s="118">
        <f t="shared" ca="1" si="81"/>
        <v>310884</v>
      </c>
      <c r="S275" s="118">
        <f t="shared" ca="1" si="82"/>
        <v>2580337</v>
      </c>
      <c r="T275" s="118">
        <f ca="1">고급</f>
        <v>310884</v>
      </c>
      <c r="U275" s="118">
        <f t="shared" ca="1" si="83"/>
        <v>2580337</v>
      </c>
      <c r="V275" s="118"/>
      <c r="W275" s="118"/>
      <c r="X275" s="118"/>
      <c r="Y275" s="118"/>
      <c r="Z275" s="115"/>
    </row>
    <row r="276" spans="11:26" ht="18" customHeight="1">
      <c r="K276" s="171" t="s">
        <v>14</v>
      </c>
      <c r="L276" s="171"/>
      <c r="M276" s="171"/>
      <c r="N276" s="145" t="s">
        <v>40</v>
      </c>
      <c r="O276" s="173">
        <v>6</v>
      </c>
      <c r="P276" s="234">
        <f ca="1">OFFSET($A$1,MATCH(Z272,$A:$A,0)-1,O276)</f>
        <v>22.3</v>
      </c>
      <c r="Q276" s="144" t="s">
        <v>29</v>
      </c>
      <c r="R276" s="118">
        <f t="shared" ca="1" si="81"/>
        <v>295138</v>
      </c>
      <c r="S276" s="118">
        <f t="shared" ca="1" si="82"/>
        <v>6581577</v>
      </c>
      <c r="T276" s="118">
        <f ca="1">중급</f>
        <v>295138</v>
      </c>
      <c r="U276" s="118">
        <f t="shared" ca="1" si="83"/>
        <v>6581577</v>
      </c>
      <c r="V276" s="118"/>
      <c r="W276" s="118"/>
      <c r="X276" s="118"/>
      <c r="Y276" s="118"/>
      <c r="Z276" s="115"/>
    </row>
    <row r="277" spans="11:26" ht="18" customHeight="1">
      <c r="K277" s="171" t="s">
        <v>14</v>
      </c>
      <c r="L277" s="171"/>
      <c r="M277" s="171"/>
      <c r="N277" s="145" t="s">
        <v>41</v>
      </c>
      <c r="O277" s="173">
        <v>7</v>
      </c>
      <c r="P277" s="234">
        <f ca="1">OFFSET($A$1,MATCH(Z272,$A:$A,0)-1,O277)</f>
        <v>33.6</v>
      </c>
      <c r="Q277" s="144" t="s">
        <v>29</v>
      </c>
      <c r="R277" s="118">
        <f t="shared" ca="1" si="81"/>
        <v>235459</v>
      </c>
      <c r="S277" s="118">
        <f t="shared" ca="1" si="82"/>
        <v>7911422</v>
      </c>
      <c r="T277" s="118">
        <f ca="1">초급</f>
        <v>235459</v>
      </c>
      <c r="U277" s="118">
        <f t="shared" ca="1" si="83"/>
        <v>7911422</v>
      </c>
      <c r="V277" s="118"/>
      <c r="W277" s="118"/>
      <c r="X277" s="118"/>
      <c r="Y277" s="118"/>
      <c r="Z277" s="115"/>
    </row>
    <row r="278" spans="11:26" ht="18" customHeight="1">
      <c r="K278" s="171" t="s">
        <v>14</v>
      </c>
      <c r="L278" s="171"/>
      <c r="M278" s="171"/>
      <c r="N278" s="319" t="s">
        <v>42</v>
      </c>
      <c r="O278" s="174">
        <v>8</v>
      </c>
      <c r="P278" s="235">
        <f ca="1">OFFSET($A$1,MATCH(Z272,$A:$A,0)-1,O278)</f>
        <v>71.7</v>
      </c>
      <c r="Q278" s="322" t="s">
        <v>29</v>
      </c>
      <c r="R278" s="323">
        <f t="shared" ca="1" si="81"/>
        <v>250087</v>
      </c>
      <c r="S278" s="323">
        <f t="shared" ca="1" si="82"/>
        <v>17931237</v>
      </c>
      <c r="T278" s="323">
        <f ca="1">보조원</f>
        <v>250087</v>
      </c>
      <c r="U278" s="323">
        <f t="shared" ca="1" si="83"/>
        <v>17931237</v>
      </c>
      <c r="V278" s="323"/>
      <c r="W278" s="323"/>
      <c r="X278" s="323"/>
      <c r="Y278" s="323"/>
      <c r="Z278" s="324"/>
    </row>
    <row r="279" spans="11:26" ht="18" customHeight="1">
      <c r="K279" s="171" t="s">
        <v>14</v>
      </c>
      <c r="L279" s="171"/>
      <c r="M279" s="171"/>
      <c r="N279" s="139" t="s">
        <v>17</v>
      </c>
      <c r="O279" s="68"/>
      <c r="P279" s="69"/>
      <c r="Q279" s="70"/>
      <c r="R279" s="71"/>
      <c r="S279" s="71">
        <f ca="1">SUBTOTAL(9,S273:S278)</f>
        <v>36395996</v>
      </c>
      <c r="T279" s="71"/>
      <c r="U279" s="71">
        <f ca="1">SUBTOTAL(9,U273:U278)</f>
        <v>36395996</v>
      </c>
      <c r="V279" s="71"/>
      <c r="W279" s="71"/>
      <c r="X279" s="71"/>
      <c r="Y279" s="71"/>
      <c r="Z279" s="68"/>
    </row>
    <row r="280" spans="11:26" ht="18" customHeight="1">
      <c r="K280" s="171" t="s">
        <v>14</v>
      </c>
      <c r="L280" s="171"/>
      <c r="M280" s="171"/>
      <c r="N280" s="318" t="str">
        <f ca="1">"제 " &amp; Z280 &amp; " 호표  "&amp; OFFSET($A$1,MATCH(Z280,$A:$A,0)-1,1)</f>
        <v>제 28 호표  7-1. 공청회/주민설명회</v>
      </c>
      <c r="O280" s="221"/>
      <c r="P280" s="148"/>
      <c r="Q280" s="148"/>
      <c r="R280" s="149"/>
      <c r="S280" s="149"/>
      <c r="T280" s="149"/>
      <c r="U280" s="149"/>
      <c r="V280" s="149"/>
      <c r="W280" s="149"/>
      <c r="X280" s="149"/>
      <c r="Y280" s="149"/>
      <c r="Z280" s="325">
        <f>Z272+1</f>
        <v>28</v>
      </c>
    </row>
    <row r="281" spans="11:26" ht="18" customHeight="1">
      <c r="K281" s="171" t="s">
        <v>14</v>
      </c>
      <c r="L281" s="171"/>
      <c r="M281" s="171"/>
      <c r="N281" s="140" t="s">
        <v>43</v>
      </c>
      <c r="O281" s="172">
        <v>3</v>
      </c>
      <c r="P281" s="219">
        <f ca="1">OFFSET($A$1,MATCH(Z280,$A:$A,0)-1,O281)</f>
        <v>2</v>
      </c>
      <c r="Q281" s="141" t="s">
        <v>29</v>
      </c>
      <c r="R281" s="142">
        <f t="shared" ref="R281:R286" ca="1" si="84">T281</f>
        <v>467217</v>
      </c>
      <c r="S281" s="142">
        <f t="shared" ref="S281:S286" ca="1" si="85">U281</f>
        <v>934434</v>
      </c>
      <c r="T281" s="142">
        <f ca="1">기술사</f>
        <v>467217</v>
      </c>
      <c r="U281" s="142">
        <f t="shared" ref="U281:U286" ca="1" si="86">ROUNDDOWN(P281*R281,0)</f>
        <v>934434</v>
      </c>
      <c r="V281" s="142"/>
      <c r="W281" s="142"/>
      <c r="X281" s="142"/>
      <c r="Y281" s="142"/>
      <c r="Z281" s="114"/>
    </row>
    <row r="282" spans="11:26" ht="18" customHeight="1">
      <c r="K282" s="171" t="s">
        <v>14</v>
      </c>
      <c r="L282" s="171"/>
      <c r="M282" s="171"/>
      <c r="N282" s="143" t="s">
        <v>32</v>
      </c>
      <c r="O282" s="173">
        <v>4</v>
      </c>
      <c r="P282" s="234">
        <f ca="1">OFFSET($A$1,MATCH(Z280,$A:$A,0)-1,O282)</f>
        <v>2</v>
      </c>
      <c r="Q282" s="144" t="s">
        <v>29</v>
      </c>
      <c r="R282" s="118">
        <f t="shared" ca="1" si="84"/>
        <v>373353</v>
      </c>
      <c r="S282" s="118">
        <f t="shared" ca="1" si="85"/>
        <v>746706</v>
      </c>
      <c r="T282" s="118">
        <f ca="1">특급</f>
        <v>373353</v>
      </c>
      <c r="U282" s="118">
        <f t="shared" ca="1" si="86"/>
        <v>746706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145" t="s">
        <v>39</v>
      </c>
      <c r="O283" s="173">
        <v>5</v>
      </c>
      <c r="P283" s="234">
        <f ca="1">OFFSET($A$1,MATCH(Z280,$A:$A,0)-1,O283)</f>
        <v>2</v>
      </c>
      <c r="Q283" s="144" t="s">
        <v>29</v>
      </c>
      <c r="R283" s="118">
        <f t="shared" ca="1" si="84"/>
        <v>310884</v>
      </c>
      <c r="S283" s="118">
        <f t="shared" ca="1" si="85"/>
        <v>621768</v>
      </c>
      <c r="T283" s="118">
        <f ca="1">고급</f>
        <v>310884</v>
      </c>
      <c r="U283" s="118">
        <f t="shared" ca="1" si="86"/>
        <v>621768</v>
      </c>
      <c r="V283" s="118"/>
      <c r="W283" s="118"/>
      <c r="X283" s="118"/>
      <c r="Y283" s="118"/>
      <c r="Z283" s="115"/>
    </row>
    <row r="284" spans="11:26" ht="18" customHeight="1">
      <c r="K284" s="171" t="s">
        <v>14</v>
      </c>
      <c r="L284" s="171"/>
      <c r="M284" s="171"/>
      <c r="N284" s="145" t="s">
        <v>40</v>
      </c>
      <c r="O284" s="173">
        <v>6</v>
      </c>
      <c r="P284" s="234">
        <f ca="1">OFFSET($A$1,MATCH(Z280,$A:$A,0)-1,O284)</f>
        <v>4</v>
      </c>
      <c r="Q284" s="144" t="s">
        <v>29</v>
      </c>
      <c r="R284" s="118">
        <f t="shared" ca="1" si="84"/>
        <v>295138</v>
      </c>
      <c r="S284" s="118">
        <f t="shared" ca="1" si="85"/>
        <v>1180552</v>
      </c>
      <c r="T284" s="118">
        <f ca="1">중급</f>
        <v>295138</v>
      </c>
      <c r="U284" s="118">
        <f t="shared" ca="1" si="86"/>
        <v>1180552</v>
      </c>
      <c r="V284" s="118"/>
      <c r="W284" s="118"/>
      <c r="X284" s="118"/>
      <c r="Y284" s="118"/>
      <c r="Z284" s="115"/>
    </row>
    <row r="285" spans="11:26" ht="18" customHeight="1">
      <c r="K285" s="171" t="s">
        <v>14</v>
      </c>
      <c r="L285" s="171"/>
      <c r="M285" s="171"/>
      <c r="N285" s="145" t="s">
        <v>41</v>
      </c>
      <c r="O285" s="173">
        <v>7</v>
      </c>
      <c r="P285" s="234">
        <f ca="1">OFFSET($A$1,MATCH(Z280,$A:$A,0)-1,O285)</f>
        <v>4</v>
      </c>
      <c r="Q285" s="144" t="s">
        <v>29</v>
      </c>
      <c r="R285" s="118">
        <f t="shared" ca="1" si="84"/>
        <v>235459</v>
      </c>
      <c r="S285" s="118">
        <f t="shared" ca="1" si="85"/>
        <v>941836</v>
      </c>
      <c r="T285" s="118">
        <f ca="1">초급</f>
        <v>235459</v>
      </c>
      <c r="U285" s="118">
        <f t="shared" ca="1" si="86"/>
        <v>941836</v>
      </c>
      <c r="V285" s="118"/>
      <c r="W285" s="118"/>
      <c r="X285" s="118"/>
      <c r="Y285" s="118"/>
      <c r="Z285" s="115"/>
    </row>
    <row r="286" spans="11:26" ht="18" customHeight="1">
      <c r="K286" s="171" t="s">
        <v>14</v>
      </c>
      <c r="L286" s="171"/>
      <c r="M286" s="171"/>
      <c r="N286" s="319" t="s">
        <v>42</v>
      </c>
      <c r="O286" s="174">
        <v>8</v>
      </c>
      <c r="P286" s="235">
        <f ca="1">OFFSET($A$1,MATCH(Z280,$A:$A,0)-1,O286)</f>
        <v>4</v>
      </c>
      <c r="Q286" s="322" t="s">
        <v>29</v>
      </c>
      <c r="R286" s="323">
        <f t="shared" ca="1" si="84"/>
        <v>250087</v>
      </c>
      <c r="S286" s="323">
        <f t="shared" ca="1" si="85"/>
        <v>1000348</v>
      </c>
      <c r="T286" s="323">
        <f ca="1">보조원</f>
        <v>250087</v>
      </c>
      <c r="U286" s="323">
        <f t="shared" ca="1" si="86"/>
        <v>1000348</v>
      </c>
      <c r="V286" s="323"/>
      <c r="W286" s="323"/>
      <c r="X286" s="323"/>
      <c r="Y286" s="323"/>
      <c r="Z286" s="324"/>
    </row>
    <row r="287" spans="11:26" ht="18" customHeight="1">
      <c r="K287" s="171" t="s">
        <v>14</v>
      </c>
      <c r="L287" s="171"/>
      <c r="M287" s="171"/>
      <c r="N287" s="139" t="s">
        <v>17</v>
      </c>
      <c r="O287" s="68"/>
      <c r="P287" s="69"/>
      <c r="Q287" s="70"/>
      <c r="R287" s="71"/>
      <c r="S287" s="71">
        <f ca="1">SUBTOTAL(9,S281:S286)</f>
        <v>5425644</v>
      </c>
      <c r="T287" s="71"/>
      <c r="U287" s="71">
        <f ca="1">SUBTOTAL(9,U281:U286)</f>
        <v>5425644</v>
      </c>
      <c r="V287" s="71"/>
      <c r="W287" s="71"/>
      <c r="X287" s="71"/>
      <c r="Y287" s="71"/>
      <c r="Z287" s="68"/>
    </row>
    <row r="288" spans="11:26" ht="18" customHeight="1">
      <c r="K288" s="171" t="s">
        <v>14</v>
      </c>
      <c r="L288" s="171"/>
      <c r="M288" s="171"/>
      <c r="N288" s="318" t="str">
        <f ca="1">"제 " &amp; Z288 &amp; " 호표  "&amp; OFFSET($A$1,MATCH(Z288,$A:$A,0)-1,1)</f>
        <v>제 29 호표  7-2. 주민간담회/시민계획단</v>
      </c>
      <c r="O288" s="221"/>
      <c r="P288" s="148"/>
      <c r="Q288" s="148"/>
      <c r="R288" s="149"/>
      <c r="S288" s="149"/>
      <c r="T288" s="149"/>
      <c r="U288" s="149"/>
      <c r="V288" s="149"/>
      <c r="W288" s="149"/>
      <c r="X288" s="149"/>
      <c r="Y288" s="149"/>
      <c r="Z288" s="325">
        <f>Z280+1</f>
        <v>29</v>
      </c>
    </row>
    <row r="289" spans="11:26" ht="18" customHeight="1">
      <c r="K289" s="171" t="s">
        <v>14</v>
      </c>
      <c r="L289" s="171"/>
      <c r="M289" s="171"/>
      <c r="N289" s="140" t="s">
        <v>43</v>
      </c>
      <c r="O289" s="172">
        <v>3</v>
      </c>
      <c r="P289" s="219">
        <f ca="1">OFFSET($A$1,MATCH(Z288,$A:$A,0)-1,O289)</f>
        <v>2</v>
      </c>
      <c r="Q289" s="141" t="s">
        <v>29</v>
      </c>
      <c r="R289" s="142">
        <f t="shared" ref="R289:R294" ca="1" si="87">T289</f>
        <v>467217</v>
      </c>
      <c r="S289" s="142">
        <f t="shared" ref="S289:S294" ca="1" si="88">U289</f>
        <v>934434</v>
      </c>
      <c r="T289" s="142">
        <f ca="1">기술사</f>
        <v>467217</v>
      </c>
      <c r="U289" s="142">
        <f t="shared" ref="U289:U294" ca="1" si="89">ROUNDDOWN(P289*R289,0)</f>
        <v>934434</v>
      </c>
      <c r="V289" s="142"/>
      <c r="W289" s="142"/>
      <c r="X289" s="142"/>
      <c r="Y289" s="142"/>
      <c r="Z289" s="114"/>
    </row>
    <row r="290" spans="11:26" ht="18" customHeight="1">
      <c r="K290" s="171" t="s">
        <v>14</v>
      </c>
      <c r="L290" s="171"/>
      <c r="M290" s="171"/>
      <c r="N290" s="143" t="s">
        <v>32</v>
      </c>
      <c r="O290" s="173">
        <v>4</v>
      </c>
      <c r="P290" s="234">
        <f ca="1">OFFSET($A$1,MATCH(Z288,$A:$A,0)-1,O290)</f>
        <v>2</v>
      </c>
      <c r="Q290" s="144" t="s">
        <v>29</v>
      </c>
      <c r="R290" s="118">
        <f t="shared" ca="1" si="87"/>
        <v>373353</v>
      </c>
      <c r="S290" s="118">
        <f t="shared" ca="1" si="88"/>
        <v>746706</v>
      </c>
      <c r="T290" s="118">
        <f ca="1">특급</f>
        <v>373353</v>
      </c>
      <c r="U290" s="118">
        <f t="shared" ca="1" si="89"/>
        <v>746706</v>
      </c>
      <c r="V290" s="118"/>
      <c r="W290" s="118"/>
      <c r="X290" s="118"/>
      <c r="Y290" s="118"/>
      <c r="Z290" s="115"/>
    </row>
    <row r="291" spans="11:26" ht="18" customHeight="1">
      <c r="K291" s="171" t="s">
        <v>14</v>
      </c>
      <c r="L291" s="171"/>
      <c r="M291" s="171"/>
      <c r="N291" s="145" t="s">
        <v>39</v>
      </c>
      <c r="O291" s="173">
        <v>5</v>
      </c>
      <c r="P291" s="234">
        <f ca="1">OFFSET($A$1,MATCH(Z288,$A:$A,0)-1,O291)</f>
        <v>2</v>
      </c>
      <c r="Q291" s="144" t="s">
        <v>29</v>
      </c>
      <c r="R291" s="118">
        <f t="shared" ca="1" si="87"/>
        <v>310884</v>
      </c>
      <c r="S291" s="118">
        <f t="shared" ca="1" si="88"/>
        <v>621768</v>
      </c>
      <c r="T291" s="118">
        <f ca="1">고급</f>
        <v>310884</v>
      </c>
      <c r="U291" s="118">
        <f t="shared" ca="1" si="89"/>
        <v>621768</v>
      </c>
      <c r="V291" s="118"/>
      <c r="W291" s="118"/>
      <c r="X291" s="118"/>
      <c r="Y291" s="118"/>
      <c r="Z291" s="115"/>
    </row>
    <row r="292" spans="11:26" ht="18" customHeight="1">
      <c r="K292" s="171" t="s">
        <v>14</v>
      </c>
      <c r="L292" s="171"/>
      <c r="M292" s="171"/>
      <c r="N292" s="145" t="s">
        <v>40</v>
      </c>
      <c r="O292" s="173">
        <v>6</v>
      </c>
      <c r="P292" s="234">
        <f ca="1">OFFSET($A$1,MATCH(Z288,$A:$A,0)-1,O292)</f>
        <v>4</v>
      </c>
      <c r="Q292" s="144" t="s">
        <v>29</v>
      </c>
      <c r="R292" s="118">
        <f t="shared" ca="1" si="87"/>
        <v>295138</v>
      </c>
      <c r="S292" s="118">
        <f t="shared" ca="1" si="88"/>
        <v>1180552</v>
      </c>
      <c r="T292" s="118">
        <f ca="1">중급</f>
        <v>295138</v>
      </c>
      <c r="U292" s="118">
        <f t="shared" ca="1" si="89"/>
        <v>1180552</v>
      </c>
      <c r="V292" s="118"/>
      <c r="W292" s="118"/>
      <c r="X292" s="118"/>
      <c r="Y292" s="118"/>
      <c r="Z292" s="115"/>
    </row>
    <row r="293" spans="11:26" ht="18" customHeight="1">
      <c r="K293" s="171" t="s">
        <v>14</v>
      </c>
      <c r="L293" s="171"/>
      <c r="M293" s="171"/>
      <c r="N293" s="145" t="s">
        <v>41</v>
      </c>
      <c r="O293" s="173">
        <v>7</v>
      </c>
      <c r="P293" s="234">
        <f ca="1">OFFSET($A$1,MATCH(Z288,$A:$A,0)-1,O293)</f>
        <v>4</v>
      </c>
      <c r="Q293" s="144" t="s">
        <v>29</v>
      </c>
      <c r="R293" s="118">
        <f t="shared" ca="1" si="87"/>
        <v>235459</v>
      </c>
      <c r="S293" s="118">
        <f t="shared" ca="1" si="88"/>
        <v>941836</v>
      </c>
      <c r="T293" s="118">
        <f ca="1">초급</f>
        <v>235459</v>
      </c>
      <c r="U293" s="118">
        <f t="shared" ca="1" si="89"/>
        <v>941836</v>
      </c>
      <c r="V293" s="118"/>
      <c r="W293" s="118"/>
      <c r="X293" s="118"/>
      <c r="Y293" s="118"/>
      <c r="Z293" s="115"/>
    </row>
    <row r="294" spans="11:26" ht="18" customHeight="1">
      <c r="K294" s="171" t="s">
        <v>14</v>
      </c>
      <c r="L294" s="171"/>
      <c r="M294" s="171"/>
      <c r="N294" s="319" t="s">
        <v>42</v>
      </c>
      <c r="O294" s="174">
        <v>8</v>
      </c>
      <c r="P294" s="235">
        <f ca="1">OFFSET($A$1,MATCH(Z288,$A:$A,0)-1,O294)</f>
        <v>4</v>
      </c>
      <c r="Q294" s="322" t="s">
        <v>29</v>
      </c>
      <c r="R294" s="323">
        <f t="shared" ca="1" si="87"/>
        <v>250087</v>
      </c>
      <c r="S294" s="323">
        <f t="shared" ca="1" si="88"/>
        <v>1000348</v>
      </c>
      <c r="T294" s="323">
        <f ca="1">보조원</f>
        <v>250087</v>
      </c>
      <c r="U294" s="323">
        <f t="shared" ca="1" si="89"/>
        <v>1000348</v>
      </c>
      <c r="V294" s="323"/>
      <c r="W294" s="323"/>
      <c r="X294" s="323"/>
      <c r="Y294" s="323"/>
      <c r="Z294" s="324"/>
    </row>
    <row r="295" spans="11:26" ht="18" customHeight="1">
      <c r="K295" s="171" t="s">
        <v>14</v>
      </c>
      <c r="L295" s="171"/>
      <c r="M295" s="171"/>
      <c r="N295" s="139" t="s">
        <v>17</v>
      </c>
      <c r="O295" s="68"/>
      <c r="P295" s="69"/>
      <c r="Q295" s="70"/>
      <c r="R295" s="71"/>
      <c r="S295" s="71">
        <f ca="1">SUBTOTAL(9,S289:S294)</f>
        <v>5425644</v>
      </c>
      <c r="T295" s="71"/>
      <c r="U295" s="71">
        <f ca="1">SUBTOTAL(9,U289:U294)</f>
        <v>5425644</v>
      </c>
      <c r="V295" s="71"/>
      <c r="W295" s="71"/>
      <c r="X295" s="71"/>
      <c r="Y295" s="71"/>
      <c r="Z295" s="68"/>
    </row>
    <row r="296" spans="11:26" ht="18" customHeight="1">
      <c r="K296" s="171" t="s">
        <v>14</v>
      </c>
      <c r="L296" s="171"/>
      <c r="M296" s="171"/>
      <c r="N296" s="318" t="str">
        <f ca="1">"제 " &amp; Z296 &amp; " 호표  "&amp; OFFSET($A$1,MATCH(Z296,$A:$A,0)-1,1)</f>
        <v>제 30 호표  7-3. 위원회심의 지원</v>
      </c>
      <c r="O296" s="221"/>
      <c r="P296" s="148"/>
      <c r="Q296" s="148"/>
      <c r="R296" s="149"/>
      <c r="S296" s="149"/>
      <c r="T296" s="149"/>
      <c r="U296" s="149"/>
      <c r="V296" s="149"/>
      <c r="W296" s="149"/>
      <c r="X296" s="149"/>
      <c r="Y296" s="149"/>
      <c r="Z296" s="325">
        <f>Z288+1</f>
        <v>30</v>
      </c>
    </row>
    <row r="297" spans="11:26" ht="18" customHeight="1">
      <c r="K297" s="171" t="s">
        <v>14</v>
      </c>
      <c r="L297" s="171"/>
      <c r="M297" s="171"/>
      <c r="N297" s="140" t="s">
        <v>43</v>
      </c>
      <c r="O297" s="172">
        <v>3</v>
      </c>
      <c r="P297" s="219">
        <f ca="1">OFFSET($A$1,MATCH(Z296,$A:$A,0)-1,O297)</f>
        <v>2</v>
      </c>
      <c r="Q297" s="141" t="s">
        <v>29</v>
      </c>
      <c r="R297" s="142">
        <f t="shared" ref="R297:R302" ca="1" si="90">T297</f>
        <v>467217</v>
      </c>
      <c r="S297" s="142">
        <f t="shared" ref="S297:S302" ca="1" si="91">U297</f>
        <v>934434</v>
      </c>
      <c r="T297" s="142">
        <f ca="1">기술사</f>
        <v>467217</v>
      </c>
      <c r="U297" s="142">
        <f t="shared" ref="U297:U302" ca="1" si="92">ROUNDDOWN(P297*R297,0)</f>
        <v>934434</v>
      </c>
      <c r="V297" s="142"/>
      <c r="W297" s="142"/>
      <c r="X297" s="142"/>
      <c r="Y297" s="142"/>
      <c r="Z297" s="114"/>
    </row>
    <row r="298" spans="11:26" ht="18" customHeight="1">
      <c r="K298" s="171" t="s">
        <v>14</v>
      </c>
      <c r="L298" s="171"/>
      <c r="M298" s="171"/>
      <c r="N298" s="143" t="s">
        <v>32</v>
      </c>
      <c r="O298" s="173">
        <v>4</v>
      </c>
      <c r="P298" s="234">
        <f ca="1">OFFSET($A$1,MATCH(Z296,$A:$A,0)-1,O298)</f>
        <v>2</v>
      </c>
      <c r="Q298" s="144" t="s">
        <v>29</v>
      </c>
      <c r="R298" s="118">
        <f t="shared" ca="1" si="90"/>
        <v>373353</v>
      </c>
      <c r="S298" s="118">
        <f t="shared" ca="1" si="91"/>
        <v>746706</v>
      </c>
      <c r="T298" s="118">
        <f ca="1">특급</f>
        <v>373353</v>
      </c>
      <c r="U298" s="118">
        <f t="shared" ca="1" si="92"/>
        <v>746706</v>
      </c>
      <c r="V298" s="118"/>
      <c r="W298" s="118"/>
      <c r="X298" s="118"/>
      <c r="Y298" s="118"/>
      <c r="Z298" s="115"/>
    </row>
    <row r="299" spans="11:26" ht="18" customHeight="1">
      <c r="K299" s="171" t="s">
        <v>14</v>
      </c>
      <c r="L299" s="171"/>
      <c r="M299" s="171"/>
      <c r="N299" s="145" t="s">
        <v>39</v>
      </c>
      <c r="O299" s="173">
        <v>5</v>
      </c>
      <c r="P299" s="234">
        <f ca="1">OFFSET($A$1,MATCH(Z296,$A:$A,0)-1,O299)</f>
        <v>2</v>
      </c>
      <c r="Q299" s="144" t="s">
        <v>29</v>
      </c>
      <c r="R299" s="118">
        <f t="shared" ca="1" si="90"/>
        <v>310884</v>
      </c>
      <c r="S299" s="118">
        <f t="shared" ca="1" si="91"/>
        <v>621768</v>
      </c>
      <c r="T299" s="118">
        <f ca="1">고급</f>
        <v>310884</v>
      </c>
      <c r="U299" s="118">
        <f t="shared" ca="1" si="92"/>
        <v>621768</v>
      </c>
      <c r="V299" s="118"/>
      <c r="W299" s="118"/>
      <c r="X299" s="118"/>
      <c r="Y299" s="118"/>
      <c r="Z299" s="115"/>
    </row>
    <row r="300" spans="11:26" ht="18" customHeight="1">
      <c r="K300" s="171" t="s">
        <v>14</v>
      </c>
      <c r="L300" s="171"/>
      <c r="M300" s="171"/>
      <c r="N300" s="145" t="s">
        <v>40</v>
      </c>
      <c r="O300" s="173">
        <v>6</v>
      </c>
      <c r="P300" s="234">
        <f ca="1">OFFSET($A$1,MATCH(Z296,$A:$A,0)-1,O300)</f>
        <v>4</v>
      </c>
      <c r="Q300" s="144" t="s">
        <v>29</v>
      </c>
      <c r="R300" s="118">
        <f t="shared" ca="1" si="90"/>
        <v>295138</v>
      </c>
      <c r="S300" s="118">
        <f t="shared" ca="1" si="91"/>
        <v>1180552</v>
      </c>
      <c r="T300" s="118">
        <f ca="1">중급</f>
        <v>295138</v>
      </c>
      <c r="U300" s="118">
        <f t="shared" ca="1" si="92"/>
        <v>1180552</v>
      </c>
      <c r="V300" s="118"/>
      <c r="W300" s="118"/>
      <c r="X300" s="118"/>
      <c r="Y300" s="118"/>
      <c r="Z300" s="115"/>
    </row>
    <row r="301" spans="11:26" ht="18" customHeight="1">
      <c r="K301" s="171" t="s">
        <v>14</v>
      </c>
      <c r="L301" s="171"/>
      <c r="M301" s="171"/>
      <c r="N301" s="145" t="s">
        <v>41</v>
      </c>
      <c r="O301" s="173">
        <v>7</v>
      </c>
      <c r="P301" s="234">
        <f ca="1">OFFSET($A$1,MATCH(Z296,$A:$A,0)-1,O301)</f>
        <v>4</v>
      </c>
      <c r="Q301" s="144" t="s">
        <v>29</v>
      </c>
      <c r="R301" s="118">
        <f t="shared" ca="1" si="90"/>
        <v>235459</v>
      </c>
      <c r="S301" s="118">
        <f t="shared" ca="1" si="91"/>
        <v>941836</v>
      </c>
      <c r="T301" s="118">
        <f ca="1">초급</f>
        <v>235459</v>
      </c>
      <c r="U301" s="118">
        <f t="shared" ca="1" si="92"/>
        <v>941836</v>
      </c>
      <c r="V301" s="118"/>
      <c r="W301" s="118"/>
      <c r="X301" s="118"/>
      <c r="Y301" s="118"/>
      <c r="Z301" s="115"/>
    </row>
    <row r="302" spans="11:26" ht="18" customHeight="1">
      <c r="K302" s="171" t="s">
        <v>14</v>
      </c>
      <c r="L302" s="171"/>
      <c r="M302" s="171"/>
      <c r="N302" s="319" t="s">
        <v>42</v>
      </c>
      <c r="O302" s="174">
        <v>8</v>
      </c>
      <c r="P302" s="235">
        <f ca="1">OFFSET($A$1,MATCH(Z296,$A:$A,0)-1,O302)</f>
        <v>4</v>
      </c>
      <c r="Q302" s="322" t="s">
        <v>29</v>
      </c>
      <c r="R302" s="323">
        <f t="shared" ca="1" si="90"/>
        <v>250087</v>
      </c>
      <c r="S302" s="323">
        <f t="shared" ca="1" si="91"/>
        <v>1000348</v>
      </c>
      <c r="T302" s="323">
        <f ca="1">보조원</f>
        <v>250087</v>
      </c>
      <c r="U302" s="323">
        <f t="shared" ca="1" si="92"/>
        <v>1000348</v>
      </c>
      <c r="V302" s="323"/>
      <c r="W302" s="323"/>
      <c r="X302" s="323"/>
      <c r="Y302" s="323"/>
      <c r="Z302" s="324"/>
    </row>
    <row r="303" spans="11:26" ht="18" customHeight="1">
      <c r="K303" s="171" t="s">
        <v>14</v>
      </c>
      <c r="L303" s="171"/>
      <c r="M303" s="171"/>
      <c r="N303" s="139" t="s">
        <v>17</v>
      </c>
      <c r="O303" s="68"/>
      <c r="P303" s="69"/>
      <c r="Q303" s="70"/>
      <c r="R303" s="71"/>
      <c r="S303" s="71">
        <f ca="1">SUBTOTAL(9,S297:S302)</f>
        <v>5425644</v>
      </c>
      <c r="T303" s="71"/>
      <c r="U303" s="71">
        <f ca="1">SUBTOTAL(9,U297:U302)</f>
        <v>5425644</v>
      </c>
      <c r="V303" s="71"/>
      <c r="W303" s="71"/>
      <c r="X303" s="71"/>
      <c r="Y303" s="71"/>
      <c r="Z303" s="68"/>
    </row>
    <row r="304" spans="11:26" ht="18" customHeight="1">
      <c r="K304" s="171" t="s">
        <v>14</v>
      </c>
      <c r="L304" s="171"/>
      <c r="M304" s="171"/>
      <c r="N304" s="318" t="str">
        <f ca="1">"제 " &amp; Z304 &amp; " 호표  "&amp; OFFSET($A$1,MATCH(Z304,$A:$A,0)-1,1)</f>
        <v>제 31 호표  7-4. 관계기관 협의</v>
      </c>
      <c r="O304" s="221"/>
      <c r="P304" s="148"/>
      <c r="Q304" s="148"/>
      <c r="R304" s="149"/>
      <c r="S304" s="149"/>
      <c r="T304" s="149"/>
      <c r="U304" s="149"/>
      <c r="V304" s="149"/>
      <c r="W304" s="149"/>
      <c r="X304" s="149"/>
      <c r="Y304" s="149"/>
      <c r="Z304" s="325">
        <f>Z296+1</f>
        <v>31</v>
      </c>
    </row>
    <row r="305" spans="11:26" ht="18" customHeight="1">
      <c r="K305" s="171" t="s">
        <v>14</v>
      </c>
      <c r="L305" s="171"/>
      <c r="M305" s="171"/>
      <c r="N305" s="140" t="s">
        <v>43</v>
      </c>
      <c r="O305" s="172">
        <v>3</v>
      </c>
      <c r="P305" s="219">
        <f ca="1">OFFSET($A$1,MATCH(Z304,$A:$A,0)-1,O305)</f>
        <v>2</v>
      </c>
      <c r="Q305" s="141" t="s">
        <v>29</v>
      </c>
      <c r="R305" s="142">
        <f t="shared" ref="R305:R310" ca="1" si="93">T305</f>
        <v>467217</v>
      </c>
      <c r="S305" s="142">
        <f t="shared" ref="S305:S310" ca="1" si="94">U305</f>
        <v>934434</v>
      </c>
      <c r="T305" s="142">
        <f ca="1">기술사</f>
        <v>467217</v>
      </c>
      <c r="U305" s="142">
        <f t="shared" ref="U305:U310" ca="1" si="95">ROUNDDOWN(P305*R305,0)</f>
        <v>934434</v>
      </c>
      <c r="V305" s="142"/>
      <c r="W305" s="142"/>
      <c r="X305" s="142"/>
      <c r="Y305" s="142"/>
      <c r="Z305" s="114"/>
    </row>
    <row r="306" spans="11:26" ht="18" customHeight="1">
      <c r="K306" s="171" t="s">
        <v>14</v>
      </c>
      <c r="L306" s="171"/>
      <c r="M306" s="171"/>
      <c r="N306" s="143" t="s">
        <v>32</v>
      </c>
      <c r="O306" s="173">
        <v>4</v>
      </c>
      <c r="P306" s="234">
        <f ca="1">OFFSET($A$1,MATCH(Z304,$A:$A,0)-1,O306)</f>
        <v>2</v>
      </c>
      <c r="Q306" s="144" t="s">
        <v>29</v>
      </c>
      <c r="R306" s="118">
        <f t="shared" ca="1" si="93"/>
        <v>373353</v>
      </c>
      <c r="S306" s="118">
        <f t="shared" ca="1" si="94"/>
        <v>746706</v>
      </c>
      <c r="T306" s="118">
        <f ca="1">특급</f>
        <v>373353</v>
      </c>
      <c r="U306" s="118">
        <f t="shared" ca="1" si="95"/>
        <v>746706</v>
      </c>
      <c r="V306" s="118"/>
      <c r="W306" s="118"/>
      <c r="X306" s="118"/>
      <c r="Y306" s="118"/>
      <c r="Z306" s="115"/>
    </row>
    <row r="307" spans="11:26" ht="18" customHeight="1">
      <c r="K307" s="171" t="s">
        <v>14</v>
      </c>
      <c r="L307" s="171"/>
      <c r="M307" s="171"/>
      <c r="N307" s="145" t="s">
        <v>39</v>
      </c>
      <c r="O307" s="173">
        <v>5</v>
      </c>
      <c r="P307" s="234">
        <f ca="1">OFFSET($A$1,MATCH(Z304,$A:$A,0)-1,O307)</f>
        <v>2</v>
      </c>
      <c r="Q307" s="144" t="s">
        <v>29</v>
      </c>
      <c r="R307" s="118">
        <f t="shared" ca="1" si="93"/>
        <v>310884</v>
      </c>
      <c r="S307" s="118">
        <f t="shared" ca="1" si="94"/>
        <v>621768</v>
      </c>
      <c r="T307" s="118">
        <f ca="1">고급</f>
        <v>310884</v>
      </c>
      <c r="U307" s="118">
        <f t="shared" ca="1" si="95"/>
        <v>621768</v>
      </c>
      <c r="V307" s="118"/>
      <c r="W307" s="118"/>
      <c r="X307" s="118"/>
      <c r="Y307" s="118"/>
      <c r="Z307" s="115"/>
    </row>
    <row r="308" spans="11:26" ht="18" customHeight="1">
      <c r="K308" s="171" t="s">
        <v>14</v>
      </c>
      <c r="L308" s="171"/>
      <c r="M308" s="171"/>
      <c r="N308" s="145" t="s">
        <v>40</v>
      </c>
      <c r="O308" s="173">
        <v>6</v>
      </c>
      <c r="P308" s="234">
        <f ca="1">OFFSET($A$1,MATCH(Z304,$A:$A,0)-1,O308)</f>
        <v>4</v>
      </c>
      <c r="Q308" s="144" t="s">
        <v>29</v>
      </c>
      <c r="R308" s="118">
        <f t="shared" ca="1" si="93"/>
        <v>295138</v>
      </c>
      <c r="S308" s="118">
        <f t="shared" ca="1" si="94"/>
        <v>1180552</v>
      </c>
      <c r="T308" s="118">
        <f ca="1">중급</f>
        <v>295138</v>
      </c>
      <c r="U308" s="118">
        <f t="shared" ca="1" si="95"/>
        <v>1180552</v>
      </c>
      <c r="V308" s="118"/>
      <c r="W308" s="118"/>
      <c r="X308" s="118"/>
      <c r="Y308" s="118"/>
      <c r="Z308" s="115"/>
    </row>
    <row r="309" spans="11:26" ht="18" customHeight="1">
      <c r="K309" s="171" t="s">
        <v>14</v>
      </c>
      <c r="L309" s="171"/>
      <c r="M309" s="171"/>
      <c r="N309" s="145" t="s">
        <v>41</v>
      </c>
      <c r="O309" s="173">
        <v>7</v>
      </c>
      <c r="P309" s="234">
        <f ca="1">OFFSET($A$1,MATCH(Z304,$A:$A,0)-1,O309)</f>
        <v>4</v>
      </c>
      <c r="Q309" s="144" t="s">
        <v>29</v>
      </c>
      <c r="R309" s="118">
        <f t="shared" ca="1" si="93"/>
        <v>235459</v>
      </c>
      <c r="S309" s="118">
        <f t="shared" ca="1" si="94"/>
        <v>941836</v>
      </c>
      <c r="T309" s="118">
        <f ca="1">초급</f>
        <v>235459</v>
      </c>
      <c r="U309" s="118">
        <f t="shared" ca="1" si="95"/>
        <v>941836</v>
      </c>
      <c r="V309" s="118"/>
      <c r="W309" s="118"/>
      <c r="X309" s="118"/>
      <c r="Y309" s="118"/>
      <c r="Z309" s="115"/>
    </row>
    <row r="310" spans="11:26" ht="18" customHeight="1">
      <c r="K310" s="171" t="s">
        <v>14</v>
      </c>
      <c r="L310" s="171"/>
      <c r="M310" s="171"/>
      <c r="N310" s="319" t="s">
        <v>42</v>
      </c>
      <c r="O310" s="174">
        <v>8</v>
      </c>
      <c r="P310" s="235">
        <f ca="1">OFFSET($A$1,MATCH(Z304,$A:$A,0)-1,O310)</f>
        <v>4</v>
      </c>
      <c r="Q310" s="322" t="s">
        <v>29</v>
      </c>
      <c r="R310" s="323">
        <f t="shared" ca="1" si="93"/>
        <v>250087</v>
      </c>
      <c r="S310" s="323">
        <f t="shared" ca="1" si="94"/>
        <v>1000348</v>
      </c>
      <c r="T310" s="323">
        <f ca="1">보조원</f>
        <v>250087</v>
      </c>
      <c r="U310" s="323">
        <f t="shared" ca="1" si="95"/>
        <v>1000348</v>
      </c>
      <c r="V310" s="323"/>
      <c r="W310" s="323"/>
      <c r="X310" s="323"/>
      <c r="Y310" s="323"/>
      <c r="Z310" s="324"/>
    </row>
    <row r="311" spans="11:26" ht="18" customHeight="1">
      <c r="K311" s="171" t="s">
        <v>14</v>
      </c>
      <c r="L311" s="171"/>
      <c r="M311" s="171"/>
      <c r="N311" s="139" t="s">
        <v>17</v>
      </c>
      <c r="O311" s="68"/>
      <c r="P311" s="69"/>
      <c r="Q311" s="70"/>
      <c r="R311" s="71"/>
      <c r="S311" s="71">
        <f ca="1">SUBTOTAL(9,S305:S310)</f>
        <v>5425644</v>
      </c>
      <c r="T311" s="71"/>
      <c r="U311" s="71">
        <f ca="1">SUBTOTAL(9,U305:U310)</f>
        <v>5425644</v>
      </c>
      <c r="V311" s="71"/>
      <c r="W311" s="71"/>
      <c r="X311" s="71"/>
      <c r="Y311" s="71"/>
      <c r="Z311" s="68"/>
    </row>
    <row r="312" spans="11:26" ht="18" customHeight="1">
      <c r="K312" s="171" t="s">
        <v>14</v>
      </c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spans="11:26" ht="18" customHeight="1">
      <c r="K313" s="171" t="s">
        <v>14</v>
      </c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spans="11:26" ht="18" customHeight="1">
      <c r="K314" s="171" t="s">
        <v>14</v>
      </c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spans="11:26" ht="18" customHeight="1">
      <c r="K315" s="171" t="s">
        <v>14</v>
      </c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spans="11:26" ht="18" customHeight="1">
      <c r="K316" s="171" t="s">
        <v>14</v>
      </c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spans="11:26" ht="18" customHeight="1">
      <c r="K317" s="171" t="s">
        <v>14</v>
      </c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spans="11:26" ht="18" customHeight="1">
      <c r="K318" s="171" t="s">
        <v>14</v>
      </c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spans="11:26" ht="18" customHeight="1">
      <c r="K319" s="171" t="s">
        <v>14</v>
      </c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spans="11:26" ht="18" customHeight="1">
      <c r="K320" s="171" t="s">
        <v>14</v>
      </c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spans="11:26" ht="18" customHeight="1">
      <c r="K321" s="171" t="s">
        <v>14</v>
      </c>
      <c r="L321" s="171"/>
      <c r="M321" s="171"/>
      <c r="N321" s="171"/>
      <c r="O321" s="171"/>
      <c r="P321" s="171"/>
      <c r="Q321" s="171"/>
      <c r="R321" s="171"/>
      <c r="S321" s="171"/>
      <c r="T321" s="171"/>
      <c r="U321" s="171"/>
      <c r="V321" s="171"/>
      <c r="W321" s="171"/>
      <c r="X321" s="171"/>
      <c r="Y321" s="171"/>
      <c r="Z321" s="171"/>
    </row>
    <row r="322" spans="11:26" ht="18" customHeight="1">
      <c r="K322" s="171" t="s">
        <v>14</v>
      </c>
      <c r="L322" s="171"/>
      <c r="M322" s="171"/>
      <c r="N322" s="171"/>
      <c r="O322" s="171"/>
      <c r="P322" s="171"/>
      <c r="Q322" s="171"/>
      <c r="R322" s="171"/>
      <c r="S322" s="171"/>
      <c r="T322" s="171"/>
      <c r="U322" s="171"/>
      <c r="V322" s="171"/>
      <c r="W322" s="171"/>
      <c r="X322" s="171"/>
      <c r="Y322" s="171"/>
      <c r="Z322" s="171"/>
    </row>
    <row r="323" spans="11:26" ht="18" customHeight="1">
      <c r="K323" s="171" t="s">
        <v>14</v>
      </c>
      <c r="L323" s="171"/>
      <c r="M323" s="171"/>
      <c r="N323" s="171"/>
      <c r="O323" s="171"/>
      <c r="P323" s="171"/>
      <c r="Q323" s="171"/>
      <c r="R323" s="171"/>
      <c r="S323" s="171"/>
      <c r="T323" s="171"/>
      <c r="U323" s="171"/>
      <c r="V323" s="171"/>
      <c r="W323" s="171"/>
      <c r="X323" s="171"/>
      <c r="Y323" s="171"/>
      <c r="Z323" s="171"/>
    </row>
    <row r="324" spans="11:26" ht="18" customHeight="1">
      <c r="K324" s="171" t="s">
        <v>14</v>
      </c>
      <c r="L324" s="171"/>
      <c r="M324" s="171"/>
      <c r="N324" s="171"/>
      <c r="O324" s="171"/>
      <c r="P324" s="171"/>
      <c r="Q324" s="171"/>
      <c r="R324" s="171"/>
      <c r="S324" s="171"/>
      <c r="T324" s="171"/>
      <c r="U324" s="171"/>
      <c r="V324" s="171"/>
      <c r="W324" s="171"/>
      <c r="X324" s="171"/>
      <c r="Y324" s="171"/>
      <c r="Z324" s="171"/>
    </row>
    <row r="325" spans="11:26" ht="18" customHeight="1">
      <c r="K325" s="171" t="s">
        <v>14</v>
      </c>
      <c r="L325" s="171"/>
      <c r="M325" s="171"/>
      <c r="N325" s="171"/>
      <c r="O325" s="171"/>
      <c r="P325" s="171"/>
      <c r="Q325" s="171"/>
      <c r="R325" s="171"/>
      <c r="S325" s="171"/>
      <c r="T325" s="171"/>
      <c r="U325" s="171"/>
      <c r="V325" s="171"/>
      <c r="W325" s="171"/>
      <c r="X325" s="171"/>
      <c r="Y325" s="171"/>
      <c r="Z325" s="171"/>
    </row>
    <row r="326" spans="11:26" ht="18" customHeight="1">
      <c r="K326" s="171" t="s">
        <v>14</v>
      </c>
      <c r="L326" s="171"/>
      <c r="M326" s="171"/>
      <c r="N326" s="171"/>
      <c r="O326" s="171"/>
      <c r="P326" s="171"/>
      <c r="Q326" s="171"/>
      <c r="R326" s="171"/>
      <c r="S326" s="171"/>
      <c r="T326" s="171"/>
      <c r="U326" s="171"/>
      <c r="V326" s="171"/>
      <c r="W326" s="171"/>
      <c r="X326" s="171"/>
      <c r="Y326" s="171"/>
      <c r="Z326" s="171"/>
    </row>
    <row r="327" spans="11:26" ht="18" customHeight="1">
      <c r="K327" s="171" t="s">
        <v>14</v>
      </c>
      <c r="L327" s="171"/>
      <c r="M327" s="171"/>
      <c r="N327" s="171"/>
      <c r="O327" s="171"/>
      <c r="P327" s="171"/>
      <c r="Q327" s="171"/>
      <c r="R327" s="171"/>
      <c r="S327" s="171"/>
      <c r="T327" s="171"/>
      <c r="U327" s="171"/>
      <c r="V327" s="171"/>
      <c r="W327" s="171"/>
      <c r="X327" s="171"/>
      <c r="Y327" s="171"/>
      <c r="Z327" s="171"/>
    </row>
    <row r="328" spans="11:26" ht="18" customHeight="1">
      <c r="K328" s="171" t="s">
        <v>14</v>
      </c>
      <c r="L328" s="171"/>
      <c r="M328" s="171"/>
      <c r="N328" s="171"/>
      <c r="O328" s="171"/>
      <c r="P328" s="171"/>
      <c r="Q328" s="171"/>
      <c r="R328" s="171"/>
      <c r="S328" s="171"/>
      <c r="T328" s="171"/>
      <c r="U328" s="171"/>
      <c r="V328" s="171"/>
      <c r="W328" s="171"/>
      <c r="X328" s="171"/>
      <c r="Y328" s="171"/>
      <c r="Z328" s="171"/>
    </row>
    <row r="329" spans="11:26" ht="18" customHeight="1">
      <c r="K329" s="171" t="s">
        <v>14</v>
      </c>
      <c r="L329" s="171"/>
      <c r="M329" s="171"/>
      <c r="N329" s="171"/>
      <c r="O329" s="171"/>
      <c r="P329" s="171"/>
      <c r="Q329" s="171"/>
      <c r="R329" s="171"/>
      <c r="S329" s="171"/>
      <c r="T329" s="171"/>
      <c r="U329" s="171"/>
      <c r="V329" s="171"/>
      <c r="W329" s="171"/>
      <c r="X329" s="171"/>
      <c r="Y329" s="171"/>
      <c r="Z329" s="171"/>
    </row>
    <row r="330" spans="11:26" ht="18" customHeight="1">
      <c r="K330" s="171" t="s">
        <v>14</v>
      </c>
      <c r="L330" s="171"/>
      <c r="M330" s="171"/>
      <c r="N330" s="171"/>
      <c r="O330" s="171"/>
      <c r="P330" s="171"/>
      <c r="Q330" s="171"/>
      <c r="R330" s="171"/>
      <c r="S330" s="171"/>
      <c r="T330" s="171"/>
      <c r="U330" s="171"/>
      <c r="V330" s="171"/>
      <c r="W330" s="171"/>
      <c r="X330" s="171"/>
      <c r="Y330" s="171"/>
      <c r="Z330" s="171"/>
    </row>
    <row r="331" spans="11:26" ht="18" customHeight="1">
      <c r="K331" s="171" t="s">
        <v>14</v>
      </c>
      <c r="L331" s="171"/>
      <c r="M331" s="171"/>
      <c r="N331" s="171"/>
      <c r="O331" s="171"/>
      <c r="P331" s="171"/>
      <c r="Q331" s="171"/>
      <c r="R331" s="171"/>
      <c r="S331" s="171"/>
      <c r="T331" s="171"/>
      <c r="U331" s="171"/>
      <c r="V331" s="171"/>
      <c r="W331" s="171"/>
      <c r="X331" s="171"/>
      <c r="Y331" s="171"/>
      <c r="Z331" s="171"/>
    </row>
    <row r="332" spans="11:26" ht="18" customHeight="1">
      <c r="K332" s="171" t="s">
        <v>14</v>
      </c>
      <c r="L332" s="171"/>
      <c r="M332" s="171"/>
      <c r="N332" s="171"/>
      <c r="O332" s="171"/>
      <c r="P332" s="171"/>
      <c r="Q332" s="171"/>
      <c r="R332" s="171"/>
      <c r="S332" s="171"/>
      <c r="T332" s="171"/>
      <c r="U332" s="171"/>
      <c r="V332" s="171"/>
      <c r="W332" s="171"/>
      <c r="X332" s="171"/>
      <c r="Y332" s="171"/>
      <c r="Z332" s="171"/>
    </row>
    <row r="333" spans="11:26" ht="18" customHeight="1">
      <c r="K333" s="171" t="s">
        <v>14</v>
      </c>
      <c r="L333" s="171"/>
      <c r="M333" s="171"/>
      <c r="N333" s="171"/>
      <c r="O333" s="171"/>
      <c r="P333" s="171"/>
      <c r="Q333" s="171"/>
      <c r="R333" s="171"/>
      <c r="S333" s="171"/>
      <c r="T333" s="171"/>
      <c r="U333" s="171"/>
      <c r="V333" s="171"/>
      <c r="W333" s="171"/>
      <c r="X333" s="171"/>
      <c r="Y333" s="171"/>
      <c r="Z333" s="171"/>
    </row>
    <row r="334" spans="11:26" ht="18" customHeight="1">
      <c r="K334" s="171" t="s">
        <v>14</v>
      </c>
      <c r="L334" s="171"/>
      <c r="M334" s="171"/>
      <c r="N334" s="171"/>
      <c r="O334" s="171"/>
      <c r="P334" s="171"/>
      <c r="Q334" s="171"/>
      <c r="R334" s="171"/>
      <c r="S334" s="171"/>
      <c r="T334" s="171"/>
      <c r="U334" s="171"/>
      <c r="V334" s="171"/>
      <c r="W334" s="171"/>
      <c r="X334" s="171"/>
      <c r="Y334" s="171"/>
      <c r="Z334" s="171"/>
    </row>
    <row r="335" spans="11:26" ht="18" customHeight="1">
      <c r="K335" s="171" t="s">
        <v>14</v>
      </c>
      <c r="L335" s="171"/>
      <c r="M335" s="171"/>
      <c r="N335" s="171"/>
      <c r="O335" s="171"/>
      <c r="P335" s="171"/>
      <c r="Q335" s="171"/>
      <c r="R335" s="171"/>
      <c r="S335" s="171"/>
      <c r="T335" s="171"/>
      <c r="U335" s="171"/>
      <c r="V335" s="171"/>
      <c r="W335" s="171"/>
      <c r="X335" s="171"/>
      <c r="Y335" s="171"/>
      <c r="Z335" s="171"/>
    </row>
    <row r="336" spans="11:26" ht="18" customHeight="1">
      <c r="K336" s="171" t="s">
        <v>14</v>
      </c>
      <c r="L336" s="171"/>
      <c r="M336" s="171"/>
      <c r="N336" s="171"/>
      <c r="O336" s="171"/>
      <c r="P336" s="171"/>
      <c r="Q336" s="171"/>
      <c r="R336" s="171"/>
      <c r="S336" s="171"/>
      <c r="T336" s="171"/>
      <c r="U336" s="171"/>
      <c r="V336" s="171"/>
      <c r="W336" s="171"/>
      <c r="X336" s="171"/>
      <c r="Y336" s="171"/>
      <c r="Z336" s="171"/>
    </row>
    <row r="337" spans="11:26" ht="18" customHeight="1">
      <c r="K337" s="171" t="s">
        <v>14</v>
      </c>
      <c r="L337" s="171"/>
      <c r="M337" s="171"/>
      <c r="N337" s="171"/>
      <c r="O337" s="171"/>
      <c r="P337" s="171"/>
      <c r="Q337" s="171"/>
      <c r="R337" s="171"/>
      <c r="S337" s="171"/>
      <c r="T337" s="171"/>
      <c r="U337" s="171"/>
      <c r="V337" s="171"/>
      <c r="W337" s="171"/>
      <c r="X337" s="171"/>
      <c r="Y337" s="171"/>
      <c r="Z337" s="171"/>
    </row>
    <row r="338" spans="11:26" ht="18" customHeight="1">
      <c r="K338" s="171" t="s">
        <v>14</v>
      </c>
      <c r="L338" s="171"/>
      <c r="M338" s="171"/>
      <c r="N338" s="171"/>
      <c r="O338" s="171"/>
      <c r="P338" s="171"/>
      <c r="Q338" s="171"/>
      <c r="R338" s="171"/>
      <c r="S338" s="171"/>
      <c r="T338" s="171"/>
      <c r="U338" s="171"/>
      <c r="V338" s="171"/>
      <c r="W338" s="171"/>
      <c r="X338" s="171"/>
      <c r="Y338" s="171"/>
      <c r="Z338" s="171"/>
    </row>
    <row r="339" spans="11:26" ht="18" customHeight="1">
      <c r="K339" s="171" t="s">
        <v>14</v>
      </c>
      <c r="L339" s="171"/>
      <c r="M339" s="171"/>
      <c r="N339" s="171"/>
      <c r="O339" s="171"/>
      <c r="P339" s="171"/>
      <c r="Q339" s="171"/>
      <c r="R339" s="171"/>
      <c r="S339" s="171"/>
      <c r="T339" s="171"/>
      <c r="U339" s="171"/>
      <c r="V339" s="171"/>
      <c r="W339" s="171"/>
      <c r="X339" s="171"/>
      <c r="Y339" s="171"/>
      <c r="Z339" s="171"/>
    </row>
    <row r="340" spans="11:26" ht="18" customHeight="1">
      <c r="K340" s="171" t="s">
        <v>14</v>
      </c>
      <c r="L340" s="171"/>
      <c r="M340" s="171"/>
    </row>
    <row r="341" spans="11:26" ht="18" customHeight="1">
      <c r="K341" s="171" t="s">
        <v>14</v>
      </c>
      <c r="L341" s="171"/>
      <c r="M341" s="171"/>
    </row>
    <row r="342" spans="11:26" ht="18" customHeight="1">
      <c r="K342" s="171" t="s">
        <v>14</v>
      </c>
      <c r="L342" s="171"/>
      <c r="M342" s="171"/>
    </row>
    <row r="343" spans="11:26" ht="18" customHeight="1">
      <c r="K343" s="171" t="s">
        <v>14</v>
      </c>
      <c r="L343" s="171"/>
      <c r="M343" s="171"/>
    </row>
    <row r="344" spans="11:26" ht="18" customHeight="1">
      <c r="K344" s="171" t="s">
        <v>14</v>
      </c>
      <c r="L344" s="171"/>
      <c r="M344" s="171"/>
    </row>
    <row r="345" spans="11:26" ht="18" customHeight="1">
      <c r="K345" s="171" t="s">
        <v>14</v>
      </c>
      <c r="L345" s="171"/>
      <c r="M345" s="171"/>
    </row>
    <row r="346" spans="11:26" ht="18" customHeight="1">
      <c r="K346" s="171" t="s">
        <v>14</v>
      </c>
      <c r="L346" s="171"/>
      <c r="M346" s="171"/>
    </row>
    <row r="347" spans="11:26" ht="18" customHeight="1">
      <c r="K347" s="171" t="s">
        <v>14</v>
      </c>
      <c r="L347" s="171"/>
      <c r="M347" s="171"/>
    </row>
    <row r="348" spans="11:26" ht="18" customHeight="1">
      <c r="K348" s="171" t="s">
        <v>14</v>
      </c>
      <c r="L348" s="171"/>
      <c r="M348" s="171"/>
    </row>
    <row r="349" spans="11:26" ht="18" customHeight="1">
      <c r="K349" s="171" t="s">
        <v>14</v>
      </c>
      <c r="L349" s="171"/>
      <c r="M349" s="171"/>
    </row>
    <row r="350" spans="11:26" ht="18" customHeight="1">
      <c r="K350" s="171" t="s">
        <v>14</v>
      </c>
      <c r="L350" s="171"/>
      <c r="M350" s="171"/>
    </row>
    <row r="351" spans="11:26" ht="18" customHeight="1">
      <c r="K351" s="171" t="s">
        <v>14</v>
      </c>
      <c r="L351" s="171"/>
      <c r="M351" s="171"/>
    </row>
    <row r="352" spans="11:26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</row>
    <row r="753" spans="11:12" ht="18" customHeight="1">
      <c r="K753" s="171" t="s">
        <v>14</v>
      </c>
      <c r="L753" s="171"/>
    </row>
    <row r="754" spans="11:12" ht="18" customHeight="1">
      <c r="K754" s="171" t="s">
        <v>14</v>
      </c>
      <c r="L754" s="171"/>
    </row>
    <row r="755" spans="11:12" ht="18" customHeight="1">
      <c r="K755" s="171" t="s">
        <v>14</v>
      </c>
      <c r="L755" s="171"/>
    </row>
    <row r="756" spans="11:12" ht="18" customHeight="1">
      <c r="K756" s="171" t="s">
        <v>14</v>
      </c>
      <c r="L756" s="171"/>
    </row>
    <row r="757" spans="11:12" ht="18" customHeight="1">
      <c r="K757" s="171" t="s">
        <v>14</v>
      </c>
      <c r="L757" s="171"/>
    </row>
    <row r="758" spans="11:12" ht="18" customHeight="1">
      <c r="K758" s="171" t="s">
        <v>14</v>
      </c>
      <c r="L758" s="171"/>
    </row>
    <row r="759" spans="11:12" ht="18" customHeight="1">
      <c r="K759" s="171" t="s">
        <v>14</v>
      </c>
      <c r="L759" s="171"/>
    </row>
    <row r="760" spans="11:12" ht="18" customHeight="1">
      <c r="K760" s="171" t="s">
        <v>14</v>
      </c>
      <c r="L760" s="171"/>
    </row>
    <row r="761" spans="11:12" ht="18" customHeight="1">
      <c r="K761" s="171" t="s">
        <v>14</v>
      </c>
      <c r="L761" s="171"/>
    </row>
    <row r="762" spans="11:12" ht="18" customHeight="1">
      <c r="K762" s="171" t="s">
        <v>14</v>
      </c>
      <c r="L762" s="171"/>
    </row>
    <row r="763" spans="11:12" ht="18" customHeight="1">
      <c r="K763" s="171" t="s">
        <v>14</v>
      </c>
      <c r="L763" s="171"/>
    </row>
    <row r="764" spans="11:12" ht="18" customHeight="1">
      <c r="K764" s="171" t="s">
        <v>14</v>
      </c>
      <c r="L764" s="171"/>
    </row>
    <row r="765" spans="11:12" ht="18" customHeight="1">
      <c r="K765" s="171" t="s">
        <v>14</v>
      </c>
      <c r="L765" s="171"/>
    </row>
    <row r="766" spans="11:12" ht="18" customHeight="1">
      <c r="K766" s="171" t="s">
        <v>14</v>
      </c>
      <c r="L766" s="171"/>
    </row>
    <row r="767" spans="11:12" ht="18" customHeight="1">
      <c r="K767" s="171" t="s">
        <v>14</v>
      </c>
      <c r="L767" s="171"/>
    </row>
    <row r="768" spans="11:12" ht="18" customHeight="1">
      <c r="K768" s="171" t="s">
        <v>14</v>
      </c>
      <c r="L768" s="171"/>
    </row>
    <row r="769" spans="11:12" ht="18" customHeight="1">
      <c r="K769" s="171" t="s">
        <v>14</v>
      </c>
      <c r="L769" s="171"/>
    </row>
    <row r="770" spans="11:12" ht="18" customHeight="1">
      <c r="K770" s="171" t="s">
        <v>14</v>
      </c>
      <c r="L770" s="171"/>
    </row>
    <row r="771" spans="11:12" ht="18" customHeight="1">
      <c r="K771" s="171" t="s">
        <v>14</v>
      </c>
      <c r="L771" s="171"/>
    </row>
    <row r="772" spans="11:12" ht="18" customHeight="1">
      <c r="K772" s="171" t="s">
        <v>14</v>
      </c>
      <c r="L772" s="171"/>
    </row>
    <row r="773" spans="11:12" ht="18" customHeight="1">
      <c r="K773" s="171" t="s">
        <v>14</v>
      </c>
      <c r="L773" s="171"/>
    </row>
    <row r="774" spans="11:12" ht="18" customHeight="1">
      <c r="K774" s="171" t="s">
        <v>14</v>
      </c>
      <c r="L774" s="171"/>
    </row>
    <row r="775" spans="11:12" ht="18" customHeight="1">
      <c r="K775" s="171" t="s">
        <v>14</v>
      </c>
      <c r="L775" s="171"/>
    </row>
    <row r="776" spans="11:12" ht="18" customHeight="1">
      <c r="K776" s="171" t="s">
        <v>14</v>
      </c>
      <c r="L776" s="171"/>
    </row>
    <row r="777" spans="11:12" ht="18" customHeight="1">
      <c r="K777" s="171" t="s">
        <v>14</v>
      </c>
      <c r="L777" s="171"/>
    </row>
    <row r="778" spans="11:12" ht="18" customHeight="1">
      <c r="K778" s="171" t="s">
        <v>14</v>
      </c>
      <c r="L778" s="171"/>
    </row>
    <row r="779" spans="11:12" ht="18" customHeight="1">
      <c r="K779" s="171" t="s">
        <v>14</v>
      </c>
      <c r="L779" s="171"/>
    </row>
    <row r="780" spans="11:12" ht="18" customHeight="1">
      <c r="K780" s="171" t="s">
        <v>14</v>
      </c>
      <c r="L780" s="171"/>
    </row>
    <row r="781" spans="11:12" ht="18" customHeight="1">
      <c r="K781" s="171" t="s">
        <v>14</v>
      </c>
      <c r="L781" s="171"/>
    </row>
    <row r="782" spans="11:12" ht="18" customHeight="1">
      <c r="K782" s="171" t="s">
        <v>14</v>
      </c>
      <c r="L782" s="171"/>
    </row>
  </sheetData>
  <mergeCells count="17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Q62:Q63"/>
    <mergeCell ref="Z62:Z63"/>
    <mergeCell ref="B11:C12"/>
    <mergeCell ref="J11:J12"/>
    <mergeCell ref="L11:L12"/>
    <mergeCell ref="N62:N63"/>
    <mergeCell ref="O62:O63"/>
    <mergeCell ref="P62:P63"/>
  </mergeCells>
  <phoneticPr fontId="14" type="noConversion"/>
  <conditionalFormatting sqref="V13:V51">
    <cfRule type="cellIs" dxfId="7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6">
    <tabColor rgb="FFFFC000"/>
    <pageSetUpPr fitToPage="1"/>
  </sheetPr>
  <dimension ref="A1:AC778"/>
  <sheetViews>
    <sheetView showGridLines="0" zoomScale="85" zoomScaleNormal="85" zoomScaleSheetLayoutView="75" workbookViewId="0">
      <selection activeCell="B4" sqref="B4:C4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242</v>
      </c>
    </row>
    <row r="2" spans="1:26" ht="19.5" thickBot="1">
      <c r="B2" s="66" t="s">
        <v>1</v>
      </c>
    </row>
    <row r="3" spans="1:26" ht="18" customHeight="1">
      <c r="B3" s="773" t="s">
        <v>432</v>
      </c>
      <c r="C3" s="774"/>
      <c r="D3" s="775">
        <v>50</v>
      </c>
      <c r="E3" s="776"/>
      <c r="F3" s="44" t="s">
        <v>243</v>
      </c>
      <c r="G3" s="767" t="s">
        <v>1104</v>
      </c>
      <c r="H3" s="768"/>
      <c r="I3" s="656">
        <v>2</v>
      </c>
      <c r="J3" s="669" t="s">
        <v>1105</v>
      </c>
      <c r="P3" s="6"/>
      <c r="Q3" s="6"/>
      <c r="X3" s="1"/>
      <c r="Y3" s="1"/>
    </row>
    <row r="4" spans="1:26" ht="18" customHeight="1">
      <c r="B4" s="777" t="s">
        <v>1210</v>
      </c>
      <c r="C4" s="778"/>
      <c r="D4" s="779">
        <v>50</v>
      </c>
      <c r="E4" s="780"/>
      <c r="F4" s="65" t="str">
        <f>F3</f>
        <v>만인</v>
      </c>
      <c r="G4" s="769" t="s">
        <v>1109</v>
      </c>
      <c r="H4" s="770"/>
      <c r="I4" s="298">
        <v>2</v>
      </c>
      <c r="J4" s="670" t="s">
        <v>1141</v>
      </c>
      <c r="P4" s="6"/>
      <c r="Q4" s="6"/>
      <c r="X4" s="1"/>
      <c r="Y4" s="1"/>
    </row>
    <row r="5" spans="1:26" ht="18" customHeight="1" thickBot="1">
      <c r="B5" s="781" t="s">
        <v>244</v>
      </c>
      <c r="C5" s="782"/>
      <c r="D5" s="783">
        <f>ROUND((IF(D4&lt;=50,50,D4)/D3)^0.5,3)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  <c r="P5" s="6"/>
      <c r="Q5" s="6"/>
      <c r="X5" s="1"/>
      <c r="Y5" s="1"/>
    </row>
    <row r="6" spans="1:26" ht="18" customHeight="1">
      <c r="A6" s="358"/>
      <c r="B6" s="9" t="s">
        <v>1140</v>
      </c>
      <c r="C6" s="36"/>
      <c r="D6" s="36"/>
      <c r="E6" s="36"/>
      <c r="F6" s="36"/>
      <c r="G6" s="9" t="s">
        <v>1107</v>
      </c>
      <c r="H6" s="36"/>
    </row>
    <row r="7" spans="1:26" ht="18" customHeight="1">
      <c r="B7" s="9"/>
      <c r="C7" s="9" t="s">
        <v>1139</v>
      </c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SUBTOTAL(9,W11:W55)</f>
        <v>2186626470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SUBTOTAL(9,W12:W52)</f>
        <v>876553899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648" t="s">
        <v>33</v>
      </c>
      <c r="E12" s="662" t="s">
        <v>34</v>
      </c>
      <c r="F12" s="662" t="s">
        <v>35</v>
      </c>
      <c r="G12" s="662" t="s">
        <v>36</v>
      </c>
      <c r="H12" s="662" t="s">
        <v>37</v>
      </c>
      <c r="I12" s="649" t="s">
        <v>38</v>
      </c>
      <c r="J12" s="785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SUBTOTAL(9,W19:W47)</f>
        <v>729845444</v>
      </c>
      <c r="X12" s="160"/>
      <c r="Y12" s="168"/>
      <c r="Z12" s="168"/>
    </row>
    <row r="13" spans="1:26" ht="18" customHeight="1">
      <c r="B13" s="225" t="s">
        <v>1111</v>
      </c>
      <c r="C13" s="72"/>
      <c r="D13" s="402">
        <f t="shared" ref="D13:I13" si="0">SUBTOTAL(9,D14:D18)</f>
        <v>10</v>
      </c>
      <c r="E13" s="403">
        <f t="shared" si="0"/>
        <v>16</v>
      </c>
      <c r="F13" s="403">
        <f t="shared" si="0"/>
        <v>58.5</v>
      </c>
      <c r="G13" s="403">
        <f t="shared" si="0"/>
        <v>133.19999999999999</v>
      </c>
      <c r="H13" s="403">
        <f t="shared" si="0"/>
        <v>142.70000000000002</v>
      </c>
      <c r="I13" s="404">
        <f t="shared" si="0"/>
        <v>155.80000000000001</v>
      </c>
      <c r="J13" s="654"/>
      <c r="L13" s="233"/>
      <c r="N13" s="292" t="s">
        <v>1142</v>
      </c>
      <c r="O13" s="37"/>
      <c r="P13" s="39"/>
      <c r="Q13" s="37"/>
      <c r="R13" s="117"/>
      <c r="S13" s="37"/>
      <c r="T13" s="37"/>
      <c r="U13" s="226"/>
      <c r="V13" s="231"/>
      <c r="W13" s="195">
        <f ca="1">SUBTOTAL(9,W14:W18)</f>
        <v>140708455</v>
      </c>
      <c r="X13" s="196"/>
      <c r="Y13" s="150"/>
      <c r="Z13" s="150"/>
    </row>
    <row r="14" spans="1:26" ht="18" customHeight="1">
      <c r="B14" s="223" t="s">
        <v>1113</v>
      </c>
      <c r="C14" s="23"/>
      <c r="D14" s="197">
        <v>2</v>
      </c>
      <c r="E14" s="198">
        <v>3.2</v>
      </c>
      <c r="F14" s="198">
        <v>11.7</v>
      </c>
      <c r="G14" s="198">
        <v>22.2</v>
      </c>
      <c r="H14" s="198">
        <v>23.8</v>
      </c>
      <c r="I14" s="199">
        <v>26</v>
      </c>
      <c r="J14" s="389" t="s">
        <v>1209</v>
      </c>
      <c r="L14" s="233">
        <v>1</v>
      </c>
      <c r="N14" s="296" t="s">
        <v>1146</v>
      </c>
      <c r="O14" s="37"/>
      <c r="P14" s="39"/>
      <c r="Q14" s="37"/>
      <c r="R14" s="117"/>
      <c r="S14" s="37"/>
      <c r="T14" s="37"/>
      <c r="U14" s="226"/>
      <c r="V14" s="231"/>
      <c r="W14" s="153">
        <f t="array" aca="1" ref="W14" ca="1">SUM((ROUNDDOWN((D50:I50)*단가,0)))</f>
        <v>24424754</v>
      </c>
      <c r="X14" s="154"/>
      <c r="Y14" s="150" t="str">
        <f>IF(A50&gt;0, "제 " &amp;A50&amp; " 호표","")</f>
        <v>제 1 호표</v>
      </c>
      <c r="Z14" s="150"/>
    </row>
    <row r="15" spans="1:26" ht="18" customHeight="1">
      <c r="B15" s="223" t="s">
        <v>1114</v>
      </c>
      <c r="C15" s="23"/>
      <c r="D15" s="197">
        <v>2</v>
      </c>
      <c r="E15" s="198">
        <v>3.2</v>
      </c>
      <c r="F15" s="198">
        <v>11.7</v>
      </c>
      <c r="G15" s="198">
        <v>29.6</v>
      </c>
      <c r="H15" s="198">
        <v>31.7</v>
      </c>
      <c r="I15" s="199">
        <v>34.6</v>
      </c>
      <c r="J15" s="389" t="s">
        <v>1090</v>
      </c>
      <c r="L15" s="233">
        <v>1</v>
      </c>
      <c r="N15" s="296" t="s">
        <v>1147</v>
      </c>
      <c r="O15" s="37"/>
      <c r="P15" s="39"/>
      <c r="Q15" s="37"/>
      <c r="R15" s="117"/>
      <c r="S15" s="37"/>
      <c r="T15" s="37"/>
      <c r="U15" s="226"/>
      <c r="V15" s="231"/>
      <c r="W15" s="153">
        <f t="array" aca="1" ref="W15" ca="1">SUM((ROUNDDOWN((D51:I51)*단가,0)))</f>
        <v>30619649</v>
      </c>
      <c r="X15" s="154"/>
      <c r="Y15" s="150" t="str">
        <f t="shared" ref="Y15:Y47" si="1">IF(A51&gt;0, "제 " &amp;A51&amp; " 호표","")</f>
        <v>제 2 호표</v>
      </c>
      <c r="Z15" s="150"/>
    </row>
    <row r="16" spans="1:26" ht="18" customHeight="1">
      <c r="B16" s="223" t="s">
        <v>1115</v>
      </c>
      <c r="C16" s="23"/>
      <c r="D16" s="197">
        <v>2</v>
      </c>
      <c r="E16" s="198">
        <v>3.2</v>
      </c>
      <c r="F16" s="198">
        <v>11.7</v>
      </c>
      <c r="G16" s="198">
        <v>29.6</v>
      </c>
      <c r="H16" s="198">
        <v>31.7</v>
      </c>
      <c r="I16" s="199">
        <v>34.6</v>
      </c>
      <c r="J16" s="389" t="s">
        <v>1090</v>
      </c>
      <c r="L16" s="233">
        <v>1</v>
      </c>
      <c r="N16" s="296" t="s">
        <v>1148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SUM((ROUNDDOWN((D52:I52)*단가,0)))</f>
        <v>30619649</v>
      </c>
      <c r="X16" s="154"/>
      <c r="Y16" s="150" t="str">
        <f t="shared" si="1"/>
        <v>제 3 호표</v>
      </c>
      <c r="Z16" s="150"/>
    </row>
    <row r="17" spans="2:26" ht="18" customHeight="1">
      <c r="B17" s="223" t="s">
        <v>1116</v>
      </c>
      <c r="C17" s="23"/>
      <c r="D17" s="197">
        <v>2</v>
      </c>
      <c r="E17" s="198">
        <v>3.2</v>
      </c>
      <c r="F17" s="198">
        <v>11.7</v>
      </c>
      <c r="G17" s="198">
        <v>29.6</v>
      </c>
      <c r="H17" s="198">
        <v>31.7</v>
      </c>
      <c r="I17" s="199">
        <v>34.6</v>
      </c>
      <c r="J17" s="389" t="s">
        <v>1090</v>
      </c>
      <c r="L17" s="233">
        <v>1</v>
      </c>
      <c r="N17" s="296" t="s">
        <v>1149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SUM((ROUNDDOWN((D53:I53)*단가,0)))</f>
        <v>30619649</v>
      </c>
      <c r="X17" s="154"/>
      <c r="Y17" s="150" t="str">
        <f t="shared" si="1"/>
        <v>제 4 호표</v>
      </c>
      <c r="Z17" s="150"/>
    </row>
    <row r="18" spans="2:26" ht="18" customHeight="1">
      <c r="B18" s="224" t="s">
        <v>1117</v>
      </c>
      <c r="C18" s="27"/>
      <c r="D18" s="200">
        <v>2</v>
      </c>
      <c r="E18" s="201">
        <v>3.2</v>
      </c>
      <c r="F18" s="201">
        <v>11.7</v>
      </c>
      <c r="G18" s="201">
        <v>22.2</v>
      </c>
      <c r="H18" s="201">
        <v>23.8</v>
      </c>
      <c r="I18" s="202">
        <v>26</v>
      </c>
      <c r="J18" s="390" t="s">
        <v>1090</v>
      </c>
      <c r="L18" s="233">
        <v>1</v>
      </c>
      <c r="N18" s="296" t="s">
        <v>1150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SUM((ROUNDDOWN((D54:I54)*단가,0)))</f>
        <v>24424754</v>
      </c>
      <c r="X18" s="154"/>
      <c r="Y18" s="150" t="str">
        <f t="shared" si="1"/>
        <v>제 5 호표</v>
      </c>
      <c r="Z18" s="150"/>
    </row>
    <row r="19" spans="2:26" ht="18" customHeight="1">
      <c r="B19" s="252" t="s">
        <v>1112</v>
      </c>
      <c r="C19" s="253"/>
      <c r="D19" s="663">
        <f t="shared" ref="D19:I19" si="2">SUBTOTAL(9,D20:D22)</f>
        <v>6</v>
      </c>
      <c r="E19" s="664">
        <f t="shared" si="2"/>
        <v>9.6000000000000014</v>
      </c>
      <c r="F19" s="664">
        <f t="shared" si="2"/>
        <v>19.600000000000001</v>
      </c>
      <c r="G19" s="664">
        <f t="shared" si="2"/>
        <v>29.6</v>
      </c>
      <c r="H19" s="664">
        <f t="shared" si="2"/>
        <v>31.6</v>
      </c>
      <c r="I19" s="665">
        <f t="shared" si="2"/>
        <v>34.700000000000003</v>
      </c>
      <c r="J19" s="389"/>
      <c r="L19" s="232"/>
      <c r="N19" s="294" t="s">
        <v>1151</v>
      </c>
      <c r="O19" s="169"/>
      <c r="P19" s="169"/>
      <c r="Q19" s="169"/>
      <c r="R19" s="169"/>
      <c r="S19" s="169"/>
      <c r="T19" s="169"/>
      <c r="U19" s="226"/>
      <c r="V19" s="248"/>
      <c r="W19" s="193">
        <f ca="1">SUBTOTAL(9,W20:W22)</f>
        <v>37335419</v>
      </c>
      <c r="X19" s="194"/>
      <c r="Y19" s="170"/>
      <c r="Z19" s="170"/>
    </row>
    <row r="20" spans="2:26" ht="18" customHeight="1">
      <c r="B20" s="223" t="s">
        <v>1118</v>
      </c>
      <c r="C20" s="23"/>
      <c r="D20" s="197">
        <v>2</v>
      </c>
      <c r="E20" s="198">
        <v>3.2</v>
      </c>
      <c r="F20" s="198">
        <v>5.9</v>
      </c>
      <c r="G20" s="198">
        <v>7.4</v>
      </c>
      <c r="H20" s="198">
        <v>7.9</v>
      </c>
      <c r="I20" s="199">
        <v>8.6999999999999993</v>
      </c>
      <c r="J20" s="389" t="s">
        <v>1090</v>
      </c>
      <c r="L20" s="233">
        <v>1</v>
      </c>
      <c r="N20" s="296" t="s">
        <v>1143</v>
      </c>
      <c r="O20" s="37"/>
      <c r="P20" s="37"/>
      <c r="Q20" s="37"/>
      <c r="R20" s="37"/>
      <c r="S20" s="37"/>
      <c r="T20" s="37"/>
      <c r="U20" s="226"/>
      <c r="V20" s="231"/>
      <c r="W20" s="153">
        <f t="array" aca="1" ref="W20" ca="1">SUM((ROUNDDOWN((D56:I56)*단가,0)))</f>
        <v>10183281</v>
      </c>
      <c r="X20" s="154"/>
      <c r="Y20" s="150" t="str">
        <f t="shared" si="1"/>
        <v>제 6 호표</v>
      </c>
      <c r="Z20" s="150"/>
    </row>
    <row r="21" spans="2:26" ht="18" customHeight="1">
      <c r="B21" s="223" t="s">
        <v>1119</v>
      </c>
      <c r="C21" s="23"/>
      <c r="D21" s="197">
        <v>2</v>
      </c>
      <c r="E21" s="198">
        <v>3.2</v>
      </c>
      <c r="F21" s="198">
        <v>5.9</v>
      </c>
      <c r="G21" s="198">
        <v>7.4</v>
      </c>
      <c r="H21" s="198">
        <v>7.9</v>
      </c>
      <c r="I21" s="199">
        <v>8.6999999999999993</v>
      </c>
      <c r="J21" s="389" t="s">
        <v>1090</v>
      </c>
      <c r="L21" s="233">
        <v>1</v>
      </c>
      <c r="N21" s="296" t="s">
        <v>1144</v>
      </c>
      <c r="O21" s="37"/>
      <c r="P21" s="37"/>
      <c r="Q21" s="37"/>
      <c r="R21" s="37"/>
      <c r="S21" s="37"/>
      <c r="T21" s="37"/>
      <c r="U21" s="226"/>
      <c r="V21" s="231"/>
      <c r="W21" s="153">
        <f t="array" aca="1" ref="W21" ca="1">SUM((ROUNDDOWN((D57:I57)*단가,0)))</f>
        <v>10183281</v>
      </c>
      <c r="X21" s="154"/>
      <c r="Y21" s="150" t="str">
        <f t="shared" si="1"/>
        <v>제 7 호표</v>
      </c>
      <c r="Z21" s="150"/>
    </row>
    <row r="22" spans="2:26" ht="18" customHeight="1">
      <c r="B22" s="223" t="s">
        <v>1120</v>
      </c>
      <c r="C22" s="23"/>
      <c r="D22" s="197">
        <v>2</v>
      </c>
      <c r="E22" s="198">
        <v>3.2</v>
      </c>
      <c r="F22" s="198">
        <v>7.8</v>
      </c>
      <c r="G22" s="198">
        <v>14.8</v>
      </c>
      <c r="H22" s="198">
        <v>15.8</v>
      </c>
      <c r="I22" s="199">
        <v>17.3</v>
      </c>
      <c r="J22" s="389" t="s">
        <v>1090</v>
      </c>
      <c r="L22" s="233">
        <v>1</v>
      </c>
      <c r="N22" s="296" t="s">
        <v>1145</v>
      </c>
      <c r="O22" s="37"/>
      <c r="P22" s="37"/>
      <c r="Q22" s="37"/>
      <c r="R22" s="37"/>
      <c r="S22" s="37"/>
      <c r="T22" s="37"/>
      <c r="U22" s="226"/>
      <c r="V22" s="231"/>
      <c r="W22" s="153">
        <f t="array" aca="1" ref="W22" ca="1">SUM((ROUNDDOWN((D58:I58)*단가,0)))</f>
        <v>16968857</v>
      </c>
      <c r="X22" s="154"/>
      <c r="Y22" s="150" t="str">
        <f t="shared" si="1"/>
        <v>제 8 호표</v>
      </c>
      <c r="Z22" s="150"/>
    </row>
    <row r="23" spans="2:26" ht="18" customHeight="1">
      <c r="B23" s="222" t="s">
        <v>246</v>
      </c>
      <c r="C23" s="47"/>
      <c r="D23" s="48">
        <f t="shared" ref="D23:I23" si="3">SUBTOTAL(9,D24:D26)</f>
        <v>11</v>
      </c>
      <c r="E23" s="49">
        <f t="shared" si="3"/>
        <v>17.600000000000001</v>
      </c>
      <c r="F23" s="49">
        <f t="shared" si="3"/>
        <v>31.2</v>
      </c>
      <c r="G23" s="49">
        <f t="shared" si="3"/>
        <v>44.400000000000006</v>
      </c>
      <c r="H23" s="49">
        <f t="shared" si="3"/>
        <v>31.700000000000003</v>
      </c>
      <c r="I23" s="50">
        <f t="shared" si="3"/>
        <v>34.700000000000003</v>
      </c>
      <c r="J23" s="389"/>
      <c r="L23" s="233"/>
      <c r="N23" s="292" t="s">
        <v>245</v>
      </c>
      <c r="O23" s="37"/>
      <c r="P23" s="39"/>
      <c r="Q23" s="37"/>
      <c r="R23" s="117"/>
      <c r="S23" s="37"/>
      <c r="T23" s="37"/>
      <c r="U23" s="226"/>
      <c r="V23" s="231"/>
      <c r="W23" s="195">
        <f ca="1">SUBTOTAL(9,W24:W26)</f>
        <v>50656172</v>
      </c>
      <c r="X23" s="154"/>
      <c r="Y23" s="150"/>
      <c r="Z23" s="150"/>
    </row>
    <row r="24" spans="2:26" ht="18" customHeight="1">
      <c r="B24" s="223" t="s">
        <v>1121</v>
      </c>
      <c r="C24" s="23"/>
      <c r="D24" s="197">
        <v>3</v>
      </c>
      <c r="E24" s="198">
        <v>4.8</v>
      </c>
      <c r="F24" s="198">
        <v>7.8</v>
      </c>
      <c r="G24" s="198">
        <v>14.8</v>
      </c>
      <c r="H24" s="198">
        <v>7.9</v>
      </c>
      <c r="I24" s="199">
        <v>8.6999999999999993</v>
      </c>
      <c r="J24" s="389" t="s">
        <v>1090</v>
      </c>
      <c r="L24" s="233">
        <v>1</v>
      </c>
      <c r="N24" s="296" t="s">
        <v>1152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SUM((ROUNDDOWN((D60:I60)*단가,0)))</f>
        <v>14022564</v>
      </c>
      <c r="X24" s="154"/>
      <c r="Y24" s="150" t="str">
        <f t="shared" si="1"/>
        <v>제 9 호표</v>
      </c>
      <c r="Z24" s="150"/>
    </row>
    <row r="25" spans="2:26" ht="18" customHeight="1">
      <c r="B25" s="223" t="s">
        <v>1122</v>
      </c>
      <c r="C25" s="23"/>
      <c r="D25" s="197">
        <v>4</v>
      </c>
      <c r="E25" s="198">
        <v>6.4</v>
      </c>
      <c r="F25" s="198">
        <v>11.7</v>
      </c>
      <c r="G25" s="198">
        <v>14.8</v>
      </c>
      <c r="H25" s="198">
        <v>11.9</v>
      </c>
      <c r="I25" s="199">
        <v>13</v>
      </c>
      <c r="J25" s="389" t="s">
        <v>1090</v>
      </c>
      <c r="L25" s="233">
        <v>1</v>
      </c>
      <c r="N25" s="296" t="s">
        <v>1153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SUM((ROUNDDOWN((D61:I61)*단가,0)))</f>
        <v>18316804</v>
      </c>
      <c r="X25" s="154"/>
      <c r="Y25" s="150" t="str">
        <f t="shared" si="1"/>
        <v>제 10 호표</v>
      </c>
      <c r="Z25" s="150"/>
    </row>
    <row r="26" spans="2:26" ht="18" customHeight="1">
      <c r="B26" s="223" t="s">
        <v>1123</v>
      </c>
      <c r="C26" s="23"/>
      <c r="D26" s="197">
        <v>4</v>
      </c>
      <c r="E26" s="198">
        <v>6.4</v>
      </c>
      <c r="F26" s="198">
        <v>11.7</v>
      </c>
      <c r="G26" s="198">
        <v>14.8</v>
      </c>
      <c r="H26" s="198">
        <v>11.9</v>
      </c>
      <c r="I26" s="199">
        <v>13</v>
      </c>
      <c r="J26" s="389" t="s">
        <v>1090</v>
      </c>
      <c r="L26" s="233">
        <v>1</v>
      </c>
      <c r="N26" s="296" t="s">
        <v>1154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SUM((ROUNDDOWN((D62:I62)*단가,0)))</f>
        <v>18316804</v>
      </c>
      <c r="X26" s="154"/>
      <c r="Y26" s="150" t="str">
        <f t="shared" si="1"/>
        <v>제 11 호표</v>
      </c>
      <c r="Z26" s="150"/>
    </row>
    <row r="27" spans="2:26" ht="18" customHeight="1">
      <c r="B27" s="222" t="s">
        <v>254</v>
      </c>
      <c r="C27" s="47"/>
      <c r="D27" s="48">
        <f t="shared" ref="D27:I27" si="4">SUBTOTAL(9,D28:D35)</f>
        <v>62</v>
      </c>
      <c r="E27" s="49">
        <f t="shared" si="4"/>
        <v>98.199999999999989</v>
      </c>
      <c r="F27" s="49">
        <f t="shared" si="4"/>
        <v>242.60000000000002</v>
      </c>
      <c r="G27" s="49">
        <f t="shared" si="4"/>
        <v>481.00000000000006</v>
      </c>
      <c r="H27" s="49">
        <f t="shared" si="4"/>
        <v>514.6</v>
      </c>
      <c r="I27" s="50">
        <f t="shared" si="4"/>
        <v>561.79999999999995</v>
      </c>
      <c r="J27" s="389"/>
      <c r="L27" s="233"/>
      <c r="N27" s="292" t="s">
        <v>255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SUBTOTAL(9,W28:W35)</f>
        <v>544678614</v>
      </c>
      <c r="X27" s="154"/>
      <c r="Y27" s="150"/>
      <c r="Z27" s="150"/>
    </row>
    <row r="28" spans="2:26" ht="18" customHeight="1">
      <c r="B28" s="223" t="s">
        <v>1124</v>
      </c>
      <c r="C28" s="23"/>
      <c r="D28" s="197">
        <v>13</v>
      </c>
      <c r="E28" s="198">
        <v>20.5</v>
      </c>
      <c r="F28" s="198">
        <v>50.9</v>
      </c>
      <c r="G28" s="198">
        <v>99.9</v>
      </c>
      <c r="H28" s="198">
        <v>106.9</v>
      </c>
      <c r="I28" s="199">
        <v>116.7</v>
      </c>
      <c r="J28" s="389" t="s">
        <v>1090</v>
      </c>
      <c r="L28" s="233">
        <v>1</v>
      </c>
      <c r="N28" s="296" t="s">
        <v>1155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SUM((ROUNDDOWN((D64:I64)*단가,0)))</f>
        <v>113391557</v>
      </c>
      <c r="X28" s="154"/>
      <c r="Y28" s="150" t="str">
        <f t="shared" si="1"/>
        <v>제 12 호표</v>
      </c>
      <c r="Z28" s="150"/>
    </row>
    <row r="29" spans="2:26" ht="18" customHeight="1">
      <c r="B29" s="223" t="s">
        <v>1125</v>
      </c>
      <c r="C29" s="23"/>
      <c r="D29" s="197">
        <v>9</v>
      </c>
      <c r="E29" s="198">
        <v>14.3</v>
      </c>
      <c r="F29" s="198">
        <v>35.200000000000003</v>
      </c>
      <c r="G29" s="198">
        <v>70.3</v>
      </c>
      <c r="H29" s="198">
        <v>75.2</v>
      </c>
      <c r="I29" s="199">
        <v>82.1</v>
      </c>
      <c r="J29" s="389" t="s">
        <v>1090</v>
      </c>
      <c r="L29" s="233">
        <v>1</v>
      </c>
      <c r="N29" s="296" t="s">
        <v>1156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SUM((ROUNDDOWN((D65:I65)*단가,0)))</f>
        <v>79473875</v>
      </c>
      <c r="X29" s="154"/>
      <c r="Y29" s="150" t="str">
        <f t="shared" si="1"/>
        <v>제 13 호표</v>
      </c>
      <c r="Z29" s="150"/>
    </row>
    <row r="30" spans="2:26" ht="18" customHeight="1">
      <c r="B30" s="223" t="s">
        <v>1126</v>
      </c>
      <c r="C30" s="23"/>
      <c r="D30" s="197">
        <v>9</v>
      </c>
      <c r="E30" s="198">
        <v>14.3</v>
      </c>
      <c r="F30" s="198">
        <v>35.200000000000003</v>
      </c>
      <c r="G30" s="198">
        <v>70.3</v>
      </c>
      <c r="H30" s="198">
        <v>75.2</v>
      </c>
      <c r="I30" s="199">
        <v>82.1</v>
      </c>
      <c r="J30" s="389" t="s">
        <v>1090</v>
      </c>
      <c r="L30" s="233">
        <v>1</v>
      </c>
      <c r="N30" s="296" t="s">
        <v>1157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SUM((ROUNDDOWN((D66:I66)*단가,0)))</f>
        <v>79473875</v>
      </c>
      <c r="X30" s="154"/>
      <c r="Y30" s="150" t="str">
        <f t="shared" si="1"/>
        <v>제 14 호표</v>
      </c>
      <c r="Z30" s="150"/>
    </row>
    <row r="31" spans="2:26" ht="18" customHeight="1">
      <c r="B31" s="223" t="s">
        <v>1127</v>
      </c>
      <c r="C31" s="23"/>
      <c r="D31" s="197"/>
      <c r="E31" s="198"/>
      <c r="F31" s="198"/>
      <c r="G31" s="198"/>
      <c r="H31" s="198"/>
      <c r="I31" s="199"/>
      <c r="J31" s="389"/>
      <c r="L31" s="233">
        <v>1</v>
      </c>
      <c r="N31" s="296" t="s">
        <v>1158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SUM((ROUNDDOWN((D67:I67)*단가,0)))</f>
        <v>0</v>
      </c>
      <c r="X31" s="154"/>
      <c r="Y31" s="150" t="str">
        <f t="shared" si="1"/>
        <v>제 15 호표</v>
      </c>
      <c r="Z31" s="150"/>
    </row>
    <row r="32" spans="2:26" ht="18" customHeight="1">
      <c r="B32" s="223" t="s">
        <v>1128</v>
      </c>
      <c r="C32" s="23"/>
      <c r="D32" s="197">
        <v>9</v>
      </c>
      <c r="E32" s="198">
        <v>14.3</v>
      </c>
      <c r="F32" s="198">
        <v>35.200000000000003</v>
      </c>
      <c r="G32" s="198">
        <v>70.3</v>
      </c>
      <c r="H32" s="198">
        <v>75.2</v>
      </c>
      <c r="I32" s="199">
        <v>82.1</v>
      </c>
      <c r="J32" s="389" t="s">
        <v>1090</v>
      </c>
      <c r="L32" s="233">
        <v>1</v>
      </c>
      <c r="N32" s="296" t="s">
        <v>1159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SUM((ROUNDDOWN((D68:I68)*단가,0)))</f>
        <v>79473875</v>
      </c>
      <c r="X32" s="154"/>
      <c r="Y32" s="150" t="str">
        <f t="shared" si="1"/>
        <v>제 16 호표</v>
      </c>
      <c r="Z32" s="150"/>
    </row>
    <row r="33" spans="2:26" ht="18" customHeight="1">
      <c r="B33" s="223" t="s">
        <v>1129</v>
      </c>
      <c r="C33" s="23"/>
      <c r="D33" s="197">
        <v>13</v>
      </c>
      <c r="E33" s="198">
        <v>20.5</v>
      </c>
      <c r="F33" s="198">
        <v>50.9</v>
      </c>
      <c r="G33" s="198">
        <v>99.9</v>
      </c>
      <c r="H33" s="198">
        <v>106.9</v>
      </c>
      <c r="I33" s="199">
        <v>116.7</v>
      </c>
      <c r="J33" s="389" t="s">
        <v>1090</v>
      </c>
      <c r="L33" s="233">
        <v>1</v>
      </c>
      <c r="N33" s="296" t="s">
        <v>1160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SUM((ROUNDDOWN((D69:I69)*단가,0)))</f>
        <v>113391557</v>
      </c>
      <c r="X33" s="154"/>
      <c r="Y33" s="150" t="str">
        <f t="shared" si="1"/>
        <v>제 17 호표</v>
      </c>
      <c r="Z33" s="150"/>
    </row>
    <row r="34" spans="2:26" ht="18" customHeight="1">
      <c r="B34" s="223" t="s">
        <v>1130</v>
      </c>
      <c r="C34" s="23"/>
      <c r="D34" s="197">
        <v>9</v>
      </c>
      <c r="E34" s="198">
        <v>14.3</v>
      </c>
      <c r="F34" s="198">
        <v>35.200000000000003</v>
      </c>
      <c r="G34" s="198">
        <v>70.3</v>
      </c>
      <c r="H34" s="198">
        <v>75.2</v>
      </c>
      <c r="I34" s="199">
        <v>82.1</v>
      </c>
      <c r="J34" s="389" t="s">
        <v>1090</v>
      </c>
      <c r="L34" s="233">
        <v>1</v>
      </c>
      <c r="N34" s="296" t="s">
        <v>1161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SUM((ROUNDDOWN((D70:I70)*단가,0)))</f>
        <v>79473875</v>
      </c>
      <c r="X34" s="154"/>
      <c r="Y34" s="150" t="str">
        <f t="shared" si="1"/>
        <v>제 18 호표</v>
      </c>
      <c r="Z34" s="150"/>
    </row>
    <row r="35" spans="2:26" ht="18" customHeight="1">
      <c r="B35" s="223" t="s">
        <v>1131</v>
      </c>
      <c r="C35" s="23"/>
      <c r="D35" s="666"/>
      <c r="E35" s="667"/>
      <c r="F35" s="667"/>
      <c r="G35" s="667"/>
      <c r="H35" s="667"/>
      <c r="I35" s="668"/>
      <c r="J35" s="389" t="s">
        <v>1137</v>
      </c>
      <c r="L35" s="233">
        <v>1</v>
      </c>
      <c r="N35" s="296" t="s">
        <v>1162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SUM((ROUNDDOWN((D71:I71)*단가,0)))</f>
        <v>0</v>
      </c>
      <c r="X35" s="154"/>
      <c r="Y35" s="150" t="str">
        <f t="shared" si="1"/>
        <v>제 19 호표</v>
      </c>
      <c r="Z35" s="150"/>
    </row>
    <row r="36" spans="2:26" ht="18" customHeight="1">
      <c r="B36" s="222" t="s">
        <v>248</v>
      </c>
      <c r="C36" s="47"/>
      <c r="D36" s="48">
        <f t="shared" ref="D36:I36" si="5">SUBTOTAL(9,D37:D39)</f>
        <v>8</v>
      </c>
      <c r="E36" s="49">
        <f t="shared" si="5"/>
        <v>12.8</v>
      </c>
      <c r="F36" s="49">
        <f t="shared" si="5"/>
        <v>27.400000000000002</v>
      </c>
      <c r="G36" s="49">
        <f t="shared" si="5"/>
        <v>29.6</v>
      </c>
      <c r="H36" s="49">
        <f t="shared" si="5"/>
        <v>31.700000000000003</v>
      </c>
      <c r="I36" s="50">
        <f t="shared" si="5"/>
        <v>34.700000000000003</v>
      </c>
      <c r="J36" s="389"/>
      <c r="L36" s="233"/>
      <c r="N36" s="292" t="s">
        <v>247</v>
      </c>
      <c r="O36" s="37"/>
      <c r="P36" s="39"/>
      <c r="Q36" s="37"/>
      <c r="R36" s="117"/>
      <c r="S36" s="37"/>
      <c r="T36" s="37"/>
      <c r="U36" s="226"/>
      <c r="V36" s="231"/>
      <c r="W36" s="195">
        <f ca="1">SUBTOTAL(9,W37:W39)</f>
        <v>41913025</v>
      </c>
      <c r="X36" s="154"/>
      <c r="Y36" s="150" t="str">
        <f t="shared" si="1"/>
        <v/>
      </c>
      <c r="Z36" s="150"/>
    </row>
    <row r="37" spans="2:26" ht="18" customHeight="1">
      <c r="B37" s="223" t="s">
        <v>1132</v>
      </c>
      <c r="C37" s="23"/>
      <c r="D37" s="197">
        <v>3</v>
      </c>
      <c r="E37" s="198">
        <v>4.8</v>
      </c>
      <c r="F37" s="198">
        <v>9.8000000000000007</v>
      </c>
      <c r="G37" s="198">
        <v>11.1</v>
      </c>
      <c r="H37" s="198">
        <v>11.9</v>
      </c>
      <c r="I37" s="199">
        <v>13</v>
      </c>
      <c r="J37" s="389" t="s">
        <v>1090</v>
      </c>
      <c r="L37" s="233">
        <v>1</v>
      </c>
      <c r="N37" s="296" t="s">
        <v>1163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SUM((ROUNDDOWN((D73:I73)*단가,0)))</f>
        <v>15569532</v>
      </c>
      <c r="X37" s="154"/>
      <c r="Y37" s="150" t="str">
        <f t="shared" si="1"/>
        <v>제 20 호표</v>
      </c>
      <c r="Z37" s="150"/>
    </row>
    <row r="38" spans="2:26" ht="18" customHeight="1">
      <c r="B38" s="223" t="s">
        <v>1133</v>
      </c>
      <c r="C38" s="23"/>
      <c r="D38" s="197">
        <v>3</v>
      </c>
      <c r="E38" s="198">
        <v>4.8</v>
      </c>
      <c r="F38" s="198">
        <v>9.8000000000000007</v>
      </c>
      <c r="G38" s="198">
        <v>11.1</v>
      </c>
      <c r="H38" s="198">
        <v>11.9</v>
      </c>
      <c r="I38" s="199">
        <v>13</v>
      </c>
      <c r="J38" s="389" t="s">
        <v>1090</v>
      </c>
      <c r="L38" s="233">
        <v>1</v>
      </c>
      <c r="N38" s="296" t="s">
        <v>1164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SUM((ROUNDDOWN((D74:I74)*단가,0)))</f>
        <v>15569532</v>
      </c>
      <c r="X38" s="154"/>
      <c r="Y38" s="150" t="str">
        <f t="shared" si="1"/>
        <v>제 21 호표</v>
      </c>
      <c r="Z38" s="150"/>
    </row>
    <row r="39" spans="2:26" ht="18" customHeight="1">
      <c r="B39" s="223" t="s">
        <v>1134</v>
      </c>
      <c r="C39" s="23"/>
      <c r="D39" s="197">
        <v>2</v>
      </c>
      <c r="E39" s="198">
        <v>3.2</v>
      </c>
      <c r="F39" s="198">
        <v>7.8</v>
      </c>
      <c r="G39" s="198">
        <v>7.4</v>
      </c>
      <c r="H39" s="198">
        <v>7.9</v>
      </c>
      <c r="I39" s="199">
        <v>8.6999999999999993</v>
      </c>
      <c r="J39" s="389" t="s">
        <v>1090</v>
      </c>
      <c r="L39" s="233">
        <v>1</v>
      </c>
      <c r="N39" s="296" t="s">
        <v>1165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SUM((ROUNDDOWN((D75:I75)*단가,0)))</f>
        <v>10773961</v>
      </c>
      <c r="X39" s="154"/>
      <c r="Y39" s="150" t="str">
        <f t="shared" si="1"/>
        <v>제 22 호표</v>
      </c>
      <c r="Z39" s="150"/>
    </row>
    <row r="40" spans="2:26" ht="18" customHeight="1">
      <c r="B40" s="222" t="s">
        <v>257</v>
      </c>
      <c r="C40" s="47"/>
      <c r="D40" s="48">
        <f t="shared" ref="D40:I40" si="6">SUBTOTAL(9,D41:D42)</f>
        <v>3</v>
      </c>
      <c r="E40" s="49">
        <f t="shared" si="6"/>
        <v>4.8000000000000007</v>
      </c>
      <c r="F40" s="49">
        <f t="shared" si="6"/>
        <v>11.7</v>
      </c>
      <c r="G40" s="49">
        <f t="shared" si="6"/>
        <v>22.200000000000003</v>
      </c>
      <c r="H40" s="49">
        <f t="shared" si="6"/>
        <v>39.700000000000003</v>
      </c>
      <c r="I40" s="50">
        <f t="shared" si="6"/>
        <v>43.3</v>
      </c>
      <c r="J40" s="389"/>
      <c r="L40" s="233"/>
      <c r="M40" s="171"/>
      <c r="N40" s="292" t="s">
        <v>258</v>
      </c>
      <c r="O40" s="37"/>
      <c r="P40" s="39"/>
      <c r="Q40" s="37"/>
      <c r="R40" s="117"/>
      <c r="S40" s="37"/>
      <c r="T40" s="37"/>
      <c r="U40" s="226"/>
      <c r="V40" s="231"/>
      <c r="W40" s="195">
        <f ca="1">SUBTOTAL(9,W41:W42)</f>
        <v>33559638</v>
      </c>
      <c r="X40" s="154"/>
      <c r="Y40" s="150" t="str">
        <f t="shared" si="1"/>
        <v/>
      </c>
      <c r="Z40" s="150"/>
    </row>
    <row r="41" spans="2:26" ht="18" customHeight="1">
      <c r="B41" s="223" t="s">
        <v>1135</v>
      </c>
      <c r="C41" s="23"/>
      <c r="D41" s="197">
        <v>2</v>
      </c>
      <c r="E41" s="198">
        <v>3.2</v>
      </c>
      <c r="F41" s="198">
        <v>7.8</v>
      </c>
      <c r="G41" s="198">
        <v>14.8</v>
      </c>
      <c r="H41" s="198">
        <v>15.9</v>
      </c>
      <c r="I41" s="199">
        <v>17.3</v>
      </c>
      <c r="J41" s="389" t="s">
        <v>1090</v>
      </c>
      <c r="L41" s="233">
        <v>1</v>
      </c>
      <c r="M41" s="171"/>
      <c r="N41" s="296" t="s">
        <v>1166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SUM((ROUNDDOWN((D77:I77)*단가,0)))</f>
        <v>16992403</v>
      </c>
      <c r="X41" s="154"/>
      <c r="Y41" s="150" t="str">
        <f t="shared" si="1"/>
        <v>제 23 호표</v>
      </c>
      <c r="Z41" s="150"/>
    </row>
    <row r="42" spans="2:26" ht="18" customHeight="1">
      <c r="B42" s="259" t="s">
        <v>1136</v>
      </c>
      <c r="C42" s="43"/>
      <c r="D42" s="206">
        <v>1</v>
      </c>
      <c r="E42" s="207">
        <v>1.6</v>
      </c>
      <c r="F42" s="207">
        <v>3.9</v>
      </c>
      <c r="G42" s="207">
        <v>7.4</v>
      </c>
      <c r="H42" s="207">
        <v>23.8</v>
      </c>
      <c r="I42" s="208">
        <v>26</v>
      </c>
      <c r="J42" s="389" t="s">
        <v>1090</v>
      </c>
      <c r="L42" s="233">
        <v>1</v>
      </c>
      <c r="M42" s="171"/>
      <c r="N42" s="296" t="s">
        <v>1167</v>
      </c>
      <c r="O42" s="37"/>
      <c r="P42" s="39"/>
      <c r="Q42" s="37"/>
      <c r="R42" s="117"/>
      <c r="S42" s="37"/>
      <c r="T42" s="37"/>
      <c r="U42" s="226"/>
      <c r="V42" s="231"/>
      <c r="W42" s="153">
        <f t="array" aca="1" ref="W42" ca="1">SUM((ROUNDDOWN((D78:I78)*단가,0)))</f>
        <v>16567235</v>
      </c>
      <c r="X42" s="154"/>
      <c r="Y42" s="150" t="str">
        <f t="shared" si="1"/>
        <v>제 24 호표</v>
      </c>
      <c r="Z42" s="150"/>
    </row>
    <row r="43" spans="2:26" ht="18" customHeight="1">
      <c r="B43" s="222" t="s">
        <v>180</v>
      </c>
      <c r="C43" s="47"/>
      <c r="D43" s="48">
        <f t="shared" ref="D43:I43" si="7">SUBTOTAL(9,D44:D47)</f>
        <v>8</v>
      </c>
      <c r="E43" s="49">
        <f t="shared" si="7"/>
        <v>8</v>
      </c>
      <c r="F43" s="49">
        <f t="shared" si="7"/>
        <v>8</v>
      </c>
      <c r="G43" s="49">
        <f t="shared" si="7"/>
        <v>16</v>
      </c>
      <c r="H43" s="49">
        <f t="shared" si="7"/>
        <v>16</v>
      </c>
      <c r="I43" s="50">
        <f t="shared" si="7"/>
        <v>16</v>
      </c>
      <c r="J43" s="389"/>
      <c r="M43" s="171"/>
      <c r="N43" s="292" t="s">
        <v>217</v>
      </c>
      <c r="O43" s="37"/>
      <c r="P43" s="39"/>
      <c r="Q43" s="37"/>
      <c r="R43" s="117"/>
      <c r="S43" s="37"/>
      <c r="T43" s="37"/>
      <c r="U43" s="226"/>
      <c r="V43" s="231"/>
      <c r="W43" s="195">
        <f ca="1">SUBTOTAL(9,W44:W47)</f>
        <v>21702576</v>
      </c>
      <c r="X43" s="154"/>
      <c r="Y43" s="150" t="str">
        <f t="shared" si="1"/>
        <v/>
      </c>
      <c r="Z43" s="150"/>
    </row>
    <row r="44" spans="2:26" ht="18" customHeight="1">
      <c r="B44" s="223" t="s">
        <v>181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389" t="s">
        <v>1138</v>
      </c>
      <c r="L44" s="233">
        <v>1</v>
      </c>
      <c r="M44" s="171"/>
      <c r="N44" s="296" t="s">
        <v>1168</v>
      </c>
      <c r="O44" s="37"/>
      <c r="P44" s="39"/>
      <c r="Q44" s="37"/>
      <c r="R44" s="117"/>
      <c r="S44" s="37"/>
      <c r="T44" s="37"/>
      <c r="U44" s="226"/>
      <c r="V44" s="231"/>
      <c r="W44" s="153">
        <f t="array" aca="1" ref="W44" ca="1">SUM((ROUNDDOWN((D80:I80)*단가,0)))</f>
        <v>5425644</v>
      </c>
      <c r="X44" s="154"/>
      <c r="Y44" s="150" t="str">
        <f t="shared" si="1"/>
        <v>제 25 호표</v>
      </c>
      <c r="Z44" s="150"/>
    </row>
    <row r="45" spans="2:26" ht="18" customHeight="1">
      <c r="B45" s="223" t="s">
        <v>182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389" t="s">
        <v>1094</v>
      </c>
      <c r="L45" s="233">
        <v>1</v>
      </c>
      <c r="M45" s="171"/>
      <c r="N45" s="296" t="s">
        <v>1169</v>
      </c>
      <c r="O45" s="37"/>
      <c r="P45" s="39"/>
      <c r="Q45" s="37"/>
      <c r="R45" s="117"/>
      <c r="S45" s="37"/>
      <c r="T45" s="37"/>
      <c r="U45" s="226"/>
      <c r="V45" s="231"/>
      <c r="W45" s="153">
        <f t="array" aca="1" ref="W45" ca="1">SUM((ROUNDDOWN((D81:I81)*단가,0)))</f>
        <v>5425644</v>
      </c>
      <c r="X45" s="154"/>
      <c r="Y45" s="150" t="str">
        <f t="shared" si="1"/>
        <v>제 26 호표</v>
      </c>
      <c r="Z45" s="150"/>
    </row>
    <row r="46" spans="2:26" ht="18" customHeight="1">
      <c r="B46" s="223" t="s">
        <v>183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389" t="s">
        <v>1094</v>
      </c>
      <c r="L46" s="233">
        <v>1</v>
      </c>
      <c r="M46" s="171"/>
      <c r="N46" s="296" t="s">
        <v>1170</v>
      </c>
      <c r="O46" s="37"/>
      <c r="P46" s="39"/>
      <c r="Q46" s="37"/>
      <c r="R46" s="117"/>
      <c r="S46" s="37"/>
      <c r="T46" s="37"/>
      <c r="U46" s="226"/>
      <c r="V46" s="231"/>
      <c r="W46" s="153">
        <f t="array" aca="1" ref="W46" ca="1">SUM((ROUNDDOWN((D82:I82)*단가,0)))</f>
        <v>5425644</v>
      </c>
      <c r="X46" s="154"/>
      <c r="Y46" s="150" t="str">
        <f t="shared" si="1"/>
        <v>제 27 호표</v>
      </c>
      <c r="Z46" s="150"/>
    </row>
    <row r="47" spans="2:26" ht="18" customHeight="1" thickBot="1">
      <c r="B47" s="223" t="s">
        <v>184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612" t="s">
        <v>1094</v>
      </c>
      <c r="L47" s="233">
        <v>1</v>
      </c>
      <c r="M47" s="171"/>
      <c r="N47" s="296" t="s">
        <v>1171</v>
      </c>
      <c r="O47" s="37"/>
      <c r="P47" s="39"/>
      <c r="Q47" s="37"/>
      <c r="R47" s="117"/>
      <c r="S47" s="37"/>
      <c r="T47" s="37"/>
      <c r="U47" s="226"/>
      <c r="V47" s="231"/>
      <c r="W47" s="153">
        <f t="array" aca="1" ref="W47" ca="1">SUM((ROUNDDOWN((D83:I83)*단가,0)))</f>
        <v>5425644</v>
      </c>
      <c r="X47" s="154"/>
      <c r="Y47" s="150" t="str">
        <f t="shared" si="1"/>
        <v>제 28 호표</v>
      </c>
      <c r="Z47" s="150"/>
    </row>
    <row r="48" spans="2:26" ht="18" customHeight="1" thickBot="1">
      <c r="B48" s="241" t="s">
        <v>30</v>
      </c>
      <c r="C48" s="243"/>
      <c r="D48" s="241" t="s">
        <v>12</v>
      </c>
      <c r="E48" s="242"/>
      <c r="F48" s="242"/>
      <c r="G48" s="242"/>
      <c r="H48" s="242"/>
      <c r="I48" s="243"/>
      <c r="J48" s="652" t="s">
        <v>31</v>
      </c>
      <c r="M48" s="171"/>
      <c r="N48" s="379"/>
      <c r="P48" s="371"/>
      <c r="R48" s="357"/>
      <c r="S48" s="1"/>
      <c r="T48" s="1"/>
      <c r="U48" s="258"/>
      <c r="V48" s="380"/>
      <c r="W48" s="373"/>
      <c r="X48" s="374"/>
      <c r="Y48" s="378"/>
      <c r="Z48" s="378"/>
    </row>
    <row r="49" spans="1:26" ht="18" customHeight="1">
      <c r="B49" s="225" t="s">
        <v>1111</v>
      </c>
      <c r="C49" s="72"/>
      <c r="D49" s="402">
        <f t="shared" ref="D49:I49" si="8">SUBTOTAL(9,D50:D54)</f>
        <v>10</v>
      </c>
      <c r="E49" s="403">
        <f t="shared" si="8"/>
        <v>16</v>
      </c>
      <c r="F49" s="403">
        <f t="shared" si="8"/>
        <v>58.5</v>
      </c>
      <c r="G49" s="403">
        <f t="shared" si="8"/>
        <v>133.19999999999999</v>
      </c>
      <c r="H49" s="403">
        <f t="shared" si="8"/>
        <v>142.70000000000002</v>
      </c>
      <c r="I49" s="404">
        <f t="shared" si="8"/>
        <v>155.80000000000001</v>
      </c>
      <c r="J49" s="73"/>
      <c r="M49" s="171"/>
      <c r="N49" s="290" t="s">
        <v>10</v>
      </c>
      <c r="O49" s="129"/>
      <c r="P49" s="130"/>
      <c r="Q49" s="124"/>
      <c r="R49" s="131"/>
      <c r="S49" s="124"/>
      <c r="T49" s="124"/>
      <c r="U49" s="181"/>
      <c r="V49" s="181"/>
      <c r="W49" s="159">
        <f>SUBTOTAL(9,W50:W52)</f>
        <v>6000000</v>
      </c>
      <c r="X49" s="160"/>
      <c r="Y49" s="124"/>
      <c r="Z49" s="124"/>
    </row>
    <row r="50" spans="1:26" ht="18" customHeight="1">
      <c r="A50" s="326">
        <v>1</v>
      </c>
      <c r="B50" s="223" t="s">
        <v>1113</v>
      </c>
      <c r="C50" s="23"/>
      <c r="D50" s="197">
        <f t="array" ref="D50:I54">ROUNDDOWN(D14:I18*D5*L14:L18,3)</f>
        <v>2</v>
      </c>
      <c r="E50" s="198">
        <v>3.2</v>
      </c>
      <c r="F50" s="198">
        <v>11.7</v>
      </c>
      <c r="G50" s="198">
        <v>22.2</v>
      </c>
      <c r="H50" s="198">
        <v>23.8</v>
      </c>
      <c r="I50" s="199">
        <v>26</v>
      </c>
      <c r="J50" s="74"/>
      <c r="M50" s="171"/>
      <c r="N50" s="291" t="str">
        <f>"여비("&amp;TEXT(T50,"#인 ×")&amp;TEXT(U50,"#일 ×")&amp;TEXT(V50,"###,###원)")</f>
        <v>여비(3인 ×10일 ×100,000원)</v>
      </c>
      <c r="O50" s="78"/>
      <c r="P50" s="52"/>
      <c r="Q50" s="51"/>
      <c r="T50" s="146">
        <v>3</v>
      </c>
      <c r="U50" s="146">
        <v>10</v>
      </c>
      <c r="V50" s="147">
        <v>100000</v>
      </c>
      <c r="W50" s="161">
        <f>T50*U50*V50</f>
        <v>3000000</v>
      </c>
      <c r="X50" s="162"/>
      <c r="Y50" s="51"/>
      <c r="Z50" s="51"/>
    </row>
    <row r="51" spans="1:26" ht="18" customHeight="1">
      <c r="A51" s="326">
        <v>2</v>
      </c>
      <c r="B51" s="223" t="s">
        <v>1114</v>
      </c>
      <c r="C51" s="23"/>
      <c r="D51" s="197">
        <v>2</v>
      </c>
      <c r="E51" s="198">
        <v>3.2</v>
      </c>
      <c r="F51" s="198">
        <v>11.7</v>
      </c>
      <c r="G51" s="198">
        <v>29.6</v>
      </c>
      <c r="H51" s="198">
        <v>31.7</v>
      </c>
      <c r="I51" s="199">
        <v>34.6</v>
      </c>
      <c r="J51" s="74"/>
      <c r="M51" s="171"/>
      <c r="N51" s="292" t="s">
        <v>46</v>
      </c>
      <c r="O51" s="79"/>
      <c r="P51" s="39"/>
      <c r="Q51" s="37"/>
      <c r="R51" s="117"/>
      <c r="S51" s="37"/>
      <c r="T51" s="37"/>
      <c r="U51" s="180"/>
      <c r="V51" s="180"/>
      <c r="W51" s="157">
        <v>2000000</v>
      </c>
      <c r="X51" s="158"/>
      <c r="Y51" s="37"/>
      <c r="Z51" s="37"/>
    </row>
    <row r="52" spans="1:26" ht="18" customHeight="1">
      <c r="A52" s="326">
        <v>3</v>
      </c>
      <c r="B52" s="223" t="s">
        <v>1115</v>
      </c>
      <c r="C52" s="23"/>
      <c r="D52" s="197">
        <v>2</v>
      </c>
      <c r="E52" s="198">
        <v>3.2</v>
      </c>
      <c r="F52" s="198">
        <v>11.7</v>
      </c>
      <c r="G52" s="198">
        <v>29.6</v>
      </c>
      <c r="H52" s="198">
        <v>31.7</v>
      </c>
      <c r="I52" s="199">
        <v>34.6</v>
      </c>
      <c r="J52" s="74"/>
      <c r="M52" s="171"/>
      <c r="N52" s="293" t="s">
        <v>13</v>
      </c>
      <c r="O52" s="132"/>
      <c r="P52" s="38"/>
      <c r="Q52" s="38"/>
      <c r="R52" s="116"/>
      <c r="S52" s="38"/>
      <c r="T52" s="38"/>
      <c r="U52" s="183"/>
      <c r="V52" s="183"/>
      <c r="W52" s="155">
        <v>1000000</v>
      </c>
      <c r="X52" s="156"/>
      <c r="Y52" s="38"/>
      <c r="Z52" s="38"/>
    </row>
    <row r="53" spans="1:26" ht="18" customHeight="1">
      <c r="A53" s="326">
        <v>4</v>
      </c>
      <c r="B53" s="223" t="s">
        <v>1116</v>
      </c>
      <c r="C53" s="23"/>
      <c r="D53" s="197">
        <v>2</v>
      </c>
      <c r="E53" s="198">
        <v>3.2</v>
      </c>
      <c r="F53" s="198">
        <v>11.7</v>
      </c>
      <c r="G53" s="198">
        <v>29.6</v>
      </c>
      <c r="H53" s="198">
        <v>31.7</v>
      </c>
      <c r="I53" s="199">
        <v>34.6</v>
      </c>
      <c r="J53" s="74"/>
      <c r="M53" s="171"/>
      <c r="N53" s="127" t="s">
        <v>47</v>
      </c>
      <c r="O53" s="123"/>
      <c r="P53" s="123"/>
      <c r="Q53" s="123"/>
      <c r="R53" s="123"/>
      <c r="S53" s="123"/>
      <c r="T53" s="123"/>
      <c r="U53" s="184"/>
      <c r="V53" s="184"/>
      <c r="W53" s="163">
        <f ca="1">SUBTOTAL(9,W54:W55)</f>
        <v>1310072571</v>
      </c>
      <c r="X53" s="164"/>
      <c r="Y53" s="123"/>
      <c r="Z53" s="123"/>
    </row>
    <row r="54" spans="1:26" ht="18" customHeight="1">
      <c r="A54" s="326">
        <v>5</v>
      </c>
      <c r="B54" s="259" t="s">
        <v>1117</v>
      </c>
      <c r="C54" s="43"/>
      <c r="D54" s="206">
        <v>2</v>
      </c>
      <c r="E54" s="207">
        <v>3.2</v>
      </c>
      <c r="F54" s="207">
        <v>11.7</v>
      </c>
      <c r="G54" s="207">
        <v>22.2</v>
      </c>
      <c r="H54" s="207">
        <v>23.8</v>
      </c>
      <c r="I54" s="208">
        <v>26</v>
      </c>
      <c r="J54" s="239"/>
      <c r="M54" s="171"/>
      <c r="N54" s="133" t="s">
        <v>861</v>
      </c>
      <c r="O54" s="124"/>
      <c r="P54" s="134"/>
      <c r="Q54" s="124"/>
      <c r="R54" s="131"/>
      <c r="S54" s="124"/>
      <c r="T54" s="181"/>
      <c r="U54" s="181"/>
      <c r="V54" s="190">
        <v>1.1499999999999999</v>
      </c>
      <c r="W54" s="159">
        <f ca="1">ROUNDDOWN(W12*V54,0)</f>
        <v>839322260</v>
      </c>
      <c r="X54" s="160"/>
      <c r="Y54" s="124"/>
      <c r="Z54" s="124"/>
    </row>
    <row r="55" spans="1:26" ht="18" customHeight="1" thickBot="1">
      <c r="B55" s="222" t="s">
        <v>1112</v>
      </c>
      <c r="C55" s="47"/>
      <c r="D55" s="672">
        <f t="shared" ref="D55:I55" si="9">SUBTOTAL(9,D56:D58)</f>
        <v>6</v>
      </c>
      <c r="E55" s="673">
        <f t="shared" si="9"/>
        <v>9.6000000000000014</v>
      </c>
      <c r="F55" s="673">
        <f t="shared" si="9"/>
        <v>19.600000000000001</v>
      </c>
      <c r="G55" s="673">
        <f t="shared" si="9"/>
        <v>29.6</v>
      </c>
      <c r="H55" s="673">
        <f t="shared" si="9"/>
        <v>31.6</v>
      </c>
      <c r="I55" s="674">
        <f t="shared" si="9"/>
        <v>34.700000000000003</v>
      </c>
      <c r="J55" s="74"/>
      <c r="M55" s="171"/>
      <c r="N55" s="135" t="s">
        <v>862</v>
      </c>
      <c r="O55" s="136"/>
      <c r="P55" s="137"/>
      <c r="Q55" s="136"/>
      <c r="R55" s="138"/>
      <c r="S55" s="136"/>
      <c r="T55" s="185"/>
      <c r="U55" s="185"/>
      <c r="V55" s="191">
        <v>0.3</v>
      </c>
      <c r="W55" s="165">
        <f ca="1">ROUNDDOWN((W12+W54)*V55,0)</f>
        <v>470750311</v>
      </c>
      <c r="X55" s="166"/>
      <c r="Y55" s="136"/>
      <c r="Z55" s="136"/>
    </row>
    <row r="56" spans="1:26" ht="18" customHeight="1">
      <c r="A56" s="326">
        <v>6</v>
      </c>
      <c r="B56" s="223" t="s">
        <v>1118</v>
      </c>
      <c r="C56" s="23"/>
      <c r="D56" s="197">
        <f t="array" ref="D56:I58">ROUNDDOWN(D20:I22*D5*L20:L22,3)</f>
        <v>2</v>
      </c>
      <c r="E56" s="198">
        <v>3.2</v>
      </c>
      <c r="F56" s="198">
        <v>5.9</v>
      </c>
      <c r="G56" s="198">
        <v>7.4</v>
      </c>
      <c r="H56" s="198">
        <v>7.9</v>
      </c>
      <c r="I56" s="199">
        <v>8.6999999999999993</v>
      </c>
      <c r="J56" s="74"/>
      <c r="M56" s="171"/>
    </row>
    <row r="57" spans="1:26" ht="18" customHeight="1">
      <c r="A57" s="326">
        <v>7</v>
      </c>
      <c r="B57" s="223" t="s">
        <v>1119</v>
      </c>
      <c r="C57" s="23"/>
      <c r="D57" s="197">
        <v>2</v>
      </c>
      <c r="E57" s="198">
        <v>3.2</v>
      </c>
      <c r="F57" s="198">
        <v>5.9</v>
      </c>
      <c r="G57" s="198">
        <v>7.4</v>
      </c>
      <c r="H57" s="198">
        <v>7.9</v>
      </c>
      <c r="I57" s="199">
        <v>8.6999999999999993</v>
      </c>
      <c r="J57" s="74"/>
      <c r="M57" s="171"/>
    </row>
    <row r="58" spans="1:26" ht="18" customHeight="1" thickBot="1">
      <c r="A58" s="326">
        <v>8</v>
      </c>
      <c r="B58" s="223" t="s">
        <v>1120</v>
      </c>
      <c r="C58" s="23"/>
      <c r="D58" s="197">
        <v>2</v>
      </c>
      <c r="E58" s="198">
        <v>3.2</v>
      </c>
      <c r="F58" s="198">
        <v>7.8</v>
      </c>
      <c r="G58" s="198">
        <v>14.8</v>
      </c>
      <c r="H58" s="198">
        <v>15.8</v>
      </c>
      <c r="I58" s="199">
        <v>17.3</v>
      </c>
      <c r="J58" s="74"/>
      <c r="M58" s="171"/>
      <c r="N58" s="66" t="s">
        <v>18</v>
      </c>
      <c r="O58" s="2"/>
      <c r="P58" s="2"/>
      <c r="Q58" s="2"/>
      <c r="R58" s="3"/>
      <c r="S58" s="4"/>
      <c r="T58" s="3"/>
      <c r="U58" s="4"/>
      <c r="V58" s="3"/>
      <c r="W58" s="4"/>
      <c r="X58" s="3"/>
      <c r="Y58" s="4"/>
      <c r="Z58" s="2"/>
    </row>
    <row r="59" spans="1:26" ht="18" customHeight="1">
      <c r="B59" s="222" t="s">
        <v>246</v>
      </c>
      <c r="C59" s="47"/>
      <c r="D59" s="48">
        <f t="shared" ref="D59:I59" si="10">SUBTOTAL(9,D60:D62)</f>
        <v>11</v>
      </c>
      <c r="E59" s="49">
        <f t="shared" si="10"/>
        <v>17.600000000000001</v>
      </c>
      <c r="F59" s="49">
        <f t="shared" si="10"/>
        <v>31.2</v>
      </c>
      <c r="G59" s="49">
        <f t="shared" si="10"/>
        <v>44.400000000000006</v>
      </c>
      <c r="H59" s="49">
        <f t="shared" si="10"/>
        <v>31.700000000000003</v>
      </c>
      <c r="I59" s="50">
        <f t="shared" si="10"/>
        <v>34.700000000000003</v>
      </c>
      <c r="J59" s="74"/>
      <c r="M59" s="171"/>
      <c r="N59" s="765" t="s">
        <v>19</v>
      </c>
      <c r="O59" s="755" t="s">
        <v>20</v>
      </c>
      <c r="P59" s="755" t="s">
        <v>21</v>
      </c>
      <c r="Q59" s="755" t="s">
        <v>16</v>
      </c>
      <c r="R59" s="5" t="s">
        <v>22</v>
      </c>
      <c r="S59" s="5"/>
      <c r="T59" s="5" t="s">
        <v>23</v>
      </c>
      <c r="U59" s="5"/>
      <c r="V59" s="5" t="s">
        <v>24</v>
      </c>
      <c r="W59" s="5"/>
      <c r="X59" s="5" t="s">
        <v>25</v>
      </c>
      <c r="Y59" s="5"/>
      <c r="Z59" s="755" t="s">
        <v>26</v>
      </c>
    </row>
    <row r="60" spans="1:26" ht="18" customHeight="1" thickBot="1">
      <c r="A60" s="326">
        <v>9</v>
      </c>
      <c r="B60" s="223" t="s">
        <v>1121</v>
      </c>
      <c r="C60" s="23"/>
      <c r="D60" s="197">
        <f t="array" ref="D60:I62">ROUNDDOWN(D24:I26*D5*L24:L26,3)</f>
        <v>3</v>
      </c>
      <c r="E60" s="198">
        <v>4.8</v>
      </c>
      <c r="F60" s="198">
        <v>7.8</v>
      </c>
      <c r="G60" s="198">
        <v>14.8</v>
      </c>
      <c r="H60" s="198">
        <v>7.9</v>
      </c>
      <c r="I60" s="199">
        <v>8.6999999999999993</v>
      </c>
      <c r="J60" s="74"/>
      <c r="M60" s="171"/>
      <c r="N60" s="766"/>
      <c r="O60" s="756"/>
      <c r="P60" s="756"/>
      <c r="Q60" s="756"/>
      <c r="R60" s="67" t="s">
        <v>27</v>
      </c>
      <c r="S60" s="67" t="s">
        <v>28</v>
      </c>
      <c r="T60" s="67" t="s">
        <v>27</v>
      </c>
      <c r="U60" s="67" t="s">
        <v>28</v>
      </c>
      <c r="V60" s="67" t="s">
        <v>27</v>
      </c>
      <c r="W60" s="67" t="s">
        <v>28</v>
      </c>
      <c r="X60" s="67" t="s">
        <v>27</v>
      </c>
      <c r="Y60" s="67" t="s">
        <v>28</v>
      </c>
      <c r="Z60" s="756"/>
    </row>
    <row r="61" spans="1:26" ht="18" customHeight="1" thickTop="1">
      <c r="A61" s="326">
        <v>10</v>
      </c>
      <c r="B61" s="223" t="s">
        <v>1122</v>
      </c>
      <c r="C61" s="23"/>
      <c r="D61" s="197">
        <v>4</v>
      </c>
      <c r="E61" s="198">
        <v>6.4</v>
      </c>
      <c r="F61" s="198">
        <v>11.7</v>
      </c>
      <c r="G61" s="198">
        <v>14.8</v>
      </c>
      <c r="H61" s="198">
        <v>11.9</v>
      </c>
      <c r="I61" s="199">
        <v>13</v>
      </c>
      <c r="J61" s="74"/>
      <c r="M61" s="171"/>
      <c r="N61" s="318" t="str">
        <f ca="1">"제 " &amp; Z61 &amp; " 호표  "&amp; OFFSET($A$1,MATCH(Z61,$A:$A,0)-1,1)</f>
        <v>제 1 호표  1.1 자연환경조사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v>1</v>
      </c>
    </row>
    <row r="62" spans="1:26" ht="18" customHeight="1">
      <c r="A62" s="326">
        <v>11</v>
      </c>
      <c r="B62" s="223" t="s">
        <v>1123</v>
      </c>
      <c r="C62" s="23"/>
      <c r="D62" s="197">
        <v>4</v>
      </c>
      <c r="E62" s="198">
        <v>6.4</v>
      </c>
      <c r="F62" s="198">
        <v>11.7</v>
      </c>
      <c r="G62" s="198">
        <v>14.8</v>
      </c>
      <c r="H62" s="198">
        <v>11.9</v>
      </c>
      <c r="I62" s="199">
        <v>13</v>
      </c>
      <c r="J62" s="74"/>
      <c r="M62" s="171"/>
      <c r="N62" s="140" t="s">
        <v>43</v>
      </c>
      <c r="O62" s="172">
        <v>3</v>
      </c>
      <c r="P62" s="219">
        <f ca="1">OFFSET($A$1,MATCH(Z61,$A:$A,0)-1,O62)</f>
        <v>2</v>
      </c>
      <c r="Q62" s="141" t="s">
        <v>29</v>
      </c>
      <c r="R62" s="142">
        <f t="shared" ref="R62:S67" ca="1" si="11">T62</f>
        <v>467217</v>
      </c>
      <c r="S62" s="142">
        <f t="shared" ca="1" si="11"/>
        <v>934434</v>
      </c>
      <c r="T62" s="142">
        <f ca="1">기술사</f>
        <v>467217</v>
      </c>
      <c r="U62" s="142">
        <f t="shared" ref="U62:U67" ca="1" si="12">ROUNDDOWN(P62*R62,0)</f>
        <v>934434</v>
      </c>
      <c r="V62" s="142"/>
      <c r="W62" s="142"/>
      <c r="X62" s="142"/>
      <c r="Y62" s="142"/>
      <c r="Z62" s="114"/>
    </row>
    <row r="63" spans="1:26" ht="18" customHeight="1">
      <c r="B63" s="222" t="s">
        <v>254</v>
      </c>
      <c r="C63" s="47"/>
      <c r="D63" s="48">
        <f t="shared" ref="D63:I63" si="13">SUBTOTAL(9,D64:D71)</f>
        <v>62</v>
      </c>
      <c r="E63" s="49">
        <f t="shared" si="13"/>
        <v>98.199999999999989</v>
      </c>
      <c r="F63" s="49">
        <f t="shared" si="13"/>
        <v>242.60000000000002</v>
      </c>
      <c r="G63" s="49">
        <f t="shared" si="13"/>
        <v>481.00000000000006</v>
      </c>
      <c r="H63" s="49">
        <f t="shared" si="13"/>
        <v>514.6</v>
      </c>
      <c r="I63" s="50">
        <f t="shared" si="13"/>
        <v>561.79999999999995</v>
      </c>
      <c r="J63" s="74"/>
      <c r="M63" s="171"/>
      <c r="N63" s="143" t="s">
        <v>32</v>
      </c>
      <c r="O63" s="173">
        <v>4</v>
      </c>
      <c r="P63" s="234">
        <f ca="1">OFFSET($A$1,MATCH(Z61,$A:$A,0)-1,O63)</f>
        <v>3.2</v>
      </c>
      <c r="Q63" s="144" t="s">
        <v>29</v>
      </c>
      <c r="R63" s="118">
        <f t="shared" ca="1" si="11"/>
        <v>373353</v>
      </c>
      <c r="S63" s="118">
        <f t="shared" ca="1" si="11"/>
        <v>1194729</v>
      </c>
      <c r="T63" s="118">
        <f ca="1">특급</f>
        <v>373353</v>
      </c>
      <c r="U63" s="118">
        <f t="shared" ca="1" si="12"/>
        <v>1194729</v>
      </c>
      <c r="V63" s="118"/>
      <c r="W63" s="118"/>
      <c r="X63" s="118"/>
      <c r="Y63" s="118"/>
      <c r="Z63" s="115"/>
    </row>
    <row r="64" spans="1:26" ht="18" customHeight="1">
      <c r="A64" s="326">
        <v>12</v>
      </c>
      <c r="B64" s="223" t="s">
        <v>1124</v>
      </c>
      <c r="C64" s="23"/>
      <c r="D64" s="197">
        <f t="array" ref="D64:I71">ROUNDDOWN(D28:I35*D5*L28:L35,3)</f>
        <v>13</v>
      </c>
      <c r="E64" s="198">
        <v>20.5</v>
      </c>
      <c r="F64" s="198">
        <v>50.9</v>
      </c>
      <c r="G64" s="198">
        <v>99.9</v>
      </c>
      <c r="H64" s="198">
        <v>106.9</v>
      </c>
      <c r="I64" s="199">
        <v>116.7</v>
      </c>
      <c r="J64" s="74"/>
      <c r="M64" s="171"/>
      <c r="N64" s="145" t="s">
        <v>39</v>
      </c>
      <c r="O64" s="173">
        <v>5</v>
      </c>
      <c r="P64" s="234">
        <f ca="1">OFFSET($A$1,MATCH(Z61,$A:$A,0)-1,O64)</f>
        <v>11.7</v>
      </c>
      <c r="Q64" s="144" t="s">
        <v>29</v>
      </c>
      <c r="R64" s="118">
        <f t="shared" ca="1" si="11"/>
        <v>310884</v>
      </c>
      <c r="S64" s="118">
        <f t="shared" ca="1" si="11"/>
        <v>3637342</v>
      </c>
      <c r="T64" s="118">
        <f ca="1">고급</f>
        <v>310884</v>
      </c>
      <c r="U64" s="118">
        <f t="shared" ca="1" si="12"/>
        <v>3637342</v>
      </c>
      <c r="V64" s="118"/>
      <c r="W64" s="118"/>
      <c r="X64" s="118"/>
      <c r="Y64" s="118"/>
      <c r="Z64" s="115"/>
    </row>
    <row r="65" spans="1:26" ht="18" customHeight="1">
      <c r="A65" s="326">
        <v>13</v>
      </c>
      <c r="B65" s="223" t="s">
        <v>1125</v>
      </c>
      <c r="C65" s="23"/>
      <c r="D65" s="197">
        <v>9</v>
      </c>
      <c r="E65" s="198">
        <v>14.3</v>
      </c>
      <c r="F65" s="198">
        <v>35.200000000000003</v>
      </c>
      <c r="G65" s="198">
        <v>70.3</v>
      </c>
      <c r="H65" s="198">
        <v>75.2</v>
      </c>
      <c r="I65" s="199">
        <v>82.1</v>
      </c>
      <c r="J65" s="74"/>
      <c r="M65" s="171"/>
      <c r="N65" s="145" t="s">
        <v>40</v>
      </c>
      <c r="O65" s="173">
        <v>6</v>
      </c>
      <c r="P65" s="234">
        <f ca="1">OFFSET($A$1,MATCH(Z61,$A:$A,0)-1,O65)</f>
        <v>22.2</v>
      </c>
      <c r="Q65" s="144" t="s">
        <v>29</v>
      </c>
      <c r="R65" s="118">
        <f t="shared" ca="1" si="11"/>
        <v>295138</v>
      </c>
      <c r="S65" s="118">
        <f t="shared" ca="1" si="11"/>
        <v>6552063</v>
      </c>
      <c r="T65" s="118">
        <f ca="1">중급</f>
        <v>295138</v>
      </c>
      <c r="U65" s="118">
        <f t="shared" ca="1" si="12"/>
        <v>6552063</v>
      </c>
      <c r="V65" s="118"/>
      <c r="W65" s="118"/>
      <c r="X65" s="118"/>
      <c r="Y65" s="118"/>
      <c r="Z65" s="115"/>
    </row>
    <row r="66" spans="1:26" ht="18" customHeight="1">
      <c r="A66" s="326">
        <v>14</v>
      </c>
      <c r="B66" s="223" t="s">
        <v>1126</v>
      </c>
      <c r="C66" s="23"/>
      <c r="D66" s="197">
        <v>9</v>
      </c>
      <c r="E66" s="198">
        <v>14.3</v>
      </c>
      <c r="F66" s="198">
        <v>35.200000000000003</v>
      </c>
      <c r="G66" s="198">
        <v>70.3</v>
      </c>
      <c r="H66" s="198">
        <v>75.2</v>
      </c>
      <c r="I66" s="199">
        <v>82.1</v>
      </c>
      <c r="J66" s="74"/>
      <c r="M66" s="171"/>
      <c r="N66" s="145" t="s">
        <v>41</v>
      </c>
      <c r="O66" s="173">
        <v>7</v>
      </c>
      <c r="P66" s="234">
        <f ca="1">OFFSET($A$1,MATCH(Z61,$A:$A,0)-1,O66)</f>
        <v>23.8</v>
      </c>
      <c r="Q66" s="144" t="s">
        <v>29</v>
      </c>
      <c r="R66" s="118">
        <f t="shared" ca="1" si="11"/>
        <v>235459</v>
      </c>
      <c r="S66" s="118">
        <f t="shared" ca="1" si="11"/>
        <v>5603924</v>
      </c>
      <c r="T66" s="118">
        <f ca="1">초급</f>
        <v>235459</v>
      </c>
      <c r="U66" s="118">
        <f t="shared" ca="1" si="12"/>
        <v>5603924</v>
      </c>
      <c r="V66" s="118"/>
      <c r="W66" s="118"/>
      <c r="X66" s="118"/>
      <c r="Y66" s="118"/>
      <c r="Z66" s="115"/>
    </row>
    <row r="67" spans="1:26" ht="18" customHeight="1">
      <c r="A67" s="326">
        <v>15</v>
      </c>
      <c r="B67" s="223" t="s">
        <v>1127</v>
      </c>
      <c r="C67" s="23"/>
      <c r="D67" s="197">
        <v>0</v>
      </c>
      <c r="E67" s="198">
        <v>0</v>
      </c>
      <c r="F67" s="198">
        <v>0</v>
      </c>
      <c r="G67" s="198">
        <v>0</v>
      </c>
      <c r="H67" s="198">
        <v>0</v>
      </c>
      <c r="I67" s="199">
        <v>0</v>
      </c>
      <c r="J67" s="389"/>
      <c r="M67" s="171"/>
      <c r="N67" s="319" t="s">
        <v>42</v>
      </c>
      <c r="O67" s="174">
        <v>8</v>
      </c>
      <c r="P67" s="235">
        <f ca="1">OFFSET($A$1,MATCH(Z61,$A:$A,0)-1,O67)</f>
        <v>26</v>
      </c>
      <c r="Q67" s="322" t="s">
        <v>29</v>
      </c>
      <c r="R67" s="323">
        <f t="shared" ca="1" si="11"/>
        <v>250087</v>
      </c>
      <c r="S67" s="323">
        <f t="shared" ca="1" si="11"/>
        <v>6502262</v>
      </c>
      <c r="T67" s="323">
        <f ca="1">보조원</f>
        <v>250087</v>
      </c>
      <c r="U67" s="323">
        <f t="shared" ca="1" si="12"/>
        <v>6502262</v>
      </c>
      <c r="V67" s="323"/>
      <c r="W67" s="323"/>
      <c r="X67" s="323"/>
      <c r="Y67" s="323"/>
      <c r="Z67" s="324"/>
    </row>
    <row r="68" spans="1:26" ht="18" customHeight="1">
      <c r="A68" s="326">
        <v>16</v>
      </c>
      <c r="B68" s="223" t="s">
        <v>1128</v>
      </c>
      <c r="C68" s="23"/>
      <c r="D68" s="197">
        <v>9</v>
      </c>
      <c r="E68" s="198">
        <v>14.3</v>
      </c>
      <c r="F68" s="198">
        <v>35.200000000000003</v>
      </c>
      <c r="G68" s="198">
        <v>70.3</v>
      </c>
      <c r="H68" s="198">
        <v>75.2</v>
      </c>
      <c r="I68" s="199">
        <v>82.1</v>
      </c>
      <c r="J68" s="389"/>
      <c r="L68" s="171"/>
      <c r="M68" s="171"/>
      <c r="N68" s="139" t="s">
        <v>17</v>
      </c>
      <c r="O68" s="68"/>
      <c r="P68" s="69"/>
      <c r="Q68" s="70"/>
      <c r="R68" s="71"/>
      <c r="S68" s="71">
        <f ca="1">SUBTOTAL(9,S62:S67)</f>
        <v>24424754</v>
      </c>
      <c r="T68" s="71"/>
      <c r="U68" s="71">
        <f ca="1">SUBTOTAL(9,U62:U67)</f>
        <v>24424754</v>
      </c>
      <c r="V68" s="71"/>
      <c r="W68" s="71"/>
      <c r="X68" s="71"/>
      <c r="Y68" s="71"/>
      <c r="Z68" s="68"/>
    </row>
    <row r="69" spans="1:26" ht="18" customHeight="1">
      <c r="A69" s="326">
        <v>17</v>
      </c>
      <c r="B69" s="223" t="s">
        <v>1129</v>
      </c>
      <c r="C69" s="23"/>
      <c r="D69" s="197">
        <v>13</v>
      </c>
      <c r="E69" s="198">
        <v>20.5</v>
      </c>
      <c r="F69" s="198">
        <v>50.9</v>
      </c>
      <c r="G69" s="198">
        <v>99.9</v>
      </c>
      <c r="H69" s="198">
        <v>106.9</v>
      </c>
      <c r="I69" s="199">
        <v>116.7</v>
      </c>
      <c r="J69" s="389"/>
      <c r="K69" s="171" t="s">
        <v>14</v>
      </c>
      <c r="L69" s="171"/>
      <c r="M69" s="171"/>
      <c r="N69" s="318" t="str">
        <f ca="1">"제 " &amp; Z69 &amp; " 호표  "&amp; OFFSET($A$1,MATCH(Z69,$A:$A,0)-1,1)</f>
        <v>제 2 호표  1.2 인문환경조사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2</v>
      </c>
    </row>
    <row r="70" spans="1:26" ht="18" customHeight="1">
      <c r="A70" s="326">
        <v>18</v>
      </c>
      <c r="B70" s="223" t="s">
        <v>1130</v>
      </c>
      <c r="C70" s="23"/>
      <c r="D70" s="197">
        <v>9</v>
      </c>
      <c r="E70" s="198">
        <v>14.3</v>
      </c>
      <c r="F70" s="198">
        <v>35.200000000000003</v>
      </c>
      <c r="G70" s="198">
        <v>70.3</v>
      </c>
      <c r="H70" s="198">
        <v>75.2</v>
      </c>
      <c r="I70" s="199">
        <v>82.1</v>
      </c>
      <c r="J70" s="389"/>
      <c r="K70" s="171" t="s">
        <v>14</v>
      </c>
      <c r="L70" s="171"/>
      <c r="M70" s="171"/>
      <c r="N70" s="140" t="s">
        <v>43</v>
      </c>
      <c r="O70" s="172">
        <v>3</v>
      </c>
      <c r="P70" s="219">
        <f ca="1">OFFSET($A$1,MATCH(Z69,$A:$A,0)-1,O70)</f>
        <v>2</v>
      </c>
      <c r="Q70" s="141" t="s">
        <v>29</v>
      </c>
      <c r="R70" s="142">
        <f t="shared" ref="R70:S75" ca="1" si="14">T70</f>
        <v>467217</v>
      </c>
      <c r="S70" s="142">
        <f t="shared" ca="1" si="14"/>
        <v>934434</v>
      </c>
      <c r="T70" s="142">
        <f ca="1">기술사</f>
        <v>467217</v>
      </c>
      <c r="U70" s="142">
        <f t="shared" ref="U70:U75" ca="1" si="15">ROUNDDOWN(P70*R70,0)</f>
        <v>934434</v>
      </c>
      <c r="V70" s="142"/>
      <c r="W70" s="142"/>
      <c r="X70" s="142"/>
      <c r="Y70" s="142"/>
      <c r="Z70" s="114"/>
    </row>
    <row r="71" spans="1:26" ht="18" customHeight="1">
      <c r="A71" s="326">
        <v>19</v>
      </c>
      <c r="B71" s="223" t="s">
        <v>1131</v>
      </c>
      <c r="C71" s="23"/>
      <c r="D71" s="197">
        <v>0</v>
      </c>
      <c r="E71" s="198">
        <v>0</v>
      </c>
      <c r="F71" s="198">
        <v>0</v>
      </c>
      <c r="G71" s="198">
        <v>0</v>
      </c>
      <c r="H71" s="198">
        <v>0</v>
      </c>
      <c r="I71" s="199">
        <v>0</v>
      </c>
      <c r="J71" s="389"/>
      <c r="K71" s="171" t="s">
        <v>14</v>
      </c>
      <c r="L71" s="171"/>
      <c r="M71" s="171"/>
      <c r="N71" s="143" t="s">
        <v>32</v>
      </c>
      <c r="O71" s="173">
        <v>4</v>
      </c>
      <c r="P71" s="234">
        <f ca="1">OFFSET($A$1,MATCH(Z69,$A:$A,0)-1,O71)</f>
        <v>3.2</v>
      </c>
      <c r="Q71" s="144" t="s">
        <v>29</v>
      </c>
      <c r="R71" s="118">
        <f t="shared" ca="1" si="14"/>
        <v>373353</v>
      </c>
      <c r="S71" s="118">
        <f t="shared" ca="1" si="14"/>
        <v>1194729</v>
      </c>
      <c r="T71" s="118">
        <f ca="1">특급</f>
        <v>373353</v>
      </c>
      <c r="U71" s="118">
        <f t="shared" ca="1" si="15"/>
        <v>1194729</v>
      </c>
      <c r="V71" s="118"/>
      <c r="W71" s="118"/>
      <c r="X71" s="118"/>
      <c r="Y71" s="118"/>
      <c r="Z71" s="115"/>
    </row>
    <row r="72" spans="1:26" ht="18" customHeight="1">
      <c r="B72" s="222" t="s">
        <v>248</v>
      </c>
      <c r="C72" s="47"/>
      <c r="D72" s="48">
        <f t="shared" ref="D72:I72" si="16">SUBTOTAL(9,D73:D75)</f>
        <v>8</v>
      </c>
      <c r="E72" s="49">
        <f t="shared" si="16"/>
        <v>12.8</v>
      </c>
      <c r="F72" s="49">
        <f t="shared" si="16"/>
        <v>27.400000000000002</v>
      </c>
      <c r="G72" s="49">
        <f t="shared" si="16"/>
        <v>29.6</v>
      </c>
      <c r="H72" s="49">
        <f t="shared" si="16"/>
        <v>31.700000000000003</v>
      </c>
      <c r="I72" s="50">
        <f t="shared" si="16"/>
        <v>34.700000000000003</v>
      </c>
      <c r="J72" s="389"/>
      <c r="K72" s="171" t="s">
        <v>14</v>
      </c>
      <c r="L72" s="171"/>
      <c r="M72" s="171"/>
      <c r="N72" s="145" t="s">
        <v>39</v>
      </c>
      <c r="O72" s="173">
        <v>5</v>
      </c>
      <c r="P72" s="234">
        <f ca="1">OFFSET($A$1,MATCH(Z69,$A:$A,0)-1,O72)</f>
        <v>11.7</v>
      </c>
      <c r="Q72" s="144" t="s">
        <v>29</v>
      </c>
      <c r="R72" s="118">
        <f t="shared" ca="1" si="14"/>
        <v>310884</v>
      </c>
      <c r="S72" s="118">
        <f t="shared" ca="1" si="14"/>
        <v>3637342</v>
      </c>
      <c r="T72" s="118">
        <f ca="1">고급</f>
        <v>310884</v>
      </c>
      <c r="U72" s="118">
        <f t="shared" ca="1" si="15"/>
        <v>3637342</v>
      </c>
      <c r="V72" s="118"/>
      <c r="W72" s="118"/>
      <c r="X72" s="118"/>
      <c r="Y72" s="118"/>
      <c r="Z72" s="115"/>
    </row>
    <row r="73" spans="1:26" ht="18" customHeight="1">
      <c r="A73" s="326">
        <v>20</v>
      </c>
      <c r="B73" s="223" t="s">
        <v>1176</v>
      </c>
      <c r="C73" s="23"/>
      <c r="D73" s="197">
        <f t="array" ref="D73:I75">ROUNDDOWN(D37:I39*D5*L37:L39,3)</f>
        <v>3</v>
      </c>
      <c r="E73" s="198">
        <v>4.8</v>
      </c>
      <c r="F73" s="198">
        <v>9.8000000000000007</v>
      </c>
      <c r="G73" s="198">
        <v>11.1</v>
      </c>
      <c r="H73" s="198">
        <v>11.9</v>
      </c>
      <c r="I73" s="199">
        <v>13</v>
      </c>
      <c r="J73" s="74"/>
      <c r="K73" s="171" t="s">
        <v>14</v>
      </c>
      <c r="L73" s="171"/>
      <c r="M73" s="171"/>
      <c r="N73" s="145" t="s">
        <v>40</v>
      </c>
      <c r="O73" s="173">
        <v>6</v>
      </c>
      <c r="P73" s="234">
        <f ca="1">OFFSET($A$1,MATCH(Z69,$A:$A,0)-1,O73)</f>
        <v>29.6</v>
      </c>
      <c r="Q73" s="144" t="s">
        <v>29</v>
      </c>
      <c r="R73" s="118">
        <f t="shared" ca="1" si="14"/>
        <v>295138</v>
      </c>
      <c r="S73" s="118">
        <f t="shared" ca="1" si="14"/>
        <v>8736084</v>
      </c>
      <c r="T73" s="118">
        <f ca="1">중급</f>
        <v>295138</v>
      </c>
      <c r="U73" s="118">
        <f t="shared" ca="1" si="15"/>
        <v>8736084</v>
      </c>
      <c r="V73" s="118"/>
      <c r="W73" s="118"/>
      <c r="X73" s="118"/>
      <c r="Y73" s="118"/>
      <c r="Z73" s="115"/>
    </row>
    <row r="74" spans="1:26" ht="18" customHeight="1">
      <c r="A74" s="326">
        <v>21</v>
      </c>
      <c r="B74" s="223" t="s">
        <v>1177</v>
      </c>
      <c r="C74" s="23"/>
      <c r="D74" s="197">
        <v>3</v>
      </c>
      <c r="E74" s="198">
        <v>4.8</v>
      </c>
      <c r="F74" s="198">
        <v>9.8000000000000007</v>
      </c>
      <c r="G74" s="198">
        <v>11.1</v>
      </c>
      <c r="H74" s="198">
        <v>11.9</v>
      </c>
      <c r="I74" s="199">
        <v>13</v>
      </c>
      <c r="J74" s="74"/>
      <c r="K74" s="171" t="s">
        <v>14</v>
      </c>
      <c r="L74" s="171"/>
      <c r="M74" s="171"/>
      <c r="N74" s="145" t="s">
        <v>41</v>
      </c>
      <c r="O74" s="173">
        <v>7</v>
      </c>
      <c r="P74" s="234">
        <f ca="1">OFFSET($A$1,MATCH(Z69,$A:$A,0)-1,O74)</f>
        <v>31.7</v>
      </c>
      <c r="Q74" s="144" t="s">
        <v>29</v>
      </c>
      <c r="R74" s="118">
        <f t="shared" ca="1" si="14"/>
        <v>235459</v>
      </c>
      <c r="S74" s="118">
        <f t="shared" ca="1" si="14"/>
        <v>7464050</v>
      </c>
      <c r="T74" s="118">
        <f ca="1">초급</f>
        <v>235459</v>
      </c>
      <c r="U74" s="118">
        <f t="shared" ca="1" si="15"/>
        <v>7464050</v>
      </c>
      <c r="V74" s="118"/>
      <c r="W74" s="118"/>
      <c r="X74" s="118"/>
      <c r="Y74" s="118"/>
      <c r="Z74" s="115"/>
    </row>
    <row r="75" spans="1:26" ht="18" customHeight="1">
      <c r="A75" s="326">
        <v>22</v>
      </c>
      <c r="B75" s="223" t="s">
        <v>1134</v>
      </c>
      <c r="C75" s="23"/>
      <c r="D75" s="197">
        <v>2</v>
      </c>
      <c r="E75" s="198">
        <v>3.2</v>
      </c>
      <c r="F75" s="198">
        <v>7.8</v>
      </c>
      <c r="G75" s="198">
        <v>7.4</v>
      </c>
      <c r="H75" s="198">
        <v>7.9</v>
      </c>
      <c r="I75" s="199">
        <v>8.6999999999999993</v>
      </c>
      <c r="J75" s="74"/>
      <c r="K75" s="171" t="s">
        <v>14</v>
      </c>
      <c r="L75" s="171"/>
      <c r="M75" s="171"/>
      <c r="N75" s="319" t="s">
        <v>42</v>
      </c>
      <c r="O75" s="174">
        <v>8</v>
      </c>
      <c r="P75" s="235">
        <f ca="1">OFFSET($A$1,MATCH(Z69,$A:$A,0)-1,O75)</f>
        <v>34.6</v>
      </c>
      <c r="Q75" s="322" t="s">
        <v>29</v>
      </c>
      <c r="R75" s="323">
        <f t="shared" ca="1" si="14"/>
        <v>250087</v>
      </c>
      <c r="S75" s="323">
        <f t="shared" ca="1" si="14"/>
        <v>8653010</v>
      </c>
      <c r="T75" s="323">
        <f ca="1">보조원</f>
        <v>250087</v>
      </c>
      <c r="U75" s="323">
        <f t="shared" ca="1" si="15"/>
        <v>8653010</v>
      </c>
      <c r="V75" s="323"/>
      <c r="W75" s="323"/>
      <c r="X75" s="323"/>
      <c r="Y75" s="323"/>
      <c r="Z75" s="324"/>
    </row>
    <row r="76" spans="1:26" ht="18" customHeight="1">
      <c r="B76" s="222" t="s">
        <v>257</v>
      </c>
      <c r="C76" s="47"/>
      <c r="D76" s="48">
        <f t="shared" ref="D76:I76" si="17">SUBTOTAL(9,D77:D78)</f>
        <v>3</v>
      </c>
      <c r="E76" s="49">
        <f t="shared" si="17"/>
        <v>4.8000000000000007</v>
      </c>
      <c r="F76" s="49">
        <f t="shared" si="17"/>
        <v>11.7</v>
      </c>
      <c r="G76" s="49">
        <f t="shared" si="17"/>
        <v>22.200000000000003</v>
      </c>
      <c r="H76" s="49">
        <f t="shared" si="17"/>
        <v>39.700000000000003</v>
      </c>
      <c r="I76" s="50">
        <f t="shared" si="17"/>
        <v>43.3</v>
      </c>
      <c r="J76" s="74"/>
      <c r="K76" s="171" t="s">
        <v>14</v>
      </c>
      <c r="L76" s="171"/>
      <c r="M76" s="171"/>
      <c r="N76" s="139" t="s">
        <v>17</v>
      </c>
      <c r="O76" s="68"/>
      <c r="P76" s="69"/>
      <c r="Q76" s="70"/>
      <c r="R76" s="71"/>
      <c r="S76" s="71">
        <f ca="1">SUBTOTAL(9,S70:S75)</f>
        <v>30619649</v>
      </c>
      <c r="T76" s="71"/>
      <c r="U76" s="71">
        <f ca="1">SUBTOTAL(9,U70:U75)</f>
        <v>30619649</v>
      </c>
      <c r="V76" s="71"/>
      <c r="W76" s="71"/>
      <c r="X76" s="71"/>
      <c r="Y76" s="71"/>
      <c r="Z76" s="68"/>
    </row>
    <row r="77" spans="1:26" ht="18" customHeight="1">
      <c r="A77" s="326">
        <v>23</v>
      </c>
      <c r="B77" s="223" t="s">
        <v>1178</v>
      </c>
      <c r="C77" s="23"/>
      <c r="D77" s="197">
        <f t="array" ref="D77:I78">ROUNDDOWN(D41:I42*D5*L41:L42,3)</f>
        <v>2</v>
      </c>
      <c r="E77" s="198">
        <v>3.2</v>
      </c>
      <c r="F77" s="198">
        <v>7.8</v>
      </c>
      <c r="G77" s="198">
        <v>14.8</v>
      </c>
      <c r="H77" s="198">
        <v>15.9</v>
      </c>
      <c r="I77" s="199">
        <v>17.3</v>
      </c>
      <c r="J77" s="74"/>
      <c r="K77" s="171" t="s">
        <v>14</v>
      </c>
      <c r="L77" s="171"/>
      <c r="M77" s="171"/>
      <c r="N77" s="318" t="str">
        <f ca="1">"제 " &amp; Z77 &amp; " 호표  "&amp; OFFSET($A$1,MATCH(Z77,$A:$A,0)-1,1)</f>
        <v>제 3 호표  1.3 환경여건조사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3</v>
      </c>
    </row>
    <row r="78" spans="1:26" ht="18" customHeight="1">
      <c r="A78" s="326">
        <v>24</v>
      </c>
      <c r="B78" s="223" t="s">
        <v>1179</v>
      </c>
      <c r="C78" s="43"/>
      <c r="D78" s="206">
        <v>1</v>
      </c>
      <c r="E78" s="207">
        <v>1.6</v>
      </c>
      <c r="F78" s="207">
        <v>3.9</v>
      </c>
      <c r="G78" s="207">
        <v>7.4</v>
      </c>
      <c r="H78" s="207">
        <v>23.8</v>
      </c>
      <c r="I78" s="208">
        <v>26</v>
      </c>
      <c r="J78" s="239"/>
      <c r="K78" s="171" t="s">
        <v>14</v>
      </c>
      <c r="L78" s="171"/>
      <c r="M78" s="171"/>
      <c r="N78" s="140" t="s">
        <v>43</v>
      </c>
      <c r="O78" s="172">
        <v>3</v>
      </c>
      <c r="P78" s="219">
        <f ca="1">OFFSET($A$1,MATCH(Z77,$A:$A,0)-1,O78)</f>
        <v>2</v>
      </c>
      <c r="Q78" s="141" t="s">
        <v>29</v>
      </c>
      <c r="R78" s="142">
        <f t="shared" ref="R78:S83" ca="1" si="18">T78</f>
        <v>467217</v>
      </c>
      <c r="S78" s="142">
        <f t="shared" ca="1" si="18"/>
        <v>934434</v>
      </c>
      <c r="T78" s="142">
        <f ca="1">기술사</f>
        <v>467217</v>
      </c>
      <c r="U78" s="142">
        <f t="shared" ref="U78:U83" ca="1" si="19">ROUNDDOWN(P78*R78,0)</f>
        <v>934434</v>
      </c>
      <c r="V78" s="142"/>
      <c r="W78" s="142"/>
      <c r="X78" s="142"/>
      <c r="Y78" s="142"/>
      <c r="Z78" s="114"/>
    </row>
    <row r="79" spans="1:26" ht="18" customHeight="1">
      <c r="B79" s="222" t="s">
        <v>180</v>
      </c>
      <c r="C79" s="47"/>
      <c r="D79" s="48">
        <f t="shared" ref="D79:I79" si="20">SUBTOTAL(9,D80:D83)</f>
        <v>8</v>
      </c>
      <c r="E79" s="49">
        <f t="shared" si="20"/>
        <v>8</v>
      </c>
      <c r="F79" s="49">
        <f t="shared" si="20"/>
        <v>8</v>
      </c>
      <c r="G79" s="49">
        <f t="shared" si="20"/>
        <v>16</v>
      </c>
      <c r="H79" s="49">
        <f t="shared" si="20"/>
        <v>16</v>
      </c>
      <c r="I79" s="50">
        <f t="shared" si="20"/>
        <v>16</v>
      </c>
      <c r="J79" s="287"/>
      <c r="K79" s="171" t="s">
        <v>14</v>
      </c>
      <c r="L79" s="171"/>
      <c r="M79" s="171"/>
      <c r="N79" s="143" t="s">
        <v>32</v>
      </c>
      <c r="O79" s="173">
        <v>4</v>
      </c>
      <c r="P79" s="234">
        <f ca="1">OFFSET($A$1,MATCH(Z77,$A:$A,0)-1,O79)</f>
        <v>3.2</v>
      </c>
      <c r="Q79" s="144" t="s">
        <v>29</v>
      </c>
      <c r="R79" s="118">
        <f t="shared" ca="1" si="18"/>
        <v>373353</v>
      </c>
      <c r="S79" s="118">
        <f t="shared" ca="1" si="18"/>
        <v>1194729</v>
      </c>
      <c r="T79" s="118">
        <f ca="1">특급</f>
        <v>373353</v>
      </c>
      <c r="U79" s="118">
        <f t="shared" ca="1" si="19"/>
        <v>1194729</v>
      </c>
      <c r="V79" s="118"/>
      <c r="W79" s="118"/>
      <c r="X79" s="118"/>
      <c r="Y79" s="118"/>
      <c r="Z79" s="115"/>
    </row>
    <row r="80" spans="1:26" ht="18" customHeight="1">
      <c r="A80" s="326">
        <v>25</v>
      </c>
      <c r="B80" s="223" t="s">
        <v>1180</v>
      </c>
      <c r="C80" s="23"/>
      <c r="D80" s="197">
        <f t="array" ref="D80:I83">ROUNDDOWN(D44:I47*L44:L47*I5,3)</f>
        <v>2</v>
      </c>
      <c r="E80" s="198">
        <v>2</v>
      </c>
      <c r="F80" s="198">
        <v>2</v>
      </c>
      <c r="G80" s="198">
        <v>4</v>
      </c>
      <c r="H80" s="198">
        <v>4</v>
      </c>
      <c r="I80" s="199">
        <v>4</v>
      </c>
      <c r="J80" s="74"/>
      <c r="K80" s="171" t="s">
        <v>14</v>
      </c>
      <c r="L80" s="171"/>
      <c r="M80" s="171"/>
      <c r="N80" s="145" t="s">
        <v>39</v>
      </c>
      <c r="O80" s="173">
        <v>5</v>
      </c>
      <c r="P80" s="234">
        <f ca="1">OFFSET($A$1,MATCH(Z77,$A:$A,0)-1,O80)</f>
        <v>11.7</v>
      </c>
      <c r="Q80" s="144" t="s">
        <v>29</v>
      </c>
      <c r="R80" s="118">
        <f t="shared" ca="1" si="18"/>
        <v>310884</v>
      </c>
      <c r="S80" s="118">
        <f t="shared" ca="1" si="18"/>
        <v>3637342</v>
      </c>
      <c r="T80" s="118">
        <f ca="1">고급</f>
        <v>310884</v>
      </c>
      <c r="U80" s="118">
        <f t="shared" ca="1" si="19"/>
        <v>3637342</v>
      </c>
      <c r="V80" s="118"/>
      <c r="W80" s="118"/>
      <c r="X80" s="118"/>
      <c r="Y80" s="118"/>
      <c r="Z80" s="115"/>
    </row>
    <row r="81" spans="1:26" ht="18" customHeight="1">
      <c r="A81" s="326">
        <v>26</v>
      </c>
      <c r="B81" s="223" t="s">
        <v>1181</v>
      </c>
      <c r="C81" s="23"/>
      <c r="D81" s="197">
        <v>2</v>
      </c>
      <c r="E81" s="198">
        <v>2</v>
      </c>
      <c r="F81" s="198">
        <v>2</v>
      </c>
      <c r="G81" s="198">
        <v>4</v>
      </c>
      <c r="H81" s="198">
        <v>4</v>
      </c>
      <c r="I81" s="199">
        <v>4</v>
      </c>
      <c r="J81" s="74"/>
      <c r="K81" s="171" t="s">
        <v>14</v>
      </c>
      <c r="L81" s="171"/>
      <c r="M81" s="171"/>
      <c r="N81" s="145" t="s">
        <v>40</v>
      </c>
      <c r="O81" s="173">
        <v>6</v>
      </c>
      <c r="P81" s="234">
        <f ca="1">OFFSET($A$1,MATCH(Z77,$A:$A,0)-1,O81)</f>
        <v>29.6</v>
      </c>
      <c r="Q81" s="144" t="s">
        <v>29</v>
      </c>
      <c r="R81" s="118">
        <f t="shared" ca="1" si="18"/>
        <v>295138</v>
      </c>
      <c r="S81" s="118">
        <f t="shared" ca="1" si="18"/>
        <v>8736084</v>
      </c>
      <c r="T81" s="118">
        <f ca="1">중급</f>
        <v>295138</v>
      </c>
      <c r="U81" s="118">
        <f t="shared" ca="1" si="19"/>
        <v>8736084</v>
      </c>
      <c r="V81" s="118"/>
      <c r="W81" s="118"/>
      <c r="X81" s="118"/>
      <c r="Y81" s="118"/>
      <c r="Z81" s="115"/>
    </row>
    <row r="82" spans="1:26" ht="18" customHeight="1">
      <c r="A82" s="326">
        <v>27</v>
      </c>
      <c r="B82" s="223" t="s">
        <v>1182</v>
      </c>
      <c r="C82" s="23"/>
      <c r="D82" s="197">
        <v>2</v>
      </c>
      <c r="E82" s="198">
        <v>2</v>
      </c>
      <c r="F82" s="198">
        <v>2</v>
      </c>
      <c r="G82" s="198">
        <v>4</v>
      </c>
      <c r="H82" s="198">
        <v>4</v>
      </c>
      <c r="I82" s="199">
        <v>4</v>
      </c>
      <c r="J82" s="74"/>
      <c r="K82" s="171" t="s">
        <v>14</v>
      </c>
      <c r="L82" s="171"/>
      <c r="M82" s="171"/>
      <c r="N82" s="145" t="s">
        <v>41</v>
      </c>
      <c r="O82" s="173">
        <v>7</v>
      </c>
      <c r="P82" s="234">
        <f ca="1">OFFSET($A$1,MATCH(Z77,$A:$A,0)-1,O82)</f>
        <v>31.7</v>
      </c>
      <c r="Q82" s="144" t="s">
        <v>29</v>
      </c>
      <c r="R82" s="118">
        <f t="shared" ca="1" si="18"/>
        <v>235459</v>
      </c>
      <c r="S82" s="118">
        <f t="shared" ca="1" si="18"/>
        <v>7464050</v>
      </c>
      <c r="T82" s="118">
        <f ca="1">초급</f>
        <v>235459</v>
      </c>
      <c r="U82" s="118">
        <f t="shared" ca="1" si="19"/>
        <v>7464050</v>
      </c>
      <c r="V82" s="118"/>
      <c r="W82" s="118"/>
      <c r="X82" s="118"/>
      <c r="Y82" s="118"/>
      <c r="Z82" s="115"/>
    </row>
    <row r="83" spans="1:26" ht="18" customHeight="1" thickBot="1">
      <c r="A83" s="326">
        <v>28</v>
      </c>
      <c r="B83" s="388" t="s">
        <v>1183</v>
      </c>
      <c r="C83" s="342"/>
      <c r="D83" s="343">
        <v>2</v>
      </c>
      <c r="E83" s="344">
        <v>2</v>
      </c>
      <c r="F83" s="344">
        <v>2</v>
      </c>
      <c r="G83" s="344">
        <v>4</v>
      </c>
      <c r="H83" s="344">
        <v>4</v>
      </c>
      <c r="I83" s="345">
        <v>4</v>
      </c>
      <c r="J83" s="176"/>
      <c r="K83" s="171" t="s">
        <v>14</v>
      </c>
      <c r="L83" s="171"/>
      <c r="M83" s="171"/>
      <c r="N83" s="319" t="s">
        <v>42</v>
      </c>
      <c r="O83" s="174">
        <v>8</v>
      </c>
      <c r="P83" s="235">
        <f ca="1">OFFSET($A$1,MATCH(Z77,$A:$A,0)-1,O83)</f>
        <v>34.6</v>
      </c>
      <c r="Q83" s="322" t="s">
        <v>29</v>
      </c>
      <c r="R83" s="323">
        <f t="shared" ca="1" si="18"/>
        <v>250087</v>
      </c>
      <c r="S83" s="323">
        <f t="shared" ca="1" si="18"/>
        <v>8653010</v>
      </c>
      <c r="T83" s="323">
        <f ca="1">보조원</f>
        <v>250087</v>
      </c>
      <c r="U83" s="323">
        <f t="shared" ca="1" si="19"/>
        <v>8653010</v>
      </c>
      <c r="V83" s="323"/>
      <c r="W83" s="323"/>
      <c r="X83" s="323"/>
      <c r="Y83" s="323"/>
      <c r="Z83" s="324"/>
    </row>
    <row r="84" spans="1:26" ht="18" customHeight="1">
      <c r="B84" s="80" t="s">
        <v>15</v>
      </c>
      <c r="C84" s="9" t="s">
        <v>1172</v>
      </c>
      <c r="K84" s="171" t="s">
        <v>14</v>
      </c>
      <c r="L84" s="171"/>
      <c r="M84" s="171"/>
      <c r="N84" s="139" t="s">
        <v>17</v>
      </c>
      <c r="O84" s="68"/>
      <c r="P84" s="69"/>
      <c r="Q84" s="70"/>
      <c r="R84" s="71"/>
      <c r="S84" s="71">
        <f ca="1">SUBTOTAL(9,S78:S83)</f>
        <v>30619649</v>
      </c>
      <c r="T84" s="71"/>
      <c r="U84" s="71">
        <f ca="1">SUBTOTAL(9,U78:U83)</f>
        <v>30619649</v>
      </c>
      <c r="V84" s="71"/>
      <c r="W84" s="71"/>
      <c r="X84" s="71"/>
      <c r="Y84" s="71"/>
      <c r="Z84" s="68"/>
    </row>
    <row r="85" spans="1:26" ht="18" customHeight="1">
      <c r="C85" s="9" t="s">
        <v>1173</v>
      </c>
      <c r="K85" s="171" t="s">
        <v>14</v>
      </c>
      <c r="L85" s="171"/>
      <c r="M85" s="171"/>
      <c r="N85" s="318" t="str">
        <f ca="1">"제 " &amp; Z85 &amp; " 호표  "&amp; OFFSET($A$1,MATCH(Z85,$A:$A,0)-1,1)</f>
        <v>제 4 호표  1.4 산업현황조사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4</v>
      </c>
    </row>
    <row r="86" spans="1:26" ht="18" customHeight="1">
      <c r="C86" s="9" t="s">
        <v>1174</v>
      </c>
      <c r="K86" s="171" t="s">
        <v>14</v>
      </c>
      <c r="L86" s="171"/>
      <c r="M86" s="171"/>
      <c r="N86" s="140" t="s">
        <v>43</v>
      </c>
      <c r="O86" s="172">
        <v>3</v>
      </c>
      <c r="P86" s="219">
        <f ca="1">OFFSET($A$1,MATCH(Z85,$A:$A,0)-1,O86)</f>
        <v>2</v>
      </c>
      <c r="Q86" s="141" t="s">
        <v>29</v>
      </c>
      <c r="R86" s="142">
        <f t="shared" ref="R86:S91" ca="1" si="21">T86</f>
        <v>467217</v>
      </c>
      <c r="S86" s="142">
        <f t="shared" ca="1" si="21"/>
        <v>934434</v>
      </c>
      <c r="T86" s="142">
        <f ca="1">기술사</f>
        <v>467217</v>
      </c>
      <c r="U86" s="142">
        <f t="shared" ref="U86:U91" ca="1" si="22">ROUNDDOWN(P86*R86,0)</f>
        <v>934434</v>
      </c>
      <c r="V86" s="142"/>
      <c r="W86" s="142"/>
      <c r="X86" s="142"/>
      <c r="Y86" s="142"/>
      <c r="Z86" s="114"/>
    </row>
    <row r="87" spans="1:26" ht="18" customHeight="1">
      <c r="C87" s="9" t="s">
        <v>1175</v>
      </c>
      <c r="K87" s="171" t="s">
        <v>14</v>
      </c>
      <c r="L87" s="171"/>
      <c r="M87" s="171"/>
      <c r="N87" s="143" t="s">
        <v>32</v>
      </c>
      <c r="O87" s="173">
        <v>4</v>
      </c>
      <c r="P87" s="234">
        <f ca="1">OFFSET($A$1,MATCH(Z85,$A:$A,0)-1,O87)</f>
        <v>3.2</v>
      </c>
      <c r="Q87" s="144" t="s">
        <v>29</v>
      </c>
      <c r="R87" s="118">
        <f t="shared" ca="1" si="21"/>
        <v>373353</v>
      </c>
      <c r="S87" s="118">
        <f t="shared" ca="1" si="21"/>
        <v>1194729</v>
      </c>
      <c r="T87" s="118">
        <f ca="1">특급</f>
        <v>373353</v>
      </c>
      <c r="U87" s="118">
        <f t="shared" ca="1" si="22"/>
        <v>1194729</v>
      </c>
      <c r="V87" s="118"/>
      <c r="W87" s="118"/>
      <c r="X87" s="118"/>
      <c r="Y87" s="118"/>
      <c r="Z87" s="115"/>
    </row>
    <row r="88" spans="1:26" ht="18" customHeight="1">
      <c r="C88" s="9"/>
      <c r="K88" s="171" t="s">
        <v>14</v>
      </c>
      <c r="L88" s="171"/>
      <c r="M88" s="171"/>
      <c r="N88" s="145" t="s">
        <v>39</v>
      </c>
      <c r="O88" s="173">
        <v>5</v>
      </c>
      <c r="P88" s="234">
        <f ca="1">OFFSET($A$1,MATCH(Z85,$A:$A,0)-1,O88)</f>
        <v>11.7</v>
      </c>
      <c r="Q88" s="144" t="s">
        <v>29</v>
      </c>
      <c r="R88" s="118">
        <f t="shared" ca="1" si="21"/>
        <v>310884</v>
      </c>
      <c r="S88" s="118">
        <f t="shared" ca="1" si="21"/>
        <v>3637342</v>
      </c>
      <c r="T88" s="118">
        <f ca="1">고급</f>
        <v>310884</v>
      </c>
      <c r="U88" s="118">
        <f t="shared" ca="1" si="22"/>
        <v>3637342</v>
      </c>
      <c r="V88" s="118"/>
      <c r="W88" s="118"/>
      <c r="X88" s="118"/>
      <c r="Y88" s="118"/>
      <c r="Z88" s="115"/>
    </row>
    <row r="89" spans="1:26" ht="18" customHeight="1">
      <c r="K89" s="171" t="s">
        <v>14</v>
      </c>
      <c r="L89" s="171"/>
      <c r="M89" s="171"/>
      <c r="N89" s="145" t="s">
        <v>40</v>
      </c>
      <c r="O89" s="173">
        <v>6</v>
      </c>
      <c r="P89" s="234">
        <f ca="1">OFFSET($A$1,MATCH(Z85,$A:$A,0)-1,O89)</f>
        <v>29.6</v>
      </c>
      <c r="Q89" s="144" t="s">
        <v>29</v>
      </c>
      <c r="R89" s="118">
        <f t="shared" ca="1" si="21"/>
        <v>295138</v>
      </c>
      <c r="S89" s="118">
        <f t="shared" ca="1" si="21"/>
        <v>8736084</v>
      </c>
      <c r="T89" s="118">
        <f ca="1">중급</f>
        <v>295138</v>
      </c>
      <c r="U89" s="118">
        <f t="shared" ca="1" si="22"/>
        <v>8736084</v>
      </c>
      <c r="V89" s="118"/>
      <c r="W89" s="118"/>
      <c r="X89" s="118"/>
      <c r="Y89" s="118"/>
      <c r="Z89" s="115"/>
    </row>
    <row r="90" spans="1:26" ht="18" customHeight="1">
      <c r="K90" s="171" t="s">
        <v>14</v>
      </c>
      <c r="L90" s="171"/>
      <c r="M90" s="171"/>
      <c r="N90" s="145" t="s">
        <v>41</v>
      </c>
      <c r="O90" s="173">
        <v>7</v>
      </c>
      <c r="P90" s="234">
        <f ca="1">OFFSET($A$1,MATCH(Z85,$A:$A,0)-1,O90)</f>
        <v>31.7</v>
      </c>
      <c r="Q90" s="144" t="s">
        <v>29</v>
      </c>
      <c r="R90" s="118">
        <f t="shared" ca="1" si="21"/>
        <v>235459</v>
      </c>
      <c r="S90" s="118">
        <f t="shared" ca="1" si="21"/>
        <v>7464050</v>
      </c>
      <c r="T90" s="118">
        <f ca="1">초급</f>
        <v>235459</v>
      </c>
      <c r="U90" s="118">
        <f t="shared" ca="1" si="22"/>
        <v>7464050</v>
      </c>
      <c r="V90" s="118"/>
      <c r="W90" s="118"/>
      <c r="X90" s="118"/>
      <c r="Y90" s="118"/>
      <c r="Z90" s="115"/>
    </row>
    <row r="91" spans="1:26" ht="18" customHeight="1">
      <c r="K91" s="171" t="s">
        <v>14</v>
      </c>
      <c r="L91" s="171"/>
      <c r="M91" s="171"/>
      <c r="N91" s="319" t="s">
        <v>42</v>
      </c>
      <c r="O91" s="174">
        <v>8</v>
      </c>
      <c r="P91" s="235">
        <f ca="1">OFFSET($A$1,MATCH(Z85,$A:$A,0)-1,O91)</f>
        <v>34.6</v>
      </c>
      <c r="Q91" s="322" t="s">
        <v>29</v>
      </c>
      <c r="R91" s="323">
        <f t="shared" ca="1" si="21"/>
        <v>250087</v>
      </c>
      <c r="S91" s="323">
        <f t="shared" ca="1" si="21"/>
        <v>8653010</v>
      </c>
      <c r="T91" s="323">
        <f ca="1">보조원</f>
        <v>250087</v>
      </c>
      <c r="U91" s="323">
        <f t="shared" ca="1" si="22"/>
        <v>8653010</v>
      </c>
      <c r="V91" s="323"/>
      <c r="W91" s="323"/>
      <c r="X91" s="323"/>
      <c r="Y91" s="323"/>
      <c r="Z91" s="324"/>
    </row>
    <row r="92" spans="1:26" ht="18" customHeight="1">
      <c r="K92" s="171" t="s">
        <v>14</v>
      </c>
      <c r="L92" s="171"/>
      <c r="M92" s="171"/>
      <c r="N92" s="139" t="s">
        <v>17</v>
      </c>
      <c r="O92" s="68"/>
      <c r="P92" s="69"/>
      <c r="Q92" s="70"/>
      <c r="R92" s="71"/>
      <c r="S92" s="71">
        <f ca="1">SUBTOTAL(9,S86:S91)</f>
        <v>30619649</v>
      </c>
      <c r="T92" s="71"/>
      <c r="U92" s="71">
        <f ca="1">SUBTOTAL(9,U86:U91)</f>
        <v>30619649</v>
      </c>
      <c r="V92" s="71"/>
      <c r="W92" s="71"/>
      <c r="X92" s="71"/>
      <c r="Y92" s="71"/>
      <c r="Z92" s="68"/>
    </row>
    <row r="93" spans="1:26" ht="18" customHeight="1">
      <c r="K93" s="171" t="s">
        <v>14</v>
      </c>
      <c r="L93" s="171"/>
      <c r="M93" s="171"/>
      <c r="N93" s="318" t="str">
        <f ca="1">"제 " &amp; Z93 &amp; " 호표  "&amp; OFFSET($A$1,MATCH(Z93,$A:$A,0)-1,1)</f>
        <v>제 5 호표  1.5 광역도시권 특성조사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5</v>
      </c>
    </row>
    <row r="94" spans="1:26" ht="18" customHeight="1">
      <c r="K94" s="171" t="s">
        <v>14</v>
      </c>
      <c r="L94" s="171"/>
      <c r="M94" s="171"/>
      <c r="N94" s="140" t="s">
        <v>43</v>
      </c>
      <c r="O94" s="172">
        <v>3</v>
      </c>
      <c r="P94" s="219">
        <f ca="1">OFFSET($A$1,MATCH(Z93,$A:$A,0)-1,O94)</f>
        <v>2</v>
      </c>
      <c r="Q94" s="141" t="s">
        <v>29</v>
      </c>
      <c r="R94" s="142">
        <f t="shared" ref="R94:S99" ca="1" si="23">T94</f>
        <v>467217</v>
      </c>
      <c r="S94" s="142">
        <f t="shared" ca="1" si="23"/>
        <v>934434</v>
      </c>
      <c r="T94" s="142">
        <f ca="1">기술사</f>
        <v>467217</v>
      </c>
      <c r="U94" s="142">
        <f t="shared" ref="U94:U99" ca="1" si="24">ROUNDDOWN(P94*R94,0)</f>
        <v>934434</v>
      </c>
      <c r="V94" s="142"/>
      <c r="W94" s="142"/>
      <c r="X94" s="142"/>
      <c r="Y94" s="142"/>
      <c r="Z94" s="114"/>
    </row>
    <row r="95" spans="1:26" ht="18" customHeight="1">
      <c r="K95" s="171" t="s">
        <v>14</v>
      </c>
      <c r="L95" s="171"/>
      <c r="M95" s="171"/>
      <c r="N95" s="143" t="s">
        <v>32</v>
      </c>
      <c r="O95" s="173">
        <v>4</v>
      </c>
      <c r="P95" s="234">
        <f ca="1">OFFSET($A$1,MATCH(Z93,$A:$A,0)-1,O95)</f>
        <v>3.2</v>
      </c>
      <c r="Q95" s="144" t="s">
        <v>29</v>
      </c>
      <c r="R95" s="118">
        <f t="shared" ca="1" si="23"/>
        <v>373353</v>
      </c>
      <c r="S95" s="118">
        <f t="shared" ca="1" si="23"/>
        <v>1194729</v>
      </c>
      <c r="T95" s="118">
        <f ca="1">특급</f>
        <v>373353</v>
      </c>
      <c r="U95" s="118">
        <f t="shared" ca="1" si="24"/>
        <v>1194729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M96" s="171"/>
      <c r="N96" s="145" t="s">
        <v>39</v>
      </c>
      <c r="O96" s="173">
        <v>5</v>
      </c>
      <c r="P96" s="234">
        <f ca="1">OFFSET($A$1,MATCH(Z93,$A:$A,0)-1,O96)</f>
        <v>11.7</v>
      </c>
      <c r="Q96" s="144" t="s">
        <v>29</v>
      </c>
      <c r="R96" s="118">
        <f t="shared" ca="1" si="23"/>
        <v>310884</v>
      </c>
      <c r="S96" s="118">
        <f t="shared" ca="1" si="23"/>
        <v>3637342</v>
      </c>
      <c r="T96" s="118">
        <f ca="1">고급</f>
        <v>310884</v>
      </c>
      <c r="U96" s="118">
        <f t="shared" ca="1" si="24"/>
        <v>3637342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40</v>
      </c>
      <c r="O97" s="173">
        <v>6</v>
      </c>
      <c r="P97" s="234">
        <f ca="1">OFFSET($A$1,MATCH(Z93,$A:$A,0)-1,O97)</f>
        <v>22.2</v>
      </c>
      <c r="Q97" s="144" t="s">
        <v>29</v>
      </c>
      <c r="R97" s="118">
        <f t="shared" ca="1" si="23"/>
        <v>295138</v>
      </c>
      <c r="S97" s="118">
        <f t="shared" ca="1" si="23"/>
        <v>6552063</v>
      </c>
      <c r="T97" s="118">
        <f ca="1">중급</f>
        <v>295138</v>
      </c>
      <c r="U97" s="118">
        <f t="shared" ca="1" si="24"/>
        <v>6552063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41</v>
      </c>
      <c r="O98" s="173">
        <v>7</v>
      </c>
      <c r="P98" s="234">
        <f ca="1">OFFSET($A$1,MATCH(Z93,$A:$A,0)-1,O98)</f>
        <v>23.8</v>
      </c>
      <c r="Q98" s="144" t="s">
        <v>29</v>
      </c>
      <c r="R98" s="118">
        <f t="shared" ca="1" si="23"/>
        <v>235459</v>
      </c>
      <c r="S98" s="118">
        <f t="shared" ca="1" si="23"/>
        <v>5603924</v>
      </c>
      <c r="T98" s="118">
        <f ca="1">초급</f>
        <v>235459</v>
      </c>
      <c r="U98" s="118">
        <f t="shared" ca="1" si="24"/>
        <v>5603924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319" t="s">
        <v>42</v>
      </c>
      <c r="O99" s="174">
        <v>8</v>
      </c>
      <c r="P99" s="235">
        <f ca="1">OFFSET($A$1,MATCH(Z93,$A:$A,0)-1,O99)</f>
        <v>26</v>
      </c>
      <c r="Q99" s="322" t="s">
        <v>29</v>
      </c>
      <c r="R99" s="323">
        <f t="shared" ca="1" si="23"/>
        <v>250087</v>
      </c>
      <c r="S99" s="323">
        <f t="shared" ca="1" si="23"/>
        <v>6502262</v>
      </c>
      <c r="T99" s="323">
        <f ca="1">보조원</f>
        <v>250087</v>
      </c>
      <c r="U99" s="323">
        <f t="shared" ca="1" si="24"/>
        <v>6502262</v>
      </c>
      <c r="V99" s="323"/>
      <c r="W99" s="323"/>
      <c r="X99" s="323"/>
      <c r="Y99" s="323"/>
      <c r="Z99" s="324"/>
    </row>
    <row r="100" spans="11:26" ht="18" customHeight="1">
      <c r="K100" s="171" t="s">
        <v>14</v>
      </c>
      <c r="L100" s="171"/>
      <c r="M100" s="171"/>
      <c r="N100" s="139" t="s">
        <v>17</v>
      </c>
      <c r="O100" s="68"/>
      <c r="P100" s="69"/>
      <c r="Q100" s="70"/>
      <c r="R100" s="71"/>
      <c r="S100" s="71">
        <f ca="1">SUBTOTAL(9,S94:S99)</f>
        <v>24424754</v>
      </c>
      <c r="T100" s="71"/>
      <c r="U100" s="71">
        <f ca="1">SUBTOTAL(9,U94:U99)</f>
        <v>24424754</v>
      </c>
      <c r="V100" s="71"/>
      <c r="W100" s="71"/>
      <c r="X100" s="71"/>
      <c r="Y100" s="71"/>
      <c r="Z100" s="68"/>
    </row>
    <row r="101" spans="11:26" ht="18" customHeight="1">
      <c r="K101" s="171" t="s">
        <v>14</v>
      </c>
      <c r="L101" s="171"/>
      <c r="M101" s="171"/>
      <c r="N101" s="318" t="str">
        <f ca="1">"제 " &amp; Z101 &amp; " 호표  "&amp; OFFSET($A$1,MATCH(Z101,$A:$A,0)-1,1)</f>
        <v>제 6 호표  2.1 계획의 목표설정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6</v>
      </c>
    </row>
    <row r="102" spans="11:26" ht="18" customHeight="1">
      <c r="K102" s="171" t="s">
        <v>14</v>
      </c>
      <c r="L102" s="171"/>
      <c r="M102" s="171"/>
      <c r="N102" s="140" t="s">
        <v>43</v>
      </c>
      <c r="O102" s="172">
        <v>3</v>
      </c>
      <c r="P102" s="219">
        <f ca="1">OFFSET($A$1,MATCH(Z101,$A:$A,0)-1,O102)</f>
        <v>2</v>
      </c>
      <c r="Q102" s="141" t="s">
        <v>29</v>
      </c>
      <c r="R102" s="142">
        <f t="shared" ref="R102:S107" ca="1" si="25">T102</f>
        <v>467217</v>
      </c>
      <c r="S102" s="142">
        <f t="shared" ca="1" si="25"/>
        <v>934434</v>
      </c>
      <c r="T102" s="142">
        <f ca="1">기술사</f>
        <v>467217</v>
      </c>
      <c r="U102" s="142">
        <f t="shared" ref="U102:U107" ca="1" si="26">ROUNDDOWN(P102*R102,0)</f>
        <v>934434</v>
      </c>
      <c r="V102" s="142"/>
      <c r="W102" s="142"/>
      <c r="X102" s="142"/>
      <c r="Y102" s="142"/>
      <c r="Z102" s="114"/>
    </row>
    <row r="103" spans="11:26" ht="18" customHeight="1">
      <c r="K103" s="171" t="s">
        <v>14</v>
      </c>
      <c r="L103" s="171"/>
      <c r="M103" s="171"/>
      <c r="N103" s="143" t="s">
        <v>32</v>
      </c>
      <c r="O103" s="173">
        <v>4</v>
      </c>
      <c r="P103" s="234">
        <f ca="1">OFFSET($A$1,MATCH(Z101,$A:$A,0)-1,O103)</f>
        <v>3.2</v>
      </c>
      <c r="Q103" s="144" t="s">
        <v>29</v>
      </c>
      <c r="R103" s="118">
        <f t="shared" ca="1" si="25"/>
        <v>373353</v>
      </c>
      <c r="S103" s="118">
        <f t="shared" ca="1" si="25"/>
        <v>1194729</v>
      </c>
      <c r="T103" s="118">
        <f ca="1">특급</f>
        <v>373353</v>
      </c>
      <c r="U103" s="118">
        <f t="shared" ca="1" si="26"/>
        <v>1194729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39</v>
      </c>
      <c r="O104" s="173">
        <v>5</v>
      </c>
      <c r="P104" s="234">
        <f ca="1">OFFSET($A$1,MATCH(Z101,$A:$A,0)-1,O104)</f>
        <v>5.9</v>
      </c>
      <c r="Q104" s="144" t="s">
        <v>29</v>
      </c>
      <c r="R104" s="118">
        <f t="shared" ca="1" si="25"/>
        <v>310884</v>
      </c>
      <c r="S104" s="118">
        <f t="shared" ca="1" si="25"/>
        <v>1834215</v>
      </c>
      <c r="T104" s="118">
        <f ca="1">고급</f>
        <v>310884</v>
      </c>
      <c r="U104" s="118">
        <f t="shared" ca="1" si="26"/>
        <v>1834215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40</v>
      </c>
      <c r="O105" s="173">
        <v>6</v>
      </c>
      <c r="P105" s="234">
        <f ca="1">OFFSET($A$1,MATCH(Z101,$A:$A,0)-1,O105)</f>
        <v>7.4</v>
      </c>
      <c r="Q105" s="144" t="s">
        <v>29</v>
      </c>
      <c r="R105" s="118">
        <f t="shared" ca="1" si="25"/>
        <v>295138</v>
      </c>
      <c r="S105" s="118">
        <f t="shared" ca="1" si="25"/>
        <v>2184021</v>
      </c>
      <c r="T105" s="118">
        <f ca="1">중급</f>
        <v>295138</v>
      </c>
      <c r="U105" s="118">
        <f t="shared" ca="1" si="26"/>
        <v>2184021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41</v>
      </c>
      <c r="O106" s="173">
        <v>7</v>
      </c>
      <c r="P106" s="234">
        <f ca="1">OFFSET($A$1,MATCH(Z101,$A:$A,0)-1,O106)</f>
        <v>7.9</v>
      </c>
      <c r="Q106" s="144" t="s">
        <v>29</v>
      </c>
      <c r="R106" s="118">
        <f t="shared" ca="1" si="25"/>
        <v>235459</v>
      </c>
      <c r="S106" s="118">
        <f t="shared" ca="1" si="25"/>
        <v>1860126</v>
      </c>
      <c r="T106" s="118">
        <f ca="1">초급</f>
        <v>235459</v>
      </c>
      <c r="U106" s="118">
        <f t="shared" ca="1" si="26"/>
        <v>1860126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319" t="s">
        <v>42</v>
      </c>
      <c r="O107" s="174">
        <v>8</v>
      </c>
      <c r="P107" s="235">
        <f ca="1">OFFSET($A$1,MATCH(Z101,$A:$A,0)-1,O107)</f>
        <v>8.6999999999999993</v>
      </c>
      <c r="Q107" s="322" t="s">
        <v>29</v>
      </c>
      <c r="R107" s="323">
        <f t="shared" ca="1" si="25"/>
        <v>250087</v>
      </c>
      <c r="S107" s="323">
        <f t="shared" ca="1" si="25"/>
        <v>2175756</v>
      </c>
      <c r="T107" s="323">
        <f ca="1">보조원</f>
        <v>250087</v>
      </c>
      <c r="U107" s="323">
        <f t="shared" ca="1" si="26"/>
        <v>2175756</v>
      </c>
      <c r="V107" s="323"/>
      <c r="W107" s="323"/>
      <c r="X107" s="323"/>
      <c r="Y107" s="323"/>
      <c r="Z107" s="324"/>
    </row>
    <row r="108" spans="11:26" ht="18" customHeight="1">
      <c r="K108" s="171" t="s">
        <v>14</v>
      </c>
      <c r="L108" s="171"/>
      <c r="M108" s="171"/>
      <c r="N108" s="139" t="s">
        <v>17</v>
      </c>
      <c r="O108" s="68"/>
      <c r="P108" s="69"/>
      <c r="Q108" s="70"/>
      <c r="R108" s="71"/>
      <c r="S108" s="71">
        <f ca="1">SUBTOTAL(9,S102:S107)</f>
        <v>10183281</v>
      </c>
      <c r="T108" s="71"/>
      <c r="U108" s="71">
        <f ca="1">SUBTOTAL(9,U102:U107)</f>
        <v>10183281</v>
      </c>
      <c r="V108" s="71"/>
      <c r="W108" s="71"/>
      <c r="X108" s="71"/>
      <c r="Y108" s="71"/>
      <c r="Z108" s="68"/>
    </row>
    <row r="109" spans="11:26" ht="18" customHeight="1">
      <c r="K109" s="171" t="s">
        <v>14</v>
      </c>
      <c r="L109" s="171"/>
      <c r="M109" s="171"/>
      <c r="N109" s="318" t="str">
        <f ca="1">"제 " &amp; Z109 &amp; " 호표  "&amp; OFFSET($A$1,MATCH(Z109,$A:$A,0)-1,1)</f>
        <v>제 7 호표  2.2 계획의 전략제시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7</v>
      </c>
    </row>
    <row r="110" spans="11:26" ht="18" customHeight="1">
      <c r="K110" s="171" t="s">
        <v>14</v>
      </c>
      <c r="L110" s="171"/>
      <c r="M110" s="171"/>
      <c r="N110" s="140" t="s">
        <v>43</v>
      </c>
      <c r="O110" s="172">
        <v>3</v>
      </c>
      <c r="P110" s="219">
        <f ca="1">OFFSET($A$1,MATCH(Z109,$A:$A,0)-1,O110)</f>
        <v>2</v>
      </c>
      <c r="Q110" s="141" t="s">
        <v>29</v>
      </c>
      <c r="R110" s="142">
        <f t="shared" ref="R110:S115" ca="1" si="27">T110</f>
        <v>467217</v>
      </c>
      <c r="S110" s="142">
        <f t="shared" ca="1" si="27"/>
        <v>934434</v>
      </c>
      <c r="T110" s="142">
        <f ca="1">기술사</f>
        <v>467217</v>
      </c>
      <c r="U110" s="142">
        <f t="shared" ref="U110:U115" ca="1" si="28">ROUNDDOWN(P110*R110,0)</f>
        <v>934434</v>
      </c>
      <c r="V110" s="142"/>
      <c r="W110" s="142"/>
      <c r="X110" s="142"/>
      <c r="Y110" s="142"/>
      <c r="Z110" s="114"/>
    </row>
    <row r="111" spans="11:26" ht="18" customHeight="1">
      <c r="K111" s="171" t="s">
        <v>14</v>
      </c>
      <c r="L111" s="171"/>
      <c r="M111" s="171"/>
      <c r="N111" s="143" t="s">
        <v>32</v>
      </c>
      <c r="O111" s="173">
        <v>4</v>
      </c>
      <c r="P111" s="234">
        <f ca="1">OFFSET($A$1,MATCH(Z109,$A:$A,0)-1,O111)</f>
        <v>3.2</v>
      </c>
      <c r="Q111" s="144" t="s">
        <v>29</v>
      </c>
      <c r="R111" s="118">
        <f t="shared" ca="1" si="27"/>
        <v>373353</v>
      </c>
      <c r="S111" s="118">
        <f t="shared" ca="1" si="27"/>
        <v>1194729</v>
      </c>
      <c r="T111" s="118">
        <f ca="1">특급</f>
        <v>373353</v>
      </c>
      <c r="U111" s="118">
        <f t="shared" ca="1" si="28"/>
        <v>1194729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39</v>
      </c>
      <c r="O112" s="173">
        <v>5</v>
      </c>
      <c r="P112" s="234">
        <f ca="1">OFFSET($A$1,MATCH(Z109,$A:$A,0)-1,O112)</f>
        <v>5.9</v>
      </c>
      <c r="Q112" s="144" t="s">
        <v>29</v>
      </c>
      <c r="R112" s="118">
        <f t="shared" ca="1" si="27"/>
        <v>310884</v>
      </c>
      <c r="S112" s="118">
        <f t="shared" ca="1" si="27"/>
        <v>1834215</v>
      </c>
      <c r="T112" s="118">
        <f ca="1">고급</f>
        <v>310884</v>
      </c>
      <c r="U112" s="118">
        <f t="shared" ca="1" si="28"/>
        <v>1834215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40</v>
      </c>
      <c r="O113" s="173">
        <v>6</v>
      </c>
      <c r="P113" s="234">
        <f ca="1">OFFSET($A$1,MATCH(Z109,$A:$A,0)-1,O113)</f>
        <v>7.4</v>
      </c>
      <c r="Q113" s="144" t="s">
        <v>29</v>
      </c>
      <c r="R113" s="118">
        <f t="shared" ca="1" si="27"/>
        <v>295138</v>
      </c>
      <c r="S113" s="118">
        <f t="shared" ca="1" si="27"/>
        <v>2184021</v>
      </c>
      <c r="T113" s="118">
        <f ca="1">중급</f>
        <v>295138</v>
      </c>
      <c r="U113" s="118">
        <f t="shared" ca="1" si="28"/>
        <v>2184021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41</v>
      </c>
      <c r="O114" s="173">
        <v>7</v>
      </c>
      <c r="P114" s="234">
        <f ca="1">OFFSET($A$1,MATCH(Z109,$A:$A,0)-1,O114)</f>
        <v>7.9</v>
      </c>
      <c r="Q114" s="144" t="s">
        <v>29</v>
      </c>
      <c r="R114" s="118">
        <f t="shared" ca="1" si="27"/>
        <v>235459</v>
      </c>
      <c r="S114" s="118">
        <f t="shared" ca="1" si="27"/>
        <v>1860126</v>
      </c>
      <c r="T114" s="118">
        <f ca="1">초급</f>
        <v>235459</v>
      </c>
      <c r="U114" s="118">
        <f t="shared" ca="1" si="28"/>
        <v>1860126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319" t="s">
        <v>42</v>
      </c>
      <c r="O115" s="174">
        <v>8</v>
      </c>
      <c r="P115" s="235">
        <f ca="1">OFFSET($A$1,MATCH(Z109,$A:$A,0)-1,O115)</f>
        <v>8.6999999999999993</v>
      </c>
      <c r="Q115" s="322" t="s">
        <v>29</v>
      </c>
      <c r="R115" s="323">
        <f t="shared" ca="1" si="27"/>
        <v>250087</v>
      </c>
      <c r="S115" s="323">
        <f t="shared" ca="1" si="27"/>
        <v>2175756</v>
      </c>
      <c r="T115" s="323">
        <f ca="1">보조원</f>
        <v>250087</v>
      </c>
      <c r="U115" s="323">
        <f t="shared" ca="1" si="28"/>
        <v>2175756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M116" s="171"/>
      <c r="N116" s="139" t="s">
        <v>17</v>
      </c>
      <c r="O116" s="68"/>
      <c r="P116" s="69"/>
      <c r="Q116" s="70"/>
      <c r="R116" s="71"/>
      <c r="S116" s="71">
        <f ca="1">SUBTOTAL(9,S110:S115)</f>
        <v>10183281</v>
      </c>
      <c r="T116" s="71"/>
      <c r="U116" s="71">
        <f ca="1">SUBTOTAL(9,U110:U115)</f>
        <v>10183281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M117" s="171"/>
      <c r="N117" s="318" t="str">
        <f ca="1">"제 " &amp; Z117 &amp; " 호표  "&amp; OFFSET($A$1,MATCH(Z117,$A:$A,0)-1,1)</f>
        <v>제 8 호표  2.3 상위 및 관련계획 검토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8</v>
      </c>
    </row>
    <row r="118" spans="11:26" ht="18" customHeight="1">
      <c r="K118" s="171" t="s">
        <v>14</v>
      </c>
      <c r="L118" s="171"/>
      <c r="M118" s="171"/>
      <c r="N118" s="140" t="s">
        <v>43</v>
      </c>
      <c r="O118" s="172">
        <v>3</v>
      </c>
      <c r="P118" s="219">
        <f ca="1">OFFSET($A$1,MATCH(Z117,$A:$A,0)-1,O118)</f>
        <v>2</v>
      </c>
      <c r="Q118" s="141" t="s">
        <v>29</v>
      </c>
      <c r="R118" s="142">
        <f t="shared" ref="R118:S123" ca="1" si="29">T118</f>
        <v>467217</v>
      </c>
      <c r="S118" s="142">
        <f t="shared" ca="1" si="29"/>
        <v>934434</v>
      </c>
      <c r="T118" s="142">
        <f ca="1">기술사</f>
        <v>467217</v>
      </c>
      <c r="U118" s="142">
        <f t="shared" ref="U118:U123" ca="1" si="30">ROUNDDOWN(P118*R118,0)</f>
        <v>934434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M119" s="171"/>
      <c r="N119" s="143" t="s">
        <v>32</v>
      </c>
      <c r="O119" s="173">
        <v>4</v>
      </c>
      <c r="P119" s="234">
        <f ca="1">OFFSET($A$1,MATCH(Z117,$A:$A,0)-1,O119)</f>
        <v>3.2</v>
      </c>
      <c r="Q119" s="144" t="s">
        <v>29</v>
      </c>
      <c r="R119" s="118">
        <f t="shared" ca="1" si="29"/>
        <v>373353</v>
      </c>
      <c r="S119" s="118">
        <f t="shared" ca="1" si="29"/>
        <v>1194729</v>
      </c>
      <c r="T119" s="118">
        <f ca="1">특급</f>
        <v>373353</v>
      </c>
      <c r="U119" s="118">
        <f t="shared" ca="1" si="30"/>
        <v>1194729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39</v>
      </c>
      <c r="O120" s="173">
        <v>5</v>
      </c>
      <c r="P120" s="234">
        <f ca="1">OFFSET($A$1,MATCH(Z117,$A:$A,0)-1,O120)</f>
        <v>7.8</v>
      </c>
      <c r="Q120" s="144" t="s">
        <v>29</v>
      </c>
      <c r="R120" s="118">
        <f t="shared" ca="1" si="29"/>
        <v>310884</v>
      </c>
      <c r="S120" s="118">
        <f t="shared" ca="1" si="29"/>
        <v>2424895</v>
      </c>
      <c r="T120" s="118">
        <f ca="1">고급</f>
        <v>310884</v>
      </c>
      <c r="U120" s="118">
        <f t="shared" ca="1" si="30"/>
        <v>2424895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40</v>
      </c>
      <c r="O121" s="173">
        <v>6</v>
      </c>
      <c r="P121" s="234">
        <f ca="1">OFFSET($A$1,MATCH(Z117,$A:$A,0)-1,O121)</f>
        <v>14.8</v>
      </c>
      <c r="Q121" s="144" t="s">
        <v>29</v>
      </c>
      <c r="R121" s="118">
        <f t="shared" ca="1" si="29"/>
        <v>295138</v>
      </c>
      <c r="S121" s="118">
        <f t="shared" ca="1" si="29"/>
        <v>4368042</v>
      </c>
      <c r="T121" s="118">
        <f ca="1">중급</f>
        <v>295138</v>
      </c>
      <c r="U121" s="118">
        <f t="shared" ca="1" si="30"/>
        <v>4368042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41</v>
      </c>
      <c r="O122" s="173">
        <v>7</v>
      </c>
      <c r="P122" s="234">
        <f ca="1">OFFSET($A$1,MATCH(Z117,$A:$A,0)-1,O122)</f>
        <v>15.8</v>
      </c>
      <c r="Q122" s="144" t="s">
        <v>29</v>
      </c>
      <c r="R122" s="118">
        <f t="shared" ca="1" si="29"/>
        <v>235459</v>
      </c>
      <c r="S122" s="118">
        <f t="shared" ca="1" si="29"/>
        <v>3720252</v>
      </c>
      <c r="T122" s="118">
        <f ca="1">초급</f>
        <v>235459</v>
      </c>
      <c r="U122" s="118">
        <f t="shared" ca="1" si="30"/>
        <v>3720252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319" t="s">
        <v>42</v>
      </c>
      <c r="O123" s="174">
        <v>8</v>
      </c>
      <c r="P123" s="235">
        <f ca="1">OFFSET($A$1,MATCH(Z117,$A:$A,0)-1,O123)</f>
        <v>17.3</v>
      </c>
      <c r="Q123" s="322" t="s">
        <v>29</v>
      </c>
      <c r="R123" s="323">
        <f t="shared" ca="1" si="29"/>
        <v>250087</v>
      </c>
      <c r="S123" s="323">
        <f t="shared" ca="1" si="29"/>
        <v>4326505</v>
      </c>
      <c r="T123" s="323">
        <f ca="1">보조원</f>
        <v>250087</v>
      </c>
      <c r="U123" s="323">
        <f t="shared" ca="1" si="30"/>
        <v>4326505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M124" s="171"/>
      <c r="N124" s="139" t="s">
        <v>17</v>
      </c>
      <c r="O124" s="68"/>
      <c r="P124" s="69"/>
      <c r="Q124" s="70"/>
      <c r="R124" s="71"/>
      <c r="S124" s="71">
        <f ca="1">SUBTOTAL(9,S118:S123)</f>
        <v>16968857</v>
      </c>
      <c r="T124" s="71"/>
      <c r="U124" s="71">
        <f ca="1">SUBTOTAL(9,U118:U123)</f>
        <v>16968857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M125" s="171"/>
      <c r="N125" s="318" t="str">
        <f ca="1">"제 " &amp; Z125 &amp; " 호표  "&amp; OFFSET($A$1,MATCH(Z125,$A:$A,0)-1,1)</f>
        <v>제 9 호표  3.1 여건변화와 전망분석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9</v>
      </c>
    </row>
    <row r="126" spans="11:26" ht="18" customHeight="1">
      <c r="K126" s="171" t="s">
        <v>14</v>
      </c>
      <c r="L126" s="171"/>
      <c r="M126" s="171"/>
      <c r="N126" s="140" t="s">
        <v>43</v>
      </c>
      <c r="O126" s="172">
        <v>3</v>
      </c>
      <c r="P126" s="219">
        <f ca="1">OFFSET($A$1,MATCH(Z125,$A:$A,0)-1,O126)</f>
        <v>3</v>
      </c>
      <c r="Q126" s="141" t="s">
        <v>29</v>
      </c>
      <c r="R126" s="142">
        <f t="shared" ref="R126:S131" ca="1" si="31">T126</f>
        <v>467217</v>
      </c>
      <c r="S126" s="142">
        <f t="shared" ca="1" si="31"/>
        <v>1401651</v>
      </c>
      <c r="T126" s="142">
        <f ca="1">기술사</f>
        <v>467217</v>
      </c>
      <c r="U126" s="142">
        <f t="shared" ref="U126:U131" ca="1" si="32">ROUNDDOWN(P126*R126,0)</f>
        <v>1401651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M127" s="171"/>
      <c r="N127" s="143" t="s">
        <v>32</v>
      </c>
      <c r="O127" s="173">
        <v>4</v>
      </c>
      <c r="P127" s="234">
        <f ca="1">OFFSET($A$1,MATCH(Z125,$A:$A,0)-1,O127)</f>
        <v>4.8</v>
      </c>
      <c r="Q127" s="144" t="s">
        <v>29</v>
      </c>
      <c r="R127" s="118">
        <f t="shared" ca="1" si="31"/>
        <v>373353</v>
      </c>
      <c r="S127" s="118">
        <f t="shared" ca="1" si="31"/>
        <v>1792094</v>
      </c>
      <c r="T127" s="118">
        <f ca="1">특급</f>
        <v>373353</v>
      </c>
      <c r="U127" s="118">
        <f t="shared" ca="1" si="32"/>
        <v>1792094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39</v>
      </c>
      <c r="O128" s="173">
        <v>5</v>
      </c>
      <c r="P128" s="234">
        <f ca="1">OFFSET($A$1,MATCH(Z125,$A:$A,0)-1,O128)</f>
        <v>7.8</v>
      </c>
      <c r="Q128" s="144" t="s">
        <v>29</v>
      </c>
      <c r="R128" s="118">
        <f t="shared" ca="1" si="31"/>
        <v>310884</v>
      </c>
      <c r="S128" s="118">
        <f t="shared" ca="1" si="31"/>
        <v>2424895</v>
      </c>
      <c r="T128" s="118">
        <f ca="1">고급</f>
        <v>310884</v>
      </c>
      <c r="U128" s="118">
        <f t="shared" ca="1" si="32"/>
        <v>2424895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40</v>
      </c>
      <c r="O129" s="173">
        <v>6</v>
      </c>
      <c r="P129" s="234">
        <f ca="1">OFFSET($A$1,MATCH(Z125,$A:$A,0)-1,O129)</f>
        <v>14.8</v>
      </c>
      <c r="Q129" s="144" t="s">
        <v>29</v>
      </c>
      <c r="R129" s="118">
        <f t="shared" ca="1" si="31"/>
        <v>295138</v>
      </c>
      <c r="S129" s="118">
        <f t="shared" ca="1" si="31"/>
        <v>4368042</v>
      </c>
      <c r="T129" s="118">
        <f ca="1">중급</f>
        <v>295138</v>
      </c>
      <c r="U129" s="118">
        <f t="shared" ca="1" si="32"/>
        <v>4368042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41</v>
      </c>
      <c r="O130" s="173">
        <v>7</v>
      </c>
      <c r="P130" s="234">
        <f ca="1">OFFSET($A$1,MATCH(Z125,$A:$A,0)-1,O130)</f>
        <v>7.9</v>
      </c>
      <c r="Q130" s="144" t="s">
        <v>29</v>
      </c>
      <c r="R130" s="118">
        <f t="shared" ca="1" si="31"/>
        <v>235459</v>
      </c>
      <c r="S130" s="118">
        <f t="shared" ca="1" si="31"/>
        <v>1860126</v>
      </c>
      <c r="T130" s="118">
        <f ca="1">초급</f>
        <v>235459</v>
      </c>
      <c r="U130" s="118">
        <f t="shared" ca="1" si="32"/>
        <v>1860126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319" t="s">
        <v>42</v>
      </c>
      <c r="O131" s="174">
        <v>8</v>
      </c>
      <c r="P131" s="235">
        <f ca="1">OFFSET($A$1,MATCH(Z125,$A:$A,0)-1,O131)</f>
        <v>8.6999999999999993</v>
      </c>
      <c r="Q131" s="322" t="s">
        <v>29</v>
      </c>
      <c r="R131" s="323">
        <f t="shared" ca="1" si="31"/>
        <v>250087</v>
      </c>
      <c r="S131" s="323">
        <f t="shared" ca="1" si="31"/>
        <v>2175756</v>
      </c>
      <c r="T131" s="323">
        <f ca="1">보조원</f>
        <v>250087</v>
      </c>
      <c r="U131" s="323">
        <f t="shared" ca="1" si="32"/>
        <v>2175756</v>
      </c>
      <c r="V131" s="323"/>
      <c r="W131" s="323"/>
      <c r="X131" s="323"/>
      <c r="Y131" s="323"/>
      <c r="Z131" s="324"/>
    </row>
    <row r="132" spans="11:29" ht="18" customHeight="1">
      <c r="K132" s="171" t="s">
        <v>14</v>
      </c>
      <c r="L132" s="171"/>
      <c r="M132" s="171"/>
      <c r="N132" s="139" t="s">
        <v>17</v>
      </c>
      <c r="O132" s="68"/>
      <c r="P132" s="69"/>
      <c r="Q132" s="70"/>
      <c r="R132" s="71"/>
      <c r="S132" s="71">
        <f ca="1">SUBTOTAL(9,S126:S131)</f>
        <v>14022564</v>
      </c>
      <c r="T132" s="71"/>
      <c r="U132" s="71">
        <f ca="1">SUBTOTAL(9,U126:U131)</f>
        <v>14022564</v>
      </c>
      <c r="V132" s="71"/>
      <c r="W132" s="71"/>
      <c r="X132" s="71"/>
      <c r="Y132" s="71"/>
      <c r="Z132" s="68"/>
    </row>
    <row r="133" spans="11:29" ht="18" customHeight="1">
      <c r="K133" s="171" t="s">
        <v>14</v>
      </c>
      <c r="L133" s="171"/>
      <c r="M133" s="171"/>
      <c r="N133" s="318" t="str">
        <f ca="1">"제 " &amp; Z133 &amp; " 호표  "&amp; OFFSET($A$1,MATCH(Z133,$A:$A,0)-1,1)</f>
        <v>제 10 호표  3.2 주요지표 제시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10</v>
      </c>
    </row>
    <row r="134" spans="11:29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219">
        <f ca="1">OFFSET($A$1,MATCH(Z133,$A:$A,0)-1,O134)</f>
        <v>4</v>
      </c>
      <c r="Q134" s="141" t="s">
        <v>29</v>
      </c>
      <c r="R134" s="142">
        <f t="shared" ref="R134:S139" ca="1" si="33">T134</f>
        <v>467217</v>
      </c>
      <c r="S134" s="142">
        <f t="shared" ca="1" si="33"/>
        <v>1868868</v>
      </c>
      <c r="T134" s="142">
        <f ca="1">기술사</f>
        <v>467217</v>
      </c>
      <c r="U134" s="142">
        <f t="shared" ref="U134:U139" ca="1" si="34">ROUNDDOWN(P134*R134,0)</f>
        <v>1868868</v>
      </c>
      <c r="V134" s="142"/>
      <c r="W134" s="142"/>
      <c r="X134" s="142"/>
      <c r="Y134" s="142"/>
      <c r="Z134" s="114"/>
    </row>
    <row r="135" spans="11:29" ht="18" customHeight="1">
      <c r="K135" s="171" t="s">
        <v>14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6.4</v>
      </c>
      <c r="Q135" s="144" t="s">
        <v>29</v>
      </c>
      <c r="R135" s="118">
        <f t="shared" ca="1" si="33"/>
        <v>373353</v>
      </c>
      <c r="S135" s="118">
        <f t="shared" ca="1" si="33"/>
        <v>2389459</v>
      </c>
      <c r="T135" s="118">
        <f ca="1">특급</f>
        <v>373353</v>
      </c>
      <c r="U135" s="118">
        <f t="shared" ca="1" si="34"/>
        <v>2389459</v>
      </c>
      <c r="V135" s="118"/>
      <c r="W135" s="118"/>
      <c r="X135" s="118"/>
      <c r="Y135" s="118"/>
      <c r="Z135" s="115"/>
    </row>
    <row r="136" spans="11:29" ht="18" customHeight="1">
      <c r="K136" s="171" t="s">
        <v>14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11.7</v>
      </c>
      <c r="Q136" s="144" t="s">
        <v>29</v>
      </c>
      <c r="R136" s="118">
        <f t="shared" ca="1" si="33"/>
        <v>310884</v>
      </c>
      <c r="S136" s="118">
        <f t="shared" ca="1" si="33"/>
        <v>3637342</v>
      </c>
      <c r="T136" s="118">
        <f ca="1">고급</f>
        <v>310884</v>
      </c>
      <c r="U136" s="118">
        <f t="shared" ca="1" si="34"/>
        <v>3637342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14.8</v>
      </c>
      <c r="Q137" s="144" t="s">
        <v>29</v>
      </c>
      <c r="R137" s="118">
        <f t="shared" ca="1" si="33"/>
        <v>295138</v>
      </c>
      <c r="S137" s="118">
        <f t="shared" ca="1" si="33"/>
        <v>4368042</v>
      </c>
      <c r="T137" s="118">
        <f ca="1">중급</f>
        <v>295138</v>
      </c>
      <c r="U137" s="118">
        <f t="shared" ca="1" si="34"/>
        <v>4368042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11.9</v>
      </c>
      <c r="Q138" s="144" t="s">
        <v>29</v>
      </c>
      <c r="R138" s="118">
        <f t="shared" ca="1" si="33"/>
        <v>235459</v>
      </c>
      <c r="S138" s="118">
        <f t="shared" ca="1" si="33"/>
        <v>2801962</v>
      </c>
      <c r="T138" s="118">
        <f ca="1">초급</f>
        <v>235459</v>
      </c>
      <c r="U138" s="118">
        <f t="shared" ca="1" si="34"/>
        <v>2801962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13</v>
      </c>
      <c r="Q139" s="322" t="s">
        <v>29</v>
      </c>
      <c r="R139" s="323">
        <f t="shared" ca="1" si="33"/>
        <v>250087</v>
      </c>
      <c r="S139" s="323">
        <f t="shared" ca="1" si="33"/>
        <v>3251131</v>
      </c>
      <c r="T139" s="323">
        <f ca="1">보조원</f>
        <v>250087</v>
      </c>
      <c r="U139" s="323">
        <f t="shared" ca="1" si="34"/>
        <v>3251131</v>
      </c>
      <c r="V139" s="323"/>
      <c r="W139" s="323"/>
      <c r="X139" s="323"/>
      <c r="Y139" s="323"/>
      <c r="Z139" s="324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18316804</v>
      </c>
      <c r="T140" s="71"/>
      <c r="U140" s="71">
        <f ca="1">SUBTOTAL(9,U134:U139)</f>
        <v>18316804</v>
      </c>
      <c r="V140" s="71"/>
      <c r="W140" s="71"/>
      <c r="X140" s="71"/>
      <c r="Y140" s="71"/>
      <c r="Z140" s="68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11 호표  3.3 공간구조의 골격구상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11</v>
      </c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4</v>
      </c>
      <c r="Q142" s="141" t="s">
        <v>29</v>
      </c>
      <c r="R142" s="142">
        <f t="shared" ref="R142:S147" ca="1" si="35">T142</f>
        <v>467217</v>
      </c>
      <c r="S142" s="142">
        <f t="shared" ca="1" si="35"/>
        <v>1868868</v>
      </c>
      <c r="T142" s="142">
        <f ca="1">기술사</f>
        <v>467217</v>
      </c>
      <c r="U142" s="142">
        <f t="shared" ref="U142:U147" ca="1" si="36">ROUNDDOWN(P142*R142,0)</f>
        <v>1868868</v>
      </c>
      <c r="V142" s="142"/>
      <c r="W142" s="142"/>
      <c r="X142" s="142"/>
      <c r="Y142" s="142"/>
      <c r="Z142" s="114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6.4</v>
      </c>
      <c r="Q143" s="144" t="s">
        <v>29</v>
      </c>
      <c r="R143" s="118">
        <f t="shared" ca="1" si="35"/>
        <v>373353</v>
      </c>
      <c r="S143" s="118">
        <f t="shared" ca="1" si="35"/>
        <v>2389459</v>
      </c>
      <c r="T143" s="118">
        <f ca="1">특급</f>
        <v>373353</v>
      </c>
      <c r="U143" s="118">
        <f t="shared" ca="1" si="36"/>
        <v>2389459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11.7</v>
      </c>
      <c r="Q144" s="144" t="s">
        <v>29</v>
      </c>
      <c r="R144" s="118">
        <f t="shared" ca="1" si="35"/>
        <v>310884</v>
      </c>
      <c r="S144" s="118">
        <f t="shared" ca="1" si="35"/>
        <v>3637342</v>
      </c>
      <c r="T144" s="118">
        <f ca="1">고급</f>
        <v>310884</v>
      </c>
      <c r="U144" s="118">
        <f t="shared" ca="1" si="36"/>
        <v>3637342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14.8</v>
      </c>
      <c r="Q145" s="144" t="s">
        <v>29</v>
      </c>
      <c r="R145" s="118">
        <f t="shared" ca="1" si="35"/>
        <v>295138</v>
      </c>
      <c r="S145" s="118">
        <f t="shared" ca="1" si="35"/>
        <v>4368042</v>
      </c>
      <c r="T145" s="118">
        <f ca="1">중급</f>
        <v>295138</v>
      </c>
      <c r="U145" s="118">
        <f t="shared" ca="1" si="36"/>
        <v>4368042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11.9</v>
      </c>
      <c r="Q146" s="144" t="s">
        <v>29</v>
      </c>
      <c r="R146" s="118">
        <f t="shared" ca="1" si="35"/>
        <v>235459</v>
      </c>
      <c r="S146" s="118">
        <f t="shared" ca="1" si="35"/>
        <v>2801962</v>
      </c>
      <c r="T146" s="118">
        <f ca="1">초급</f>
        <v>235459</v>
      </c>
      <c r="U146" s="118">
        <f t="shared" ca="1" si="36"/>
        <v>2801962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13</v>
      </c>
      <c r="Q147" s="322" t="s">
        <v>29</v>
      </c>
      <c r="R147" s="323">
        <f t="shared" ca="1" si="35"/>
        <v>250087</v>
      </c>
      <c r="S147" s="323">
        <f t="shared" ca="1" si="35"/>
        <v>3251131</v>
      </c>
      <c r="T147" s="323">
        <f ca="1">보조원</f>
        <v>250087</v>
      </c>
      <c r="U147" s="323">
        <f t="shared" ca="1" si="36"/>
        <v>3251131</v>
      </c>
      <c r="V147" s="323"/>
      <c r="W147" s="323"/>
      <c r="X147" s="323"/>
      <c r="Y147" s="323"/>
      <c r="Z147" s="324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18316804</v>
      </c>
      <c r="T148" s="71"/>
      <c r="U148" s="71">
        <f ca="1">SUBTOTAL(9,U142:U147)</f>
        <v>18316804</v>
      </c>
      <c r="V148" s="71"/>
      <c r="W148" s="71"/>
      <c r="X148" s="71"/>
      <c r="Y148" s="71"/>
      <c r="Z148" s="68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12 호표  4.1 기능분담계획 및 토지이용계획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12</v>
      </c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13</v>
      </c>
      <c r="Q150" s="141" t="s">
        <v>29</v>
      </c>
      <c r="R150" s="142">
        <f t="shared" ref="R150:S155" ca="1" si="37">T150</f>
        <v>467217</v>
      </c>
      <c r="S150" s="142">
        <f t="shared" ca="1" si="37"/>
        <v>6073821</v>
      </c>
      <c r="T150" s="142">
        <f ca="1">기술사</f>
        <v>467217</v>
      </c>
      <c r="U150" s="142">
        <f t="shared" ref="U150:U155" ca="1" si="38">ROUNDDOWN(P150*R150,0)</f>
        <v>6073821</v>
      </c>
      <c r="V150" s="142"/>
      <c r="W150" s="142"/>
      <c r="X150" s="142"/>
      <c r="Y150" s="142"/>
      <c r="Z150" s="11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20.5</v>
      </c>
      <c r="Q151" s="144" t="s">
        <v>29</v>
      </c>
      <c r="R151" s="118">
        <f t="shared" ca="1" si="37"/>
        <v>373353</v>
      </c>
      <c r="S151" s="118">
        <f t="shared" ca="1" si="37"/>
        <v>7653736</v>
      </c>
      <c r="T151" s="118">
        <f ca="1">특급</f>
        <v>373353</v>
      </c>
      <c r="U151" s="118">
        <f t="shared" ca="1" si="38"/>
        <v>7653736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50.9</v>
      </c>
      <c r="Q152" s="144" t="s">
        <v>29</v>
      </c>
      <c r="R152" s="118">
        <f t="shared" ca="1" si="37"/>
        <v>310884</v>
      </c>
      <c r="S152" s="118">
        <f t="shared" ca="1" si="37"/>
        <v>15823995</v>
      </c>
      <c r="T152" s="118">
        <f ca="1">고급</f>
        <v>310884</v>
      </c>
      <c r="U152" s="118">
        <f t="shared" ca="1" si="38"/>
        <v>15823995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99.9</v>
      </c>
      <c r="Q153" s="144" t="s">
        <v>29</v>
      </c>
      <c r="R153" s="118">
        <f t="shared" ca="1" si="37"/>
        <v>295138</v>
      </c>
      <c r="S153" s="118">
        <f t="shared" ca="1" si="37"/>
        <v>29484286</v>
      </c>
      <c r="T153" s="118">
        <f ca="1">중급</f>
        <v>295138</v>
      </c>
      <c r="U153" s="118">
        <f t="shared" ca="1" si="38"/>
        <v>29484286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106.9</v>
      </c>
      <c r="Q154" s="144" t="s">
        <v>29</v>
      </c>
      <c r="R154" s="118">
        <f t="shared" ca="1" si="37"/>
        <v>235459</v>
      </c>
      <c r="S154" s="118">
        <f t="shared" ca="1" si="37"/>
        <v>25170567</v>
      </c>
      <c r="T154" s="118">
        <f ca="1">초급</f>
        <v>235459</v>
      </c>
      <c r="U154" s="118">
        <f t="shared" ca="1" si="38"/>
        <v>25170567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116.7</v>
      </c>
      <c r="Q155" s="322" t="s">
        <v>29</v>
      </c>
      <c r="R155" s="323">
        <f t="shared" ca="1" si="37"/>
        <v>250087</v>
      </c>
      <c r="S155" s="323">
        <f t="shared" ca="1" si="37"/>
        <v>29185152</v>
      </c>
      <c r="T155" s="323">
        <f ca="1">보조원</f>
        <v>250087</v>
      </c>
      <c r="U155" s="323">
        <f t="shared" ca="1" si="38"/>
        <v>29185152</v>
      </c>
      <c r="V155" s="323"/>
      <c r="W155" s="323"/>
      <c r="X155" s="323"/>
      <c r="Y155" s="323"/>
      <c r="Z155" s="324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113391557</v>
      </c>
      <c r="T156" s="71"/>
      <c r="U156" s="71">
        <f ca="1">SUBTOTAL(9,U150:U155)</f>
        <v>113391557</v>
      </c>
      <c r="V156" s="71"/>
      <c r="W156" s="71"/>
      <c r="X156" s="71"/>
      <c r="Y156" s="71"/>
      <c r="Z156" s="68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13 호표  4.2 여가공간 및 녹지관리계획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13</v>
      </c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9</v>
      </c>
      <c r="Q158" s="141" t="s">
        <v>29</v>
      </c>
      <c r="R158" s="142">
        <f t="shared" ref="R158:S163" ca="1" si="39">T158</f>
        <v>467217</v>
      </c>
      <c r="S158" s="142">
        <f t="shared" ca="1" si="39"/>
        <v>4204953</v>
      </c>
      <c r="T158" s="142">
        <f ca="1">기술사</f>
        <v>467217</v>
      </c>
      <c r="U158" s="142">
        <f t="shared" ref="U158:U163" ca="1" si="40">ROUNDDOWN(P158*R158,0)</f>
        <v>4204953</v>
      </c>
      <c r="V158" s="142"/>
      <c r="W158" s="142"/>
      <c r="X158" s="142"/>
      <c r="Y158" s="142"/>
      <c r="Z158" s="11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14.3</v>
      </c>
      <c r="Q159" s="144" t="s">
        <v>29</v>
      </c>
      <c r="R159" s="118">
        <f t="shared" ca="1" si="39"/>
        <v>373353</v>
      </c>
      <c r="S159" s="118">
        <f t="shared" ca="1" si="39"/>
        <v>5338947</v>
      </c>
      <c r="T159" s="118">
        <f ca="1">특급</f>
        <v>373353</v>
      </c>
      <c r="U159" s="118">
        <f t="shared" ca="1" si="40"/>
        <v>5338947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35.200000000000003</v>
      </c>
      <c r="Q160" s="144" t="s">
        <v>29</v>
      </c>
      <c r="R160" s="118">
        <f t="shared" ca="1" si="39"/>
        <v>310884</v>
      </c>
      <c r="S160" s="118">
        <f t="shared" ca="1" si="39"/>
        <v>10943116</v>
      </c>
      <c r="T160" s="118">
        <f ca="1">고급</f>
        <v>310884</v>
      </c>
      <c r="U160" s="118">
        <f t="shared" ca="1" si="40"/>
        <v>10943116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70.3</v>
      </c>
      <c r="Q161" s="144" t="s">
        <v>29</v>
      </c>
      <c r="R161" s="118">
        <f t="shared" ca="1" si="39"/>
        <v>295138</v>
      </c>
      <c r="S161" s="118">
        <f t="shared" ca="1" si="39"/>
        <v>20748201</v>
      </c>
      <c r="T161" s="118">
        <f ca="1">중급</f>
        <v>295138</v>
      </c>
      <c r="U161" s="118">
        <f t="shared" ca="1" si="40"/>
        <v>20748201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75.2</v>
      </c>
      <c r="Q162" s="144" t="s">
        <v>29</v>
      </c>
      <c r="R162" s="118">
        <f t="shared" ca="1" si="39"/>
        <v>235459</v>
      </c>
      <c r="S162" s="118">
        <f t="shared" ca="1" si="39"/>
        <v>17706516</v>
      </c>
      <c r="T162" s="118">
        <f ca="1">초급</f>
        <v>235459</v>
      </c>
      <c r="U162" s="118">
        <f t="shared" ca="1" si="40"/>
        <v>17706516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82.1</v>
      </c>
      <c r="Q163" s="322" t="s">
        <v>29</v>
      </c>
      <c r="R163" s="323">
        <f t="shared" ca="1" si="39"/>
        <v>250087</v>
      </c>
      <c r="S163" s="323">
        <f t="shared" ca="1" si="39"/>
        <v>20532142</v>
      </c>
      <c r="T163" s="323">
        <f ca="1">보조원</f>
        <v>250087</v>
      </c>
      <c r="U163" s="323">
        <f t="shared" ca="1" si="40"/>
        <v>20532142</v>
      </c>
      <c r="V163" s="323"/>
      <c r="W163" s="323"/>
      <c r="X163" s="323"/>
      <c r="Y163" s="323"/>
      <c r="Z163" s="324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79473875</v>
      </c>
      <c r="T164" s="71"/>
      <c r="U164" s="71">
        <f ca="1">SUBTOTAL(9,U158:U163)</f>
        <v>79473875</v>
      </c>
      <c r="V164" s="71"/>
      <c r="W164" s="71"/>
      <c r="X164" s="71"/>
      <c r="Y164" s="71"/>
      <c r="Z164" s="68"/>
    </row>
    <row r="165" spans="11:29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14 호표  4.3 환경보전계획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14</v>
      </c>
    </row>
    <row r="166" spans="11:29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9</v>
      </c>
      <c r="Q166" s="141" t="s">
        <v>29</v>
      </c>
      <c r="R166" s="142">
        <f t="shared" ref="R166:S171" ca="1" si="41">T166</f>
        <v>467217</v>
      </c>
      <c r="S166" s="142">
        <f t="shared" ca="1" si="41"/>
        <v>4204953</v>
      </c>
      <c r="T166" s="142">
        <f ca="1">기술사</f>
        <v>467217</v>
      </c>
      <c r="U166" s="142">
        <f t="shared" ref="U166:U171" ca="1" si="42">ROUNDDOWN(P166*R166,0)</f>
        <v>4204953</v>
      </c>
      <c r="V166" s="142"/>
      <c r="W166" s="142"/>
      <c r="X166" s="142"/>
      <c r="Y166" s="142"/>
      <c r="Z166" s="114"/>
    </row>
    <row r="167" spans="11:29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14.3</v>
      </c>
      <c r="Q167" s="144" t="s">
        <v>29</v>
      </c>
      <c r="R167" s="118">
        <f t="shared" ca="1" si="41"/>
        <v>373353</v>
      </c>
      <c r="S167" s="118">
        <f t="shared" ca="1" si="41"/>
        <v>5338947</v>
      </c>
      <c r="T167" s="118">
        <f ca="1">특급</f>
        <v>373353</v>
      </c>
      <c r="U167" s="118">
        <f t="shared" ca="1" si="42"/>
        <v>5338947</v>
      </c>
      <c r="V167" s="118"/>
      <c r="W167" s="118"/>
      <c r="X167" s="118"/>
      <c r="Y167" s="118"/>
      <c r="Z167" s="115"/>
    </row>
    <row r="168" spans="11:29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35.200000000000003</v>
      </c>
      <c r="Q168" s="144" t="s">
        <v>29</v>
      </c>
      <c r="R168" s="118">
        <f t="shared" ca="1" si="41"/>
        <v>310884</v>
      </c>
      <c r="S168" s="118">
        <f t="shared" ca="1" si="41"/>
        <v>10943116</v>
      </c>
      <c r="T168" s="118">
        <f ca="1">고급</f>
        <v>310884</v>
      </c>
      <c r="U168" s="118">
        <f t="shared" ca="1" si="42"/>
        <v>10943116</v>
      </c>
      <c r="V168" s="118"/>
      <c r="W168" s="118"/>
      <c r="X168" s="118"/>
      <c r="Y168" s="118"/>
      <c r="Z168" s="115"/>
    </row>
    <row r="169" spans="11:29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70.3</v>
      </c>
      <c r="Q169" s="144" t="s">
        <v>29</v>
      </c>
      <c r="R169" s="118">
        <f t="shared" ca="1" si="41"/>
        <v>295138</v>
      </c>
      <c r="S169" s="118">
        <f t="shared" ca="1" si="41"/>
        <v>20748201</v>
      </c>
      <c r="T169" s="118">
        <f ca="1">중급</f>
        <v>295138</v>
      </c>
      <c r="U169" s="118">
        <f t="shared" ca="1" si="42"/>
        <v>20748201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75.2</v>
      </c>
      <c r="Q170" s="144" t="s">
        <v>29</v>
      </c>
      <c r="R170" s="118">
        <f t="shared" ca="1" si="41"/>
        <v>235459</v>
      </c>
      <c r="S170" s="118">
        <f t="shared" ca="1" si="41"/>
        <v>17706516</v>
      </c>
      <c r="T170" s="118">
        <f ca="1">초급</f>
        <v>235459</v>
      </c>
      <c r="U170" s="118">
        <f t="shared" ca="1" si="42"/>
        <v>17706516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82.1</v>
      </c>
      <c r="Q171" s="322" t="s">
        <v>29</v>
      </c>
      <c r="R171" s="323">
        <f t="shared" ca="1" si="41"/>
        <v>250087</v>
      </c>
      <c r="S171" s="323">
        <f t="shared" ca="1" si="41"/>
        <v>20532142</v>
      </c>
      <c r="T171" s="323">
        <f ca="1">보조원</f>
        <v>250087</v>
      </c>
      <c r="U171" s="323">
        <f t="shared" ca="1" si="42"/>
        <v>20532142</v>
      </c>
      <c r="V171" s="323"/>
      <c r="W171" s="323"/>
      <c r="X171" s="323"/>
      <c r="Y171" s="323"/>
      <c r="Z171" s="324"/>
    </row>
    <row r="172" spans="11:29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79473875</v>
      </c>
      <c r="T172" s="71"/>
      <c r="U172" s="71">
        <f ca="1">SUBTOTAL(9,U166:U171)</f>
        <v>79473875</v>
      </c>
      <c r="V172" s="71"/>
      <c r="W172" s="71"/>
      <c r="X172" s="71"/>
      <c r="Y172" s="71"/>
      <c r="Z172" s="68"/>
    </row>
    <row r="173" spans="11:29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15 호표  4.4 경관계획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15</v>
      </c>
    </row>
    <row r="174" spans="11:29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0</v>
      </c>
      <c r="Q174" s="141" t="s">
        <v>29</v>
      </c>
      <c r="R174" s="142">
        <f t="shared" ref="R174:S179" ca="1" si="43">T174</f>
        <v>467217</v>
      </c>
      <c r="S174" s="142">
        <f t="shared" ca="1" si="43"/>
        <v>0</v>
      </c>
      <c r="T174" s="142">
        <f ca="1">기술사</f>
        <v>467217</v>
      </c>
      <c r="U174" s="142">
        <f t="shared" ref="U174:U179" ca="1" si="44">ROUNDDOWN(P174*R174,0)</f>
        <v>0</v>
      </c>
      <c r="V174" s="142"/>
      <c r="W174" s="142"/>
      <c r="X174" s="142"/>
      <c r="Y174" s="142"/>
      <c r="Z174" s="114"/>
    </row>
    <row r="175" spans="11:29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0</v>
      </c>
      <c r="Q175" s="144" t="s">
        <v>29</v>
      </c>
      <c r="R175" s="118">
        <f t="shared" ca="1" si="43"/>
        <v>373353</v>
      </c>
      <c r="S175" s="118">
        <f t="shared" ca="1" si="43"/>
        <v>0</v>
      </c>
      <c r="T175" s="118">
        <f ca="1">특급</f>
        <v>373353</v>
      </c>
      <c r="U175" s="118">
        <f t="shared" ca="1" si="44"/>
        <v>0</v>
      </c>
      <c r="V175" s="118"/>
      <c r="W175" s="118"/>
      <c r="X175" s="118"/>
      <c r="Y175" s="118"/>
      <c r="Z175" s="115"/>
    </row>
    <row r="176" spans="11:29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0</v>
      </c>
      <c r="Q176" s="144" t="s">
        <v>29</v>
      </c>
      <c r="R176" s="118">
        <f t="shared" ca="1" si="43"/>
        <v>310884</v>
      </c>
      <c r="S176" s="118">
        <f t="shared" ca="1" si="43"/>
        <v>0</v>
      </c>
      <c r="T176" s="118">
        <f ca="1">고급</f>
        <v>310884</v>
      </c>
      <c r="U176" s="118">
        <f t="shared" ca="1" si="44"/>
        <v>0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0</v>
      </c>
      <c r="Q177" s="144" t="s">
        <v>29</v>
      </c>
      <c r="R177" s="118">
        <f t="shared" ca="1" si="43"/>
        <v>295138</v>
      </c>
      <c r="S177" s="118">
        <f t="shared" ca="1" si="43"/>
        <v>0</v>
      </c>
      <c r="T177" s="118">
        <f ca="1">중급</f>
        <v>295138</v>
      </c>
      <c r="U177" s="118">
        <f t="shared" ca="1" si="44"/>
        <v>0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0</v>
      </c>
      <c r="Q178" s="144" t="s">
        <v>29</v>
      </c>
      <c r="R178" s="118">
        <f t="shared" ca="1" si="43"/>
        <v>235459</v>
      </c>
      <c r="S178" s="118">
        <f t="shared" ca="1" si="43"/>
        <v>0</v>
      </c>
      <c r="T178" s="118">
        <f ca="1">초급</f>
        <v>235459</v>
      </c>
      <c r="U178" s="118">
        <f t="shared" ca="1" si="44"/>
        <v>0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0</v>
      </c>
      <c r="Q179" s="322" t="s">
        <v>29</v>
      </c>
      <c r="R179" s="323">
        <f t="shared" ca="1" si="43"/>
        <v>250087</v>
      </c>
      <c r="S179" s="323">
        <f t="shared" ca="1" si="43"/>
        <v>0</v>
      </c>
      <c r="T179" s="323">
        <f ca="1">보조원</f>
        <v>250087</v>
      </c>
      <c r="U179" s="323">
        <f t="shared" ca="1" si="44"/>
        <v>0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0</v>
      </c>
      <c r="T180" s="71"/>
      <c r="U180" s="71">
        <f ca="1">SUBTOTAL(9,U174:U179)</f>
        <v>0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16 호표  4.5 방재계획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16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9</v>
      </c>
      <c r="Q182" s="141" t="s">
        <v>29</v>
      </c>
      <c r="R182" s="142">
        <f t="shared" ref="R182:S187" ca="1" si="45">T182</f>
        <v>467217</v>
      </c>
      <c r="S182" s="142">
        <f t="shared" ca="1" si="45"/>
        <v>4204953</v>
      </c>
      <c r="T182" s="142">
        <f ca="1">기술사</f>
        <v>467217</v>
      </c>
      <c r="U182" s="142">
        <f t="shared" ref="U182:U187" ca="1" si="46">ROUNDDOWN(P182*R182,0)</f>
        <v>4204953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14.3</v>
      </c>
      <c r="Q183" s="144" t="s">
        <v>29</v>
      </c>
      <c r="R183" s="118">
        <f t="shared" ca="1" si="45"/>
        <v>373353</v>
      </c>
      <c r="S183" s="118">
        <f t="shared" ca="1" si="45"/>
        <v>5338947</v>
      </c>
      <c r="T183" s="118">
        <f ca="1">특급</f>
        <v>373353</v>
      </c>
      <c r="U183" s="118">
        <f t="shared" ca="1" si="46"/>
        <v>5338947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35.200000000000003</v>
      </c>
      <c r="Q184" s="144" t="s">
        <v>29</v>
      </c>
      <c r="R184" s="118">
        <f t="shared" ca="1" si="45"/>
        <v>310884</v>
      </c>
      <c r="S184" s="118">
        <f t="shared" ca="1" si="45"/>
        <v>10943116</v>
      </c>
      <c r="T184" s="118">
        <f ca="1">고급</f>
        <v>310884</v>
      </c>
      <c r="U184" s="118">
        <f t="shared" ca="1" si="46"/>
        <v>10943116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70.3</v>
      </c>
      <c r="Q185" s="144" t="s">
        <v>29</v>
      </c>
      <c r="R185" s="118">
        <f t="shared" ca="1" si="45"/>
        <v>295138</v>
      </c>
      <c r="S185" s="118">
        <f t="shared" ca="1" si="45"/>
        <v>20748201</v>
      </c>
      <c r="T185" s="118">
        <f ca="1">중급</f>
        <v>295138</v>
      </c>
      <c r="U185" s="118">
        <f t="shared" ca="1" si="46"/>
        <v>20748201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75.2</v>
      </c>
      <c r="Q186" s="144" t="s">
        <v>29</v>
      </c>
      <c r="R186" s="118">
        <f t="shared" ca="1" si="45"/>
        <v>235459</v>
      </c>
      <c r="S186" s="118">
        <f t="shared" ca="1" si="45"/>
        <v>17706516</v>
      </c>
      <c r="T186" s="118">
        <f ca="1">초급</f>
        <v>235459</v>
      </c>
      <c r="U186" s="118">
        <f t="shared" ca="1" si="46"/>
        <v>17706516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82.1</v>
      </c>
      <c r="Q187" s="322" t="s">
        <v>29</v>
      </c>
      <c r="R187" s="323">
        <f t="shared" ca="1" si="45"/>
        <v>250087</v>
      </c>
      <c r="S187" s="323">
        <f t="shared" ca="1" si="45"/>
        <v>20532142</v>
      </c>
      <c r="T187" s="323">
        <f ca="1">보조원</f>
        <v>250087</v>
      </c>
      <c r="U187" s="323">
        <f t="shared" ca="1" si="46"/>
        <v>20532142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79473875</v>
      </c>
      <c r="T188" s="71"/>
      <c r="U188" s="71">
        <f ca="1">SUBTOTAL(9,U182:U187)</f>
        <v>79473875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17 호표  4.6 교통 및 물류유통체계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17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13</v>
      </c>
      <c r="Q190" s="141" t="s">
        <v>29</v>
      </c>
      <c r="R190" s="142">
        <f t="shared" ref="R190:S195" ca="1" si="47">T190</f>
        <v>467217</v>
      </c>
      <c r="S190" s="142">
        <f t="shared" ca="1" si="47"/>
        <v>6073821</v>
      </c>
      <c r="T190" s="142">
        <f ca="1">기술사</f>
        <v>467217</v>
      </c>
      <c r="U190" s="142">
        <f t="shared" ref="U190:U195" ca="1" si="48">ROUNDDOWN(P190*R190,0)</f>
        <v>6073821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20.5</v>
      </c>
      <c r="Q191" s="144" t="s">
        <v>29</v>
      </c>
      <c r="R191" s="118">
        <f t="shared" ca="1" si="47"/>
        <v>373353</v>
      </c>
      <c r="S191" s="118">
        <f t="shared" ca="1" si="47"/>
        <v>7653736</v>
      </c>
      <c r="T191" s="118">
        <f ca="1">특급</f>
        <v>373353</v>
      </c>
      <c r="U191" s="118">
        <f t="shared" ca="1" si="48"/>
        <v>7653736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50.9</v>
      </c>
      <c r="Q192" s="144" t="s">
        <v>29</v>
      </c>
      <c r="R192" s="118">
        <f t="shared" ca="1" si="47"/>
        <v>310884</v>
      </c>
      <c r="S192" s="118">
        <f t="shared" ca="1" si="47"/>
        <v>15823995</v>
      </c>
      <c r="T192" s="118">
        <f ca="1">고급</f>
        <v>310884</v>
      </c>
      <c r="U192" s="118">
        <f t="shared" ca="1" si="48"/>
        <v>15823995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99.9</v>
      </c>
      <c r="Q193" s="144" t="s">
        <v>29</v>
      </c>
      <c r="R193" s="118">
        <f t="shared" ca="1" si="47"/>
        <v>295138</v>
      </c>
      <c r="S193" s="118">
        <f t="shared" ca="1" si="47"/>
        <v>29484286</v>
      </c>
      <c r="T193" s="118">
        <f ca="1">중급</f>
        <v>295138</v>
      </c>
      <c r="U193" s="118">
        <f t="shared" ca="1" si="48"/>
        <v>29484286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106.9</v>
      </c>
      <c r="Q194" s="144" t="s">
        <v>29</v>
      </c>
      <c r="R194" s="118">
        <f t="shared" ca="1" si="47"/>
        <v>235459</v>
      </c>
      <c r="S194" s="118">
        <f t="shared" ca="1" si="47"/>
        <v>25170567</v>
      </c>
      <c r="T194" s="118">
        <f ca="1">초급</f>
        <v>235459</v>
      </c>
      <c r="U194" s="118">
        <f t="shared" ca="1" si="48"/>
        <v>25170567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116.7</v>
      </c>
      <c r="Q195" s="322" t="s">
        <v>29</v>
      </c>
      <c r="R195" s="323">
        <f t="shared" ca="1" si="47"/>
        <v>250087</v>
      </c>
      <c r="S195" s="323">
        <f t="shared" ca="1" si="47"/>
        <v>29185152</v>
      </c>
      <c r="T195" s="323">
        <f ca="1">보조원</f>
        <v>250087</v>
      </c>
      <c r="U195" s="323">
        <f t="shared" ca="1" si="48"/>
        <v>29185152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113391557</v>
      </c>
      <c r="T196" s="71"/>
      <c r="U196" s="71">
        <f ca="1">SUBTOTAL(9,U190:U195)</f>
        <v>113391557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OFFSET($A$1,MATCH(Z197,$A:$A,0)-1,1)</f>
        <v>제 18 호표  4.7 광역시설계획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18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9</v>
      </c>
      <c r="Q198" s="141" t="s">
        <v>29</v>
      </c>
      <c r="R198" s="142">
        <f t="shared" ref="R198:S203" ca="1" si="49">T198</f>
        <v>467217</v>
      </c>
      <c r="S198" s="142">
        <f t="shared" ca="1" si="49"/>
        <v>4204953</v>
      </c>
      <c r="T198" s="142">
        <f ca="1">기술사</f>
        <v>467217</v>
      </c>
      <c r="U198" s="142">
        <f t="shared" ref="U198:U203" ca="1" si="50">ROUNDDOWN(P198*R198,0)</f>
        <v>4204953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14.3</v>
      </c>
      <c r="Q199" s="144" t="s">
        <v>29</v>
      </c>
      <c r="R199" s="118">
        <f t="shared" ca="1" si="49"/>
        <v>373353</v>
      </c>
      <c r="S199" s="118">
        <f t="shared" ca="1" si="49"/>
        <v>5338947</v>
      </c>
      <c r="T199" s="118">
        <f ca="1">특급</f>
        <v>373353</v>
      </c>
      <c r="U199" s="118">
        <f t="shared" ca="1" si="50"/>
        <v>5338947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35.200000000000003</v>
      </c>
      <c r="Q200" s="144" t="s">
        <v>29</v>
      </c>
      <c r="R200" s="118">
        <f t="shared" ca="1" si="49"/>
        <v>310884</v>
      </c>
      <c r="S200" s="118">
        <f t="shared" ca="1" si="49"/>
        <v>10943116</v>
      </c>
      <c r="T200" s="118">
        <f ca="1">고급</f>
        <v>310884</v>
      </c>
      <c r="U200" s="118">
        <f t="shared" ca="1" si="50"/>
        <v>10943116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70.3</v>
      </c>
      <c r="Q201" s="144" t="s">
        <v>29</v>
      </c>
      <c r="R201" s="118">
        <f t="shared" ca="1" si="49"/>
        <v>295138</v>
      </c>
      <c r="S201" s="118">
        <f t="shared" ca="1" si="49"/>
        <v>20748201</v>
      </c>
      <c r="T201" s="118">
        <f ca="1">중급</f>
        <v>295138</v>
      </c>
      <c r="U201" s="118">
        <f t="shared" ca="1" si="50"/>
        <v>20748201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75.2</v>
      </c>
      <c r="Q202" s="144" t="s">
        <v>29</v>
      </c>
      <c r="R202" s="118">
        <f t="shared" ca="1" si="49"/>
        <v>235459</v>
      </c>
      <c r="S202" s="118">
        <f t="shared" ca="1" si="49"/>
        <v>17706516</v>
      </c>
      <c r="T202" s="118">
        <f ca="1">초급</f>
        <v>235459</v>
      </c>
      <c r="U202" s="118">
        <f t="shared" ca="1" si="50"/>
        <v>17706516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82.1</v>
      </c>
      <c r="Q203" s="322" t="s">
        <v>29</v>
      </c>
      <c r="R203" s="323">
        <f t="shared" ca="1" si="49"/>
        <v>250087</v>
      </c>
      <c r="S203" s="323">
        <f t="shared" ca="1" si="49"/>
        <v>20532142</v>
      </c>
      <c r="T203" s="323">
        <f ca="1">보조원</f>
        <v>250087</v>
      </c>
      <c r="U203" s="323">
        <f t="shared" ca="1" si="50"/>
        <v>20532142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79473875</v>
      </c>
      <c r="T204" s="71"/>
      <c r="U204" s="71">
        <f ca="1">SUBTOTAL(9,U198:U203)</f>
        <v>79473875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OFFSET($A$1,MATCH(Z205,$A:$A,0)-1,1)</f>
        <v>제 19 호표  4.8 기후위기 대응계획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19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0</v>
      </c>
      <c r="Q206" s="141" t="s">
        <v>29</v>
      </c>
      <c r="R206" s="142">
        <f t="shared" ref="R206:S211" ca="1" si="51">T206</f>
        <v>467217</v>
      </c>
      <c r="S206" s="142">
        <f t="shared" ca="1" si="51"/>
        <v>0</v>
      </c>
      <c r="T206" s="142">
        <f ca="1">기술사</f>
        <v>467217</v>
      </c>
      <c r="U206" s="142">
        <f t="shared" ref="U206:U211" ca="1" si="52">ROUNDDOWN(P206*R206,0)</f>
        <v>0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0</v>
      </c>
      <c r="Q207" s="144" t="s">
        <v>29</v>
      </c>
      <c r="R207" s="118">
        <f t="shared" ca="1" si="51"/>
        <v>373353</v>
      </c>
      <c r="S207" s="118">
        <f t="shared" ca="1" si="51"/>
        <v>0</v>
      </c>
      <c r="T207" s="118">
        <f ca="1">특급</f>
        <v>373353</v>
      </c>
      <c r="U207" s="118">
        <f t="shared" ca="1" si="52"/>
        <v>0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0</v>
      </c>
      <c r="Q208" s="144" t="s">
        <v>29</v>
      </c>
      <c r="R208" s="118">
        <f t="shared" ca="1" si="51"/>
        <v>310884</v>
      </c>
      <c r="S208" s="118">
        <f t="shared" ca="1" si="51"/>
        <v>0</v>
      </c>
      <c r="T208" s="118">
        <f ca="1">고급</f>
        <v>310884</v>
      </c>
      <c r="U208" s="118">
        <f t="shared" ca="1" si="52"/>
        <v>0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0</v>
      </c>
      <c r="Q209" s="144" t="s">
        <v>29</v>
      </c>
      <c r="R209" s="118">
        <f t="shared" ca="1" si="51"/>
        <v>295138</v>
      </c>
      <c r="S209" s="118">
        <f t="shared" ca="1" si="51"/>
        <v>0</v>
      </c>
      <c r="T209" s="118">
        <f ca="1">중급</f>
        <v>295138</v>
      </c>
      <c r="U209" s="118">
        <f t="shared" ca="1" si="52"/>
        <v>0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0</v>
      </c>
      <c r="Q210" s="144" t="s">
        <v>29</v>
      </c>
      <c r="R210" s="118">
        <f t="shared" ca="1" si="51"/>
        <v>235459</v>
      </c>
      <c r="S210" s="118">
        <f t="shared" ca="1" si="51"/>
        <v>0</v>
      </c>
      <c r="T210" s="118">
        <f ca="1">초급</f>
        <v>235459</v>
      </c>
      <c r="U210" s="118">
        <f t="shared" ca="1" si="52"/>
        <v>0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0</v>
      </c>
      <c r="Q211" s="322" t="s">
        <v>29</v>
      </c>
      <c r="R211" s="323">
        <f t="shared" ca="1" si="51"/>
        <v>250087</v>
      </c>
      <c r="S211" s="323">
        <f t="shared" ca="1" si="51"/>
        <v>0</v>
      </c>
      <c r="T211" s="323">
        <f ca="1">보조원</f>
        <v>250087</v>
      </c>
      <c r="U211" s="323">
        <f t="shared" ca="1" si="52"/>
        <v>0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0</v>
      </c>
      <c r="T212" s="71"/>
      <c r="U212" s="71">
        <f ca="1">SUBTOTAL(9,U206:U211)</f>
        <v>0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318" t="str">
        <f ca="1">"제 " &amp; Z213 &amp; " 호표  "&amp; OFFSET($A$1,MATCH(Z213,$A:$A,0)-1,1)</f>
        <v>제 20 호표  5.1 단계별추진계획</v>
      </c>
      <c r="O213" s="221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20</v>
      </c>
    </row>
    <row r="214" spans="11:26" ht="18" customHeight="1">
      <c r="K214" s="171" t="s">
        <v>14</v>
      </c>
      <c r="L214" s="171"/>
      <c r="M214" s="171"/>
      <c r="N214" s="140" t="s">
        <v>43</v>
      </c>
      <c r="O214" s="172">
        <v>3</v>
      </c>
      <c r="P214" s="219">
        <f ca="1">OFFSET($A$1,MATCH(Z213,$A:$A,0)-1,O214)</f>
        <v>3</v>
      </c>
      <c r="Q214" s="141" t="s">
        <v>29</v>
      </c>
      <c r="R214" s="142">
        <f t="shared" ref="R214:S219" ca="1" si="53">T214</f>
        <v>467217</v>
      </c>
      <c r="S214" s="142">
        <f t="shared" ca="1" si="53"/>
        <v>1401651</v>
      </c>
      <c r="T214" s="142">
        <f ca="1">기술사</f>
        <v>467217</v>
      </c>
      <c r="U214" s="142">
        <f t="shared" ref="U214:U219" ca="1" si="54">ROUNDDOWN(P214*R214,0)</f>
        <v>1401651</v>
      </c>
      <c r="V214" s="142"/>
      <c r="W214" s="142"/>
      <c r="X214" s="142"/>
      <c r="Y214" s="142"/>
      <c r="Z214" s="114"/>
    </row>
    <row r="215" spans="11:26" ht="18" customHeight="1">
      <c r="K215" s="171" t="s">
        <v>14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4.8</v>
      </c>
      <c r="Q215" s="144" t="s">
        <v>29</v>
      </c>
      <c r="R215" s="118">
        <f t="shared" ca="1" si="53"/>
        <v>373353</v>
      </c>
      <c r="S215" s="118">
        <f t="shared" ca="1" si="53"/>
        <v>1792094</v>
      </c>
      <c r="T215" s="118">
        <f ca="1">특급</f>
        <v>373353</v>
      </c>
      <c r="U215" s="118">
        <f t="shared" ca="1" si="54"/>
        <v>1792094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9.8000000000000007</v>
      </c>
      <c r="Q216" s="144" t="s">
        <v>29</v>
      </c>
      <c r="R216" s="118">
        <f t="shared" ca="1" si="53"/>
        <v>310884</v>
      </c>
      <c r="S216" s="118">
        <f t="shared" ca="1" si="53"/>
        <v>3046663</v>
      </c>
      <c r="T216" s="118">
        <f ca="1">고급</f>
        <v>310884</v>
      </c>
      <c r="U216" s="118">
        <f t="shared" ca="1" si="54"/>
        <v>3046663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11.1</v>
      </c>
      <c r="Q217" s="144" t="s">
        <v>29</v>
      </c>
      <c r="R217" s="118">
        <f t="shared" ca="1" si="53"/>
        <v>295138</v>
      </c>
      <c r="S217" s="118">
        <f t="shared" ca="1" si="53"/>
        <v>3276031</v>
      </c>
      <c r="T217" s="118">
        <f ca="1">중급</f>
        <v>295138</v>
      </c>
      <c r="U217" s="118">
        <f t="shared" ca="1" si="54"/>
        <v>3276031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11.9</v>
      </c>
      <c r="Q218" s="144" t="s">
        <v>29</v>
      </c>
      <c r="R218" s="118">
        <f t="shared" ca="1" si="53"/>
        <v>235459</v>
      </c>
      <c r="S218" s="118">
        <f t="shared" ca="1" si="53"/>
        <v>2801962</v>
      </c>
      <c r="T218" s="118">
        <f ca="1">초급</f>
        <v>235459</v>
      </c>
      <c r="U218" s="118">
        <f t="shared" ca="1" si="54"/>
        <v>2801962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13</v>
      </c>
      <c r="Q219" s="322" t="s">
        <v>29</v>
      </c>
      <c r="R219" s="323">
        <f t="shared" ca="1" si="53"/>
        <v>250087</v>
      </c>
      <c r="S219" s="323">
        <f t="shared" ca="1" si="53"/>
        <v>3251131</v>
      </c>
      <c r="T219" s="323">
        <f ca="1">보조원</f>
        <v>250087</v>
      </c>
      <c r="U219" s="323">
        <f t="shared" ca="1" si="54"/>
        <v>3251131</v>
      </c>
      <c r="V219" s="323"/>
      <c r="W219" s="323"/>
      <c r="X219" s="323"/>
      <c r="Y219" s="323"/>
      <c r="Z219" s="324"/>
    </row>
    <row r="220" spans="11:26" ht="18" customHeight="1">
      <c r="K220" s="171" t="s">
        <v>14</v>
      </c>
      <c r="L220" s="171"/>
      <c r="M220" s="171"/>
      <c r="N220" s="139" t="s">
        <v>17</v>
      </c>
      <c r="O220" s="68"/>
      <c r="P220" s="69"/>
      <c r="Q220" s="70"/>
      <c r="R220" s="71"/>
      <c r="S220" s="71">
        <f ca="1">SUBTOTAL(9,S214:S219)</f>
        <v>15569532</v>
      </c>
      <c r="T220" s="71"/>
      <c r="U220" s="71">
        <f ca="1">SUBTOTAL(9,U214:U219)</f>
        <v>15569532</v>
      </c>
      <c r="V220" s="71"/>
      <c r="W220" s="71"/>
      <c r="X220" s="71"/>
      <c r="Y220" s="71"/>
      <c r="Z220" s="68"/>
    </row>
    <row r="221" spans="11:26" ht="18" customHeight="1">
      <c r="K221" s="171" t="s">
        <v>14</v>
      </c>
      <c r="L221" s="171"/>
      <c r="M221" s="171"/>
      <c r="N221" s="318" t="str">
        <f ca="1">"제 " &amp; Z221 &amp; " 호표  "&amp; OFFSET($A$1,MATCH(Z221,$A:$A,0)-1,1)</f>
        <v>제 21 호표  5.2 집행 및 관리계획</v>
      </c>
      <c r="O221" s="221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21</v>
      </c>
    </row>
    <row r="222" spans="11:26" ht="18" customHeight="1">
      <c r="K222" s="171" t="s">
        <v>14</v>
      </c>
      <c r="L222" s="171"/>
      <c r="M222" s="171"/>
      <c r="N222" s="140" t="s">
        <v>43</v>
      </c>
      <c r="O222" s="172">
        <v>3</v>
      </c>
      <c r="P222" s="219">
        <f ca="1">OFFSET($A$1,MATCH(Z221,$A:$A,0)-1,O222)</f>
        <v>3</v>
      </c>
      <c r="Q222" s="141" t="s">
        <v>29</v>
      </c>
      <c r="R222" s="142">
        <f t="shared" ref="R222:S227" ca="1" si="55">T222</f>
        <v>467217</v>
      </c>
      <c r="S222" s="142">
        <f t="shared" ca="1" si="55"/>
        <v>1401651</v>
      </c>
      <c r="T222" s="142">
        <f ca="1">기술사</f>
        <v>467217</v>
      </c>
      <c r="U222" s="142">
        <f t="shared" ref="U222:U227" ca="1" si="56">ROUNDDOWN(P222*R222,0)</f>
        <v>1401651</v>
      </c>
      <c r="V222" s="142"/>
      <c r="W222" s="142"/>
      <c r="X222" s="142"/>
      <c r="Y222" s="142"/>
      <c r="Z222" s="114"/>
    </row>
    <row r="223" spans="11:26" ht="18" customHeight="1">
      <c r="K223" s="171" t="s">
        <v>14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4.8</v>
      </c>
      <c r="Q223" s="144" t="s">
        <v>29</v>
      </c>
      <c r="R223" s="118">
        <f t="shared" ca="1" si="55"/>
        <v>373353</v>
      </c>
      <c r="S223" s="118">
        <f t="shared" ca="1" si="55"/>
        <v>1792094</v>
      </c>
      <c r="T223" s="118">
        <f ca="1">특급</f>
        <v>373353</v>
      </c>
      <c r="U223" s="118">
        <f t="shared" ca="1" si="56"/>
        <v>1792094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9.8000000000000007</v>
      </c>
      <c r="Q224" s="144" t="s">
        <v>29</v>
      </c>
      <c r="R224" s="118">
        <f t="shared" ca="1" si="55"/>
        <v>310884</v>
      </c>
      <c r="S224" s="118">
        <f t="shared" ca="1" si="55"/>
        <v>3046663</v>
      </c>
      <c r="T224" s="118">
        <f ca="1">고급</f>
        <v>310884</v>
      </c>
      <c r="U224" s="118">
        <f t="shared" ca="1" si="56"/>
        <v>3046663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11.1</v>
      </c>
      <c r="Q225" s="144" t="s">
        <v>29</v>
      </c>
      <c r="R225" s="118">
        <f t="shared" ca="1" si="55"/>
        <v>295138</v>
      </c>
      <c r="S225" s="118">
        <f t="shared" ca="1" si="55"/>
        <v>3276031</v>
      </c>
      <c r="T225" s="118">
        <f ca="1">중급</f>
        <v>295138</v>
      </c>
      <c r="U225" s="118">
        <f t="shared" ca="1" si="56"/>
        <v>3276031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11.9</v>
      </c>
      <c r="Q226" s="144" t="s">
        <v>29</v>
      </c>
      <c r="R226" s="118">
        <f t="shared" ca="1" si="55"/>
        <v>235459</v>
      </c>
      <c r="S226" s="118">
        <f t="shared" ca="1" si="55"/>
        <v>2801962</v>
      </c>
      <c r="T226" s="118">
        <f ca="1">초급</f>
        <v>235459</v>
      </c>
      <c r="U226" s="118">
        <f t="shared" ca="1" si="56"/>
        <v>2801962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13</v>
      </c>
      <c r="Q227" s="322" t="s">
        <v>29</v>
      </c>
      <c r="R227" s="323">
        <f t="shared" ca="1" si="55"/>
        <v>250087</v>
      </c>
      <c r="S227" s="323">
        <f t="shared" ca="1" si="55"/>
        <v>3251131</v>
      </c>
      <c r="T227" s="323">
        <f ca="1">보조원</f>
        <v>250087</v>
      </c>
      <c r="U227" s="323">
        <f t="shared" ca="1" si="56"/>
        <v>3251131</v>
      </c>
      <c r="V227" s="323"/>
      <c r="W227" s="323"/>
      <c r="X227" s="323"/>
      <c r="Y227" s="323"/>
      <c r="Z227" s="324"/>
    </row>
    <row r="228" spans="11:26" ht="18" customHeight="1">
      <c r="K228" s="171" t="s">
        <v>14</v>
      </c>
      <c r="L228" s="171"/>
      <c r="M228" s="171"/>
      <c r="N228" s="139" t="s">
        <v>17</v>
      </c>
      <c r="O228" s="68"/>
      <c r="P228" s="69"/>
      <c r="Q228" s="70"/>
      <c r="R228" s="71"/>
      <c r="S228" s="71">
        <f ca="1">SUBTOTAL(9,S222:S227)</f>
        <v>15569532</v>
      </c>
      <c r="T228" s="71"/>
      <c r="U228" s="71">
        <f ca="1">SUBTOTAL(9,U222:U227)</f>
        <v>15569532</v>
      </c>
      <c r="V228" s="71"/>
      <c r="W228" s="71"/>
      <c r="X228" s="71"/>
      <c r="Y228" s="71"/>
      <c r="Z228" s="68"/>
    </row>
    <row r="229" spans="11:26" ht="18" customHeight="1">
      <c r="K229" s="171" t="s">
        <v>14</v>
      </c>
      <c r="L229" s="171"/>
      <c r="M229" s="171"/>
      <c r="N229" s="318" t="str">
        <f ca="1">"제 " &amp; Z229 &amp; " 호표  "&amp; OFFSET($A$1,MATCH(Z229,$A:$A,0)-1,1)</f>
        <v>제 22 호표  5.3 행·재정계획</v>
      </c>
      <c r="O229" s="221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22</v>
      </c>
    </row>
    <row r="230" spans="11:26" ht="18" customHeight="1">
      <c r="K230" s="171" t="s">
        <v>14</v>
      </c>
      <c r="L230" s="171"/>
      <c r="M230" s="171"/>
      <c r="N230" s="140" t="s">
        <v>43</v>
      </c>
      <c r="O230" s="172">
        <v>3</v>
      </c>
      <c r="P230" s="219">
        <f ca="1">OFFSET($A$1,MATCH(Z229,$A:$A,0)-1,O230)</f>
        <v>2</v>
      </c>
      <c r="Q230" s="141" t="s">
        <v>29</v>
      </c>
      <c r="R230" s="142">
        <f t="shared" ref="R230:S235" ca="1" si="57">T230</f>
        <v>467217</v>
      </c>
      <c r="S230" s="142">
        <f t="shared" ca="1" si="57"/>
        <v>934434</v>
      </c>
      <c r="T230" s="142">
        <f ca="1">기술사</f>
        <v>467217</v>
      </c>
      <c r="U230" s="142">
        <f t="shared" ref="U230:U235" ca="1" si="58">ROUNDDOWN(P230*R230,0)</f>
        <v>934434</v>
      </c>
      <c r="V230" s="142"/>
      <c r="W230" s="142"/>
      <c r="X230" s="142"/>
      <c r="Y230" s="142"/>
      <c r="Z230" s="114"/>
    </row>
    <row r="231" spans="11:26" ht="18" customHeight="1">
      <c r="K231" s="171" t="s">
        <v>14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3.2</v>
      </c>
      <c r="Q231" s="144" t="s">
        <v>29</v>
      </c>
      <c r="R231" s="118">
        <f t="shared" ca="1" si="57"/>
        <v>373353</v>
      </c>
      <c r="S231" s="118">
        <f t="shared" ca="1" si="57"/>
        <v>1194729</v>
      </c>
      <c r="T231" s="118">
        <f ca="1">특급</f>
        <v>373353</v>
      </c>
      <c r="U231" s="118">
        <f t="shared" ca="1" si="58"/>
        <v>1194729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7.8</v>
      </c>
      <c r="Q232" s="144" t="s">
        <v>29</v>
      </c>
      <c r="R232" s="118">
        <f t="shared" ca="1" si="57"/>
        <v>310884</v>
      </c>
      <c r="S232" s="118">
        <f t="shared" ca="1" si="57"/>
        <v>2424895</v>
      </c>
      <c r="T232" s="118">
        <f ca="1">고급</f>
        <v>310884</v>
      </c>
      <c r="U232" s="118">
        <f t="shared" ca="1" si="58"/>
        <v>2424895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7.4</v>
      </c>
      <c r="Q233" s="144" t="s">
        <v>29</v>
      </c>
      <c r="R233" s="118">
        <f t="shared" ca="1" si="57"/>
        <v>295138</v>
      </c>
      <c r="S233" s="118">
        <f t="shared" ca="1" si="57"/>
        <v>2184021</v>
      </c>
      <c r="T233" s="118">
        <f ca="1">중급</f>
        <v>295138</v>
      </c>
      <c r="U233" s="118">
        <f t="shared" ca="1" si="58"/>
        <v>2184021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7.9</v>
      </c>
      <c r="Q234" s="144" t="s">
        <v>29</v>
      </c>
      <c r="R234" s="118">
        <f t="shared" ca="1" si="57"/>
        <v>235459</v>
      </c>
      <c r="S234" s="118">
        <f t="shared" ca="1" si="57"/>
        <v>1860126</v>
      </c>
      <c r="T234" s="118">
        <f ca="1">초급</f>
        <v>235459</v>
      </c>
      <c r="U234" s="118">
        <f t="shared" ca="1" si="58"/>
        <v>1860126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8.6999999999999993</v>
      </c>
      <c r="Q235" s="322" t="s">
        <v>29</v>
      </c>
      <c r="R235" s="323">
        <f t="shared" ca="1" si="57"/>
        <v>250087</v>
      </c>
      <c r="S235" s="323">
        <f t="shared" ca="1" si="57"/>
        <v>2175756</v>
      </c>
      <c r="T235" s="323">
        <f ca="1">보조원</f>
        <v>250087</v>
      </c>
      <c r="U235" s="323">
        <f t="shared" ca="1" si="58"/>
        <v>2175756</v>
      </c>
      <c r="V235" s="323"/>
      <c r="W235" s="323"/>
      <c r="X235" s="323"/>
      <c r="Y235" s="323"/>
      <c r="Z235" s="324"/>
    </row>
    <row r="236" spans="11:26" ht="18" customHeight="1">
      <c r="K236" s="171" t="s">
        <v>14</v>
      </c>
      <c r="L236" s="171"/>
      <c r="M236" s="171"/>
      <c r="N236" s="139" t="s">
        <v>17</v>
      </c>
      <c r="O236" s="68"/>
      <c r="P236" s="69"/>
      <c r="Q236" s="70"/>
      <c r="R236" s="71"/>
      <c r="S236" s="71">
        <f ca="1">SUBTOTAL(9,S230:S235)</f>
        <v>10773961</v>
      </c>
      <c r="T236" s="71"/>
      <c r="U236" s="71">
        <f ca="1">SUBTOTAL(9,U230:U235)</f>
        <v>10773961</v>
      </c>
      <c r="V236" s="71"/>
      <c r="W236" s="71"/>
      <c r="X236" s="71"/>
      <c r="Y236" s="71"/>
      <c r="Z236" s="68"/>
    </row>
    <row r="237" spans="11:26" ht="18" customHeight="1">
      <c r="K237" s="171" t="s">
        <v>14</v>
      </c>
      <c r="L237" s="171"/>
      <c r="M237" s="171"/>
      <c r="N237" s="318" t="str">
        <f ca="1">"제 " &amp; Z237 &amp; " 호표  "&amp; OFFSET($A$1,MATCH(Z237,$A:$A,0)-1,1)</f>
        <v>제 23 호표  6.1 보고서작성 및 편집</v>
      </c>
      <c r="O237" s="221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23</v>
      </c>
    </row>
    <row r="238" spans="11:26" ht="18" customHeight="1">
      <c r="K238" s="171" t="s">
        <v>14</v>
      </c>
      <c r="L238" s="171"/>
      <c r="M238" s="171"/>
      <c r="N238" s="140" t="s">
        <v>43</v>
      </c>
      <c r="O238" s="172">
        <v>3</v>
      </c>
      <c r="P238" s="219">
        <f ca="1">OFFSET($A$1,MATCH(Z237,$A:$A,0)-1,O238)</f>
        <v>2</v>
      </c>
      <c r="Q238" s="141" t="s">
        <v>29</v>
      </c>
      <c r="R238" s="142">
        <f t="shared" ref="R238:S243" ca="1" si="59">T238</f>
        <v>467217</v>
      </c>
      <c r="S238" s="142">
        <f t="shared" ca="1" si="59"/>
        <v>934434</v>
      </c>
      <c r="T238" s="142">
        <f ca="1">기술사</f>
        <v>467217</v>
      </c>
      <c r="U238" s="142">
        <f t="shared" ref="U238:U243" ca="1" si="60">ROUNDDOWN(P238*R238,0)</f>
        <v>934434</v>
      </c>
      <c r="V238" s="142"/>
      <c r="W238" s="142"/>
      <c r="X238" s="142"/>
      <c r="Y238" s="142"/>
      <c r="Z238" s="114"/>
    </row>
    <row r="239" spans="11:26" ht="18" customHeight="1">
      <c r="K239" s="171" t="s">
        <v>14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3.2</v>
      </c>
      <c r="Q239" s="144" t="s">
        <v>29</v>
      </c>
      <c r="R239" s="118">
        <f t="shared" ca="1" si="59"/>
        <v>373353</v>
      </c>
      <c r="S239" s="118">
        <f t="shared" ca="1" si="59"/>
        <v>1194729</v>
      </c>
      <c r="T239" s="118">
        <f ca="1">특급</f>
        <v>373353</v>
      </c>
      <c r="U239" s="118">
        <f t="shared" ca="1" si="60"/>
        <v>1194729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7.8</v>
      </c>
      <c r="Q240" s="144" t="s">
        <v>29</v>
      </c>
      <c r="R240" s="118">
        <f t="shared" ca="1" si="59"/>
        <v>310884</v>
      </c>
      <c r="S240" s="118">
        <f t="shared" ca="1" si="59"/>
        <v>2424895</v>
      </c>
      <c r="T240" s="118">
        <f ca="1">고급</f>
        <v>310884</v>
      </c>
      <c r="U240" s="118">
        <f t="shared" ca="1" si="60"/>
        <v>2424895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14.8</v>
      </c>
      <c r="Q241" s="144" t="s">
        <v>29</v>
      </c>
      <c r="R241" s="118">
        <f t="shared" ca="1" si="59"/>
        <v>295138</v>
      </c>
      <c r="S241" s="118">
        <f t="shared" ca="1" si="59"/>
        <v>4368042</v>
      </c>
      <c r="T241" s="118">
        <f ca="1">중급</f>
        <v>295138</v>
      </c>
      <c r="U241" s="118">
        <f t="shared" ca="1" si="60"/>
        <v>4368042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15.9</v>
      </c>
      <c r="Q242" s="144" t="s">
        <v>29</v>
      </c>
      <c r="R242" s="118">
        <f t="shared" ca="1" si="59"/>
        <v>235459</v>
      </c>
      <c r="S242" s="118">
        <f t="shared" ca="1" si="59"/>
        <v>3743798</v>
      </c>
      <c r="T242" s="118">
        <f ca="1">초급</f>
        <v>235459</v>
      </c>
      <c r="U242" s="118">
        <f t="shared" ca="1" si="60"/>
        <v>3743798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17.3</v>
      </c>
      <c r="Q243" s="322" t="s">
        <v>29</v>
      </c>
      <c r="R243" s="323">
        <f t="shared" ca="1" si="59"/>
        <v>250087</v>
      </c>
      <c r="S243" s="323">
        <f t="shared" ca="1" si="59"/>
        <v>4326505</v>
      </c>
      <c r="T243" s="323">
        <f ca="1">보조원</f>
        <v>250087</v>
      </c>
      <c r="U243" s="323">
        <f t="shared" ca="1" si="60"/>
        <v>4326505</v>
      </c>
      <c r="V243" s="323"/>
      <c r="W243" s="323"/>
      <c r="X243" s="323"/>
      <c r="Y243" s="323"/>
      <c r="Z243" s="324"/>
    </row>
    <row r="244" spans="11:26" ht="18" customHeight="1">
      <c r="K244" s="171" t="s">
        <v>14</v>
      </c>
      <c r="L244" s="171"/>
      <c r="M244" s="171"/>
      <c r="N244" s="139" t="s">
        <v>17</v>
      </c>
      <c r="O244" s="68"/>
      <c r="P244" s="69"/>
      <c r="Q244" s="70"/>
      <c r="R244" s="71"/>
      <c r="S244" s="71">
        <f ca="1">SUBTOTAL(9,S238:S243)</f>
        <v>16992403</v>
      </c>
      <c r="T244" s="71"/>
      <c r="U244" s="71">
        <f ca="1">SUBTOTAL(9,U238:U243)</f>
        <v>16992403</v>
      </c>
      <c r="V244" s="71"/>
      <c r="W244" s="71"/>
      <c r="X244" s="71"/>
      <c r="Y244" s="71"/>
      <c r="Z244" s="68"/>
    </row>
    <row r="245" spans="11:26" ht="18" customHeight="1">
      <c r="K245" s="171" t="s">
        <v>14</v>
      </c>
      <c r="L245" s="171"/>
      <c r="M245" s="171"/>
      <c r="N245" s="318" t="str">
        <f ca="1">"제 " &amp; Z245 &amp; " 호표  "&amp; OFFSET($A$1,MATCH(Z245,$A:$A,0)-1,1)</f>
        <v>제 24 호표  6.2 관련도서작성</v>
      </c>
      <c r="O245" s="221"/>
      <c r="P245" s="148"/>
      <c r="Q245" s="148"/>
      <c r="R245" s="149"/>
      <c r="S245" s="149"/>
      <c r="T245" s="149"/>
      <c r="U245" s="149"/>
      <c r="V245" s="149"/>
      <c r="W245" s="149"/>
      <c r="X245" s="149"/>
      <c r="Y245" s="149"/>
      <c r="Z245" s="325">
        <f>Z237+1</f>
        <v>24</v>
      </c>
    </row>
    <row r="246" spans="11:26" ht="18" customHeight="1">
      <c r="K246" s="171" t="s">
        <v>14</v>
      </c>
      <c r="L246" s="171"/>
      <c r="M246" s="171"/>
      <c r="N246" s="140" t="s">
        <v>43</v>
      </c>
      <c r="O246" s="172">
        <v>3</v>
      </c>
      <c r="P246" s="219">
        <f ca="1">OFFSET($A$1,MATCH(Z245,$A:$A,0)-1,O246)</f>
        <v>1</v>
      </c>
      <c r="Q246" s="141" t="s">
        <v>29</v>
      </c>
      <c r="R246" s="142">
        <f t="shared" ref="R246:S251" ca="1" si="61">T246</f>
        <v>467217</v>
      </c>
      <c r="S246" s="142">
        <f t="shared" ca="1" si="61"/>
        <v>467217</v>
      </c>
      <c r="T246" s="142">
        <f ca="1">기술사</f>
        <v>467217</v>
      </c>
      <c r="U246" s="142">
        <f t="shared" ref="U246:U251" ca="1" si="62">ROUNDDOWN(P246*R246,0)</f>
        <v>467217</v>
      </c>
      <c r="V246" s="142"/>
      <c r="W246" s="142"/>
      <c r="X246" s="142"/>
      <c r="Y246" s="142"/>
      <c r="Z246" s="114"/>
    </row>
    <row r="247" spans="11:26" ht="18" customHeight="1">
      <c r="K247" s="171" t="s">
        <v>14</v>
      </c>
      <c r="L247" s="171"/>
      <c r="M247" s="171"/>
      <c r="N247" s="143" t="s">
        <v>32</v>
      </c>
      <c r="O247" s="173">
        <v>4</v>
      </c>
      <c r="P247" s="234">
        <f ca="1">OFFSET($A$1,MATCH(Z245,$A:$A,0)-1,O247)</f>
        <v>1.6</v>
      </c>
      <c r="Q247" s="144" t="s">
        <v>29</v>
      </c>
      <c r="R247" s="118">
        <f t="shared" ca="1" si="61"/>
        <v>373353</v>
      </c>
      <c r="S247" s="118">
        <f t="shared" ca="1" si="61"/>
        <v>597364</v>
      </c>
      <c r="T247" s="118">
        <f ca="1">특급</f>
        <v>373353</v>
      </c>
      <c r="U247" s="118">
        <f t="shared" ca="1" si="62"/>
        <v>597364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39</v>
      </c>
      <c r="O248" s="173">
        <v>5</v>
      </c>
      <c r="P248" s="234">
        <f ca="1">OFFSET($A$1,MATCH(Z245,$A:$A,0)-1,O248)</f>
        <v>3.9</v>
      </c>
      <c r="Q248" s="144" t="s">
        <v>29</v>
      </c>
      <c r="R248" s="118">
        <f t="shared" ca="1" si="61"/>
        <v>310884</v>
      </c>
      <c r="S248" s="118">
        <f t="shared" ca="1" si="61"/>
        <v>1212447</v>
      </c>
      <c r="T248" s="118">
        <f ca="1">고급</f>
        <v>310884</v>
      </c>
      <c r="U248" s="118">
        <f t="shared" ca="1" si="62"/>
        <v>1212447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145" t="s">
        <v>40</v>
      </c>
      <c r="O249" s="173">
        <v>6</v>
      </c>
      <c r="P249" s="234">
        <f ca="1">OFFSET($A$1,MATCH(Z245,$A:$A,0)-1,O249)</f>
        <v>7.4</v>
      </c>
      <c r="Q249" s="144" t="s">
        <v>29</v>
      </c>
      <c r="R249" s="118">
        <f t="shared" ca="1" si="61"/>
        <v>295138</v>
      </c>
      <c r="S249" s="118">
        <f t="shared" ca="1" si="61"/>
        <v>2184021</v>
      </c>
      <c r="T249" s="118">
        <f ca="1">중급</f>
        <v>295138</v>
      </c>
      <c r="U249" s="118">
        <f t="shared" ca="1" si="62"/>
        <v>2184021</v>
      </c>
      <c r="V249" s="118"/>
      <c r="W249" s="118"/>
      <c r="X249" s="118"/>
      <c r="Y249" s="118"/>
      <c r="Z249" s="115"/>
    </row>
    <row r="250" spans="11:26" ht="18" customHeight="1">
      <c r="K250" s="171" t="s">
        <v>14</v>
      </c>
      <c r="L250" s="171"/>
      <c r="M250" s="171"/>
      <c r="N250" s="145" t="s">
        <v>41</v>
      </c>
      <c r="O250" s="173">
        <v>7</v>
      </c>
      <c r="P250" s="234">
        <f ca="1">OFFSET($A$1,MATCH(Z245,$A:$A,0)-1,O250)</f>
        <v>23.8</v>
      </c>
      <c r="Q250" s="144" t="s">
        <v>29</v>
      </c>
      <c r="R250" s="118">
        <f t="shared" ca="1" si="61"/>
        <v>235459</v>
      </c>
      <c r="S250" s="118">
        <f t="shared" ca="1" si="61"/>
        <v>5603924</v>
      </c>
      <c r="T250" s="118">
        <f ca="1">초급</f>
        <v>235459</v>
      </c>
      <c r="U250" s="118">
        <f t="shared" ca="1" si="62"/>
        <v>5603924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319" t="s">
        <v>42</v>
      </c>
      <c r="O251" s="174">
        <v>8</v>
      </c>
      <c r="P251" s="235">
        <f ca="1">OFFSET($A$1,MATCH(Z245,$A:$A,0)-1,O251)</f>
        <v>26</v>
      </c>
      <c r="Q251" s="322" t="s">
        <v>29</v>
      </c>
      <c r="R251" s="323">
        <f t="shared" ca="1" si="61"/>
        <v>250087</v>
      </c>
      <c r="S251" s="323">
        <f t="shared" ca="1" si="61"/>
        <v>6502262</v>
      </c>
      <c r="T251" s="323">
        <f ca="1">보조원</f>
        <v>250087</v>
      </c>
      <c r="U251" s="323">
        <f t="shared" ca="1" si="62"/>
        <v>6502262</v>
      </c>
      <c r="V251" s="323"/>
      <c r="W251" s="323"/>
      <c r="X251" s="323"/>
      <c r="Y251" s="323"/>
      <c r="Z251" s="324"/>
    </row>
    <row r="252" spans="11:26" ht="18" customHeight="1">
      <c r="K252" s="171" t="s">
        <v>14</v>
      </c>
      <c r="L252" s="171"/>
      <c r="M252" s="171"/>
      <c r="N252" s="139" t="s">
        <v>17</v>
      </c>
      <c r="O252" s="68"/>
      <c r="P252" s="69"/>
      <c r="Q252" s="70"/>
      <c r="R252" s="71"/>
      <c r="S252" s="71">
        <f ca="1">SUBTOTAL(9,S246:S251)</f>
        <v>16567235</v>
      </c>
      <c r="T252" s="71"/>
      <c r="U252" s="71">
        <f ca="1">SUBTOTAL(9,U246:U251)</f>
        <v>16567235</v>
      </c>
      <c r="V252" s="71"/>
      <c r="W252" s="71"/>
      <c r="X252" s="71"/>
      <c r="Y252" s="71"/>
      <c r="Z252" s="68"/>
    </row>
    <row r="253" spans="11:26" ht="18" customHeight="1">
      <c r="K253" s="171" t="s">
        <v>14</v>
      </c>
      <c r="L253" s="171"/>
      <c r="M253" s="171"/>
      <c r="N253" s="318" t="str">
        <f ca="1">"제 " &amp; Z253 &amp; " 호표  "&amp; OFFSET($A$1,MATCH(Z253,$A:$A,0)-1,1)</f>
        <v>제 25 호표  7.1 공청회/주민설명회</v>
      </c>
      <c r="O253" s="221"/>
      <c r="P253" s="148"/>
      <c r="Q253" s="148"/>
      <c r="R253" s="149"/>
      <c r="S253" s="149"/>
      <c r="T253" s="149"/>
      <c r="U253" s="149"/>
      <c r="V253" s="149"/>
      <c r="W253" s="149"/>
      <c r="X253" s="149"/>
      <c r="Y253" s="149"/>
      <c r="Z253" s="325">
        <f>Z245+1</f>
        <v>25</v>
      </c>
    </row>
    <row r="254" spans="11:26" ht="18" customHeight="1">
      <c r="K254" s="171" t="s">
        <v>14</v>
      </c>
      <c r="L254" s="171"/>
      <c r="M254" s="171"/>
      <c r="N254" s="140" t="s">
        <v>43</v>
      </c>
      <c r="O254" s="172">
        <v>3</v>
      </c>
      <c r="P254" s="219">
        <f ca="1">OFFSET($A$1,MATCH(Z253,$A:$A,0)-1,O254)</f>
        <v>2</v>
      </c>
      <c r="Q254" s="141" t="s">
        <v>29</v>
      </c>
      <c r="R254" s="142">
        <f t="shared" ref="R254:S259" ca="1" si="63">T254</f>
        <v>467217</v>
      </c>
      <c r="S254" s="142">
        <f t="shared" ca="1" si="63"/>
        <v>934434</v>
      </c>
      <c r="T254" s="142">
        <f ca="1">기술사</f>
        <v>467217</v>
      </c>
      <c r="U254" s="142">
        <f t="shared" ref="U254:U259" ca="1" si="64">ROUNDDOWN(P254*R254,0)</f>
        <v>934434</v>
      </c>
      <c r="V254" s="142"/>
      <c r="W254" s="142"/>
      <c r="X254" s="142"/>
      <c r="Y254" s="142"/>
      <c r="Z254" s="114"/>
    </row>
    <row r="255" spans="11:26" ht="18" customHeight="1">
      <c r="K255" s="171" t="s">
        <v>14</v>
      </c>
      <c r="L255" s="171"/>
      <c r="M255" s="171"/>
      <c r="N255" s="143" t="s">
        <v>32</v>
      </c>
      <c r="O255" s="173">
        <v>4</v>
      </c>
      <c r="P255" s="234">
        <f ca="1">OFFSET($A$1,MATCH(Z253,$A:$A,0)-1,O255)</f>
        <v>2</v>
      </c>
      <c r="Q255" s="144" t="s">
        <v>29</v>
      </c>
      <c r="R255" s="118">
        <f t="shared" ca="1" si="63"/>
        <v>373353</v>
      </c>
      <c r="S255" s="118">
        <f t="shared" ca="1" si="63"/>
        <v>746706</v>
      </c>
      <c r="T255" s="118">
        <f ca="1">특급</f>
        <v>373353</v>
      </c>
      <c r="U255" s="118">
        <f t="shared" ca="1" si="64"/>
        <v>746706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39</v>
      </c>
      <c r="O256" s="173">
        <v>5</v>
      </c>
      <c r="P256" s="234">
        <f ca="1">OFFSET($A$1,MATCH(Z253,$A:$A,0)-1,O256)</f>
        <v>2</v>
      </c>
      <c r="Q256" s="144" t="s">
        <v>29</v>
      </c>
      <c r="R256" s="118">
        <f t="shared" ca="1" si="63"/>
        <v>310884</v>
      </c>
      <c r="S256" s="118">
        <f t="shared" ca="1" si="63"/>
        <v>621768</v>
      </c>
      <c r="T256" s="118">
        <f ca="1">고급</f>
        <v>310884</v>
      </c>
      <c r="U256" s="118">
        <f t="shared" ca="1" si="64"/>
        <v>621768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145" t="s">
        <v>40</v>
      </c>
      <c r="O257" s="173">
        <v>6</v>
      </c>
      <c r="P257" s="234">
        <f ca="1">OFFSET($A$1,MATCH(Z253,$A:$A,0)-1,O257)</f>
        <v>4</v>
      </c>
      <c r="Q257" s="144" t="s">
        <v>29</v>
      </c>
      <c r="R257" s="118">
        <f t="shared" ca="1" si="63"/>
        <v>295138</v>
      </c>
      <c r="S257" s="118">
        <f t="shared" ca="1" si="63"/>
        <v>1180552</v>
      </c>
      <c r="T257" s="118">
        <f ca="1">중급</f>
        <v>295138</v>
      </c>
      <c r="U257" s="118">
        <f t="shared" ca="1" si="64"/>
        <v>1180552</v>
      </c>
      <c r="V257" s="118"/>
      <c r="W257" s="118"/>
      <c r="X257" s="118"/>
      <c r="Y257" s="118"/>
      <c r="Z257" s="115"/>
    </row>
    <row r="258" spans="11:26" ht="18" customHeight="1">
      <c r="K258" s="171" t="s">
        <v>14</v>
      </c>
      <c r="L258" s="171"/>
      <c r="M258" s="171"/>
      <c r="N258" s="145" t="s">
        <v>41</v>
      </c>
      <c r="O258" s="173">
        <v>7</v>
      </c>
      <c r="P258" s="234">
        <f ca="1">OFFSET($A$1,MATCH(Z253,$A:$A,0)-1,O258)</f>
        <v>4</v>
      </c>
      <c r="Q258" s="144" t="s">
        <v>29</v>
      </c>
      <c r="R258" s="118">
        <f t="shared" ca="1" si="63"/>
        <v>235459</v>
      </c>
      <c r="S258" s="118">
        <f t="shared" ca="1" si="63"/>
        <v>941836</v>
      </c>
      <c r="T258" s="118">
        <f ca="1">초급</f>
        <v>235459</v>
      </c>
      <c r="U258" s="118">
        <f t="shared" ca="1" si="64"/>
        <v>941836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319" t="s">
        <v>42</v>
      </c>
      <c r="O259" s="174">
        <v>8</v>
      </c>
      <c r="P259" s="235">
        <f ca="1">OFFSET($A$1,MATCH(Z253,$A:$A,0)-1,O259)</f>
        <v>4</v>
      </c>
      <c r="Q259" s="322" t="s">
        <v>29</v>
      </c>
      <c r="R259" s="323">
        <f t="shared" ca="1" si="63"/>
        <v>250087</v>
      </c>
      <c r="S259" s="323">
        <f t="shared" ca="1" si="63"/>
        <v>1000348</v>
      </c>
      <c r="T259" s="323">
        <f ca="1">보조원</f>
        <v>250087</v>
      </c>
      <c r="U259" s="323">
        <f t="shared" ca="1" si="64"/>
        <v>1000348</v>
      </c>
      <c r="V259" s="323"/>
      <c r="W259" s="323"/>
      <c r="X259" s="323"/>
      <c r="Y259" s="323"/>
      <c r="Z259" s="324"/>
    </row>
    <row r="260" spans="11:26" ht="18" customHeight="1">
      <c r="K260" s="171" t="s">
        <v>14</v>
      </c>
      <c r="L260" s="171"/>
      <c r="M260" s="171"/>
      <c r="N260" s="139" t="s">
        <v>17</v>
      </c>
      <c r="O260" s="68"/>
      <c r="P260" s="69"/>
      <c r="Q260" s="70"/>
      <c r="R260" s="71"/>
      <c r="S260" s="71">
        <f ca="1">SUBTOTAL(9,S254:S259)</f>
        <v>5425644</v>
      </c>
      <c r="T260" s="71"/>
      <c r="U260" s="71">
        <f ca="1">SUBTOTAL(9,U254:U259)</f>
        <v>5425644</v>
      </c>
      <c r="V260" s="71"/>
      <c r="W260" s="71"/>
      <c r="X260" s="71"/>
      <c r="Y260" s="71"/>
      <c r="Z260" s="68"/>
    </row>
    <row r="261" spans="11:26" ht="18" customHeight="1">
      <c r="K261" s="171" t="s">
        <v>14</v>
      </c>
      <c r="L261" s="171"/>
      <c r="M261" s="171"/>
      <c r="N261" s="318" t="str">
        <f ca="1">"제 " &amp; Z261 &amp; " 호표  "&amp; OFFSET($A$1,MATCH(Z261,$A:$A,0)-1,1)</f>
        <v>제 26 호표  7.2 주민간담회/시민계획단</v>
      </c>
      <c r="O261" s="221"/>
      <c r="P261" s="148"/>
      <c r="Q261" s="148"/>
      <c r="R261" s="149"/>
      <c r="S261" s="149"/>
      <c r="T261" s="149"/>
      <c r="U261" s="149"/>
      <c r="V261" s="149"/>
      <c r="W261" s="149"/>
      <c r="X261" s="149"/>
      <c r="Y261" s="149"/>
      <c r="Z261" s="325">
        <f>Z253+1</f>
        <v>26</v>
      </c>
    </row>
    <row r="262" spans="11:26" ht="18" customHeight="1">
      <c r="K262" s="171" t="s">
        <v>14</v>
      </c>
      <c r="L262" s="171"/>
      <c r="M262" s="171"/>
      <c r="N262" s="140" t="s">
        <v>43</v>
      </c>
      <c r="O262" s="172">
        <v>3</v>
      </c>
      <c r="P262" s="219">
        <f ca="1">OFFSET($A$1,MATCH(Z261,$A:$A,0)-1,O262)</f>
        <v>2</v>
      </c>
      <c r="Q262" s="141" t="s">
        <v>29</v>
      </c>
      <c r="R262" s="142">
        <f t="shared" ref="R262:S267" ca="1" si="65">T262</f>
        <v>467217</v>
      </c>
      <c r="S262" s="142">
        <f t="shared" ca="1" si="65"/>
        <v>934434</v>
      </c>
      <c r="T262" s="142">
        <f ca="1">기술사</f>
        <v>467217</v>
      </c>
      <c r="U262" s="142">
        <f t="shared" ref="U262:U267" ca="1" si="66">ROUNDDOWN(P262*R262,0)</f>
        <v>934434</v>
      </c>
      <c r="V262" s="142"/>
      <c r="W262" s="142"/>
      <c r="X262" s="142"/>
      <c r="Y262" s="142"/>
      <c r="Z262" s="114"/>
    </row>
    <row r="263" spans="11:26" ht="18" customHeight="1">
      <c r="K263" s="171" t="s">
        <v>14</v>
      </c>
      <c r="L263" s="171"/>
      <c r="M263" s="171"/>
      <c r="N263" s="143" t="s">
        <v>32</v>
      </c>
      <c r="O263" s="173">
        <v>4</v>
      </c>
      <c r="P263" s="234">
        <f ca="1">OFFSET($A$1,MATCH(Z261,$A:$A,0)-1,O263)</f>
        <v>2</v>
      </c>
      <c r="Q263" s="144" t="s">
        <v>29</v>
      </c>
      <c r="R263" s="118">
        <f t="shared" ca="1" si="65"/>
        <v>373353</v>
      </c>
      <c r="S263" s="118">
        <f t="shared" ca="1" si="65"/>
        <v>746706</v>
      </c>
      <c r="T263" s="118">
        <f ca="1">특급</f>
        <v>373353</v>
      </c>
      <c r="U263" s="118">
        <f t="shared" ca="1" si="66"/>
        <v>746706</v>
      </c>
      <c r="V263" s="118"/>
      <c r="W263" s="118"/>
      <c r="X263" s="118"/>
      <c r="Y263" s="118"/>
      <c r="Z263" s="115"/>
    </row>
    <row r="264" spans="11:26" ht="18" customHeight="1">
      <c r="K264" s="171" t="s">
        <v>14</v>
      </c>
      <c r="L264" s="171"/>
      <c r="M264" s="171"/>
      <c r="N264" s="145" t="s">
        <v>39</v>
      </c>
      <c r="O264" s="173">
        <v>5</v>
      </c>
      <c r="P264" s="234">
        <f ca="1">OFFSET($A$1,MATCH(Z261,$A:$A,0)-1,O264)</f>
        <v>2</v>
      </c>
      <c r="Q264" s="144" t="s">
        <v>29</v>
      </c>
      <c r="R264" s="118">
        <f t="shared" ca="1" si="65"/>
        <v>310884</v>
      </c>
      <c r="S264" s="118">
        <f t="shared" ca="1" si="65"/>
        <v>621768</v>
      </c>
      <c r="T264" s="118">
        <f ca="1">고급</f>
        <v>310884</v>
      </c>
      <c r="U264" s="118">
        <f t="shared" ca="1" si="66"/>
        <v>621768</v>
      </c>
      <c r="V264" s="118"/>
      <c r="W264" s="118"/>
      <c r="X264" s="118"/>
      <c r="Y264" s="118"/>
      <c r="Z264" s="115"/>
    </row>
    <row r="265" spans="11:26" ht="18" customHeight="1">
      <c r="K265" s="171" t="s">
        <v>14</v>
      </c>
      <c r="L265" s="171"/>
      <c r="M265" s="171"/>
      <c r="N265" s="145" t="s">
        <v>40</v>
      </c>
      <c r="O265" s="173">
        <v>6</v>
      </c>
      <c r="P265" s="234">
        <f ca="1">OFFSET($A$1,MATCH(Z261,$A:$A,0)-1,O265)</f>
        <v>4</v>
      </c>
      <c r="Q265" s="144" t="s">
        <v>29</v>
      </c>
      <c r="R265" s="118">
        <f t="shared" ca="1" si="65"/>
        <v>295138</v>
      </c>
      <c r="S265" s="118">
        <f t="shared" ca="1" si="65"/>
        <v>1180552</v>
      </c>
      <c r="T265" s="118">
        <f ca="1">중급</f>
        <v>295138</v>
      </c>
      <c r="U265" s="118">
        <f t="shared" ca="1" si="66"/>
        <v>1180552</v>
      </c>
      <c r="V265" s="118"/>
      <c r="W265" s="118"/>
      <c r="X265" s="118"/>
      <c r="Y265" s="118"/>
      <c r="Z265" s="115"/>
    </row>
    <row r="266" spans="11:26" ht="18" customHeight="1">
      <c r="K266" s="171" t="s">
        <v>14</v>
      </c>
      <c r="L266" s="171"/>
      <c r="M266" s="171"/>
      <c r="N266" s="145" t="s">
        <v>41</v>
      </c>
      <c r="O266" s="173">
        <v>7</v>
      </c>
      <c r="P266" s="234">
        <f ca="1">OFFSET($A$1,MATCH(Z261,$A:$A,0)-1,O266)</f>
        <v>4</v>
      </c>
      <c r="Q266" s="144" t="s">
        <v>29</v>
      </c>
      <c r="R266" s="118">
        <f t="shared" ca="1" si="65"/>
        <v>235459</v>
      </c>
      <c r="S266" s="118">
        <f t="shared" ca="1" si="65"/>
        <v>941836</v>
      </c>
      <c r="T266" s="118">
        <f ca="1">초급</f>
        <v>235459</v>
      </c>
      <c r="U266" s="118">
        <f t="shared" ca="1" si="66"/>
        <v>941836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319" t="s">
        <v>42</v>
      </c>
      <c r="O267" s="174">
        <v>8</v>
      </c>
      <c r="P267" s="235">
        <f ca="1">OFFSET($A$1,MATCH(Z261,$A:$A,0)-1,O267)</f>
        <v>4</v>
      </c>
      <c r="Q267" s="322" t="s">
        <v>29</v>
      </c>
      <c r="R267" s="323">
        <f t="shared" ca="1" si="65"/>
        <v>250087</v>
      </c>
      <c r="S267" s="323">
        <f t="shared" ca="1" si="65"/>
        <v>1000348</v>
      </c>
      <c r="T267" s="323">
        <f ca="1">보조원</f>
        <v>250087</v>
      </c>
      <c r="U267" s="323">
        <f t="shared" ca="1" si="66"/>
        <v>1000348</v>
      </c>
      <c r="V267" s="323"/>
      <c r="W267" s="323"/>
      <c r="X267" s="323"/>
      <c r="Y267" s="323"/>
      <c r="Z267" s="324"/>
    </row>
    <row r="268" spans="11:26" ht="18" customHeight="1">
      <c r="K268" s="171" t="s">
        <v>14</v>
      </c>
      <c r="L268" s="171"/>
      <c r="M268" s="171"/>
      <c r="N268" s="139" t="s">
        <v>17</v>
      </c>
      <c r="O268" s="68"/>
      <c r="P268" s="69"/>
      <c r="Q268" s="70"/>
      <c r="R268" s="71"/>
      <c r="S268" s="71">
        <f ca="1">SUBTOTAL(9,S262:S267)</f>
        <v>5425644</v>
      </c>
      <c r="T268" s="71"/>
      <c r="U268" s="71">
        <f ca="1">SUBTOTAL(9,U262:U267)</f>
        <v>5425644</v>
      </c>
      <c r="V268" s="71"/>
      <c r="W268" s="71"/>
      <c r="X268" s="71"/>
      <c r="Y268" s="71"/>
      <c r="Z268" s="68"/>
    </row>
    <row r="269" spans="11:26" ht="18" customHeight="1">
      <c r="K269" s="171" t="s">
        <v>14</v>
      </c>
      <c r="L269" s="171"/>
      <c r="M269" s="171"/>
      <c r="N269" s="318" t="str">
        <f ca="1">"제 " &amp; Z269 &amp; " 호표  "&amp; OFFSET($A$1,MATCH(Z269,$A:$A,0)-1,1)</f>
        <v>제 27 호표  7.3 위원회심의 지원</v>
      </c>
      <c r="O269" s="221"/>
      <c r="P269" s="148"/>
      <c r="Q269" s="148"/>
      <c r="R269" s="149"/>
      <c r="S269" s="149"/>
      <c r="T269" s="149"/>
      <c r="U269" s="149"/>
      <c r="V269" s="149"/>
      <c r="W269" s="149"/>
      <c r="X269" s="149"/>
      <c r="Y269" s="149"/>
      <c r="Z269" s="325">
        <f>Z261+1</f>
        <v>27</v>
      </c>
    </row>
    <row r="270" spans="11:26" ht="18" customHeight="1">
      <c r="K270" s="171" t="s">
        <v>14</v>
      </c>
      <c r="L270" s="171"/>
      <c r="M270" s="171"/>
      <c r="N270" s="140" t="s">
        <v>43</v>
      </c>
      <c r="O270" s="172">
        <v>3</v>
      </c>
      <c r="P270" s="219">
        <f ca="1">OFFSET($A$1,MATCH(Z269,$A:$A,0)-1,O270)</f>
        <v>2</v>
      </c>
      <c r="Q270" s="141" t="s">
        <v>29</v>
      </c>
      <c r="R270" s="142">
        <f t="shared" ref="R270:S275" ca="1" si="67">T270</f>
        <v>467217</v>
      </c>
      <c r="S270" s="142">
        <f t="shared" ca="1" si="67"/>
        <v>934434</v>
      </c>
      <c r="T270" s="142">
        <f ca="1">기술사</f>
        <v>467217</v>
      </c>
      <c r="U270" s="142">
        <f t="shared" ref="U270:U275" ca="1" si="68">ROUNDDOWN(P270*R270,0)</f>
        <v>934434</v>
      </c>
      <c r="V270" s="142"/>
      <c r="W270" s="142"/>
      <c r="X270" s="142"/>
      <c r="Y270" s="142"/>
      <c r="Z270" s="114"/>
    </row>
    <row r="271" spans="11:26" ht="18" customHeight="1">
      <c r="K271" s="171" t="s">
        <v>14</v>
      </c>
      <c r="L271" s="171"/>
      <c r="M271" s="171"/>
      <c r="N271" s="143" t="s">
        <v>32</v>
      </c>
      <c r="O271" s="173">
        <v>4</v>
      </c>
      <c r="P271" s="234">
        <f ca="1">OFFSET($A$1,MATCH(Z269,$A:$A,0)-1,O271)</f>
        <v>2</v>
      </c>
      <c r="Q271" s="144" t="s">
        <v>29</v>
      </c>
      <c r="R271" s="118">
        <f t="shared" ca="1" si="67"/>
        <v>373353</v>
      </c>
      <c r="S271" s="118">
        <f t="shared" ca="1" si="67"/>
        <v>746706</v>
      </c>
      <c r="T271" s="118">
        <f ca="1">특급</f>
        <v>373353</v>
      </c>
      <c r="U271" s="118">
        <f t="shared" ca="1" si="68"/>
        <v>746706</v>
      </c>
      <c r="V271" s="118"/>
      <c r="W271" s="118"/>
      <c r="X271" s="118"/>
      <c r="Y271" s="118"/>
      <c r="Z271" s="115"/>
    </row>
    <row r="272" spans="11:26" ht="18" customHeight="1">
      <c r="K272" s="171" t="s">
        <v>14</v>
      </c>
      <c r="L272" s="171"/>
      <c r="M272" s="171"/>
      <c r="N272" s="145" t="s">
        <v>39</v>
      </c>
      <c r="O272" s="173">
        <v>5</v>
      </c>
      <c r="P272" s="234">
        <f ca="1">OFFSET($A$1,MATCH(Z269,$A:$A,0)-1,O272)</f>
        <v>2</v>
      </c>
      <c r="Q272" s="144" t="s">
        <v>29</v>
      </c>
      <c r="R272" s="118">
        <f t="shared" ca="1" si="67"/>
        <v>310884</v>
      </c>
      <c r="S272" s="118">
        <f t="shared" ca="1" si="67"/>
        <v>621768</v>
      </c>
      <c r="T272" s="118">
        <f ca="1">고급</f>
        <v>310884</v>
      </c>
      <c r="U272" s="118">
        <f t="shared" ca="1" si="68"/>
        <v>621768</v>
      </c>
      <c r="V272" s="118"/>
      <c r="W272" s="118"/>
      <c r="X272" s="118"/>
      <c r="Y272" s="118"/>
      <c r="Z272" s="115"/>
    </row>
    <row r="273" spans="11:26" ht="18" customHeight="1">
      <c r="K273" s="171" t="s">
        <v>14</v>
      </c>
      <c r="L273" s="171"/>
      <c r="M273" s="171"/>
      <c r="N273" s="145" t="s">
        <v>40</v>
      </c>
      <c r="O273" s="173">
        <v>6</v>
      </c>
      <c r="P273" s="234">
        <f ca="1">OFFSET($A$1,MATCH(Z269,$A:$A,0)-1,O273)</f>
        <v>4</v>
      </c>
      <c r="Q273" s="144" t="s">
        <v>29</v>
      </c>
      <c r="R273" s="118">
        <f t="shared" ca="1" si="67"/>
        <v>295138</v>
      </c>
      <c r="S273" s="118">
        <f t="shared" ca="1" si="67"/>
        <v>1180552</v>
      </c>
      <c r="T273" s="118">
        <f ca="1">중급</f>
        <v>295138</v>
      </c>
      <c r="U273" s="118">
        <f t="shared" ca="1" si="68"/>
        <v>1180552</v>
      </c>
      <c r="V273" s="118"/>
      <c r="W273" s="118"/>
      <c r="X273" s="118"/>
      <c r="Y273" s="118"/>
      <c r="Z273" s="115"/>
    </row>
    <row r="274" spans="11:26" ht="18" customHeight="1">
      <c r="K274" s="171" t="s">
        <v>14</v>
      </c>
      <c r="L274" s="171"/>
      <c r="M274" s="171"/>
      <c r="N274" s="145" t="s">
        <v>41</v>
      </c>
      <c r="O274" s="173">
        <v>7</v>
      </c>
      <c r="P274" s="234">
        <f ca="1">OFFSET($A$1,MATCH(Z269,$A:$A,0)-1,O274)</f>
        <v>4</v>
      </c>
      <c r="Q274" s="144" t="s">
        <v>29</v>
      </c>
      <c r="R274" s="118">
        <f t="shared" ca="1" si="67"/>
        <v>235459</v>
      </c>
      <c r="S274" s="118">
        <f t="shared" ca="1" si="67"/>
        <v>941836</v>
      </c>
      <c r="T274" s="118">
        <f ca="1">초급</f>
        <v>235459</v>
      </c>
      <c r="U274" s="118">
        <f t="shared" ca="1" si="68"/>
        <v>941836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319" t="s">
        <v>42</v>
      </c>
      <c r="O275" s="174">
        <v>8</v>
      </c>
      <c r="P275" s="235">
        <f ca="1">OFFSET($A$1,MATCH(Z269,$A:$A,0)-1,O275)</f>
        <v>4</v>
      </c>
      <c r="Q275" s="322" t="s">
        <v>29</v>
      </c>
      <c r="R275" s="323">
        <f t="shared" ca="1" si="67"/>
        <v>250087</v>
      </c>
      <c r="S275" s="323">
        <f t="shared" ca="1" si="67"/>
        <v>1000348</v>
      </c>
      <c r="T275" s="323">
        <f ca="1">보조원</f>
        <v>250087</v>
      </c>
      <c r="U275" s="323">
        <f t="shared" ca="1" si="68"/>
        <v>1000348</v>
      </c>
      <c r="V275" s="323"/>
      <c r="W275" s="323"/>
      <c r="X275" s="323"/>
      <c r="Y275" s="323"/>
      <c r="Z275" s="324"/>
    </row>
    <row r="276" spans="11:26" ht="18" customHeight="1">
      <c r="K276" s="171" t="s">
        <v>14</v>
      </c>
      <c r="L276" s="171"/>
      <c r="M276" s="171"/>
      <c r="N276" s="139" t="s">
        <v>17</v>
      </c>
      <c r="O276" s="68"/>
      <c r="P276" s="69"/>
      <c r="Q276" s="70"/>
      <c r="R276" s="71"/>
      <c r="S276" s="71">
        <f ca="1">SUBTOTAL(9,S270:S275)</f>
        <v>5425644</v>
      </c>
      <c r="T276" s="71"/>
      <c r="U276" s="71">
        <f ca="1">SUBTOTAL(9,U270:U275)</f>
        <v>5425644</v>
      </c>
      <c r="V276" s="71"/>
      <c r="W276" s="71"/>
      <c r="X276" s="71"/>
      <c r="Y276" s="71"/>
      <c r="Z276" s="68"/>
    </row>
    <row r="277" spans="11:26" ht="18" customHeight="1">
      <c r="K277" s="171" t="s">
        <v>14</v>
      </c>
      <c r="L277" s="171"/>
      <c r="M277" s="171"/>
      <c r="N277" s="318" t="str">
        <f ca="1">"제 " &amp; Z277 &amp; " 호표  "&amp; OFFSET($A$1,MATCH(Z277,$A:$A,0)-1,1)</f>
        <v>제 28 호표  7.4 관계기관 협의</v>
      </c>
      <c r="O277" s="221"/>
      <c r="P277" s="148"/>
      <c r="Q277" s="148"/>
      <c r="R277" s="149"/>
      <c r="S277" s="149"/>
      <c r="T277" s="149"/>
      <c r="U277" s="149"/>
      <c r="V277" s="149"/>
      <c r="W277" s="149"/>
      <c r="X277" s="149"/>
      <c r="Y277" s="149"/>
      <c r="Z277" s="325">
        <f>Z269+1</f>
        <v>28</v>
      </c>
    </row>
    <row r="278" spans="11:26" ht="18" customHeight="1">
      <c r="K278" s="171" t="s">
        <v>14</v>
      </c>
      <c r="L278" s="171"/>
      <c r="M278" s="171"/>
      <c r="N278" s="140" t="s">
        <v>43</v>
      </c>
      <c r="O278" s="172">
        <v>3</v>
      </c>
      <c r="P278" s="219">
        <f ca="1">OFFSET($A$1,MATCH(Z277,$A:$A,0)-1,O278)</f>
        <v>2</v>
      </c>
      <c r="Q278" s="141" t="s">
        <v>29</v>
      </c>
      <c r="R278" s="142">
        <f t="shared" ref="R278:S283" ca="1" si="69">T278</f>
        <v>467217</v>
      </c>
      <c r="S278" s="142">
        <f t="shared" ca="1" si="69"/>
        <v>934434</v>
      </c>
      <c r="T278" s="142">
        <f ca="1">기술사</f>
        <v>467217</v>
      </c>
      <c r="U278" s="142">
        <f t="shared" ref="U278:U283" ca="1" si="70">ROUNDDOWN(P278*R278,0)</f>
        <v>934434</v>
      </c>
      <c r="V278" s="142"/>
      <c r="W278" s="142"/>
      <c r="X278" s="142"/>
      <c r="Y278" s="142"/>
      <c r="Z278" s="114"/>
    </row>
    <row r="279" spans="11:26" ht="18" customHeight="1">
      <c r="K279" s="171" t="s">
        <v>14</v>
      </c>
      <c r="L279" s="171"/>
      <c r="M279" s="171"/>
      <c r="N279" s="143" t="s">
        <v>32</v>
      </c>
      <c r="O279" s="173">
        <v>4</v>
      </c>
      <c r="P279" s="234">
        <f ca="1">OFFSET($A$1,MATCH(Z277,$A:$A,0)-1,O279)</f>
        <v>2</v>
      </c>
      <c r="Q279" s="144" t="s">
        <v>29</v>
      </c>
      <c r="R279" s="118">
        <f t="shared" ca="1" si="69"/>
        <v>373353</v>
      </c>
      <c r="S279" s="118">
        <f t="shared" ca="1" si="69"/>
        <v>746706</v>
      </c>
      <c r="T279" s="118">
        <f ca="1">특급</f>
        <v>373353</v>
      </c>
      <c r="U279" s="118">
        <f t="shared" ca="1" si="70"/>
        <v>746706</v>
      </c>
      <c r="V279" s="118"/>
      <c r="W279" s="118"/>
      <c r="X279" s="118"/>
      <c r="Y279" s="118"/>
      <c r="Z279" s="115"/>
    </row>
    <row r="280" spans="11:26" ht="18" customHeight="1">
      <c r="K280" s="171" t="s">
        <v>14</v>
      </c>
      <c r="L280" s="171"/>
      <c r="M280" s="171"/>
      <c r="N280" s="145" t="s">
        <v>39</v>
      </c>
      <c r="O280" s="173">
        <v>5</v>
      </c>
      <c r="P280" s="234">
        <f ca="1">OFFSET($A$1,MATCH(Z277,$A:$A,0)-1,O280)</f>
        <v>2</v>
      </c>
      <c r="Q280" s="144" t="s">
        <v>29</v>
      </c>
      <c r="R280" s="118">
        <f t="shared" ca="1" si="69"/>
        <v>310884</v>
      </c>
      <c r="S280" s="118">
        <f t="shared" ca="1" si="69"/>
        <v>621768</v>
      </c>
      <c r="T280" s="118">
        <f ca="1">고급</f>
        <v>310884</v>
      </c>
      <c r="U280" s="118">
        <f t="shared" ca="1" si="70"/>
        <v>621768</v>
      </c>
      <c r="V280" s="118"/>
      <c r="W280" s="118"/>
      <c r="X280" s="118"/>
      <c r="Y280" s="118"/>
      <c r="Z280" s="115"/>
    </row>
    <row r="281" spans="11:26" ht="18" customHeight="1">
      <c r="K281" s="171" t="s">
        <v>14</v>
      </c>
      <c r="L281" s="171"/>
      <c r="M281" s="171"/>
      <c r="N281" s="145" t="s">
        <v>40</v>
      </c>
      <c r="O281" s="173">
        <v>6</v>
      </c>
      <c r="P281" s="234">
        <f ca="1">OFFSET($A$1,MATCH(Z277,$A:$A,0)-1,O281)</f>
        <v>4</v>
      </c>
      <c r="Q281" s="144" t="s">
        <v>29</v>
      </c>
      <c r="R281" s="118">
        <f t="shared" ca="1" si="69"/>
        <v>295138</v>
      </c>
      <c r="S281" s="118">
        <f t="shared" ca="1" si="69"/>
        <v>1180552</v>
      </c>
      <c r="T281" s="118">
        <f ca="1">중급</f>
        <v>295138</v>
      </c>
      <c r="U281" s="118">
        <f t="shared" ca="1" si="70"/>
        <v>1180552</v>
      </c>
      <c r="V281" s="118"/>
      <c r="W281" s="118"/>
      <c r="X281" s="118"/>
      <c r="Y281" s="118"/>
      <c r="Z281" s="115"/>
    </row>
    <row r="282" spans="11:26" ht="18" customHeight="1">
      <c r="K282" s="171" t="s">
        <v>14</v>
      </c>
      <c r="L282" s="171"/>
      <c r="M282" s="171"/>
      <c r="N282" s="145" t="s">
        <v>41</v>
      </c>
      <c r="O282" s="173">
        <v>7</v>
      </c>
      <c r="P282" s="234">
        <f ca="1">OFFSET($A$1,MATCH(Z277,$A:$A,0)-1,O282)</f>
        <v>4</v>
      </c>
      <c r="Q282" s="144" t="s">
        <v>29</v>
      </c>
      <c r="R282" s="118">
        <f t="shared" ca="1" si="69"/>
        <v>235459</v>
      </c>
      <c r="S282" s="118">
        <f t="shared" ca="1" si="69"/>
        <v>941836</v>
      </c>
      <c r="T282" s="118">
        <f ca="1">초급</f>
        <v>235459</v>
      </c>
      <c r="U282" s="118">
        <f t="shared" ca="1" si="70"/>
        <v>941836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319" t="s">
        <v>42</v>
      </c>
      <c r="O283" s="174">
        <v>8</v>
      </c>
      <c r="P283" s="235">
        <f ca="1">OFFSET($A$1,MATCH(Z277,$A:$A,0)-1,O283)</f>
        <v>4</v>
      </c>
      <c r="Q283" s="322" t="s">
        <v>29</v>
      </c>
      <c r="R283" s="323">
        <f t="shared" ca="1" si="69"/>
        <v>250087</v>
      </c>
      <c r="S283" s="323">
        <f t="shared" ca="1" si="69"/>
        <v>1000348</v>
      </c>
      <c r="T283" s="323">
        <f ca="1">보조원</f>
        <v>250087</v>
      </c>
      <c r="U283" s="323">
        <f t="shared" ca="1" si="70"/>
        <v>1000348</v>
      </c>
      <c r="V283" s="323"/>
      <c r="W283" s="323"/>
      <c r="X283" s="323"/>
      <c r="Y283" s="323"/>
      <c r="Z283" s="324"/>
    </row>
    <row r="284" spans="11:26" ht="18" customHeight="1">
      <c r="K284" s="171" t="s">
        <v>14</v>
      </c>
      <c r="L284" s="171"/>
      <c r="M284" s="171"/>
      <c r="N284" s="139" t="s">
        <v>17</v>
      </c>
      <c r="O284" s="68"/>
      <c r="P284" s="69"/>
      <c r="Q284" s="70"/>
      <c r="R284" s="71"/>
      <c r="S284" s="71">
        <f ca="1">SUBTOTAL(9,S278:S283)</f>
        <v>5425644</v>
      </c>
      <c r="T284" s="71"/>
      <c r="U284" s="71">
        <f ca="1">SUBTOTAL(9,U278:U283)</f>
        <v>5425644</v>
      </c>
      <c r="V284" s="71"/>
      <c r="W284" s="71"/>
      <c r="X284" s="71"/>
      <c r="Y284" s="71"/>
      <c r="Z284" s="68"/>
    </row>
    <row r="285" spans="11:26" ht="18" customHeight="1">
      <c r="K285" s="171" t="s">
        <v>14</v>
      </c>
      <c r="L285" s="171"/>
      <c r="M285" s="171"/>
      <c r="N285" s="318" t="e">
        <f ca="1">"제 " &amp; Z285 &amp; " 호표  "&amp; OFFSET($A$1,MATCH(Z285,$A:$A,0)-1,1)</f>
        <v>#N/A</v>
      </c>
      <c r="O285" s="221"/>
      <c r="P285" s="148"/>
      <c r="Q285" s="148"/>
      <c r="R285" s="149"/>
      <c r="S285" s="149"/>
      <c r="T285" s="149"/>
      <c r="U285" s="149"/>
      <c r="V285" s="149"/>
      <c r="W285" s="149"/>
      <c r="X285" s="149"/>
      <c r="Y285" s="149"/>
      <c r="Z285" s="325">
        <f>Z277+1</f>
        <v>29</v>
      </c>
    </row>
    <row r="286" spans="11:26" ht="18" customHeight="1">
      <c r="K286" s="171" t="s">
        <v>14</v>
      </c>
      <c r="L286" s="171"/>
      <c r="M286" s="171"/>
      <c r="N286" s="140" t="s">
        <v>43</v>
      </c>
      <c r="O286" s="172">
        <v>3</v>
      </c>
      <c r="P286" s="219" t="e">
        <f ca="1">OFFSET($A$1,MATCH(Z285,$A:$A,0)-1,O286)</f>
        <v>#N/A</v>
      </c>
      <c r="Q286" s="141" t="s">
        <v>29</v>
      </c>
      <c r="R286" s="142">
        <f t="shared" ref="R286:S291" ca="1" si="71">T286</f>
        <v>467217</v>
      </c>
      <c r="S286" s="142" t="e">
        <f t="shared" ca="1" si="71"/>
        <v>#N/A</v>
      </c>
      <c r="T286" s="142">
        <f ca="1">기술사</f>
        <v>467217</v>
      </c>
      <c r="U286" s="142" t="e">
        <f t="shared" ref="U286:U291" ca="1" si="72">ROUNDDOWN(P286*R286,0)</f>
        <v>#N/A</v>
      </c>
      <c r="V286" s="142"/>
      <c r="W286" s="142"/>
      <c r="X286" s="142"/>
      <c r="Y286" s="142"/>
      <c r="Z286" s="114"/>
    </row>
    <row r="287" spans="11:26" ht="18" customHeight="1">
      <c r="K287" s="171" t="s">
        <v>14</v>
      </c>
      <c r="L287" s="171"/>
      <c r="M287" s="171"/>
      <c r="N287" s="143" t="s">
        <v>32</v>
      </c>
      <c r="O287" s="173">
        <v>4</v>
      </c>
      <c r="P287" s="234" t="e">
        <f ca="1">OFFSET($A$1,MATCH(Z285,$A:$A,0)-1,O287)</f>
        <v>#N/A</v>
      </c>
      <c r="Q287" s="144" t="s">
        <v>29</v>
      </c>
      <c r="R287" s="118">
        <f t="shared" ca="1" si="71"/>
        <v>373353</v>
      </c>
      <c r="S287" s="118" t="e">
        <f t="shared" ca="1" si="71"/>
        <v>#N/A</v>
      </c>
      <c r="T287" s="118">
        <f ca="1">특급</f>
        <v>373353</v>
      </c>
      <c r="U287" s="118" t="e">
        <f t="shared" ca="1" si="72"/>
        <v>#N/A</v>
      </c>
      <c r="V287" s="118"/>
      <c r="W287" s="118"/>
      <c r="X287" s="118"/>
      <c r="Y287" s="118"/>
      <c r="Z287" s="115"/>
    </row>
    <row r="288" spans="11:26" ht="18" customHeight="1">
      <c r="K288" s="171" t="s">
        <v>14</v>
      </c>
      <c r="L288" s="171"/>
      <c r="M288" s="171"/>
      <c r="N288" s="145" t="s">
        <v>39</v>
      </c>
      <c r="O288" s="173">
        <v>5</v>
      </c>
      <c r="P288" s="234" t="e">
        <f ca="1">OFFSET($A$1,MATCH(Z285,$A:$A,0)-1,O288)</f>
        <v>#N/A</v>
      </c>
      <c r="Q288" s="144" t="s">
        <v>29</v>
      </c>
      <c r="R288" s="118">
        <f t="shared" ca="1" si="71"/>
        <v>310884</v>
      </c>
      <c r="S288" s="118" t="e">
        <f t="shared" ca="1" si="71"/>
        <v>#N/A</v>
      </c>
      <c r="T288" s="118">
        <f ca="1">고급</f>
        <v>310884</v>
      </c>
      <c r="U288" s="118" t="e">
        <f t="shared" ca="1" si="72"/>
        <v>#N/A</v>
      </c>
      <c r="V288" s="118"/>
      <c r="W288" s="118"/>
      <c r="X288" s="118"/>
      <c r="Y288" s="118"/>
      <c r="Z288" s="115"/>
    </row>
    <row r="289" spans="11:26" ht="18" customHeight="1">
      <c r="K289" s="171" t="s">
        <v>14</v>
      </c>
      <c r="L289" s="171"/>
      <c r="M289" s="171"/>
      <c r="N289" s="145" t="s">
        <v>40</v>
      </c>
      <c r="O289" s="173">
        <v>6</v>
      </c>
      <c r="P289" s="234" t="e">
        <f ca="1">OFFSET($A$1,MATCH(Z285,$A:$A,0)-1,O289)</f>
        <v>#N/A</v>
      </c>
      <c r="Q289" s="144" t="s">
        <v>29</v>
      </c>
      <c r="R289" s="118">
        <f t="shared" ca="1" si="71"/>
        <v>295138</v>
      </c>
      <c r="S289" s="118" t="e">
        <f t="shared" ca="1" si="71"/>
        <v>#N/A</v>
      </c>
      <c r="T289" s="118">
        <f ca="1">중급</f>
        <v>295138</v>
      </c>
      <c r="U289" s="118" t="e">
        <f t="shared" ca="1" si="72"/>
        <v>#N/A</v>
      </c>
      <c r="V289" s="118"/>
      <c r="W289" s="118"/>
      <c r="X289" s="118"/>
      <c r="Y289" s="118"/>
      <c r="Z289" s="115"/>
    </row>
    <row r="290" spans="11:26" ht="18" customHeight="1">
      <c r="K290" s="171" t="s">
        <v>14</v>
      </c>
      <c r="L290" s="171"/>
      <c r="M290" s="171"/>
      <c r="N290" s="145" t="s">
        <v>41</v>
      </c>
      <c r="O290" s="173">
        <v>7</v>
      </c>
      <c r="P290" s="234" t="e">
        <f ca="1">OFFSET($A$1,MATCH(Z285,$A:$A,0)-1,O290)</f>
        <v>#N/A</v>
      </c>
      <c r="Q290" s="144" t="s">
        <v>29</v>
      </c>
      <c r="R290" s="118">
        <f t="shared" ca="1" si="71"/>
        <v>235459</v>
      </c>
      <c r="S290" s="118" t="e">
        <f t="shared" ca="1" si="71"/>
        <v>#N/A</v>
      </c>
      <c r="T290" s="118">
        <f ca="1">초급</f>
        <v>235459</v>
      </c>
      <c r="U290" s="118" t="e">
        <f t="shared" ca="1" si="72"/>
        <v>#N/A</v>
      </c>
      <c r="V290" s="118"/>
      <c r="W290" s="118"/>
      <c r="X290" s="118"/>
      <c r="Y290" s="118"/>
      <c r="Z290" s="115"/>
    </row>
    <row r="291" spans="11:26" ht="18" customHeight="1">
      <c r="K291" s="171" t="s">
        <v>14</v>
      </c>
      <c r="L291" s="171"/>
      <c r="M291" s="171"/>
      <c r="N291" s="319" t="s">
        <v>42</v>
      </c>
      <c r="O291" s="174">
        <v>8</v>
      </c>
      <c r="P291" s="235" t="e">
        <f ca="1">OFFSET($A$1,MATCH(Z285,$A:$A,0)-1,O291)</f>
        <v>#N/A</v>
      </c>
      <c r="Q291" s="322" t="s">
        <v>29</v>
      </c>
      <c r="R291" s="323">
        <f t="shared" ca="1" si="71"/>
        <v>250087</v>
      </c>
      <c r="S291" s="323" t="e">
        <f t="shared" ca="1" si="71"/>
        <v>#N/A</v>
      </c>
      <c r="T291" s="323">
        <f ca="1">보조원</f>
        <v>250087</v>
      </c>
      <c r="U291" s="323" t="e">
        <f t="shared" ca="1" si="72"/>
        <v>#N/A</v>
      </c>
      <c r="V291" s="323"/>
      <c r="W291" s="323"/>
      <c r="X291" s="323"/>
      <c r="Y291" s="323"/>
      <c r="Z291" s="324"/>
    </row>
    <row r="292" spans="11:26" ht="18" customHeight="1">
      <c r="K292" s="171" t="s">
        <v>14</v>
      </c>
      <c r="L292" s="171"/>
      <c r="M292" s="171"/>
      <c r="N292" s="139" t="s">
        <v>17</v>
      </c>
      <c r="O292" s="68"/>
      <c r="P292" s="69"/>
      <c r="Q292" s="70"/>
      <c r="R292" s="71"/>
      <c r="S292" s="71" t="e">
        <f ca="1">SUBTOTAL(9,S286:S291)</f>
        <v>#N/A</v>
      </c>
      <c r="T292" s="71"/>
      <c r="U292" s="71" t="e">
        <f ca="1">SUBTOTAL(9,U286:U291)</f>
        <v>#N/A</v>
      </c>
      <c r="V292" s="71"/>
      <c r="W292" s="71"/>
      <c r="X292" s="71"/>
      <c r="Y292" s="71"/>
      <c r="Z292" s="68"/>
    </row>
    <row r="293" spans="11:26" ht="18" customHeight="1">
      <c r="K293" s="171" t="s">
        <v>14</v>
      </c>
      <c r="L293" s="171"/>
      <c r="M293" s="171"/>
      <c r="N293" s="171"/>
      <c r="O293" s="171"/>
      <c r="P293" s="171"/>
      <c r="Q293" s="171"/>
      <c r="R293" s="171"/>
      <c r="S293" s="171"/>
      <c r="T293" s="171"/>
      <c r="U293" s="171"/>
      <c r="V293" s="171"/>
      <c r="W293" s="171"/>
      <c r="X293" s="171"/>
      <c r="Y293" s="171"/>
      <c r="Z293" s="171"/>
    </row>
    <row r="294" spans="11:26" ht="18" customHeight="1">
      <c r="K294" s="171" t="s">
        <v>14</v>
      </c>
      <c r="L294" s="171"/>
      <c r="M294" s="171"/>
      <c r="N294" s="171"/>
      <c r="O294" s="171"/>
      <c r="P294" s="171"/>
      <c r="Q294" s="171"/>
      <c r="R294" s="171"/>
      <c r="S294" s="171"/>
      <c r="T294" s="171"/>
      <c r="U294" s="171"/>
      <c r="V294" s="171"/>
      <c r="W294" s="171"/>
      <c r="X294" s="171"/>
      <c r="Y294" s="171"/>
      <c r="Z294" s="171"/>
    </row>
    <row r="295" spans="11:26" ht="18" customHeight="1">
      <c r="K295" s="171" t="s">
        <v>14</v>
      </c>
      <c r="L295" s="171"/>
      <c r="M295" s="171"/>
      <c r="N295" s="171"/>
      <c r="O295" s="171"/>
      <c r="P295" s="171"/>
      <c r="Q295" s="171"/>
      <c r="R295" s="171"/>
      <c r="S295" s="171"/>
      <c r="T295" s="171"/>
      <c r="U295" s="171"/>
      <c r="V295" s="171"/>
      <c r="W295" s="171"/>
      <c r="X295" s="171"/>
      <c r="Y295" s="171"/>
      <c r="Z295" s="171"/>
    </row>
    <row r="296" spans="11:26" ht="18" customHeight="1">
      <c r="K296" s="171" t="s">
        <v>14</v>
      </c>
      <c r="L296" s="171"/>
      <c r="M296" s="171"/>
      <c r="N296" s="171"/>
      <c r="O296" s="171"/>
      <c r="P296" s="171"/>
      <c r="Q296" s="171"/>
      <c r="R296" s="171"/>
      <c r="S296" s="171"/>
      <c r="T296" s="171"/>
      <c r="U296" s="171"/>
      <c r="V296" s="171"/>
      <c r="W296" s="171"/>
      <c r="X296" s="171"/>
      <c r="Y296" s="171"/>
      <c r="Z296" s="171"/>
    </row>
    <row r="297" spans="11:26" ht="18" customHeight="1">
      <c r="K297" s="171" t="s">
        <v>14</v>
      </c>
      <c r="L297" s="171"/>
      <c r="M297" s="171"/>
      <c r="N297" s="171"/>
      <c r="O297" s="171"/>
      <c r="P297" s="171"/>
      <c r="Q297" s="171"/>
      <c r="R297" s="171"/>
      <c r="S297" s="171"/>
      <c r="T297" s="171"/>
      <c r="U297" s="171"/>
      <c r="V297" s="171"/>
      <c r="W297" s="171"/>
      <c r="X297" s="171"/>
      <c r="Y297" s="171"/>
      <c r="Z297" s="171"/>
    </row>
    <row r="298" spans="11:26" ht="18" customHeight="1">
      <c r="K298" s="171" t="s">
        <v>14</v>
      </c>
      <c r="L298" s="171"/>
      <c r="M298" s="171"/>
      <c r="N298" s="171"/>
      <c r="O298" s="171"/>
      <c r="P298" s="171"/>
      <c r="Q298" s="171"/>
      <c r="R298" s="171"/>
      <c r="S298" s="171"/>
      <c r="T298" s="171"/>
      <c r="U298" s="171"/>
      <c r="V298" s="171"/>
      <c r="W298" s="171"/>
      <c r="X298" s="171"/>
      <c r="Y298" s="171"/>
      <c r="Z298" s="171"/>
    </row>
    <row r="299" spans="11:26" ht="18" customHeight="1">
      <c r="K299" s="171" t="s">
        <v>14</v>
      </c>
      <c r="L299" s="171"/>
      <c r="M299" s="171"/>
      <c r="N299" s="171"/>
      <c r="O299" s="171"/>
      <c r="P299" s="171"/>
      <c r="Q299" s="171"/>
      <c r="R299" s="171"/>
      <c r="S299" s="171"/>
      <c r="T299" s="171"/>
      <c r="U299" s="171"/>
      <c r="V299" s="171"/>
      <c r="W299" s="171"/>
      <c r="X299" s="171"/>
      <c r="Y299" s="171"/>
      <c r="Z299" s="171"/>
    </row>
    <row r="300" spans="11:26" ht="18" customHeight="1">
      <c r="K300" s="171" t="s">
        <v>14</v>
      </c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71"/>
      <c r="W300" s="171"/>
      <c r="X300" s="171"/>
      <c r="Y300" s="171"/>
      <c r="Z300" s="171"/>
    </row>
    <row r="301" spans="11:26" ht="18" customHeight="1">
      <c r="K301" s="171" t="s">
        <v>14</v>
      </c>
      <c r="L301" s="171"/>
      <c r="M301" s="171"/>
      <c r="N301" s="171"/>
      <c r="O301" s="171"/>
      <c r="P301" s="171"/>
      <c r="Q301" s="171"/>
      <c r="R301" s="171"/>
      <c r="S301" s="171"/>
      <c r="T301" s="171"/>
      <c r="U301" s="171"/>
      <c r="V301" s="171"/>
      <c r="W301" s="171"/>
      <c r="X301" s="171"/>
      <c r="Y301" s="171"/>
      <c r="Z301" s="171"/>
    </row>
    <row r="302" spans="11:26" ht="18" customHeight="1">
      <c r="K302" s="171" t="s">
        <v>14</v>
      </c>
      <c r="L302" s="171"/>
      <c r="M302" s="171"/>
      <c r="N302" s="171"/>
      <c r="O302" s="171"/>
      <c r="P302" s="171"/>
      <c r="Q302" s="171"/>
      <c r="R302" s="171"/>
      <c r="S302" s="171"/>
      <c r="T302" s="171"/>
      <c r="U302" s="171"/>
      <c r="V302" s="171"/>
      <c r="W302" s="171"/>
      <c r="X302" s="171"/>
      <c r="Y302" s="171"/>
      <c r="Z302" s="171"/>
    </row>
    <row r="303" spans="11:26" ht="18" customHeight="1">
      <c r="K303" s="171" t="s">
        <v>14</v>
      </c>
      <c r="L303" s="171"/>
      <c r="M303" s="171"/>
      <c r="N303" s="171"/>
      <c r="O303" s="171"/>
      <c r="P303" s="171"/>
      <c r="Q303" s="171"/>
      <c r="R303" s="171"/>
      <c r="S303" s="171"/>
      <c r="T303" s="171"/>
      <c r="U303" s="171"/>
      <c r="V303" s="171"/>
      <c r="W303" s="171"/>
      <c r="X303" s="171"/>
      <c r="Y303" s="171"/>
      <c r="Z303" s="171"/>
    </row>
    <row r="304" spans="11:26" ht="18" customHeight="1">
      <c r="K304" s="171" t="s">
        <v>14</v>
      </c>
      <c r="L304" s="171"/>
      <c r="M304" s="171"/>
      <c r="N304" s="171"/>
      <c r="O304" s="171"/>
      <c r="P304" s="171"/>
      <c r="Q304" s="171"/>
      <c r="R304" s="171"/>
      <c r="S304" s="171"/>
      <c r="T304" s="171"/>
      <c r="U304" s="171"/>
      <c r="V304" s="171"/>
      <c r="W304" s="171"/>
      <c r="X304" s="171"/>
      <c r="Y304" s="171"/>
      <c r="Z304" s="171"/>
    </row>
    <row r="305" spans="11:26" ht="18" customHeight="1">
      <c r="K305" s="171" t="s">
        <v>14</v>
      </c>
      <c r="L305" s="171"/>
      <c r="M305" s="171"/>
      <c r="N305" s="171"/>
      <c r="O305" s="171"/>
      <c r="P305" s="171"/>
      <c r="Q305" s="171"/>
      <c r="R305" s="171"/>
      <c r="S305" s="171"/>
      <c r="T305" s="171"/>
      <c r="U305" s="171"/>
      <c r="V305" s="171"/>
      <c r="W305" s="171"/>
      <c r="X305" s="171"/>
      <c r="Y305" s="171"/>
      <c r="Z305" s="171"/>
    </row>
    <row r="306" spans="11:26" ht="18" customHeight="1">
      <c r="K306" s="171" t="s">
        <v>14</v>
      </c>
      <c r="L306" s="171"/>
      <c r="M306" s="171"/>
      <c r="N306" s="171"/>
      <c r="O306" s="171"/>
      <c r="P306" s="171"/>
      <c r="Q306" s="171"/>
      <c r="R306" s="171"/>
      <c r="S306" s="171"/>
      <c r="T306" s="171"/>
      <c r="U306" s="171"/>
      <c r="V306" s="171"/>
      <c r="W306" s="171"/>
      <c r="X306" s="171"/>
      <c r="Y306" s="171"/>
      <c r="Z306" s="171"/>
    </row>
    <row r="307" spans="11:26" ht="18" customHeight="1">
      <c r="K307" s="171" t="s">
        <v>14</v>
      </c>
      <c r="L307" s="171"/>
      <c r="M307" s="171"/>
      <c r="N307" s="171"/>
      <c r="O307" s="171"/>
      <c r="P307" s="171"/>
      <c r="Q307" s="171"/>
      <c r="R307" s="171"/>
      <c r="S307" s="171"/>
      <c r="T307" s="171"/>
      <c r="U307" s="171"/>
      <c r="V307" s="171"/>
      <c r="W307" s="171"/>
      <c r="X307" s="171"/>
      <c r="Y307" s="171"/>
      <c r="Z307" s="171"/>
    </row>
    <row r="308" spans="11:26" ht="18" customHeight="1">
      <c r="K308" s="171" t="s">
        <v>14</v>
      </c>
      <c r="L308" s="171"/>
      <c r="M308" s="171"/>
      <c r="N308" s="171"/>
      <c r="O308" s="171"/>
      <c r="P308" s="171"/>
      <c r="Q308" s="171"/>
      <c r="R308" s="171"/>
      <c r="S308" s="171"/>
      <c r="T308" s="171"/>
      <c r="U308" s="171"/>
      <c r="V308" s="171"/>
      <c r="W308" s="171"/>
      <c r="X308" s="171"/>
      <c r="Y308" s="171"/>
      <c r="Z308" s="171"/>
    </row>
    <row r="309" spans="11:26" ht="18" customHeight="1">
      <c r="K309" s="171" t="s">
        <v>14</v>
      </c>
      <c r="L309" s="171"/>
      <c r="M309" s="171"/>
      <c r="N309" s="171"/>
      <c r="O309" s="171"/>
      <c r="P309" s="171"/>
      <c r="Q309" s="171"/>
      <c r="R309" s="171"/>
      <c r="S309" s="171"/>
      <c r="T309" s="171"/>
      <c r="U309" s="171"/>
      <c r="V309" s="171"/>
      <c r="W309" s="171"/>
      <c r="X309" s="171"/>
      <c r="Y309" s="171"/>
      <c r="Z309" s="171"/>
    </row>
    <row r="310" spans="11:26" ht="18" customHeight="1">
      <c r="K310" s="171" t="s">
        <v>14</v>
      </c>
      <c r="L310" s="171"/>
      <c r="M310" s="171"/>
      <c r="N310" s="171"/>
      <c r="O310" s="171"/>
      <c r="P310" s="171"/>
      <c r="Q310" s="171"/>
      <c r="R310" s="171"/>
      <c r="S310" s="171"/>
      <c r="T310" s="171"/>
      <c r="U310" s="171"/>
      <c r="V310" s="171"/>
      <c r="W310" s="171"/>
      <c r="X310" s="171"/>
      <c r="Y310" s="171"/>
      <c r="Z310" s="171"/>
    </row>
    <row r="311" spans="11:26" ht="18" customHeight="1">
      <c r="K311" s="171" t="s">
        <v>14</v>
      </c>
      <c r="L311" s="171"/>
      <c r="M311" s="171"/>
      <c r="N311" s="171"/>
      <c r="O311" s="171"/>
      <c r="P311" s="171"/>
      <c r="Q311" s="171"/>
      <c r="R311" s="171"/>
      <c r="S311" s="171"/>
      <c r="T311" s="171"/>
      <c r="U311" s="171"/>
      <c r="V311" s="171"/>
      <c r="W311" s="171"/>
      <c r="X311" s="171"/>
      <c r="Y311" s="171"/>
      <c r="Z311" s="171"/>
    </row>
    <row r="312" spans="11:26" ht="18" customHeight="1">
      <c r="K312" s="171" t="s">
        <v>14</v>
      </c>
      <c r="L312" s="171"/>
      <c r="M312" s="171"/>
      <c r="N312" s="171"/>
      <c r="O312" s="171"/>
      <c r="P312" s="171"/>
      <c r="Q312" s="171"/>
      <c r="R312" s="171"/>
      <c r="S312" s="171"/>
      <c r="T312" s="171"/>
      <c r="U312" s="171"/>
      <c r="V312" s="171"/>
      <c r="W312" s="171"/>
      <c r="X312" s="171"/>
      <c r="Y312" s="171"/>
      <c r="Z312" s="171"/>
    </row>
    <row r="313" spans="11:26" ht="18" customHeight="1">
      <c r="K313" s="171" t="s">
        <v>14</v>
      </c>
      <c r="L313" s="171"/>
      <c r="M313" s="171"/>
      <c r="N313" s="171"/>
      <c r="O313" s="171"/>
      <c r="P313" s="171"/>
      <c r="Q313" s="171"/>
      <c r="R313" s="171"/>
      <c r="S313" s="171"/>
      <c r="T313" s="171"/>
      <c r="U313" s="171"/>
      <c r="V313" s="171"/>
      <c r="W313" s="171"/>
      <c r="X313" s="171"/>
      <c r="Y313" s="171"/>
      <c r="Z313" s="171"/>
    </row>
    <row r="314" spans="11:26" ht="18" customHeight="1">
      <c r="K314" s="171" t="s">
        <v>14</v>
      </c>
      <c r="L314" s="171"/>
      <c r="M314" s="171"/>
      <c r="N314" s="171"/>
      <c r="O314" s="171"/>
      <c r="P314" s="171"/>
      <c r="Q314" s="171"/>
      <c r="R314" s="171"/>
      <c r="S314" s="171"/>
      <c r="T314" s="171"/>
      <c r="U314" s="171"/>
      <c r="V314" s="171"/>
      <c r="W314" s="171"/>
      <c r="X314" s="171"/>
      <c r="Y314" s="171"/>
      <c r="Z314" s="171"/>
    </row>
    <row r="315" spans="11:26" ht="18" customHeight="1">
      <c r="K315" s="171" t="s">
        <v>14</v>
      </c>
      <c r="L315" s="171"/>
      <c r="M315" s="171"/>
      <c r="N315" s="171"/>
      <c r="O315" s="171"/>
      <c r="P315" s="171"/>
      <c r="Q315" s="171"/>
      <c r="R315" s="171"/>
      <c r="S315" s="171"/>
      <c r="T315" s="171"/>
      <c r="U315" s="171"/>
      <c r="V315" s="171"/>
      <c r="W315" s="171"/>
      <c r="X315" s="171"/>
      <c r="Y315" s="171"/>
      <c r="Z315" s="171"/>
    </row>
    <row r="316" spans="11:26" ht="18" customHeight="1">
      <c r="K316" s="171" t="s">
        <v>14</v>
      </c>
      <c r="L316" s="171"/>
      <c r="M316" s="171"/>
      <c r="N316" s="171"/>
      <c r="O316" s="171"/>
      <c r="P316" s="171"/>
      <c r="Q316" s="171"/>
      <c r="R316" s="171"/>
      <c r="S316" s="171"/>
      <c r="T316" s="171"/>
      <c r="U316" s="171"/>
      <c r="V316" s="171"/>
      <c r="W316" s="171"/>
      <c r="X316" s="171"/>
      <c r="Y316" s="171"/>
      <c r="Z316" s="171"/>
    </row>
    <row r="317" spans="11:26" ht="18" customHeight="1">
      <c r="K317" s="171" t="s">
        <v>14</v>
      </c>
      <c r="L317" s="171"/>
      <c r="M317" s="171"/>
      <c r="N317" s="171"/>
      <c r="O317" s="171"/>
      <c r="P317" s="171"/>
      <c r="Q317" s="171"/>
      <c r="R317" s="171"/>
      <c r="S317" s="171"/>
      <c r="T317" s="171"/>
      <c r="U317" s="171"/>
      <c r="V317" s="171"/>
      <c r="W317" s="171"/>
      <c r="X317" s="171"/>
      <c r="Y317" s="171"/>
      <c r="Z317" s="171"/>
    </row>
    <row r="318" spans="11:26" ht="18" customHeight="1">
      <c r="K318" s="171" t="s">
        <v>14</v>
      </c>
      <c r="L318" s="171"/>
      <c r="M318" s="171"/>
      <c r="N318" s="171"/>
      <c r="O318" s="171"/>
      <c r="P318" s="171"/>
      <c r="Q318" s="171"/>
      <c r="R318" s="171"/>
      <c r="S318" s="171"/>
      <c r="T318" s="171"/>
      <c r="U318" s="171"/>
      <c r="V318" s="171"/>
      <c r="W318" s="171"/>
      <c r="X318" s="171"/>
      <c r="Y318" s="171"/>
      <c r="Z318" s="171"/>
    </row>
    <row r="319" spans="11:26" ht="18" customHeight="1">
      <c r="K319" s="171" t="s">
        <v>14</v>
      </c>
      <c r="L319" s="171"/>
      <c r="M319" s="171"/>
      <c r="N319" s="171"/>
      <c r="O319" s="171"/>
      <c r="P319" s="171"/>
      <c r="Q319" s="171"/>
      <c r="R319" s="171"/>
      <c r="S319" s="171"/>
      <c r="T319" s="171"/>
      <c r="U319" s="171"/>
      <c r="V319" s="171"/>
      <c r="W319" s="171"/>
      <c r="X319" s="171"/>
      <c r="Y319" s="171"/>
      <c r="Z319" s="171"/>
    </row>
    <row r="320" spans="11:26" ht="18" customHeight="1">
      <c r="K320" s="171" t="s">
        <v>14</v>
      </c>
      <c r="L320" s="171"/>
      <c r="M320" s="171"/>
      <c r="N320" s="171"/>
      <c r="O320" s="171"/>
      <c r="P320" s="171"/>
      <c r="Q320" s="171"/>
      <c r="R320" s="171"/>
      <c r="S320" s="171"/>
      <c r="T320" s="171"/>
      <c r="U320" s="171"/>
      <c r="V320" s="171"/>
      <c r="W320" s="171"/>
      <c r="X320" s="171"/>
      <c r="Y320" s="171"/>
      <c r="Z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L629" s="171"/>
      <c r="M629" s="171"/>
    </row>
    <row r="630" spans="11:13" ht="18" customHeight="1">
      <c r="L630" s="171"/>
      <c r="M630" s="171"/>
    </row>
    <row r="631" spans="11:13" ht="18" customHeight="1">
      <c r="L631" s="171"/>
      <c r="M631" s="171"/>
    </row>
    <row r="632" spans="11:13" ht="18" customHeight="1">
      <c r="L632" s="171"/>
      <c r="M632" s="171"/>
    </row>
    <row r="633" spans="11:13" ht="18" customHeight="1">
      <c r="L633" s="171"/>
      <c r="M633" s="171"/>
    </row>
    <row r="634" spans="11:13" ht="18" customHeight="1">
      <c r="L634" s="171"/>
      <c r="M634" s="171"/>
    </row>
    <row r="635" spans="11:13" ht="18" customHeight="1">
      <c r="L635" s="171"/>
      <c r="M635" s="171"/>
    </row>
    <row r="636" spans="11:13" ht="18" customHeight="1">
      <c r="L636" s="171"/>
      <c r="M636" s="171"/>
    </row>
    <row r="637" spans="11:13" ht="18" customHeight="1">
      <c r="L637" s="171"/>
      <c r="M637" s="171"/>
    </row>
    <row r="638" spans="11:13" ht="18" customHeight="1">
      <c r="L638" s="171"/>
      <c r="M638" s="171"/>
    </row>
    <row r="639" spans="11:13" ht="18" customHeight="1">
      <c r="L639" s="171"/>
      <c r="M639" s="171"/>
    </row>
    <row r="640" spans="11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  <row r="764" spans="12:12" ht="18" customHeight="1">
      <c r="L764" s="171"/>
    </row>
    <row r="765" spans="12:12" ht="18" customHeight="1">
      <c r="L765" s="171"/>
    </row>
    <row r="766" spans="12:12" ht="18" customHeight="1">
      <c r="L766" s="171"/>
    </row>
    <row r="767" spans="12:12" ht="18" customHeight="1">
      <c r="L767" s="171"/>
    </row>
    <row r="768" spans="12:12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  <row r="775" spans="12:12" ht="18" customHeight="1">
      <c r="L775" s="171"/>
    </row>
    <row r="776" spans="12:12" ht="18" customHeight="1">
      <c r="L776" s="171"/>
    </row>
    <row r="777" spans="12:12" ht="18" customHeight="1">
      <c r="L777" s="171"/>
    </row>
    <row r="778" spans="12:12" ht="18" customHeight="1">
      <c r="L778" s="171"/>
    </row>
  </sheetData>
  <mergeCells count="17">
    <mergeCell ref="G3:H3"/>
    <mergeCell ref="G4:H4"/>
    <mergeCell ref="G5:H5"/>
    <mergeCell ref="P59:P60"/>
    <mergeCell ref="Q59:Q60"/>
    <mergeCell ref="Z59:Z60"/>
    <mergeCell ref="B11:C12"/>
    <mergeCell ref="J11:J12"/>
    <mergeCell ref="L11:L12"/>
    <mergeCell ref="N59:N60"/>
    <mergeCell ref="O59:O60"/>
    <mergeCell ref="B3:C3"/>
    <mergeCell ref="D3:E3"/>
    <mergeCell ref="B4:C4"/>
    <mergeCell ref="D4:E4"/>
    <mergeCell ref="B5:C5"/>
    <mergeCell ref="D5:E5"/>
  </mergeCells>
  <phoneticPr fontId="14" type="noConversion"/>
  <conditionalFormatting sqref="V13:V48">
    <cfRule type="cellIs" dxfId="71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2" min="13" max="28" man="1"/>
    <brk id="83" min="13" max="2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7">
    <tabColor rgb="FFFFC000"/>
    <pageSetUpPr fitToPage="1"/>
  </sheetPr>
  <dimension ref="A1:AC767"/>
  <sheetViews>
    <sheetView showGridLines="0" zoomScale="85" zoomScaleNormal="85" zoomScaleSheetLayoutView="75" workbookViewId="0">
      <selection activeCell="B24" sqref="B24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249</v>
      </c>
    </row>
    <row r="2" spans="1:26" ht="19.5" thickBot="1">
      <c r="B2" s="66" t="s">
        <v>1</v>
      </c>
    </row>
    <row r="3" spans="1:26" ht="18" customHeight="1">
      <c r="B3" s="773" t="s">
        <v>432</v>
      </c>
      <c r="C3" s="774"/>
      <c r="D3" s="775">
        <v>10</v>
      </c>
      <c r="E3" s="776"/>
      <c r="F3" s="44" t="s">
        <v>243</v>
      </c>
      <c r="G3" s="767" t="s">
        <v>1104</v>
      </c>
      <c r="H3" s="768"/>
      <c r="I3" s="656">
        <v>2</v>
      </c>
      <c r="J3" s="669" t="s">
        <v>1105</v>
      </c>
    </row>
    <row r="4" spans="1:26" ht="18" customHeight="1">
      <c r="B4" s="777" t="s">
        <v>1211</v>
      </c>
      <c r="C4" s="778"/>
      <c r="D4" s="779">
        <v>10</v>
      </c>
      <c r="E4" s="780"/>
      <c r="F4" s="65" t="str">
        <f>F3</f>
        <v>만인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250</v>
      </c>
      <c r="C5" s="782"/>
      <c r="D5" s="783">
        <f>ROUND((IF(D4&lt;=10,10,D4)/D3)^0.5,3)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1207</v>
      </c>
      <c r="C6" s="36"/>
      <c r="D6" s="36"/>
      <c r="E6" s="36"/>
      <c r="F6" s="36"/>
      <c r="G6" s="9" t="s">
        <v>1107</v>
      </c>
      <c r="H6" s="36"/>
    </row>
    <row r="7" spans="1:26" ht="18" customHeight="1">
      <c r="B7" s="9" t="s">
        <v>1208</v>
      </c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SUBTOTAL(9,W11:W45)</f>
        <v>1435307907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SUBTOTAL(9,W12:W42)</f>
        <v>517380289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SUBTOTAL(9,W13:W37)</f>
        <v>511380289</v>
      </c>
      <c r="X12" s="160"/>
      <c r="Y12" s="168"/>
      <c r="Z12" s="168"/>
    </row>
    <row r="13" spans="1:26" ht="18" customHeight="1">
      <c r="B13" s="225" t="s">
        <v>1186</v>
      </c>
      <c r="C13" s="72"/>
      <c r="D13" s="203">
        <f t="shared" ref="D13:I13" si="0">SUBTOTAL(9,D14:D14)</f>
        <v>8.1999999999999993</v>
      </c>
      <c r="E13" s="204">
        <f t="shared" si="0"/>
        <v>12.9</v>
      </c>
      <c r="F13" s="204">
        <f t="shared" si="0"/>
        <v>31.9</v>
      </c>
      <c r="G13" s="204">
        <f t="shared" si="0"/>
        <v>55.9</v>
      </c>
      <c r="H13" s="204">
        <f t="shared" si="0"/>
        <v>59.7</v>
      </c>
      <c r="I13" s="205">
        <f t="shared" si="0"/>
        <v>82.3</v>
      </c>
      <c r="J13" s="73"/>
      <c r="L13" s="232"/>
      <c r="N13" s="294" t="s">
        <v>251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SUBTOTAL(9,W14:W14)</f>
        <v>69701907</v>
      </c>
      <c r="X13" s="194"/>
      <c r="Z13" s="170"/>
    </row>
    <row r="14" spans="1:26" ht="18" customHeight="1">
      <c r="B14" s="223" t="s">
        <v>1187</v>
      </c>
      <c r="C14" s="23"/>
      <c r="D14" s="197">
        <v>8.1999999999999993</v>
      </c>
      <c r="E14" s="198">
        <v>12.9</v>
      </c>
      <c r="F14" s="198">
        <v>31.9</v>
      </c>
      <c r="G14" s="198">
        <v>55.9</v>
      </c>
      <c r="H14" s="198">
        <v>59.7</v>
      </c>
      <c r="I14" s="199">
        <v>82.3</v>
      </c>
      <c r="J14" s="389" t="s">
        <v>1212</v>
      </c>
      <c r="L14" s="233">
        <v>1</v>
      </c>
      <c r="N14" s="296" t="s">
        <v>1223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SUM((ROUNDDOWN((D40:I40)*단가,0)))</f>
        <v>69701907</v>
      </c>
      <c r="X14" s="154"/>
      <c r="Y14" s="170" t="str">
        <f>IF(A40&gt;0, "제 " &amp;A40&amp; " 호표","")</f>
        <v>제 1 호표</v>
      </c>
      <c r="Z14" s="150"/>
    </row>
    <row r="15" spans="1:26" ht="18" customHeight="1">
      <c r="B15" s="222" t="s">
        <v>222</v>
      </c>
      <c r="C15" s="47"/>
      <c r="D15" s="48">
        <f t="shared" ref="D15:I15" si="1">SUBTOTAL(9,D16:D17)</f>
        <v>18.2</v>
      </c>
      <c r="E15" s="49">
        <f t="shared" si="1"/>
        <v>28.9</v>
      </c>
      <c r="F15" s="49">
        <f t="shared" si="1"/>
        <v>64.5</v>
      </c>
      <c r="G15" s="49">
        <f t="shared" si="1"/>
        <v>109.7</v>
      </c>
      <c r="H15" s="49">
        <f t="shared" si="1"/>
        <v>108.60000000000001</v>
      </c>
      <c r="I15" s="50">
        <f t="shared" si="1"/>
        <v>118.60000000000001</v>
      </c>
      <c r="J15" s="389"/>
      <c r="L15" s="233"/>
      <c r="N15" s="292" t="s">
        <v>107</v>
      </c>
      <c r="O15" s="37"/>
      <c r="P15" s="39"/>
      <c r="Q15" s="37"/>
      <c r="R15" s="117"/>
      <c r="S15" s="37"/>
      <c r="T15" s="37"/>
      <c r="U15" s="226"/>
      <c r="V15" s="231"/>
      <c r="W15" s="195">
        <f ca="1">SUBTOTAL(9,W16:W17)</f>
        <v>126953068</v>
      </c>
      <c r="X15" s="196"/>
      <c r="Y15" s="150"/>
      <c r="Z15" s="150"/>
    </row>
    <row r="16" spans="1:26" ht="18" customHeight="1">
      <c r="B16" s="223" t="s">
        <v>1188</v>
      </c>
      <c r="C16" s="23"/>
      <c r="D16" s="197">
        <v>5.0999999999999996</v>
      </c>
      <c r="E16" s="198">
        <v>8</v>
      </c>
      <c r="F16" s="198">
        <v>17.5</v>
      </c>
      <c r="G16" s="198">
        <v>29</v>
      </c>
      <c r="H16" s="198">
        <v>22.2</v>
      </c>
      <c r="I16" s="199">
        <v>24.2</v>
      </c>
      <c r="J16" s="389" t="s">
        <v>1090</v>
      </c>
      <c r="L16" s="233">
        <v>1</v>
      </c>
      <c r="N16" s="296" t="s">
        <v>1224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SUM((ROUNDDOWN((D42:I42)*단가,0)))</f>
        <v>30648396</v>
      </c>
      <c r="X16" s="154"/>
      <c r="Y16" s="170" t="str">
        <f>IF(A42&gt;0, "제 " &amp;A42&amp; " 호표","")</f>
        <v>제 2 호표</v>
      </c>
      <c r="Z16" s="150"/>
    </row>
    <row r="17" spans="2:26" ht="18" customHeight="1">
      <c r="B17" s="223" t="s">
        <v>1189</v>
      </c>
      <c r="C17" s="23"/>
      <c r="D17" s="197">
        <v>13.1</v>
      </c>
      <c r="E17" s="198">
        <v>20.9</v>
      </c>
      <c r="F17" s="198">
        <v>47</v>
      </c>
      <c r="G17" s="198">
        <v>80.7</v>
      </c>
      <c r="H17" s="198">
        <v>86.4</v>
      </c>
      <c r="I17" s="199">
        <v>94.4</v>
      </c>
      <c r="J17" s="389" t="s">
        <v>1090</v>
      </c>
      <c r="L17" s="233">
        <v>1</v>
      </c>
      <c r="N17" s="296" t="s">
        <v>1225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SUM((ROUNDDOWN((D43:I43)*단가,0)))</f>
        <v>96304672</v>
      </c>
      <c r="X17" s="154"/>
      <c r="Y17" s="170" t="str">
        <f>IF(A43&gt;0, "제 " &amp;A43&amp; " 호표","")</f>
        <v>제 3 호표</v>
      </c>
      <c r="Z17" s="150"/>
    </row>
    <row r="18" spans="2:26" ht="18" customHeight="1">
      <c r="B18" s="222" t="s">
        <v>253</v>
      </c>
      <c r="C18" s="47"/>
      <c r="D18" s="48">
        <f t="shared" ref="D18:I18" si="2">SUBTOTAL(9,D19:D29)</f>
        <v>27.999999999999996</v>
      </c>
      <c r="E18" s="49">
        <f t="shared" si="2"/>
        <v>44.6</v>
      </c>
      <c r="F18" s="49">
        <f t="shared" si="2"/>
        <v>115.4</v>
      </c>
      <c r="G18" s="49">
        <f t="shared" si="2"/>
        <v>235.99999999999997</v>
      </c>
      <c r="H18" s="49">
        <f t="shared" si="2"/>
        <v>252.5</v>
      </c>
      <c r="I18" s="50">
        <f t="shared" si="2"/>
        <v>258.89999999999998</v>
      </c>
      <c r="J18" s="389"/>
      <c r="L18" s="233"/>
      <c r="N18" s="292" t="s">
        <v>252</v>
      </c>
      <c r="O18" s="37"/>
      <c r="P18" s="39"/>
      <c r="Q18" s="37"/>
      <c r="R18" s="117"/>
      <c r="S18" s="37"/>
      <c r="T18" s="37"/>
      <c r="U18" s="226"/>
      <c r="V18" s="231"/>
      <c r="W18" s="195">
        <f ca="1">SUBTOTAL(9,W19:W29)</f>
        <v>259463100</v>
      </c>
      <c r="X18" s="154"/>
      <c r="Y18" s="150"/>
      <c r="Z18" s="150"/>
    </row>
    <row r="19" spans="2:26" ht="18" customHeight="1">
      <c r="B19" s="223" t="s">
        <v>1190</v>
      </c>
      <c r="C19" s="23"/>
      <c r="D19" s="197">
        <v>3</v>
      </c>
      <c r="E19" s="198">
        <v>4.9000000000000004</v>
      </c>
      <c r="F19" s="198">
        <v>12</v>
      </c>
      <c r="G19" s="198">
        <v>24.8</v>
      </c>
      <c r="H19" s="198">
        <v>26.6</v>
      </c>
      <c r="I19" s="199">
        <v>26.6</v>
      </c>
      <c r="J19" s="389" t="s">
        <v>1090</v>
      </c>
      <c r="L19" s="233">
        <v>1</v>
      </c>
      <c r="N19" s="296" t="s">
        <v>1226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SUM((ROUNDDOWN((D45:I45)*단가,0)))</f>
        <v>27196633</v>
      </c>
      <c r="X19" s="154"/>
      <c r="Y19" s="170" t="str">
        <f t="shared" ref="Y19:Y37" si="3">IF(A45&gt;0, "제 " &amp;A45&amp; " 호표","")</f>
        <v>제 4 호표</v>
      </c>
      <c r="Z19" s="150"/>
    </row>
    <row r="20" spans="2:26" ht="18" customHeight="1">
      <c r="B20" s="223" t="s">
        <v>1191</v>
      </c>
      <c r="C20" s="23"/>
      <c r="D20" s="197">
        <v>6.9</v>
      </c>
      <c r="E20" s="198">
        <v>11.1</v>
      </c>
      <c r="F20" s="198">
        <v>29.5</v>
      </c>
      <c r="G20" s="198">
        <v>60</v>
      </c>
      <c r="H20" s="198">
        <v>64.2</v>
      </c>
      <c r="I20" s="199">
        <v>62.9</v>
      </c>
      <c r="J20" s="389" t="s">
        <v>1090</v>
      </c>
      <c r="L20" s="233">
        <v>1</v>
      </c>
      <c r="N20" s="296" t="s">
        <v>1227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SUM((ROUNDDOWN((D46:I46)*단가,0)))</f>
        <v>65094312</v>
      </c>
      <c r="X20" s="154"/>
      <c r="Y20" s="170" t="str">
        <f t="shared" si="3"/>
        <v>제 5 호표</v>
      </c>
      <c r="Z20" s="150"/>
    </row>
    <row r="21" spans="2:26" ht="18" customHeight="1">
      <c r="B21" s="223" t="s">
        <v>1192</v>
      </c>
      <c r="C21" s="23"/>
      <c r="D21" s="197">
        <v>3.3</v>
      </c>
      <c r="E21" s="198">
        <v>5.3</v>
      </c>
      <c r="F21" s="198">
        <v>13.1</v>
      </c>
      <c r="G21" s="198">
        <v>28.7</v>
      </c>
      <c r="H21" s="198">
        <v>31</v>
      </c>
      <c r="I21" s="199">
        <v>31.9</v>
      </c>
      <c r="J21" s="389" t="s">
        <v>1090</v>
      </c>
      <c r="L21" s="233">
        <v>1</v>
      </c>
      <c r="N21" s="296" t="s">
        <v>1228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SUM((ROUNDDOWN((D47:I47)*단가,0)))</f>
        <v>31340630</v>
      </c>
      <c r="X21" s="154"/>
      <c r="Y21" s="170" t="str">
        <f t="shared" si="3"/>
        <v>제 6 호표</v>
      </c>
      <c r="Z21" s="150"/>
    </row>
    <row r="22" spans="2:26" ht="18" customHeight="1">
      <c r="B22" s="223" t="s">
        <v>1193</v>
      </c>
      <c r="C22" s="23"/>
      <c r="D22" s="197">
        <v>1.7</v>
      </c>
      <c r="E22" s="198">
        <v>2.7</v>
      </c>
      <c r="F22" s="198">
        <v>7.1</v>
      </c>
      <c r="G22" s="198">
        <v>14.6</v>
      </c>
      <c r="H22" s="198">
        <v>15.5</v>
      </c>
      <c r="I22" s="199">
        <v>17.600000000000001</v>
      </c>
      <c r="J22" s="389" t="s">
        <v>1090</v>
      </c>
      <c r="L22" s="233">
        <v>1</v>
      </c>
      <c r="N22" s="296" t="s">
        <v>1229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SUM((ROUNDDOWN((D48:I48)*단가,0)))</f>
        <v>16369756</v>
      </c>
      <c r="X22" s="154"/>
      <c r="Y22" s="170" t="str">
        <f t="shared" si="3"/>
        <v>제 7 호표</v>
      </c>
      <c r="Z22" s="150"/>
    </row>
    <row r="23" spans="2:26" ht="18" customHeight="1">
      <c r="B23" s="223" t="s">
        <v>1194</v>
      </c>
      <c r="C23" s="23"/>
      <c r="D23" s="197">
        <v>1.7</v>
      </c>
      <c r="E23" s="198">
        <v>2.7</v>
      </c>
      <c r="F23" s="198">
        <v>7.1</v>
      </c>
      <c r="G23" s="198">
        <v>14.5</v>
      </c>
      <c r="H23" s="198">
        <v>15.5</v>
      </c>
      <c r="I23" s="199">
        <v>17.5</v>
      </c>
      <c r="J23" s="389" t="s">
        <v>1090</v>
      </c>
      <c r="L23" s="233">
        <v>1</v>
      </c>
      <c r="N23" s="296" t="s">
        <v>1230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SUM((ROUNDDOWN((D49:I49)*단가,0)))</f>
        <v>16315234</v>
      </c>
      <c r="X23" s="154"/>
      <c r="Y23" s="170" t="str">
        <f t="shared" si="3"/>
        <v>제 8 호표</v>
      </c>
      <c r="Z23" s="150"/>
    </row>
    <row r="24" spans="2:26" ht="18" customHeight="1">
      <c r="B24" s="223" t="s">
        <v>1195</v>
      </c>
      <c r="C24" s="23"/>
      <c r="D24" s="197">
        <v>1.7</v>
      </c>
      <c r="E24" s="198">
        <v>2.7</v>
      </c>
      <c r="F24" s="198">
        <v>7.1</v>
      </c>
      <c r="G24" s="198">
        <v>14.6</v>
      </c>
      <c r="H24" s="198">
        <v>15.5</v>
      </c>
      <c r="I24" s="199">
        <v>17.600000000000001</v>
      </c>
      <c r="J24" s="389" t="s">
        <v>1090</v>
      </c>
      <c r="L24" s="233">
        <v>1</v>
      </c>
      <c r="N24" s="296" t="s">
        <v>1231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SUM((ROUNDDOWN((D50:I50)*단가,0)))</f>
        <v>16369756</v>
      </c>
      <c r="X24" s="154"/>
      <c r="Y24" s="170" t="str">
        <f t="shared" si="3"/>
        <v>제 9 호표</v>
      </c>
      <c r="Z24" s="150"/>
    </row>
    <row r="25" spans="2:26" ht="18" customHeight="1">
      <c r="B25" s="223" t="s">
        <v>1236</v>
      </c>
      <c r="C25" s="23"/>
      <c r="D25" s="197">
        <v>2.2999999999999998</v>
      </c>
      <c r="E25" s="198">
        <v>3.6</v>
      </c>
      <c r="F25" s="198">
        <v>9.9</v>
      </c>
      <c r="G25" s="198">
        <v>18.7</v>
      </c>
      <c r="H25" s="198">
        <v>22.1</v>
      </c>
      <c r="I25" s="199">
        <v>21.8</v>
      </c>
      <c r="J25" s="389" t="s">
        <v>1090</v>
      </c>
      <c r="L25" s="233">
        <v>1</v>
      </c>
      <c r="N25" s="296" t="s">
        <v>1237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SUM((ROUNDDOWN((D51:I51)*단가,0)))</f>
        <v>21671039</v>
      </c>
      <c r="X25" s="154"/>
      <c r="Y25" s="170" t="str">
        <f t="shared" si="3"/>
        <v>제 10 호표</v>
      </c>
      <c r="Z25" s="150"/>
    </row>
    <row r="26" spans="2:26" ht="18" customHeight="1">
      <c r="B26" s="223" t="s">
        <v>1197</v>
      </c>
      <c r="C26" s="23"/>
      <c r="D26" s="197">
        <v>4.5999999999999996</v>
      </c>
      <c r="E26" s="198">
        <v>7.2</v>
      </c>
      <c r="F26" s="198">
        <v>18.7</v>
      </c>
      <c r="G26" s="198">
        <v>39.4</v>
      </c>
      <c r="H26" s="198">
        <v>40</v>
      </c>
      <c r="I26" s="199">
        <v>43.6</v>
      </c>
      <c r="J26" s="389" t="s">
        <v>1090</v>
      </c>
      <c r="L26" s="233">
        <v>1</v>
      </c>
      <c r="N26" s="296" t="s">
        <v>1232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SUM((ROUNDDOWN((D52:I52)*단가,0)))</f>
        <v>42601459</v>
      </c>
      <c r="X26" s="154"/>
      <c r="Y26" s="170" t="str">
        <f t="shared" si="3"/>
        <v>제 11 호표</v>
      </c>
      <c r="Z26" s="150"/>
    </row>
    <row r="27" spans="2:26" ht="18" customHeight="1">
      <c r="B27" s="223" t="s">
        <v>1198</v>
      </c>
      <c r="C27" s="23"/>
      <c r="D27" s="197">
        <v>0</v>
      </c>
      <c r="E27" s="198">
        <v>0</v>
      </c>
      <c r="F27" s="198">
        <v>0</v>
      </c>
      <c r="G27" s="198">
        <v>0</v>
      </c>
      <c r="H27" s="198">
        <v>0</v>
      </c>
      <c r="I27" s="199">
        <v>0</v>
      </c>
      <c r="J27" s="389" t="s">
        <v>1239</v>
      </c>
      <c r="L27" s="233">
        <v>1</v>
      </c>
      <c r="N27" s="300" t="s">
        <v>1235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SUM((ROUNDDOWN((D53:I53)*단가,0)))</f>
        <v>0</v>
      </c>
      <c r="X27" s="154"/>
      <c r="Y27" s="170" t="str">
        <f t="shared" si="3"/>
        <v>제 12 호표</v>
      </c>
      <c r="Z27" s="150"/>
    </row>
    <row r="28" spans="2:26" ht="18" customHeight="1">
      <c r="B28" s="223" t="s">
        <v>1199</v>
      </c>
      <c r="C28" s="23"/>
      <c r="D28" s="197">
        <v>0</v>
      </c>
      <c r="E28" s="198">
        <v>0</v>
      </c>
      <c r="F28" s="198">
        <v>0</v>
      </c>
      <c r="G28" s="198">
        <v>0</v>
      </c>
      <c r="H28" s="198">
        <v>0</v>
      </c>
      <c r="I28" s="199">
        <v>0</v>
      </c>
      <c r="J28" s="389" t="s">
        <v>1240</v>
      </c>
      <c r="L28" s="233">
        <v>1</v>
      </c>
      <c r="N28" s="296" t="s">
        <v>1233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SUM((ROUNDDOWN((D54:I54)*단가,0)))</f>
        <v>0</v>
      </c>
      <c r="X28" s="154"/>
      <c r="Y28" s="170" t="str">
        <f t="shared" si="3"/>
        <v>제 13 호표</v>
      </c>
      <c r="Z28" s="150"/>
    </row>
    <row r="29" spans="2:26" ht="18" customHeight="1">
      <c r="B29" s="223" t="s">
        <v>1200</v>
      </c>
      <c r="C29" s="23"/>
      <c r="D29" s="197">
        <v>2.8</v>
      </c>
      <c r="E29" s="198">
        <v>4.4000000000000004</v>
      </c>
      <c r="F29" s="198">
        <v>10.9</v>
      </c>
      <c r="G29" s="198">
        <v>20.7</v>
      </c>
      <c r="H29" s="198">
        <v>22.1</v>
      </c>
      <c r="I29" s="199">
        <v>19.399999999999999</v>
      </c>
      <c r="J29" s="389" t="s">
        <v>1213</v>
      </c>
      <c r="L29" s="233">
        <v>1</v>
      </c>
      <c r="N29" s="296" t="s">
        <v>1234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SUM((ROUNDDOWN((D55:I55)*단가,0)))</f>
        <v>22504281</v>
      </c>
      <c r="X29" s="154"/>
      <c r="Y29" s="170" t="str">
        <f t="shared" si="3"/>
        <v>제 14 호표</v>
      </c>
      <c r="Z29" s="150"/>
    </row>
    <row r="30" spans="2:26" ht="18" customHeight="1">
      <c r="B30" s="222" t="s">
        <v>256</v>
      </c>
      <c r="C30" s="47"/>
      <c r="D30" s="48">
        <f t="shared" ref="D30:I30" si="4">SUBTOTAL(9,D31:D32)</f>
        <v>3</v>
      </c>
      <c r="E30" s="49">
        <f t="shared" si="4"/>
        <v>4.8000000000000007</v>
      </c>
      <c r="F30" s="49">
        <f t="shared" si="4"/>
        <v>11.7</v>
      </c>
      <c r="G30" s="49">
        <f t="shared" si="4"/>
        <v>22.200000000000003</v>
      </c>
      <c r="H30" s="49">
        <f t="shared" si="4"/>
        <v>39.700000000000003</v>
      </c>
      <c r="I30" s="50">
        <f t="shared" si="4"/>
        <v>43.3</v>
      </c>
      <c r="J30" s="74"/>
      <c r="L30" s="233"/>
      <c r="N30" s="292" t="s">
        <v>137</v>
      </c>
      <c r="O30" s="37"/>
      <c r="P30" s="39"/>
      <c r="Q30" s="37"/>
      <c r="R30" s="117"/>
      <c r="S30" s="37"/>
      <c r="T30" s="37"/>
      <c r="U30" s="226"/>
      <c r="V30" s="231"/>
      <c r="W30" s="195">
        <f ca="1">SUBTOTAL(9,W31:W32)</f>
        <v>33559638</v>
      </c>
      <c r="X30" s="154"/>
      <c r="Y30" s="170" t="str">
        <f t="shared" si="3"/>
        <v/>
      </c>
      <c r="Z30" s="150"/>
    </row>
    <row r="31" spans="2:26" ht="18" customHeight="1">
      <c r="B31" s="223" t="s">
        <v>1201</v>
      </c>
      <c r="C31" s="23"/>
      <c r="D31" s="197">
        <v>2</v>
      </c>
      <c r="E31" s="198">
        <v>3.2</v>
      </c>
      <c r="F31" s="198">
        <v>7.8</v>
      </c>
      <c r="G31" s="198">
        <v>14.8</v>
      </c>
      <c r="H31" s="198">
        <v>15.9</v>
      </c>
      <c r="I31" s="199">
        <v>17.3</v>
      </c>
      <c r="J31" s="389" t="s">
        <v>1090</v>
      </c>
      <c r="L31" s="233">
        <v>1</v>
      </c>
      <c r="N31" s="296" t="s">
        <v>225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SUM((ROUNDDOWN((D57:I57)*단가,0)))</f>
        <v>16992403</v>
      </c>
      <c r="X31" s="154"/>
      <c r="Y31" s="170" t="str">
        <f t="shared" si="3"/>
        <v>제 15 호표</v>
      </c>
      <c r="Z31" s="150"/>
    </row>
    <row r="32" spans="2:26" ht="18" customHeight="1">
      <c r="B32" s="259" t="s">
        <v>1202</v>
      </c>
      <c r="C32" s="43"/>
      <c r="D32" s="206">
        <v>1</v>
      </c>
      <c r="E32" s="207">
        <v>1.6</v>
      </c>
      <c r="F32" s="207">
        <v>3.9</v>
      </c>
      <c r="G32" s="207">
        <v>7.4</v>
      </c>
      <c r="H32" s="207">
        <v>23.8</v>
      </c>
      <c r="I32" s="208">
        <v>26</v>
      </c>
      <c r="J32" s="390" t="s">
        <v>1090</v>
      </c>
      <c r="L32" s="233">
        <v>1</v>
      </c>
      <c r="N32" s="296" t="s">
        <v>227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SUM((ROUNDDOWN((D58:I58)*단가,0)))</f>
        <v>16567235</v>
      </c>
      <c r="X32" s="154"/>
      <c r="Y32" s="170" t="str">
        <f t="shared" si="3"/>
        <v>제 16 호표</v>
      </c>
      <c r="Z32" s="150"/>
    </row>
    <row r="33" spans="1:26" ht="18" customHeight="1">
      <c r="B33" s="222" t="s">
        <v>232</v>
      </c>
      <c r="C33" s="47"/>
      <c r="D33" s="48">
        <f t="shared" ref="D33:I33" si="5">SUBTOTAL(9,D34:D37)</f>
        <v>8</v>
      </c>
      <c r="E33" s="49">
        <f t="shared" si="5"/>
        <v>8</v>
      </c>
      <c r="F33" s="49">
        <f t="shared" si="5"/>
        <v>8</v>
      </c>
      <c r="G33" s="49">
        <f t="shared" si="5"/>
        <v>16</v>
      </c>
      <c r="H33" s="49">
        <f t="shared" si="5"/>
        <v>16</v>
      </c>
      <c r="I33" s="50">
        <f t="shared" si="5"/>
        <v>16</v>
      </c>
      <c r="J33" s="287"/>
      <c r="L33" s="233"/>
      <c r="N33" s="292" t="s">
        <v>231</v>
      </c>
      <c r="O33" s="37"/>
      <c r="P33" s="39"/>
      <c r="Q33" s="37"/>
      <c r="R33" s="117"/>
      <c r="S33" s="37"/>
      <c r="T33" s="37"/>
      <c r="U33" s="226"/>
      <c r="V33" s="231"/>
      <c r="W33" s="195">
        <f ca="1">SUBTOTAL(9,W34:W37)</f>
        <v>21702576</v>
      </c>
      <c r="X33" s="154"/>
      <c r="Y33" s="170" t="str">
        <f t="shared" si="3"/>
        <v/>
      </c>
      <c r="Z33" s="150"/>
    </row>
    <row r="34" spans="1:26" ht="18" customHeight="1">
      <c r="B34" s="223" t="s">
        <v>1203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389" t="s">
        <v>1215</v>
      </c>
      <c r="L34" s="233">
        <v>1</v>
      </c>
      <c r="N34" s="296" t="s">
        <v>233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SUM((ROUNDDOWN((D60:I60)*단가,0)))</f>
        <v>5425644</v>
      </c>
      <c r="X34" s="154"/>
      <c r="Y34" s="170" t="str">
        <f t="shared" si="3"/>
        <v>제 17 호표</v>
      </c>
      <c r="Z34" s="150"/>
    </row>
    <row r="35" spans="1:26" ht="18" customHeight="1">
      <c r="B35" s="223" t="s">
        <v>1204</v>
      </c>
      <c r="C35" s="23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389" t="s">
        <v>1094</v>
      </c>
      <c r="L35" s="233">
        <v>1</v>
      </c>
      <c r="N35" s="296" t="s">
        <v>235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SUM((ROUNDDOWN((D61:I61)*단가,0)))</f>
        <v>5425644</v>
      </c>
      <c r="X35" s="154"/>
      <c r="Y35" s="170" t="str">
        <f t="shared" si="3"/>
        <v>제 18 호표</v>
      </c>
      <c r="Z35" s="150"/>
    </row>
    <row r="36" spans="1:26" ht="18" customHeight="1">
      <c r="B36" s="223" t="s">
        <v>1205</v>
      </c>
      <c r="C36" s="23"/>
      <c r="D36" s="197">
        <v>2</v>
      </c>
      <c r="E36" s="198">
        <v>2</v>
      </c>
      <c r="F36" s="198">
        <v>2</v>
      </c>
      <c r="G36" s="198">
        <v>4</v>
      </c>
      <c r="H36" s="198">
        <v>4</v>
      </c>
      <c r="I36" s="199">
        <v>4</v>
      </c>
      <c r="J36" s="389" t="s">
        <v>1094</v>
      </c>
      <c r="L36" s="233">
        <v>1</v>
      </c>
      <c r="N36" s="296" t="s">
        <v>237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SUM((ROUNDDOWN((D62:I62)*단가,0)))</f>
        <v>5425644</v>
      </c>
      <c r="X36" s="154"/>
      <c r="Y36" s="170" t="str">
        <f t="shared" si="3"/>
        <v>제 19 호표</v>
      </c>
      <c r="Z36" s="150"/>
    </row>
    <row r="37" spans="1:26" ht="18" customHeight="1" thickBot="1">
      <c r="B37" s="223" t="s">
        <v>1206</v>
      </c>
      <c r="C37" s="23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612" t="s">
        <v>1094</v>
      </c>
      <c r="L37" s="233">
        <v>1</v>
      </c>
      <c r="N37" s="296" t="s">
        <v>239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SUM((ROUNDDOWN((D63:I63)*단가,0)))</f>
        <v>5425644</v>
      </c>
      <c r="X37" s="154"/>
      <c r="Y37" s="170" t="str">
        <f t="shared" si="3"/>
        <v>제 20 호표</v>
      </c>
      <c r="Z37" s="150"/>
    </row>
    <row r="38" spans="1:26" ht="18" customHeight="1" thickBot="1">
      <c r="B38" s="14" t="s">
        <v>30</v>
      </c>
      <c r="C38" s="16"/>
      <c r="D38" s="14" t="s">
        <v>12</v>
      </c>
      <c r="E38" s="15"/>
      <c r="F38" s="15"/>
      <c r="G38" s="15"/>
      <c r="H38" s="15"/>
      <c r="I38" s="16"/>
      <c r="J38" s="175" t="s">
        <v>31</v>
      </c>
      <c r="N38" s="379"/>
      <c r="P38" s="371"/>
      <c r="R38" s="357"/>
      <c r="S38" s="1"/>
      <c r="T38" s="1"/>
      <c r="U38" s="258"/>
      <c r="V38" s="380"/>
      <c r="W38" s="373"/>
      <c r="X38" s="374"/>
      <c r="Y38" s="378"/>
      <c r="Z38" s="378"/>
    </row>
    <row r="39" spans="1:26" ht="18" customHeight="1">
      <c r="B39" s="225" t="s">
        <v>1186</v>
      </c>
      <c r="C39" s="72"/>
      <c r="D39" s="203">
        <f t="shared" ref="D39:I39" si="6">SUBTOTAL(9,D40:D40)</f>
        <v>8.1999999999999993</v>
      </c>
      <c r="E39" s="204">
        <f t="shared" si="6"/>
        <v>12.9</v>
      </c>
      <c r="F39" s="204">
        <f t="shared" si="6"/>
        <v>31.9</v>
      </c>
      <c r="G39" s="204">
        <f t="shared" si="6"/>
        <v>55.9</v>
      </c>
      <c r="H39" s="204">
        <f t="shared" si="6"/>
        <v>59.7</v>
      </c>
      <c r="I39" s="205">
        <f t="shared" si="6"/>
        <v>82.3</v>
      </c>
      <c r="J39" s="73"/>
      <c r="N39" s="290" t="s">
        <v>10</v>
      </c>
      <c r="O39" s="129"/>
      <c r="P39" s="130"/>
      <c r="Q39" s="124"/>
      <c r="R39" s="131"/>
      <c r="S39" s="124"/>
      <c r="T39" s="124"/>
      <c r="U39" s="181"/>
      <c r="V39" s="181"/>
      <c r="W39" s="159">
        <f>SUBTOTAL(9,W40:W42)</f>
        <v>6000000</v>
      </c>
      <c r="X39" s="160"/>
      <c r="Y39" s="124"/>
      <c r="Z39" s="124"/>
    </row>
    <row r="40" spans="1:26" ht="18" customHeight="1">
      <c r="A40" s="326">
        <v>1</v>
      </c>
      <c r="B40" s="223" t="s">
        <v>1187</v>
      </c>
      <c r="C40" s="23"/>
      <c r="D40" s="197">
        <f t="array" ref="D40:I40">ROUNDDOWN(D14:I14*D5*L14,3)</f>
        <v>8.1999999999999993</v>
      </c>
      <c r="E40" s="198">
        <v>12.9</v>
      </c>
      <c r="F40" s="198">
        <v>31.9</v>
      </c>
      <c r="G40" s="198">
        <v>55.9</v>
      </c>
      <c r="H40" s="198">
        <v>59.7</v>
      </c>
      <c r="I40" s="199">
        <v>82.3</v>
      </c>
      <c r="J40" s="74"/>
      <c r="M40" s="171"/>
      <c r="N40" s="291" t="str">
        <f>"여비("&amp;TEXT(T40,"#인 ×")&amp;TEXT(U40,"#일 ×")&amp;TEXT(V40,"###,###원)")</f>
        <v>여비(3인 ×10일 ×100,000원)</v>
      </c>
      <c r="O40" s="78"/>
      <c r="P40" s="52"/>
      <c r="Q40" s="51"/>
      <c r="T40" s="146">
        <v>3</v>
      </c>
      <c r="U40" s="146">
        <v>10</v>
      </c>
      <c r="V40" s="147">
        <v>100000</v>
      </c>
      <c r="W40" s="161">
        <f>T40*U40*V40</f>
        <v>3000000</v>
      </c>
      <c r="X40" s="162"/>
      <c r="Y40" s="51"/>
      <c r="Z40" s="51"/>
    </row>
    <row r="41" spans="1:26" ht="18" customHeight="1">
      <c r="B41" s="222" t="s">
        <v>52</v>
      </c>
      <c r="C41" s="47"/>
      <c r="D41" s="48">
        <f t="shared" ref="D41:I41" si="7">SUBTOTAL(9,D42:D43)</f>
        <v>18.2</v>
      </c>
      <c r="E41" s="49">
        <f t="shared" si="7"/>
        <v>28.9</v>
      </c>
      <c r="F41" s="49">
        <f t="shared" si="7"/>
        <v>64.5</v>
      </c>
      <c r="G41" s="49">
        <f t="shared" si="7"/>
        <v>109.7</v>
      </c>
      <c r="H41" s="49">
        <f t="shared" si="7"/>
        <v>108.60000000000001</v>
      </c>
      <c r="I41" s="50">
        <f t="shared" si="7"/>
        <v>118.60000000000001</v>
      </c>
      <c r="J41" s="74"/>
      <c r="M41" s="171"/>
      <c r="N41" s="292" t="s">
        <v>46</v>
      </c>
      <c r="O41" s="79"/>
      <c r="P41" s="39"/>
      <c r="Q41" s="37"/>
      <c r="R41" s="117"/>
      <c r="S41" s="37"/>
      <c r="T41" s="37"/>
      <c r="U41" s="180"/>
      <c r="V41" s="180"/>
      <c r="W41" s="157">
        <v>2000000</v>
      </c>
      <c r="X41" s="158"/>
      <c r="Y41" s="37"/>
      <c r="Z41" s="37"/>
    </row>
    <row r="42" spans="1:26" ht="18" customHeight="1">
      <c r="A42" s="326">
        <v>2</v>
      </c>
      <c r="B42" s="223" t="s">
        <v>1188</v>
      </c>
      <c r="C42" s="23"/>
      <c r="D42" s="197">
        <f t="array" ref="D42:I43">ROUNDDOWN(D16:I17*D5*L16:L17,3)</f>
        <v>5.0999999999999996</v>
      </c>
      <c r="E42" s="198">
        <v>8</v>
      </c>
      <c r="F42" s="198">
        <v>17.5</v>
      </c>
      <c r="G42" s="198">
        <v>29</v>
      </c>
      <c r="H42" s="198">
        <v>22.2</v>
      </c>
      <c r="I42" s="199">
        <v>24.2</v>
      </c>
      <c r="J42" s="74"/>
      <c r="M42" s="171"/>
      <c r="N42" s="293" t="s">
        <v>13</v>
      </c>
      <c r="O42" s="132"/>
      <c r="P42" s="38"/>
      <c r="Q42" s="38"/>
      <c r="R42" s="116"/>
      <c r="S42" s="38"/>
      <c r="T42" s="38"/>
      <c r="U42" s="183"/>
      <c r="V42" s="183"/>
      <c r="W42" s="155">
        <v>1000000</v>
      </c>
      <c r="X42" s="156"/>
      <c r="Y42" s="38"/>
      <c r="Z42" s="38"/>
    </row>
    <row r="43" spans="1:26" ht="18" customHeight="1">
      <c r="A43" s="326">
        <v>3</v>
      </c>
      <c r="B43" s="223" t="s">
        <v>1189</v>
      </c>
      <c r="C43" s="23"/>
      <c r="D43" s="197">
        <v>13.1</v>
      </c>
      <c r="E43" s="198">
        <v>20.9</v>
      </c>
      <c r="F43" s="198">
        <v>47</v>
      </c>
      <c r="G43" s="198">
        <v>80.7</v>
      </c>
      <c r="H43" s="198">
        <v>86.4</v>
      </c>
      <c r="I43" s="199">
        <v>94.4</v>
      </c>
      <c r="J43" s="74"/>
      <c r="M43" s="171"/>
      <c r="N43" s="127" t="s">
        <v>47</v>
      </c>
      <c r="O43" s="123"/>
      <c r="P43" s="123"/>
      <c r="Q43" s="123"/>
      <c r="R43" s="123"/>
      <c r="S43" s="123"/>
      <c r="T43" s="123"/>
      <c r="U43" s="184"/>
      <c r="V43" s="184"/>
      <c r="W43" s="163">
        <f ca="1">SUBTOTAL(9,W44:W45)</f>
        <v>917927618</v>
      </c>
      <c r="X43" s="164"/>
      <c r="Y43" s="123"/>
      <c r="Z43" s="123"/>
    </row>
    <row r="44" spans="1:26" ht="18" customHeight="1">
      <c r="B44" s="222" t="s">
        <v>253</v>
      </c>
      <c r="C44" s="47"/>
      <c r="D44" s="48">
        <f t="shared" ref="D44:I44" si="8">SUBTOTAL(9,D45:D55)</f>
        <v>27.999999999999996</v>
      </c>
      <c r="E44" s="49">
        <f t="shared" si="8"/>
        <v>44.6</v>
      </c>
      <c r="F44" s="49">
        <f t="shared" si="8"/>
        <v>115.4</v>
      </c>
      <c r="G44" s="49">
        <f t="shared" si="8"/>
        <v>235.99999999999997</v>
      </c>
      <c r="H44" s="49">
        <f t="shared" si="8"/>
        <v>252.5</v>
      </c>
      <c r="I44" s="50">
        <f t="shared" si="8"/>
        <v>258.89999999999998</v>
      </c>
      <c r="J44" s="74"/>
      <c r="M44" s="171"/>
      <c r="N44" s="133" t="s">
        <v>861</v>
      </c>
      <c r="O44" s="124"/>
      <c r="P44" s="134"/>
      <c r="Q44" s="124"/>
      <c r="R44" s="131"/>
      <c r="S44" s="124"/>
      <c r="T44" s="181"/>
      <c r="U44" s="181"/>
      <c r="V44" s="190">
        <v>1.1499999999999999</v>
      </c>
      <c r="W44" s="159">
        <f ca="1">ROUNDDOWN(W12*V44,0)</f>
        <v>588087332</v>
      </c>
      <c r="X44" s="160"/>
      <c r="Y44" s="124"/>
      <c r="Z44" s="124"/>
    </row>
    <row r="45" spans="1:26" ht="18" customHeight="1" thickBot="1">
      <c r="A45" s="326">
        <v>4</v>
      </c>
      <c r="B45" s="223" t="s">
        <v>1190</v>
      </c>
      <c r="C45" s="23"/>
      <c r="D45" s="197">
        <f t="array" ref="D45:I55">ROUNDDOWN(D19:I29*D5*L19:L29,3)</f>
        <v>3</v>
      </c>
      <c r="E45" s="198">
        <v>4.9000000000000004</v>
      </c>
      <c r="F45" s="198">
        <v>12</v>
      </c>
      <c r="G45" s="198">
        <v>24.8</v>
      </c>
      <c r="H45" s="198">
        <v>26.6</v>
      </c>
      <c r="I45" s="199">
        <v>26.6</v>
      </c>
      <c r="J45" s="74"/>
      <c r="M45" s="171"/>
      <c r="N45" s="135" t="s">
        <v>862</v>
      </c>
      <c r="O45" s="136"/>
      <c r="P45" s="137"/>
      <c r="Q45" s="136"/>
      <c r="R45" s="138"/>
      <c r="S45" s="136"/>
      <c r="T45" s="185"/>
      <c r="U45" s="185"/>
      <c r="V45" s="191">
        <v>0.3</v>
      </c>
      <c r="W45" s="165">
        <f ca="1">ROUNDDOWN((W12+W44)*V45,0)</f>
        <v>329840286</v>
      </c>
      <c r="X45" s="166"/>
      <c r="Y45" s="136"/>
      <c r="Z45" s="136"/>
    </row>
    <row r="46" spans="1:26" ht="18" customHeight="1">
      <c r="A46" s="326">
        <v>5</v>
      </c>
      <c r="B46" s="223" t="s">
        <v>1191</v>
      </c>
      <c r="C46" s="23"/>
      <c r="D46" s="197">
        <v>6.9</v>
      </c>
      <c r="E46" s="198">
        <v>11.1</v>
      </c>
      <c r="F46" s="198">
        <v>29.5</v>
      </c>
      <c r="G46" s="198">
        <v>60</v>
      </c>
      <c r="H46" s="198">
        <v>64.2</v>
      </c>
      <c r="I46" s="199">
        <v>62.9</v>
      </c>
      <c r="J46" s="74"/>
      <c r="M46" s="171"/>
    </row>
    <row r="47" spans="1:26" ht="18" customHeight="1">
      <c r="A47" s="326">
        <v>6</v>
      </c>
      <c r="B47" s="223" t="s">
        <v>1192</v>
      </c>
      <c r="C47" s="23"/>
      <c r="D47" s="197">
        <v>3.3</v>
      </c>
      <c r="E47" s="198">
        <v>5.3</v>
      </c>
      <c r="F47" s="198">
        <v>13.1</v>
      </c>
      <c r="G47" s="198">
        <v>28.7</v>
      </c>
      <c r="H47" s="198">
        <v>31</v>
      </c>
      <c r="I47" s="199">
        <v>31.9</v>
      </c>
      <c r="J47" s="74"/>
      <c r="M47" s="171"/>
    </row>
    <row r="48" spans="1:26" ht="18" customHeight="1" thickBot="1">
      <c r="A48" s="326">
        <v>7</v>
      </c>
      <c r="B48" s="223" t="s">
        <v>1193</v>
      </c>
      <c r="C48" s="23"/>
      <c r="D48" s="197">
        <v>1.7</v>
      </c>
      <c r="E48" s="198">
        <v>2.7</v>
      </c>
      <c r="F48" s="198">
        <v>7.1</v>
      </c>
      <c r="G48" s="198">
        <v>14.6</v>
      </c>
      <c r="H48" s="198">
        <v>15.5</v>
      </c>
      <c r="I48" s="199">
        <v>17.600000000000001</v>
      </c>
      <c r="J48" s="389"/>
      <c r="M48" s="171"/>
      <c r="N48" s="66" t="s">
        <v>18</v>
      </c>
      <c r="O48" s="2"/>
      <c r="P48" s="2"/>
      <c r="Q48" s="2"/>
      <c r="R48" s="3"/>
      <c r="S48" s="4"/>
      <c r="T48" s="3"/>
      <c r="U48" s="4"/>
      <c r="V48" s="3"/>
      <c r="W48" s="4"/>
      <c r="X48" s="3"/>
      <c r="Y48" s="4"/>
      <c r="Z48" s="2"/>
    </row>
    <row r="49" spans="1:26" ht="18" customHeight="1">
      <c r="A49" s="326">
        <v>8</v>
      </c>
      <c r="B49" s="223" t="s">
        <v>1194</v>
      </c>
      <c r="C49" s="23"/>
      <c r="D49" s="197">
        <v>1.7</v>
      </c>
      <c r="E49" s="198">
        <v>2.7</v>
      </c>
      <c r="F49" s="198">
        <v>7.1</v>
      </c>
      <c r="G49" s="198">
        <v>14.5</v>
      </c>
      <c r="H49" s="198">
        <v>15.5</v>
      </c>
      <c r="I49" s="199">
        <v>17.5</v>
      </c>
      <c r="J49" s="389"/>
      <c r="M49" s="171"/>
      <c r="N49" s="765" t="s">
        <v>19</v>
      </c>
      <c r="O49" s="755" t="s">
        <v>20</v>
      </c>
      <c r="P49" s="755" t="s">
        <v>21</v>
      </c>
      <c r="Q49" s="755" t="s">
        <v>16</v>
      </c>
      <c r="R49" s="5" t="s">
        <v>22</v>
      </c>
      <c r="S49" s="5"/>
      <c r="T49" s="5" t="s">
        <v>23</v>
      </c>
      <c r="U49" s="5"/>
      <c r="V49" s="5" t="s">
        <v>24</v>
      </c>
      <c r="W49" s="5"/>
      <c r="X49" s="5" t="s">
        <v>25</v>
      </c>
      <c r="Y49" s="5"/>
      <c r="Z49" s="755" t="s">
        <v>26</v>
      </c>
    </row>
    <row r="50" spans="1:26" ht="18" customHeight="1" thickBot="1">
      <c r="A50" s="326">
        <v>9</v>
      </c>
      <c r="B50" s="223" t="s">
        <v>1195</v>
      </c>
      <c r="C50" s="23"/>
      <c r="D50" s="197">
        <v>1.7</v>
      </c>
      <c r="E50" s="198">
        <v>2.7</v>
      </c>
      <c r="F50" s="198">
        <v>7.1</v>
      </c>
      <c r="G50" s="198">
        <v>14.6</v>
      </c>
      <c r="H50" s="198">
        <v>15.5</v>
      </c>
      <c r="I50" s="199">
        <v>17.600000000000001</v>
      </c>
      <c r="J50" s="389"/>
      <c r="M50" s="171"/>
      <c r="N50" s="766"/>
      <c r="O50" s="756"/>
      <c r="P50" s="756"/>
      <c r="Q50" s="756"/>
      <c r="R50" s="67" t="s">
        <v>27</v>
      </c>
      <c r="S50" s="67" t="s">
        <v>28</v>
      </c>
      <c r="T50" s="67" t="s">
        <v>27</v>
      </c>
      <c r="U50" s="67" t="s">
        <v>28</v>
      </c>
      <c r="V50" s="67" t="s">
        <v>27</v>
      </c>
      <c r="W50" s="67" t="s">
        <v>28</v>
      </c>
      <c r="X50" s="67" t="s">
        <v>27</v>
      </c>
      <c r="Y50" s="67" t="s">
        <v>28</v>
      </c>
      <c r="Z50" s="756"/>
    </row>
    <row r="51" spans="1:26" ht="18" customHeight="1" thickTop="1">
      <c r="A51" s="326">
        <v>10</v>
      </c>
      <c r="B51" s="223" t="s">
        <v>1196</v>
      </c>
      <c r="C51" s="23"/>
      <c r="D51" s="197">
        <v>2.2999999999999998</v>
      </c>
      <c r="E51" s="198">
        <v>3.6</v>
      </c>
      <c r="F51" s="198">
        <v>9.9</v>
      </c>
      <c r="G51" s="198">
        <v>18.7</v>
      </c>
      <c r="H51" s="198">
        <v>22.1</v>
      </c>
      <c r="I51" s="199">
        <v>21.8</v>
      </c>
      <c r="J51" s="389"/>
      <c r="M51" s="171"/>
      <c r="N51" s="318" t="str">
        <f ca="1">"제 " &amp; Z51 &amp; " 호표  "&amp; OFFSET($A$1,MATCH(Z51,$A:$A,0)-1,1)</f>
        <v>제 1 호표  1.1 지역특성 및 현황</v>
      </c>
      <c r="O51" s="221"/>
      <c r="P51" s="148"/>
      <c r="Q51" s="148"/>
      <c r="R51" s="149"/>
      <c r="S51" s="149"/>
      <c r="T51" s="149"/>
      <c r="U51" s="149"/>
      <c r="V51" s="149"/>
      <c r="W51" s="149"/>
      <c r="X51" s="149"/>
      <c r="Y51" s="149"/>
      <c r="Z51" s="325">
        <v>1</v>
      </c>
    </row>
    <row r="52" spans="1:26" ht="18" customHeight="1">
      <c r="A52" s="326">
        <v>11</v>
      </c>
      <c r="B52" s="223" t="s">
        <v>1197</v>
      </c>
      <c r="C52" s="23"/>
      <c r="D52" s="197">
        <v>4.5999999999999996</v>
      </c>
      <c r="E52" s="198">
        <v>7.2</v>
      </c>
      <c r="F52" s="198">
        <v>18.7</v>
      </c>
      <c r="G52" s="198">
        <v>39.4</v>
      </c>
      <c r="H52" s="198">
        <v>40</v>
      </c>
      <c r="I52" s="199">
        <v>43.6</v>
      </c>
      <c r="J52" s="389"/>
      <c r="M52" s="171"/>
      <c r="N52" s="140" t="s">
        <v>43</v>
      </c>
      <c r="O52" s="172">
        <v>3</v>
      </c>
      <c r="P52" s="219">
        <f ca="1">OFFSET($A$1,MATCH(Z51,$A:$A,0)-1,O52)</f>
        <v>8.1999999999999993</v>
      </c>
      <c r="Q52" s="141" t="s">
        <v>29</v>
      </c>
      <c r="R52" s="142">
        <f t="shared" ref="R52:S57" ca="1" si="9">T52</f>
        <v>467217</v>
      </c>
      <c r="S52" s="142">
        <f t="shared" ca="1" si="9"/>
        <v>3831179</v>
      </c>
      <c r="T52" s="142">
        <f ca="1">기술사</f>
        <v>467217</v>
      </c>
      <c r="U52" s="142">
        <f t="shared" ref="U52:U57" ca="1" si="10">ROUNDDOWN(P52*R52,0)</f>
        <v>3831179</v>
      </c>
      <c r="V52" s="142"/>
      <c r="W52" s="142"/>
      <c r="X52" s="142"/>
      <c r="Y52" s="142"/>
      <c r="Z52" s="114"/>
    </row>
    <row r="53" spans="1:26" ht="18" customHeight="1">
      <c r="A53" s="326">
        <v>12</v>
      </c>
      <c r="B53" s="223" t="s">
        <v>1198</v>
      </c>
      <c r="C53" s="23"/>
      <c r="D53" s="197">
        <v>0</v>
      </c>
      <c r="E53" s="198">
        <v>0</v>
      </c>
      <c r="F53" s="198">
        <v>0</v>
      </c>
      <c r="G53" s="198">
        <v>0</v>
      </c>
      <c r="H53" s="198">
        <v>0</v>
      </c>
      <c r="I53" s="199">
        <v>0</v>
      </c>
      <c r="J53" s="389"/>
      <c r="M53" s="171"/>
      <c r="N53" s="143" t="s">
        <v>32</v>
      </c>
      <c r="O53" s="173">
        <v>4</v>
      </c>
      <c r="P53" s="234">
        <f ca="1">OFFSET($A$1,MATCH(Z51,$A:$A,0)-1,O53)</f>
        <v>12.9</v>
      </c>
      <c r="Q53" s="144" t="s">
        <v>29</v>
      </c>
      <c r="R53" s="118">
        <f t="shared" ca="1" si="9"/>
        <v>373353</v>
      </c>
      <c r="S53" s="118">
        <f t="shared" ca="1" si="9"/>
        <v>4816253</v>
      </c>
      <c r="T53" s="118">
        <f ca="1">특급</f>
        <v>373353</v>
      </c>
      <c r="U53" s="118">
        <f t="shared" ca="1" si="10"/>
        <v>4816253</v>
      </c>
      <c r="V53" s="118"/>
      <c r="W53" s="118"/>
      <c r="X53" s="118"/>
      <c r="Y53" s="118"/>
      <c r="Z53" s="115"/>
    </row>
    <row r="54" spans="1:26" ht="18" customHeight="1">
      <c r="A54" s="326">
        <v>13</v>
      </c>
      <c r="B54" s="223" t="s">
        <v>1199</v>
      </c>
      <c r="C54" s="23"/>
      <c r="D54" s="197">
        <v>0</v>
      </c>
      <c r="E54" s="198">
        <v>0</v>
      </c>
      <c r="F54" s="198">
        <v>0</v>
      </c>
      <c r="G54" s="198">
        <v>0</v>
      </c>
      <c r="H54" s="198">
        <v>0</v>
      </c>
      <c r="I54" s="199">
        <v>0</v>
      </c>
      <c r="J54" s="389"/>
      <c r="M54" s="171"/>
      <c r="N54" s="145" t="s">
        <v>39</v>
      </c>
      <c r="O54" s="173">
        <v>5</v>
      </c>
      <c r="P54" s="234">
        <f ca="1">OFFSET($A$1,MATCH(Z51,$A:$A,0)-1,O54)</f>
        <v>31.9</v>
      </c>
      <c r="Q54" s="144" t="s">
        <v>29</v>
      </c>
      <c r="R54" s="118">
        <f t="shared" ca="1" si="9"/>
        <v>310884</v>
      </c>
      <c r="S54" s="118">
        <f t="shared" ca="1" si="9"/>
        <v>9917199</v>
      </c>
      <c r="T54" s="118">
        <f ca="1">고급</f>
        <v>310884</v>
      </c>
      <c r="U54" s="118">
        <f t="shared" ca="1" si="10"/>
        <v>9917199</v>
      </c>
      <c r="V54" s="118"/>
      <c r="W54" s="118"/>
      <c r="X54" s="118"/>
      <c r="Y54" s="118"/>
      <c r="Z54" s="115"/>
    </row>
    <row r="55" spans="1:26" ht="18" customHeight="1">
      <c r="A55" s="326">
        <v>14</v>
      </c>
      <c r="B55" s="223" t="s">
        <v>1200</v>
      </c>
      <c r="C55" s="23"/>
      <c r="D55" s="197">
        <v>2.8</v>
      </c>
      <c r="E55" s="198">
        <v>4.4000000000000004</v>
      </c>
      <c r="F55" s="198">
        <v>10.9</v>
      </c>
      <c r="G55" s="198">
        <v>20.7</v>
      </c>
      <c r="H55" s="198">
        <v>22.1</v>
      </c>
      <c r="I55" s="199">
        <v>19.399999999999999</v>
      </c>
      <c r="J55" s="389"/>
      <c r="M55" s="171"/>
      <c r="N55" s="145" t="s">
        <v>40</v>
      </c>
      <c r="O55" s="173">
        <v>6</v>
      </c>
      <c r="P55" s="234">
        <f ca="1">OFFSET($A$1,MATCH(Z51,$A:$A,0)-1,O55)</f>
        <v>55.9</v>
      </c>
      <c r="Q55" s="144" t="s">
        <v>29</v>
      </c>
      <c r="R55" s="118">
        <f t="shared" ca="1" si="9"/>
        <v>295138</v>
      </c>
      <c r="S55" s="118">
        <f t="shared" ca="1" si="9"/>
        <v>16498214</v>
      </c>
      <c r="T55" s="118">
        <f ca="1">중급</f>
        <v>295138</v>
      </c>
      <c r="U55" s="118">
        <f t="shared" ca="1" si="10"/>
        <v>16498214</v>
      </c>
      <c r="V55" s="118"/>
      <c r="W55" s="118"/>
      <c r="X55" s="118"/>
      <c r="Y55" s="118"/>
      <c r="Z55" s="115"/>
    </row>
    <row r="56" spans="1:26" ht="18" customHeight="1">
      <c r="B56" s="222" t="s">
        <v>98</v>
      </c>
      <c r="C56" s="47"/>
      <c r="D56" s="48">
        <f t="shared" ref="D56:I56" si="11">SUBTOTAL(9,D57:D58)</f>
        <v>3</v>
      </c>
      <c r="E56" s="49">
        <f t="shared" si="11"/>
        <v>4.8000000000000007</v>
      </c>
      <c r="F56" s="49">
        <f t="shared" si="11"/>
        <v>11.7</v>
      </c>
      <c r="G56" s="49">
        <f t="shared" si="11"/>
        <v>22.200000000000003</v>
      </c>
      <c r="H56" s="49">
        <f t="shared" si="11"/>
        <v>39.700000000000003</v>
      </c>
      <c r="I56" s="50">
        <f t="shared" si="11"/>
        <v>43.3</v>
      </c>
      <c r="J56" s="74"/>
      <c r="M56" s="171"/>
      <c r="N56" s="145" t="s">
        <v>41</v>
      </c>
      <c r="O56" s="173">
        <v>7</v>
      </c>
      <c r="P56" s="234">
        <f ca="1">OFFSET($A$1,MATCH(Z51,$A:$A,0)-1,O56)</f>
        <v>59.7</v>
      </c>
      <c r="Q56" s="144" t="s">
        <v>29</v>
      </c>
      <c r="R56" s="118">
        <f t="shared" ca="1" si="9"/>
        <v>235459</v>
      </c>
      <c r="S56" s="118">
        <f t="shared" ca="1" si="9"/>
        <v>14056902</v>
      </c>
      <c r="T56" s="118">
        <f ca="1">초급</f>
        <v>235459</v>
      </c>
      <c r="U56" s="118">
        <f t="shared" ca="1" si="10"/>
        <v>14056902</v>
      </c>
      <c r="V56" s="118"/>
      <c r="W56" s="118"/>
      <c r="X56" s="118"/>
      <c r="Y56" s="118"/>
      <c r="Z56" s="115"/>
    </row>
    <row r="57" spans="1:26" ht="18" customHeight="1">
      <c r="A57" s="326">
        <v>15</v>
      </c>
      <c r="B57" s="223" t="s">
        <v>1201</v>
      </c>
      <c r="C57" s="23"/>
      <c r="D57" s="197">
        <f t="array" ref="D57:I58">ROUNDDOWN(D31:I32*D5*L31:L32,3)</f>
        <v>2</v>
      </c>
      <c r="E57" s="198">
        <v>3.2</v>
      </c>
      <c r="F57" s="198">
        <v>7.8</v>
      </c>
      <c r="G57" s="198">
        <v>14.8</v>
      </c>
      <c r="H57" s="198">
        <v>15.9</v>
      </c>
      <c r="I57" s="199">
        <v>17.3</v>
      </c>
      <c r="J57" s="74"/>
      <c r="K57" s="171" t="s">
        <v>14</v>
      </c>
      <c r="L57" s="171"/>
      <c r="M57" s="171"/>
      <c r="N57" s="319" t="s">
        <v>42</v>
      </c>
      <c r="O57" s="174">
        <v>8</v>
      </c>
      <c r="P57" s="235">
        <f ca="1">OFFSET($A$1,MATCH(Z51,$A:$A,0)-1,O57)</f>
        <v>82.3</v>
      </c>
      <c r="Q57" s="322" t="s">
        <v>29</v>
      </c>
      <c r="R57" s="323">
        <f t="shared" ca="1" si="9"/>
        <v>250087</v>
      </c>
      <c r="S57" s="323">
        <f t="shared" ca="1" si="9"/>
        <v>20582160</v>
      </c>
      <c r="T57" s="323">
        <f ca="1">보조원</f>
        <v>250087</v>
      </c>
      <c r="U57" s="323">
        <f t="shared" ca="1" si="10"/>
        <v>20582160</v>
      </c>
      <c r="V57" s="323"/>
      <c r="W57" s="323"/>
      <c r="X57" s="323"/>
      <c r="Y57" s="323"/>
      <c r="Z57" s="324"/>
    </row>
    <row r="58" spans="1:26" ht="18" customHeight="1">
      <c r="A58" s="326">
        <v>16</v>
      </c>
      <c r="B58" s="259" t="s">
        <v>1202</v>
      </c>
      <c r="C58" s="43"/>
      <c r="D58" s="206">
        <v>1</v>
      </c>
      <c r="E58" s="207">
        <v>1.6</v>
      </c>
      <c r="F58" s="207">
        <v>3.9</v>
      </c>
      <c r="G58" s="207">
        <v>7.4</v>
      </c>
      <c r="H58" s="207">
        <v>23.8</v>
      </c>
      <c r="I58" s="208">
        <v>26</v>
      </c>
      <c r="J58" s="239"/>
      <c r="K58" s="171" t="s">
        <v>14</v>
      </c>
      <c r="L58" s="171"/>
      <c r="M58" s="171"/>
      <c r="N58" s="139" t="s">
        <v>17</v>
      </c>
      <c r="O58" s="68"/>
      <c r="P58" s="69"/>
      <c r="Q58" s="70"/>
      <c r="R58" s="71"/>
      <c r="S58" s="71">
        <f ca="1">SUBTOTAL(9,S52:S57)</f>
        <v>69701907</v>
      </c>
      <c r="T58" s="71"/>
      <c r="U58" s="71">
        <f ca="1">SUBTOTAL(9,U52:U57)</f>
        <v>69701907</v>
      </c>
      <c r="V58" s="71"/>
      <c r="W58" s="71"/>
      <c r="X58" s="71"/>
      <c r="Y58" s="71"/>
      <c r="Z58" s="68"/>
    </row>
    <row r="59" spans="1:26" ht="18" customHeight="1">
      <c r="B59" s="222" t="s">
        <v>232</v>
      </c>
      <c r="C59" s="47"/>
      <c r="D59" s="48">
        <f t="shared" ref="D59:I59" si="12">SUBTOTAL(9,D60:D63)</f>
        <v>8</v>
      </c>
      <c r="E59" s="49">
        <f t="shared" si="12"/>
        <v>8</v>
      </c>
      <c r="F59" s="49">
        <f t="shared" si="12"/>
        <v>8</v>
      </c>
      <c r="G59" s="49">
        <f t="shared" si="12"/>
        <v>16</v>
      </c>
      <c r="H59" s="49">
        <f t="shared" si="12"/>
        <v>16</v>
      </c>
      <c r="I59" s="50">
        <f t="shared" si="12"/>
        <v>16</v>
      </c>
      <c r="J59" s="287"/>
      <c r="K59" s="171" t="s">
        <v>14</v>
      </c>
      <c r="L59" s="171"/>
      <c r="M59" s="171"/>
      <c r="N59" s="318" t="str">
        <f ca="1">"제 " &amp; Z59 &amp; " 호표  "&amp; OFFSET($A$1,MATCH(Z59,$A:$A,0)-1,1)</f>
        <v>제 2 호표  2.1 계획의 목표와 지표설정</v>
      </c>
      <c r="O59" s="221"/>
      <c r="P59" s="148"/>
      <c r="Q59" s="148"/>
      <c r="R59" s="149"/>
      <c r="S59" s="149"/>
      <c r="T59" s="149"/>
      <c r="U59" s="149"/>
      <c r="V59" s="149"/>
      <c r="W59" s="149"/>
      <c r="X59" s="149"/>
      <c r="Y59" s="149"/>
      <c r="Z59" s="325">
        <f>Z51+1</f>
        <v>2</v>
      </c>
    </row>
    <row r="60" spans="1:26" ht="18" customHeight="1">
      <c r="A60" s="326">
        <v>17</v>
      </c>
      <c r="B60" s="223" t="s">
        <v>1203</v>
      </c>
      <c r="C60" s="23"/>
      <c r="D60" s="197">
        <f t="array" ref="D60:I63">ROUNDDOWN(D34:I37*L34:L37*I5,3)</f>
        <v>2</v>
      </c>
      <c r="E60" s="198">
        <v>2</v>
      </c>
      <c r="F60" s="198">
        <v>2</v>
      </c>
      <c r="G60" s="198">
        <v>4</v>
      </c>
      <c r="H60" s="198">
        <v>4</v>
      </c>
      <c r="I60" s="199">
        <v>4</v>
      </c>
      <c r="J60" s="74"/>
      <c r="K60" s="171" t="s">
        <v>14</v>
      </c>
      <c r="L60" s="171"/>
      <c r="M60" s="171"/>
      <c r="N60" s="140" t="s">
        <v>43</v>
      </c>
      <c r="O60" s="172">
        <v>3</v>
      </c>
      <c r="P60" s="219">
        <f ca="1">OFFSET($A$1,MATCH(Z59,$A:$A,0)-1,O60)</f>
        <v>5.0999999999999996</v>
      </c>
      <c r="Q60" s="141" t="s">
        <v>29</v>
      </c>
      <c r="R60" s="142">
        <f t="shared" ref="R60:S65" ca="1" si="13">T60</f>
        <v>467217</v>
      </c>
      <c r="S60" s="142">
        <f t="shared" ca="1" si="13"/>
        <v>2382806</v>
      </c>
      <c r="T60" s="142">
        <f ca="1">기술사</f>
        <v>467217</v>
      </c>
      <c r="U60" s="142">
        <f t="shared" ref="U60:U65" ca="1" si="14">ROUNDDOWN(P60*R60,0)</f>
        <v>2382806</v>
      </c>
      <c r="V60" s="142"/>
      <c r="W60" s="142"/>
      <c r="X60" s="142"/>
      <c r="Y60" s="142"/>
      <c r="Z60" s="114"/>
    </row>
    <row r="61" spans="1:26" ht="18" customHeight="1">
      <c r="A61" s="326">
        <v>18</v>
      </c>
      <c r="B61" s="223" t="s">
        <v>1204</v>
      </c>
      <c r="C61" s="23"/>
      <c r="D61" s="197">
        <v>2</v>
      </c>
      <c r="E61" s="198">
        <v>2</v>
      </c>
      <c r="F61" s="198">
        <v>2</v>
      </c>
      <c r="G61" s="198">
        <v>4</v>
      </c>
      <c r="H61" s="198">
        <v>4</v>
      </c>
      <c r="I61" s="199">
        <v>4</v>
      </c>
      <c r="J61" s="74"/>
      <c r="K61" s="171" t="s">
        <v>14</v>
      </c>
      <c r="L61" s="171"/>
      <c r="M61" s="171"/>
      <c r="N61" s="143" t="s">
        <v>32</v>
      </c>
      <c r="O61" s="173">
        <v>4</v>
      </c>
      <c r="P61" s="234">
        <f ca="1">OFFSET($A$1,MATCH(Z59,$A:$A,0)-1,O61)</f>
        <v>8</v>
      </c>
      <c r="Q61" s="144" t="s">
        <v>29</v>
      </c>
      <c r="R61" s="118">
        <f t="shared" ca="1" si="13"/>
        <v>373353</v>
      </c>
      <c r="S61" s="118">
        <f t="shared" ca="1" si="13"/>
        <v>2986824</v>
      </c>
      <c r="T61" s="118">
        <f ca="1">특급</f>
        <v>373353</v>
      </c>
      <c r="U61" s="118">
        <f t="shared" ca="1" si="14"/>
        <v>2986824</v>
      </c>
      <c r="V61" s="118"/>
      <c r="W61" s="118"/>
      <c r="X61" s="118"/>
      <c r="Y61" s="118"/>
      <c r="Z61" s="115"/>
    </row>
    <row r="62" spans="1:26" ht="18" customHeight="1">
      <c r="A62" s="326">
        <v>19</v>
      </c>
      <c r="B62" s="223" t="s">
        <v>1205</v>
      </c>
      <c r="C62" s="23"/>
      <c r="D62" s="197">
        <v>2</v>
      </c>
      <c r="E62" s="198">
        <v>2</v>
      </c>
      <c r="F62" s="198">
        <v>2</v>
      </c>
      <c r="G62" s="198">
        <v>4</v>
      </c>
      <c r="H62" s="198">
        <v>4</v>
      </c>
      <c r="I62" s="199">
        <v>4</v>
      </c>
      <c r="J62" s="74"/>
      <c r="K62" s="171" t="s">
        <v>14</v>
      </c>
      <c r="L62" s="171"/>
      <c r="M62" s="171"/>
      <c r="N62" s="145" t="s">
        <v>39</v>
      </c>
      <c r="O62" s="173">
        <v>5</v>
      </c>
      <c r="P62" s="234">
        <f ca="1">OFFSET($A$1,MATCH(Z59,$A:$A,0)-1,O62)</f>
        <v>17.5</v>
      </c>
      <c r="Q62" s="144" t="s">
        <v>29</v>
      </c>
      <c r="R62" s="118">
        <f t="shared" ca="1" si="13"/>
        <v>310884</v>
      </c>
      <c r="S62" s="118">
        <f t="shared" ca="1" si="13"/>
        <v>5440470</v>
      </c>
      <c r="T62" s="118">
        <f ca="1">고급</f>
        <v>310884</v>
      </c>
      <c r="U62" s="118">
        <f t="shared" ca="1" si="14"/>
        <v>5440470</v>
      </c>
      <c r="V62" s="118"/>
      <c r="W62" s="118"/>
      <c r="X62" s="118"/>
      <c r="Y62" s="118"/>
      <c r="Z62" s="115"/>
    </row>
    <row r="63" spans="1:26" ht="18" customHeight="1" thickBot="1">
      <c r="A63" s="326">
        <v>20</v>
      </c>
      <c r="B63" s="388" t="s">
        <v>1206</v>
      </c>
      <c r="C63" s="342"/>
      <c r="D63" s="343">
        <v>2</v>
      </c>
      <c r="E63" s="344">
        <v>2</v>
      </c>
      <c r="F63" s="344">
        <v>2</v>
      </c>
      <c r="G63" s="344">
        <v>4</v>
      </c>
      <c r="H63" s="344">
        <v>4</v>
      </c>
      <c r="I63" s="345">
        <v>4</v>
      </c>
      <c r="J63" s="176"/>
      <c r="K63" s="171" t="s">
        <v>14</v>
      </c>
      <c r="L63" s="171"/>
      <c r="M63" s="171"/>
      <c r="N63" s="145" t="s">
        <v>40</v>
      </c>
      <c r="O63" s="173">
        <v>6</v>
      </c>
      <c r="P63" s="234">
        <f ca="1">OFFSET($A$1,MATCH(Z59,$A:$A,0)-1,O63)</f>
        <v>29</v>
      </c>
      <c r="Q63" s="144" t="s">
        <v>29</v>
      </c>
      <c r="R63" s="118">
        <f t="shared" ca="1" si="13"/>
        <v>295138</v>
      </c>
      <c r="S63" s="118">
        <f t="shared" ca="1" si="13"/>
        <v>8559002</v>
      </c>
      <c r="T63" s="118">
        <f ca="1">중급</f>
        <v>295138</v>
      </c>
      <c r="U63" s="118">
        <f t="shared" ca="1" si="14"/>
        <v>8559002</v>
      </c>
      <c r="V63" s="118"/>
      <c r="W63" s="118"/>
      <c r="X63" s="118"/>
      <c r="Y63" s="118"/>
      <c r="Z63" s="115"/>
    </row>
    <row r="64" spans="1:26" ht="18" customHeight="1">
      <c r="B64" s="80" t="s">
        <v>15</v>
      </c>
      <c r="C64" s="9" t="s">
        <v>1216</v>
      </c>
      <c r="K64" s="171" t="s">
        <v>14</v>
      </c>
      <c r="L64" s="171"/>
      <c r="M64" s="171"/>
      <c r="N64" s="145" t="s">
        <v>41</v>
      </c>
      <c r="O64" s="173">
        <v>7</v>
      </c>
      <c r="P64" s="234">
        <f ca="1">OFFSET($A$1,MATCH(Z59,$A:$A,0)-1,O64)</f>
        <v>22.2</v>
      </c>
      <c r="Q64" s="144" t="s">
        <v>29</v>
      </c>
      <c r="R64" s="118">
        <f t="shared" ca="1" si="13"/>
        <v>235459</v>
      </c>
      <c r="S64" s="118">
        <f t="shared" ca="1" si="13"/>
        <v>5227189</v>
      </c>
      <c r="T64" s="118">
        <f ca="1">초급</f>
        <v>235459</v>
      </c>
      <c r="U64" s="118">
        <f t="shared" ca="1" si="14"/>
        <v>5227189</v>
      </c>
      <c r="V64" s="118"/>
      <c r="W64" s="118"/>
      <c r="X64" s="118"/>
      <c r="Y64" s="118"/>
      <c r="Z64" s="115"/>
    </row>
    <row r="65" spans="3:26" ht="18" customHeight="1">
      <c r="C65" s="1" t="s">
        <v>1217</v>
      </c>
      <c r="K65" s="171" t="s">
        <v>14</v>
      </c>
      <c r="L65" s="171"/>
      <c r="M65" s="171"/>
      <c r="N65" s="319" t="s">
        <v>42</v>
      </c>
      <c r="O65" s="174">
        <v>8</v>
      </c>
      <c r="P65" s="235">
        <f ca="1">OFFSET($A$1,MATCH(Z59,$A:$A,0)-1,O65)</f>
        <v>24.2</v>
      </c>
      <c r="Q65" s="322" t="s">
        <v>29</v>
      </c>
      <c r="R65" s="323">
        <f t="shared" ca="1" si="13"/>
        <v>250087</v>
      </c>
      <c r="S65" s="323">
        <f t="shared" ca="1" si="13"/>
        <v>6052105</v>
      </c>
      <c r="T65" s="323">
        <f ca="1">보조원</f>
        <v>250087</v>
      </c>
      <c r="U65" s="323">
        <f t="shared" ca="1" si="14"/>
        <v>6052105</v>
      </c>
      <c r="V65" s="323"/>
      <c r="W65" s="323"/>
      <c r="X65" s="323"/>
      <c r="Y65" s="323"/>
      <c r="Z65" s="324"/>
    </row>
    <row r="66" spans="3:26" ht="18" customHeight="1">
      <c r="C66" s="9" t="s">
        <v>1218</v>
      </c>
      <c r="K66" s="171" t="s">
        <v>14</v>
      </c>
      <c r="L66" s="171"/>
      <c r="M66" s="171"/>
      <c r="N66" s="139" t="s">
        <v>17</v>
      </c>
      <c r="O66" s="68"/>
      <c r="P66" s="69"/>
      <c r="Q66" s="70"/>
      <c r="R66" s="71"/>
      <c r="S66" s="71">
        <f ca="1">SUBTOTAL(9,S60:S65)</f>
        <v>30648396</v>
      </c>
      <c r="T66" s="71"/>
      <c r="U66" s="71">
        <f ca="1">SUBTOTAL(9,U60:U65)</f>
        <v>30648396</v>
      </c>
      <c r="V66" s="71"/>
      <c r="W66" s="71"/>
      <c r="X66" s="71"/>
      <c r="Y66" s="71"/>
      <c r="Z66" s="68"/>
    </row>
    <row r="67" spans="3:26" ht="18" customHeight="1">
      <c r="C67" s="9" t="s">
        <v>1219</v>
      </c>
      <c r="K67" s="171" t="s">
        <v>14</v>
      </c>
      <c r="L67" s="171"/>
      <c r="M67" s="171"/>
      <c r="N67" s="318" t="str">
        <f ca="1">"제 " &amp; Z67 &amp; " 호표  "&amp; OFFSET($A$1,MATCH(Z67,$A:$A,0)-1,1)</f>
        <v>제 3 호표  2.2 공간구조의 설정</v>
      </c>
      <c r="O67" s="221"/>
      <c r="P67" s="148"/>
      <c r="Q67" s="148"/>
      <c r="R67" s="149"/>
      <c r="S67" s="149"/>
      <c r="T67" s="149"/>
      <c r="U67" s="149"/>
      <c r="V67" s="149"/>
      <c r="W67" s="149"/>
      <c r="X67" s="149"/>
      <c r="Y67" s="149"/>
      <c r="Z67" s="325">
        <f>Z59+1</f>
        <v>3</v>
      </c>
    </row>
    <row r="68" spans="3:26" ht="18" customHeight="1">
      <c r="C68" s="9" t="s">
        <v>1220</v>
      </c>
      <c r="K68" s="171" t="s">
        <v>14</v>
      </c>
      <c r="L68" s="171"/>
      <c r="M68" s="171"/>
      <c r="N68" s="140" t="s">
        <v>43</v>
      </c>
      <c r="O68" s="172">
        <v>3</v>
      </c>
      <c r="P68" s="219">
        <f ca="1">OFFSET($A$1,MATCH(Z67,$A:$A,0)-1,O68)</f>
        <v>13.1</v>
      </c>
      <c r="Q68" s="141" t="s">
        <v>29</v>
      </c>
      <c r="R68" s="142">
        <f t="shared" ref="R68:S73" ca="1" si="15">T68</f>
        <v>467217</v>
      </c>
      <c r="S68" s="142">
        <f t="shared" ca="1" si="15"/>
        <v>6120542</v>
      </c>
      <c r="T68" s="142">
        <f ca="1">기술사</f>
        <v>467217</v>
      </c>
      <c r="U68" s="142">
        <f t="shared" ref="U68:U73" ca="1" si="16">ROUNDDOWN(P68*R68,0)</f>
        <v>6120542</v>
      </c>
      <c r="V68" s="142"/>
      <c r="W68" s="142"/>
      <c r="X68" s="142"/>
      <c r="Y68" s="142"/>
      <c r="Z68" s="114"/>
    </row>
    <row r="69" spans="3:26" ht="18" customHeight="1">
      <c r="C69" s="9" t="s">
        <v>1221</v>
      </c>
      <c r="K69" s="171" t="s">
        <v>14</v>
      </c>
      <c r="L69" s="171"/>
      <c r="M69" s="171"/>
      <c r="N69" s="143" t="s">
        <v>32</v>
      </c>
      <c r="O69" s="173">
        <v>4</v>
      </c>
      <c r="P69" s="234">
        <f ca="1">OFFSET($A$1,MATCH(Z67,$A:$A,0)-1,O69)</f>
        <v>20.9</v>
      </c>
      <c r="Q69" s="144" t="s">
        <v>29</v>
      </c>
      <c r="R69" s="118">
        <f t="shared" ca="1" si="15"/>
        <v>373353</v>
      </c>
      <c r="S69" s="118">
        <f t="shared" ca="1" si="15"/>
        <v>7803077</v>
      </c>
      <c r="T69" s="118">
        <f ca="1">특급</f>
        <v>373353</v>
      </c>
      <c r="U69" s="118">
        <f t="shared" ca="1" si="16"/>
        <v>7803077</v>
      </c>
      <c r="V69" s="118"/>
      <c r="W69" s="118"/>
      <c r="X69" s="118"/>
      <c r="Y69" s="118"/>
      <c r="Z69" s="115"/>
    </row>
    <row r="70" spans="3:26" ht="18" customHeight="1">
      <c r="C70" s="1" t="s">
        <v>1222</v>
      </c>
      <c r="K70" s="171" t="s">
        <v>14</v>
      </c>
      <c r="L70" s="171"/>
      <c r="M70" s="171"/>
      <c r="N70" s="145" t="s">
        <v>39</v>
      </c>
      <c r="O70" s="173">
        <v>5</v>
      </c>
      <c r="P70" s="234">
        <f ca="1">OFFSET($A$1,MATCH(Z67,$A:$A,0)-1,O70)</f>
        <v>47</v>
      </c>
      <c r="Q70" s="144" t="s">
        <v>29</v>
      </c>
      <c r="R70" s="118">
        <f t="shared" ca="1" si="15"/>
        <v>310884</v>
      </c>
      <c r="S70" s="118">
        <f t="shared" ca="1" si="15"/>
        <v>14611548</v>
      </c>
      <c r="T70" s="118">
        <f ca="1">고급</f>
        <v>310884</v>
      </c>
      <c r="U70" s="118">
        <f t="shared" ca="1" si="16"/>
        <v>14611548</v>
      </c>
      <c r="V70" s="118"/>
      <c r="W70" s="118"/>
      <c r="X70" s="118"/>
      <c r="Y70" s="118"/>
      <c r="Z70" s="115"/>
    </row>
    <row r="71" spans="3:26" ht="18" customHeight="1">
      <c r="K71" s="171" t="s">
        <v>14</v>
      </c>
      <c r="L71" s="171"/>
      <c r="M71" s="171"/>
      <c r="N71" s="145" t="s">
        <v>40</v>
      </c>
      <c r="O71" s="173">
        <v>6</v>
      </c>
      <c r="P71" s="234">
        <f ca="1">OFFSET($A$1,MATCH(Z67,$A:$A,0)-1,O71)</f>
        <v>80.7</v>
      </c>
      <c r="Q71" s="144" t="s">
        <v>29</v>
      </c>
      <c r="R71" s="118">
        <f t="shared" ca="1" si="15"/>
        <v>295138</v>
      </c>
      <c r="S71" s="118">
        <f t="shared" ca="1" si="15"/>
        <v>23817636</v>
      </c>
      <c r="T71" s="118">
        <f ca="1">중급</f>
        <v>295138</v>
      </c>
      <c r="U71" s="118">
        <f t="shared" ca="1" si="16"/>
        <v>23817636</v>
      </c>
      <c r="V71" s="118"/>
      <c r="W71" s="118"/>
      <c r="X71" s="118"/>
      <c r="Y71" s="118"/>
      <c r="Z71" s="115"/>
    </row>
    <row r="72" spans="3:26" ht="18" customHeight="1">
      <c r="K72" s="171" t="s">
        <v>14</v>
      </c>
      <c r="L72" s="171"/>
      <c r="M72" s="171"/>
      <c r="N72" s="145" t="s">
        <v>41</v>
      </c>
      <c r="O72" s="173">
        <v>7</v>
      </c>
      <c r="P72" s="234">
        <f ca="1">OFFSET($A$1,MATCH(Z67,$A:$A,0)-1,O72)</f>
        <v>86.4</v>
      </c>
      <c r="Q72" s="144" t="s">
        <v>29</v>
      </c>
      <c r="R72" s="118">
        <f t="shared" ca="1" si="15"/>
        <v>235459</v>
      </c>
      <c r="S72" s="118">
        <f t="shared" ca="1" si="15"/>
        <v>20343657</v>
      </c>
      <c r="T72" s="118">
        <f ca="1">초급</f>
        <v>235459</v>
      </c>
      <c r="U72" s="118">
        <f t="shared" ca="1" si="16"/>
        <v>20343657</v>
      </c>
      <c r="V72" s="118"/>
      <c r="W72" s="118"/>
      <c r="X72" s="118"/>
      <c r="Y72" s="118"/>
      <c r="Z72" s="115"/>
    </row>
    <row r="73" spans="3:26" ht="18" customHeight="1">
      <c r="K73" s="171" t="s">
        <v>14</v>
      </c>
      <c r="L73" s="171"/>
      <c r="M73" s="171"/>
      <c r="N73" s="319" t="s">
        <v>42</v>
      </c>
      <c r="O73" s="174">
        <v>8</v>
      </c>
      <c r="P73" s="235">
        <f ca="1">OFFSET($A$1,MATCH(Z67,$A:$A,0)-1,O73)</f>
        <v>94.4</v>
      </c>
      <c r="Q73" s="322" t="s">
        <v>29</v>
      </c>
      <c r="R73" s="323">
        <f t="shared" ca="1" si="15"/>
        <v>250087</v>
      </c>
      <c r="S73" s="323">
        <f t="shared" ca="1" si="15"/>
        <v>23608212</v>
      </c>
      <c r="T73" s="323">
        <f ca="1">보조원</f>
        <v>250087</v>
      </c>
      <c r="U73" s="323">
        <f t="shared" ca="1" si="16"/>
        <v>23608212</v>
      </c>
      <c r="V73" s="323"/>
      <c r="W73" s="323"/>
      <c r="X73" s="323"/>
      <c r="Y73" s="323"/>
      <c r="Z73" s="324"/>
    </row>
    <row r="74" spans="3:26" ht="18" customHeight="1">
      <c r="K74" s="171" t="s">
        <v>14</v>
      </c>
      <c r="L74" s="171"/>
      <c r="M74" s="171"/>
      <c r="N74" s="139" t="s">
        <v>17</v>
      </c>
      <c r="O74" s="68"/>
      <c r="P74" s="69"/>
      <c r="Q74" s="70"/>
      <c r="R74" s="71"/>
      <c r="S74" s="71">
        <f ca="1">SUBTOTAL(9,S68:S73)</f>
        <v>96304672</v>
      </c>
      <c r="T74" s="71"/>
      <c r="U74" s="71">
        <f ca="1">SUBTOTAL(9,U68:U73)</f>
        <v>96304672</v>
      </c>
      <c r="V74" s="71"/>
      <c r="W74" s="71"/>
      <c r="X74" s="71"/>
      <c r="Y74" s="71"/>
      <c r="Z74" s="68"/>
    </row>
    <row r="75" spans="3:26" ht="18" customHeight="1">
      <c r="K75" s="171" t="s">
        <v>14</v>
      </c>
      <c r="L75" s="171"/>
      <c r="M75" s="171"/>
      <c r="N75" s="318" t="str">
        <f ca="1">"제 " &amp; Z75 &amp; " 호표  "&amp; OFFSET($A$1,MATCH(Z75,$A:$A,0)-1,1)</f>
        <v>제 4 호표  3.1 토지이용계획</v>
      </c>
      <c r="O75" s="221"/>
      <c r="P75" s="148"/>
      <c r="Q75" s="148"/>
      <c r="R75" s="149"/>
      <c r="S75" s="149"/>
      <c r="T75" s="149"/>
      <c r="U75" s="149"/>
      <c r="V75" s="149"/>
      <c r="W75" s="149"/>
      <c r="X75" s="149"/>
      <c r="Y75" s="149"/>
      <c r="Z75" s="325">
        <f>Z67+1</f>
        <v>4</v>
      </c>
    </row>
    <row r="76" spans="3:26" ht="18" customHeight="1">
      <c r="K76" s="171" t="s">
        <v>14</v>
      </c>
      <c r="L76" s="171"/>
      <c r="M76" s="171"/>
      <c r="N76" s="140" t="s">
        <v>43</v>
      </c>
      <c r="O76" s="172">
        <v>3</v>
      </c>
      <c r="P76" s="219">
        <f ca="1">OFFSET($A$1,MATCH(Z75,$A:$A,0)-1,O76)</f>
        <v>3</v>
      </c>
      <c r="Q76" s="141" t="s">
        <v>29</v>
      </c>
      <c r="R76" s="142">
        <f t="shared" ref="R76:S81" ca="1" si="17">T76</f>
        <v>467217</v>
      </c>
      <c r="S76" s="142">
        <f t="shared" ca="1" si="17"/>
        <v>1401651</v>
      </c>
      <c r="T76" s="142">
        <f ca="1">기술사</f>
        <v>467217</v>
      </c>
      <c r="U76" s="142">
        <f t="shared" ref="U76:U81" ca="1" si="18">ROUNDDOWN(P76*R76,0)</f>
        <v>1401651</v>
      </c>
      <c r="V76" s="142"/>
      <c r="W76" s="142"/>
      <c r="X76" s="142"/>
      <c r="Y76" s="142"/>
      <c r="Z76" s="114"/>
    </row>
    <row r="77" spans="3:26" ht="18" customHeight="1">
      <c r="K77" s="171" t="s">
        <v>14</v>
      </c>
      <c r="L77" s="171"/>
      <c r="M77" s="171"/>
      <c r="N77" s="143" t="s">
        <v>32</v>
      </c>
      <c r="O77" s="173">
        <v>4</v>
      </c>
      <c r="P77" s="234">
        <f ca="1">OFFSET($A$1,MATCH(Z75,$A:$A,0)-1,O77)</f>
        <v>4.9000000000000004</v>
      </c>
      <c r="Q77" s="144" t="s">
        <v>29</v>
      </c>
      <c r="R77" s="118">
        <f t="shared" ca="1" si="17"/>
        <v>373353</v>
      </c>
      <c r="S77" s="118">
        <f t="shared" ca="1" si="17"/>
        <v>1829429</v>
      </c>
      <c r="T77" s="118">
        <f ca="1">특급</f>
        <v>373353</v>
      </c>
      <c r="U77" s="118">
        <f t="shared" ca="1" si="18"/>
        <v>1829429</v>
      </c>
      <c r="V77" s="118"/>
      <c r="W77" s="118"/>
      <c r="X77" s="118"/>
      <c r="Y77" s="118"/>
      <c r="Z77" s="115"/>
    </row>
    <row r="78" spans="3:26" ht="18" customHeight="1">
      <c r="K78" s="171" t="s">
        <v>14</v>
      </c>
      <c r="L78" s="171"/>
      <c r="M78" s="171"/>
      <c r="N78" s="145" t="s">
        <v>39</v>
      </c>
      <c r="O78" s="173">
        <v>5</v>
      </c>
      <c r="P78" s="234">
        <f ca="1">OFFSET($A$1,MATCH(Z75,$A:$A,0)-1,O78)</f>
        <v>12</v>
      </c>
      <c r="Q78" s="144" t="s">
        <v>29</v>
      </c>
      <c r="R78" s="118">
        <f t="shared" ca="1" si="17"/>
        <v>310884</v>
      </c>
      <c r="S78" s="118">
        <f t="shared" ca="1" si="17"/>
        <v>3730608</v>
      </c>
      <c r="T78" s="118">
        <f ca="1">고급</f>
        <v>310884</v>
      </c>
      <c r="U78" s="118">
        <f t="shared" ca="1" si="18"/>
        <v>3730608</v>
      </c>
      <c r="V78" s="118"/>
      <c r="W78" s="118"/>
      <c r="X78" s="118"/>
      <c r="Y78" s="118"/>
      <c r="Z78" s="115"/>
    </row>
    <row r="79" spans="3:26" ht="18" customHeight="1">
      <c r="K79" s="171" t="s">
        <v>14</v>
      </c>
      <c r="L79" s="171"/>
      <c r="M79" s="171"/>
      <c r="N79" s="145" t="s">
        <v>40</v>
      </c>
      <c r="O79" s="173">
        <v>6</v>
      </c>
      <c r="P79" s="234">
        <f ca="1">OFFSET($A$1,MATCH(Z75,$A:$A,0)-1,O79)</f>
        <v>24.8</v>
      </c>
      <c r="Q79" s="144" t="s">
        <v>29</v>
      </c>
      <c r="R79" s="118">
        <f t="shared" ca="1" si="17"/>
        <v>295138</v>
      </c>
      <c r="S79" s="118">
        <f t="shared" ca="1" si="17"/>
        <v>7319422</v>
      </c>
      <c r="T79" s="118">
        <f ca="1">중급</f>
        <v>295138</v>
      </c>
      <c r="U79" s="118">
        <f t="shared" ca="1" si="18"/>
        <v>7319422</v>
      </c>
      <c r="V79" s="118"/>
      <c r="W79" s="118"/>
      <c r="X79" s="118"/>
      <c r="Y79" s="118"/>
      <c r="Z79" s="115"/>
    </row>
    <row r="80" spans="3:26" ht="18" customHeight="1">
      <c r="K80" s="171" t="s">
        <v>14</v>
      </c>
      <c r="L80" s="171"/>
      <c r="M80" s="171"/>
      <c r="N80" s="145" t="s">
        <v>41</v>
      </c>
      <c r="O80" s="173">
        <v>7</v>
      </c>
      <c r="P80" s="234">
        <f ca="1">OFFSET($A$1,MATCH(Z75,$A:$A,0)-1,O80)</f>
        <v>26.6</v>
      </c>
      <c r="Q80" s="144" t="s">
        <v>29</v>
      </c>
      <c r="R80" s="118">
        <f t="shared" ca="1" si="17"/>
        <v>235459</v>
      </c>
      <c r="S80" s="118">
        <f t="shared" ca="1" si="17"/>
        <v>6263209</v>
      </c>
      <c r="T80" s="118">
        <f ca="1">초급</f>
        <v>235459</v>
      </c>
      <c r="U80" s="118">
        <f t="shared" ca="1" si="18"/>
        <v>6263209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319" t="s">
        <v>42</v>
      </c>
      <c r="O81" s="174">
        <v>8</v>
      </c>
      <c r="P81" s="235">
        <f ca="1">OFFSET($A$1,MATCH(Z75,$A:$A,0)-1,O81)</f>
        <v>26.6</v>
      </c>
      <c r="Q81" s="322" t="s">
        <v>29</v>
      </c>
      <c r="R81" s="323">
        <f t="shared" ca="1" si="17"/>
        <v>250087</v>
      </c>
      <c r="S81" s="323">
        <f t="shared" ca="1" si="17"/>
        <v>6652314</v>
      </c>
      <c r="T81" s="323">
        <f ca="1">보조원</f>
        <v>250087</v>
      </c>
      <c r="U81" s="323">
        <f t="shared" ca="1" si="18"/>
        <v>6652314</v>
      </c>
      <c r="V81" s="323"/>
      <c r="W81" s="323"/>
      <c r="X81" s="323"/>
      <c r="Y81" s="323"/>
      <c r="Z81" s="324"/>
    </row>
    <row r="82" spans="11:26" ht="18" customHeight="1">
      <c r="K82" s="171" t="s">
        <v>14</v>
      </c>
      <c r="L82" s="171"/>
      <c r="M82" s="171"/>
      <c r="N82" s="139" t="s">
        <v>17</v>
      </c>
      <c r="O82" s="68"/>
      <c r="P82" s="69"/>
      <c r="Q82" s="70"/>
      <c r="R82" s="71"/>
      <c r="S82" s="71">
        <f ca="1">SUBTOTAL(9,S76:S81)</f>
        <v>27196633</v>
      </c>
      <c r="T82" s="71"/>
      <c r="U82" s="71">
        <f ca="1">SUBTOTAL(9,U76:U81)</f>
        <v>27196633</v>
      </c>
      <c r="V82" s="71"/>
      <c r="W82" s="71"/>
      <c r="X82" s="71"/>
      <c r="Y82" s="71"/>
      <c r="Z82" s="68"/>
    </row>
    <row r="83" spans="11:26" ht="18" customHeight="1">
      <c r="K83" s="171" t="s">
        <v>14</v>
      </c>
      <c r="L83" s="171"/>
      <c r="M83" s="171"/>
      <c r="N83" s="318" t="str">
        <f ca="1">"제 " &amp; Z83 &amp; " 호표  "&amp; OFFSET($A$1,MATCH(Z83,$A:$A,0)-1,1)</f>
        <v>제 5 호표  3.2 기반시설</v>
      </c>
      <c r="O83" s="221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325">
        <f>Z75+1</f>
        <v>5</v>
      </c>
    </row>
    <row r="84" spans="11:26" ht="18" customHeight="1">
      <c r="K84" s="171" t="s">
        <v>14</v>
      </c>
      <c r="L84" s="171"/>
      <c r="M84" s="171"/>
      <c r="N84" s="140" t="s">
        <v>43</v>
      </c>
      <c r="O84" s="172">
        <v>3</v>
      </c>
      <c r="P84" s="219">
        <f ca="1">OFFSET($A$1,MATCH(Z83,$A:$A,0)-1,O84)</f>
        <v>6.9</v>
      </c>
      <c r="Q84" s="141" t="s">
        <v>29</v>
      </c>
      <c r="R84" s="142">
        <f t="shared" ref="R84:S89" ca="1" si="19">T84</f>
        <v>467217</v>
      </c>
      <c r="S84" s="142">
        <f t="shared" ca="1" si="19"/>
        <v>3223797</v>
      </c>
      <c r="T84" s="142">
        <f ca="1">기술사</f>
        <v>467217</v>
      </c>
      <c r="U84" s="142">
        <f t="shared" ref="U84:U89" ca="1" si="20">ROUNDDOWN(P84*R84,0)</f>
        <v>3223797</v>
      </c>
      <c r="V84" s="142"/>
      <c r="W84" s="142"/>
      <c r="X84" s="142"/>
      <c r="Y84" s="142"/>
      <c r="Z84" s="114"/>
    </row>
    <row r="85" spans="11:26" ht="18" customHeight="1">
      <c r="K85" s="171" t="s">
        <v>14</v>
      </c>
      <c r="L85" s="171"/>
      <c r="M85" s="171"/>
      <c r="N85" s="143" t="s">
        <v>32</v>
      </c>
      <c r="O85" s="173">
        <v>4</v>
      </c>
      <c r="P85" s="234">
        <f ca="1">OFFSET($A$1,MATCH(Z83,$A:$A,0)-1,O85)</f>
        <v>11.1</v>
      </c>
      <c r="Q85" s="144" t="s">
        <v>29</v>
      </c>
      <c r="R85" s="118">
        <f t="shared" ca="1" si="19"/>
        <v>373353</v>
      </c>
      <c r="S85" s="118">
        <f t="shared" ca="1" si="19"/>
        <v>4144218</v>
      </c>
      <c r="T85" s="118">
        <f ca="1">특급</f>
        <v>373353</v>
      </c>
      <c r="U85" s="118">
        <f t="shared" ca="1" si="20"/>
        <v>4144218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145" t="s">
        <v>39</v>
      </c>
      <c r="O86" s="173">
        <v>5</v>
      </c>
      <c r="P86" s="234">
        <f ca="1">OFFSET($A$1,MATCH(Z83,$A:$A,0)-1,O86)</f>
        <v>29.5</v>
      </c>
      <c r="Q86" s="144" t="s">
        <v>29</v>
      </c>
      <c r="R86" s="118">
        <f t="shared" ca="1" si="19"/>
        <v>310884</v>
      </c>
      <c r="S86" s="118">
        <f t="shared" ca="1" si="19"/>
        <v>9171078</v>
      </c>
      <c r="T86" s="118">
        <f ca="1">고급</f>
        <v>310884</v>
      </c>
      <c r="U86" s="118">
        <f t="shared" ca="1" si="20"/>
        <v>9171078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40</v>
      </c>
      <c r="O87" s="173">
        <v>6</v>
      </c>
      <c r="P87" s="234">
        <f ca="1">OFFSET($A$1,MATCH(Z83,$A:$A,0)-1,O87)</f>
        <v>60</v>
      </c>
      <c r="Q87" s="144" t="s">
        <v>29</v>
      </c>
      <c r="R87" s="118">
        <f t="shared" ca="1" si="19"/>
        <v>295138</v>
      </c>
      <c r="S87" s="118">
        <f t="shared" ca="1" si="19"/>
        <v>17708280</v>
      </c>
      <c r="T87" s="118">
        <f ca="1">중급</f>
        <v>295138</v>
      </c>
      <c r="U87" s="118">
        <f t="shared" ca="1" si="20"/>
        <v>17708280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41</v>
      </c>
      <c r="O88" s="173">
        <v>7</v>
      </c>
      <c r="P88" s="234">
        <f ca="1">OFFSET($A$1,MATCH(Z83,$A:$A,0)-1,O88)</f>
        <v>64.2</v>
      </c>
      <c r="Q88" s="144" t="s">
        <v>29</v>
      </c>
      <c r="R88" s="118">
        <f t="shared" ca="1" si="19"/>
        <v>235459</v>
      </c>
      <c r="S88" s="118">
        <f t="shared" ca="1" si="19"/>
        <v>15116467</v>
      </c>
      <c r="T88" s="118">
        <f ca="1">초급</f>
        <v>235459</v>
      </c>
      <c r="U88" s="118">
        <f t="shared" ca="1" si="20"/>
        <v>15116467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319" t="s">
        <v>42</v>
      </c>
      <c r="O89" s="174">
        <v>8</v>
      </c>
      <c r="P89" s="235">
        <f ca="1">OFFSET($A$1,MATCH(Z83,$A:$A,0)-1,O89)</f>
        <v>62.9</v>
      </c>
      <c r="Q89" s="322" t="s">
        <v>29</v>
      </c>
      <c r="R89" s="323">
        <f t="shared" ca="1" si="19"/>
        <v>250087</v>
      </c>
      <c r="S89" s="323">
        <f t="shared" ca="1" si="19"/>
        <v>15730472</v>
      </c>
      <c r="T89" s="323">
        <f ca="1">보조원</f>
        <v>250087</v>
      </c>
      <c r="U89" s="323">
        <f t="shared" ca="1" si="20"/>
        <v>15730472</v>
      </c>
      <c r="V89" s="323"/>
      <c r="W89" s="323"/>
      <c r="X89" s="323"/>
      <c r="Y89" s="323"/>
      <c r="Z89" s="324"/>
    </row>
    <row r="90" spans="11:26" ht="18" customHeight="1">
      <c r="K90" s="171" t="s">
        <v>14</v>
      </c>
      <c r="L90" s="171"/>
      <c r="M90" s="171"/>
      <c r="N90" s="139" t="s">
        <v>17</v>
      </c>
      <c r="O90" s="68"/>
      <c r="P90" s="69"/>
      <c r="Q90" s="70"/>
      <c r="R90" s="71"/>
      <c r="S90" s="71">
        <f ca="1">SUBTOTAL(9,S84:S89)</f>
        <v>65094312</v>
      </c>
      <c r="T90" s="71"/>
      <c r="U90" s="71">
        <f ca="1">SUBTOTAL(9,U84:U89)</f>
        <v>65094312</v>
      </c>
      <c r="V90" s="71"/>
      <c r="W90" s="71"/>
      <c r="X90" s="71"/>
      <c r="Y90" s="71"/>
      <c r="Z90" s="68"/>
    </row>
    <row r="91" spans="11:26" ht="18" customHeight="1">
      <c r="K91" s="171" t="s">
        <v>14</v>
      </c>
      <c r="L91" s="171"/>
      <c r="M91" s="171"/>
      <c r="N91" s="318" t="str">
        <f ca="1">"제 " &amp; Z91 &amp; " 호표  "&amp; OFFSET($A$1,MATCH(Z91,$A:$A,0)-1,1)</f>
        <v>제 6 호표  3.3 도심 및 주거환경</v>
      </c>
      <c r="O91" s="221"/>
      <c r="P91" s="148"/>
      <c r="Q91" s="148"/>
      <c r="R91" s="149"/>
      <c r="S91" s="149"/>
      <c r="T91" s="149"/>
      <c r="U91" s="149"/>
      <c r="V91" s="149"/>
      <c r="W91" s="149"/>
      <c r="X91" s="149"/>
      <c r="Y91" s="149"/>
      <c r="Z91" s="325">
        <f>Z83+1</f>
        <v>6</v>
      </c>
    </row>
    <row r="92" spans="11:26" ht="18" customHeight="1">
      <c r="K92" s="171" t="s">
        <v>14</v>
      </c>
      <c r="L92" s="171"/>
      <c r="M92" s="171"/>
      <c r="N92" s="140" t="s">
        <v>43</v>
      </c>
      <c r="O92" s="172">
        <v>3</v>
      </c>
      <c r="P92" s="219">
        <f ca="1">OFFSET($A$1,MATCH(Z91,$A:$A,0)-1,O92)</f>
        <v>3.3</v>
      </c>
      <c r="Q92" s="141" t="s">
        <v>29</v>
      </c>
      <c r="R92" s="142">
        <f t="shared" ref="R92:S97" ca="1" si="21">T92</f>
        <v>467217</v>
      </c>
      <c r="S92" s="142">
        <f t="shared" ca="1" si="21"/>
        <v>1541816</v>
      </c>
      <c r="T92" s="142">
        <f ca="1">기술사</f>
        <v>467217</v>
      </c>
      <c r="U92" s="142">
        <f t="shared" ref="U92:U97" ca="1" si="22">ROUNDDOWN(P92*R92,0)</f>
        <v>1541816</v>
      </c>
      <c r="V92" s="142"/>
      <c r="W92" s="142"/>
      <c r="X92" s="142"/>
      <c r="Y92" s="142"/>
      <c r="Z92" s="114"/>
    </row>
    <row r="93" spans="11:26" ht="18" customHeight="1">
      <c r="K93" s="171" t="s">
        <v>14</v>
      </c>
      <c r="L93" s="171"/>
      <c r="M93" s="171"/>
      <c r="N93" s="143" t="s">
        <v>32</v>
      </c>
      <c r="O93" s="173">
        <v>4</v>
      </c>
      <c r="P93" s="234">
        <f ca="1">OFFSET($A$1,MATCH(Z91,$A:$A,0)-1,O93)</f>
        <v>5.3</v>
      </c>
      <c r="Q93" s="144" t="s">
        <v>29</v>
      </c>
      <c r="R93" s="118">
        <f t="shared" ca="1" si="21"/>
        <v>373353</v>
      </c>
      <c r="S93" s="118">
        <f t="shared" ca="1" si="21"/>
        <v>1978770</v>
      </c>
      <c r="T93" s="118">
        <f ca="1">특급</f>
        <v>373353</v>
      </c>
      <c r="U93" s="118">
        <f t="shared" ca="1" si="22"/>
        <v>1978770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145" t="s">
        <v>39</v>
      </c>
      <c r="O94" s="173">
        <v>5</v>
      </c>
      <c r="P94" s="234">
        <f ca="1">OFFSET($A$1,MATCH(Z91,$A:$A,0)-1,O94)</f>
        <v>13.1</v>
      </c>
      <c r="Q94" s="144" t="s">
        <v>29</v>
      </c>
      <c r="R94" s="118">
        <f t="shared" ca="1" si="21"/>
        <v>310884</v>
      </c>
      <c r="S94" s="118">
        <f t="shared" ca="1" si="21"/>
        <v>4072580</v>
      </c>
      <c r="T94" s="118">
        <f ca="1">고급</f>
        <v>310884</v>
      </c>
      <c r="U94" s="118">
        <f t="shared" ca="1" si="22"/>
        <v>4072580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40</v>
      </c>
      <c r="O95" s="173">
        <v>6</v>
      </c>
      <c r="P95" s="234">
        <f ca="1">OFFSET($A$1,MATCH(Z91,$A:$A,0)-1,O95)</f>
        <v>28.7</v>
      </c>
      <c r="Q95" s="144" t="s">
        <v>29</v>
      </c>
      <c r="R95" s="118">
        <f t="shared" ca="1" si="21"/>
        <v>295138</v>
      </c>
      <c r="S95" s="118">
        <f t="shared" ca="1" si="21"/>
        <v>8470460</v>
      </c>
      <c r="T95" s="118">
        <f ca="1">중급</f>
        <v>295138</v>
      </c>
      <c r="U95" s="118">
        <f t="shared" ca="1" si="22"/>
        <v>8470460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41</v>
      </c>
      <c r="O96" s="173">
        <v>7</v>
      </c>
      <c r="P96" s="234">
        <f ca="1">OFFSET($A$1,MATCH(Z91,$A:$A,0)-1,O96)</f>
        <v>31</v>
      </c>
      <c r="Q96" s="144" t="s">
        <v>29</v>
      </c>
      <c r="R96" s="118">
        <f t="shared" ca="1" si="21"/>
        <v>235459</v>
      </c>
      <c r="S96" s="118">
        <f t="shared" ca="1" si="21"/>
        <v>7299229</v>
      </c>
      <c r="T96" s="118">
        <f ca="1">초급</f>
        <v>235459</v>
      </c>
      <c r="U96" s="118">
        <f t="shared" ca="1" si="22"/>
        <v>7299229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319" t="s">
        <v>42</v>
      </c>
      <c r="O97" s="174">
        <v>8</v>
      </c>
      <c r="P97" s="235">
        <f ca="1">OFFSET($A$1,MATCH(Z91,$A:$A,0)-1,O97)</f>
        <v>31.9</v>
      </c>
      <c r="Q97" s="322" t="s">
        <v>29</v>
      </c>
      <c r="R97" s="323">
        <f t="shared" ca="1" si="21"/>
        <v>250087</v>
      </c>
      <c r="S97" s="323">
        <f t="shared" ca="1" si="21"/>
        <v>7977775</v>
      </c>
      <c r="T97" s="323">
        <f ca="1">보조원</f>
        <v>250087</v>
      </c>
      <c r="U97" s="323">
        <f t="shared" ca="1" si="22"/>
        <v>7977775</v>
      </c>
      <c r="V97" s="323"/>
      <c r="W97" s="323"/>
      <c r="X97" s="323"/>
      <c r="Y97" s="323"/>
      <c r="Z97" s="324"/>
    </row>
    <row r="98" spans="11:26" ht="18" customHeight="1">
      <c r="K98" s="171" t="s">
        <v>14</v>
      </c>
      <c r="L98" s="171"/>
      <c r="M98" s="171"/>
      <c r="N98" s="139" t="s">
        <v>17</v>
      </c>
      <c r="O98" s="68"/>
      <c r="P98" s="69"/>
      <c r="Q98" s="70"/>
      <c r="R98" s="71"/>
      <c r="S98" s="71">
        <f ca="1">SUBTOTAL(9,S92:S97)</f>
        <v>31340630</v>
      </c>
      <c r="T98" s="71"/>
      <c r="U98" s="71">
        <f ca="1">SUBTOTAL(9,U92:U97)</f>
        <v>31340630</v>
      </c>
      <c r="V98" s="71"/>
      <c r="W98" s="71"/>
      <c r="X98" s="71"/>
      <c r="Y98" s="71"/>
      <c r="Z98" s="68"/>
    </row>
    <row r="99" spans="11:26" ht="18" customHeight="1">
      <c r="K99" s="171" t="s">
        <v>14</v>
      </c>
      <c r="L99" s="171"/>
      <c r="M99" s="171"/>
      <c r="N99" s="318" t="str">
        <f ca="1">"제 " &amp; Z99 &amp; " 호표  "&amp; OFFSET($A$1,MATCH(Z99,$A:$A,0)-1,1)</f>
        <v>제 7 호표  3.4 환경의 보전과 관리</v>
      </c>
      <c r="O99" s="221"/>
      <c r="P99" s="148"/>
      <c r="Q99" s="148"/>
      <c r="R99" s="149"/>
      <c r="S99" s="149"/>
      <c r="T99" s="149"/>
      <c r="U99" s="149"/>
      <c r="V99" s="149"/>
      <c r="W99" s="149"/>
      <c r="X99" s="149"/>
      <c r="Y99" s="149"/>
      <c r="Z99" s="325">
        <f>Z91+1</f>
        <v>7</v>
      </c>
    </row>
    <row r="100" spans="11:26" ht="18" customHeight="1">
      <c r="K100" s="171" t="s">
        <v>14</v>
      </c>
      <c r="L100" s="171"/>
      <c r="M100" s="171"/>
      <c r="N100" s="140" t="s">
        <v>43</v>
      </c>
      <c r="O100" s="172">
        <v>3</v>
      </c>
      <c r="P100" s="219">
        <f ca="1">OFFSET($A$1,MATCH(Z99,$A:$A,0)-1,O100)</f>
        <v>1.7</v>
      </c>
      <c r="Q100" s="141" t="s">
        <v>29</v>
      </c>
      <c r="R100" s="142">
        <f t="shared" ref="R100:S105" ca="1" si="23">T100</f>
        <v>467217</v>
      </c>
      <c r="S100" s="142">
        <f t="shared" ca="1" si="23"/>
        <v>794268</v>
      </c>
      <c r="T100" s="142">
        <f ca="1">기술사</f>
        <v>467217</v>
      </c>
      <c r="U100" s="142">
        <f t="shared" ref="U100:U105" ca="1" si="24">ROUNDDOWN(P100*R100,0)</f>
        <v>794268</v>
      </c>
      <c r="V100" s="142"/>
      <c r="W100" s="142"/>
      <c r="X100" s="142"/>
      <c r="Y100" s="142"/>
      <c r="Z100" s="114"/>
    </row>
    <row r="101" spans="11:26" ht="18" customHeight="1">
      <c r="K101" s="171" t="s">
        <v>14</v>
      </c>
      <c r="L101" s="171"/>
      <c r="M101" s="171"/>
      <c r="N101" s="143" t="s">
        <v>32</v>
      </c>
      <c r="O101" s="173">
        <v>4</v>
      </c>
      <c r="P101" s="234">
        <f ca="1">OFFSET($A$1,MATCH(Z99,$A:$A,0)-1,O101)</f>
        <v>2.7</v>
      </c>
      <c r="Q101" s="144" t="s">
        <v>29</v>
      </c>
      <c r="R101" s="118">
        <f t="shared" ca="1" si="23"/>
        <v>373353</v>
      </c>
      <c r="S101" s="118">
        <f t="shared" ca="1" si="23"/>
        <v>1008053</v>
      </c>
      <c r="T101" s="118">
        <f ca="1">특급</f>
        <v>373353</v>
      </c>
      <c r="U101" s="118">
        <f t="shared" ca="1" si="24"/>
        <v>1008053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145" t="s">
        <v>39</v>
      </c>
      <c r="O102" s="173">
        <v>5</v>
      </c>
      <c r="P102" s="234">
        <f ca="1">OFFSET($A$1,MATCH(Z99,$A:$A,0)-1,O102)</f>
        <v>7.1</v>
      </c>
      <c r="Q102" s="144" t="s">
        <v>29</v>
      </c>
      <c r="R102" s="118">
        <f t="shared" ca="1" si="23"/>
        <v>310884</v>
      </c>
      <c r="S102" s="118">
        <f t="shared" ca="1" si="23"/>
        <v>2207276</v>
      </c>
      <c r="T102" s="118">
        <f ca="1">고급</f>
        <v>310884</v>
      </c>
      <c r="U102" s="118">
        <f t="shared" ca="1" si="24"/>
        <v>2207276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40</v>
      </c>
      <c r="O103" s="173">
        <v>6</v>
      </c>
      <c r="P103" s="234">
        <f ca="1">OFFSET($A$1,MATCH(Z99,$A:$A,0)-1,O103)</f>
        <v>14.6</v>
      </c>
      <c r="Q103" s="144" t="s">
        <v>29</v>
      </c>
      <c r="R103" s="118">
        <f t="shared" ca="1" si="23"/>
        <v>295138</v>
      </c>
      <c r="S103" s="118">
        <f t="shared" ca="1" si="23"/>
        <v>4309014</v>
      </c>
      <c r="T103" s="118">
        <f ca="1">중급</f>
        <v>295138</v>
      </c>
      <c r="U103" s="118">
        <f t="shared" ca="1" si="24"/>
        <v>4309014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41</v>
      </c>
      <c r="O104" s="173">
        <v>7</v>
      </c>
      <c r="P104" s="234">
        <f ca="1">OFFSET($A$1,MATCH(Z99,$A:$A,0)-1,O104)</f>
        <v>15.5</v>
      </c>
      <c r="Q104" s="144" t="s">
        <v>29</v>
      </c>
      <c r="R104" s="118">
        <f t="shared" ca="1" si="23"/>
        <v>235459</v>
      </c>
      <c r="S104" s="118">
        <f t="shared" ca="1" si="23"/>
        <v>3649614</v>
      </c>
      <c r="T104" s="118">
        <f ca="1">초급</f>
        <v>235459</v>
      </c>
      <c r="U104" s="118">
        <f t="shared" ca="1" si="24"/>
        <v>3649614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319" t="s">
        <v>42</v>
      </c>
      <c r="O105" s="174">
        <v>8</v>
      </c>
      <c r="P105" s="235">
        <f ca="1">OFFSET($A$1,MATCH(Z99,$A:$A,0)-1,O105)</f>
        <v>17.600000000000001</v>
      </c>
      <c r="Q105" s="322" t="s">
        <v>29</v>
      </c>
      <c r="R105" s="323">
        <f t="shared" ca="1" si="23"/>
        <v>250087</v>
      </c>
      <c r="S105" s="323">
        <f t="shared" ca="1" si="23"/>
        <v>4401531</v>
      </c>
      <c r="T105" s="323">
        <f ca="1">보조원</f>
        <v>250087</v>
      </c>
      <c r="U105" s="323">
        <f t="shared" ca="1" si="24"/>
        <v>4401531</v>
      </c>
      <c r="V105" s="323"/>
      <c r="W105" s="323"/>
      <c r="X105" s="323"/>
      <c r="Y105" s="323"/>
      <c r="Z105" s="324"/>
    </row>
    <row r="106" spans="11:26" ht="18" customHeight="1">
      <c r="K106" s="171" t="s">
        <v>14</v>
      </c>
      <c r="L106" s="171"/>
      <c r="M106" s="171"/>
      <c r="N106" s="139" t="s">
        <v>17</v>
      </c>
      <c r="O106" s="68"/>
      <c r="P106" s="69"/>
      <c r="Q106" s="70"/>
      <c r="R106" s="71"/>
      <c r="S106" s="71">
        <f ca="1">SUBTOTAL(9,S100:S105)</f>
        <v>16369756</v>
      </c>
      <c r="T106" s="71"/>
      <c r="U106" s="71">
        <f ca="1">SUBTOTAL(9,U100:U105)</f>
        <v>16369756</v>
      </c>
      <c r="V106" s="71"/>
      <c r="W106" s="71"/>
      <c r="X106" s="71"/>
      <c r="Y106" s="71"/>
      <c r="Z106" s="68"/>
    </row>
    <row r="107" spans="11:26" ht="18" customHeight="1">
      <c r="K107" s="171" t="s">
        <v>14</v>
      </c>
      <c r="L107" s="171"/>
      <c r="M107" s="171"/>
      <c r="N107" s="318" t="str">
        <f ca="1">"제 " &amp; Z107 &amp; " 호표  "&amp; OFFSET($A$1,MATCH(Z107,$A:$A,0)-1,1)</f>
        <v>제 8 호표  3.5 경관 및 미관</v>
      </c>
      <c r="O107" s="221"/>
      <c r="P107" s="148"/>
      <c r="Q107" s="148"/>
      <c r="R107" s="149"/>
      <c r="S107" s="149"/>
      <c r="T107" s="149"/>
      <c r="U107" s="149"/>
      <c r="V107" s="149"/>
      <c r="W107" s="149"/>
      <c r="X107" s="149"/>
      <c r="Y107" s="149"/>
      <c r="Z107" s="325">
        <f>Z99+1</f>
        <v>8</v>
      </c>
    </row>
    <row r="108" spans="11:26" ht="18" customHeight="1">
      <c r="K108" s="171" t="s">
        <v>14</v>
      </c>
      <c r="L108" s="171"/>
      <c r="M108" s="171"/>
      <c r="N108" s="140" t="s">
        <v>43</v>
      </c>
      <c r="O108" s="172">
        <v>3</v>
      </c>
      <c r="P108" s="219">
        <f ca="1">OFFSET($A$1,MATCH(Z107,$A:$A,0)-1,O108)</f>
        <v>1.7</v>
      </c>
      <c r="Q108" s="141" t="s">
        <v>29</v>
      </c>
      <c r="R108" s="142">
        <f t="shared" ref="R108:S113" ca="1" si="25">T108</f>
        <v>467217</v>
      </c>
      <c r="S108" s="142">
        <f t="shared" ca="1" si="25"/>
        <v>794268</v>
      </c>
      <c r="T108" s="142">
        <f ca="1">기술사</f>
        <v>467217</v>
      </c>
      <c r="U108" s="142">
        <f t="shared" ref="U108:U113" ca="1" si="26">ROUNDDOWN(P108*R108,0)</f>
        <v>794268</v>
      </c>
      <c r="V108" s="142"/>
      <c r="W108" s="142"/>
      <c r="X108" s="142"/>
      <c r="Y108" s="142"/>
      <c r="Z108" s="114"/>
    </row>
    <row r="109" spans="11:26" ht="18" customHeight="1">
      <c r="K109" s="171" t="s">
        <v>14</v>
      </c>
      <c r="L109" s="171"/>
      <c r="M109" s="171"/>
      <c r="N109" s="143" t="s">
        <v>32</v>
      </c>
      <c r="O109" s="173">
        <v>4</v>
      </c>
      <c r="P109" s="234">
        <f ca="1">OFFSET($A$1,MATCH(Z107,$A:$A,0)-1,O109)</f>
        <v>2.7</v>
      </c>
      <c r="Q109" s="144" t="s">
        <v>29</v>
      </c>
      <c r="R109" s="118">
        <f t="shared" ca="1" si="25"/>
        <v>373353</v>
      </c>
      <c r="S109" s="118">
        <f t="shared" ca="1" si="25"/>
        <v>1008053</v>
      </c>
      <c r="T109" s="118">
        <f ca="1">특급</f>
        <v>373353</v>
      </c>
      <c r="U109" s="118">
        <f t="shared" ca="1" si="26"/>
        <v>1008053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39</v>
      </c>
      <c r="O110" s="173">
        <v>5</v>
      </c>
      <c r="P110" s="234">
        <f ca="1">OFFSET($A$1,MATCH(Z107,$A:$A,0)-1,O110)</f>
        <v>7.1</v>
      </c>
      <c r="Q110" s="144" t="s">
        <v>29</v>
      </c>
      <c r="R110" s="118">
        <f t="shared" ca="1" si="25"/>
        <v>310884</v>
      </c>
      <c r="S110" s="118">
        <f t="shared" ca="1" si="25"/>
        <v>2207276</v>
      </c>
      <c r="T110" s="118">
        <f ca="1">고급</f>
        <v>310884</v>
      </c>
      <c r="U110" s="118">
        <f t="shared" ca="1" si="26"/>
        <v>2207276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40</v>
      </c>
      <c r="O111" s="173">
        <v>6</v>
      </c>
      <c r="P111" s="234">
        <f ca="1">OFFSET($A$1,MATCH(Z107,$A:$A,0)-1,O111)</f>
        <v>14.5</v>
      </c>
      <c r="Q111" s="144" t="s">
        <v>29</v>
      </c>
      <c r="R111" s="118">
        <f t="shared" ca="1" si="25"/>
        <v>295138</v>
      </c>
      <c r="S111" s="118">
        <f t="shared" ca="1" si="25"/>
        <v>4279501</v>
      </c>
      <c r="T111" s="118">
        <f ca="1">중급</f>
        <v>295138</v>
      </c>
      <c r="U111" s="118">
        <f t="shared" ca="1" si="26"/>
        <v>4279501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41</v>
      </c>
      <c r="O112" s="173">
        <v>7</v>
      </c>
      <c r="P112" s="234">
        <f ca="1">OFFSET($A$1,MATCH(Z107,$A:$A,0)-1,O112)</f>
        <v>15.5</v>
      </c>
      <c r="Q112" s="144" t="s">
        <v>29</v>
      </c>
      <c r="R112" s="118">
        <f t="shared" ca="1" si="25"/>
        <v>235459</v>
      </c>
      <c r="S112" s="118">
        <f t="shared" ca="1" si="25"/>
        <v>3649614</v>
      </c>
      <c r="T112" s="118">
        <f ca="1">초급</f>
        <v>235459</v>
      </c>
      <c r="U112" s="118">
        <f t="shared" ca="1" si="26"/>
        <v>3649614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319" t="s">
        <v>42</v>
      </c>
      <c r="O113" s="174">
        <v>8</v>
      </c>
      <c r="P113" s="235">
        <f ca="1">OFFSET($A$1,MATCH(Z107,$A:$A,0)-1,O113)</f>
        <v>17.5</v>
      </c>
      <c r="Q113" s="322" t="s">
        <v>29</v>
      </c>
      <c r="R113" s="323">
        <f t="shared" ca="1" si="25"/>
        <v>250087</v>
      </c>
      <c r="S113" s="323">
        <f t="shared" ca="1" si="25"/>
        <v>4376522</v>
      </c>
      <c r="T113" s="323">
        <f ca="1">보조원</f>
        <v>250087</v>
      </c>
      <c r="U113" s="323">
        <f t="shared" ca="1" si="26"/>
        <v>4376522</v>
      </c>
      <c r="V113" s="323"/>
      <c r="W113" s="323"/>
      <c r="X113" s="323"/>
      <c r="Y113" s="323"/>
      <c r="Z113" s="324"/>
    </row>
    <row r="114" spans="11:26" ht="18" customHeight="1">
      <c r="K114" s="171" t="s">
        <v>14</v>
      </c>
      <c r="L114" s="171"/>
      <c r="M114" s="171"/>
      <c r="N114" s="139" t="s">
        <v>17</v>
      </c>
      <c r="O114" s="68"/>
      <c r="P114" s="69"/>
      <c r="Q114" s="70"/>
      <c r="R114" s="71"/>
      <c r="S114" s="71">
        <f ca="1">SUBTOTAL(9,S108:S113)</f>
        <v>16315234</v>
      </c>
      <c r="T114" s="71"/>
      <c r="U114" s="71">
        <f ca="1">SUBTOTAL(9,U108:U113)</f>
        <v>16315234</v>
      </c>
      <c r="V114" s="71"/>
      <c r="W114" s="71"/>
      <c r="X114" s="71"/>
      <c r="Y114" s="71"/>
      <c r="Z114" s="68"/>
    </row>
    <row r="115" spans="11:26" ht="18" customHeight="1">
      <c r="K115" s="171" t="s">
        <v>14</v>
      </c>
      <c r="L115" s="171"/>
      <c r="M115" s="171"/>
      <c r="N115" s="318" t="str">
        <f ca="1">"제 " &amp; Z115 &amp; " 호표  "&amp; OFFSET($A$1,MATCH(Z115,$A:$A,0)-1,1)</f>
        <v>제 9 호표  3.6 공원·녹지</v>
      </c>
      <c r="O115" s="221"/>
      <c r="P115" s="148"/>
      <c r="Q115" s="148"/>
      <c r="R115" s="149"/>
      <c r="S115" s="149"/>
      <c r="T115" s="149"/>
      <c r="U115" s="149"/>
      <c r="V115" s="149"/>
      <c r="W115" s="149"/>
      <c r="X115" s="149"/>
      <c r="Y115" s="149"/>
      <c r="Z115" s="325">
        <f>Z107+1</f>
        <v>9</v>
      </c>
    </row>
    <row r="116" spans="11:26" ht="18" customHeight="1">
      <c r="K116" s="171" t="s">
        <v>14</v>
      </c>
      <c r="L116" s="171"/>
      <c r="M116" s="171"/>
      <c r="N116" s="140" t="s">
        <v>43</v>
      </c>
      <c r="O116" s="172">
        <v>3</v>
      </c>
      <c r="P116" s="219">
        <f ca="1">OFFSET($A$1,MATCH(Z115,$A:$A,0)-1,O116)</f>
        <v>1.7</v>
      </c>
      <c r="Q116" s="141" t="s">
        <v>29</v>
      </c>
      <c r="R116" s="142">
        <f t="shared" ref="R116:S121" ca="1" si="27">T116</f>
        <v>467217</v>
      </c>
      <c r="S116" s="142">
        <f t="shared" ca="1" si="27"/>
        <v>794268</v>
      </c>
      <c r="T116" s="142">
        <f ca="1">기술사</f>
        <v>467217</v>
      </c>
      <c r="U116" s="142">
        <f t="shared" ref="U116:U121" ca="1" si="28">ROUNDDOWN(P116*R116,0)</f>
        <v>794268</v>
      </c>
      <c r="V116" s="142"/>
      <c r="W116" s="142"/>
      <c r="X116" s="142"/>
      <c r="Y116" s="142"/>
      <c r="Z116" s="114"/>
    </row>
    <row r="117" spans="11:26" ht="18" customHeight="1">
      <c r="K117" s="171" t="s">
        <v>14</v>
      </c>
      <c r="L117" s="171"/>
      <c r="M117" s="171"/>
      <c r="N117" s="143" t="s">
        <v>32</v>
      </c>
      <c r="O117" s="173">
        <v>4</v>
      </c>
      <c r="P117" s="234">
        <f ca="1">OFFSET($A$1,MATCH(Z115,$A:$A,0)-1,O117)</f>
        <v>2.7</v>
      </c>
      <c r="Q117" s="144" t="s">
        <v>29</v>
      </c>
      <c r="R117" s="118">
        <f t="shared" ca="1" si="27"/>
        <v>373353</v>
      </c>
      <c r="S117" s="118">
        <f t="shared" ca="1" si="27"/>
        <v>1008053</v>
      </c>
      <c r="T117" s="118">
        <f ca="1">특급</f>
        <v>373353</v>
      </c>
      <c r="U117" s="118">
        <f t="shared" ca="1" si="28"/>
        <v>1008053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39</v>
      </c>
      <c r="O118" s="173">
        <v>5</v>
      </c>
      <c r="P118" s="234">
        <f ca="1">OFFSET($A$1,MATCH(Z115,$A:$A,0)-1,O118)</f>
        <v>7.1</v>
      </c>
      <c r="Q118" s="144" t="s">
        <v>29</v>
      </c>
      <c r="R118" s="118">
        <f t="shared" ca="1" si="27"/>
        <v>310884</v>
      </c>
      <c r="S118" s="118">
        <f t="shared" ca="1" si="27"/>
        <v>2207276</v>
      </c>
      <c r="T118" s="118">
        <f ca="1">고급</f>
        <v>310884</v>
      </c>
      <c r="U118" s="118">
        <f t="shared" ca="1" si="28"/>
        <v>2207276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40</v>
      </c>
      <c r="O119" s="173">
        <v>6</v>
      </c>
      <c r="P119" s="234">
        <f ca="1">OFFSET($A$1,MATCH(Z115,$A:$A,0)-1,O119)</f>
        <v>14.6</v>
      </c>
      <c r="Q119" s="144" t="s">
        <v>29</v>
      </c>
      <c r="R119" s="118">
        <f t="shared" ca="1" si="27"/>
        <v>295138</v>
      </c>
      <c r="S119" s="118">
        <f t="shared" ca="1" si="27"/>
        <v>4309014</v>
      </c>
      <c r="T119" s="118">
        <f ca="1">중급</f>
        <v>295138</v>
      </c>
      <c r="U119" s="118">
        <f t="shared" ca="1" si="28"/>
        <v>4309014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41</v>
      </c>
      <c r="O120" s="173">
        <v>7</v>
      </c>
      <c r="P120" s="234">
        <f ca="1">OFFSET($A$1,MATCH(Z115,$A:$A,0)-1,O120)</f>
        <v>15.5</v>
      </c>
      <c r="Q120" s="144" t="s">
        <v>29</v>
      </c>
      <c r="R120" s="118">
        <f t="shared" ca="1" si="27"/>
        <v>235459</v>
      </c>
      <c r="S120" s="118">
        <f t="shared" ca="1" si="27"/>
        <v>3649614</v>
      </c>
      <c r="T120" s="118">
        <f ca="1">초급</f>
        <v>235459</v>
      </c>
      <c r="U120" s="118">
        <f t="shared" ca="1" si="28"/>
        <v>3649614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319" t="s">
        <v>42</v>
      </c>
      <c r="O121" s="174">
        <v>8</v>
      </c>
      <c r="P121" s="235">
        <f ca="1">OFFSET($A$1,MATCH(Z115,$A:$A,0)-1,O121)</f>
        <v>17.600000000000001</v>
      </c>
      <c r="Q121" s="322" t="s">
        <v>29</v>
      </c>
      <c r="R121" s="323">
        <f t="shared" ca="1" si="27"/>
        <v>250087</v>
      </c>
      <c r="S121" s="323">
        <f t="shared" ca="1" si="27"/>
        <v>4401531</v>
      </c>
      <c r="T121" s="323">
        <f ca="1">보조원</f>
        <v>250087</v>
      </c>
      <c r="U121" s="323">
        <f t="shared" ca="1" si="28"/>
        <v>4401531</v>
      </c>
      <c r="V121" s="323"/>
      <c r="W121" s="323"/>
      <c r="X121" s="323"/>
      <c r="Y121" s="323"/>
      <c r="Z121" s="324"/>
    </row>
    <row r="122" spans="11:26" ht="18" customHeight="1">
      <c r="K122" s="171" t="s">
        <v>14</v>
      </c>
      <c r="L122" s="171"/>
      <c r="M122" s="171"/>
      <c r="N122" s="139" t="s">
        <v>17</v>
      </c>
      <c r="O122" s="68"/>
      <c r="P122" s="69"/>
      <c r="Q122" s="70"/>
      <c r="R122" s="71"/>
      <c r="S122" s="71">
        <f ca="1">SUBTOTAL(9,S116:S121)</f>
        <v>16369756</v>
      </c>
      <c r="T122" s="71"/>
      <c r="U122" s="71">
        <f ca="1">SUBTOTAL(9,U116:U121)</f>
        <v>16369756</v>
      </c>
      <c r="V122" s="71"/>
      <c r="W122" s="71"/>
      <c r="X122" s="71"/>
      <c r="Y122" s="71"/>
      <c r="Z122" s="68"/>
    </row>
    <row r="123" spans="11:26" ht="18" customHeight="1">
      <c r="K123" s="171" t="s">
        <v>14</v>
      </c>
      <c r="L123" s="171"/>
      <c r="M123" s="171"/>
      <c r="N123" s="318" t="str">
        <f ca="1">"제 " &amp; Z123 &amp; " 호표  "&amp; OFFSET($A$1,MATCH(Z123,$A:$A,0)-1,1)</f>
        <v>제 10 호표  3.7 방재·방범 및 안전</v>
      </c>
      <c r="O123" s="221"/>
      <c r="P123" s="148"/>
      <c r="Q123" s="148"/>
      <c r="R123" s="149"/>
      <c r="S123" s="149"/>
      <c r="T123" s="149"/>
      <c r="U123" s="149"/>
      <c r="V123" s="149"/>
      <c r="W123" s="149"/>
      <c r="X123" s="149"/>
      <c r="Y123" s="149"/>
      <c r="Z123" s="325">
        <f>Z115+1</f>
        <v>10</v>
      </c>
    </row>
    <row r="124" spans="11:26" ht="18" customHeight="1">
      <c r="K124" s="171" t="s">
        <v>14</v>
      </c>
      <c r="L124" s="171"/>
      <c r="M124" s="171"/>
      <c r="N124" s="140" t="s">
        <v>43</v>
      </c>
      <c r="O124" s="172">
        <v>3</v>
      </c>
      <c r="P124" s="219">
        <f ca="1">OFFSET($A$1,MATCH(Z123,$A:$A,0)-1,O124)</f>
        <v>2.2999999999999998</v>
      </c>
      <c r="Q124" s="141" t="s">
        <v>29</v>
      </c>
      <c r="R124" s="142">
        <f t="shared" ref="R124:S129" ca="1" si="29">T124</f>
        <v>467217</v>
      </c>
      <c r="S124" s="142">
        <f t="shared" ca="1" si="29"/>
        <v>1074599</v>
      </c>
      <c r="T124" s="142">
        <f ca="1">기술사</f>
        <v>467217</v>
      </c>
      <c r="U124" s="142">
        <f t="shared" ref="U124:U129" ca="1" si="30">ROUNDDOWN(P124*R124,0)</f>
        <v>1074599</v>
      </c>
      <c r="V124" s="142"/>
      <c r="W124" s="142"/>
      <c r="X124" s="142"/>
      <c r="Y124" s="142"/>
      <c r="Z124" s="114"/>
    </row>
    <row r="125" spans="11:26" ht="18" customHeight="1">
      <c r="K125" s="171" t="s">
        <v>14</v>
      </c>
      <c r="L125" s="171"/>
      <c r="M125" s="171"/>
      <c r="N125" s="143" t="s">
        <v>32</v>
      </c>
      <c r="O125" s="173">
        <v>4</v>
      </c>
      <c r="P125" s="234">
        <f ca="1">OFFSET($A$1,MATCH(Z123,$A:$A,0)-1,O125)</f>
        <v>3.6</v>
      </c>
      <c r="Q125" s="144" t="s">
        <v>29</v>
      </c>
      <c r="R125" s="118">
        <f t="shared" ca="1" si="29"/>
        <v>373353</v>
      </c>
      <c r="S125" s="118">
        <f t="shared" ca="1" si="29"/>
        <v>1344070</v>
      </c>
      <c r="T125" s="118">
        <f ca="1">특급</f>
        <v>373353</v>
      </c>
      <c r="U125" s="118">
        <f t="shared" ca="1" si="30"/>
        <v>1344070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39</v>
      </c>
      <c r="O126" s="173">
        <v>5</v>
      </c>
      <c r="P126" s="234">
        <f ca="1">OFFSET($A$1,MATCH(Z123,$A:$A,0)-1,O126)</f>
        <v>9.9</v>
      </c>
      <c r="Q126" s="144" t="s">
        <v>29</v>
      </c>
      <c r="R126" s="118">
        <f t="shared" ca="1" si="29"/>
        <v>310884</v>
      </c>
      <c r="S126" s="118">
        <f t="shared" ca="1" si="29"/>
        <v>3077751</v>
      </c>
      <c r="T126" s="118">
        <f ca="1">고급</f>
        <v>310884</v>
      </c>
      <c r="U126" s="118">
        <f t="shared" ca="1" si="30"/>
        <v>3077751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40</v>
      </c>
      <c r="O127" s="173">
        <v>6</v>
      </c>
      <c r="P127" s="234">
        <f ca="1">OFFSET($A$1,MATCH(Z123,$A:$A,0)-1,O127)</f>
        <v>18.7</v>
      </c>
      <c r="Q127" s="144" t="s">
        <v>29</v>
      </c>
      <c r="R127" s="118">
        <f t="shared" ca="1" si="29"/>
        <v>295138</v>
      </c>
      <c r="S127" s="118">
        <f t="shared" ca="1" si="29"/>
        <v>5519080</v>
      </c>
      <c r="T127" s="118">
        <f ca="1">중급</f>
        <v>295138</v>
      </c>
      <c r="U127" s="118">
        <f t="shared" ca="1" si="30"/>
        <v>5519080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41</v>
      </c>
      <c r="O128" s="173">
        <v>7</v>
      </c>
      <c r="P128" s="234">
        <f ca="1">OFFSET($A$1,MATCH(Z123,$A:$A,0)-1,O128)</f>
        <v>22.1</v>
      </c>
      <c r="Q128" s="144" t="s">
        <v>29</v>
      </c>
      <c r="R128" s="118">
        <f t="shared" ca="1" si="29"/>
        <v>235459</v>
      </c>
      <c r="S128" s="118">
        <f t="shared" ca="1" si="29"/>
        <v>5203643</v>
      </c>
      <c r="T128" s="118">
        <f ca="1">초급</f>
        <v>235459</v>
      </c>
      <c r="U128" s="118">
        <f t="shared" ca="1" si="30"/>
        <v>5203643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319" t="s">
        <v>42</v>
      </c>
      <c r="O129" s="174">
        <v>8</v>
      </c>
      <c r="P129" s="235">
        <f ca="1">OFFSET($A$1,MATCH(Z123,$A:$A,0)-1,O129)</f>
        <v>21.8</v>
      </c>
      <c r="Q129" s="322" t="s">
        <v>29</v>
      </c>
      <c r="R129" s="323">
        <f t="shared" ca="1" si="29"/>
        <v>250087</v>
      </c>
      <c r="S129" s="323">
        <f t="shared" ca="1" si="29"/>
        <v>5451896</v>
      </c>
      <c r="T129" s="323">
        <f ca="1">보조원</f>
        <v>250087</v>
      </c>
      <c r="U129" s="323">
        <f t="shared" ca="1" si="30"/>
        <v>5451896</v>
      </c>
      <c r="V129" s="323"/>
      <c r="W129" s="323"/>
      <c r="X129" s="323"/>
      <c r="Y129" s="323"/>
      <c r="Z129" s="324"/>
    </row>
    <row r="130" spans="11:29" ht="18" customHeight="1">
      <c r="K130" s="171" t="s">
        <v>14</v>
      </c>
      <c r="L130" s="171"/>
      <c r="M130" s="171"/>
      <c r="N130" s="139" t="s">
        <v>17</v>
      </c>
      <c r="O130" s="68"/>
      <c r="P130" s="69"/>
      <c r="Q130" s="70"/>
      <c r="R130" s="71"/>
      <c r="S130" s="71">
        <f ca="1">SUBTOTAL(9,S124:S129)</f>
        <v>21671039</v>
      </c>
      <c r="T130" s="71"/>
      <c r="U130" s="71">
        <f ca="1">SUBTOTAL(9,U124:U129)</f>
        <v>21671039</v>
      </c>
      <c r="V130" s="71"/>
      <c r="W130" s="71"/>
      <c r="X130" s="71"/>
      <c r="Y130" s="71"/>
      <c r="Z130" s="68"/>
    </row>
    <row r="131" spans="11:29" ht="18" customHeight="1">
      <c r="K131" s="171" t="s">
        <v>14</v>
      </c>
      <c r="L131" s="171"/>
      <c r="M131" s="171"/>
      <c r="N131" s="318" t="str">
        <f ca="1">"제 " &amp; Z131 &amp; " 호표  "&amp; OFFSET($A$1,MATCH(Z131,$A:$A,0)-1,1)</f>
        <v>제 11 호표  3.8 경제·산업·사회·문화의 개발 및 진흥</v>
      </c>
      <c r="O131" s="221"/>
      <c r="P131" s="148"/>
      <c r="Q131" s="148"/>
      <c r="R131" s="149"/>
      <c r="S131" s="149"/>
      <c r="T131" s="149"/>
      <c r="U131" s="149"/>
      <c r="V131" s="149"/>
      <c r="W131" s="149"/>
      <c r="X131" s="149"/>
      <c r="Y131" s="149"/>
      <c r="Z131" s="325">
        <f>Z123+1</f>
        <v>11</v>
      </c>
    </row>
    <row r="132" spans="11:29" ht="18" customHeight="1">
      <c r="K132" s="171" t="s">
        <v>14</v>
      </c>
      <c r="L132" s="171"/>
      <c r="M132" s="171"/>
      <c r="N132" s="140" t="s">
        <v>43</v>
      </c>
      <c r="O132" s="172">
        <v>3</v>
      </c>
      <c r="P132" s="219">
        <f ca="1">OFFSET($A$1,MATCH(Z131,$A:$A,0)-1,O132)</f>
        <v>4.5999999999999996</v>
      </c>
      <c r="Q132" s="141" t="s">
        <v>29</v>
      </c>
      <c r="R132" s="142">
        <f t="shared" ref="R132:S137" ca="1" si="31">T132</f>
        <v>467217</v>
      </c>
      <c r="S132" s="142">
        <f t="shared" ca="1" si="31"/>
        <v>2149198</v>
      </c>
      <c r="T132" s="142">
        <f ca="1">기술사</f>
        <v>467217</v>
      </c>
      <c r="U132" s="142">
        <f t="shared" ref="U132:U137" ca="1" si="32">ROUNDDOWN(P132*R132,0)</f>
        <v>2149198</v>
      </c>
      <c r="V132" s="142"/>
      <c r="W132" s="142"/>
      <c r="X132" s="142"/>
      <c r="Y132" s="142"/>
      <c r="Z132" s="114"/>
    </row>
    <row r="133" spans="11:29" ht="18" customHeight="1">
      <c r="K133" s="171" t="s">
        <v>14</v>
      </c>
      <c r="L133" s="171"/>
      <c r="M133" s="171"/>
      <c r="N133" s="143" t="s">
        <v>32</v>
      </c>
      <c r="O133" s="173">
        <v>4</v>
      </c>
      <c r="P133" s="234">
        <f ca="1">OFFSET($A$1,MATCH(Z131,$A:$A,0)-1,O133)</f>
        <v>7.2</v>
      </c>
      <c r="Q133" s="144" t="s">
        <v>29</v>
      </c>
      <c r="R133" s="118">
        <f t="shared" ca="1" si="31"/>
        <v>373353</v>
      </c>
      <c r="S133" s="118">
        <f t="shared" ca="1" si="31"/>
        <v>2688141</v>
      </c>
      <c r="T133" s="118">
        <f ca="1">특급</f>
        <v>373353</v>
      </c>
      <c r="U133" s="118">
        <f t="shared" ca="1" si="32"/>
        <v>2688141</v>
      </c>
      <c r="V133" s="118"/>
      <c r="W133" s="118"/>
      <c r="X133" s="118"/>
      <c r="Y133" s="118"/>
      <c r="Z133" s="115"/>
    </row>
    <row r="134" spans="11:29" ht="18" customHeight="1">
      <c r="K134" s="171" t="s">
        <v>14</v>
      </c>
      <c r="L134" s="171"/>
      <c r="M134" s="171"/>
      <c r="N134" s="145" t="s">
        <v>39</v>
      </c>
      <c r="O134" s="173">
        <v>5</v>
      </c>
      <c r="P134" s="234">
        <f ca="1">OFFSET($A$1,MATCH(Z131,$A:$A,0)-1,O134)</f>
        <v>18.7</v>
      </c>
      <c r="Q134" s="144" t="s">
        <v>29</v>
      </c>
      <c r="R134" s="118">
        <f t="shared" ca="1" si="31"/>
        <v>310884</v>
      </c>
      <c r="S134" s="118">
        <f t="shared" ca="1" si="31"/>
        <v>5813530</v>
      </c>
      <c r="T134" s="118">
        <f ca="1">고급</f>
        <v>310884</v>
      </c>
      <c r="U134" s="118">
        <f t="shared" ca="1" si="32"/>
        <v>5813530</v>
      </c>
      <c r="V134" s="118"/>
      <c r="W134" s="118"/>
      <c r="X134" s="118"/>
      <c r="Y134" s="118"/>
      <c r="Z134" s="115"/>
    </row>
    <row r="135" spans="11:29" ht="18" customHeight="1">
      <c r="K135" s="171" t="s">
        <v>14</v>
      </c>
      <c r="L135" s="171"/>
      <c r="M135" s="171"/>
      <c r="N135" s="145" t="s">
        <v>40</v>
      </c>
      <c r="O135" s="173">
        <v>6</v>
      </c>
      <c r="P135" s="234">
        <f ca="1">OFFSET($A$1,MATCH(Z131,$A:$A,0)-1,O135)</f>
        <v>39.4</v>
      </c>
      <c r="Q135" s="144" t="s">
        <v>29</v>
      </c>
      <c r="R135" s="118">
        <f t="shared" ca="1" si="31"/>
        <v>295138</v>
      </c>
      <c r="S135" s="118">
        <f t="shared" ca="1" si="31"/>
        <v>11628437</v>
      </c>
      <c r="T135" s="118">
        <f ca="1">중급</f>
        <v>295138</v>
      </c>
      <c r="U135" s="118">
        <f t="shared" ca="1" si="32"/>
        <v>11628437</v>
      </c>
      <c r="V135" s="118"/>
      <c r="W135" s="118"/>
      <c r="X135" s="118"/>
      <c r="Y135" s="118"/>
      <c r="Z135" s="115"/>
    </row>
    <row r="136" spans="11:29" ht="18" customHeight="1">
      <c r="K136" s="171" t="s">
        <v>14</v>
      </c>
      <c r="L136" s="171"/>
      <c r="M136" s="171"/>
      <c r="N136" s="145" t="s">
        <v>41</v>
      </c>
      <c r="O136" s="173">
        <v>7</v>
      </c>
      <c r="P136" s="234">
        <f ca="1">OFFSET($A$1,MATCH(Z131,$A:$A,0)-1,O136)</f>
        <v>40</v>
      </c>
      <c r="Q136" s="144" t="s">
        <v>29</v>
      </c>
      <c r="R136" s="118">
        <f t="shared" ca="1" si="31"/>
        <v>235459</v>
      </c>
      <c r="S136" s="118">
        <f t="shared" ca="1" si="31"/>
        <v>9418360</v>
      </c>
      <c r="T136" s="118">
        <f ca="1">초급</f>
        <v>235459</v>
      </c>
      <c r="U136" s="118">
        <f t="shared" ca="1" si="32"/>
        <v>9418360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319" t="s">
        <v>42</v>
      </c>
      <c r="O137" s="174">
        <v>8</v>
      </c>
      <c r="P137" s="235">
        <f ca="1">OFFSET($A$1,MATCH(Z131,$A:$A,0)-1,O137)</f>
        <v>43.6</v>
      </c>
      <c r="Q137" s="322" t="s">
        <v>29</v>
      </c>
      <c r="R137" s="323">
        <f t="shared" ca="1" si="31"/>
        <v>250087</v>
      </c>
      <c r="S137" s="323">
        <f t="shared" ca="1" si="31"/>
        <v>10903793</v>
      </c>
      <c r="T137" s="323">
        <f ca="1">보조원</f>
        <v>250087</v>
      </c>
      <c r="U137" s="323">
        <f t="shared" ca="1" si="32"/>
        <v>10903793</v>
      </c>
      <c r="V137" s="323"/>
      <c r="W137" s="323"/>
      <c r="X137" s="323"/>
      <c r="Y137" s="323"/>
      <c r="Z137" s="324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39" t="s">
        <v>17</v>
      </c>
      <c r="O138" s="68"/>
      <c r="P138" s="69"/>
      <c r="Q138" s="70"/>
      <c r="R138" s="71"/>
      <c r="S138" s="71">
        <f ca="1">SUBTOTAL(9,S132:S137)</f>
        <v>42601459</v>
      </c>
      <c r="T138" s="71"/>
      <c r="U138" s="71">
        <f ca="1">SUBTOTAL(9,U132:U137)</f>
        <v>42601459</v>
      </c>
      <c r="V138" s="71"/>
      <c r="W138" s="71"/>
      <c r="X138" s="71"/>
      <c r="Y138" s="71"/>
      <c r="Z138" s="68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318" t="str">
        <f ca="1">"제 " &amp; Z139 &amp; " 호표  "&amp; OFFSET($A$1,MATCH(Z139,$A:$A,0)-1,1)</f>
        <v>제 12 호표  3.9 에너지절약 및 탄소중립 계획</v>
      </c>
      <c r="O139" s="221"/>
      <c r="P139" s="148"/>
      <c r="Q139" s="148"/>
      <c r="R139" s="149"/>
      <c r="S139" s="149"/>
      <c r="T139" s="149"/>
      <c r="U139" s="149"/>
      <c r="V139" s="149"/>
      <c r="W139" s="149"/>
      <c r="X139" s="149"/>
      <c r="Y139" s="149"/>
      <c r="Z139" s="325">
        <f>Z131+1</f>
        <v>12</v>
      </c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0" t="s">
        <v>43</v>
      </c>
      <c r="O140" s="172">
        <v>3</v>
      </c>
      <c r="P140" s="219">
        <f ca="1">OFFSET($A$1,MATCH(Z139,$A:$A,0)-1,O140)</f>
        <v>0</v>
      </c>
      <c r="Q140" s="141" t="s">
        <v>29</v>
      </c>
      <c r="R140" s="142">
        <f t="shared" ref="R140:S145" ca="1" si="33">T140</f>
        <v>467217</v>
      </c>
      <c r="S140" s="142">
        <f t="shared" ca="1" si="33"/>
        <v>0</v>
      </c>
      <c r="T140" s="142">
        <f ca="1">기술사</f>
        <v>467217</v>
      </c>
      <c r="U140" s="142">
        <f t="shared" ref="U140:U145" ca="1" si="34">ROUNDDOWN(P140*R140,0)</f>
        <v>0</v>
      </c>
      <c r="V140" s="142"/>
      <c r="W140" s="142"/>
      <c r="X140" s="142"/>
      <c r="Y140" s="142"/>
      <c r="Z140" s="114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43" t="s">
        <v>32</v>
      </c>
      <c r="O141" s="173">
        <v>4</v>
      </c>
      <c r="P141" s="234">
        <f ca="1">OFFSET($A$1,MATCH(Z139,$A:$A,0)-1,O141)</f>
        <v>0</v>
      </c>
      <c r="Q141" s="144" t="s">
        <v>29</v>
      </c>
      <c r="R141" s="118">
        <f t="shared" ca="1" si="33"/>
        <v>373353</v>
      </c>
      <c r="S141" s="118">
        <f t="shared" ca="1" si="33"/>
        <v>0</v>
      </c>
      <c r="T141" s="118">
        <f ca="1">특급</f>
        <v>373353</v>
      </c>
      <c r="U141" s="118">
        <f t="shared" ca="1" si="34"/>
        <v>0</v>
      </c>
      <c r="V141" s="118"/>
      <c r="W141" s="118"/>
      <c r="X141" s="118"/>
      <c r="Y141" s="118"/>
      <c r="Z141" s="115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45" t="s">
        <v>39</v>
      </c>
      <c r="O142" s="173">
        <v>5</v>
      </c>
      <c r="P142" s="234">
        <f ca="1">OFFSET($A$1,MATCH(Z139,$A:$A,0)-1,O142)</f>
        <v>0</v>
      </c>
      <c r="Q142" s="144" t="s">
        <v>29</v>
      </c>
      <c r="R142" s="118">
        <f t="shared" ca="1" si="33"/>
        <v>310884</v>
      </c>
      <c r="S142" s="118">
        <f t="shared" ca="1" si="33"/>
        <v>0</v>
      </c>
      <c r="T142" s="118">
        <f ca="1">고급</f>
        <v>310884</v>
      </c>
      <c r="U142" s="118">
        <f t="shared" ca="1" si="34"/>
        <v>0</v>
      </c>
      <c r="V142" s="118"/>
      <c r="W142" s="118"/>
      <c r="X142" s="118"/>
      <c r="Y142" s="118"/>
      <c r="Z142" s="115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5" t="s">
        <v>40</v>
      </c>
      <c r="O143" s="173">
        <v>6</v>
      </c>
      <c r="P143" s="234">
        <f ca="1">OFFSET($A$1,MATCH(Z139,$A:$A,0)-1,O143)</f>
        <v>0</v>
      </c>
      <c r="Q143" s="144" t="s">
        <v>29</v>
      </c>
      <c r="R143" s="118">
        <f t="shared" ca="1" si="33"/>
        <v>295138</v>
      </c>
      <c r="S143" s="118">
        <f t="shared" ca="1" si="33"/>
        <v>0</v>
      </c>
      <c r="T143" s="118">
        <f ca="1">중급</f>
        <v>295138</v>
      </c>
      <c r="U143" s="118">
        <f t="shared" ca="1" si="34"/>
        <v>0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5" t="s">
        <v>41</v>
      </c>
      <c r="O144" s="173">
        <v>7</v>
      </c>
      <c r="P144" s="234">
        <f ca="1">OFFSET($A$1,MATCH(Z139,$A:$A,0)-1,O144)</f>
        <v>0</v>
      </c>
      <c r="Q144" s="144" t="s">
        <v>29</v>
      </c>
      <c r="R144" s="118">
        <f t="shared" ca="1" si="33"/>
        <v>235459</v>
      </c>
      <c r="S144" s="118">
        <f t="shared" ca="1" si="33"/>
        <v>0</v>
      </c>
      <c r="T144" s="118">
        <f ca="1">초급</f>
        <v>235459</v>
      </c>
      <c r="U144" s="118">
        <f t="shared" ca="1" si="34"/>
        <v>0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319" t="s">
        <v>42</v>
      </c>
      <c r="O145" s="174">
        <v>8</v>
      </c>
      <c r="P145" s="235">
        <f ca="1">OFFSET($A$1,MATCH(Z139,$A:$A,0)-1,O145)</f>
        <v>0</v>
      </c>
      <c r="Q145" s="322" t="s">
        <v>29</v>
      </c>
      <c r="R145" s="323">
        <f t="shared" ca="1" si="33"/>
        <v>250087</v>
      </c>
      <c r="S145" s="323">
        <f t="shared" ca="1" si="33"/>
        <v>0</v>
      </c>
      <c r="T145" s="323">
        <f ca="1">보조원</f>
        <v>250087</v>
      </c>
      <c r="U145" s="323">
        <f t="shared" ca="1" si="34"/>
        <v>0</v>
      </c>
      <c r="V145" s="323"/>
      <c r="W145" s="323"/>
      <c r="X145" s="323"/>
      <c r="Y145" s="323"/>
      <c r="Z145" s="324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39" t="s">
        <v>17</v>
      </c>
      <c r="O146" s="68"/>
      <c r="P146" s="69"/>
      <c r="Q146" s="70"/>
      <c r="R146" s="71"/>
      <c r="S146" s="71">
        <f ca="1">SUBTOTAL(9,S140:S145)</f>
        <v>0</v>
      </c>
      <c r="T146" s="71"/>
      <c r="U146" s="71">
        <f ca="1">SUBTOTAL(9,U140:U145)</f>
        <v>0</v>
      </c>
      <c r="V146" s="71"/>
      <c r="W146" s="71"/>
      <c r="X146" s="71"/>
      <c r="Y146" s="71"/>
      <c r="Z146" s="68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318" t="str">
        <f ca="1">"제 " &amp; Z147 &amp; " 호표  "&amp; OFFSET($A$1,MATCH(Z147,$A:$A,0)-1,1)</f>
        <v>제 13 호표  3.10 기후변화 대비계획</v>
      </c>
      <c r="O147" s="221"/>
      <c r="P147" s="148"/>
      <c r="Q147" s="148"/>
      <c r="R147" s="149"/>
      <c r="S147" s="149"/>
      <c r="T147" s="149"/>
      <c r="U147" s="149"/>
      <c r="V147" s="149"/>
      <c r="W147" s="149"/>
      <c r="X147" s="149"/>
      <c r="Y147" s="149"/>
      <c r="Z147" s="325">
        <f>Z139+1</f>
        <v>13</v>
      </c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0" t="s">
        <v>43</v>
      </c>
      <c r="O148" s="172">
        <v>3</v>
      </c>
      <c r="P148" s="219">
        <f ca="1">OFFSET($A$1,MATCH(Z147,$A:$A,0)-1,O148)</f>
        <v>0</v>
      </c>
      <c r="Q148" s="141" t="s">
        <v>29</v>
      </c>
      <c r="R148" s="142">
        <f t="shared" ref="R148:S153" ca="1" si="35">T148</f>
        <v>467217</v>
      </c>
      <c r="S148" s="142">
        <f t="shared" ca="1" si="35"/>
        <v>0</v>
      </c>
      <c r="T148" s="142">
        <f ca="1">기술사</f>
        <v>467217</v>
      </c>
      <c r="U148" s="142">
        <f t="shared" ref="U148:U153" ca="1" si="36">ROUNDDOWN(P148*R148,0)</f>
        <v>0</v>
      </c>
      <c r="V148" s="142"/>
      <c r="W148" s="142"/>
      <c r="X148" s="142"/>
      <c r="Y148" s="142"/>
      <c r="Z148" s="114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43" t="s">
        <v>32</v>
      </c>
      <c r="O149" s="173">
        <v>4</v>
      </c>
      <c r="P149" s="234">
        <f ca="1">OFFSET($A$1,MATCH(Z147,$A:$A,0)-1,O149)</f>
        <v>0</v>
      </c>
      <c r="Q149" s="144" t="s">
        <v>29</v>
      </c>
      <c r="R149" s="118">
        <f t="shared" ca="1" si="35"/>
        <v>373353</v>
      </c>
      <c r="S149" s="118">
        <f t="shared" ca="1" si="35"/>
        <v>0</v>
      </c>
      <c r="T149" s="118">
        <f ca="1">특급</f>
        <v>373353</v>
      </c>
      <c r="U149" s="118">
        <f t="shared" ca="1" si="36"/>
        <v>0</v>
      </c>
      <c r="V149" s="118"/>
      <c r="W149" s="118"/>
      <c r="X149" s="118"/>
      <c r="Y149" s="118"/>
      <c r="Z149" s="115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45" t="s">
        <v>39</v>
      </c>
      <c r="O150" s="173">
        <v>5</v>
      </c>
      <c r="P150" s="234">
        <f ca="1">OFFSET($A$1,MATCH(Z147,$A:$A,0)-1,O150)</f>
        <v>0</v>
      </c>
      <c r="Q150" s="144" t="s">
        <v>29</v>
      </c>
      <c r="R150" s="118">
        <f t="shared" ca="1" si="35"/>
        <v>310884</v>
      </c>
      <c r="S150" s="118">
        <f t="shared" ca="1" si="35"/>
        <v>0</v>
      </c>
      <c r="T150" s="118">
        <f ca="1">고급</f>
        <v>310884</v>
      </c>
      <c r="U150" s="118">
        <f t="shared" ca="1" si="36"/>
        <v>0</v>
      </c>
      <c r="V150" s="118"/>
      <c r="W150" s="118"/>
      <c r="X150" s="118"/>
      <c r="Y150" s="118"/>
      <c r="Z150" s="115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5" t="s">
        <v>40</v>
      </c>
      <c r="O151" s="173">
        <v>6</v>
      </c>
      <c r="P151" s="234">
        <f ca="1">OFFSET($A$1,MATCH(Z147,$A:$A,0)-1,O151)</f>
        <v>0</v>
      </c>
      <c r="Q151" s="144" t="s">
        <v>29</v>
      </c>
      <c r="R151" s="118">
        <f t="shared" ca="1" si="35"/>
        <v>295138</v>
      </c>
      <c r="S151" s="118">
        <f t="shared" ca="1" si="35"/>
        <v>0</v>
      </c>
      <c r="T151" s="118">
        <f ca="1">중급</f>
        <v>295138</v>
      </c>
      <c r="U151" s="118">
        <f t="shared" ca="1" si="36"/>
        <v>0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41</v>
      </c>
      <c r="O152" s="173">
        <v>7</v>
      </c>
      <c r="P152" s="234">
        <f ca="1">OFFSET($A$1,MATCH(Z147,$A:$A,0)-1,O152)</f>
        <v>0</v>
      </c>
      <c r="Q152" s="144" t="s">
        <v>29</v>
      </c>
      <c r="R152" s="118">
        <f t="shared" ca="1" si="35"/>
        <v>235459</v>
      </c>
      <c r="S152" s="118">
        <f t="shared" ca="1" si="35"/>
        <v>0</v>
      </c>
      <c r="T152" s="118">
        <f ca="1">초급</f>
        <v>235459</v>
      </c>
      <c r="U152" s="118">
        <f t="shared" ca="1" si="36"/>
        <v>0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319" t="s">
        <v>42</v>
      </c>
      <c r="O153" s="174">
        <v>8</v>
      </c>
      <c r="P153" s="235">
        <f ca="1">OFFSET($A$1,MATCH(Z147,$A:$A,0)-1,O153)</f>
        <v>0</v>
      </c>
      <c r="Q153" s="322" t="s">
        <v>29</v>
      </c>
      <c r="R153" s="323">
        <f t="shared" ca="1" si="35"/>
        <v>250087</v>
      </c>
      <c r="S153" s="323">
        <f t="shared" ca="1" si="35"/>
        <v>0</v>
      </c>
      <c r="T153" s="323">
        <f ca="1">보조원</f>
        <v>250087</v>
      </c>
      <c r="U153" s="323">
        <f t="shared" ca="1" si="36"/>
        <v>0</v>
      </c>
      <c r="V153" s="323"/>
      <c r="W153" s="323"/>
      <c r="X153" s="323"/>
      <c r="Y153" s="323"/>
      <c r="Z153" s="324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39" t="s">
        <v>17</v>
      </c>
      <c r="O154" s="68"/>
      <c r="P154" s="69"/>
      <c r="Q154" s="70"/>
      <c r="R154" s="71"/>
      <c r="S154" s="71">
        <f ca="1">SUBTOTAL(9,S148:S153)</f>
        <v>0</v>
      </c>
      <c r="T154" s="71"/>
      <c r="U154" s="71">
        <f ca="1">SUBTOTAL(9,U148:U153)</f>
        <v>0</v>
      </c>
      <c r="V154" s="71"/>
      <c r="W154" s="71"/>
      <c r="X154" s="71"/>
      <c r="Y154" s="71"/>
      <c r="Z154" s="68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318" t="str">
        <f ca="1">"제 " &amp; Z155 &amp; " 호표  "&amp; OFFSET($A$1,MATCH(Z155,$A:$A,0)-1,1)</f>
        <v>제 14 호표  3.11 계획의 실행</v>
      </c>
      <c r="O155" s="221"/>
      <c r="P155" s="148"/>
      <c r="Q155" s="148"/>
      <c r="R155" s="149"/>
      <c r="S155" s="149"/>
      <c r="T155" s="149"/>
      <c r="U155" s="149"/>
      <c r="V155" s="149"/>
      <c r="W155" s="149"/>
      <c r="X155" s="149"/>
      <c r="Y155" s="149"/>
      <c r="Z155" s="325">
        <f>Z147+1</f>
        <v>14</v>
      </c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0" t="s">
        <v>43</v>
      </c>
      <c r="O156" s="172">
        <v>3</v>
      </c>
      <c r="P156" s="219">
        <f ca="1">OFFSET($A$1,MATCH(Z155,$A:$A,0)-1,O156)</f>
        <v>2.8</v>
      </c>
      <c r="Q156" s="141" t="s">
        <v>29</v>
      </c>
      <c r="R156" s="142">
        <f t="shared" ref="R156:S161" ca="1" si="37">T156</f>
        <v>467217</v>
      </c>
      <c r="S156" s="142">
        <f t="shared" ca="1" si="37"/>
        <v>1308207</v>
      </c>
      <c r="T156" s="142">
        <f ca="1">기술사</f>
        <v>467217</v>
      </c>
      <c r="U156" s="142">
        <f t="shared" ref="U156:U161" ca="1" si="38">ROUNDDOWN(P156*R156,0)</f>
        <v>1308207</v>
      </c>
      <c r="V156" s="142"/>
      <c r="W156" s="142"/>
      <c r="X156" s="142"/>
      <c r="Y156" s="142"/>
      <c r="Z156" s="114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43" t="s">
        <v>32</v>
      </c>
      <c r="O157" s="173">
        <v>4</v>
      </c>
      <c r="P157" s="234">
        <f ca="1">OFFSET($A$1,MATCH(Z155,$A:$A,0)-1,O157)</f>
        <v>4.4000000000000004</v>
      </c>
      <c r="Q157" s="144" t="s">
        <v>29</v>
      </c>
      <c r="R157" s="118">
        <f t="shared" ca="1" si="37"/>
        <v>373353</v>
      </c>
      <c r="S157" s="118">
        <f t="shared" ca="1" si="37"/>
        <v>1642753</v>
      </c>
      <c r="T157" s="118">
        <f ca="1">특급</f>
        <v>373353</v>
      </c>
      <c r="U157" s="118">
        <f t="shared" ca="1" si="38"/>
        <v>1642753</v>
      </c>
      <c r="V157" s="118"/>
      <c r="W157" s="118"/>
      <c r="X157" s="118"/>
      <c r="Y157" s="118"/>
      <c r="Z157" s="115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5" t="s">
        <v>39</v>
      </c>
      <c r="O158" s="173">
        <v>5</v>
      </c>
      <c r="P158" s="234">
        <f ca="1">OFFSET($A$1,MATCH(Z155,$A:$A,0)-1,O158)</f>
        <v>10.9</v>
      </c>
      <c r="Q158" s="144" t="s">
        <v>29</v>
      </c>
      <c r="R158" s="118">
        <f t="shared" ca="1" si="37"/>
        <v>310884</v>
      </c>
      <c r="S158" s="118">
        <f t="shared" ca="1" si="37"/>
        <v>3388635</v>
      </c>
      <c r="T158" s="118">
        <f ca="1">고급</f>
        <v>310884</v>
      </c>
      <c r="U158" s="118">
        <f t="shared" ca="1" si="38"/>
        <v>3388635</v>
      </c>
      <c r="V158" s="118"/>
      <c r="W158" s="118"/>
      <c r="X158" s="118"/>
      <c r="Y158" s="118"/>
      <c r="Z158" s="115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5" t="s">
        <v>40</v>
      </c>
      <c r="O159" s="173">
        <v>6</v>
      </c>
      <c r="P159" s="234">
        <f ca="1">OFFSET($A$1,MATCH(Z155,$A:$A,0)-1,O159)</f>
        <v>20.7</v>
      </c>
      <c r="Q159" s="144" t="s">
        <v>29</v>
      </c>
      <c r="R159" s="118">
        <f t="shared" ca="1" si="37"/>
        <v>295138</v>
      </c>
      <c r="S159" s="118">
        <f t="shared" ca="1" si="37"/>
        <v>6109356</v>
      </c>
      <c r="T159" s="118">
        <f ca="1">중급</f>
        <v>295138</v>
      </c>
      <c r="U159" s="118">
        <f t="shared" ca="1" si="38"/>
        <v>6109356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41</v>
      </c>
      <c r="O160" s="173">
        <v>7</v>
      </c>
      <c r="P160" s="234">
        <f ca="1">OFFSET($A$1,MATCH(Z155,$A:$A,0)-1,O160)</f>
        <v>22.1</v>
      </c>
      <c r="Q160" s="144" t="s">
        <v>29</v>
      </c>
      <c r="R160" s="118">
        <f t="shared" ca="1" si="37"/>
        <v>235459</v>
      </c>
      <c r="S160" s="118">
        <f t="shared" ca="1" si="37"/>
        <v>5203643</v>
      </c>
      <c r="T160" s="118">
        <f ca="1">초급</f>
        <v>235459</v>
      </c>
      <c r="U160" s="118">
        <f t="shared" ca="1" si="38"/>
        <v>5203643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319" t="s">
        <v>42</v>
      </c>
      <c r="O161" s="174">
        <v>8</v>
      </c>
      <c r="P161" s="235">
        <f ca="1">OFFSET($A$1,MATCH(Z155,$A:$A,0)-1,O161)</f>
        <v>19.399999999999999</v>
      </c>
      <c r="Q161" s="322" t="s">
        <v>29</v>
      </c>
      <c r="R161" s="323">
        <f t="shared" ca="1" si="37"/>
        <v>250087</v>
      </c>
      <c r="S161" s="323">
        <f t="shared" ca="1" si="37"/>
        <v>4851687</v>
      </c>
      <c r="T161" s="323">
        <f ca="1">보조원</f>
        <v>250087</v>
      </c>
      <c r="U161" s="323">
        <f t="shared" ca="1" si="38"/>
        <v>4851687</v>
      </c>
      <c r="V161" s="323"/>
      <c r="W161" s="323"/>
      <c r="X161" s="323"/>
      <c r="Y161" s="323"/>
      <c r="Z161" s="324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39" t="s">
        <v>17</v>
      </c>
      <c r="O162" s="68"/>
      <c r="P162" s="69"/>
      <c r="Q162" s="70"/>
      <c r="R162" s="71"/>
      <c r="S162" s="71">
        <f ca="1">SUBTOTAL(9,S156:S161)</f>
        <v>22504281</v>
      </c>
      <c r="T162" s="71"/>
      <c r="U162" s="71">
        <f ca="1">SUBTOTAL(9,U156:U161)</f>
        <v>22504281</v>
      </c>
      <c r="V162" s="71"/>
      <c r="W162" s="71"/>
      <c r="X162" s="71"/>
      <c r="Y162" s="71"/>
      <c r="Z162" s="68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318" t="str">
        <f ca="1">"제 " &amp; Z163 &amp; " 호표  "&amp; OFFSET($A$1,MATCH(Z163,$A:$A,0)-1,1)</f>
        <v>제 15 호표  4.1 보고서작성 및 편집</v>
      </c>
      <c r="O163" s="221"/>
      <c r="P163" s="148"/>
      <c r="Q163" s="148"/>
      <c r="R163" s="149"/>
      <c r="S163" s="149"/>
      <c r="T163" s="149"/>
      <c r="U163" s="149"/>
      <c r="V163" s="149"/>
      <c r="W163" s="149"/>
      <c r="X163" s="149"/>
      <c r="Y163" s="149"/>
      <c r="Z163" s="325">
        <f>Z155+1</f>
        <v>15</v>
      </c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0" t="s">
        <v>43</v>
      </c>
      <c r="O164" s="172">
        <v>3</v>
      </c>
      <c r="P164" s="219">
        <f ca="1">OFFSET($A$1,MATCH(Z163,$A:$A,0)-1,O164)</f>
        <v>2</v>
      </c>
      <c r="Q164" s="141" t="s">
        <v>29</v>
      </c>
      <c r="R164" s="142">
        <f t="shared" ref="R164:S169" ca="1" si="39">T164</f>
        <v>467217</v>
      </c>
      <c r="S164" s="142">
        <f t="shared" ca="1" si="39"/>
        <v>934434</v>
      </c>
      <c r="T164" s="142">
        <f ca="1">기술사</f>
        <v>467217</v>
      </c>
      <c r="U164" s="142">
        <f t="shared" ref="U164:U169" ca="1" si="40">ROUNDDOWN(P164*R164,0)</f>
        <v>934434</v>
      </c>
      <c r="V164" s="142"/>
      <c r="W164" s="142"/>
      <c r="X164" s="142"/>
      <c r="Y164" s="142"/>
      <c r="Z164" s="114"/>
    </row>
    <row r="165" spans="11:29" ht="18" customHeight="1">
      <c r="K165" s="171" t="s">
        <v>14</v>
      </c>
      <c r="L165" s="171"/>
      <c r="M165" s="171"/>
      <c r="N165" s="143" t="s">
        <v>32</v>
      </c>
      <c r="O165" s="173">
        <v>4</v>
      </c>
      <c r="P165" s="234">
        <f ca="1">OFFSET($A$1,MATCH(Z163,$A:$A,0)-1,O165)</f>
        <v>3.2</v>
      </c>
      <c r="Q165" s="144" t="s">
        <v>29</v>
      </c>
      <c r="R165" s="118">
        <f t="shared" ca="1" si="39"/>
        <v>373353</v>
      </c>
      <c r="S165" s="118">
        <f t="shared" ca="1" si="39"/>
        <v>1194729</v>
      </c>
      <c r="T165" s="118">
        <f ca="1">특급</f>
        <v>373353</v>
      </c>
      <c r="U165" s="118">
        <f t="shared" ca="1" si="40"/>
        <v>1194729</v>
      </c>
      <c r="V165" s="118"/>
      <c r="W165" s="118"/>
      <c r="X165" s="118"/>
      <c r="Y165" s="118"/>
      <c r="Z165" s="115"/>
    </row>
    <row r="166" spans="11:29" ht="18" customHeight="1">
      <c r="K166" s="171" t="s">
        <v>14</v>
      </c>
      <c r="L166" s="171"/>
      <c r="M166" s="171"/>
      <c r="N166" s="145" t="s">
        <v>39</v>
      </c>
      <c r="O166" s="173">
        <v>5</v>
      </c>
      <c r="P166" s="234">
        <f ca="1">OFFSET($A$1,MATCH(Z163,$A:$A,0)-1,O166)</f>
        <v>7.8</v>
      </c>
      <c r="Q166" s="144" t="s">
        <v>29</v>
      </c>
      <c r="R166" s="118">
        <f t="shared" ca="1" si="39"/>
        <v>310884</v>
      </c>
      <c r="S166" s="118">
        <f t="shared" ca="1" si="39"/>
        <v>2424895</v>
      </c>
      <c r="T166" s="118">
        <f ca="1">고급</f>
        <v>310884</v>
      </c>
      <c r="U166" s="118">
        <f t="shared" ca="1" si="40"/>
        <v>2424895</v>
      </c>
      <c r="V166" s="118"/>
      <c r="W166" s="118"/>
      <c r="X166" s="118"/>
      <c r="Y166" s="118"/>
      <c r="Z166" s="115"/>
    </row>
    <row r="167" spans="11:29" ht="18" customHeight="1">
      <c r="K167" s="171" t="s">
        <v>14</v>
      </c>
      <c r="L167" s="171"/>
      <c r="M167" s="171"/>
      <c r="N167" s="145" t="s">
        <v>40</v>
      </c>
      <c r="O167" s="173">
        <v>6</v>
      </c>
      <c r="P167" s="234">
        <f ca="1">OFFSET($A$1,MATCH(Z163,$A:$A,0)-1,O167)</f>
        <v>14.8</v>
      </c>
      <c r="Q167" s="144" t="s">
        <v>29</v>
      </c>
      <c r="R167" s="118">
        <f t="shared" ca="1" si="39"/>
        <v>295138</v>
      </c>
      <c r="S167" s="118">
        <f t="shared" ca="1" si="39"/>
        <v>4368042</v>
      </c>
      <c r="T167" s="118">
        <f ca="1">중급</f>
        <v>295138</v>
      </c>
      <c r="U167" s="118">
        <f t="shared" ca="1" si="40"/>
        <v>4368042</v>
      </c>
      <c r="V167" s="118"/>
      <c r="W167" s="118"/>
      <c r="X167" s="118"/>
      <c r="Y167" s="118"/>
      <c r="Z167" s="115"/>
    </row>
    <row r="168" spans="11:29" ht="18" customHeight="1">
      <c r="K168" s="171" t="s">
        <v>14</v>
      </c>
      <c r="L168" s="171"/>
      <c r="M168" s="171"/>
      <c r="N168" s="145" t="s">
        <v>41</v>
      </c>
      <c r="O168" s="173">
        <v>7</v>
      </c>
      <c r="P168" s="234">
        <f ca="1">OFFSET($A$1,MATCH(Z163,$A:$A,0)-1,O168)</f>
        <v>15.9</v>
      </c>
      <c r="Q168" s="144" t="s">
        <v>29</v>
      </c>
      <c r="R168" s="118">
        <f t="shared" ca="1" si="39"/>
        <v>235459</v>
      </c>
      <c r="S168" s="118">
        <f t="shared" ca="1" si="39"/>
        <v>3743798</v>
      </c>
      <c r="T168" s="118">
        <f ca="1">초급</f>
        <v>235459</v>
      </c>
      <c r="U168" s="118">
        <f t="shared" ca="1" si="40"/>
        <v>3743798</v>
      </c>
      <c r="V168" s="118"/>
      <c r="W168" s="118"/>
      <c r="X168" s="118"/>
      <c r="Y168" s="118"/>
      <c r="Z168" s="115"/>
    </row>
    <row r="169" spans="11:29" ht="18" customHeight="1">
      <c r="K169" s="171" t="s">
        <v>14</v>
      </c>
      <c r="L169" s="171"/>
      <c r="M169" s="171"/>
      <c r="N169" s="319" t="s">
        <v>42</v>
      </c>
      <c r="O169" s="174">
        <v>8</v>
      </c>
      <c r="P169" s="235">
        <f ca="1">OFFSET($A$1,MATCH(Z163,$A:$A,0)-1,O169)</f>
        <v>17.3</v>
      </c>
      <c r="Q169" s="322" t="s">
        <v>29</v>
      </c>
      <c r="R169" s="323">
        <f t="shared" ca="1" si="39"/>
        <v>250087</v>
      </c>
      <c r="S169" s="323">
        <f t="shared" ca="1" si="39"/>
        <v>4326505</v>
      </c>
      <c r="T169" s="323">
        <f ca="1">보조원</f>
        <v>250087</v>
      </c>
      <c r="U169" s="323">
        <f t="shared" ca="1" si="40"/>
        <v>4326505</v>
      </c>
      <c r="V169" s="323"/>
      <c r="W169" s="323"/>
      <c r="X169" s="323"/>
      <c r="Y169" s="323"/>
      <c r="Z169" s="324"/>
    </row>
    <row r="170" spans="11:29" ht="18" customHeight="1">
      <c r="K170" s="171" t="s">
        <v>14</v>
      </c>
      <c r="L170" s="171"/>
      <c r="M170" s="171"/>
      <c r="N170" s="139" t="s">
        <v>17</v>
      </c>
      <c r="O170" s="68"/>
      <c r="P170" s="69"/>
      <c r="Q170" s="70"/>
      <c r="R170" s="71"/>
      <c r="S170" s="71">
        <f ca="1">SUBTOTAL(9,S164:S169)</f>
        <v>16992403</v>
      </c>
      <c r="T170" s="71"/>
      <c r="U170" s="71">
        <f ca="1">SUBTOTAL(9,U164:U169)</f>
        <v>16992403</v>
      </c>
      <c r="V170" s="71"/>
      <c r="W170" s="71"/>
      <c r="X170" s="71"/>
      <c r="Y170" s="71"/>
      <c r="Z170" s="68"/>
    </row>
    <row r="171" spans="11:29" ht="18" customHeight="1">
      <c r="K171" s="171" t="s">
        <v>14</v>
      </c>
      <c r="L171" s="171"/>
      <c r="M171" s="171"/>
      <c r="N171" s="318" t="str">
        <f ca="1">"제 " &amp; Z171 &amp; " 호표  "&amp; OFFSET($A$1,MATCH(Z171,$A:$A,0)-1,1)</f>
        <v>제 16 호표  4.2 관련도서작성</v>
      </c>
      <c r="O171" s="221"/>
      <c r="P171" s="148"/>
      <c r="Q171" s="148"/>
      <c r="R171" s="149"/>
      <c r="S171" s="149"/>
      <c r="T171" s="149"/>
      <c r="U171" s="149"/>
      <c r="V171" s="149"/>
      <c r="W171" s="149"/>
      <c r="X171" s="149"/>
      <c r="Y171" s="149"/>
      <c r="Z171" s="325">
        <f>Z163+1</f>
        <v>16</v>
      </c>
    </row>
    <row r="172" spans="11:29" ht="18" customHeight="1">
      <c r="K172" s="171" t="s">
        <v>14</v>
      </c>
      <c r="L172" s="171"/>
      <c r="M172" s="171"/>
      <c r="N172" s="140" t="s">
        <v>43</v>
      </c>
      <c r="O172" s="172">
        <v>3</v>
      </c>
      <c r="P172" s="219">
        <f ca="1">OFFSET($A$1,MATCH(Z171,$A:$A,0)-1,O172)</f>
        <v>1</v>
      </c>
      <c r="Q172" s="141" t="s">
        <v>29</v>
      </c>
      <c r="R172" s="142">
        <f t="shared" ref="R172:S177" ca="1" si="41">T172</f>
        <v>467217</v>
      </c>
      <c r="S172" s="142">
        <f t="shared" ca="1" si="41"/>
        <v>467217</v>
      </c>
      <c r="T172" s="142">
        <f ca="1">기술사</f>
        <v>467217</v>
      </c>
      <c r="U172" s="142">
        <f t="shared" ref="U172:U177" ca="1" si="42">ROUNDDOWN(P172*R172,0)</f>
        <v>467217</v>
      </c>
      <c r="V172" s="142"/>
      <c r="W172" s="142"/>
      <c r="X172" s="142"/>
      <c r="Y172" s="142"/>
      <c r="Z172" s="114"/>
    </row>
    <row r="173" spans="11:29" ht="18" customHeight="1">
      <c r="K173" s="171" t="s">
        <v>14</v>
      </c>
      <c r="L173" s="171"/>
      <c r="M173" s="171"/>
      <c r="N173" s="143" t="s">
        <v>32</v>
      </c>
      <c r="O173" s="173">
        <v>4</v>
      </c>
      <c r="P173" s="234">
        <f ca="1">OFFSET($A$1,MATCH(Z171,$A:$A,0)-1,O173)</f>
        <v>1.6</v>
      </c>
      <c r="Q173" s="144" t="s">
        <v>29</v>
      </c>
      <c r="R173" s="118">
        <f t="shared" ca="1" si="41"/>
        <v>373353</v>
      </c>
      <c r="S173" s="118">
        <f t="shared" ca="1" si="41"/>
        <v>597364</v>
      </c>
      <c r="T173" s="118">
        <f ca="1">특급</f>
        <v>373353</v>
      </c>
      <c r="U173" s="118">
        <f t="shared" ca="1" si="42"/>
        <v>597364</v>
      </c>
      <c r="V173" s="118"/>
      <c r="W173" s="118"/>
      <c r="X173" s="118"/>
      <c r="Y173" s="118"/>
      <c r="Z173" s="115"/>
    </row>
    <row r="174" spans="11:29" ht="18" customHeight="1">
      <c r="K174" s="171" t="s">
        <v>14</v>
      </c>
      <c r="L174" s="171"/>
      <c r="M174" s="171"/>
      <c r="N174" s="145" t="s">
        <v>39</v>
      </c>
      <c r="O174" s="173">
        <v>5</v>
      </c>
      <c r="P174" s="234">
        <f ca="1">OFFSET($A$1,MATCH(Z171,$A:$A,0)-1,O174)</f>
        <v>3.9</v>
      </c>
      <c r="Q174" s="144" t="s">
        <v>29</v>
      </c>
      <c r="R174" s="118">
        <f t="shared" ca="1" si="41"/>
        <v>310884</v>
      </c>
      <c r="S174" s="118">
        <f t="shared" ca="1" si="41"/>
        <v>1212447</v>
      </c>
      <c r="T174" s="118">
        <f ca="1">고급</f>
        <v>310884</v>
      </c>
      <c r="U174" s="118">
        <f t="shared" ca="1" si="42"/>
        <v>1212447</v>
      </c>
      <c r="V174" s="118"/>
      <c r="W174" s="118"/>
      <c r="X174" s="118"/>
      <c r="Y174" s="118"/>
      <c r="Z174" s="115"/>
    </row>
    <row r="175" spans="11:29" ht="18" customHeight="1">
      <c r="K175" s="171" t="s">
        <v>14</v>
      </c>
      <c r="L175" s="171"/>
      <c r="M175" s="171"/>
      <c r="N175" s="145" t="s">
        <v>40</v>
      </c>
      <c r="O175" s="173">
        <v>6</v>
      </c>
      <c r="P175" s="234">
        <f ca="1">OFFSET($A$1,MATCH(Z171,$A:$A,0)-1,O175)</f>
        <v>7.4</v>
      </c>
      <c r="Q175" s="144" t="s">
        <v>29</v>
      </c>
      <c r="R175" s="118">
        <f t="shared" ca="1" si="41"/>
        <v>295138</v>
      </c>
      <c r="S175" s="118">
        <f t="shared" ca="1" si="41"/>
        <v>2184021</v>
      </c>
      <c r="T175" s="118">
        <f ca="1">중급</f>
        <v>295138</v>
      </c>
      <c r="U175" s="118">
        <f t="shared" ca="1" si="42"/>
        <v>2184021</v>
      </c>
      <c r="V175" s="118"/>
      <c r="W175" s="118"/>
      <c r="X175" s="118"/>
      <c r="Y175" s="118"/>
      <c r="Z175" s="115"/>
    </row>
    <row r="176" spans="11:29" ht="18" customHeight="1">
      <c r="K176" s="171" t="s">
        <v>14</v>
      </c>
      <c r="L176" s="171"/>
      <c r="M176" s="171"/>
      <c r="N176" s="145" t="s">
        <v>41</v>
      </c>
      <c r="O176" s="173">
        <v>7</v>
      </c>
      <c r="P176" s="234">
        <f ca="1">OFFSET($A$1,MATCH(Z171,$A:$A,0)-1,O176)</f>
        <v>23.8</v>
      </c>
      <c r="Q176" s="144" t="s">
        <v>29</v>
      </c>
      <c r="R176" s="118">
        <f t="shared" ca="1" si="41"/>
        <v>235459</v>
      </c>
      <c r="S176" s="118">
        <f t="shared" ca="1" si="41"/>
        <v>5603924</v>
      </c>
      <c r="T176" s="118">
        <f ca="1">초급</f>
        <v>235459</v>
      </c>
      <c r="U176" s="118">
        <f t="shared" ca="1" si="42"/>
        <v>5603924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319" t="s">
        <v>42</v>
      </c>
      <c r="O177" s="174">
        <v>8</v>
      </c>
      <c r="P177" s="235">
        <f ca="1">OFFSET($A$1,MATCH(Z171,$A:$A,0)-1,O177)</f>
        <v>26</v>
      </c>
      <c r="Q177" s="322" t="s">
        <v>29</v>
      </c>
      <c r="R177" s="323">
        <f t="shared" ca="1" si="41"/>
        <v>250087</v>
      </c>
      <c r="S177" s="323">
        <f t="shared" ca="1" si="41"/>
        <v>6502262</v>
      </c>
      <c r="T177" s="323">
        <f ca="1">보조원</f>
        <v>250087</v>
      </c>
      <c r="U177" s="323">
        <f t="shared" ca="1" si="42"/>
        <v>6502262</v>
      </c>
      <c r="V177" s="323"/>
      <c r="W177" s="323"/>
      <c r="X177" s="323"/>
      <c r="Y177" s="323"/>
      <c r="Z177" s="324"/>
    </row>
    <row r="178" spans="11:26" ht="18" customHeight="1">
      <c r="K178" s="171" t="s">
        <v>14</v>
      </c>
      <c r="L178" s="171"/>
      <c r="M178" s="171"/>
      <c r="N178" s="139" t="s">
        <v>17</v>
      </c>
      <c r="O178" s="68"/>
      <c r="P178" s="69"/>
      <c r="Q178" s="70"/>
      <c r="R178" s="71"/>
      <c r="S178" s="71">
        <f ca="1">SUBTOTAL(9,S172:S177)</f>
        <v>16567235</v>
      </c>
      <c r="T178" s="71"/>
      <c r="U178" s="71">
        <f ca="1">SUBTOTAL(9,U172:U177)</f>
        <v>16567235</v>
      </c>
      <c r="V178" s="71"/>
      <c r="W178" s="71"/>
      <c r="X178" s="71"/>
      <c r="Y178" s="71"/>
      <c r="Z178" s="68"/>
    </row>
    <row r="179" spans="11:26" ht="18" customHeight="1">
      <c r="K179" s="171" t="s">
        <v>14</v>
      </c>
      <c r="L179" s="171"/>
      <c r="M179" s="171"/>
      <c r="N179" s="318" t="str">
        <f ca="1">"제 " &amp; Z179 &amp; " 호표  "&amp; OFFSET($A$1,MATCH(Z179,$A:$A,0)-1,1)</f>
        <v>제 17 호표  5.1 공청회/주민설명회</v>
      </c>
      <c r="O179" s="221"/>
      <c r="P179" s="148"/>
      <c r="Q179" s="148"/>
      <c r="R179" s="149"/>
      <c r="S179" s="149"/>
      <c r="T179" s="149"/>
      <c r="U179" s="149"/>
      <c r="V179" s="149"/>
      <c r="W179" s="149"/>
      <c r="X179" s="149"/>
      <c r="Y179" s="149"/>
      <c r="Z179" s="325">
        <f>Z171+1</f>
        <v>17</v>
      </c>
    </row>
    <row r="180" spans="11:26" ht="18" customHeight="1">
      <c r="K180" s="171" t="s">
        <v>14</v>
      </c>
      <c r="L180" s="171"/>
      <c r="M180" s="171"/>
      <c r="N180" s="140" t="s">
        <v>43</v>
      </c>
      <c r="O180" s="172">
        <v>3</v>
      </c>
      <c r="P180" s="219">
        <f ca="1">OFFSET($A$1,MATCH(Z179,$A:$A,0)-1,O180)</f>
        <v>2</v>
      </c>
      <c r="Q180" s="141" t="s">
        <v>29</v>
      </c>
      <c r="R180" s="142">
        <f t="shared" ref="R180:S185" ca="1" si="43">T180</f>
        <v>467217</v>
      </c>
      <c r="S180" s="142">
        <f t="shared" ca="1" si="43"/>
        <v>934434</v>
      </c>
      <c r="T180" s="142">
        <f ca="1">기술사</f>
        <v>467217</v>
      </c>
      <c r="U180" s="142">
        <f t="shared" ref="U180:U185" ca="1" si="44">ROUNDDOWN(P180*R180,0)</f>
        <v>934434</v>
      </c>
      <c r="V180" s="142"/>
      <c r="W180" s="142"/>
      <c r="X180" s="142"/>
      <c r="Y180" s="142"/>
      <c r="Z180" s="114"/>
    </row>
    <row r="181" spans="11:26" ht="18" customHeight="1">
      <c r="K181" s="171" t="s">
        <v>14</v>
      </c>
      <c r="L181" s="171"/>
      <c r="M181" s="171"/>
      <c r="N181" s="143" t="s">
        <v>32</v>
      </c>
      <c r="O181" s="173">
        <v>4</v>
      </c>
      <c r="P181" s="234">
        <f ca="1">OFFSET($A$1,MATCH(Z179,$A:$A,0)-1,O181)</f>
        <v>2</v>
      </c>
      <c r="Q181" s="144" t="s">
        <v>29</v>
      </c>
      <c r="R181" s="118">
        <f t="shared" ca="1" si="43"/>
        <v>373353</v>
      </c>
      <c r="S181" s="118">
        <f t="shared" ca="1" si="43"/>
        <v>746706</v>
      </c>
      <c r="T181" s="118">
        <f ca="1">특급</f>
        <v>373353</v>
      </c>
      <c r="U181" s="118">
        <f t="shared" ca="1" si="44"/>
        <v>746706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39</v>
      </c>
      <c r="O182" s="173">
        <v>5</v>
      </c>
      <c r="P182" s="234">
        <f ca="1">OFFSET($A$1,MATCH(Z179,$A:$A,0)-1,O182)</f>
        <v>2</v>
      </c>
      <c r="Q182" s="144" t="s">
        <v>29</v>
      </c>
      <c r="R182" s="118">
        <f t="shared" ca="1" si="43"/>
        <v>310884</v>
      </c>
      <c r="S182" s="118">
        <f t="shared" ca="1" si="43"/>
        <v>621768</v>
      </c>
      <c r="T182" s="118">
        <f ca="1">고급</f>
        <v>310884</v>
      </c>
      <c r="U182" s="118">
        <f t="shared" ca="1" si="44"/>
        <v>621768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40</v>
      </c>
      <c r="O183" s="173">
        <v>6</v>
      </c>
      <c r="P183" s="234">
        <f ca="1">OFFSET($A$1,MATCH(Z179,$A:$A,0)-1,O183)</f>
        <v>4</v>
      </c>
      <c r="Q183" s="144" t="s">
        <v>29</v>
      </c>
      <c r="R183" s="118">
        <f t="shared" ca="1" si="43"/>
        <v>295138</v>
      </c>
      <c r="S183" s="118">
        <f t="shared" ca="1" si="43"/>
        <v>1180552</v>
      </c>
      <c r="T183" s="118">
        <f ca="1">중급</f>
        <v>295138</v>
      </c>
      <c r="U183" s="118">
        <f t="shared" ca="1" si="44"/>
        <v>1180552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41</v>
      </c>
      <c r="O184" s="173">
        <v>7</v>
      </c>
      <c r="P184" s="234">
        <f ca="1">OFFSET($A$1,MATCH(Z179,$A:$A,0)-1,O184)</f>
        <v>4</v>
      </c>
      <c r="Q184" s="144" t="s">
        <v>29</v>
      </c>
      <c r="R184" s="118">
        <f t="shared" ca="1" si="43"/>
        <v>235459</v>
      </c>
      <c r="S184" s="118">
        <f t="shared" ca="1" si="43"/>
        <v>941836</v>
      </c>
      <c r="T184" s="118">
        <f ca="1">초급</f>
        <v>235459</v>
      </c>
      <c r="U184" s="118">
        <f t="shared" ca="1" si="44"/>
        <v>941836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319" t="s">
        <v>42</v>
      </c>
      <c r="O185" s="174">
        <v>8</v>
      </c>
      <c r="P185" s="235">
        <f ca="1">OFFSET($A$1,MATCH(Z179,$A:$A,0)-1,O185)</f>
        <v>4</v>
      </c>
      <c r="Q185" s="322" t="s">
        <v>29</v>
      </c>
      <c r="R185" s="323">
        <f t="shared" ca="1" si="43"/>
        <v>250087</v>
      </c>
      <c r="S185" s="323">
        <f t="shared" ca="1" si="43"/>
        <v>1000348</v>
      </c>
      <c r="T185" s="323">
        <f ca="1">보조원</f>
        <v>250087</v>
      </c>
      <c r="U185" s="323">
        <f t="shared" ca="1" si="44"/>
        <v>1000348</v>
      </c>
      <c r="V185" s="323"/>
      <c r="W185" s="323"/>
      <c r="X185" s="323"/>
      <c r="Y185" s="323"/>
      <c r="Z185" s="324"/>
    </row>
    <row r="186" spans="11:26" ht="18" customHeight="1">
      <c r="K186" s="171" t="s">
        <v>14</v>
      </c>
      <c r="L186" s="171"/>
      <c r="M186" s="171"/>
      <c r="N186" s="139" t="s">
        <v>17</v>
      </c>
      <c r="O186" s="68"/>
      <c r="P186" s="69"/>
      <c r="Q186" s="70"/>
      <c r="R186" s="71"/>
      <c r="S186" s="71">
        <f ca="1">SUBTOTAL(9,S180:S185)</f>
        <v>5425644</v>
      </c>
      <c r="T186" s="71"/>
      <c r="U186" s="71">
        <f ca="1">SUBTOTAL(9,U180:U185)</f>
        <v>5425644</v>
      </c>
      <c r="V186" s="71"/>
      <c r="W186" s="71"/>
      <c r="X186" s="71"/>
      <c r="Y186" s="71"/>
      <c r="Z186" s="68"/>
    </row>
    <row r="187" spans="11:26" ht="18" customHeight="1">
      <c r="K187" s="171" t="s">
        <v>14</v>
      </c>
      <c r="L187" s="171"/>
      <c r="M187" s="171"/>
      <c r="N187" s="318" t="str">
        <f ca="1">"제 " &amp; Z187 &amp; " 호표  "&amp; OFFSET($A$1,MATCH(Z187,$A:$A,0)-1,1)</f>
        <v>제 18 호표  5.2 주민간담회/시민계획단</v>
      </c>
      <c r="O187" s="221"/>
      <c r="P187" s="148"/>
      <c r="Q187" s="148"/>
      <c r="R187" s="149"/>
      <c r="S187" s="149"/>
      <c r="T187" s="149"/>
      <c r="U187" s="149"/>
      <c r="V187" s="149"/>
      <c r="W187" s="149"/>
      <c r="X187" s="149"/>
      <c r="Y187" s="149"/>
      <c r="Z187" s="325">
        <f>Z179+1</f>
        <v>18</v>
      </c>
    </row>
    <row r="188" spans="11:26" ht="18" customHeight="1">
      <c r="K188" s="171" t="s">
        <v>14</v>
      </c>
      <c r="L188" s="171"/>
      <c r="M188" s="171"/>
      <c r="N188" s="140" t="s">
        <v>43</v>
      </c>
      <c r="O188" s="172">
        <v>3</v>
      </c>
      <c r="P188" s="219">
        <f ca="1">OFFSET($A$1,MATCH(Z187,$A:$A,0)-1,O188)</f>
        <v>2</v>
      </c>
      <c r="Q188" s="141" t="s">
        <v>29</v>
      </c>
      <c r="R188" s="142">
        <f t="shared" ref="R188:S193" ca="1" si="45">T188</f>
        <v>467217</v>
      </c>
      <c r="S188" s="142">
        <f t="shared" ca="1" si="45"/>
        <v>934434</v>
      </c>
      <c r="T188" s="142">
        <f ca="1">기술사</f>
        <v>467217</v>
      </c>
      <c r="U188" s="142">
        <f t="shared" ref="U188:U193" ca="1" si="46">ROUNDDOWN(P188*R188,0)</f>
        <v>934434</v>
      </c>
      <c r="V188" s="142"/>
      <c r="W188" s="142"/>
      <c r="X188" s="142"/>
      <c r="Y188" s="142"/>
      <c r="Z188" s="114"/>
    </row>
    <row r="189" spans="11:26" ht="18" customHeight="1">
      <c r="K189" s="171" t="s">
        <v>14</v>
      </c>
      <c r="L189" s="171"/>
      <c r="M189" s="171"/>
      <c r="N189" s="143" t="s">
        <v>32</v>
      </c>
      <c r="O189" s="173">
        <v>4</v>
      </c>
      <c r="P189" s="234">
        <f ca="1">OFFSET($A$1,MATCH(Z187,$A:$A,0)-1,O189)</f>
        <v>2</v>
      </c>
      <c r="Q189" s="144" t="s">
        <v>29</v>
      </c>
      <c r="R189" s="118">
        <f t="shared" ca="1" si="45"/>
        <v>373353</v>
      </c>
      <c r="S189" s="118">
        <f t="shared" ca="1" si="45"/>
        <v>746706</v>
      </c>
      <c r="T189" s="118">
        <f ca="1">특급</f>
        <v>373353</v>
      </c>
      <c r="U189" s="118">
        <f t="shared" ca="1" si="46"/>
        <v>746706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39</v>
      </c>
      <c r="O190" s="173">
        <v>5</v>
      </c>
      <c r="P190" s="234">
        <f ca="1">OFFSET($A$1,MATCH(Z187,$A:$A,0)-1,O190)</f>
        <v>2</v>
      </c>
      <c r="Q190" s="144" t="s">
        <v>29</v>
      </c>
      <c r="R190" s="118">
        <f t="shared" ca="1" si="45"/>
        <v>310884</v>
      </c>
      <c r="S190" s="118">
        <f t="shared" ca="1" si="45"/>
        <v>621768</v>
      </c>
      <c r="T190" s="118">
        <f ca="1">고급</f>
        <v>310884</v>
      </c>
      <c r="U190" s="118">
        <f t="shared" ca="1" si="46"/>
        <v>621768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40</v>
      </c>
      <c r="O191" s="173">
        <v>6</v>
      </c>
      <c r="P191" s="234">
        <f ca="1">OFFSET($A$1,MATCH(Z187,$A:$A,0)-1,O191)</f>
        <v>4</v>
      </c>
      <c r="Q191" s="144" t="s">
        <v>29</v>
      </c>
      <c r="R191" s="118">
        <f t="shared" ca="1" si="45"/>
        <v>295138</v>
      </c>
      <c r="S191" s="118">
        <f t="shared" ca="1" si="45"/>
        <v>1180552</v>
      </c>
      <c r="T191" s="118">
        <f ca="1">중급</f>
        <v>295138</v>
      </c>
      <c r="U191" s="118">
        <f t="shared" ca="1" si="46"/>
        <v>1180552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41</v>
      </c>
      <c r="O192" s="173">
        <v>7</v>
      </c>
      <c r="P192" s="234">
        <f ca="1">OFFSET($A$1,MATCH(Z187,$A:$A,0)-1,O192)</f>
        <v>4</v>
      </c>
      <c r="Q192" s="144" t="s">
        <v>29</v>
      </c>
      <c r="R192" s="118">
        <f t="shared" ca="1" si="45"/>
        <v>235459</v>
      </c>
      <c r="S192" s="118">
        <f t="shared" ca="1" si="45"/>
        <v>941836</v>
      </c>
      <c r="T192" s="118">
        <f ca="1">초급</f>
        <v>235459</v>
      </c>
      <c r="U192" s="118">
        <f t="shared" ca="1" si="46"/>
        <v>941836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319" t="s">
        <v>42</v>
      </c>
      <c r="O193" s="174">
        <v>8</v>
      </c>
      <c r="P193" s="235">
        <f ca="1">OFFSET($A$1,MATCH(Z187,$A:$A,0)-1,O193)</f>
        <v>4</v>
      </c>
      <c r="Q193" s="322" t="s">
        <v>29</v>
      </c>
      <c r="R193" s="323">
        <f t="shared" ca="1" si="45"/>
        <v>250087</v>
      </c>
      <c r="S193" s="323">
        <f t="shared" ca="1" si="45"/>
        <v>1000348</v>
      </c>
      <c r="T193" s="323">
        <f ca="1">보조원</f>
        <v>250087</v>
      </c>
      <c r="U193" s="323">
        <f t="shared" ca="1" si="46"/>
        <v>1000348</v>
      </c>
      <c r="V193" s="323"/>
      <c r="W193" s="323"/>
      <c r="X193" s="323"/>
      <c r="Y193" s="323"/>
      <c r="Z193" s="324"/>
    </row>
    <row r="194" spans="11:26" ht="18" customHeight="1">
      <c r="K194" s="171" t="s">
        <v>14</v>
      </c>
      <c r="L194" s="171"/>
      <c r="M194" s="171"/>
      <c r="N194" s="139" t="s">
        <v>17</v>
      </c>
      <c r="O194" s="68"/>
      <c r="P194" s="69"/>
      <c r="Q194" s="70"/>
      <c r="R194" s="71"/>
      <c r="S194" s="71">
        <f ca="1">SUBTOTAL(9,S188:S193)</f>
        <v>5425644</v>
      </c>
      <c r="T194" s="71"/>
      <c r="U194" s="71">
        <f ca="1">SUBTOTAL(9,U188:U193)</f>
        <v>5425644</v>
      </c>
      <c r="V194" s="71"/>
      <c r="W194" s="71"/>
      <c r="X194" s="71"/>
      <c r="Y194" s="71"/>
      <c r="Z194" s="68"/>
    </row>
    <row r="195" spans="11:26" ht="18" customHeight="1">
      <c r="K195" s="171" t="s">
        <v>14</v>
      </c>
      <c r="L195" s="171"/>
      <c r="M195" s="171"/>
      <c r="N195" s="318" t="str">
        <f ca="1">"제 " &amp; Z195 &amp; " 호표  "&amp; OFFSET($A$1,MATCH(Z195,$A:$A,0)-1,1)</f>
        <v>제 19 호표  5.3 위원회심의 지원</v>
      </c>
      <c r="O195" s="221"/>
      <c r="P195" s="148"/>
      <c r="Q195" s="148"/>
      <c r="R195" s="149"/>
      <c r="S195" s="149"/>
      <c r="T195" s="149"/>
      <c r="U195" s="149"/>
      <c r="V195" s="149"/>
      <c r="W195" s="149"/>
      <c r="X195" s="149"/>
      <c r="Y195" s="149"/>
      <c r="Z195" s="325">
        <f>Z187+1</f>
        <v>19</v>
      </c>
    </row>
    <row r="196" spans="11:26" ht="18" customHeight="1">
      <c r="K196" s="171" t="s">
        <v>14</v>
      </c>
      <c r="L196" s="171"/>
      <c r="M196" s="171"/>
      <c r="N196" s="140" t="s">
        <v>43</v>
      </c>
      <c r="O196" s="172">
        <v>3</v>
      </c>
      <c r="P196" s="219">
        <f ca="1">OFFSET($A$1,MATCH(Z195,$A:$A,0)-1,O196)</f>
        <v>2</v>
      </c>
      <c r="Q196" s="141" t="s">
        <v>29</v>
      </c>
      <c r="R196" s="142">
        <f t="shared" ref="R196:S201" ca="1" si="47">T196</f>
        <v>467217</v>
      </c>
      <c r="S196" s="142">
        <f t="shared" ca="1" si="47"/>
        <v>934434</v>
      </c>
      <c r="T196" s="142">
        <f ca="1">기술사</f>
        <v>467217</v>
      </c>
      <c r="U196" s="142">
        <f t="shared" ref="U196:U201" ca="1" si="48">ROUNDDOWN(P196*R196,0)</f>
        <v>934434</v>
      </c>
      <c r="V196" s="142"/>
      <c r="W196" s="142"/>
      <c r="X196" s="142"/>
      <c r="Y196" s="142"/>
      <c r="Z196" s="114"/>
    </row>
    <row r="197" spans="11:26" ht="18" customHeight="1">
      <c r="K197" s="171" t="s">
        <v>14</v>
      </c>
      <c r="L197" s="171"/>
      <c r="M197" s="171"/>
      <c r="N197" s="143" t="s">
        <v>32</v>
      </c>
      <c r="O197" s="173">
        <v>4</v>
      </c>
      <c r="P197" s="234">
        <f ca="1">OFFSET($A$1,MATCH(Z195,$A:$A,0)-1,O197)</f>
        <v>2</v>
      </c>
      <c r="Q197" s="144" t="s">
        <v>29</v>
      </c>
      <c r="R197" s="118">
        <f t="shared" ca="1" si="47"/>
        <v>373353</v>
      </c>
      <c r="S197" s="118">
        <f t="shared" ca="1" si="47"/>
        <v>746706</v>
      </c>
      <c r="T197" s="118">
        <f ca="1">특급</f>
        <v>373353</v>
      </c>
      <c r="U197" s="118">
        <f t="shared" ca="1" si="48"/>
        <v>746706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39</v>
      </c>
      <c r="O198" s="173">
        <v>5</v>
      </c>
      <c r="P198" s="234">
        <f ca="1">OFFSET($A$1,MATCH(Z195,$A:$A,0)-1,O198)</f>
        <v>2</v>
      </c>
      <c r="Q198" s="144" t="s">
        <v>29</v>
      </c>
      <c r="R198" s="118">
        <f t="shared" ca="1" si="47"/>
        <v>310884</v>
      </c>
      <c r="S198" s="118">
        <f t="shared" ca="1" si="47"/>
        <v>621768</v>
      </c>
      <c r="T198" s="118">
        <f ca="1">고급</f>
        <v>310884</v>
      </c>
      <c r="U198" s="118">
        <f t="shared" ca="1" si="48"/>
        <v>621768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40</v>
      </c>
      <c r="O199" s="173">
        <v>6</v>
      </c>
      <c r="P199" s="234">
        <f ca="1">OFFSET($A$1,MATCH(Z195,$A:$A,0)-1,O199)</f>
        <v>4</v>
      </c>
      <c r="Q199" s="144" t="s">
        <v>29</v>
      </c>
      <c r="R199" s="118">
        <f t="shared" ca="1" si="47"/>
        <v>295138</v>
      </c>
      <c r="S199" s="118">
        <f t="shared" ca="1" si="47"/>
        <v>1180552</v>
      </c>
      <c r="T199" s="118">
        <f ca="1">중급</f>
        <v>295138</v>
      </c>
      <c r="U199" s="118">
        <f t="shared" ca="1" si="48"/>
        <v>1180552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41</v>
      </c>
      <c r="O200" s="173">
        <v>7</v>
      </c>
      <c r="P200" s="234">
        <f ca="1">OFFSET($A$1,MATCH(Z195,$A:$A,0)-1,O200)</f>
        <v>4</v>
      </c>
      <c r="Q200" s="144" t="s">
        <v>29</v>
      </c>
      <c r="R200" s="118">
        <f t="shared" ca="1" si="47"/>
        <v>235459</v>
      </c>
      <c r="S200" s="118">
        <f t="shared" ca="1" si="47"/>
        <v>941836</v>
      </c>
      <c r="T200" s="118">
        <f ca="1">초급</f>
        <v>235459</v>
      </c>
      <c r="U200" s="118">
        <f t="shared" ca="1" si="48"/>
        <v>941836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319" t="s">
        <v>42</v>
      </c>
      <c r="O201" s="174">
        <v>8</v>
      </c>
      <c r="P201" s="235">
        <f ca="1">OFFSET($A$1,MATCH(Z195,$A:$A,0)-1,O201)</f>
        <v>4</v>
      </c>
      <c r="Q201" s="322" t="s">
        <v>29</v>
      </c>
      <c r="R201" s="323">
        <f t="shared" ca="1" si="47"/>
        <v>250087</v>
      </c>
      <c r="S201" s="323">
        <f t="shared" ca="1" si="47"/>
        <v>1000348</v>
      </c>
      <c r="T201" s="323">
        <f ca="1">보조원</f>
        <v>250087</v>
      </c>
      <c r="U201" s="323">
        <f t="shared" ca="1" si="48"/>
        <v>1000348</v>
      </c>
      <c r="V201" s="323"/>
      <c r="W201" s="323"/>
      <c r="X201" s="323"/>
      <c r="Y201" s="323"/>
      <c r="Z201" s="324"/>
    </row>
    <row r="202" spans="11:26" ht="18" customHeight="1">
      <c r="K202" s="171" t="s">
        <v>14</v>
      </c>
      <c r="L202" s="171"/>
      <c r="M202" s="171"/>
      <c r="N202" s="139" t="s">
        <v>17</v>
      </c>
      <c r="O202" s="68"/>
      <c r="P202" s="69"/>
      <c r="Q202" s="70"/>
      <c r="R202" s="71"/>
      <c r="S202" s="71">
        <f ca="1">SUBTOTAL(9,S196:S201)</f>
        <v>5425644</v>
      </c>
      <c r="T202" s="71"/>
      <c r="U202" s="71">
        <f ca="1">SUBTOTAL(9,U196:U201)</f>
        <v>5425644</v>
      </c>
      <c r="V202" s="71"/>
      <c r="W202" s="71"/>
      <c r="X202" s="71"/>
      <c r="Y202" s="71"/>
      <c r="Z202" s="68"/>
    </row>
    <row r="203" spans="11:26" ht="18" customHeight="1">
      <c r="K203" s="171" t="s">
        <v>14</v>
      </c>
      <c r="L203" s="171"/>
      <c r="M203" s="171"/>
      <c r="N203" s="318" t="str">
        <f ca="1">"제 " &amp; Z203 &amp; " 호표  "&amp; OFFSET($A$1,MATCH(Z203,$A:$A,0)-1,1)</f>
        <v>제 20 호표  5.4 관계기관 협의</v>
      </c>
      <c r="O203" s="221"/>
      <c r="P203" s="148"/>
      <c r="Q203" s="148"/>
      <c r="R203" s="149"/>
      <c r="S203" s="149"/>
      <c r="T203" s="149"/>
      <c r="U203" s="149"/>
      <c r="V203" s="149"/>
      <c r="W203" s="149"/>
      <c r="X203" s="149"/>
      <c r="Y203" s="149"/>
      <c r="Z203" s="325">
        <f>Z195+1</f>
        <v>20</v>
      </c>
    </row>
    <row r="204" spans="11:26" ht="18" customHeight="1">
      <c r="K204" s="171" t="s">
        <v>14</v>
      </c>
      <c r="L204" s="171"/>
      <c r="M204" s="171"/>
      <c r="N204" s="140" t="s">
        <v>43</v>
      </c>
      <c r="O204" s="172">
        <v>3</v>
      </c>
      <c r="P204" s="219">
        <f ca="1">OFFSET($A$1,MATCH(Z203,$A:$A,0)-1,O204)</f>
        <v>2</v>
      </c>
      <c r="Q204" s="141" t="s">
        <v>29</v>
      </c>
      <c r="R204" s="142">
        <f t="shared" ref="R204:S209" ca="1" si="49">T204</f>
        <v>467217</v>
      </c>
      <c r="S204" s="142">
        <f t="shared" ca="1" si="49"/>
        <v>934434</v>
      </c>
      <c r="T204" s="142">
        <f ca="1">기술사</f>
        <v>467217</v>
      </c>
      <c r="U204" s="142">
        <f t="shared" ref="U204:U209" ca="1" si="50">ROUNDDOWN(P204*R204,0)</f>
        <v>934434</v>
      </c>
      <c r="V204" s="142"/>
      <c r="W204" s="142"/>
      <c r="X204" s="142"/>
      <c r="Y204" s="142"/>
      <c r="Z204" s="114"/>
    </row>
    <row r="205" spans="11:26" ht="18" customHeight="1">
      <c r="K205" s="171" t="s">
        <v>14</v>
      </c>
      <c r="L205" s="171"/>
      <c r="M205" s="171"/>
      <c r="N205" s="143" t="s">
        <v>32</v>
      </c>
      <c r="O205" s="173">
        <v>4</v>
      </c>
      <c r="P205" s="234">
        <f ca="1">OFFSET($A$1,MATCH(Z203,$A:$A,0)-1,O205)</f>
        <v>2</v>
      </c>
      <c r="Q205" s="144" t="s">
        <v>29</v>
      </c>
      <c r="R205" s="118">
        <f t="shared" ca="1" si="49"/>
        <v>373353</v>
      </c>
      <c r="S205" s="118">
        <f t="shared" ca="1" si="49"/>
        <v>746706</v>
      </c>
      <c r="T205" s="118">
        <f ca="1">특급</f>
        <v>373353</v>
      </c>
      <c r="U205" s="118">
        <f t="shared" ca="1" si="50"/>
        <v>746706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145" t="s">
        <v>39</v>
      </c>
      <c r="O206" s="173">
        <v>5</v>
      </c>
      <c r="P206" s="234">
        <f ca="1">OFFSET($A$1,MATCH(Z203,$A:$A,0)-1,O206)</f>
        <v>2</v>
      </c>
      <c r="Q206" s="144" t="s">
        <v>29</v>
      </c>
      <c r="R206" s="118">
        <f t="shared" ca="1" si="49"/>
        <v>310884</v>
      </c>
      <c r="S206" s="118">
        <f t="shared" ca="1" si="49"/>
        <v>621768</v>
      </c>
      <c r="T206" s="118">
        <f ca="1">고급</f>
        <v>310884</v>
      </c>
      <c r="U206" s="118">
        <f t="shared" ca="1" si="50"/>
        <v>621768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40</v>
      </c>
      <c r="O207" s="173">
        <v>6</v>
      </c>
      <c r="P207" s="234">
        <f ca="1">OFFSET($A$1,MATCH(Z203,$A:$A,0)-1,O207)</f>
        <v>4</v>
      </c>
      <c r="Q207" s="144" t="s">
        <v>29</v>
      </c>
      <c r="R207" s="118">
        <f t="shared" ca="1" si="49"/>
        <v>295138</v>
      </c>
      <c r="S207" s="118">
        <f t="shared" ca="1" si="49"/>
        <v>1180552</v>
      </c>
      <c r="T207" s="118">
        <f ca="1">중급</f>
        <v>295138</v>
      </c>
      <c r="U207" s="118">
        <f t="shared" ca="1" si="50"/>
        <v>1180552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41</v>
      </c>
      <c r="O208" s="173">
        <v>7</v>
      </c>
      <c r="P208" s="234">
        <f ca="1">OFFSET($A$1,MATCH(Z203,$A:$A,0)-1,O208)</f>
        <v>4</v>
      </c>
      <c r="Q208" s="144" t="s">
        <v>29</v>
      </c>
      <c r="R208" s="118">
        <f t="shared" ca="1" si="49"/>
        <v>235459</v>
      </c>
      <c r="S208" s="118">
        <f t="shared" ca="1" si="49"/>
        <v>941836</v>
      </c>
      <c r="T208" s="118">
        <f ca="1">초급</f>
        <v>235459</v>
      </c>
      <c r="U208" s="118">
        <f t="shared" ca="1" si="50"/>
        <v>941836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319" t="s">
        <v>42</v>
      </c>
      <c r="O209" s="174">
        <v>8</v>
      </c>
      <c r="P209" s="235">
        <f ca="1">OFFSET($A$1,MATCH(Z203,$A:$A,0)-1,O209)</f>
        <v>4</v>
      </c>
      <c r="Q209" s="322" t="s">
        <v>29</v>
      </c>
      <c r="R209" s="323">
        <f t="shared" ca="1" si="49"/>
        <v>250087</v>
      </c>
      <c r="S209" s="323">
        <f t="shared" ca="1" si="49"/>
        <v>1000348</v>
      </c>
      <c r="T209" s="323">
        <f ca="1">보조원</f>
        <v>250087</v>
      </c>
      <c r="U209" s="323">
        <f t="shared" ca="1" si="50"/>
        <v>1000348</v>
      </c>
      <c r="V209" s="323"/>
      <c r="W209" s="323"/>
      <c r="X209" s="323"/>
      <c r="Y209" s="323"/>
      <c r="Z209" s="324"/>
    </row>
    <row r="210" spans="11:26" ht="18" customHeight="1">
      <c r="K210" s="171" t="s">
        <v>14</v>
      </c>
      <c r="L210" s="171"/>
      <c r="M210" s="171"/>
      <c r="N210" s="139" t="s">
        <v>17</v>
      </c>
      <c r="O210" s="68"/>
      <c r="P210" s="69"/>
      <c r="Q210" s="70"/>
      <c r="R210" s="71"/>
      <c r="S210" s="71">
        <f ca="1">SUBTOTAL(9,S204:S209)</f>
        <v>5425644</v>
      </c>
      <c r="T210" s="71"/>
      <c r="U210" s="71">
        <f ca="1">SUBTOTAL(9,U204:U209)</f>
        <v>5425644</v>
      </c>
      <c r="V210" s="71"/>
      <c r="W210" s="71"/>
      <c r="X210" s="71"/>
      <c r="Y210" s="71"/>
      <c r="Z210" s="68"/>
    </row>
    <row r="211" spans="11:26" ht="18" customHeight="1">
      <c r="K211" s="171" t="s">
        <v>14</v>
      </c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1:26" ht="18" customHeight="1">
      <c r="K212" s="171" t="s">
        <v>14</v>
      </c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1:26" ht="18" customHeight="1">
      <c r="K213" s="171" t="s">
        <v>14</v>
      </c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1:26" ht="18" customHeight="1">
      <c r="K214" s="171" t="s">
        <v>14</v>
      </c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26" ht="18" customHeight="1">
      <c r="K225" s="171" t="s">
        <v>14</v>
      </c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1:26" ht="18" customHeight="1">
      <c r="K226" s="171" t="s">
        <v>14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1:26" ht="18" customHeight="1">
      <c r="K227" s="171" t="s">
        <v>14</v>
      </c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spans="11:26" ht="18" customHeight="1">
      <c r="K228" s="171" t="s">
        <v>14</v>
      </c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spans="11:26" ht="18" customHeight="1">
      <c r="K229" s="171" t="s">
        <v>14</v>
      </c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spans="11:26" ht="18" customHeight="1">
      <c r="K230" s="171" t="s">
        <v>14</v>
      </c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spans="11:26" ht="18" customHeight="1">
      <c r="K231" s="171" t="s">
        <v>14</v>
      </c>
      <c r="L231" s="171"/>
      <c r="M231" s="171"/>
      <c r="N231" s="171"/>
      <c r="O231" s="171"/>
      <c r="P231" s="171"/>
      <c r="Q231" s="171"/>
      <c r="R231" s="171"/>
      <c r="S231" s="171"/>
      <c r="T231" s="171"/>
      <c r="U231" s="171"/>
      <c r="V231" s="171"/>
      <c r="W231" s="171"/>
      <c r="X231" s="171"/>
      <c r="Y231" s="171"/>
      <c r="Z231" s="171"/>
    </row>
    <row r="232" spans="11:26" ht="18" customHeight="1">
      <c r="K232" s="171" t="s">
        <v>14</v>
      </c>
      <c r="L232" s="171"/>
      <c r="M232" s="171"/>
      <c r="N232" s="171"/>
      <c r="O232" s="171"/>
      <c r="P232" s="171"/>
      <c r="Q232" s="171"/>
      <c r="R232" s="171"/>
      <c r="S232" s="171"/>
      <c r="T232" s="171"/>
      <c r="U232" s="171"/>
      <c r="V232" s="171"/>
      <c r="W232" s="171"/>
      <c r="X232" s="171"/>
      <c r="Y232" s="171"/>
      <c r="Z232" s="171"/>
    </row>
    <row r="233" spans="11:26" ht="18" customHeight="1">
      <c r="K233" s="171" t="s">
        <v>14</v>
      </c>
      <c r="L233" s="171"/>
      <c r="M233" s="171"/>
      <c r="N233" s="171"/>
      <c r="O233" s="171"/>
      <c r="P233" s="171"/>
      <c r="Q233" s="171"/>
      <c r="R233" s="171"/>
      <c r="S233" s="171"/>
      <c r="T233" s="171"/>
      <c r="U233" s="171"/>
      <c r="V233" s="171"/>
      <c r="W233" s="171"/>
      <c r="X233" s="171"/>
      <c r="Y233" s="171"/>
      <c r="Z233" s="171"/>
    </row>
    <row r="234" spans="11:26" ht="18" customHeight="1">
      <c r="K234" s="171" t="s">
        <v>14</v>
      </c>
      <c r="L234" s="171"/>
      <c r="M234" s="171"/>
      <c r="N234" s="171"/>
      <c r="O234" s="171"/>
      <c r="P234" s="171"/>
      <c r="Q234" s="171"/>
      <c r="R234" s="171"/>
      <c r="S234" s="171"/>
      <c r="T234" s="171"/>
      <c r="U234" s="171"/>
      <c r="V234" s="171"/>
      <c r="W234" s="171"/>
      <c r="X234" s="171"/>
      <c r="Y234" s="171"/>
      <c r="Z234" s="171"/>
    </row>
    <row r="235" spans="11:26" ht="18" customHeight="1">
      <c r="K235" s="171" t="s">
        <v>14</v>
      </c>
      <c r="L235" s="171"/>
      <c r="M235" s="171"/>
      <c r="N235" s="171"/>
      <c r="O235" s="171"/>
      <c r="P235" s="171"/>
      <c r="Q235" s="171"/>
      <c r="R235" s="171"/>
      <c r="S235" s="171"/>
      <c r="T235" s="171"/>
      <c r="U235" s="171"/>
      <c r="V235" s="171"/>
      <c r="W235" s="171"/>
      <c r="X235" s="171"/>
      <c r="Y235" s="171"/>
      <c r="Z235" s="171"/>
    </row>
    <row r="236" spans="11:26" ht="18" customHeight="1">
      <c r="K236" s="171" t="s">
        <v>14</v>
      </c>
      <c r="L236" s="171"/>
      <c r="M236" s="171"/>
      <c r="N236" s="171"/>
      <c r="O236" s="171"/>
      <c r="P236" s="171"/>
      <c r="Q236" s="171"/>
      <c r="R236" s="171"/>
      <c r="S236" s="171"/>
      <c r="T236" s="171"/>
      <c r="U236" s="171"/>
      <c r="V236" s="171"/>
      <c r="W236" s="171"/>
      <c r="X236" s="171"/>
      <c r="Y236" s="171"/>
      <c r="Z236" s="171"/>
    </row>
    <row r="237" spans="11:26" ht="18" customHeight="1">
      <c r="K237" s="171" t="s">
        <v>14</v>
      </c>
      <c r="L237" s="171"/>
      <c r="M237" s="171"/>
      <c r="N237" s="171"/>
      <c r="O237" s="171"/>
      <c r="P237" s="171"/>
      <c r="Q237" s="171"/>
      <c r="R237" s="171"/>
      <c r="S237" s="171"/>
      <c r="T237" s="171"/>
      <c r="U237" s="171"/>
      <c r="V237" s="171"/>
      <c r="W237" s="171"/>
      <c r="X237" s="171"/>
      <c r="Y237" s="171"/>
      <c r="Z237" s="171"/>
    </row>
    <row r="238" spans="11:26" ht="18" customHeight="1">
      <c r="K238" s="171" t="s">
        <v>14</v>
      </c>
      <c r="L238" s="171"/>
      <c r="M238" s="171"/>
      <c r="N238" s="171"/>
      <c r="O238" s="171"/>
      <c r="P238" s="171"/>
      <c r="Q238" s="171"/>
      <c r="R238" s="171"/>
      <c r="S238" s="171"/>
      <c r="T238" s="171"/>
      <c r="U238" s="171"/>
      <c r="V238" s="171"/>
      <c r="W238" s="171"/>
      <c r="X238" s="171"/>
      <c r="Y238" s="171"/>
      <c r="Z238" s="171"/>
    </row>
    <row r="239" spans="11:26" ht="18" customHeight="1">
      <c r="K239" s="171" t="s">
        <v>14</v>
      </c>
      <c r="L239" s="171"/>
      <c r="M239" s="171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L617" s="171"/>
      <c r="M617" s="171"/>
    </row>
    <row r="618" spans="11:13" ht="18" customHeight="1">
      <c r="L618" s="171"/>
      <c r="M618" s="171"/>
    </row>
    <row r="619" spans="11:13" ht="18" customHeight="1"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  <row r="764" spans="12:12" ht="18" customHeight="1">
      <c r="L764" s="171"/>
    </row>
    <row r="765" spans="12:12" ht="18" customHeight="1">
      <c r="L765" s="171"/>
    </row>
    <row r="766" spans="12:12" ht="18" customHeight="1">
      <c r="L766" s="171"/>
    </row>
    <row r="767" spans="12:12" ht="18" customHeight="1">
      <c r="L767" s="171"/>
    </row>
  </sheetData>
  <mergeCells count="17">
    <mergeCell ref="P49:P50"/>
    <mergeCell ref="Q49:Q50"/>
    <mergeCell ref="Z49:Z50"/>
    <mergeCell ref="B11:C12"/>
    <mergeCell ref="J11:J12"/>
    <mergeCell ref="L11:L12"/>
    <mergeCell ref="N49:N50"/>
    <mergeCell ref="O49:O50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3:V38">
    <cfRule type="cellIs" dxfId="7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8">
    <tabColor rgb="FFFFC000"/>
    <pageSetUpPr fitToPage="1"/>
  </sheetPr>
  <dimension ref="A1:AC765"/>
  <sheetViews>
    <sheetView showGridLines="0" zoomScale="85" zoomScaleNormal="85" zoomScaleSheetLayoutView="75" workbookViewId="0">
      <selection activeCell="G3" sqref="G3:J6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261</v>
      </c>
    </row>
    <row r="2" spans="1:26" ht="19.5" thickBot="1">
      <c r="B2" s="66" t="s">
        <v>1</v>
      </c>
    </row>
    <row r="3" spans="1:26" ht="18" customHeight="1">
      <c r="B3" s="773" t="s">
        <v>432</v>
      </c>
      <c r="C3" s="774"/>
      <c r="D3" s="775">
        <v>5</v>
      </c>
      <c r="E3" s="776"/>
      <c r="F3" s="44" t="s">
        <v>243</v>
      </c>
      <c r="G3" s="767" t="s">
        <v>1104</v>
      </c>
      <c r="H3" s="768"/>
      <c r="I3" s="656">
        <v>2</v>
      </c>
      <c r="J3" s="669" t="s">
        <v>1105</v>
      </c>
    </row>
    <row r="4" spans="1:26" ht="18" customHeight="1">
      <c r="B4" s="777" t="s">
        <v>1211</v>
      </c>
      <c r="C4" s="778"/>
      <c r="D4" s="779">
        <v>3</v>
      </c>
      <c r="E4" s="780"/>
      <c r="F4" s="65" t="str">
        <f>F3</f>
        <v>만인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260</v>
      </c>
      <c r="C5" s="782"/>
      <c r="D5" s="783">
        <f>ROUND((IF(D4&lt;=1,1,D4)/D3)^0.6,3)</f>
        <v>0.73599999999999999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1258</v>
      </c>
      <c r="C6" s="36"/>
      <c r="D6" s="36"/>
      <c r="E6" s="36"/>
      <c r="F6" s="36"/>
      <c r="G6" s="9" t="s">
        <v>1107</v>
      </c>
      <c r="H6" s="36"/>
    </row>
    <row r="7" spans="1:26" ht="18" customHeight="1">
      <c r="B7" s="9" t="s">
        <v>1208</v>
      </c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SUBTOTAL(9,W11:W42)</f>
        <v>972955077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SUBTOTAL(9,W12:W39)</f>
        <v>351958883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SUBTOTAL(9,W13:W34)</f>
        <v>345958883</v>
      </c>
      <c r="X12" s="160"/>
      <c r="Y12" s="168"/>
      <c r="Z12" s="168"/>
    </row>
    <row r="13" spans="1:26" ht="18" customHeight="1">
      <c r="B13" s="225" t="s">
        <v>1089</v>
      </c>
      <c r="C13" s="72"/>
      <c r="D13" s="203">
        <v>0</v>
      </c>
      <c r="E13" s="204">
        <v>0</v>
      </c>
      <c r="F13" s="204">
        <v>0</v>
      </c>
      <c r="G13" s="204">
        <v>0</v>
      </c>
      <c r="H13" s="204">
        <v>0</v>
      </c>
      <c r="I13" s="205">
        <v>0</v>
      </c>
      <c r="J13" s="675" t="s">
        <v>1240</v>
      </c>
      <c r="L13" s="232"/>
      <c r="N13" s="294" t="str">
        <f t="shared" ref="N13:N20" si="0">B13</f>
        <v>1. 조사 및 분석</v>
      </c>
      <c r="O13" s="169"/>
      <c r="P13" s="169"/>
      <c r="Q13" s="169"/>
      <c r="R13" s="169"/>
      <c r="S13" s="169"/>
      <c r="T13" s="169"/>
      <c r="U13" s="226"/>
      <c r="V13" s="248"/>
      <c r="W13" s="193"/>
      <c r="X13" s="194"/>
      <c r="Y13" s="170" t="str">
        <f>IF(A36&gt;0, "제 " &amp;A36&amp; " 호표","")</f>
        <v/>
      </c>
      <c r="Z13" s="170"/>
    </row>
    <row r="14" spans="1:26" ht="18" customHeight="1">
      <c r="B14" s="222" t="s">
        <v>1241</v>
      </c>
      <c r="C14" s="47"/>
      <c r="D14" s="48">
        <f t="shared" ref="D14:I14" si="1">SUBTOTAL(9,D15:D16)</f>
        <v>8.1000000000000014</v>
      </c>
      <c r="E14" s="49">
        <f t="shared" si="1"/>
        <v>12.8</v>
      </c>
      <c r="F14" s="49">
        <f t="shared" si="1"/>
        <v>39.299999999999997</v>
      </c>
      <c r="G14" s="49">
        <f t="shared" si="1"/>
        <v>60.2</v>
      </c>
      <c r="H14" s="49">
        <f t="shared" si="1"/>
        <v>40.4</v>
      </c>
      <c r="I14" s="50">
        <f t="shared" si="1"/>
        <v>42.6</v>
      </c>
      <c r="J14" s="620"/>
      <c r="L14" s="233"/>
      <c r="N14" s="292" t="str">
        <f t="shared" si="0"/>
        <v>2. 기본구상</v>
      </c>
      <c r="O14" s="37"/>
      <c r="P14" s="39"/>
      <c r="Q14" s="37"/>
      <c r="R14" s="117"/>
      <c r="S14" s="37"/>
      <c r="T14" s="37"/>
      <c r="U14" s="226"/>
      <c r="V14" s="231"/>
      <c r="W14" s="195">
        <f ca="1">SUBTOTAL(9,W15:W16)</f>
        <v>43212317</v>
      </c>
      <c r="X14" s="196"/>
      <c r="Y14" s="150" t="str">
        <f>IF(A37&gt;0, "제 " &amp;A37&amp; " 호표","")</f>
        <v/>
      </c>
      <c r="Z14" s="150"/>
    </row>
    <row r="15" spans="1:26" ht="18" customHeight="1">
      <c r="B15" s="223" t="s">
        <v>1242</v>
      </c>
      <c r="C15" s="23"/>
      <c r="D15" s="197">
        <v>2.7</v>
      </c>
      <c r="E15" s="198">
        <v>4.3</v>
      </c>
      <c r="F15" s="198">
        <v>13.1</v>
      </c>
      <c r="G15" s="198">
        <v>20.100000000000001</v>
      </c>
      <c r="H15" s="198">
        <v>20.2</v>
      </c>
      <c r="I15" s="199">
        <v>21.3</v>
      </c>
      <c r="J15" s="389" t="s">
        <v>1259</v>
      </c>
      <c r="L15" s="233">
        <v>1</v>
      </c>
      <c r="N15" s="296" t="str">
        <f t="shared" si="0"/>
        <v>2.1 계획의 배경</v>
      </c>
      <c r="O15" s="37"/>
      <c r="P15" s="39"/>
      <c r="Q15" s="37"/>
      <c r="R15" s="117"/>
      <c r="S15" s="37"/>
      <c r="T15" s="37"/>
      <c r="U15" s="226"/>
      <c r="V15" s="231"/>
      <c r="W15" s="153">
        <f t="array" aca="1" ref="W15" ca="1">SUM((ROUNDDOWN((D38:I38)*단가,0)))</f>
        <v>16893787</v>
      </c>
      <c r="X15" s="154"/>
      <c r="Y15" s="150" t="str">
        <f>IF(A38&gt;0, "제 " &amp;A38&amp; " 호표","")</f>
        <v>제 1 호표</v>
      </c>
      <c r="Z15" s="150"/>
    </row>
    <row r="16" spans="1:26" ht="18" customHeight="1">
      <c r="B16" s="223" t="s">
        <v>1243</v>
      </c>
      <c r="C16" s="23"/>
      <c r="D16" s="197">
        <v>5.4</v>
      </c>
      <c r="E16" s="198">
        <v>8.5</v>
      </c>
      <c r="F16" s="198">
        <v>26.2</v>
      </c>
      <c r="G16" s="198">
        <v>40.1</v>
      </c>
      <c r="H16" s="198">
        <v>20.2</v>
      </c>
      <c r="I16" s="199">
        <v>21.3</v>
      </c>
      <c r="J16" s="443" t="s">
        <v>1090</v>
      </c>
      <c r="L16" s="233">
        <v>1</v>
      </c>
      <c r="N16" s="296" t="str">
        <f t="shared" si="0"/>
        <v>2.2 시·군의 장기발전구상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SUM((ROUNDDOWN((D39:I39)*단가,0)))</f>
        <v>26318530</v>
      </c>
      <c r="X16" s="154"/>
      <c r="Y16" s="150" t="str">
        <f>IF(A39&gt;0, "제 " &amp;A39&amp; " 호표","")</f>
        <v>제 2 호표</v>
      </c>
      <c r="Z16" s="150"/>
    </row>
    <row r="17" spans="2:26" ht="18" customHeight="1">
      <c r="B17" s="222" t="s">
        <v>253</v>
      </c>
      <c r="C17" s="47"/>
      <c r="D17" s="48">
        <f t="shared" ref="D17:I17" si="2">SUBTOTAL(9,D18:D26)</f>
        <v>43.2</v>
      </c>
      <c r="E17" s="49">
        <f t="shared" si="2"/>
        <v>68.899999999999991</v>
      </c>
      <c r="F17" s="49">
        <f t="shared" si="2"/>
        <v>219.6</v>
      </c>
      <c r="G17" s="49">
        <f t="shared" si="2"/>
        <v>280.8</v>
      </c>
      <c r="H17" s="49">
        <f t="shared" si="2"/>
        <v>303</v>
      </c>
      <c r="I17" s="50">
        <f t="shared" si="2"/>
        <v>319.5</v>
      </c>
      <c r="J17" s="653"/>
      <c r="L17" s="233"/>
      <c r="N17" s="292" t="str">
        <f t="shared" si="0"/>
        <v>3. 부문별계획</v>
      </c>
      <c r="O17" s="37"/>
      <c r="P17" s="39"/>
      <c r="Q17" s="37"/>
      <c r="R17" s="117"/>
      <c r="S17" s="37"/>
      <c r="T17" s="37"/>
      <c r="U17" s="226"/>
      <c r="V17" s="231"/>
      <c r="W17" s="195">
        <f ca="1">SUBTOTAL(9,W18:W26)</f>
        <v>256345608</v>
      </c>
      <c r="X17" s="154"/>
      <c r="Y17" s="150" t="str">
        <f>IF(A40&gt;0, "제 " &amp;A40&amp; " 호표","")</f>
        <v/>
      </c>
      <c r="Z17" s="150"/>
    </row>
    <row r="18" spans="2:26" ht="18" customHeight="1">
      <c r="B18" s="223" t="s">
        <v>1244</v>
      </c>
      <c r="C18" s="23"/>
      <c r="D18" s="197">
        <v>10.8</v>
      </c>
      <c r="E18" s="198">
        <v>17.2</v>
      </c>
      <c r="F18" s="198">
        <v>52.4</v>
      </c>
      <c r="G18" s="198">
        <v>60.1</v>
      </c>
      <c r="H18" s="198">
        <v>60.6</v>
      </c>
      <c r="I18" s="199">
        <v>63.9</v>
      </c>
      <c r="J18" s="389" t="s">
        <v>1090</v>
      </c>
      <c r="L18" s="233">
        <v>1</v>
      </c>
      <c r="N18" s="296" t="str">
        <f t="shared" si="0"/>
        <v>3.1 용도지역·지구·구역계획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SUM((ROUNDDOWN((D41:I41)*단가,0)))</f>
        <v>55747403</v>
      </c>
      <c r="X18" s="154"/>
      <c r="Y18" s="150" t="str">
        <f t="shared" ref="Y18:Y34" si="3">IF(A41&gt;0, "제 " &amp;A41&amp; " 호표","")</f>
        <v>제 3 호표</v>
      </c>
      <c r="Z18" s="150"/>
    </row>
    <row r="19" spans="2:26" ht="18" customHeight="1">
      <c r="B19" s="223" t="s">
        <v>1245</v>
      </c>
      <c r="C19" s="23"/>
      <c r="D19" s="197">
        <v>29.7</v>
      </c>
      <c r="E19" s="198">
        <v>47.4</v>
      </c>
      <c r="F19" s="198">
        <v>154.1</v>
      </c>
      <c r="G19" s="198">
        <v>200.6</v>
      </c>
      <c r="H19" s="198">
        <v>222.2</v>
      </c>
      <c r="I19" s="199">
        <v>234.3</v>
      </c>
      <c r="J19" s="389" t="s">
        <v>1090</v>
      </c>
      <c r="L19" s="233">
        <v>1</v>
      </c>
      <c r="N19" s="296" t="str">
        <f t="shared" si="0"/>
        <v>3.2 기반시설계획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SUM((ROUNDDOWN((D42:I42)*단가,0)))</f>
        <v>183704418</v>
      </c>
      <c r="X19" s="154"/>
      <c r="Y19" s="150" t="str">
        <f t="shared" si="3"/>
        <v>제 4 호표</v>
      </c>
      <c r="Z19" s="150"/>
    </row>
    <row r="20" spans="2:26" ht="18" customHeight="1">
      <c r="B20" s="223" t="s">
        <v>1246</v>
      </c>
      <c r="C20" s="23"/>
      <c r="D20" s="197">
        <v>2.7</v>
      </c>
      <c r="E20" s="198">
        <v>4.3</v>
      </c>
      <c r="F20" s="198">
        <v>13.1</v>
      </c>
      <c r="G20" s="198">
        <v>20.100000000000001</v>
      </c>
      <c r="H20" s="198">
        <v>20.2</v>
      </c>
      <c r="I20" s="199">
        <v>21.3</v>
      </c>
      <c r="J20" s="389" t="s">
        <v>1090</v>
      </c>
      <c r="L20" s="233">
        <v>1</v>
      </c>
      <c r="N20" s="296" t="str">
        <f t="shared" si="0"/>
        <v>3.3 도시개발계획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SUM((ROUNDDOWN((D43:I43)*단가,0)))</f>
        <v>16893787</v>
      </c>
      <c r="X20" s="154"/>
      <c r="Y20" s="150" t="str">
        <f t="shared" si="3"/>
        <v>제 5 호표</v>
      </c>
      <c r="Z20" s="150"/>
    </row>
    <row r="21" spans="2:26" ht="18" customHeight="1">
      <c r="B21" s="223" t="s">
        <v>1247</v>
      </c>
      <c r="C21" s="23"/>
      <c r="D21" s="197">
        <v>0</v>
      </c>
      <c r="E21" s="198">
        <v>0</v>
      </c>
      <c r="F21" s="198">
        <v>0</v>
      </c>
      <c r="G21" s="198">
        <v>0</v>
      </c>
      <c r="H21" s="198">
        <v>0</v>
      </c>
      <c r="I21" s="199">
        <v>0</v>
      </c>
      <c r="J21" s="389" t="s">
        <v>1257</v>
      </c>
      <c r="L21" s="233">
        <v>1</v>
      </c>
      <c r="N21" s="296" t="str">
        <f t="shared" ref="N21:N26" si="4">B21</f>
        <v>3.4 경관계획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SUM((ROUNDDOWN((D44:I44)*단가,0)))</f>
        <v>0</v>
      </c>
      <c r="X21" s="154"/>
      <c r="Y21" s="150" t="str">
        <f t="shared" si="3"/>
        <v>제 6 호표</v>
      </c>
      <c r="Z21" s="150"/>
    </row>
    <row r="22" spans="2:26" ht="18" customHeight="1">
      <c r="B22" s="223" t="s">
        <v>1248</v>
      </c>
      <c r="C22" s="23"/>
      <c r="D22" s="197">
        <v>0</v>
      </c>
      <c r="E22" s="198">
        <v>0</v>
      </c>
      <c r="F22" s="198">
        <v>0</v>
      </c>
      <c r="G22" s="198">
        <v>0</v>
      </c>
      <c r="H22" s="198">
        <v>0</v>
      </c>
      <c r="I22" s="199">
        <v>0</v>
      </c>
      <c r="J22" s="389" t="s">
        <v>1240</v>
      </c>
      <c r="L22" s="233">
        <v>1</v>
      </c>
      <c r="N22" s="296" t="str">
        <f t="shared" si="4"/>
        <v>3.5 단계별 집행계획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SUM((ROUNDDOWN((D45:I45)*단가,0)))</f>
        <v>0</v>
      </c>
      <c r="X22" s="154"/>
      <c r="Y22" s="150" t="str">
        <f t="shared" si="3"/>
        <v>제 7 호표</v>
      </c>
      <c r="Z22" s="150"/>
    </row>
    <row r="23" spans="2:26" ht="18" customHeight="1">
      <c r="B23" s="223" t="s">
        <v>1249</v>
      </c>
      <c r="C23" s="23"/>
      <c r="D23" s="197">
        <v>0</v>
      </c>
      <c r="E23" s="198">
        <v>0</v>
      </c>
      <c r="F23" s="198">
        <v>0</v>
      </c>
      <c r="G23" s="198">
        <v>0</v>
      </c>
      <c r="H23" s="198">
        <v>0</v>
      </c>
      <c r="I23" s="199">
        <v>0</v>
      </c>
      <c r="J23" s="389" t="s">
        <v>1238</v>
      </c>
      <c r="L23" s="233">
        <v>1</v>
      </c>
      <c r="N23" s="296" t="str">
        <f t="shared" si="4"/>
        <v>3.6 환경성검토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SUM((ROUNDDOWN((D46:I46)*단가,0)))</f>
        <v>0</v>
      </c>
      <c r="X23" s="154"/>
      <c r="Y23" s="150" t="str">
        <f t="shared" si="3"/>
        <v>제 8 호표</v>
      </c>
      <c r="Z23" s="150"/>
    </row>
    <row r="24" spans="2:26" ht="18" customHeight="1">
      <c r="B24" s="223" t="s">
        <v>1250</v>
      </c>
      <c r="C24" s="23"/>
      <c r="D24" s="197">
        <v>0</v>
      </c>
      <c r="E24" s="198">
        <v>0</v>
      </c>
      <c r="F24" s="198">
        <v>0</v>
      </c>
      <c r="G24" s="198">
        <v>0</v>
      </c>
      <c r="H24" s="198">
        <v>0</v>
      </c>
      <c r="I24" s="199">
        <v>0</v>
      </c>
      <c r="J24" s="389" t="s">
        <v>1238</v>
      </c>
      <c r="L24" s="233">
        <v>1</v>
      </c>
      <c r="N24" s="296" t="str">
        <f t="shared" si="4"/>
        <v>3.7 교통성검토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SUM((ROUNDDOWN((D47:I47)*단가,0)))</f>
        <v>0</v>
      </c>
      <c r="X24" s="154"/>
      <c r="Y24" s="150" t="str">
        <f t="shared" si="3"/>
        <v>제 9 호표</v>
      </c>
      <c r="Z24" s="150"/>
    </row>
    <row r="25" spans="2:26" ht="18" customHeight="1">
      <c r="B25" s="223" t="s">
        <v>1251</v>
      </c>
      <c r="C25" s="23"/>
      <c r="D25" s="197">
        <v>0</v>
      </c>
      <c r="E25" s="198">
        <v>0</v>
      </c>
      <c r="F25" s="198">
        <v>0</v>
      </c>
      <c r="G25" s="198">
        <v>0</v>
      </c>
      <c r="H25" s="198">
        <v>0</v>
      </c>
      <c r="I25" s="199">
        <v>0</v>
      </c>
      <c r="J25" s="389" t="s">
        <v>1238</v>
      </c>
      <c r="L25" s="233">
        <v>1</v>
      </c>
      <c r="N25" s="296" t="str">
        <f t="shared" si="4"/>
        <v>3.8 토지적성평가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SUM((ROUNDDOWN((D48:I48)*단가,0)))</f>
        <v>0</v>
      </c>
      <c r="X25" s="154"/>
      <c r="Y25" s="150" t="str">
        <f t="shared" si="3"/>
        <v>제 10 호표</v>
      </c>
      <c r="Z25" s="150"/>
    </row>
    <row r="26" spans="2:26" ht="18" customHeight="1">
      <c r="B26" s="223" t="s">
        <v>1252</v>
      </c>
      <c r="C26" s="23"/>
      <c r="D26" s="197">
        <v>0</v>
      </c>
      <c r="E26" s="198">
        <v>0</v>
      </c>
      <c r="F26" s="198">
        <v>0</v>
      </c>
      <c r="G26" s="198">
        <v>0</v>
      </c>
      <c r="H26" s="198">
        <v>0</v>
      </c>
      <c r="I26" s="199">
        <v>0</v>
      </c>
      <c r="J26" s="390" t="s">
        <v>1238</v>
      </c>
      <c r="L26" s="233">
        <v>1</v>
      </c>
      <c r="N26" s="296" t="str">
        <f t="shared" si="4"/>
        <v>3.9 재해취약성분석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SUM((ROUNDDOWN((D49:I49)*단가,0)))</f>
        <v>0</v>
      </c>
      <c r="X26" s="154"/>
      <c r="Y26" s="150" t="str">
        <f t="shared" si="3"/>
        <v>제 11 호표</v>
      </c>
      <c r="Z26" s="150"/>
    </row>
    <row r="27" spans="2:26" ht="18" customHeight="1">
      <c r="B27" s="222" t="s">
        <v>256</v>
      </c>
      <c r="C27" s="47"/>
      <c r="D27" s="48">
        <f t="shared" ref="D27:I27" si="5">SUBTOTAL(9,D28:D29)</f>
        <v>3</v>
      </c>
      <c r="E27" s="49">
        <f t="shared" si="5"/>
        <v>4.8000000000000007</v>
      </c>
      <c r="F27" s="49">
        <f t="shared" si="5"/>
        <v>11.7</v>
      </c>
      <c r="G27" s="49">
        <f t="shared" si="5"/>
        <v>22.200000000000003</v>
      </c>
      <c r="H27" s="49">
        <f t="shared" si="5"/>
        <v>39.700000000000003</v>
      </c>
      <c r="I27" s="50">
        <f t="shared" si="5"/>
        <v>43.3</v>
      </c>
      <c r="J27" s="620"/>
      <c r="L27" s="233"/>
      <c r="N27" s="292" t="str">
        <f t="shared" ref="N27:N34" si="6">B27</f>
        <v>4. 성과품작성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SUBTOTAL(9,W28:W29)</f>
        <v>24698382</v>
      </c>
      <c r="X27" s="154"/>
      <c r="Y27" s="150" t="str">
        <f t="shared" si="3"/>
        <v/>
      </c>
      <c r="Z27" s="150"/>
    </row>
    <row r="28" spans="2:26" ht="18" customHeight="1">
      <c r="B28" s="223" t="s">
        <v>1253</v>
      </c>
      <c r="C28" s="23"/>
      <c r="D28" s="197">
        <v>2</v>
      </c>
      <c r="E28" s="198">
        <v>3.2</v>
      </c>
      <c r="F28" s="198">
        <v>7.8</v>
      </c>
      <c r="G28" s="198">
        <v>14.8</v>
      </c>
      <c r="H28" s="198">
        <v>15.9</v>
      </c>
      <c r="I28" s="199">
        <v>17.3</v>
      </c>
      <c r="J28" s="389" t="s">
        <v>1090</v>
      </c>
      <c r="L28" s="233">
        <v>1</v>
      </c>
      <c r="N28" s="296" t="str">
        <f t="shared" si="6"/>
        <v>4.1 보고서작성 및 편집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SUM((ROUNDDOWN((D51:I51)*단가,0)))</f>
        <v>12505554</v>
      </c>
      <c r="X28" s="154"/>
      <c r="Y28" s="150" t="str">
        <f t="shared" si="3"/>
        <v>제 12 호표</v>
      </c>
      <c r="Z28" s="150"/>
    </row>
    <row r="29" spans="2:26" ht="18" customHeight="1">
      <c r="B29" s="259" t="s">
        <v>1254</v>
      </c>
      <c r="C29" s="43"/>
      <c r="D29" s="206">
        <v>1</v>
      </c>
      <c r="E29" s="207">
        <v>1.6</v>
      </c>
      <c r="F29" s="207">
        <v>3.9</v>
      </c>
      <c r="G29" s="207">
        <v>7.4</v>
      </c>
      <c r="H29" s="207">
        <v>23.8</v>
      </c>
      <c r="I29" s="208">
        <v>26</v>
      </c>
      <c r="J29" s="390" t="s">
        <v>1090</v>
      </c>
      <c r="L29" s="233">
        <v>1</v>
      </c>
      <c r="N29" s="296" t="str">
        <f t="shared" si="6"/>
        <v>4.2 관련도서작성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SUM((ROUNDDOWN((D52:I52)*단가,0)))</f>
        <v>12192828</v>
      </c>
      <c r="X29" s="154"/>
      <c r="Y29" s="150" t="str">
        <f t="shared" si="3"/>
        <v>제 13 호표</v>
      </c>
      <c r="Z29" s="150"/>
    </row>
    <row r="30" spans="2:26" ht="18" customHeight="1">
      <c r="B30" s="222" t="s">
        <v>232</v>
      </c>
      <c r="C30" s="47"/>
      <c r="D30" s="48">
        <f t="shared" ref="D30:I30" si="7">SUBTOTAL(9,D31:D34)</f>
        <v>8</v>
      </c>
      <c r="E30" s="49">
        <f t="shared" si="7"/>
        <v>8</v>
      </c>
      <c r="F30" s="49">
        <f t="shared" si="7"/>
        <v>8</v>
      </c>
      <c r="G30" s="49">
        <f t="shared" si="7"/>
        <v>16</v>
      </c>
      <c r="H30" s="49">
        <f t="shared" si="7"/>
        <v>16</v>
      </c>
      <c r="I30" s="50">
        <f t="shared" si="7"/>
        <v>16</v>
      </c>
      <c r="J30" s="620"/>
      <c r="L30" s="233"/>
      <c r="N30" s="292" t="str">
        <f t="shared" si="6"/>
        <v>5. 기술협의</v>
      </c>
      <c r="O30" s="37"/>
      <c r="P30" s="39"/>
      <c r="Q30" s="37"/>
      <c r="R30" s="117"/>
      <c r="S30" s="37"/>
      <c r="T30" s="37"/>
      <c r="U30" s="226"/>
      <c r="V30" s="231"/>
      <c r="W30" s="195">
        <f ca="1">SUBTOTAL(9,W31:W34)</f>
        <v>21702576</v>
      </c>
      <c r="X30" s="154"/>
      <c r="Y30" s="150" t="str">
        <f t="shared" si="3"/>
        <v/>
      </c>
      <c r="Z30" s="150"/>
    </row>
    <row r="31" spans="2:26" ht="18" customHeight="1">
      <c r="B31" s="223" t="s">
        <v>1203</v>
      </c>
      <c r="C31" s="23"/>
      <c r="D31" s="197">
        <v>2</v>
      </c>
      <c r="E31" s="198">
        <v>2</v>
      </c>
      <c r="F31" s="198">
        <v>2</v>
      </c>
      <c r="G31" s="198">
        <v>4</v>
      </c>
      <c r="H31" s="198">
        <v>4</v>
      </c>
      <c r="I31" s="199">
        <v>4</v>
      </c>
      <c r="J31" s="389" t="s">
        <v>1260</v>
      </c>
      <c r="L31" s="233">
        <v>1</v>
      </c>
      <c r="N31" s="296" t="str">
        <f t="shared" si="6"/>
        <v>5.1 공청회/주민설명회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SUM((ROUNDDOWN((D54:I54)*단가,0)))</f>
        <v>5425644</v>
      </c>
      <c r="X31" s="154"/>
      <c r="Y31" s="150" t="str">
        <f t="shared" si="3"/>
        <v>제 14 호표</v>
      </c>
      <c r="Z31" s="150"/>
    </row>
    <row r="32" spans="2:26" ht="18" customHeight="1">
      <c r="B32" s="223" t="s">
        <v>1255</v>
      </c>
      <c r="C32" s="23"/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389" t="s">
        <v>1094</v>
      </c>
      <c r="L32" s="233">
        <v>1</v>
      </c>
      <c r="N32" s="296" t="str">
        <f t="shared" si="6"/>
        <v>5.2 주민간담회/시민계획단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SUM((ROUNDDOWN((D55:I55)*단가,0)))</f>
        <v>5425644</v>
      </c>
      <c r="X32" s="154"/>
      <c r="Y32" s="150" t="str">
        <f t="shared" si="3"/>
        <v>제 15 호표</v>
      </c>
      <c r="Z32" s="150"/>
    </row>
    <row r="33" spans="1:26" ht="18" customHeight="1">
      <c r="B33" s="223" t="s">
        <v>1205</v>
      </c>
      <c r="C33" s="23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1094</v>
      </c>
      <c r="L33" s="233">
        <v>1</v>
      </c>
      <c r="N33" s="296" t="str">
        <f t="shared" si="6"/>
        <v>5.3 위원회심의 지원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SUM((ROUNDDOWN((D56:I56)*단가,0)))</f>
        <v>5425644</v>
      </c>
      <c r="X33" s="154"/>
      <c r="Y33" s="150" t="str">
        <f t="shared" si="3"/>
        <v>제 16 호표</v>
      </c>
      <c r="Z33" s="150"/>
    </row>
    <row r="34" spans="1:26" ht="18" customHeight="1" thickBot="1">
      <c r="B34" s="223" t="s">
        <v>1256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612" t="s">
        <v>1094</v>
      </c>
      <c r="L34" s="233">
        <v>1</v>
      </c>
      <c r="N34" s="296" t="str">
        <f t="shared" si="6"/>
        <v>5.4 관계기관 협의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SUM((ROUNDDOWN((D57:I57)*단가,0)))</f>
        <v>5425644</v>
      </c>
      <c r="X34" s="154"/>
      <c r="Y34" s="150" t="str">
        <f t="shared" si="3"/>
        <v>제 17 호표</v>
      </c>
      <c r="Z34" s="150"/>
    </row>
    <row r="35" spans="1:26" ht="18" customHeight="1" thickBot="1">
      <c r="B35" s="14" t="s">
        <v>30</v>
      </c>
      <c r="C35" s="16"/>
      <c r="D35" s="14" t="s">
        <v>12</v>
      </c>
      <c r="E35" s="15"/>
      <c r="F35" s="15"/>
      <c r="G35" s="15"/>
      <c r="H35" s="15"/>
      <c r="I35" s="16"/>
      <c r="J35" s="175" t="s">
        <v>31</v>
      </c>
      <c r="N35" s="379"/>
      <c r="P35" s="371"/>
      <c r="R35" s="357"/>
      <c r="S35" s="1"/>
      <c r="T35" s="1"/>
      <c r="U35" s="258"/>
      <c r="V35" s="380"/>
      <c r="W35" s="373"/>
      <c r="X35" s="374"/>
      <c r="Y35" s="378"/>
      <c r="Z35" s="378"/>
    </row>
    <row r="36" spans="1:26" ht="18" customHeight="1">
      <c r="B36" s="225" t="s">
        <v>1089</v>
      </c>
      <c r="C36" s="72"/>
      <c r="D36" s="203">
        <v>0</v>
      </c>
      <c r="E36" s="204">
        <v>0</v>
      </c>
      <c r="F36" s="204">
        <v>0</v>
      </c>
      <c r="G36" s="204">
        <v>0</v>
      </c>
      <c r="H36" s="204">
        <v>0</v>
      </c>
      <c r="I36" s="205">
        <v>0</v>
      </c>
      <c r="J36" s="73"/>
      <c r="N36" s="290" t="s">
        <v>10</v>
      </c>
      <c r="O36" s="129"/>
      <c r="P36" s="130"/>
      <c r="Q36" s="124"/>
      <c r="R36" s="131"/>
      <c r="S36" s="124"/>
      <c r="T36" s="124"/>
      <c r="U36" s="181"/>
      <c r="V36" s="181"/>
      <c r="W36" s="159">
        <f>SUBTOTAL(9,W37:W39)</f>
        <v>6000000</v>
      </c>
      <c r="X36" s="160"/>
      <c r="Y36" s="124"/>
      <c r="Z36" s="124"/>
    </row>
    <row r="37" spans="1:26" ht="18" customHeight="1">
      <c r="B37" s="222" t="s">
        <v>1241</v>
      </c>
      <c r="C37" s="47"/>
      <c r="D37" s="48">
        <f t="shared" ref="D37:I37" si="8">SUBTOTAL(9,D38:D39)</f>
        <v>5.9610000000000003</v>
      </c>
      <c r="E37" s="49">
        <f t="shared" si="8"/>
        <v>9.42</v>
      </c>
      <c r="F37" s="49">
        <f t="shared" si="8"/>
        <v>28.923999999999999</v>
      </c>
      <c r="G37" s="49">
        <f t="shared" si="8"/>
        <v>44.305999999999997</v>
      </c>
      <c r="H37" s="49">
        <f t="shared" si="8"/>
        <v>29.734000000000002</v>
      </c>
      <c r="I37" s="50">
        <f t="shared" si="8"/>
        <v>31.352</v>
      </c>
      <c r="J37" s="74"/>
      <c r="N37" s="291" t="str">
        <f>"여비("&amp;TEXT(T37,"#인 ×")&amp;TEXT(U37,"#일 ×")&amp;TEXT(V37,"###,###원)")</f>
        <v>여비(3인 ×10일 ×100,000원)</v>
      </c>
      <c r="O37" s="78"/>
      <c r="P37" s="52"/>
      <c r="Q37" s="51"/>
      <c r="T37" s="146">
        <v>3</v>
      </c>
      <c r="U37" s="146">
        <v>10</v>
      </c>
      <c r="V37" s="147">
        <v>100000</v>
      </c>
      <c r="W37" s="161">
        <f>T37*U37*V37</f>
        <v>3000000</v>
      </c>
      <c r="X37" s="162"/>
      <c r="Y37" s="51"/>
      <c r="Z37" s="51"/>
    </row>
    <row r="38" spans="1:26" ht="18" customHeight="1">
      <c r="A38" s="326">
        <v>1</v>
      </c>
      <c r="B38" s="223" t="s">
        <v>1242</v>
      </c>
      <c r="C38" s="23"/>
      <c r="D38" s="197">
        <f t="array" ref="D38:I39">ROUNDDOWN(D15:I16*D5*L15:L16,3)</f>
        <v>1.9870000000000001</v>
      </c>
      <c r="E38" s="198">
        <v>3.1640000000000001</v>
      </c>
      <c r="F38" s="198">
        <v>9.641</v>
      </c>
      <c r="G38" s="198">
        <v>14.792999999999999</v>
      </c>
      <c r="H38" s="198">
        <v>14.867000000000001</v>
      </c>
      <c r="I38" s="199">
        <v>15.676</v>
      </c>
      <c r="J38" s="789"/>
      <c r="N38" s="292" t="s">
        <v>46</v>
      </c>
      <c r="O38" s="79"/>
      <c r="P38" s="39"/>
      <c r="Q38" s="37"/>
      <c r="R38" s="117"/>
      <c r="S38" s="37"/>
      <c r="T38" s="37"/>
      <c r="U38" s="180"/>
      <c r="V38" s="180"/>
      <c r="W38" s="157">
        <v>2000000</v>
      </c>
      <c r="X38" s="158"/>
      <c r="Y38" s="37"/>
      <c r="Z38" s="37"/>
    </row>
    <row r="39" spans="1:26" ht="18" customHeight="1">
      <c r="A39" s="326">
        <v>2</v>
      </c>
      <c r="B39" s="223" t="s">
        <v>1243</v>
      </c>
      <c r="C39" s="23"/>
      <c r="D39" s="197">
        <v>3.9740000000000002</v>
      </c>
      <c r="E39" s="198">
        <v>6.2560000000000002</v>
      </c>
      <c r="F39" s="198">
        <v>19.283000000000001</v>
      </c>
      <c r="G39" s="198">
        <v>29.513000000000002</v>
      </c>
      <c r="H39" s="198">
        <v>14.867000000000001</v>
      </c>
      <c r="I39" s="199">
        <v>15.676</v>
      </c>
      <c r="J39" s="790"/>
      <c r="N39" s="293" t="s">
        <v>13</v>
      </c>
      <c r="O39" s="132"/>
      <c r="P39" s="38"/>
      <c r="Q39" s="38"/>
      <c r="R39" s="116"/>
      <c r="S39" s="38"/>
      <c r="T39" s="38"/>
      <c r="U39" s="183"/>
      <c r="V39" s="183"/>
      <c r="W39" s="155">
        <v>1000000</v>
      </c>
      <c r="X39" s="156"/>
      <c r="Y39" s="38"/>
      <c r="Z39" s="38"/>
    </row>
    <row r="40" spans="1:26" ht="18" customHeight="1">
      <c r="B40" s="222" t="s">
        <v>253</v>
      </c>
      <c r="C40" s="47"/>
      <c r="D40" s="48">
        <f t="shared" ref="D40:I40" si="9">SUBTOTAL(9,D41:D49)</f>
        <v>31.794000000000004</v>
      </c>
      <c r="E40" s="49">
        <f t="shared" si="9"/>
        <v>50.709000000000003</v>
      </c>
      <c r="F40" s="49">
        <f t="shared" si="9"/>
        <v>161.624</v>
      </c>
      <c r="G40" s="49">
        <f t="shared" si="9"/>
        <v>206.667</v>
      </c>
      <c r="H40" s="49">
        <f t="shared" si="9"/>
        <v>223.00699999999998</v>
      </c>
      <c r="I40" s="50">
        <f t="shared" si="9"/>
        <v>235.14999999999998</v>
      </c>
      <c r="J40" s="74"/>
      <c r="M40" s="171"/>
      <c r="N40" s="127" t="s">
        <v>47</v>
      </c>
      <c r="O40" s="123"/>
      <c r="P40" s="123"/>
      <c r="Q40" s="123"/>
      <c r="R40" s="123"/>
      <c r="S40" s="123"/>
      <c r="T40" s="123"/>
      <c r="U40" s="184"/>
      <c r="V40" s="184"/>
      <c r="W40" s="163">
        <f ca="1">SUBTOTAL(9,W41:W42)</f>
        <v>620996194</v>
      </c>
      <c r="X40" s="164"/>
      <c r="Y40" s="123"/>
      <c r="Z40" s="123"/>
    </row>
    <row r="41" spans="1:26" ht="18" customHeight="1">
      <c r="A41" s="326">
        <v>3</v>
      </c>
      <c r="B41" s="223" t="s">
        <v>1244</v>
      </c>
      <c r="C41" s="23"/>
      <c r="D41" s="197">
        <f t="array" ref="D41:I49">ROUNDDOWN(D18:I26*D5*L18:L26,3)</f>
        <v>7.9480000000000004</v>
      </c>
      <c r="E41" s="198">
        <v>12.659000000000001</v>
      </c>
      <c r="F41" s="198">
        <v>38.566000000000003</v>
      </c>
      <c r="G41" s="198">
        <v>44.232999999999997</v>
      </c>
      <c r="H41" s="198">
        <v>44.600999999999999</v>
      </c>
      <c r="I41" s="199">
        <v>47.03</v>
      </c>
      <c r="J41" s="74"/>
      <c r="M41" s="171"/>
      <c r="N41" s="133" t="s">
        <v>861</v>
      </c>
      <c r="O41" s="124"/>
      <c r="P41" s="134"/>
      <c r="Q41" s="124"/>
      <c r="R41" s="131"/>
      <c r="S41" s="124"/>
      <c r="T41" s="181"/>
      <c r="U41" s="181"/>
      <c r="V41" s="190">
        <v>1.1499999999999999</v>
      </c>
      <c r="W41" s="159">
        <f ca="1">ROUNDDOWN(W12*V41,0)</f>
        <v>397852715</v>
      </c>
      <c r="X41" s="160"/>
      <c r="Y41" s="124"/>
      <c r="Z41" s="124"/>
    </row>
    <row r="42" spans="1:26" ht="18" customHeight="1" thickBot="1">
      <c r="A42" s="326">
        <v>4</v>
      </c>
      <c r="B42" s="223" t="s">
        <v>1245</v>
      </c>
      <c r="C42" s="23"/>
      <c r="D42" s="197">
        <v>21.859000000000002</v>
      </c>
      <c r="E42" s="198">
        <v>34.886000000000003</v>
      </c>
      <c r="F42" s="198">
        <v>113.417</v>
      </c>
      <c r="G42" s="198">
        <v>147.64099999999999</v>
      </c>
      <c r="H42" s="198">
        <v>163.53899999999999</v>
      </c>
      <c r="I42" s="199">
        <v>172.44399999999999</v>
      </c>
      <c r="J42" s="74"/>
      <c r="M42" s="171"/>
      <c r="N42" s="135" t="s">
        <v>862</v>
      </c>
      <c r="O42" s="136"/>
      <c r="P42" s="137"/>
      <c r="Q42" s="136"/>
      <c r="R42" s="138"/>
      <c r="S42" s="136"/>
      <c r="T42" s="185"/>
      <c r="U42" s="185"/>
      <c r="V42" s="191">
        <v>0.3</v>
      </c>
      <c r="W42" s="165">
        <f ca="1">ROUNDDOWN((W12+W41)*V42,0)</f>
        <v>223143479</v>
      </c>
      <c r="X42" s="166"/>
      <c r="Y42" s="136"/>
      <c r="Z42" s="136"/>
    </row>
    <row r="43" spans="1:26" ht="18" customHeight="1">
      <c r="A43" s="326">
        <v>5</v>
      </c>
      <c r="B43" s="223" t="s">
        <v>1246</v>
      </c>
      <c r="C43" s="23"/>
      <c r="D43" s="197">
        <v>1.9870000000000001</v>
      </c>
      <c r="E43" s="198">
        <v>3.1640000000000001</v>
      </c>
      <c r="F43" s="198">
        <v>9.641</v>
      </c>
      <c r="G43" s="198">
        <v>14.792999999999999</v>
      </c>
      <c r="H43" s="198">
        <v>14.867000000000001</v>
      </c>
      <c r="I43" s="199">
        <v>15.676</v>
      </c>
      <c r="J43" s="74"/>
      <c r="M43" s="171"/>
    </row>
    <row r="44" spans="1:26" ht="18" customHeight="1">
      <c r="A44" s="326">
        <v>6</v>
      </c>
      <c r="B44" s="223" t="s">
        <v>1247</v>
      </c>
      <c r="C44" s="23"/>
      <c r="D44" s="197">
        <v>0</v>
      </c>
      <c r="E44" s="198">
        <v>0</v>
      </c>
      <c r="F44" s="198">
        <v>0</v>
      </c>
      <c r="G44" s="198">
        <v>0</v>
      </c>
      <c r="H44" s="198">
        <v>0</v>
      </c>
      <c r="I44" s="199">
        <v>0</v>
      </c>
      <c r="J44" s="389"/>
      <c r="M44" s="171"/>
    </row>
    <row r="45" spans="1:26" ht="18" customHeight="1" thickBot="1">
      <c r="A45" s="326">
        <v>7</v>
      </c>
      <c r="B45" s="223" t="s">
        <v>1248</v>
      </c>
      <c r="C45" s="23"/>
      <c r="D45" s="197">
        <v>0</v>
      </c>
      <c r="E45" s="198">
        <v>0</v>
      </c>
      <c r="F45" s="198">
        <v>0</v>
      </c>
      <c r="G45" s="198">
        <v>0</v>
      </c>
      <c r="H45" s="198">
        <v>0</v>
      </c>
      <c r="I45" s="199">
        <v>0</v>
      </c>
      <c r="J45" s="389"/>
      <c r="M45" s="171"/>
      <c r="N45" s="66" t="s">
        <v>18</v>
      </c>
      <c r="O45" s="2"/>
      <c r="P45" s="2"/>
      <c r="Q45" s="2"/>
      <c r="R45" s="3"/>
      <c r="S45" s="4"/>
      <c r="T45" s="3"/>
      <c r="U45" s="4"/>
      <c r="V45" s="3"/>
      <c r="W45" s="4"/>
      <c r="X45" s="3"/>
      <c r="Y45" s="4"/>
      <c r="Z45" s="2"/>
    </row>
    <row r="46" spans="1:26" ht="18" customHeight="1">
      <c r="A46" s="326">
        <v>8</v>
      </c>
      <c r="B46" s="223" t="s">
        <v>1249</v>
      </c>
      <c r="C46" s="23"/>
      <c r="D46" s="197">
        <v>0</v>
      </c>
      <c r="E46" s="198">
        <v>0</v>
      </c>
      <c r="F46" s="198">
        <v>0</v>
      </c>
      <c r="G46" s="198">
        <v>0</v>
      </c>
      <c r="H46" s="198">
        <v>0</v>
      </c>
      <c r="I46" s="199">
        <v>0</v>
      </c>
      <c r="J46" s="389"/>
      <c r="M46" s="171"/>
      <c r="N46" s="765" t="s">
        <v>19</v>
      </c>
      <c r="O46" s="755" t="s">
        <v>20</v>
      </c>
      <c r="P46" s="755" t="s">
        <v>21</v>
      </c>
      <c r="Q46" s="755" t="s">
        <v>16</v>
      </c>
      <c r="R46" s="5" t="s">
        <v>22</v>
      </c>
      <c r="S46" s="5"/>
      <c r="T46" s="5" t="s">
        <v>23</v>
      </c>
      <c r="U46" s="5"/>
      <c r="V46" s="5" t="s">
        <v>24</v>
      </c>
      <c r="W46" s="5"/>
      <c r="X46" s="5" t="s">
        <v>25</v>
      </c>
      <c r="Y46" s="5"/>
      <c r="Z46" s="755" t="s">
        <v>26</v>
      </c>
    </row>
    <row r="47" spans="1:26" ht="18" customHeight="1" thickBot="1">
      <c r="A47" s="326">
        <v>9</v>
      </c>
      <c r="B47" s="223" t="s">
        <v>1250</v>
      </c>
      <c r="C47" s="23"/>
      <c r="D47" s="197">
        <v>0</v>
      </c>
      <c r="E47" s="198">
        <v>0</v>
      </c>
      <c r="F47" s="198">
        <v>0</v>
      </c>
      <c r="G47" s="198">
        <v>0</v>
      </c>
      <c r="H47" s="198">
        <v>0</v>
      </c>
      <c r="I47" s="199">
        <v>0</v>
      </c>
      <c r="J47" s="389"/>
      <c r="M47" s="171"/>
      <c r="N47" s="766"/>
      <c r="O47" s="756"/>
      <c r="P47" s="756"/>
      <c r="Q47" s="756"/>
      <c r="R47" s="67" t="s">
        <v>27</v>
      </c>
      <c r="S47" s="67" t="s">
        <v>28</v>
      </c>
      <c r="T47" s="67" t="s">
        <v>27</v>
      </c>
      <c r="U47" s="67" t="s">
        <v>28</v>
      </c>
      <c r="V47" s="67" t="s">
        <v>27</v>
      </c>
      <c r="W47" s="67" t="s">
        <v>28</v>
      </c>
      <c r="X47" s="67" t="s">
        <v>27</v>
      </c>
      <c r="Y47" s="67" t="s">
        <v>28</v>
      </c>
      <c r="Z47" s="756"/>
    </row>
    <row r="48" spans="1:26" ht="18" customHeight="1" thickTop="1">
      <c r="A48" s="326">
        <v>10</v>
      </c>
      <c r="B48" s="223" t="s">
        <v>1251</v>
      </c>
      <c r="C48" s="23"/>
      <c r="D48" s="197">
        <v>0</v>
      </c>
      <c r="E48" s="198">
        <v>0</v>
      </c>
      <c r="F48" s="198">
        <v>0</v>
      </c>
      <c r="G48" s="198">
        <v>0</v>
      </c>
      <c r="H48" s="198">
        <v>0</v>
      </c>
      <c r="I48" s="199">
        <v>0</v>
      </c>
      <c r="J48" s="389"/>
      <c r="M48" s="171"/>
      <c r="N48" s="318" t="str">
        <f ca="1">"제 " &amp; Z48 &amp; " 호표  "&amp; OFFSET($A$1,MATCH(Z48,$A:$A,0)-1,1)</f>
        <v>제 1 호표  2.1 계획의 배경</v>
      </c>
      <c r="O48" s="221"/>
      <c r="P48" s="148"/>
      <c r="Q48" s="148"/>
      <c r="R48" s="149"/>
      <c r="S48" s="149"/>
      <c r="T48" s="149"/>
      <c r="U48" s="149"/>
      <c r="V48" s="149"/>
      <c r="W48" s="149"/>
      <c r="X48" s="149"/>
      <c r="Y48" s="149"/>
      <c r="Z48" s="325">
        <v>1</v>
      </c>
    </row>
    <row r="49" spans="1:26" ht="18" customHeight="1">
      <c r="A49" s="326">
        <v>11</v>
      </c>
      <c r="B49" s="223" t="s">
        <v>1252</v>
      </c>
      <c r="C49" s="23"/>
      <c r="D49" s="197">
        <v>0</v>
      </c>
      <c r="E49" s="198">
        <v>0</v>
      </c>
      <c r="F49" s="198">
        <v>0</v>
      </c>
      <c r="G49" s="198">
        <v>0</v>
      </c>
      <c r="H49" s="198">
        <v>0</v>
      </c>
      <c r="I49" s="199">
        <v>0</v>
      </c>
      <c r="J49" s="389"/>
      <c r="M49" s="171"/>
      <c r="N49" s="140" t="s">
        <v>43</v>
      </c>
      <c r="O49" s="172">
        <v>3</v>
      </c>
      <c r="P49" s="219">
        <f ca="1">OFFSET($A$1,MATCH(Z48,$A:$A,0)-1,O49)</f>
        <v>1.9870000000000001</v>
      </c>
      <c r="Q49" s="141" t="s">
        <v>29</v>
      </c>
      <c r="R49" s="142">
        <f t="shared" ref="R49:S54" ca="1" si="10">T49</f>
        <v>467217</v>
      </c>
      <c r="S49" s="142">
        <f t="shared" ca="1" si="10"/>
        <v>928360</v>
      </c>
      <c r="T49" s="142">
        <f ca="1">기술사</f>
        <v>467217</v>
      </c>
      <c r="U49" s="142">
        <f t="shared" ref="U49:U54" ca="1" si="11">ROUNDDOWN(P49*R49,0)</f>
        <v>928360</v>
      </c>
      <c r="V49" s="142"/>
      <c r="W49" s="142"/>
      <c r="X49" s="142"/>
      <c r="Y49" s="142"/>
      <c r="Z49" s="114"/>
    </row>
    <row r="50" spans="1:26" ht="18" customHeight="1">
      <c r="B50" s="222" t="s">
        <v>98</v>
      </c>
      <c r="C50" s="47"/>
      <c r="D50" s="48">
        <f t="shared" ref="D50:I50" si="12">SUBTOTAL(9,D51:D52)</f>
        <v>2.2080000000000002</v>
      </c>
      <c r="E50" s="49">
        <f t="shared" si="12"/>
        <v>3.532</v>
      </c>
      <c r="F50" s="49">
        <f t="shared" si="12"/>
        <v>8.61</v>
      </c>
      <c r="G50" s="49">
        <f t="shared" si="12"/>
        <v>16.338000000000001</v>
      </c>
      <c r="H50" s="49">
        <f t="shared" si="12"/>
        <v>29.217999999999996</v>
      </c>
      <c r="I50" s="50">
        <f t="shared" si="12"/>
        <v>31.867999999999999</v>
      </c>
      <c r="J50" s="74"/>
      <c r="M50" s="171"/>
      <c r="N50" s="143" t="s">
        <v>32</v>
      </c>
      <c r="O50" s="173">
        <v>4</v>
      </c>
      <c r="P50" s="234">
        <f ca="1">OFFSET($A$1,MATCH(Z48,$A:$A,0)-1,O50)</f>
        <v>3.1640000000000001</v>
      </c>
      <c r="Q50" s="144" t="s">
        <v>29</v>
      </c>
      <c r="R50" s="118">
        <f t="shared" ca="1" si="10"/>
        <v>373353</v>
      </c>
      <c r="S50" s="118">
        <f t="shared" ca="1" si="10"/>
        <v>1181288</v>
      </c>
      <c r="T50" s="118">
        <f ca="1">특급</f>
        <v>373353</v>
      </c>
      <c r="U50" s="118">
        <f t="shared" ca="1" si="11"/>
        <v>1181288</v>
      </c>
      <c r="V50" s="118"/>
      <c r="W50" s="118"/>
      <c r="X50" s="118"/>
      <c r="Y50" s="118"/>
      <c r="Z50" s="115"/>
    </row>
    <row r="51" spans="1:26" ht="18" customHeight="1">
      <c r="A51" s="326">
        <v>12</v>
      </c>
      <c r="B51" s="223" t="s">
        <v>1253</v>
      </c>
      <c r="C51" s="23"/>
      <c r="D51" s="197">
        <f t="array" ref="D51:I52">ROUNDDOWN(D28:I29*D5*L28:L29,3)</f>
        <v>1.472</v>
      </c>
      <c r="E51" s="198">
        <v>2.355</v>
      </c>
      <c r="F51" s="198">
        <v>5.74</v>
      </c>
      <c r="G51" s="198">
        <v>10.891999999999999</v>
      </c>
      <c r="H51" s="198">
        <v>11.702</v>
      </c>
      <c r="I51" s="199">
        <v>12.731999999999999</v>
      </c>
      <c r="J51" s="74"/>
      <c r="M51" s="171"/>
      <c r="N51" s="145" t="s">
        <v>39</v>
      </c>
      <c r="O51" s="173">
        <v>5</v>
      </c>
      <c r="P51" s="234">
        <f ca="1">OFFSET($A$1,MATCH(Z48,$A:$A,0)-1,O51)</f>
        <v>9.641</v>
      </c>
      <c r="Q51" s="144" t="s">
        <v>29</v>
      </c>
      <c r="R51" s="118">
        <f t="shared" ca="1" si="10"/>
        <v>310884</v>
      </c>
      <c r="S51" s="118">
        <f t="shared" ca="1" si="10"/>
        <v>2997232</v>
      </c>
      <c r="T51" s="118">
        <f ca="1">고급</f>
        <v>310884</v>
      </c>
      <c r="U51" s="118">
        <f t="shared" ca="1" si="11"/>
        <v>2997232</v>
      </c>
      <c r="V51" s="118"/>
      <c r="W51" s="118"/>
      <c r="X51" s="118"/>
      <c r="Y51" s="118"/>
      <c r="Z51" s="115"/>
    </row>
    <row r="52" spans="1:26" ht="18" customHeight="1">
      <c r="A52" s="326">
        <v>13</v>
      </c>
      <c r="B52" s="259" t="s">
        <v>1254</v>
      </c>
      <c r="C52" s="43"/>
      <c r="D52" s="206">
        <v>0.73599999999999999</v>
      </c>
      <c r="E52" s="207">
        <v>1.177</v>
      </c>
      <c r="F52" s="207">
        <v>2.87</v>
      </c>
      <c r="G52" s="207">
        <v>5.4459999999999997</v>
      </c>
      <c r="H52" s="207">
        <v>17.515999999999998</v>
      </c>
      <c r="I52" s="208">
        <v>19.135999999999999</v>
      </c>
      <c r="J52" s="239"/>
      <c r="M52" s="171"/>
      <c r="N52" s="145" t="s">
        <v>40</v>
      </c>
      <c r="O52" s="173">
        <v>6</v>
      </c>
      <c r="P52" s="234">
        <f ca="1">OFFSET($A$1,MATCH(Z48,$A:$A,0)-1,O52)</f>
        <v>14.792999999999999</v>
      </c>
      <c r="Q52" s="144" t="s">
        <v>29</v>
      </c>
      <c r="R52" s="118">
        <f t="shared" ca="1" si="10"/>
        <v>295138</v>
      </c>
      <c r="S52" s="118">
        <f t="shared" ca="1" si="10"/>
        <v>4365976</v>
      </c>
      <c r="T52" s="118">
        <f ca="1">중급</f>
        <v>295138</v>
      </c>
      <c r="U52" s="118">
        <f t="shared" ca="1" si="11"/>
        <v>4365976</v>
      </c>
      <c r="V52" s="118"/>
      <c r="W52" s="118"/>
      <c r="X52" s="118"/>
      <c r="Y52" s="118"/>
      <c r="Z52" s="115"/>
    </row>
    <row r="53" spans="1:26" ht="18" customHeight="1">
      <c r="B53" s="222" t="s">
        <v>232</v>
      </c>
      <c r="C53" s="47"/>
      <c r="D53" s="48">
        <f t="shared" ref="D53:I53" si="13">SUBTOTAL(9,D54:D57)</f>
        <v>8</v>
      </c>
      <c r="E53" s="49">
        <f t="shared" si="13"/>
        <v>8</v>
      </c>
      <c r="F53" s="49">
        <f t="shared" si="13"/>
        <v>8</v>
      </c>
      <c r="G53" s="49">
        <f t="shared" si="13"/>
        <v>16</v>
      </c>
      <c r="H53" s="49">
        <f t="shared" si="13"/>
        <v>16</v>
      </c>
      <c r="I53" s="50">
        <f t="shared" si="13"/>
        <v>16</v>
      </c>
      <c r="J53" s="786"/>
      <c r="M53" s="171"/>
      <c r="N53" s="145" t="s">
        <v>41</v>
      </c>
      <c r="O53" s="173">
        <v>7</v>
      </c>
      <c r="P53" s="234">
        <f ca="1">OFFSET($A$1,MATCH(Z48,$A:$A,0)-1,O53)</f>
        <v>14.867000000000001</v>
      </c>
      <c r="Q53" s="144" t="s">
        <v>29</v>
      </c>
      <c r="R53" s="118">
        <f t="shared" ca="1" si="10"/>
        <v>235459</v>
      </c>
      <c r="S53" s="118">
        <f t="shared" ca="1" si="10"/>
        <v>3500568</v>
      </c>
      <c r="T53" s="118">
        <f ca="1">초급</f>
        <v>235459</v>
      </c>
      <c r="U53" s="118">
        <f t="shared" ca="1" si="11"/>
        <v>3500568</v>
      </c>
      <c r="V53" s="118"/>
      <c r="W53" s="118"/>
      <c r="X53" s="118"/>
      <c r="Y53" s="118"/>
      <c r="Z53" s="115"/>
    </row>
    <row r="54" spans="1:26" ht="18" customHeight="1">
      <c r="A54" s="326">
        <v>14</v>
      </c>
      <c r="B54" s="223" t="s">
        <v>1203</v>
      </c>
      <c r="C54" s="23"/>
      <c r="D54" s="197">
        <f t="array" ref="D54:I57">ROUNDDOWN(D31:I34*L31:L34*I5,3)</f>
        <v>2</v>
      </c>
      <c r="E54" s="198">
        <v>2</v>
      </c>
      <c r="F54" s="198">
        <v>2</v>
      </c>
      <c r="G54" s="198">
        <v>4</v>
      </c>
      <c r="H54" s="198">
        <v>4</v>
      </c>
      <c r="I54" s="199">
        <v>4</v>
      </c>
      <c r="J54" s="787"/>
      <c r="L54" s="171"/>
      <c r="M54" s="171"/>
      <c r="N54" s="319" t="s">
        <v>42</v>
      </c>
      <c r="O54" s="174">
        <v>8</v>
      </c>
      <c r="P54" s="235">
        <f ca="1">OFFSET($A$1,MATCH(Z48,$A:$A,0)-1,O54)</f>
        <v>15.676</v>
      </c>
      <c r="Q54" s="322" t="s">
        <v>29</v>
      </c>
      <c r="R54" s="323">
        <f t="shared" ca="1" si="10"/>
        <v>250087</v>
      </c>
      <c r="S54" s="323">
        <f t="shared" ca="1" si="10"/>
        <v>3920363</v>
      </c>
      <c r="T54" s="323">
        <f ca="1">보조원</f>
        <v>250087</v>
      </c>
      <c r="U54" s="323">
        <f t="shared" ca="1" si="11"/>
        <v>3920363</v>
      </c>
      <c r="V54" s="323"/>
      <c r="W54" s="323"/>
      <c r="X54" s="323"/>
      <c r="Y54" s="323"/>
      <c r="Z54" s="324"/>
    </row>
    <row r="55" spans="1:26" ht="18" customHeight="1">
      <c r="A55" s="326">
        <v>15</v>
      </c>
      <c r="B55" s="223" t="s">
        <v>1255</v>
      </c>
      <c r="C55" s="23"/>
      <c r="D55" s="197">
        <v>2</v>
      </c>
      <c r="E55" s="198">
        <v>2</v>
      </c>
      <c r="F55" s="198">
        <v>2</v>
      </c>
      <c r="G55" s="198">
        <v>4</v>
      </c>
      <c r="H55" s="198">
        <v>4</v>
      </c>
      <c r="I55" s="199">
        <v>4</v>
      </c>
      <c r="J55" s="787"/>
      <c r="L55" s="171"/>
      <c r="M55" s="171"/>
      <c r="N55" s="139" t="s">
        <v>17</v>
      </c>
      <c r="O55" s="68"/>
      <c r="P55" s="69"/>
      <c r="Q55" s="70"/>
      <c r="R55" s="71"/>
      <c r="S55" s="71">
        <f ca="1">SUBTOTAL(9,S49:S54)</f>
        <v>16893787</v>
      </c>
      <c r="T55" s="71"/>
      <c r="U55" s="71">
        <f ca="1">SUBTOTAL(9,U49:U54)</f>
        <v>16893787</v>
      </c>
      <c r="V55" s="71"/>
      <c r="W55" s="71"/>
      <c r="X55" s="71"/>
      <c r="Y55" s="71"/>
      <c r="Z55" s="68"/>
    </row>
    <row r="56" spans="1:26" ht="18" customHeight="1">
      <c r="A56" s="326">
        <v>16</v>
      </c>
      <c r="B56" s="223" t="s">
        <v>1205</v>
      </c>
      <c r="C56" s="23"/>
      <c r="D56" s="197">
        <v>2</v>
      </c>
      <c r="E56" s="198">
        <v>2</v>
      </c>
      <c r="F56" s="198">
        <v>2</v>
      </c>
      <c r="G56" s="198">
        <v>4</v>
      </c>
      <c r="H56" s="198">
        <v>4</v>
      </c>
      <c r="I56" s="199">
        <v>4</v>
      </c>
      <c r="J56" s="787"/>
      <c r="L56" s="171"/>
      <c r="M56" s="171"/>
      <c r="N56" s="318" t="str">
        <f ca="1">"제 " &amp; Z56 &amp; " 호표  "&amp; OFFSET($A$1,MATCH(Z56,$A:$A,0)-1,1)</f>
        <v>제 2 호표  2.2 시·군의 장기발전구상</v>
      </c>
      <c r="O56" s="221"/>
      <c r="P56" s="148"/>
      <c r="Q56" s="148"/>
      <c r="R56" s="149"/>
      <c r="S56" s="149"/>
      <c r="T56" s="149"/>
      <c r="U56" s="149"/>
      <c r="V56" s="149"/>
      <c r="W56" s="149"/>
      <c r="X56" s="149"/>
      <c r="Y56" s="149"/>
      <c r="Z56" s="325">
        <f>Z48+1</f>
        <v>2</v>
      </c>
    </row>
    <row r="57" spans="1:26" ht="18" customHeight="1" thickBot="1">
      <c r="A57" s="326">
        <v>17</v>
      </c>
      <c r="B57" s="388" t="s">
        <v>1256</v>
      </c>
      <c r="C57" s="342"/>
      <c r="D57" s="343">
        <v>2</v>
      </c>
      <c r="E57" s="344">
        <v>2</v>
      </c>
      <c r="F57" s="344">
        <v>2</v>
      </c>
      <c r="G57" s="344">
        <v>4</v>
      </c>
      <c r="H57" s="344">
        <v>4</v>
      </c>
      <c r="I57" s="345">
        <v>4</v>
      </c>
      <c r="J57" s="788"/>
      <c r="L57" s="171"/>
      <c r="M57" s="171"/>
      <c r="N57" s="140" t="s">
        <v>43</v>
      </c>
      <c r="O57" s="172">
        <v>3</v>
      </c>
      <c r="P57" s="219">
        <f ca="1">OFFSET($A$1,MATCH(Z56,$A:$A,0)-1,O57)</f>
        <v>3.9740000000000002</v>
      </c>
      <c r="Q57" s="141" t="s">
        <v>29</v>
      </c>
      <c r="R57" s="142">
        <f t="shared" ref="R57:S62" ca="1" si="14">T57</f>
        <v>467217</v>
      </c>
      <c r="S57" s="142">
        <f t="shared" ca="1" si="14"/>
        <v>1856720</v>
      </c>
      <c r="T57" s="142">
        <f ca="1">기술사</f>
        <v>467217</v>
      </c>
      <c r="U57" s="142">
        <f t="shared" ref="U57:U62" ca="1" si="15">ROUNDDOWN(P57*R57,0)</f>
        <v>1856720</v>
      </c>
      <c r="V57" s="142"/>
      <c r="W57" s="142"/>
      <c r="X57" s="142"/>
      <c r="Y57" s="142"/>
      <c r="Z57" s="114"/>
    </row>
    <row r="58" spans="1:26" ht="18" customHeight="1">
      <c r="B58" s="80" t="s">
        <v>15</v>
      </c>
      <c r="C58" s="9" t="s">
        <v>1261</v>
      </c>
      <c r="L58" s="171"/>
      <c r="M58" s="171"/>
      <c r="N58" s="143" t="s">
        <v>32</v>
      </c>
      <c r="O58" s="173">
        <v>4</v>
      </c>
      <c r="P58" s="234">
        <f ca="1">OFFSET($A$1,MATCH(Z56,$A:$A,0)-1,O58)</f>
        <v>6.2560000000000002</v>
      </c>
      <c r="Q58" s="144" t="s">
        <v>29</v>
      </c>
      <c r="R58" s="118">
        <f t="shared" ca="1" si="14"/>
        <v>373353</v>
      </c>
      <c r="S58" s="118">
        <f t="shared" ca="1" si="14"/>
        <v>2335696</v>
      </c>
      <c r="T58" s="118">
        <f ca="1">특급</f>
        <v>373353</v>
      </c>
      <c r="U58" s="118">
        <f t="shared" ca="1" si="15"/>
        <v>2335696</v>
      </c>
      <c r="V58" s="118"/>
      <c r="W58" s="118"/>
      <c r="X58" s="118"/>
      <c r="Y58" s="118"/>
      <c r="Z58" s="115"/>
    </row>
    <row r="59" spans="1:26" ht="18" customHeight="1">
      <c r="C59" s="1" t="s">
        <v>1262</v>
      </c>
      <c r="K59" s="171" t="s">
        <v>14</v>
      </c>
      <c r="L59" s="171"/>
      <c r="M59" s="171"/>
      <c r="N59" s="145" t="s">
        <v>39</v>
      </c>
      <c r="O59" s="173">
        <v>5</v>
      </c>
      <c r="P59" s="234">
        <f ca="1">OFFSET($A$1,MATCH(Z56,$A:$A,0)-1,O59)</f>
        <v>19.283000000000001</v>
      </c>
      <c r="Q59" s="144" t="s">
        <v>29</v>
      </c>
      <c r="R59" s="118">
        <f t="shared" ca="1" si="14"/>
        <v>310884</v>
      </c>
      <c r="S59" s="118">
        <f t="shared" ca="1" si="14"/>
        <v>5994776</v>
      </c>
      <c r="T59" s="118">
        <f ca="1">고급</f>
        <v>310884</v>
      </c>
      <c r="U59" s="118">
        <f t="shared" ca="1" si="15"/>
        <v>5994776</v>
      </c>
      <c r="V59" s="118"/>
      <c r="W59" s="118"/>
      <c r="X59" s="118"/>
      <c r="Y59" s="118"/>
      <c r="Z59" s="115"/>
    </row>
    <row r="60" spans="1:26" ht="18" customHeight="1">
      <c r="C60" s="1" t="s">
        <v>1217</v>
      </c>
      <c r="K60" s="171" t="s">
        <v>14</v>
      </c>
      <c r="L60" s="171"/>
      <c r="M60" s="171"/>
      <c r="N60" s="145" t="s">
        <v>40</v>
      </c>
      <c r="O60" s="173">
        <v>6</v>
      </c>
      <c r="P60" s="234">
        <f ca="1">OFFSET($A$1,MATCH(Z56,$A:$A,0)-1,O60)</f>
        <v>29.513000000000002</v>
      </c>
      <c r="Q60" s="144" t="s">
        <v>29</v>
      </c>
      <c r="R60" s="118">
        <f t="shared" ca="1" si="14"/>
        <v>295138</v>
      </c>
      <c r="S60" s="118">
        <f t="shared" ca="1" si="14"/>
        <v>8710407</v>
      </c>
      <c r="T60" s="118">
        <f ca="1">중급</f>
        <v>295138</v>
      </c>
      <c r="U60" s="118">
        <f t="shared" ca="1" si="15"/>
        <v>8710407</v>
      </c>
      <c r="V60" s="118"/>
      <c r="W60" s="118"/>
      <c r="X60" s="118"/>
      <c r="Y60" s="118"/>
      <c r="Z60" s="115"/>
    </row>
    <row r="61" spans="1:26" ht="18" customHeight="1">
      <c r="C61" s="9" t="s">
        <v>1218</v>
      </c>
      <c r="K61" s="171" t="s">
        <v>14</v>
      </c>
      <c r="L61" s="171"/>
      <c r="M61" s="171"/>
      <c r="N61" s="145" t="s">
        <v>41</v>
      </c>
      <c r="O61" s="173">
        <v>7</v>
      </c>
      <c r="P61" s="234">
        <f ca="1">OFFSET($A$1,MATCH(Z56,$A:$A,0)-1,O61)</f>
        <v>14.867000000000001</v>
      </c>
      <c r="Q61" s="144" t="s">
        <v>29</v>
      </c>
      <c r="R61" s="118">
        <f t="shared" ca="1" si="14"/>
        <v>235459</v>
      </c>
      <c r="S61" s="118">
        <f t="shared" ca="1" si="14"/>
        <v>3500568</v>
      </c>
      <c r="T61" s="118">
        <f ca="1">초급</f>
        <v>235459</v>
      </c>
      <c r="U61" s="118">
        <f t="shared" ca="1" si="15"/>
        <v>3500568</v>
      </c>
      <c r="V61" s="118"/>
      <c r="W61" s="118"/>
      <c r="X61" s="118"/>
      <c r="Y61" s="118"/>
      <c r="Z61" s="115"/>
    </row>
    <row r="62" spans="1:26" ht="18" customHeight="1">
      <c r="C62" s="9" t="s">
        <v>1263</v>
      </c>
      <c r="K62" s="171" t="s">
        <v>14</v>
      </c>
      <c r="L62" s="171"/>
      <c r="M62" s="171"/>
      <c r="N62" s="319" t="s">
        <v>42</v>
      </c>
      <c r="O62" s="174">
        <v>8</v>
      </c>
      <c r="P62" s="235">
        <f ca="1">OFFSET($A$1,MATCH(Z56,$A:$A,0)-1,O62)</f>
        <v>15.676</v>
      </c>
      <c r="Q62" s="322" t="s">
        <v>29</v>
      </c>
      <c r="R62" s="323">
        <f t="shared" ca="1" si="14"/>
        <v>250087</v>
      </c>
      <c r="S62" s="323">
        <f t="shared" ca="1" si="14"/>
        <v>3920363</v>
      </c>
      <c r="T62" s="323">
        <f ca="1">보조원</f>
        <v>250087</v>
      </c>
      <c r="U62" s="323">
        <f t="shared" ca="1" si="15"/>
        <v>3920363</v>
      </c>
      <c r="V62" s="323"/>
      <c r="W62" s="323"/>
      <c r="X62" s="323"/>
      <c r="Y62" s="323"/>
      <c r="Z62" s="324"/>
    </row>
    <row r="63" spans="1:26" ht="18" customHeight="1">
      <c r="C63" s="1" t="s">
        <v>1264</v>
      </c>
      <c r="K63" s="171" t="s">
        <v>14</v>
      </c>
      <c r="L63" s="171"/>
      <c r="M63" s="171"/>
      <c r="N63" s="139" t="s">
        <v>17</v>
      </c>
      <c r="O63" s="68"/>
      <c r="P63" s="69"/>
      <c r="Q63" s="70"/>
      <c r="R63" s="71"/>
      <c r="S63" s="71">
        <f ca="1">SUBTOTAL(9,S57:S62)</f>
        <v>26318530</v>
      </c>
      <c r="T63" s="71"/>
      <c r="U63" s="71">
        <f ca="1">SUBTOTAL(9,U57:U62)</f>
        <v>26318530</v>
      </c>
      <c r="V63" s="71"/>
      <c r="W63" s="71"/>
      <c r="X63" s="71"/>
      <c r="Y63" s="71"/>
      <c r="Z63" s="68"/>
    </row>
    <row r="64" spans="1:26" ht="18" customHeight="1">
      <c r="C64" s="9" t="s">
        <v>1220</v>
      </c>
      <c r="K64" s="171" t="s">
        <v>14</v>
      </c>
      <c r="L64" s="171"/>
      <c r="M64" s="171"/>
      <c r="N64" s="318" t="str">
        <f ca="1">"제 " &amp; Z64 &amp; " 호표  "&amp; OFFSET($A$1,MATCH(Z64,$A:$A,0)-1,1)</f>
        <v>제 3 호표  3.1 용도지역·지구·구역계획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f>Z56+1</f>
        <v>3</v>
      </c>
    </row>
    <row r="65" spans="3:26" ht="18" customHeight="1">
      <c r="C65" s="9" t="s">
        <v>1221</v>
      </c>
      <c r="K65" s="171" t="s">
        <v>14</v>
      </c>
      <c r="L65" s="171"/>
      <c r="M65" s="171"/>
      <c r="N65" s="140" t="s">
        <v>43</v>
      </c>
      <c r="O65" s="172">
        <v>3</v>
      </c>
      <c r="P65" s="219">
        <f ca="1">OFFSET($A$1,MATCH(Z64,$A:$A,0)-1,O65)</f>
        <v>7.9480000000000004</v>
      </c>
      <c r="Q65" s="141" t="s">
        <v>29</v>
      </c>
      <c r="R65" s="142">
        <f t="shared" ref="R65:S70" ca="1" si="16">T65</f>
        <v>467217</v>
      </c>
      <c r="S65" s="142">
        <f t="shared" ca="1" si="16"/>
        <v>3713440</v>
      </c>
      <c r="T65" s="142">
        <f ca="1">기술사</f>
        <v>467217</v>
      </c>
      <c r="U65" s="142">
        <f t="shared" ref="U65:U70" ca="1" si="17">ROUNDDOWN(P65*R65,0)</f>
        <v>3713440</v>
      </c>
      <c r="V65" s="142"/>
      <c r="W65" s="142"/>
      <c r="X65" s="142"/>
      <c r="Y65" s="142"/>
      <c r="Z65" s="114"/>
    </row>
    <row r="66" spans="3:26" ht="18" customHeight="1">
      <c r="C66" s="1" t="s">
        <v>1265</v>
      </c>
      <c r="K66" s="171" t="s">
        <v>14</v>
      </c>
      <c r="L66" s="171"/>
      <c r="M66" s="171"/>
      <c r="N66" s="143" t="s">
        <v>32</v>
      </c>
      <c r="O66" s="173">
        <v>4</v>
      </c>
      <c r="P66" s="234">
        <f ca="1">OFFSET($A$1,MATCH(Z64,$A:$A,0)-1,O66)</f>
        <v>12.659000000000001</v>
      </c>
      <c r="Q66" s="144" t="s">
        <v>29</v>
      </c>
      <c r="R66" s="118">
        <f t="shared" ca="1" si="16"/>
        <v>373353</v>
      </c>
      <c r="S66" s="118">
        <f t="shared" ca="1" si="16"/>
        <v>4726275</v>
      </c>
      <c r="T66" s="118">
        <f ca="1">특급</f>
        <v>373353</v>
      </c>
      <c r="U66" s="118">
        <f t="shared" ca="1" si="17"/>
        <v>4726275</v>
      </c>
      <c r="V66" s="118"/>
      <c r="W66" s="118"/>
      <c r="X66" s="118"/>
      <c r="Y66" s="118"/>
      <c r="Z66" s="115"/>
    </row>
    <row r="67" spans="3:26" ht="18" customHeight="1">
      <c r="C67" s="1" t="s">
        <v>1266</v>
      </c>
      <c r="K67" s="171" t="s">
        <v>14</v>
      </c>
      <c r="L67" s="171"/>
      <c r="M67" s="171"/>
      <c r="N67" s="145" t="s">
        <v>39</v>
      </c>
      <c r="O67" s="173">
        <v>5</v>
      </c>
      <c r="P67" s="234">
        <f ca="1">OFFSET($A$1,MATCH(Z64,$A:$A,0)-1,O67)</f>
        <v>38.566000000000003</v>
      </c>
      <c r="Q67" s="144" t="s">
        <v>29</v>
      </c>
      <c r="R67" s="118">
        <f t="shared" ca="1" si="16"/>
        <v>310884</v>
      </c>
      <c r="S67" s="118">
        <f t="shared" ca="1" si="16"/>
        <v>11989552</v>
      </c>
      <c r="T67" s="118">
        <f ca="1">고급</f>
        <v>310884</v>
      </c>
      <c r="U67" s="118">
        <f t="shared" ca="1" si="17"/>
        <v>11989552</v>
      </c>
      <c r="V67" s="118"/>
      <c r="W67" s="118"/>
      <c r="X67" s="118"/>
      <c r="Y67" s="118"/>
      <c r="Z67" s="115"/>
    </row>
    <row r="68" spans="3:26" ht="18" customHeight="1">
      <c r="K68" s="171" t="s">
        <v>14</v>
      </c>
      <c r="L68" s="171"/>
      <c r="M68" s="171"/>
      <c r="N68" s="145" t="s">
        <v>40</v>
      </c>
      <c r="O68" s="173">
        <v>6</v>
      </c>
      <c r="P68" s="234">
        <f ca="1">OFFSET($A$1,MATCH(Z64,$A:$A,0)-1,O68)</f>
        <v>44.232999999999997</v>
      </c>
      <c r="Q68" s="144" t="s">
        <v>29</v>
      </c>
      <c r="R68" s="118">
        <f t="shared" ca="1" si="16"/>
        <v>295138</v>
      </c>
      <c r="S68" s="118">
        <f t="shared" ca="1" si="16"/>
        <v>13054839</v>
      </c>
      <c r="T68" s="118">
        <f ca="1">중급</f>
        <v>295138</v>
      </c>
      <c r="U68" s="118">
        <f t="shared" ca="1" si="17"/>
        <v>13054839</v>
      </c>
      <c r="V68" s="118"/>
      <c r="W68" s="118"/>
      <c r="X68" s="118"/>
      <c r="Y68" s="118"/>
      <c r="Z68" s="115"/>
    </row>
    <row r="69" spans="3:26" ht="18" customHeight="1">
      <c r="K69" s="171" t="s">
        <v>14</v>
      </c>
      <c r="L69" s="171"/>
      <c r="M69" s="171"/>
      <c r="N69" s="145" t="s">
        <v>41</v>
      </c>
      <c r="O69" s="173">
        <v>7</v>
      </c>
      <c r="P69" s="234">
        <f ca="1">OFFSET($A$1,MATCH(Z64,$A:$A,0)-1,O69)</f>
        <v>44.600999999999999</v>
      </c>
      <c r="Q69" s="144" t="s">
        <v>29</v>
      </c>
      <c r="R69" s="118">
        <f t="shared" ca="1" si="16"/>
        <v>235459</v>
      </c>
      <c r="S69" s="118">
        <f t="shared" ca="1" si="16"/>
        <v>10501706</v>
      </c>
      <c r="T69" s="118">
        <f ca="1">초급</f>
        <v>235459</v>
      </c>
      <c r="U69" s="118">
        <f t="shared" ca="1" si="17"/>
        <v>10501706</v>
      </c>
      <c r="V69" s="118"/>
      <c r="W69" s="118"/>
      <c r="X69" s="118"/>
      <c r="Y69" s="118"/>
      <c r="Z69" s="115"/>
    </row>
    <row r="70" spans="3:26" ht="18" customHeight="1">
      <c r="K70" s="171" t="s">
        <v>14</v>
      </c>
      <c r="L70" s="171"/>
      <c r="M70" s="171"/>
      <c r="N70" s="319" t="s">
        <v>42</v>
      </c>
      <c r="O70" s="174">
        <v>8</v>
      </c>
      <c r="P70" s="235">
        <f ca="1">OFFSET($A$1,MATCH(Z64,$A:$A,0)-1,O70)</f>
        <v>47.03</v>
      </c>
      <c r="Q70" s="322" t="s">
        <v>29</v>
      </c>
      <c r="R70" s="323">
        <f t="shared" ca="1" si="16"/>
        <v>250087</v>
      </c>
      <c r="S70" s="323">
        <f t="shared" ca="1" si="16"/>
        <v>11761591</v>
      </c>
      <c r="T70" s="323">
        <f ca="1">보조원</f>
        <v>250087</v>
      </c>
      <c r="U70" s="323">
        <f t="shared" ca="1" si="17"/>
        <v>11761591</v>
      </c>
      <c r="V70" s="323"/>
      <c r="W70" s="323"/>
      <c r="X70" s="323"/>
      <c r="Y70" s="323"/>
      <c r="Z70" s="324"/>
    </row>
    <row r="71" spans="3:26" ht="18" customHeight="1">
      <c r="C71" s="9"/>
      <c r="K71" s="171" t="s">
        <v>14</v>
      </c>
      <c r="L71" s="171"/>
      <c r="M71" s="171"/>
      <c r="N71" s="139" t="s">
        <v>17</v>
      </c>
      <c r="O71" s="68"/>
      <c r="P71" s="69"/>
      <c r="Q71" s="70"/>
      <c r="R71" s="71"/>
      <c r="S71" s="71">
        <f ca="1">SUBTOTAL(9,S65:S70)</f>
        <v>55747403</v>
      </c>
      <c r="T71" s="71"/>
      <c r="U71" s="71">
        <f ca="1">SUBTOTAL(9,U65:U70)</f>
        <v>55747403</v>
      </c>
      <c r="V71" s="71"/>
      <c r="W71" s="71"/>
      <c r="X71" s="71"/>
      <c r="Y71" s="71"/>
      <c r="Z71" s="68"/>
    </row>
    <row r="72" spans="3:26" ht="18" customHeight="1">
      <c r="C72" s="9"/>
      <c r="K72" s="171" t="s">
        <v>14</v>
      </c>
      <c r="L72" s="171"/>
      <c r="M72" s="171"/>
      <c r="N72" s="318" t="str">
        <f ca="1">"제 " &amp; Z72 &amp; " 호표  "&amp; OFFSET($A$1,MATCH(Z72,$A:$A,0)-1,1)</f>
        <v>제 4 호표  3.2 기반시설계획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4</v>
      </c>
    </row>
    <row r="73" spans="3:26" ht="18" customHeight="1">
      <c r="K73" s="171" t="s">
        <v>14</v>
      </c>
      <c r="L73" s="171"/>
      <c r="M73" s="171"/>
      <c r="N73" s="140" t="s">
        <v>43</v>
      </c>
      <c r="O73" s="172">
        <v>3</v>
      </c>
      <c r="P73" s="219">
        <f ca="1">OFFSET($A$1,MATCH(Z72,$A:$A,0)-1,O73)</f>
        <v>21.859000000000002</v>
      </c>
      <c r="Q73" s="141" t="s">
        <v>29</v>
      </c>
      <c r="R73" s="142">
        <f t="shared" ref="R73:S78" ca="1" si="18">T73</f>
        <v>467217</v>
      </c>
      <c r="S73" s="142">
        <f t="shared" ca="1" si="18"/>
        <v>10212896</v>
      </c>
      <c r="T73" s="142">
        <f ca="1">기술사</f>
        <v>467217</v>
      </c>
      <c r="U73" s="142">
        <f t="shared" ref="U73:U78" ca="1" si="19">ROUNDDOWN(P73*R73,0)</f>
        <v>10212896</v>
      </c>
      <c r="V73" s="142"/>
      <c r="W73" s="142"/>
      <c r="X73" s="142"/>
      <c r="Y73" s="142"/>
      <c r="Z73" s="114"/>
    </row>
    <row r="74" spans="3:26" ht="18" customHeight="1">
      <c r="K74" s="171" t="s">
        <v>14</v>
      </c>
      <c r="L74" s="171"/>
      <c r="M74" s="171"/>
      <c r="N74" s="143" t="s">
        <v>32</v>
      </c>
      <c r="O74" s="173">
        <v>4</v>
      </c>
      <c r="P74" s="234">
        <f ca="1">OFFSET($A$1,MATCH(Z72,$A:$A,0)-1,O74)</f>
        <v>34.886000000000003</v>
      </c>
      <c r="Q74" s="144" t="s">
        <v>29</v>
      </c>
      <c r="R74" s="118">
        <f t="shared" ca="1" si="18"/>
        <v>373353</v>
      </c>
      <c r="S74" s="118">
        <f t="shared" ca="1" si="18"/>
        <v>13024792</v>
      </c>
      <c r="T74" s="118">
        <f ca="1">특급</f>
        <v>373353</v>
      </c>
      <c r="U74" s="118">
        <f t="shared" ca="1" si="19"/>
        <v>13024792</v>
      </c>
      <c r="V74" s="118"/>
      <c r="W74" s="118"/>
      <c r="X74" s="118"/>
      <c r="Y74" s="118"/>
      <c r="Z74" s="115"/>
    </row>
    <row r="75" spans="3:26" ht="18" customHeight="1">
      <c r="K75" s="171" t="s">
        <v>14</v>
      </c>
      <c r="L75" s="171"/>
      <c r="M75" s="171"/>
      <c r="N75" s="145" t="s">
        <v>39</v>
      </c>
      <c r="O75" s="173">
        <v>5</v>
      </c>
      <c r="P75" s="234">
        <f ca="1">OFFSET($A$1,MATCH(Z72,$A:$A,0)-1,O75)</f>
        <v>113.417</v>
      </c>
      <c r="Q75" s="144" t="s">
        <v>29</v>
      </c>
      <c r="R75" s="118">
        <f t="shared" ca="1" si="18"/>
        <v>310884</v>
      </c>
      <c r="S75" s="118">
        <f t="shared" ca="1" si="18"/>
        <v>35259530</v>
      </c>
      <c r="T75" s="118">
        <f ca="1">고급</f>
        <v>310884</v>
      </c>
      <c r="U75" s="118">
        <f t="shared" ca="1" si="19"/>
        <v>35259530</v>
      </c>
      <c r="V75" s="118"/>
      <c r="W75" s="118"/>
      <c r="X75" s="118"/>
      <c r="Y75" s="118"/>
      <c r="Z75" s="115"/>
    </row>
    <row r="76" spans="3:26" ht="18" customHeight="1">
      <c r="K76" s="171" t="s">
        <v>14</v>
      </c>
      <c r="L76" s="171"/>
      <c r="M76" s="171"/>
      <c r="N76" s="145" t="s">
        <v>40</v>
      </c>
      <c r="O76" s="173">
        <v>6</v>
      </c>
      <c r="P76" s="234">
        <f ca="1">OFFSET($A$1,MATCH(Z72,$A:$A,0)-1,O76)</f>
        <v>147.64099999999999</v>
      </c>
      <c r="Q76" s="144" t="s">
        <v>29</v>
      </c>
      <c r="R76" s="118">
        <f t="shared" ca="1" si="18"/>
        <v>295138</v>
      </c>
      <c r="S76" s="118">
        <f t="shared" ca="1" si="18"/>
        <v>43574469</v>
      </c>
      <c r="T76" s="118">
        <f ca="1">중급</f>
        <v>295138</v>
      </c>
      <c r="U76" s="118">
        <f t="shared" ca="1" si="19"/>
        <v>43574469</v>
      </c>
      <c r="V76" s="118"/>
      <c r="W76" s="118"/>
      <c r="X76" s="118"/>
      <c r="Y76" s="118"/>
      <c r="Z76" s="115"/>
    </row>
    <row r="77" spans="3:26" ht="18" customHeight="1">
      <c r="K77" s="171" t="s">
        <v>14</v>
      </c>
      <c r="L77" s="171"/>
      <c r="M77" s="171"/>
      <c r="N77" s="145" t="s">
        <v>41</v>
      </c>
      <c r="O77" s="173">
        <v>7</v>
      </c>
      <c r="P77" s="234">
        <f ca="1">OFFSET($A$1,MATCH(Z72,$A:$A,0)-1,O77)</f>
        <v>163.53899999999999</v>
      </c>
      <c r="Q77" s="144" t="s">
        <v>29</v>
      </c>
      <c r="R77" s="118">
        <f t="shared" ca="1" si="18"/>
        <v>235459</v>
      </c>
      <c r="S77" s="118">
        <f t="shared" ca="1" si="18"/>
        <v>38506729</v>
      </c>
      <c r="T77" s="118">
        <f ca="1">초급</f>
        <v>235459</v>
      </c>
      <c r="U77" s="118">
        <f t="shared" ca="1" si="19"/>
        <v>38506729</v>
      </c>
      <c r="V77" s="118"/>
      <c r="W77" s="118"/>
      <c r="X77" s="118"/>
      <c r="Y77" s="118"/>
      <c r="Z77" s="115"/>
    </row>
    <row r="78" spans="3:26" ht="18" customHeight="1">
      <c r="K78" s="171" t="s">
        <v>14</v>
      </c>
      <c r="L78" s="171"/>
      <c r="M78" s="171"/>
      <c r="N78" s="319" t="s">
        <v>42</v>
      </c>
      <c r="O78" s="174">
        <v>8</v>
      </c>
      <c r="P78" s="235">
        <f ca="1">OFFSET($A$1,MATCH(Z72,$A:$A,0)-1,O78)</f>
        <v>172.44399999999999</v>
      </c>
      <c r="Q78" s="322" t="s">
        <v>29</v>
      </c>
      <c r="R78" s="323">
        <f t="shared" ca="1" si="18"/>
        <v>250087</v>
      </c>
      <c r="S78" s="323">
        <f t="shared" ca="1" si="18"/>
        <v>43126002</v>
      </c>
      <c r="T78" s="323">
        <f ca="1">보조원</f>
        <v>250087</v>
      </c>
      <c r="U78" s="323">
        <f t="shared" ca="1" si="19"/>
        <v>43126002</v>
      </c>
      <c r="V78" s="323"/>
      <c r="W78" s="323"/>
      <c r="X78" s="323"/>
      <c r="Y78" s="323"/>
      <c r="Z78" s="324"/>
    </row>
    <row r="79" spans="3:26" ht="18" customHeight="1">
      <c r="K79" s="171" t="s">
        <v>14</v>
      </c>
      <c r="L79" s="171"/>
      <c r="M79" s="171"/>
      <c r="N79" s="139" t="s">
        <v>17</v>
      </c>
      <c r="O79" s="68"/>
      <c r="P79" s="69"/>
      <c r="Q79" s="70"/>
      <c r="R79" s="71"/>
      <c r="S79" s="71">
        <f ca="1">SUBTOTAL(9,S73:S78)</f>
        <v>183704418</v>
      </c>
      <c r="T79" s="71"/>
      <c r="U79" s="71">
        <f ca="1">SUBTOTAL(9,U73:U78)</f>
        <v>183704418</v>
      </c>
      <c r="V79" s="71"/>
      <c r="W79" s="71"/>
      <c r="X79" s="71"/>
      <c r="Y79" s="71"/>
      <c r="Z79" s="68"/>
    </row>
    <row r="80" spans="3:26" ht="18" customHeight="1">
      <c r="K80" s="171" t="s">
        <v>14</v>
      </c>
      <c r="L80" s="171"/>
      <c r="M80" s="171"/>
      <c r="N80" s="318" t="str">
        <f ca="1">"제 " &amp; Z80 &amp; " 호표  "&amp; OFFSET($A$1,MATCH(Z80,$A:$A,0)-1,1)</f>
        <v>제 5 호표  3.3 도시개발계획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5</v>
      </c>
    </row>
    <row r="81" spans="11:26" ht="18" customHeight="1">
      <c r="K81" s="171" t="s">
        <v>14</v>
      </c>
      <c r="L81" s="171"/>
      <c r="M81" s="171"/>
      <c r="N81" s="140" t="s">
        <v>43</v>
      </c>
      <c r="O81" s="172">
        <v>3</v>
      </c>
      <c r="P81" s="219">
        <f ca="1">OFFSET($A$1,MATCH(Z80,$A:$A,0)-1,O81)</f>
        <v>1.9870000000000001</v>
      </c>
      <c r="Q81" s="141" t="s">
        <v>29</v>
      </c>
      <c r="R81" s="142">
        <f t="shared" ref="R81:S86" ca="1" si="20">T81</f>
        <v>467217</v>
      </c>
      <c r="S81" s="142">
        <f t="shared" ca="1" si="20"/>
        <v>928360</v>
      </c>
      <c r="T81" s="142">
        <f ca="1">기술사</f>
        <v>467217</v>
      </c>
      <c r="U81" s="142">
        <f t="shared" ref="U81:U86" ca="1" si="21">ROUNDDOWN(P81*R81,0)</f>
        <v>928360</v>
      </c>
      <c r="V81" s="142"/>
      <c r="W81" s="142"/>
      <c r="X81" s="142"/>
      <c r="Y81" s="142"/>
      <c r="Z81" s="114"/>
    </row>
    <row r="82" spans="11:26" ht="18" customHeight="1">
      <c r="K82" s="171" t="s">
        <v>14</v>
      </c>
      <c r="L82" s="171"/>
      <c r="M82" s="171"/>
      <c r="N82" s="143" t="s">
        <v>32</v>
      </c>
      <c r="O82" s="173">
        <v>4</v>
      </c>
      <c r="P82" s="234">
        <f ca="1">OFFSET($A$1,MATCH(Z80,$A:$A,0)-1,O82)</f>
        <v>3.1640000000000001</v>
      </c>
      <c r="Q82" s="144" t="s">
        <v>29</v>
      </c>
      <c r="R82" s="118">
        <f t="shared" ca="1" si="20"/>
        <v>373353</v>
      </c>
      <c r="S82" s="118">
        <f t="shared" ca="1" si="20"/>
        <v>1181288</v>
      </c>
      <c r="T82" s="118">
        <f ca="1">특급</f>
        <v>373353</v>
      </c>
      <c r="U82" s="118">
        <f t="shared" ca="1" si="21"/>
        <v>1181288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39</v>
      </c>
      <c r="O83" s="173">
        <v>5</v>
      </c>
      <c r="P83" s="234">
        <f ca="1">OFFSET($A$1,MATCH(Z80,$A:$A,0)-1,O83)</f>
        <v>9.641</v>
      </c>
      <c r="Q83" s="144" t="s">
        <v>29</v>
      </c>
      <c r="R83" s="118">
        <f t="shared" ca="1" si="20"/>
        <v>310884</v>
      </c>
      <c r="S83" s="118">
        <f t="shared" ca="1" si="20"/>
        <v>2997232</v>
      </c>
      <c r="T83" s="118">
        <f ca="1">고급</f>
        <v>310884</v>
      </c>
      <c r="U83" s="118">
        <f t="shared" ca="1" si="21"/>
        <v>2997232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40</v>
      </c>
      <c r="O84" s="173">
        <v>6</v>
      </c>
      <c r="P84" s="234">
        <f ca="1">OFFSET($A$1,MATCH(Z80,$A:$A,0)-1,O84)</f>
        <v>14.792999999999999</v>
      </c>
      <c r="Q84" s="144" t="s">
        <v>29</v>
      </c>
      <c r="R84" s="118">
        <f t="shared" ca="1" si="20"/>
        <v>295138</v>
      </c>
      <c r="S84" s="118">
        <f t="shared" ca="1" si="20"/>
        <v>4365976</v>
      </c>
      <c r="T84" s="118">
        <f ca="1">중급</f>
        <v>295138</v>
      </c>
      <c r="U84" s="118">
        <f t="shared" ca="1" si="21"/>
        <v>4365976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145" t="s">
        <v>41</v>
      </c>
      <c r="O85" s="173">
        <v>7</v>
      </c>
      <c r="P85" s="234">
        <f ca="1">OFFSET($A$1,MATCH(Z80,$A:$A,0)-1,O85)</f>
        <v>14.867000000000001</v>
      </c>
      <c r="Q85" s="144" t="s">
        <v>29</v>
      </c>
      <c r="R85" s="118">
        <f t="shared" ca="1" si="20"/>
        <v>235459</v>
      </c>
      <c r="S85" s="118">
        <f t="shared" ca="1" si="20"/>
        <v>3500568</v>
      </c>
      <c r="T85" s="118">
        <f ca="1">초급</f>
        <v>235459</v>
      </c>
      <c r="U85" s="118">
        <f t="shared" ca="1" si="21"/>
        <v>3500568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319" t="s">
        <v>42</v>
      </c>
      <c r="O86" s="174">
        <v>8</v>
      </c>
      <c r="P86" s="235">
        <f ca="1">OFFSET($A$1,MATCH(Z80,$A:$A,0)-1,O86)</f>
        <v>15.676</v>
      </c>
      <c r="Q86" s="322" t="s">
        <v>29</v>
      </c>
      <c r="R86" s="323">
        <f t="shared" ca="1" si="20"/>
        <v>250087</v>
      </c>
      <c r="S86" s="323">
        <f t="shared" ca="1" si="20"/>
        <v>3920363</v>
      </c>
      <c r="T86" s="323">
        <f ca="1">보조원</f>
        <v>250087</v>
      </c>
      <c r="U86" s="323">
        <f t="shared" ca="1" si="21"/>
        <v>3920363</v>
      </c>
      <c r="V86" s="323"/>
      <c r="W86" s="323"/>
      <c r="X86" s="323"/>
      <c r="Y86" s="323"/>
      <c r="Z86" s="324"/>
    </row>
    <row r="87" spans="11:26" ht="18" customHeight="1">
      <c r="K87" s="171" t="s">
        <v>14</v>
      </c>
      <c r="L87" s="171"/>
      <c r="M87" s="171"/>
      <c r="N87" s="139" t="s">
        <v>17</v>
      </c>
      <c r="O87" s="68"/>
      <c r="P87" s="69"/>
      <c r="Q87" s="70"/>
      <c r="R87" s="71"/>
      <c r="S87" s="71">
        <f ca="1">SUBTOTAL(9,S81:S86)</f>
        <v>16893787</v>
      </c>
      <c r="T87" s="71"/>
      <c r="U87" s="71">
        <f ca="1">SUBTOTAL(9,U81:U86)</f>
        <v>16893787</v>
      </c>
      <c r="V87" s="71"/>
      <c r="W87" s="71"/>
      <c r="X87" s="71"/>
      <c r="Y87" s="71"/>
      <c r="Z87" s="68"/>
    </row>
    <row r="88" spans="11:26" ht="18" customHeight="1">
      <c r="K88" s="171" t="s">
        <v>14</v>
      </c>
      <c r="L88" s="171"/>
      <c r="M88" s="171"/>
      <c r="N88" s="318" t="str">
        <f ca="1">"제 " &amp; Z88 &amp; " 호표  "&amp; OFFSET($A$1,MATCH(Z88,$A:$A,0)-1,1)</f>
        <v>제 6 호표  3.4 경관계획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6</v>
      </c>
    </row>
    <row r="89" spans="11:26" ht="18" customHeight="1">
      <c r="K89" s="171" t="s">
        <v>14</v>
      </c>
      <c r="L89" s="171"/>
      <c r="M89" s="171"/>
      <c r="N89" s="140" t="s">
        <v>43</v>
      </c>
      <c r="O89" s="172">
        <v>3</v>
      </c>
      <c r="P89" s="219">
        <f ca="1">OFFSET($A$1,MATCH(Z88,$A:$A,0)-1,O89)</f>
        <v>0</v>
      </c>
      <c r="Q89" s="141" t="s">
        <v>29</v>
      </c>
      <c r="R89" s="142">
        <f t="shared" ref="R89:S94" ca="1" si="22">T89</f>
        <v>467217</v>
      </c>
      <c r="S89" s="142">
        <f t="shared" ca="1" si="22"/>
        <v>0</v>
      </c>
      <c r="T89" s="142">
        <f ca="1">기술사</f>
        <v>467217</v>
      </c>
      <c r="U89" s="142">
        <f t="shared" ref="U89:U94" ca="1" si="23">ROUNDDOWN(P89*R89,0)</f>
        <v>0</v>
      </c>
      <c r="V89" s="142"/>
      <c r="W89" s="142"/>
      <c r="X89" s="142"/>
      <c r="Y89" s="142"/>
      <c r="Z89" s="114"/>
    </row>
    <row r="90" spans="11:26" ht="18" customHeight="1">
      <c r="K90" s="171" t="s">
        <v>14</v>
      </c>
      <c r="L90" s="171"/>
      <c r="M90" s="171"/>
      <c r="N90" s="143" t="s">
        <v>32</v>
      </c>
      <c r="O90" s="173">
        <v>4</v>
      </c>
      <c r="P90" s="234">
        <f ca="1">OFFSET($A$1,MATCH(Z88,$A:$A,0)-1,O90)</f>
        <v>0</v>
      </c>
      <c r="Q90" s="144" t="s">
        <v>29</v>
      </c>
      <c r="R90" s="118">
        <f t="shared" ca="1" si="22"/>
        <v>373353</v>
      </c>
      <c r="S90" s="118">
        <f t="shared" ca="1" si="22"/>
        <v>0</v>
      </c>
      <c r="T90" s="118">
        <f ca="1">특급</f>
        <v>373353</v>
      </c>
      <c r="U90" s="118">
        <f t="shared" ca="1" si="23"/>
        <v>0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39</v>
      </c>
      <c r="O91" s="173">
        <v>5</v>
      </c>
      <c r="P91" s="234">
        <f ca="1">OFFSET($A$1,MATCH(Z88,$A:$A,0)-1,O91)</f>
        <v>0</v>
      </c>
      <c r="Q91" s="144" t="s">
        <v>29</v>
      </c>
      <c r="R91" s="118">
        <f t="shared" ca="1" si="22"/>
        <v>310884</v>
      </c>
      <c r="S91" s="118">
        <f t="shared" ca="1" si="22"/>
        <v>0</v>
      </c>
      <c r="T91" s="118">
        <f ca="1">고급</f>
        <v>310884</v>
      </c>
      <c r="U91" s="118">
        <f t="shared" ca="1" si="23"/>
        <v>0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40</v>
      </c>
      <c r="O92" s="173">
        <v>6</v>
      </c>
      <c r="P92" s="234">
        <f ca="1">OFFSET($A$1,MATCH(Z88,$A:$A,0)-1,O92)</f>
        <v>0</v>
      </c>
      <c r="Q92" s="144" t="s">
        <v>29</v>
      </c>
      <c r="R92" s="118">
        <f t="shared" ca="1" si="22"/>
        <v>295138</v>
      </c>
      <c r="S92" s="118">
        <f t="shared" ca="1" si="22"/>
        <v>0</v>
      </c>
      <c r="T92" s="118">
        <f ca="1">중급</f>
        <v>295138</v>
      </c>
      <c r="U92" s="118">
        <f t="shared" ca="1" si="23"/>
        <v>0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145" t="s">
        <v>41</v>
      </c>
      <c r="O93" s="173">
        <v>7</v>
      </c>
      <c r="P93" s="234">
        <f ca="1">OFFSET($A$1,MATCH(Z88,$A:$A,0)-1,O93)</f>
        <v>0</v>
      </c>
      <c r="Q93" s="144" t="s">
        <v>29</v>
      </c>
      <c r="R93" s="118">
        <f t="shared" ca="1" si="22"/>
        <v>235459</v>
      </c>
      <c r="S93" s="118">
        <f t="shared" ca="1" si="22"/>
        <v>0</v>
      </c>
      <c r="T93" s="118">
        <f ca="1">초급</f>
        <v>235459</v>
      </c>
      <c r="U93" s="118">
        <f t="shared" ca="1" si="23"/>
        <v>0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319" t="s">
        <v>42</v>
      </c>
      <c r="O94" s="174">
        <v>8</v>
      </c>
      <c r="P94" s="235">
        <f ca="1">OFFSET($A$1,MATCH(Z88,$A:$A,0)-1,O94)</f>
        <v>0</v>
      </c>
      <c r="Q94" s="322" t="s">
        <v>29</v>
      </c>
      <c r="R94" s="323">
        <f t="shared" ca="1" si="22"/>
        <v>250087</v>
      </c>
      <c r="S94" s="323">
        <f t="shared" ca="1" si="22"/>
        <v>0</v>
      </c>
      <c r="T94" s="323">
        <f ca="1">보조원</f>
        <v>250087</v>
      </c>
      <c r="U94" s="323">
        <f t="shared" ca="1" si="23"/>
        <v>0</v>
      </c>
      <c r="V94" s="323"/>
      <c r="W94" s="323"/>
      <c r="X94" s="323"/>
      <c r="Y94" s="323"/>
      <c r="Z94" s="324"/>
    </row>
    <row r="95" spans="11:26" ht="18" customHeight="1">
      <c r="K95" s="171" t="s">
        <v>14</v>
      </c>
      <c r="L95" s="171"/>
      <c r="M95" s="171"/>
      <c r="N95" s="139" t="s">
        <v>17</v>
      </c>
      <c r="O95" s="68"/>
      <c r="P95" s="69"/>
      <c r="Q95" s="70"/>
      <c r="R95" s="71"/>
      <c r="S95" s="71">
        <f ca="1">SUBTOTAL(9,S89:S94)</f>
        <v>0</v>
      </c>
      <c r="T95" s="71"/>
      <c r="U95" s="71">
        <f ca="1">SUBTOTAL(9,U89:U94)</f>
        <v>0</v>
      </c>
      <c r="V95" s="71"/>
      <c r="W95" s="71"/>
      <c r="X95" s="71"/>
      <c r="Y95" s="71"/>
      <c r="Z95" s="68"/>
    </row>
    <row r="96" spans="11:26" ht="18" customHeight="1">
      <c r="K96" s="171" t="s">
        <v>14</v>
      </c>
      <c r="L96" s="171"/>
      <c r="M96" s="171"/>
      <c r="N96" s="318" t="str">
        <f ca="1">"제 " &amp; Z96 &amp; " 호표  "&amp; OFFSET($A$1,MATCH(Z96,$A:$A,0)-1,1)</f>
        <v>제 7 호표  3.5 단계별 집행계획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7</v>
      </c>
    </row>
    <row r="97" spans="11:26" ht="18" customHeight="1">
      <c r="K97" s="171" t="s">
        <v>14</v>
      </c>
      <c r="L97" s="171"/>
      <c r="M97" s="171"/>
      <c r="N97" s="140" t="s">
        <v>43</v>
      </c>
      <c r="O97" s="172">
        <v>3</v>
      </c>
      <c r="P97" s="219">
        <f ca="1">OFFSET($A$1,MATCH(Z96,$A:$A,0)-1,O97)</f>
        <v>0</v>
      </c>
      <c r="Q97" s="141" t="s">
        <v>29</v>
      </c>
      <c r="R97" s="142">
        <f t="shared" ref="R97:S102" ca="1" si="24">T97</f>
        <v>467217</v>
      </c>
      <c r="S97" s="142">
        <f t="shared" ca="1" si="24"/>
        <v>0</v>
      </c>
      <c r="T97" s="142">
        <f ca="1">기술사</f>
        <v>467217</v>
      </c>
      <c r="U97" s="142">
        <f t="shared" ref="U97:U102" ca="1" si="25">ROUNDDOWN(P97*R97,0)</f>
        <v>0</v>
      </c>
      <c r="V97" s="142"/>
      <c r="W97" s="142"/>
      <c r="X97" s="142"/>
      <c r="Y97" s="142"/>
      <c r="Z97" s="114"/>
    </row>
    <row r="98" spans="11:26" ht="18" customHeight="1">
      <c r="K98" s="171" t="s">
        <v>14</v>
      </c>
      <c r="L98" s="171"/>
      <c r="M98" s="171"/>
      <c r="N98" s="143" t="s">
        <v>32</v>
      </c>
      <c r="O98" s="173">
        <v>4</v>
      </c>
      <c r="P98" s="234">
        <f ca="1">OFFSET($A$1,MATCH(Z96,$A:$A,0)-1,O98)</f>
        <v>0</v>
      </c>
      <c r="Q98" s="144" t="s">
        <v>29</v>
      </c>
      <c r="R98" s="118">
        <f t="shared" ca="1" si="24"/>
        <v>373353</v>
      </c>
      <c r="S98" s="118">
        <f t="shared" ca="1" si="24"/>
        <v>0</v>
      </c>
      <c r="T98" s="118">
        <f ca="1">특급</f>
        <v>373353</v>
      </c>
      <c r="U98" s="118">
        <f t="shared" ca="1" si="25"/>
        <v>0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39</v>
      </c>
      <c r="O99" s="173">
        <v>5</v>
      </c>
      <c r="P99" s="234">
        <f ca="1">OFFSET($A$1,MATCH(Z96,$A:$A,0)-1,O99)</f>
        <v>0</v>
      </c>
      <c r="Q99" s="144" t="s">
        <v>29</v>
      </c>
      <c r="R99" s="118">
        <f t="shared" ca="1" si="24"/>
        <v>310884</v>
      </c>
      <c r="S99" s="118">
        <f t="shared" ca="1" si="24"/>
        <v>0</v>
      </c>
      <c r="T99" s="118">
        <f ca="1">고급</f>
        <v>310884</v>
      </c>
      <c r="U99" s="118">
        <f t="shared" ca="1" si="25"/>
        <v>0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40</v>
      </c>
      <c r="O100" s="173">
        <v>6</v>
      </c>
      <c r="P100" s="234">
        <f ca="1">OFFSET($A$1,MATCH(Z96,$A:$A,0)-1,O100)</f>
        <v>0</v>
      </c>
      <c r="Q100" s="144" t="s">
        <v>29</v>
      </c>
      <c r="R100" s="118">
        <f t="shared" ca="1" si="24"/>
        <v>295138</v>
      </c>
      <c r="S100" s="118">
        <f t="shared" ca="1" si="24"/>
        <v>0</v>
      </c>
      <c r="T100" s="118">
        <f ca="1">중급</f>
        <v>295138</v>
      </c>
      <c r="U100" s="118">
        <f t="shared" ca="1" si="25"/>
        <v>0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41</v>
      </c>
      <c r="O101" s="173">
        <v>7</v>
      </c>
      <c r="P101" s="234">
        <f ca="1">OFFSET($A$1,MATCH(Z96,$A:$A,0)-1,O101)</f>
        <v>0</v>
      </c>
      <c r="Q101" s="144" t="s">
        <v>29</v>
      </c>
      <c r="R101" s="118">
        <f t="shared" ca="1" si="24"/>
        <v>235459</v>
      </c>
      <c r="S101" s="118">
        <f t="shared" ca="1" si="24"/>
        <v>0</v>
      </c>
      <c r="T101" s="118">
        <f ca="1">초급</f>
        <v>235459</v>
      </c>
      <c r="U101" s="118">
        <f t="shared" ca="1" si="25"/>
        <v>0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319" t="s">
        <v>42</v>
      </c>
      <c r="O102" s="174">
        <v>8</v>
      </c>
      <c r="P102" s="235">
        <f ca="1">OFFSET($A$1,MATCH(Z96,$A:$A,0)-1,O102)</f>
        <v>0</v>
      </c>
      <c r="Q102" s="322" t="s">
        <v>29</v>
      </c>
      <c r="R102" s="323">
        <f t="shared" ca="1" si="24"/>
        <v>250087</v>
      </c>
      <c r="S102" s="323">
        <f t="shared" ca="1" si="24"/>
        <v>0</v>
      </c>
      <c r="T102" s="323">
        <f ca="1">보조원</f>
        <v>250087</v>
      </c>
      <c r="U102" s="323">
        <f t="shared" ca="1" si="25"/>
        <v>0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M103" s="171"/>
      <c r="N103" s="139" t="s">
        <v>17</v>
      </c>
      <c r="O103" s="68"/>
      <c r="P103" s="69"/>
      <c r="Q103" s="70"/>
      <c r="R103" s="71"/>
      <c r="S103" s="71">
        <f ca="1">SUBTOTAL(9,S97:S102)</f>
        <v>0</v>
      </c>
      <c r="T103" s="71"/>
      <c r="U103" s="71">
        <f ca="1">SUBTOTAL(9,U97:U102)</f>
        <v>0</v>
      </c>
      <c r="V103" s="71"/>
      <c r="W103" s="71"/>
      <c r="X103" s="71"/>
      <c r="Y103" s="71"/>
      <c r="Z103" s="68"/>
    </row>
    <row r="104" spans="11:26" ht="18" customHeight="1">
      <c r="K104" s="171" t="s">
        <v>14</v>
      </c>
      <c r="L104" s="171"/>
      <c r="M104" s="171"/>
      <c r="N104" s="318" t="str">
        <f ca="1">"제 " &amp; Z104 &amp; " 호표  "&amp; OFFSET($A$1,MATCH(Z104,$A:$A,0)-1,1)</f>
        <v>제 8 호표  3.6 환경성검토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8</v>
      </c>
    </row>
    <row r="105" spans="11:26" ht="18" customHeight="1">
      <c r="K105" s="171" t="s">
        <v>14</v>
      </c>
      <c r="L105" s="171"/>
      <c r="M105" s="171"/>
      <c r="N105" s="140" t="s">
        <v>43</v>
      </c>
      <c r="O105" s="172">
        <v>3</v>
      </c>
      <c r="P105" s="219">
        <f ca="1">OFFSET($A$1,MATCH(Z104,$A:$A,0)-1,O105)</f>
        <v>0</v>
      </c>
      <c r="Q105" s="141" t="s">
        <v>29</v>
      </c>
      <c r="R105" s="142">
        <f t="shared" ref="R105:S110" ca="1" si="26">T105</f>
        <v>467217</v>
      </c>
      <c r="S105" s="142">
        <f t="shared" ca="1" si="26"/>
        <v>0</v>
      </c>
      <c r="T105" s="142">
        <f ca="1">기술사</f>
        <v>467217</v>
      </c>
      <c r="U105" s="142">
        <f t="shared" ref="U105:U110" ca="1" si="27">ROUNDDOWN(P105*R105,0)</f>
        <v>0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M106" s="171"/>
      <c r="N106" s="143" t="s">
        <v>32</v>
      </c>
      <c r="O106" s="173">
        <v>4</v>
      </c>
      <c r="P106" s="234">
        <f ca="1">OFFSET($A$1,MATCH(Z104,$A:$A,0)-1,O106)</f>
        <v>0</v>
      </c>
      <c r="Q106" s="144" t="s">
        <v>29</v>
      </c>
      <c r="R106" s="118">
        <f t="shared" ca="1" si="26"/>
        <v>373353</v>
      </c>
      <c r="S106" s="118">
        <f t="shared" ca="1" si="26"/>
        <v>0</v>
      </c>
      <c r="T106" s="118">
        <f ca="1">특급</f>
        <v>373353</v>
      </c>
      <c r="U106" s="118">
        <f t="shared" ca="1" si="27"/>
        <v>0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39</v>
      </c>
      <c r="O107" s="173">
        <v>5</v>
      </c>
      <c r="P107" s="234">
        <f ca="1">OFFSET($A$1,MATCH(Z104,$A:$A,0)-1,O107)</f>
        <v>0</v>
      </c>
      <c r="Q107" s="144" t="s">
        <v>29</v>
      </c>
      <c r="R107" s="118">
        <f t="shared" ca="1" si="26"/>
        <v>310884</v>
      </c>
      <c r="S107" s="118">
        <f t="shared" ca="1" si="26"/>
        <v>0</v>
      </c>
      <c r="T107" s="118">
        <f ca="1">고급</f>
        <v>310884</v>
      </c>
      <c r="U107" s="118">
        <f t="shared" ca="1" si="27"/>
        <v>0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40</v>
      </c>
      <c r="O108" s="173">
        <v>6</v>
      </c>
      <c r="P108" s="234">
        <f ca="1">OFFSET($A$1,MATCH(Z104,$A:$A,0)-1,O108)</f>
        <v>0</v>
      </c>
      <c r="Q108" s="144" t="s">
        <v>29</v>
      </c>
      <c r="R108" s="118">
        <f t="shared" ca="1" si="26"/>
        <v>295138</v>
      </c>
      <c r="S108" s="118">
        <f t="shared" ca="1" si="26"/>
        <v>0</v>
      </c>
      <c r="T108" s="118">
        <f ca="1">중급</f>
        <v>295138</v>
      </c>
      <c r="U108" s="118">
        <f t="shared" ca="1" si="27"/>
        <v>0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145" t="s">
        <v>41</v>
      </c>
      <c r="O109" s="173">
        <v>7</v>
      </c>
      <c r="P109" s="234">
        <f ca="1">OFFSET($A$1,MATCH(Z104,$A:$A,0)-1,O109)</f>
        <v>0</v>
      </c>
      <c r="Q109" s="144" t="s">
        <v>29</v>
      </c>
      <c r="R109" s="118">
        <f t="shared" ca="1" si="26"/>
        <v>235459</v>
      </c>
      <c r="S109" s="118">
        <f t="shared" ca="1" si="26"/>
        <v>0</v>
      </c>
      <c r="T109" s="118">
        <f ca="1">초급</f>
        <v>235459</v>
      </c>
      <c r="U109" s="118">
        <f t="shared" ca="1" si="27"/>
        <v>0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319" t="s">
        <v>42</v>
      </c>
      <c r="O110" s="174">
        <v>8</v>
      </c>
      <c r="P110" s="235">
        <f ca="1">OFFSET($A$1,MATCH(Z104,$A:$A,0)-1,O110)</f>
        <v>0</v>
      </c>
      <c r="Q110" s="322" t="s">
        <v>29</v>
      </c>
      <c r="R110" s="323">
        <f t="shared" ca="1" si="26"/>
        <v>250087</v>
      </c>
      <c r="S110" s="323">
        <f t="shared" ca="1" si="26"/>
        <v>0</v>
      </c>
      <c r="T110" s="323">
        <f ca="1">보조원</f>
        <v>250087</v>
      </c>
      <c r="U110" s="323">
        <f t="shared" ca="1" si="27"/>
        <v>0</v>
      </c>
      <c r="V110" s="323"/>
      <c r="W110" s="323"/>
      <c r="X110" s="323"/>
      <c r="Y110" s="323"/>
      <c r="Z110" s="324"/>
    </row>
    <row r="111" spans="11:26" ht="18" customHeight="1">
      <c r="K111" s="171" t="s">
        <v>14</v>
      </c>
      <c r="L111" s="171"/>
      <c r="M111" s="171"/>
      <c r="N111" s="139" t="s">
        <v>17</v>
      </c>
      <c r="O111" s="68"/>
      <c r="P111" s="69"/>
      <c r="Q111" s="70"/>
      <c r="R111" s="71"/>
      <c r="S111" s="71">
        <f ca="1">SUBTOTAL(9,S105:S110)</f>
        <v>0</v>
      </c>
      <c r="T111" s="71"/>
      <c r="U111" s="71">
        <f ca="1">SUBTOTAL(9,U105:U110)</f>
        <v>0</v>
      </c>
      <c r="V111" s="71"/>
      <c r="W111" s="71"/>
      <c r="X111" s="71"/>
      <c r="Y111" s="71"/>
      <c r="Z111" s="68"/>
    </row>
    <row r="112" spans="11:26" ht="18" customHeight="1">
      <c r="K112" s="171" t="s">
        <v>14</v>
      </c>
      <c r="L112" s="171"/>
      <c r="M112" s="171"/>
      <c r="N112" s="318" t="str">
        <f ca="1">"제 " &amp; Z112 &amp; " 호표  "&amp; OFFSET($A$1,MATCH(Z112,$A:$A,0)-1,1)</f>
        <v>제 9 호표  3.7 교통성검토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9</v>
      </c>
    </row>
    <row r="113" spans="11:26" ht="18" customHeight="1">
      <c r="K113" s="171" t="s">
        <v>14</v>
      </c>
      <c r="L113" s="171"/>
      <c r="M113" s="171"/>
      <c r="N113" s="140" t="s">
        <v>43</v>
      </c>
      <c r="O113" s="172">
        <v>3</v>
      </c>
      <c r="P113" s="219">
        <f ca="1">OFFSET($A$1,MATCH(Z112,$A:$A,0)-1,O113)</f>
        <v>0</v>
      </c>
      <c r="Q113" s="141" t="s">
        <v>29</v>
      </c>
      <c r="R113" s="142">
        <f t="shared" ref="R113:S118" ca="1" si="28">T113</f>
        <v>467217</v>
      </c>
      <c r="S113" s="142">
        <f t="shared" ca="1" si="28"/>
        <v>0</v>
      </c>
      <c r="T113" s="142">
        <f ca="1">기술사</f>
        <v>467217</v>
      </c>
      <c r="U113" s="142">
        <f t="shared" ref="U113:U118" ca="1" si="29">ROUNDDOWN(P113*R113,0)</f>
        <v>0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M114" s="171"/>
      <c r="N114" s="143" t="s">
        <v>32</v>
      </c>
      <c r="O114" s="173">
        <v>4</v>
      </c>
      <c r="P114" s="234">
        <f ca="1">OFFSET($A$1,MATCH(Z112,$A:$A,0)-1,O114)</f>
        <v>0</v>
      </c>
      <c r="Q114" s="144" t="s">
        <v>29</v>
      </c>
      <c r="R114" s="118">
        <f t="shared" ca="1" si="28"/>
        <v>373353</v>
      </c>
      <c r="S114" s="118">
        <f t="shared" ca="1" si="28"/>
        <v>0</v>
      </c>
      <c r="T114" s="118">
        <f ca="1">특급</f>
        <v>373353</v>
      </c>
      <c r="U114" s="118">
        <f t="shared" ca="1" si="29"/>
        <v>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39</v>
      </c>
      <c r="O115" s="173">
        <v>5</v>
      </c>
      <c r="P115" s="234">
        <f ca="1">OFFSET($A$1,MATCH(Z112,$A:$A,0)-1,O115)</f>
        <v>0</v>
      </c>
      <c r="Q115" s="144" t="s">
        <v>29</v>
      </c>
      <c r="R115" s="118">
        <f t="shared" ca="1" si="28"/>
        <v>310884</v>
      </c>
      <c r="S115" s="118">
        <f t="shared" ca="1" si="28"/>
        <v>0</v>
      </c>
      <c r="T115" s="118">
        <f ca="1">고급</f>
        <v>310884</v>
      </c>
      <c r="U115" s="118">
        <f t="shared" ca="1" si="29"/>
        <v>0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40</v>
      </c>
      <c r="O116" s="173">
        <v>6</v>
      </c>
      <c r="P116" s="234">
        <f ca="1">OFFSET($A$1,MATCH(Z112,$A:$A,0)-1,O116)</f>
        <v>0</v>
      </c>
      <c r="Q116" s="144" t="s">
        <v>29</v>
      </c>
      <c r="R116" s="118">
        <f t="shared" ca="1" si="28"/>
        <v>295138</v>
      </c>
      <c r="S116" s="118">
        <f t="shared" ca="1" si="28"/>
        <v>0</v>
      </c>
      <c r="T116" s="118">
        <f ca="1">중급</f>
        <v>295138</v>
      </c>
      <c r="U116" s="118">
        <f t="shared" ca="1" si="29"/>
        <v>0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41</v>
      </c>
      <c r="O117" s="173">
        <v>7</v>
      </c>
      <c r="P117" s="234">
        <f ca="1">OFFSET($A$1,MATCH(Z112,$A:$A,0)-1,O117)</f>
        <v>0</v>
      </c>
      <c r="Q117" s="144" t="s">
        <v>29</v>
      </c>
      <c r="R117" s="118">
        <f t="shared" ca="1" si="28"/>
        <v>235459</v>
      </c>
      <c r="S117" s="118">
        <f t="shared" ca="1" si="28"/>
        <v>0</v>
      </c>
      <c r="T117" s="118">
        <f ca="1">초급</f>
        <v>235459</v>
      </c>
      <c r="U117" s="118">
        <f t="shared" ca="1" si="29"/>
        <v>0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319" t="s">
        <v>42</v>
      </c>
      <c r="O118" s="174">
        <v>8</v>
      </c>
      <c r="P118" s="235">
        <f ca="1">OFFSET($A$1,MATCH(Z112,$A:$A,0)-1,O118)</f>
        <v>0</v>
      </c>
      <c r="Q118" s="322" t="s">
        <v>29</v>
      </c>
      <c r="R118" s="323">
        <f t="shared" ca="1" si="28"/>
        <v>250087</v>
      </c>
      <c r="S118" s="323">
        <f t="shared" ca="1" si="28"/>
        <v>0</v>
      </c>
      <c r="T118" s="323">
        <f ca="1">보조원</f>
        <v>250087</v>
      </c>
      <c r="U118" s="323">
        <f t="shared" ca="1" si="29"/>
        <v>0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M119" s="171"/>
      <c r="N119" s="139" t="s">
        <v>17</v>
      </c>
      <c r="O119" s="68"/>
      <c r="P119" s="69"/>
      <c r="Q119" s="70"/>
      <c r="R119" s="71"/>
      <c r="S119" s="71">
        <f ca="1">SUBTOTAL(9,S113:S118)</f>
        <v>0</v>
      </c>
      <c r="T119" s="71"/>
      <c r="U119" s="71">
        <f ca="1">SUBTOTAL(9,U113:U118)</f>
        <v>0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M120" s="171"/>
      <c r="N120" s="318" t="str">
        <f ca="1">"제 " &amp; Z120 &amp; " 호표  "&amp; OFFSET($A$1,MATCH(Z120,$A:$A,0)-1,1)</f>
        <v>제 10 호표  3.8 토지적성평가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10</v>
      </c>
    </row>
    <row r="121" spans="11:26" ht="18" customHeight="1">
      <c r="K121" s="171" t="s">
        <v>14</v>
      </c>
      <c r="L121" s="171"/>
      <c r="M121" s="171"/>
      <c r="N121" s="140" t="s">
        <v>43</v>
      </c>
      <c r="O121" s="172">
        <v>3</v>
      </c>
      <c r="P121" s="219">
        <f ca="1">OFFSET($A$1,MATCH(Z120,$A:$A,0)-1,O121)</f>
        <v>0</v>
      </c>
      <c r="Q121" s="141" t="s">
        <v>29</v>
      </c>
      <c r="R121" s="142">
        <f t="shared" ref="R121:S126" ca="1" si="30">T121</f>
        <v>467217</v>
      </c>
      <c r="S121" s="142">
        <f t="shared" ca="1" si="30"/>
        <v>0</v>
      </c>
      <c r="T121" s="142">
        <f ca="1">기술사</f>
        <v>467217</v>
      </c>
      <c r="U121" s="142">
        <f t="shared" ref="U121:U126" ca="1" si="31">ROUNDDOWN(P121*R121,0)</f>
        <v>0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M122" s="171"/>
      <c r="N122" s="143" t="s">
        <v>32</v>
      </c>
      <c r="O122" s="173">
        <v>4</v>
      </c>
      <c r="P122" s="234">
        <f ca="1">OFFSET($A$1,MATCH(Z120,$A:$A,0)-1,O122)</f>
        <v>0</v>
      </c>
      <c r="Q122" s="144" t="s">
        <v>29</v>
      </c>
      <c r="R122" s="118">
        <f t="shared" ca="1" si="30"/>
        <v>373353</v>
      </c>
      <c r="S122" s="118">
        <f t="shared" ca="1" si="30"/>
        <v>0</v>
      </c>
      <c r="T122" s="118">
        <f ca="1">특급</f>
        <v>373353</v>
      </c>
      <c r="U122" s="118">
        <f t="shared" ca="1" si="31"/>
        <v>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39</v>
      </c>
      <c r="O123" s="173">
        <v>5</v>
      </c>
      <c r="P123" s="234">
        <f ca="1">OFFSET($A$1,MATCH(Z120,$A:$A,0)-1,O123)</f>
        <v>0</v>
      </c>
      <c r="Q123" s="144" t="s">
        <v>29</v>
      </c>
      <c r="R123" s="118">
        <f t="shared" ca="1" si="30"/>
        <v>310884</v>
      </c>
      <c r="S123" s="118">
        <f t="shared" ca="1" si="30"/>
        <v>0</v>
      </c>
      <c r="T123" s="118">
        <f ca="1">고급</f>
        <v>310884</v>
      </c>
      <c r="U123" s="118">
        <f t="shared" ca="1" si="31"/>
        <v>0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40</v>
      </c>
      <c r="O124" s="173">
        <v>6</v>
      </c>
      <c r="P124" s="234">
        <f ca="1">OFFSET($A$1,MATCH(Z120,$A:$A,0)-1,O124)</f>
        <v>0</v>
      </c>
      <c r="Q124" s="144" t="s">
        <v>29</v>
      </c>
      <c r="R124" s="118">
        <f t="shared" ca="1" si="30"/>
        <v>295138</v>
      </c>
      <c r="S124" s="118">
        <f t="shared" ca="1" si="30"/>
        <v>0</v>
      </c>
      <c r="T124" s="118">
        <f ca="1">중급</f>
        <v>295138</v>
      </c>
      <c r="U124" s="118">
        <f t="shared" ca="1" si="31"/>
        <v>0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41</v>
      </c>
      <c r="O125" s="173">
        <v>7</v>
      </c>
      <c r="P125" s="234">
        <f ca="1">OFFSET($A$1,MATCH(Z120,$A:$A,0)-1,O125)</f>
        <v>0</v>
      </c>
      <c r="Q125" s="144" t="s">
        <v>29</v>
      </c>
      <c r="R125" s="118">
        <f t="shared" ca="1" si="30"/>
        <v>235459</v>
      </c>
      <c r="S125" s="118">
        <f t="shared" ca="1" si="30"/>
        <v>0</v>
      </c>
      <c r="T125" s="118">
        <f ca="1">초급</f>
        <v>235459</v>
      </c>
      <c r="U125" s="118">
        <f t="shared" ca="1" si="31"/>
        <v>0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319" t="s">
        <v>42</v>
      </c>
      <c r="O126" s="174">
        <v>8</v>
      </c>
      <c r="P126" s="235">
        <f ca="1">OFFSET($A$1,MATCH(Z120,$A:$A,0)-1,O126)</f>
        <v>0</v>
      </c>
      <c r="Q126" s="322" t="s">
        <v>29</v>
      </c>
      <c r="R126" s="323">
        <f t="shared" ca="1" si="30"/>
        <v>250087</v>
      </c>
      <c r="S126" s="323">
        <f t="shared" ca="1" si="30"/>
        <v>0</v>
      </c>
      <c r="T126" s="323">
        <f ca="1">보조원</f>
        <v>250087</v>
      </c>
      <c r="U126" s="323">
        <f t="shared" ca="1" si="31"/>
        <v>0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M127" s="171"/>
      <c r="N127" s="139" t="s">
        <v>17</v>
      </c>
      <c r="O127" s="68"/>
      <c r="P127" s="69"/>
      <c r="Q127" s="70"/>
      <c r="R127" s="71"/>
      <c r="S127" s="71">
        <f ca="1">SUBTOTAL(9,S121:S126)</f>
        <v>0</v>
      </c>
      <c r="T127" s="71"/>
      <c r="U127" s="71">
        <f ca="1">SUBTOTAL(9,U121:U126)</f>
        <v>0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M128" s="171"/>
      <c r="N128" s="318" t="str">
        <f ca="1">"제 " &amp; Z128 &amp; " 호표  "&amp; OFFSET($A$1,MATCH(Z128,$A:$A,0)-1,1)</f>
        <v>제 11 호표  3.9 재해취약성분석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11</v>
      </c>
    </row>
    <row r="129" spans="11:29" ht="18" customHeight="1">
      <c r="K129" s="171" t="s">
        <v>14</v>
      </c>
      <c r="L129" s="171"/>
      <c r="M129" s="171"/>
      <c r="N129" s="140" t="s">
        <v>43</v>
      </c>
      <c r="O129" s="172">
        <v>3</v>
      </c>
      <c r="P129" s="219">
        <f ca="1">OFFSET($A$1,MATCH(Z128,$A:$A,0)-1,O129)</f>
        <v>0</v>
      </c>
      <c r="Q129" s="141" t="s">
        <v>29</v>
      </c>
      <c r="R129" s="142">
        <f t="shared" ref="R129:S134" ca="1" si="32">T129</f>
        <v>467217</v>
      </c>
      <c r="S129" s="142">
        <f t="shared" ca="1" si="32"/>
        <v>0</v>
      </c>
      <c r="T129" s="142">
        <f ca="1">기술사</f>
        <v>467217</v>
      </c>
      <c r="U129" s="142">
        <f t="shared" ref="U129:U134" ca="1" si="33">ROUNDDOWN(P129*R129,0)</f>
        <v>0</v>
      </c>
      <c r="V129" s="142"/>
      <c r="W129" s="142"/>
      <c r="X129" s="142"/>
      <c r="Y129" s="142"/>
      <c r="Z129" s="114"/>
    </row>
    <row r="130" spans="11:29" ht="18" customHeight="1">
      <c r="K130" s="171" t="s">
        <v>14</v>
      </c>
      <c r="L130" s="171"/>
      <c r="M130" s="171"/>
      <c r="N130" s="143" t="s">
        <v>32</v>
      </c>
      <c r="O130" s="173">
        <v>4</v>
      </c>
      <c r="P130" s="234">
        <f ca="1">OFFSET($A$1,MATCH(Z128,$A:$A,0)-1,O130)</f>
        <v>0</v>
      </c>
      <c r="Q130" s="144" t="s">
        <v>29</v>
      </c>
      <c r="R130" s="118">
        <f t="shared" ca="1" si="32"/>
        <v>373353</v>
      </c>
      <c r="S130" s="118">
        <f t="shared" ca="1" si="32"/>
        <v>0</v>
      </c>
      <c r="T130" s="118">
        <f ca="1">특급</f>
        <v>373353</v>
      </c>
      <c r="U130" s="118">
        <f t="shared" ca="1" si="33"/>
        <v>0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39</v>
      </c>
      <c r="O131" s="173">
        <v>5</v>
      </c>
      <c r="P131" s="234">
        <f ca="1">OFFSET($A$1,MATCH(Z128,$A:$A,0)-1,O131)</f>
        <v>0</v>
      </c>
      <c r="Q131" s="144" t="s">
        <v>29</v>
      </c>
      <c r="R131" s="118">
        <f t="shared" ca="1" si="32"/>
        <v>310884</v>
      </c>
      <c r="S131" s="118">
        <f t="shared" ca="1" si="32"/>
        <v>0</v>
      </c>
      <c r="T131" s="118">
        <f ca="1">고급</f>
        <v>310884</v>
      </c>
      <c r="U131" s="118">
        <f t="shared" ca="1" si="33"/>
        <v>0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40</v>
      </c>
      <c r="O132" s="173">
        <v>6</v>
      </c>
      <c r="P132" s="234">
        <f ca="1">OFFSET($A$1,MATCH(Z128,$A:$A,0)-1,O132)</f>
        <v>0</v>
      </c>
      <c r="Q132" s="144" t="s">
        <v>29</v>
      </c>
      <c r="R132" s="118">
        <f t="shared" ca="1" si="32"/>
        <v>295138</v>
      </c>
      <c r="S132" s="118">
        <f t="shared" ca="1" si="32"/>
        <v>0</v>
      </c>
      <c r="T132" s="118">
        <f ca="1">중급</f>
        <v>295138</v>
      </c>
      <c r="U132" s="118">
        <f t="shared" ca="1" si="33"/>
        <v>0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145" t="s">
        <v>41</v>
      </c>
      <c r="O133" s="173">
        <v>7</v>
      </c>
      <c r="P133" s="234">
        <f ca="1">OFFSET($A$1,MATCH(Z128,$A:$A,0)-1,O133)</f>
        <v>0</v>
      </c>
      <c r="Q133" s="144" t="s">
        <v>29</v>
      </c>
      <c r="R133" s="118">
        <f t="shared" ca="1" si="32"/>
        <v>235459</v>
      </c>
      <c r="S133" s="118">
        <f t="shared" ca="1" si="32"/>
        <v>0</v>
      </c>
      <c r="T133" s="118">
        <f ca="1">초급</f>
        <v>235459</v>
      </c>
      <c r="U133" s="118">
        <f t="shared" ca="1" si="33"/>
        <v>0</v>
      </c>
      <c r="V133" s="118"/>
      <c r="W133" s="118"/>
      <c r="X133" s="118"/>
      <c r="Y133" s="118"/>
      <c r="Z133" s="115"/>
    </row>
    <row r="134" spans="11:29" ht="18" customHeight="1">
      <c r="K134" s="171" t="s">
        <v>14</v>
      </c>
      <c r="L134" s="171"/>
      <c r="M134" s="171"/>
      <c r="N134" s="319" t="s">
        <v>42</v>
      </c>
      <c r="O134" s="174">
        <v>8</v>
      </c>
      <c r="P134" s="235">
        <f ca="1">OFFSET($A$1,MATCH(Z128,$A:$A,0)-1,O134)</f>
        <v>0</v>
      </c>
      <c r="Q134" s="322" t="s">
        <v>29</v>
      </c>
      <c r="R134" s="323">
        <f t="shared" ca="1" si="32"/>
        <v>250087</v>
      </c>
      <c r="S134" s="323">
        <f t="shared" ca="1" si="32"/>
        <v>0</v>
      </c>
      <c r="T134" s="323">
        <f ca="1">보조원</f>
        <v>250087</v>
      </c>
      <c r="U134" s="323">
        <f t="shared" ca="1" si="33"/>
        <v>0</v>
      </c>
      <c r="V134" s="323"/>
      <c r="W134" s="323"/>
      <c r="X134" s="323"/>
      <c r="Y134" s="323"/>
      <c r="Z134" s="324"/>
      <c r="AA134" s="171"/>
    </row>
    <row r="135" spans="11:29" ht="18" customHeight="1">
      <c r="K135" s="171" t="s">
        <v>14</v>
      </c>
      <c r="L135" s="171"/>
      <c r="M135" s="171"/>
      <c r="N135" s="139" t="s">
        <v>17</v>
      </c>
      <c r="O135" s="68"/>
      <c r="P135" s="69"/>
      <c r="Q135" s="70"/>
      <c r="R135" s="71"/>
      <c r="S135" s="71">
        <f ca="1">SUBTOTAL(9,S129:S134)</f>
        <v>0</v>
      </c>
      <c r="T135" s="71"/>
      <c r="U135" s="71">
        <f ca="1">SUBTOTAL(9,U129:U134)</f>
        <v>0</v>
      </c>
      <c r="V135" s="71"/>
      <c r="W135" s="71"/>
      <c r="X135" s="71"/>
      <c r="Y135" s="71"/>
      <c r="Z135" s="68"/>
      <c r="AA135" s="171"/>
    </row>
    <row r="136" spans="11:29" ht="18" customHeight="1">
      <c r="K136" s="171" t="s">
        <v>14</v>
      </c>
      <c r="L136" s="171"/>
      <c r="M136" s="171"/>
      <c r="N136" s="318" t="str">
        <f ca="1">"제 " &amp; Z136 &amp; " 호표  "&amp; OFFSET($A$1,MATCH(Z136,$A:$A,0)-1,1)</f>
        <v>제 12 호표  4.1 보고서작성 및 편집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12</v>
      </c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0" t="s">
        <v>43</v>
      </c>
      <c r="O137" s="172">
        <v>3</v>
      </c>
      <c r="P137" s="219">
        <f ca="1">OFFSET($A$1,MATCH(Z136,$A:$A,0)-1,O137)</f>
        <v>1.472</v>
      </c>
      <c r="Q137" s="141" t="s">
        <v>29</v>
      </c>
      <c r="R137" s="142">
        <f t="shared" ref="R137:S142" ca="1" si="34">T137</f>
        <v>467217</v>
      </c>
      <c r="S137" s="142">
        <f t="shared" ca="1" si="34"/>
        <v>687743</v>
      </c>
      <c r="T137" s="142">
        <f ca="1">기술사</f>
        <v>467217</v>
      </c>
      <c r="U137" s="142">
        <f t="shared" ref="U137:U142" ca="1" si="35">ROUNDDOWN(P137*R137,0)</f>
        <v>687743</v>
      </c>
      <c r="V137" s="142"/>
      <c r="W137" s="142"/>
      <c r="X137" s="142"/>
      <c r="Y137" s="142"/>
      <c r="Z137" s="114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2.355</v>
      </c>
      <c r="Q138" s="144" t="s">
        <v>29</v>
      </c>
      <c r="R138" s="118">
        <f t="shared" ca="1" si="34"/>
        <v>373353</v>
      </c>
      <c r="S138" s="118">
        <f t="shared" ca="1" si="34"/>
        <v>879246</v>
      </c>
      <c r="T138" s="118">
        <f ca="1">특급</f>
        <v>373353</v>
      </c>
      <c r="U138" s="118">
        <f t="shared" ca="1" si="35"/>
        <v>879246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5.74</v>
      </c>
      <c r="Q139" s="144" t="s">
        <v>29</v>
      </c>
      <c r="R139" s="118">
        <f t="shared" ca="1" si="34"/>
        <v>310884</v>
      </c>
      <c r="S139" s="118">
        <f t="shared" ca="1" si="34"/>
        <v>1784474</v>
      </c>
      <c r="T139" s="118">
        <f ca="1">고급</f>
        <v>310884</v>
      </c>
      <c r="U139" s="118">
        <f t="shared" ca="1" si="35"/>
        <v>1784474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10.891999999999999</v>
      </c>
      <c r="Q140" s="144" t="s">
        <v>29</v>
      </c>
      <c r="R140" s="118">
        <f t="shared" ca="1" si="34"/>
        <v>295138</v>
      </c>
      <c r="S140" s="118">
        <f t="shared" ca="1" si="34"/>
        <v>3214643</v>
      </c>
      <c r="T140" s="118">
        <f ca="1">중급</f>
        <v>295138</v>
      </c>
      <c r="U140" s="118">
        <f t="shared" ca="1" si="35"/>
        <v>3214643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11.702</v>
      </c>
      <c r="Q141" s="144" t="s">
        <v>29</v>
      </c>
      <c r="R141" s="118">
        <f t="shared" ca="1" si="34"/>
        <v>235459</v>
      </c>
      <c r="S141" s="118">
        <f t="shared" ca="1" si="34"/>
        <v>2755341</v>
      </c>
      <c r="T141" s="118">
        <f ca="1">초급</f>
        <v>235459</v>
      </c>
      <c r="U141" s="118">
        <f t="shared" ca="1" si="35"/>
        <v>2755341</v>
      </c>
      <c r="V141" s="118"/>
      <c r="W141" s="118"/>
      <c r="X141" s="118"/>
      <c r="Y141" s="118"/>
      <c r="Z141" s="115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12.731999999999999</v>
      </c>
      <c r="Q142" s="322" t="s">
        <v>29</v>
      </c>
      <c r="R142" s="323">
        <f t="shared" ca="1" si="34"/>
        <v>250087</v>
      </c>
      <c r="S142" s="323">
        <f t="shared" ca="1" si="34"/>
        <v>3184107</v>
      </c>
      <c r="T142" s="323">
        <f ca="1">보조원</f>
        <v>250087</v>
      </c>
      <c r="U142" s="323">
        <f t="shared" ca="1" si="35"/>
        <v>3184107</v>
      </c>
      <c r="V142" s="323"/>
      <c r="W142" s="323"/>
      <c r="X142" s="323"/>
      <c r="Y142" s="323"/>
      <c r="Z142" s="324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12505554</v>
      </c>
      <c r="T143" s="71"/>
      <c r="U143" s="71">
        <f ca="1">SUBTOTAL(9,U137:U142)</f>
        <v>12505554</v>
      </c>
      <c r="V143" s="71"/>
      <c r="W143" s="71"/>
      <c r="X143" s="71"/>
      <c r="Y143" s="71"/>
      <c r="Z143" s="68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13 호표  4.2 관련도서작성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13</v>
      </c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0.73599999999999999</v>
      </c>
      <c r="Q145" s="141" t="s">
        <v>29</v>
      </c>
      <c r="R145" s="142">
        <f t="shared" ref="R145:S150" ca="1" si="36">T145</f>
        <v>467217</v>
      </c>
      <c r="S145" s="142">
        <f t="shared" ca="1" si="36"/>
        <v>343871</v>
      </c>
      <c r="T145" s="142">
        <f ca="1">기술사</f>
        <v>467217</v>
      </c>
      <c r="U145" s="142">
        <f t="shared" ref="U145:U150" ca="1" si="37">ROUNDDOWN(P145*R145,0)</f>
        <v>343871</v>
      </c>
      <c r="V145" s="142"/>
      <c r="W145" s="142"/>
      <c r="X145" s="142"/>
      <c r="Y145" s="142"/>
      <c r="Z145" s="114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1.177</v>
      </c>
      <c r="Q146" s="144" t="s">
        <v>29</v>
      </c>
      <c r="R146" s="118">
        <f t="shared" ca="1" si="36"/>
        <v>373353</v>
      </c>
      <c r="S146" s="118">
        <f t="shared" ca="1" si="36"/>
        <v>439436</v>
      </c>
      <c r="T146" s="118">
        <f ca="1">특급</f>
        <v>373353</v>
      </c>
      <c r="U146" s="118">
        <f t="shared" ca="1" si="37"/>
        <v>439436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2.87</v>
      </c>
      <c r="Q147" s="144" t="s">
        <v>29</v>
      </c>
      <c r="R147" s="118">
        <f t="shared" ca="1" si="36"/>
        <v>310884</v>
      </c>
      <c r="S147" s="118">
        <f t="shared" ca="1" si="36"/>
        <v>892237</v>
      </c>
      <c r="T147" s="118">
        <f ca="1">고급</f>
        <v>310884</v>
      </c>
      <c r="U147" s="118">
        <f t="shared" ca="1" si="37"/>
        <v>892237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5.4459999999999997</v>
      </c>
      <c r="Q148" s="144" t="s">
        <v>29</v>
      </c>
      <c r="R148" s="118">
        <f t="shared" ca="1" si="36"/>
        <v>295138</v>
      </c>
      <c r="S148" s="118">
        <f t="shared" ca="1" si="36"/>
        <v>1607321</v>
      </c>
      <c r="T148" s="118">
        <f ca="1">중급</f>
        <v>295138</v>
      </c>
      <c r="U148" s="118">
        <f t="shared" ca="1" si="37"/>
        <v>1607321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17.515999999999998</v>
      </c>
      <c r="Q149" s="144" t="s">
        <v>29</v>
      </c>
      <c r="R149" s="118">
        <f t="shared" ca="1" si="36"/>
        <v>235459</v>
      </c>
      <c r="S149" s="118">
        <f t="shared" ca="1" si="36"/>
        <v>4124299</v>
      </c>
      <c r="T149" s="118">
        <f ca="1">초급</f>
        <v>235459</v>
      </c>
      <c r="U149" s="118">
        <f t="shared" ca="1" si="37"/>
        <v>4124299</v>
      </c>
      <c r="V149" s="118"/>
      <c r="W149" s="118"/>
      <c r="X149" s="118"/>
      <c r="Y149" s="118"/>
      <c r="Z149" s="115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19.135999999999999</v>
      </c>
      <c r="Q150" s="322" t="s">
        <v>29</v>
      </c>
      <c r="R150" s="323">
        <f t="shared" ca="1" si="36"/>
        <v>250087</v>
      </c>
      <c r="S150" s="323">
        <f t="shared" ca="1" si="36"/>
        <v>4785664</v>
      </c>
      <c r="T150" s="323">
        <f ca="1">보조원</f>
        <v>250087</v>
      </c>
      <c r="U150" s="323">
        <f t="shared" ca="1" si="37"/>
        <v>4785664</v>
      </c>
      <c r="V150" s="323"/>
      <c r="W150" s="323"/>
      <c r="X150" s="323"/>
      <c r="Y150" s="323"/>
      <c r="Z150" s="32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12192828</v>
      </c>
      <c r="T151" s="71"/>
      <c r="U151" s="71">
        <f ca="1">SUBTOTAL(9,U145:U150)</f>
        <v>12192828</v>
      </c>
      <c r="V151" s="71"/>
      <c r="W151" s="71"/>
      <c r="X151" s="71"/>
      <c r="Y151" s="71"/>
      <c r="Z151" s="68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14 호표  5.1 공청회/주민설명회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14</v>
      </c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2</v>
      </c>
      <c r="Q153" s="141" t="s">
        <v>29</v>
      </c>
      <c r="R153" s="142">
        <f t="shared" ref="R153:S158" ca="1" si="38">T153</f>
        <v>467217</v>
      </c>
      <c r="S153" s="142">
        <f t="shared" ca="1" si="38"/>
        <v>934434</v>
      </c>
      <c r="T153" s="142">
        <f ca="1">기술사</f>
        <v>467217</v>
      </c>
      <c r="U153" s="142">
        <f t="shared" ref="U153:U158" ca="1" si="39">ROUNDDOWN(P153*R153,0)</f>
        <v>934434</v>
      </c>
      <c r="V153" s="142"/>
      <c r="W153" s="142"/>
      <c r="X153" s="142"/>
      <c r="Y153" s="142"/>
      <c r="Z153" s="114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2</v>
      </c>
      <c r="Q154" s="144" t="s">
        <v>29</v>
      </c>
      <c r="R154" s="118">
        <f t="shared" ca="1" si="38"/>
        <v>373353</v>
      </c>
      <c r="S154" s="118">
        <f t="shared" ca="1" si="38"/>
        <v>746706</v>
      </c>
      <c r="T154" s="118">
        <f ca="1">특급</f>
        <v>373353</v>
      </c>
      <c r="U154" s="118">
        <f t="shared" ca="1" si="39"/>
        <v>746706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2</v>
      </c>
      <c r="Q155" s="144" t="s">
        <v>29</v>
      </c>
      <c r="R155" s="118">
        <f t="shared" ca="1" si="38"/>
        <v>310884</v>
      </c>
      <c r="S155" s="118">
        <f t="shared" ca="1" si="38"/>
        <v>621768</v>
      </c>
      <c r="T155" s="118">
        <f ca="1">고급</f>
        <v>310884</v>
      </c>
      <c r="U155" s="118">
        <f t="shared" ca="1" si="39"/>
        <v>621768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4</v>
      </c>
      <c r="Q156" s="144" t="s">
        <v>29</v>
      </c>
      <c r="R156" s="118">
        <f t="shared" ca="1" si="38"/>
        <v>295138</v>
      </c>
      <c r="S156" s="118">
        <f t="shared" ca="1" si="38"/>
        <v>1180552</v>
      </c>
      <c r="T156" s="118">
        <f ca="1">중급</f>
        <v>295138</v>
      </c>
      <c r="U156" s="118">
        <f t="shared" ca="1" si="39"/>
        <v>1180552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4</v>
      </c>
      <c r="Q157" s="144" t="s">
        <v>29</v>
      </c>
      <c r="R157" s="118">
        <f t="shared" ca="1" si="38"/>
        <v>235459</v>
      </c>
      <c r="S157" s="118">
        <f t="shared" ca="1" si="38"/>
        <v>941836</v>
      </c>
      <c r="T157" s="118">
        <f ca="1">초급</f>
        <v>235459</v>
      </c>
      <c r="U157" s="118">
        <f t="shared" ca="1" si="39"/>
        <v>941836</v>
      </c>
      <c r="V157" s="118"/>
      <c r="W157" s="118"/>
      <c r="X157" s="118"/>
      <c r="Y157" s="118"/>
      <c r="Z157" s="115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4</v>
      </c>
      <c r="Q158" s="322" t="s">
        <v>29</v>
      </c>
      <c r="R158" s="323">
        <f t="shared" ca="1" si="38"/>
        <v>250087</v>
      </c>
      <c r="S158" s="323">
        <f t="shared" ca="1" si="38"/>
        <v>1000348</v>
      </c>
      <c r="T158" s="323">
        <f ca="1">보조원</f>
        <v>250087</v>
      </c>
      <c r="U158" s="323">
        <f t="shared" ca="1" si="39"/>
        <v>1000348</v>
      </c>
      <c r="V158" s="323"/>
      <c r="W158" s="323"/>
      <c r="X158" s="323"/>
      <c r="Y158" s="323"/>
      <c r="Z158" s="32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5425644</v>
      </c>
      <c r="T159" s="71"/>
      <c r="U159" s="71">
        <f ca="1">SUBTOTAL(9,U153:U158)</f>
        <v>5425644</v>
      </c>
      <c r="V159" s="71"/>
      <c r="W159" s="71"/>
      <c r="X159" s="71"/>
      <c r="Y159" s="71"/>
      <c r="Z159" s="68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15 호표  5.2 주민간담회/시민계획단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15</v>
      </c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2</v>
      </c>
      <c r="Q161" s="141" t="s">
        <v>29</v>
      </c>
      <c r="R161" s="142">
        <f t="shared" ref="R161:S166" ca="1" si="40">T161</f>
        <v>467217</v>
      </c>
      <c r="S161" s="142">
        <f t="shared" ca="1" si="40"/>
        <v>934434</v>
      </c>
      <c r="T161" s="142">
        <f ca="1">기술사</f>
        <v>467217</v>
      </c>
      <c r="U161" s="142">
        <f t="shared" ref="U161:U166" ca="1" si="41">ROUNDDOWN(P161*R161,0)</f>
        <v>934434</v>
      </c>
      <c r="V161" s="142"/>
      <c r="W161" s="142"/>
      <c r="X161" s="142"/>
      <c r="Y161" s="142"/>
      <c r="Z161" s="114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2</v>
      </c>
      <c r="Q162" s="144" t="s">
        <v>29</v>
      </c>
      <c r="R162" s="118">
        <f t="shared" ca="1" si="40"/>
        <v>373353</v>
      </c>
      <c r="S162" s="118">
        <f t="shared" ca="1" si="40"/>
        <v>746706</v>
      </c>
      <c r="T162" s="118">
        <f ca="1">특급</f>
        <v>373353</v>
      </c>
      <c r="U162" s="118">
        <f t="shared" ca="1" si="41"/>
        <v>746706</v>
      </c>
      <c r="V162" s="118"/>
      <c r="W162" s="118"/>
      <c r="X162" s="118"/>
      <c r="Y162" s="118"/>
      <c r="Z162" s="115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2</v>
      </c>
      <c r="Q163" s="144" t="s">
        <v>29</v>
      </c>
      <c r="R163" s="118">
        <f t="shared" ca="1" si="40"/>
        <v>310884</v>
      </c>
      <c r="S163" s="118">
        <f t="shared" ca="1" si="40"/>
        <v>621768</v>
      </c>
      <c r="T163" s="118">
        <f ca="1">고급</f>
        <v>310884</v>
      </c>
      <c r="U163" s="118">
        <f t="shared" ca="1" si="41"/>
        <v>621768</v>
      </c>
      <c r="V163" s="118"/>
      <c r="W163" s="118"/>
      <c r="X163" s="118"/>
      <c r="Y163" s="118"/>
      <c r="Z163" s="115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4</v>
      </c>
      <c r="Q164" s="144" t="s">
        <v>29</v>
      </c>
      <c r="R164" s="118">
        <f t="shared" ca="1" si="40"/>
        <v>295138</v>
      </c>
      <c r="S164" s="118">
        <f t="shared" ca="1" si="40"/>
        <v>1180552</v>
      </c>
      <c r="T164" s="118">
        <f ca="1">중급</f>
        <v>295138</v>
      </c>
      <c r="U164" s="118">
        <f t="shared" ca="1" si="41"/>
        <v>1180552</v>
      </c>
      <c r="V164" s="118"/>
      <c r="W164" s="118"/>
      <c r="X164" s="118"/>
      <c r="Y164" s="118"/>
      <c r="Z164" s="115"/>
    </row>
    <row r="165" spans="11:29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4</v>
      </c>
      <c r="Q165" s="144" t="s">
        <v>29</v>
      </c>
      <c r="R165" s="118">
        <f t="shared" ca="1" si="40"/>
        <v>235459</v>
      </c>
      <c r="S165" s="118">
        <f t="shared" ca="1" si="40"/>
        <v>941836</v>
      </c>
      <c r="T165" s="118">
        <f ca="1">초급</f>
        <v>235459</v>
      </c>
      <c r="U165" s="118">
        <f t="shared" ca="1" si="41"/>
        <v>941836</v>
      </c>
      <c r="V165" s="118"/>
      <c r="W165" s="118"/>
      <c r="X165" s="118"/>
      <c r="Y165" s="118"/>
      <c r="Z165" s="115"/>
    </row>
    <row r="166" spans="11:29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4</v>
      </c>
      <c r="Q166" s="322" t="s">
        <v>29</v>
      </c>
      <c r="R166" s="323">
        <f t="shared" ca="1" si="40"/>
        <v>250087</v>
      </c>
      <c r="S166" s="323">
        <f t="shared" ca="1" si="40"/>
        <v>1000348</v>
      </c>
      <c r="T166" s="323">
        <f ca="1">보조원</f>
        <v>250087</v>
      </c>
      <c r="U166" s="323">
        <f t="shared" ca="1" si="41"/>
        <v>1000348</v>
      </c>
      <c r="V166" s="323"/>
      <c r="W166" s="323"/>
      <c r="X166" s="323"/>
      <c r="Y166" s="323"/>
      <c r="Z166" s="324"/>
    </row>
    <row r="167" spans="11:29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5425644</v>
      </c>
      <c r="T167" s="71"/>
      <c r="U167" s="71">
        <f ca="1">SUBTOTAL(9,U161:U166)</f>
        <v>5425644</v>
      </c>
      <c r="V167" s="71"/>
      <c r="W167" s="71"/>
      <c r="X167" s="71"/>
      <c r="Y167" s="71"/>
      <c r="Z167" s="68"/>
    </row>
    <row r="168" spans="11:29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16 호표  5.3 위원회심의 지원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16</v>
      </c>
    </row>
    <row r="169" spans="11:29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2</v>
      </c>
      <c r="Q169" s="141" t="s">
        <v>29</v>
      </c>
      <c r="R169" s="142">
        <f t="shared" ref="R169:S174" ca="1" si="42">T169</f>
        <v>467217</v>
      </c>
      <c r="S169" s="142">
        <f t="shared" ca="1" si="42"/>
        <v>934434</v>
      </c>
      <c r="T169" s="142">
        <f ca="1">기술사</f>
        <v>467217</v>
      </c>
      <c r="U169" s="142">
        <f t="shared" ref="U169:U174" ca="1" si="43">ROUNDDOWN(P169*R169,0)</f>
        <v>934434</v>
      </c>
      <c r="V169" s="142"/>
      <c r="W169" s="142"/>
      <c r="X169" s="142"/>
      <c r="Y169" s="142"/>
      <c r="Z169" s="114"/>
    </row>
    <row r="170" spans="11:29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2</v>
      </c>
      <c r="Q170" s="144" t="s">
        <v>29</v>
      </c>
      <c r="R170" s="118">
        <f t="shared" ca="1" si="42"/>
        <v>373353</v>
      </c>
      <c r="S170" s="118">
        <f t="shared" ca="1" si="42"/>
        <v>746706</v>
      </c>
      <c r="T170" s="118">
        <f ca="1">특급</f>
        <v>373353</v>
      </c>
      <c r="U170" s="118">
        <f t="shared" ca="1" si="43"/>
        <v>746706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2</v>
      </c>
      <c r="Q171" s="144" t="s">
        <v>29</v>
      </c>
      <c r="R171" s="118">
        <f t="shared" ca="1" si="42"/>
        <v>310884</v>
      </c>
      <c r="S171" s="118">
        <f t="shared" ca="1" si="42"/>
        <v>621768</v>
      </c>
      <c r="T171" s="118">
        <f ca="1">고급</f>
        <v>310884</v>
      </c>
      <c r="U171" s="118">
        <f t="shared" ca="1" si="43"/>
        <v>621768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4</v>
      </c>
      <c r="Q172" s="144" t="s">
        <v>29</v>
      </c>
      <c r="R172" s="118">
        <f t="shared" ca="1" si="42"/>
        <v>295138</v>
      </c>
      <c r="S172" s="118">
        <f t="shared" ca="1" si="42"/>
        <v>1180552</v>
      </c>
      <c r="T172" s="118">
        <f ca="1">중급</f>
        <v>295138</v>
      </c>
      <c r="U172" s="118">
        <f t="shared" ca="1" si="43"/>
        <v>1180552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4</v>
      </c>
      <c r="Q173" s="144" t="s">
        <v>29</v>
      </c>
      <c r="R173" s="118">
        <f t="shared" ca="1" si="42"/>
        <v>235459</v>
      </c>
      <c r="S173" s="118">
        <f t="shared" ca="1" si="42"/>
        <v>941836</v>
      </c>
      <c r="T173" s="118">
        <f ca="1">초급</f>
        <v>235459</v>
      </c>
      <c r="U173" s="118">
        <f t="shared" ca="1" si="43"/>
        <v>941836</v>
      </c>
      <c r="V173" s="118"/>
      <c r="W173" s="118"/>
      <c r="X173" s="118"/>
      <c r="Y173" s="118"/>
      <c r="Z173" s="115"/>
    </row>
    <row r="174" spans="11:29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4</v>
      </c>
      <c r="Q174" s="322" t="s">
        <v>29</v>
      </c>
      <c r="R174" s="323">
        <f t="shared" ca="1" si="42"/>
        <v>250087</v>
      </c>
      <c r="S174" s="323">
        <f t="shared" ca="1" si="42"/>
        <v>1000348</v>
      </c>
      <c r="T174" s="323">
        <f ca="1">보조원</f>
        <v>250087</v>
      </c>
      <c r="U174" s="323">
        <f t="shared" ca="1" si="43"/>
        <v>1000348</v>
      </c>
      <c r="V174" s="323"/>
      <c r="W174" s="323"/>
      <c r="X174" s="323"/>
      <c r="Y174" s="323"/>
      <c r="Z174" s="324"/>
    </row>
    <row r="175" spans="11:29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5425644</v>
      </c>
      <c r="T175" s="71"/>
      <c r="U175" s="71">
        <f ca="1">SUBTOTAL(9,U169:U174)</f>
        <v>5425644</v>
      </c>
      <c r="V175" s="71"/>
      <c r="W175" s="71"/>
      <c r="X175" s="71"/>
      <c r="Y175" s="71"/>
      <c r="Z175" s="68"/>
    </row>
    <row r="176" spans="11:29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17 호표  5.4 관계기관 협의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17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2</v>
      </c>
      <c r="Q177" s="141" t="s">
        <v>29</v>
      </c>
      <c r="R177" s="142">
        <f t="shared" ref="R177:S182" ca="1" si="44">T177</f>
        <v>467217</v>
      </c>
      <c r="S177" s="142">
        <f t="shared" ca="1" si="44"/>
        <v>934434</v>
      </c>
      <c r="T177" s="142">
        <f ca="1">기술사</f>
        <v>467217</v>
      </c>
      <c r="U177" s="142">
        <f t="shared" ref="U177:U182" ca="1" si="45">ROUNDDOWN(P177*R177,0)</f>
        <v>934434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2</v>
      </c>
      <c r="Q178" s="144" t="s">
        <v>29</v>
      </c>
      <c r="R178" s="118">
        <f t="shared" ca="1" si="44"/>
        <v>373353</v>
      </c>
      <c r="S178" s="118">
        <f t="shared" ca="1" si="44"/>
        <v>746706</v>
      </c>
      <c r="T178" s="118">
        <f ca="1">특급</f>
        <v>373353</v>
      </c>
      <c r="U178" s="118">
        <f t="shared" ca="1" si="45"/>
        <v>746706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2</v>
      </c>
      <c r="Q179" s="144" t="s">
        <v>29</v>
      </c>
      <c r="R179" s="118">
        <f t="shared" ca="1" si="44"/>
        <v>310884</v>
      </c>
      <c r="S179" s="118">
        <f t="shared" ca="1" si="44"/>
        <v>621768</v>
      </c>
      <c r="T179" s="118">
        <f ca="1">고급</f>
        <v>310884</v>
      </c>
      <c r="U179" s="118">
        <f t="shared" ca="1" si="45"/>
        <v>621768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4</v>
      </c>
      <c r="Q180" s="144" t="s">
        <v>29</v>
      </c>
      <c r="R180" s="118">
        <f t="shared" ca="1" si="44"/>
        <v>295138</v>
      </c>
      <c r="S180" s="118">
        <f t="shared" ca="1" si="44"/>
        <v>1180552</v>
      </c>
      <c r="T180" s="118">
        <f ca="1">중급</f>
        <v>295138</v>
      </c>
      <c r="U180" s="118">
        <f t="shared" ca="1" si="45"/>
        <v>1180552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4</v>
      </c>
      <c r="Q181" s="144" t="s">
        <v>29</v>
      </c>
      <c r="R181" s="118">
        <f t="shared" ca="1" si="44"/>
        <v>235459</v>
      </c>
      <c r="S181" s="118">
        <f t="shared" ca="1" si="44"/>
        <v>941836</v>
      </c>
      <c r="T181" s="118">
        <f ca="1">초급</f>
        <v>235459</v>
      </c>
      <c r="U181" s="118">
        <f t="shared" ca="1" si="45"/>
        <v>941836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4</v>
      </c>
      <c r="Q182" s="322" t="s">
        <v>29</v>
      </c>
      <c r="R182" s="323">
        <f t="shared" ca="1" si="44"/>
        <v>250087</v>
      </c>
      <c r="S182" s="323">
        <f t="shared" ca="1" si="44"/>
        <v>1000348</v>
      </c>
      <c r="T182" s="323">
        <f ca="1">보조원</f>
        <v>250087</v>
      </c>
      <c r="U182" s="323">
        <f t="shared" ca="1" si="45"/>
        <v>1000348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5425644</v>
      </c>
      <c r="T183" s="71"/>
      <c r="U183" s="71">
        <f ca="1">SUBTOTAL(9,U177:U182)</f>
        <v>5425644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1:26" ht="18" customHeight="1">
      <c r="K185" s="171" t="s">
        <v>14</v>
      </c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1:26" ht="18" customHeight="1">
      <c r="K186" s="171" t="s">
        <v>14</v>
      </c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1:26" ht="18" customHeight="1">
      <c r="K187" s="171" t="s">
        <v>14</v>
      </c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1:26" ht="18" customHeight="1">
      <c r="K188" s="171" t="s">
        <v>14</v>
      </c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1:26" ht="18" customHeight="1">
      <c r="K189" s="171" t="s">
        <v>14</v>
      </c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1:26" ht="18" customHeight="1">
      <c r="K190" s="171" t="s">
        <v>14</v>
      </c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1:26" ht="18" customHeight="1">
      <c r="K191" s="171" t="s">
        <v>14</v>
      </c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1:26" ht="18" customHeight="1">
      <c r="K192" s="171" t="s">
        <v>14</v>
      </c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1:26" ht="18" customHeight="1">
      <c r="K193" s="171" t="s">
        <v>14</v>
      </c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1:26" ht="18" customHeight="1">
      <c r="K194" s="171" t="s">
        <v>14</v>
      </c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V194" s="171"/>
      <c r="W194" s="171"/>
      <c r="X194" s="171"/>
      <c r="Y194" s="171"/>
      <c r="Z194" s="171"/>
    </row>
    <row r="195" spans="11:26" ht="18" customHeight="1">
      <c r="K195" s="171" t="s">
        <v>14</v>
      </c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V195" s="171"/>
      <c r="W195" s="171"/>
      <c r="X195" s="171"/>
      <c r="Y195" s="171"/>
      <c r="Z195" s="171"/>
    </row>
    <row r="196" spans="11:26" ht="18" customHeight="1">
      <c r="K196" s="171" t="s">
        <v>14</v>
      </c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V196" s="171"/>
      <c r="W196" s="171"/>
      <c r="X196" s="171"/>
      <c r="Y196" s="171"/>
      <c r="Z196" s="171"/>
    </row>
    <row r="197" spans="11:26" ht="18" customHeight="1">
      <c r="K197" s="171" t="s">
        <v>14</v>
      </c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V197" s="171"/>
      <c r="W197" s="171"/>
      <c r="X197" s="171"/>
      <c r="Y197" s="171"/>
      <c r="Z197" s="171"/>
    </row>
    <row r="198" spans="11:26" ht="18" customHeight="1">
      <c r="K198" s="171" t="s">
        <v>14</v>
      </c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V198" s="171"/>
      <c r="W198" s="171"/>
      <c r="X198" s="171"/>
      <c r="Y198" s="171"/>
      <c r="Z198" s="171"/>
    </row>
    <row r="199" spans="11:26" ht="18" customHeight="1">
      <c r="K199" s="171" t="s">
        <v>14</v>
      </c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V199" s="171"/>
      <c r="W199" s="171"/>
      <c r="X199" s="171"/>
      <c r="Y199" s="171"/>
      <c r="Z199" s="171"/>
    </row>
    <row r="200" spans="11:26" ht="18" customHeight="1">
      <c r="K200" s="171" t="s">
        <v>14</v>
      </c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V200" s="171"/>
      <c r="W200" s="171"/>
      <c r="X200" s="171"/>
      <c r="Y200" s="171"/>
      <c r="Z200" s="171"/>
    </row>
    <row r="201" spans="11:26" ht="18" customHeight="1">
      <c r="K201" s="171" t="s">
        <v>14</v>
      </c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V201" s="171"/>
      <c r="W201" s="171"/>
      <c r="X201" s="171"/>
      <c r="Y201" s="171"/>
      <c r="Z201" s="171"/>
    </row>
    <row r="202" spans="11:26" ht="18" customHeight="1">
      <c r="K202" s="171" t="s">
        <v>14</v>
      </c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V202" s="171"/>
      <c r="W202" s="171"/>
      <c r="X202" s="171"/>
      <c r="Y202" s="171"/>
      <c r="Z202" s="171"/>
    </row>
    <row r="203" spans="11:26" ht="18" customHeight="1">
      <c r="K203" s="171" t="s">
        <v>14</v>
      </c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1:26" ht="18" customHeight="1">
      <c r="K204" s="171" t="s">
        <v>14</v>
      </c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1:26" ht="18" customHeight="1">
      <c r="K205" s="171" t="s">
        <v>14</v>
      </c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1:26" ht="18" customHeight="1">
      <c r="K206" s="171" t="s">
        <v>14</v>
      </c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1:26" ht="18" customHeight="1">
      <c r="K207" s="171" t="s">
        <v>14</v>
      </c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1:26" ht="18" customHeight="1">
      <c r="K208" s="171" t="s">
        <v>14</v>
      </c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1:26" ht="18" customHeight="1">
      <c r="K209" s="171" t="s">
        <v>14</v>
      </c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1:26" ht="18" customHeight="1">
      <c r="K210" s="171" t="s">
        <v>14</v>
      </c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1:26" ht="18" customHeight="1">
      <c r="K211" s="171" t="s">
        <v>14</v>
      </c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1:26" ht="18" customHeight="1">
      <c r="K212" s="171" t="s">
        <v>14</v>
      </c>
      <c r="L212" s="171"/>
      <c r="M212" s="171"/>
    </row>
    <row r="213" spans="11:26" ht="18" customHeight="1">
      <c r="K213" s="171" t="s">
        <v>14</v>
      </c>
      <c r="L213" s="171"/>
      <c r="M213" s="171"/>
    </row>
    <row r="214" spans="11:26" ht="18" customHeight="1">
      <c r="K214" s="171" t="s">
        <v>14</v>
      </c>
      <c r="L214" s="171"/>
      <c r="M214" s="171"/>
    </row>
    <row r="215" spans="11:26" ht="18" customHeight="1">
      <c r="K215" s="171" t="s">
        <v>14</v>
      </c>
      <c r="L215" s="171"/>
      <c r="M215" s="171"/>
    </row>
    <row r="216" spans="11:26" ht="18" customHeight="1">
      <c r="K216" s="171" t="s">
        <v>14</v>
      </c>
      <c r="L216" s="171"/>
      <c r="M216" s="171"/>
    </row>
    <row r="217" spans="11:26" ht="18" customHeight="1">
      <c r="K217" s="171" t="s">
        <v>14</v>
      </c>
      <c r="L217" s="171"/>
      <c r="M217" s="171"/>
    </row>
    <row r="218" spans="11:26" ht="18" customHeight="1">
      <c r="K218" s="171" t="s">
        <v>14</v>
      </c>
      <c r="L218" s="171"/>
      <c r="M218" s="171"/>
    </row>
    <row r="219" spans="11:26" ht="18" customHeight="1">
      <c r="K219" s="171" t="s">
        <v>14</v>
      </c>
      <c r="L219" s="171"/>
      <c r="M219" s="171"/>
    </row>
    <row r="220" spans="11:26" ht="18" customHeight="1">
      <c r="K220" s="171" t="s">
        <v>14</v>
      </c>
      <c r="L220" s="171"/>
      <c r="M220" s="171"/>
    </row>
    <row r="221" spans="11:26" ht="18" customHeight="1">
      <c r="K221" s="171" t="s">
        <v>14</v>
      </c>
      <c r="L221" s="171"/>
      <c r="M221" s="171"/>
    </row>
    <row r="222" spans="11:26" ht="18" customHeight="1">
      <c r="K222" s="171" t="s">
        <v>14</v>
      </c>
      <c r="L222" s="171"/>
      <c r="M222" s="171"/>
    </row>
    <row r="223" spans="11:26" ht="18" customHeight="1">
      <c r="K223" s="171" t="s">
        <v>14</v>
      </c>
      <c r="L223" s="171"/>
      <c r="M223" s="171"/>
    </row>
    <row r="224" spans="11:26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L612" s="171"/>
      <c r="M612" s="171"/>
    </row>
    <row r="613" spans="11:13" ht="18" customHeight="1">
      <c r="L613" s="171"/>
      <c r="M613" s="171"/>
    </row>
    <row r="614" spans="11:13" ht="18" customHeight="1">
      <c r="L614" s="171"/>
      <c r="M614" s="171"/>
    </row>
    <row r="615" spans="11:13" ht="18" customHeight="1">
      <c r="L615" s="171"/>
      <c r="M615" s="171"/>
    </row>
    <row r="616" spans="11:13" ht="18" customHeight="1">
      <c r="L616" s="171"/>
      <c r="M616" s="171"/>
    </row>
    <row r="617" spans="11:13" ht="18" customHeight="1">
      <c r="L617" s="171"/>
      <c r="M617" s="171"/>
    </row>
    <row r="618" spans="11:13" ht="18" customHeight="1">
      <c r="L618" s="171"/>
      <c r="M618" s="171"/>
    </row>
    <row r="619" spans="11:13" ht="18" customHeight="1"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  <row r="764" spans="12:12" ht="18" customHeight="1">
      <c r="L764" s="171"/>
    </row>
    <row r="765" spans="12:12" ht="18" customHeight="1">
      <c r="L765" s="171"/>
    </row>
  </sheetData>
  <mergeCells count="19">
    <mergeCell ref="Q46:Q47"/>
    <mergeCell ref="Z46:Z47"/>
    <mergeCell ref="J38:J39"/>
    <mergeCell ref="N46:N47"/>
    <mergeCell ref="O46:O47"/>
    <mergeCell ref="J53:J57"/>
    <mergeCell ref="B11:C12"/>
    <mergeCell ref="J11:J12"/>
    <mergeCell ref="L11:L12"/>
    <mergeCell ref="P46:P47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3:V35">
    <cfRule type="cellIs" dxfId="69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9">
    <tabColor rgb="FFFFC000"/>
    <pageSetUpPr fitToPage="1"/>
  </sheetPr>
  <dimension ref="A1:AC760"/>
  <sheetViews>
    <sheetView showGridLines="0" zoomScale="85" zoomScaleNormal="85" zoomScaleSheetLayoutView="75" workbookViewId="0">
      <selection activeCell="F3" sqref="F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263</v>
      </c>
    </row>
    <row r="2" spans="1:26" ht="19.5" thickBot="1">
      <c r="B2" s="66" t="s">
        <v>1</v>
      </c>
      <c r="G2" s="391">
        <v>1</v>
      </c>
    </row>
    <row r="3" spans="1:26" ht="18" customHeight="1">
      <c r="B3" s="773" t="s">
        <v>376</v>
      </c>
      <c r="C3" s="774"/>
      <c r="D3" s="775">
        <v>1</v>
      </c>
      <c r="E3" s="776"/>
      <c r="F3" s="44" t="str">
        <f>CHOOSE(G2,"만㎡","㎞")</f>
        <v>만㎡</v>
      </c>
      <c r="G3" s="767" t="s">
        <v>1104</v>
      </c>
      <c r="H3" s="768"/>
      <c r="I3" s="656">
        <v>2</v>
      </c>
      <c r="J3" s="669" t="s">
        <v>1105</v>
      </c>
    </row>
    <row r="4" spans="1:26" ht="18" customHeight="1">
      <c r="B4" s="777" t="s">
        <v>1270</v>
      </c>
      <c r="C4" s="778"/>
      <c r="D4" s="779">
        <v>9.9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262</v>
      </c>
      <c r="C5" s="782"/>
      <c r="D5" s="783">
        <f>ROUND((IF(D4&lt;=0.5,0.5,D4)/D3)^0.6,3)</f>
        <v>3.9569999999999999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1269</v>
      </c>
      <c r="C6" s="36"/>
      <c r="D6" s="36"/>
      <c r="E6" s="36"/>
      <c r="F6" s="36"/>
      <c r="G6" s="9" t="s">
        <v>1107</v>
      </c>
      <c r="H6" s="36"/>
    </row>
    <row r="7" spans="1:26" ht="18" customHeight="1">
      <c r="B7" s="9"/>
      <c r="C7" s="9" t="s">
        <v>1268</v>
      </c>
      <c r="D7" s="64"/>
      <c r="E7" s="64"/>
      <c r="G7" s="36"/>
      <c r="R7" s="1"/>
      <c r="S7" s="1"/>
      <c r="T7" s="1"/>
    </row>
    <row r="8" spans="1:26" ht="18" customHeight="1">
      <c r="B8" s="1" t="s">
        <v>1267</v>
      </c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SUBTOTAL(9,W11:W39)</f>
        <v>684223011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SUBTOTAL(9,W12:W36)</f>
        <v>243791263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SUBTOTAL(9,W13:W31)</f>
        <v>236791263</v>
      </c>
      <c r="X12" s="160"/>
      <c r="Y12" s="168"/>
      <c r="Z12" s="168"/>
    </row>
    <row r="13" spans="1:26" ht="18" customHeight="1">
      <c r="B13" s="225" t="s">
        <v>264</v>
      </c>
      <c r="C13" s="72"/>
      <c r="D13" s="203">
        <f t="shared" ref="D13:I13" si="0">SUBTOTAL(9,D14:D14)</f>
        <v>0.4</v>
      </c>
      <c r="E13" s="204">
        <f t="shared" si="0"/>
        <v>0.6</v>
      </c>
      <c r="F13" s="204">
        <f t="shared" si="0"/>
        <v>1.2</v>
      </c>
      <c r="G13" s="204">
        <f t="shared" si="0"/>
        <v>1.8</v>
      </c>
      <c r="H13" s="204">
        <f t="shared" si="0"/>
        <v>3</v>
      </c>
      <c r="I13" s="205">
        <f t="shared" si="0"/>
        <v>3.5</v>
      </c>
      <c r="J13" s="73"/>
      <c r="L13" s="232"/>
      <c r="N13" s="294" t="str">
        <f t="shared" ref="N13:N31" si="1">B13</f>
        <v>1. 계획검토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SUBTOTAL(9,W14:W15)</f>
        <v>19144869</v>
      </c>
      <c r="X13" s="194"/>
      <c r="Y13" s="170"/>
      <c r="Z13" s="170"/>
    </row>
    <row r="14" spans="1:26" ht="18" customHeight="1">
      <c r="B14" s="223" t="s">
        <v>1271</v>
      </c>
      <c r="C14" s="23"/>
      <c r="D14" s="197">
        <v>0.4</v>
      </c>
      <c r="E14" s="198">
        <v>0.6</v>
      </c>
      <c r="F14" s="198">
        <v>1.2</v>
      </c>
      <c r="G14" s="198">
        <v>1.8</v>
      </c>
      <c r="H14" s="198">
        <v>3</v>
      </c>
      <c r="I14" s="199">
        <v>3.5</v>
      </c>
      <c r="J14" s="389" t="s">
        <v>1289</v>
      </c>
      <c r="L14" s="233">
        <v>1</v>
      </c>
      <c r="N14" s="296" t="str">
        <f t="shared" si="1"/>
        <v>1.1 관련법규 및 계획 검토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SUM((ROUNDDOWN((D34:I34)*단가,0)))</f>
        <v>11462113</v>
      </c>
      <c r="X14" s="154"/>
      <c r="Y14" s="170" t="str">
        <f t="shared" ref="Y14:Y31" si="2">IF(A34&gt;0, "제 " &amp;A34&amp; " 호표","")</f>
        <v>제 1 호표</v>
      </c>
      <c r="Z14" s="150"/>
    </row>
    <row r="15" spans="1:26" ht="18" customHeight="1">
      <c r="B15" s="223" t="s">
        <v>1272</v>
      </c>
      <c r="C15" s="23"/>
      <c r="D15" s="197">
        <v>0.2</v>
      </c>
      <c r="E15" s="198">
        <v>0.4</v>
      </c>
      <c r="F15" s="198">
        <v>0.8</v>
      </c>
      <c r="G15" s="198">
        <v>1.2</v>
      </c>
      <c r="H15" s="198">
        <v>2</v>
      </c>
      <c r="I15" s="199">
        <v>2.5</v>
      </c>
      <c r="J15" s="389" t="s">
        <v>1090</v>
      </c>
      <c r="L15" s="233">
        <v>1</v>
      </c>
      <c r="N15" s="296" t="str">
        <f t="shared" si="1"/>
        <v>1.2 주변지역과의 상관성검토</v>
      </c>
      <c r="O15" s="37"/>
      <c r="P15" s="37"/>
      <c r="Q15" s="37"/>
      <c r="R15" s="37"/>
      <c r="S15" s="37"/>
      <c r="T15" s="37"/>
      <c r="U15" s="226"/>
      <c r="V15" s="231"/>
      <c r="W15" s="153">
        <f t="array" aca="1" ref="W15" ca="1">SUM((ROUNDDOWN((D35:I35)*단가,0)))</f>
        <v>7682756</v>
      </c>
      <c r="X15" s="154"/>
      <c r="Y15" s="170" t="str">
        <f t="shared" si="2"/>
        <v>제 2 호표</v>
      </c>
      <c r="Z15" s="150"/>
    </row>
    <row r="16" spans="1:26" ht="18" customHeight="1">
      <c r="B16" s="222" t="s">
        <v>1273</v>
      </c>
      <c r="C16" s="47"/>
      <c r="D16" s="48">
        <f t="shared" ref="D16:I16" si="3">SUBTOTAL(9,D17:D23)</f>
        <v>2.4</v>
      </c>
      <c r="E16" s="49">
        <f t="shared" si="3"/>
        <v>6.8</v>
      </c>
      <c r="F16" s="49">
        <f t="shared" si="3"/>
        <v>19.2</v>
      </c>
      <c r="G16" s="49">
        <f t="shared" si="3"/>
        <v>24</v>
      </c>
      <c r="H16" s="49">
        <f t="shared" si="3"/>
        <v>48</v>
      </c>
      <c r="I16" s="50">
        <f t="shared" si="3"/>
        <v>59</v>
      </c>
      <c r="J16" s="74"/>
      <c r="L16" s="233"/>
      <c r="N16" s="292" t="str">
        <f t="shared" si="1"/>
        <v>2. 도시·군계획 시설결정(변경)결정도서 작성</v>
      </c>
      <c r="O16" s="37"/>
      <c r="P16" s="39"/>
      <c r="Q16" s="37"/>
      <c r="R16" s="117"/>
      <c r="S16" s="37"/>
      <c r="T16" s="37"/>
      <c r="U16" s="226"/>
      <c r="V16" s="231"/>
      <c r="W16" s="195">
        <f ca="1">SUBTOTAL(9,W17:W23)</f>
        <v>169235526</v>
      </c>
      <c r="X16" s="196"/>
      <c r="Y16" s="170" t="str">
        <f t="shared" si="2"/>
        <v/>
      </c>
      <c r="Z16" s="150"/>
    </row>
    <row r="17" spans="2:26" ht="18" customHeight="1">
      <c r="B17" s="223" t="s">
        <v>1274</v>
      </c>
      <c r="C17" s="23"/>
      <c r="D17" s="197">
        <v>0.4</v>
      </c>
      <c r="E17" s="198">
        <v>1</v>
      </c>
      <c r="F17" s="198">
        <v>2.4</v>
      </c>
      <c r="G17" s="198">
        <v>3</v>
      </c>
      <c r="H17" s="198">
        <v>6</v>
      </c>
      <c r="I17" s="199">
        <v>8.5</v>
      </c>
      <c r="J17" s="389" t="s">
        <v>1213</v>
      </c>
      <c r="L17" s="233">
        <v>1</v>
      </c>
      <c r="N17" s="296" t="str">
        <f t="shared" si="1"/>
        <v>2.1 도시·군계획시설(변경)결정 조서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SUM((ROUNDDOWN((D37:I37)*단가,0)))</f>
        <v>22673924</v>
      </c>
      <c r="X17" s="154"/>
      <c r="Y17" s="170" t="str">
        <f t="shared" si="2"/>
        <v>제 3 호표</v>
      </c>
      <c r="Z17" s="150"/>
    </row>
    <row r="18" spans="2:26" ht="18" customHeight="1">
      <c r="B18" s="791" t="s">
        <v>1275</v>
      </c>
      <c r="C18" s="792"/>
      <c r="D18" s="197">
        <v>0.6</v>
      </c>
      <c r="E18" s="198">
        <v>1</v>
      </c>
      <c r="F18" s="198">
        <v>6</v>
      </c>
      <c r="G18" s="198">
        <v>7</v>
      </c>
      <c r="H18" s="198">
        <v>15</v>
      </c>
      <c r="I18" s="199">
        <v>12</v>
      </c>
      <c r="J18" s="389" t="s">
        <v>1090</v>
      </c>
      <c r="L18" s="233">
        <v>1</v>
      </c>
      <c r="N18" s="296" t="str">
        <f t="shared" si="1"/>
        <v>2.2 도시·군계획시설(변경)결정사유서 및 개발(사업)계획서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SUM((ROUNDDOWN((D38:I38)*단가,0)))</f>
        <v>43993363</v>
      </c>
      <c r="X18" s="154"/>
      <c r="Y18" s="170" t="str">
        <f t="shared" si="2"/>
        <v>제 4 호표</v>
      </c>
      <c r="Z18" s="150"/>
    </row>
    <row r="19" spans="2:26" ht="18" customHeight="1">
      <c r="B19" s="223" t="s">
        <v>1276</v>
      </c>
      <c r="C19" s="23"/>
      <c r="D19" s="197">
        <v>0.4</v>
      </c>
      <c r="E19" s="198">
        <v>1</v>
      </c>
      <c r="F19" s="198">
        <v>2.4</v>
      </c>
      <c r="G19" s="198">
        <v>3</v>
      </c>
      <c r="H19" s="198">
        <v>6</v>
      </c>
      <c r="I19" s="199">
        <v>8.5</v>
      </c>
      <c r="J19" s="389" t="s">
        <v>1090</v>
      </c>
      <c r="L19" s="233">
        <v>1</v>
      </c>
      <c r="N19" s="296" t="str">
        <f t="shared" si="1"/>
        <v>2.3 각종 영향 분석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SUM((ROUNDDOWN((D39:I39)*단가,0)))</f>
        <v>22673924</v>
      </c>
      <c r="X19" s="154"/>
      <c r="Y19" s="170" t="str">
        <f t="shared" si="2"/>
        <v>제 5 호표</v>
      </c>
      <c r="Z19" s="150"/>
    </row>
    <row r="20" spans="2:26" ht="18" customHeight="1">
      <c r="B20" s="223" t="s">
        <v>1277</v>
      </c>
      <c r="C20" s="23"/>
      <c r="D20" s="197">
        <v>0.6</v>
      </c>
      <c r="E20" s="198">
        <v>0.6</v>
      </c>
      <c r="F20" s="198">
        <v>1.2</v>
      </c>
      <c r="G20" s="198">
        <v>2</v>
      </c>
      <c r="H20" s="198">
        <v>3</v>
      </c>
      <c r="I20" s="199">
        <v>4.5</v>
      </c>
      <c r="J20" s="389" t="s">
        <v>1090</v>
      </c>
      <c r="L20" s="233">
        <v>1</v>
      </c>
      <c r="N20" s="296" t="str">
        <f t="shared" si="1"/>
        <v>2.4 공고에 따른 의견내용 및 조치결과 작성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SUM((ROUNDDOWN((D40:I40)*단가,0)))</f>
        <v>13055494</v>
      </c>
      <c r="X20" s="154"/>
      <c r="Y20" s="170" t="str">
        <f t="shared" si="2"/>
        <v>제 6 호표</v>
      </c>
      <c r="Z20" s="150"/>
    </row>
    <row r="21" spans="2:26" ht="18" customHeight="1">
      <c r="B21" s="223" t="s">
        <v>1278</v>
      </c>
      <c r="C21" s="23"/>
      <c r="D21" s="197">
        <v>0</v>
      </c>
      <c r="E21" s="198">
        <v>1</v>
      </c>
      <c r="F21" s="198">
        <v>2.4</v>
      </c>
      <c r="G21" s="198">
        <v>3</v>
      </c>
      <c r="H21" s="198">
        <v>6</v>
      </c>
      <c r="I21" s="199">
        <v>8.5</v>
      </c>
      <c r="J21" s="389" t="s">
        <v>1090</v>
      </c>
      <c r="L21" s="233">
        <v>1</v>
      </c>
      <c r="N21" s="296" t="str">
        <f t="shared" si="1"/>
        <v>2.5 도시·군계획시설(변경)결정도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SUM((ROUNDDOWN((D41:I41)*단가,0)))</f>
        <v>21934787</v>
      </c>
      <c r="X21" s="154"/>
      <c r="Y21" s="170" t="str">
        <f t="shared" si="2"/>
        <v>제 7 호표</v>
      </c>
      <c r="Z21" s="150"/>
    </row>
    <row r="22" spans="2:26" ht="18" customHeight="1">
      <c r="B22" s="223" t="s">
        <v>1279</v>
      </c>
      <c r="C22" s="23"/>
      <c r="D22" s="197">
        <v>0.4</v>
      </c>
      <c r="E22" s="198">
        <v>1</v>
      </c>
      <c r="F22" s="198">
        <v>2.4</v>
      </c>
      <c r="G22" s="198">
        <v>3</v>
      </c>
      <c r="H22" s="198">
        <v>6</v>
      </c>
      <c r="I22" s="199">
        <v>8.5</v>
      </c>
      <c r="J22" s="389" t="s">
        <v>1090</v>
      </c>
      <c r="L22" s="233">
        <v>1</v>
      </c>
      <c r="N22" s="296" t="str">
        <f t="shared" si="1"/>
        <v>2.6 시설배치 및 토지이용계획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SUM((ROUNDDOWN((D42:I42)*단가,0)))</f>
        <v>22673924</v>
      </c>
      <c r="X22" s="154"/>
      <c r="Y22" s="170" t="str">
        <f t="shared" si="2"/>
        <v>제 8 호표</v>
      </c>
      <c r="Z22" s="150"/>
    </row>
    <row r="23" spans="2:26" ht="18" customHeight="1">
      <c r="B23" s="223" t="s">
        <v>1280</v>
      </c>
      <c r="C23" s="23"/>
      <c r="D23" s="197">
        <v>0</v>
      </c>
      <c r="E23" s="198">
        <v>1.2</v>
      </c>
      <c r="F23" s="198">
        <v>2.4</v>
      </c>
      <c r="G23" s="198">
        <v>3</v>
      </c>
      <c r="H23" s="198">
        <v>6</v>
      </c>
      <c r="I23" s="199">
        <v>8.5</v>
      </c>
      <c r="J23" s="389" t="s">
        <v>1090</v>
      </c>
      <c r="L23" s="233">
        <v>1</v>
      </c>
      <c r="N23" s="296" t="str">
        <f t="shared" si="1"/>
        <v>2.7 지적도 및 토지조서, 권리조서 작성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SUM((ROUNDDOWN((D43:I43)*단가,0)))</f>
        <v>22230110</v>
      </c>
      <c r="X23" s="154"/>
      <c r="Y23" s="170" t="str">
        <f t="shared" si="2"/>
        <v>제 9 호표</v>
      </c>
      <c r="Z23" s="150"/>
    </row>
    <row r="24" spans="2:26" ht="18" customHeight="1">
      <c r="B24" s="222" t="s">
        <v>265</v>
      </c>
      <c r="C24" s="47"/>
      <c r="D24" s="48">
        <f t="shared" ref="D24:I24" si="4">SUBTOTAL(9,D25:D26)</f>
        <v>0.60000000000000009</v>
      </c>
      <c r="E24" s="49">
        <f t="shared" si="4"/>
        <v>0.89999999999999991</v>
      </c>
      <c r="F24" s="49">
        <f t="shared" si="4"/>
        <v>2.4000000000000004</v>
      </c>
      <c r="G24" s="49">
        <f t="shared" si="4"/>
        <v>4.5</v>
      </c>
      <c r="H24" s="49">
        <f t="shared" si="4"/>
        <v>8</v>
      </c>
      <c r="I24" s="50">
        <f t="shared" si="4"/>
        <v>8.6999999999999993</v>
      </c>
      <c r="J24" s="74"/>
      <c r="L24" s="233"/>
      <c r="N24" s="292" t="str">
        <f t="shared" si="1"/>
        <v>3. 성과품작성</v>
      </c>
      <c r="O24" s="37"/>
      <c r="P24" s="39"/>
      <c r="Q24" s="37"/>
      <c r="R24" s="117"/>
      <c r="S24" s="37"/>
      <c r="T24" s="37"/>
      <c r="U24" s="226"/>
      <c r="V24" s="231"/>
      <c r="W24" s="195">
        <f ca="1">SUBTOTAL(9,W25:W26)</f>
        <v>26708292</v>
      </c>
      <c r="X24" s="154"/>
      <c r="Y24" s="170" t="str">
        <f t="shared" si="2"/>
        <v/>
      </c>
      <c r="Z24" s="150"/>
    </row>
    <row r="25" spans="2:26" ht="18" customHeight="1">
      <c r="B25" s="223" t="s">
        <v>1281</v>
      </c>
      <c r="C25" s="23"/>
      <c r="D25" s="197">
        <v>0.4</v>
      </c>
      <c r="E25" s="198">
        <v>0.6</v>
      </c>
      <c r="F25" s="198">
        <v>1.6</v>
      </c>
      <c r="G25" s="198">
        <v>3</v>
      </c>
      <c r="H25" s="198">
        <v>3.2</v>
      </c>
      <c r="I25" s="199">
        <v>3.5</v>
      </c>
      <c r="J25" s="389" t="s">
        <v>1090</v>
      </c>
      <c r="L25" s="233">
        <v>1</v>
      </c>
      <c r="N25" s="296" t="str">
        <f t="shared" si="1"/>
        <v>3.1 보고서작성 및 편집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SUM((ROUNDDOWN((D45:I45)*단가,0)))</f>
        <v>13542101</v>
      </c>
      <c r="X25" s="154"/>
      <c r="Y25" s="170" t="str">
        <f t="shared" si="2"/>
        <v>제 10 호표</v>
      </c>
      <c r="Z25" s="150"/>
    </row>
    <row r="26" spans="2:26" ht="18" customHeight="1">
      <c r="B26" s="259" t="s">
        <v>1282</v>
      </c>
      <c r="C26" s="43"/>
      <c r="D26" s="206">
        <v>0.2</v>
      </c>
      <c r="E26" s="207">
        <v>0.3</v>
      </c>
      <c r="F26" s="207">
        <v>0.8</v>
      </c>
      <c r="G26" s="207">
        <v>1.5</v>
      </c>
      <c r="H26" s="207">
        <v>4.8</v>
      </c>
      <c r="I26" s="208">
        <v>5.2</v>
      </c>
      <c r="J26" s="389" t="s">
        <v>1090</v>
      </c>
      <c r="L26" s="233">
        <v>1</v>
      </c>
      <c r="N26" s="296" t="str">
        <f t="shared" si="1"/>
        <v>3.2 관련도서작성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SUM((ROUNDDOWN((D46:I46)*단가,0)))</f>
        <v>13166191</v>
      </c>
      <c r="X26" s="154"/>
      <c r="Y26" s="170" t="str">
        <f t="shared" si="2"/>
        <v>제 11 호표</v>
      </c>
      <c r="Z26" s="150"/>
    </row>
    <row r="27" spans="2:26" ht="18" customHeight="1">
      <c r="B27" s="222" t="s">
        <v>269</v>
      </c>
      <c r="C27" s="47"/>
      <c r="D27" s="48">
        <f t="shared" ref="D27:I27" si="5">SUBTOTAL(9,D28:D31)</f>
        <v>8</v>
      </c>
      <c r="E27" s="49">
        <f t="shared" si="5"/>
        <v>8</v>
      </c>
      <c r="F27" s="49">
        <f t="shared" si="5"/>
        <v>8</v>
      </c>
      <c r="G27" s="49">
        <f t="shared" si="5"/>
        <v>16</v>
      </c>
      <c r="H27" s="49">
        <f t="shared" si="5"/>
        <v>16</v>
      </c>
      <c r="I27" s="50">
        <f t="shared" si="5"/>
        <v>16</v>
      </c>
      <c r="J27" s="74"/>
      <c r="L27" s="233"/>
      <c r="N27" s="292" t="str">
        <f t="shared" si="1"/>
        <v>4. 기술협의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SUBTOTAL(9,W28:W31)</f>
        <v>21702576</v>
      </c>
      <c r="X27" s="154"/>
      <c r="Y27" s="170" t="str">
        <f t="shared" si="2"/>
        <v/>
      </c>
      <c r="Z27" s="150"/>
    </row>
    <row r="28" spans="2:26" ht="18" customHeight="1">
      <c r="B28" s="223" t="s">
        <v>1283</v>
      </c>
      <c r="C28" s="23"/>
      <c r="D28" s="197">
        <v>2</v>
      </c>
      <c r="E28" s="198">
        <v>2</v>
      </c>
      <c r="F28" s="198">
        <v>2</v>
      </c>
      <c r="G28" s="198">
        <v>4</v>
      </c>
      <c r="H28" s="198">
        <v>4</v>
      </c>
      <c r="I28" s="199">
        <v>4</v>
      </c>
      <c r="J28" s="389" t="s">
        <v>1214</v>
      </c>
      <c r="L28" s="233">
        <v>1</v>
      </c>
      <c r="N28" s="296" t="str">
        <f t="shared" si="1"/>
        <v>4.1 공청회/주민설명회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SUM((ROUNDDOWN((D48:I48)*단가,0)))</f>
        <v>5425644</v>
      </c>
      <c r="X28" s="154"/>
      <c r="Y28" s="170" t="str">
        <f t="shared" si="2"/>
        <v>제 12 호표</v>
      </c>
      <c r="Z28" s="150"/>
    </row>
    <row r="29" spans="2:26" ht="18" customHeight="1">
      <c r="B29" s="223" t="s">
        <v>1284</v>
      </c>
      <c r="C29" s="23"/>
      <c r="D29" s="197">
        <v>2</v>
      </c>
      <c r="E29" s="198">
        <v>2</v>
      </c>
      <c r="F29" s="198">
        <v>2</v>
      </c>
      <c r="G29" s="198">
        <v>4</v>
      </c>
      <c r="H29" s="198">
        <v>4</v>
      </c>
      <c r="I29" s="199">
        <v>4</v>
      </c>
      <c r="J29" s="389" t="s">
        <v>1214</v>
      </c>
      <c r="L29" s="233">
        <v>1</v>
      </c>
      <c r="N29" s="296" t="str">
        <f t="shared" si="1"/>
        <v>4.2 주민간담회/시민계획단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SUM((ROUNDDOWN((D49:I49)*단가,0)))</f>
        <v>5425644</v>
      </c>
      <c r="X29" s="154"/>
      <c r="Y29" s="170" t="str">
        <f t="shared" si="2"/>
        <v>제 13 호표</v>
      </c>
      <c r="Z29" s="150"/>
    </row>
    <row r="30" spans="2:26" ht="18" customHeight="1">
      <c r="B30" s="223" t="s">
        <v>1285</v>
      </c>
      <c r="C30" s="23"/>
      <c r="D30" s="197">
        <v>2</v>
      </c>
      <c r="E30" s="198">
        <v>2</v>
      </c>
      <c r="F30" s="198">
        <v>2</v>
      </c>
      <c r="G30" s="198">
        <v>4</v>
      </c>
      <c r="H30" s="198">
        <v>4</v>
      </c>
      <c r="I30" s="199">
        <v>4</v>
      </c>
      <c r="J30" s="389" t="s">
        <v>1094</v>
      </c>
      <c r="L30" s="233">
        <v>1</v>
      </c>
      <c r="N30" s="296" t="str">
        <f t="shared" si="1"/>
        <v>4.3 위원회심의 지원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SUM((ROUNDDOWN((D50:I50)*단가,0)))</f>
        <v>5425644</v>
      </c>
      <c r="X30" s="154"/>
      <c r="Y30" s="170" t="str">
        <f t="shared" si="2"/>
        <v>제 14 호표</v>
      </c>
      <c r="Z30" s="150"/>
    </row>
    <row r="31" spans="2:26" ht="18" customHeight="1" thickBot="1">
      <c r="B31" s="223" t="s">
        <v>1286</v>
      </c>
      <c r="C31" s="23"/>
      <c r="D31" s="197">
        <v>2</v>
      </c>
      <c r="E31" s="198">
        <v>2</v>
      </c>
      <c r="F31" s="198">
        <v>2</v>
      </c>
      <c r="G31" s="198">
        <v>4</v>
      </c>
      <c r="H31" s="198">
        <v>4</v>
      </c>
      <c r="I31" s="199">
        <v>4</v>
      </c>
      <c r="J31" s="612" t="s">
        <v>1094</v>
      </c>
      <c r="L31" s="233">
        <v>1</v>
      </c>
      <c r="N31" s="296" t="str">
        <f t="shared" si="1"/>
        <v>4.4 관계기관 협의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SUM((ROUNDDOWN((D51:I51)*단가,0)))</f>
        <v>5425644</v>
      </c>
      <c r="X31" s="154"/>
      <c r="Y31" s="170" t="str">
        <f t="shared" si="2"/>
        <v>제 15 호표</v>
      </c>
      <c r="Z31" s="150"/>
    </row>
    <row r="32" spans="2:26" ht="18" customHeight="1" thickBot="1">
      <c r="B32" s="14" t="s">
        <v>30</v>
      </c>
      <c r="C32" s="16"/>
      <c r="D32" s="14" t="s">
        <v>12</v>
      </c>
      <c r="E32" s="15"/>
      <c r="F32" s="15"/>
      <c r="G32" s="15"/>
      <c r="H32" s="15"/>
      <c r="I32" s="16"/>
      <c r="J32" s="175" t="s">
        <v>31</v>
      </c>
      <c r="N32" s="379"/>
      <c r="P32" s="371"/>
      <c r="R32" s="357"/>
      <c r="S32" s="1"/>
      <c r="T32" s="1"/>
      <c r="U32" s="258"/>
      <c r="V32" s="380"/>
      <c r="W32" s="373"/>
      <c r="X32" s="374"/>
      <c r="Y32" s="378"/>
      <c r="Z32" s="378"/>
    </row>
    <row r="33" spans="1:26" ht="18" customHeight="1">
      <c r="B33" s="225" t="s">
        <v>264</v>
      </c>
      <c r="C33" s="72"/>
      <c r="D33" s="203">
        <f t="shared" ref="D33:I33" si="6">SUBTOTAL(9,D34:D34)</f>
        <v>1.5820000000000001</v>
      </c>
      <c r="E33" s="204">
        <f t="shared" si="6"/>
        <v>2.3740000000000001</v>
      </c>
      <c r="F33" s="204">
        <f t="shared" si="6"/>
        <v>4.7480000000000002</v>
      </c>
      <c r="G33" s="204">
        <f t="shared" si="6"/>
        <v>7.1219999999999999</v>
      </c>
      <c r="H33" s="204">
        <f t="shared" si="6"/>
        <v>11.871</v>
      </c>
      <c r="I33" s="205">
        <f t="shared" si="6"/>
        <v>13.849</v>
      </c>
      <c r="J33" s="73"/>
      <c r="N33" s="290" t="s">
        <v>10</v>
      </c>
      <c r="O33" s="129"/>
      <c r="P33" s="130"/>
      <c r="Q33" s="124"/>
      <c r="R33" s="131"/>
      <c r="S33" s="124"/>
      <c r="T33" s="124"/>
      <c r="U33" s="181"/>
      <c r="V33" s="181"/>
      <c r="W33" s="159">
        <f>SUBTOTAL(9,W34:W36)</f>
        <v>7000000</v>
      </c>
      <c r="X33" s="160"/>
      <c r="Y33" s="124"/>
      <c r="Z33" s="124"/>
    </row>
    <row r="34" spans="1:26" ht="18" customHeight="1">
      <c r="A34" s="326">
        <v>1</v>
      </c>
      <c r="B34" s="223" t="s">
        <v>1271</v>
      </c>
      <c r="C34" s="23"/>
      <c r="D34" s="197">
        <f t="array" ref="D34:I35">ROUNDDOWN(D14:I15*D5*L14:L15,3)</f>
        <v>1.5820000000000001</v>
      </c>
      <c r="E34" s="198">
        <v>2.3740000000000001</v>
      </c>
      <c r="F34" s="198">
        <v>4.7480000000000002</v>
      </c>
      <c r="G34" s="198">
        <v>7.1219999999999999</v>
      </c>
      <c r="H34" s="198">
        <v>11.871</v>
      </c>
      <c r="I34" s="199">
        <v>13.849</v>
      </c>
      <c r="J34" s="389"/>
      <c r="N34" s="291" t="str">
        <f>"여비("&amp;TEXT(T34,"#인 ×")&amp;TEXT(U34,"#일 ×")&amp;TEXT(V34,"###,###원)")</f>
        <v>여비(3인 ×10일 ×100,000원)</v>
      </c>
      <c r="O34" s="78"/>
      <c r="P34" s="52"/>
      <c r="Q34" s="51"/>
      <c r="T34" s="146">
        <v>3</v>
      </c>
      <c r="U34" s="146">
        <v>10</v>
      </c>
      <c r="V34" s="147">
        <v>100000</v>
      </c>
      <c r="W34" s="161">
        <f>T34*U34*V34</f>
        <v>3000000</v>
      </c>
      <c r="X34" s="162"/>
      <c r="Y34" s="51"/>
      <c r="Z34" s="51"/>
    </row>
    <row r="35" spans="1:26" ht="18" customHeight="1">
      <c r="A35" s="326">
        <v>2</v>
      </c>
      <c r="B35" s="223" t="s">
        <v>1272</v>
      </c>
      <c r="C35" s="23"/>
      <c r="D35" s="197">
        <v>0.79100000000000004</v>
      </c>
      <c r="E35" s="198">
        <v>1.5820000000000001</v>
      </c>
      <c r="F35" s="198">
        <v>3.165</v>
      </c>
      <c r="G35" s="198">
        <v>4.7480000000000002</v>
      </c>
      <c r="H35" s="198">
        <v>7.9139999999999997</v>
      </c>
      <c r="I35" s="199">
        <v>9.8919999999999995</v>
      </c>
      <c r="J35" s="389"/>
      <c r="N35" s="292" t="s">
        <v>46</v>
      </c>
      <c r="O35" s="79"/>
      <c r="P35" s="39"/>
      <c r="Q35" s="37"/>
      <c r="R35" s="117"/>
      <c r="S35" s="37"/>
      <c r="T35" s="37"/>
      <c r="U35" s="180"/>
      <c r="V35" s="180"/>
      <c r="W35" s="157">
        <v>3000000</v>
      </c>
      <c r="X35" s="158"/>
      <c r="Y35" s="37"/>
      <c r="Z35" s="37"/>
    </row>
    <row r="36" spans="1:26" ht="18" customHeight="1">
      <c r="B36" s="222" t="s">
        <v>1273</v>
      </c>
      <c r="C36" s="47"/>
      <c r="D36" s="48">
        <f t="shared" ref="D36:I36" si="7">SUBTOTAL(9,D37:D43)</f>
        <v>9.4940000000000015</v>
      </c>
      <c r="E36" s="49">
        <f t="shared" si="7"/>
        <v>26.907</v>
      </c>
      <c r="F36" s="49">
        <f t="shared" si="7"/>
        <v>75.97</v>
      </c>
      <c r="G36" s="49">
        <f t="shared" si="7"/>
        <v>94.967999999999989</v>
      </c>
      <c r="H36" s="49">
        <f t="shared" si="7"/>
        <v>189.93599999999998</v>
      </c>
      <c r="I36" s="50">
        <f t="shared" si="7"/>
        <v>233.46000000000004</v>
      </c>
      <c r="J36" s="74"/>
      <c r="N36" s="293" t="s">
        <v>13</v>
      </c>
      <c r="O36" s="132"/>
      <c r="P36" s="38"/>
      <c r="Q36" s="38"/>
      <c r="R36" s="116"/>
      <c r="S36" s="38"/>
      <c r="T36" s="38"/>
      <c r="U36" s="183"/>
      <c r="V36" s="183"/>
      <c r="W36" s="155">
        <v>1000000</v>
      </c>
      <c r="X36" s="156"/>
      <c r="Y36" s="38"/>
      <c r="Z36" s="38"/>
    </row>
    <row r="37" spans="1:26" ht="18" customHeight="1">
      <c r="A37" s="326">
        <v>3</v>
      </c>
      <c r="B37" s="223" t="s">
        <v>1274</v>
      </c>
      <c r="C37" s="23"/>
      <c r="D37" s="197">
        <f t="array" ref="D37:I43">ROUNDDOWN(D17:I23*D5*L17:L23,3)</f>
        <v>1.5820000000000001</v>
      </c>
      <c r="E37" s="198">
        <v>3.9569999999999999</v>
      </c>
      <c r="F37" s="198">
        <v>9.4960000000000004</v>
      </c>
      <c r="G37" s="198">
        <v>11.871</v>
      </c>
      <c r="H37" s="198">
        <v>23.742000000000001</v>
      </c>
      <c r="I37" s="199">
        <v>33.634</v>
      </c>
      <c r="J37" s="74"/>
      <c r="N37" s="127" t="s">
        <v>47</v>
      </c>
      <c r="O37" s="123"/>
      <c r="P37" s="123"/>
      <c r="Q37" s="123"/>
      <c r="R37" s="123"/>
      <c r="S37" s="123"/>
      <c r="T37" s="123"/>
      <c r="U37" s="184"/>
      <c r="V37" s="184"/>
      <c r="W37" s="163">
        <f ca="1">SUBTOTAL(9,W38:W39)</f>
        <v>440431748</v>
      </c>
      <c r="X37" s="164"/>
      <c r="Y37" s="123"/>
      <c r="Z37" s="123"/>
    </row>
    <row r="38" spans="1:26" ht="18" customHeight="1">
      <c r="A38" s="326">
        <v>4</v>
      </c>
      <c r="B38" s="791" t="s">
        <v>1275</v>
      </c>
      <c r="C38" s="792"/>
      <c r="D38" s="197">
        <v>2.3740000000000001</v>
      </c>
      <c r="E38" s="198">
        <v>3.9569999999999999</v>
      </c>
      <c r="F38" s="198">
        <v>23.742000000000001</v>
      </c>
      <c r="G38" s="198">
        <v>27.699000000000002</v>
      </c>
      <c r="H38" s="198">
        <v>59.354999999999997</v>
      </c>
      <c r="I38" s="199">
        <v>47.484000000000002</v>
      </c>
      <c r="J38" s="389"/>
      <c r="N38" s="133" t="s">
        <v>861</v>
      </c>
      <c r="O38" s="124"/>
      <c r="P38" s="134"/>
      <c r="Q38" s="124"/>
      <c r="R38" s="131"/>
      <c r="S38" s="124"/>
      <c r="T38" s="181"/>
      <c r="U38" s="181"/>
      <c r="V38" s="190">
        <v>1.2</v>
      </c>
      <c r="W38" s="159">
        <f ca="1">ROUNDDOWN(W12*V38,0)</f>
        <v>284149515</v>
      </c>
      <c r="X38" s="160"/>
      <c r="Y38" s="124"/>
      <c r="Z38" s="124"/>
    </row>
    <row r="39" spans="1:26" ht="18" customHeight="1" thickBot="1">
      <c r="A39" s="326">
        <v>5</v>
      </c>
      <c r="B39" s="223" t="s">
        <v>1276</v>
      </c>
      <c r="C39" s="23"/>
      <c r="D39" s="197">
        <v>1.5820000000000001</v>
      </c>
      <c r="E39" s="198">
        <v>3.9569999999999999</v>
      </c>
      <c r="F39" s="198">
        <v>9.4960000000000004</v>
      </c>
      <c r="G39" s="198">
        <v>11.871</v>
      </c>
      <c r="H39" s="198">
        <v>23.742000000000001</v>
      </c>
      <c r="I39" s="199">
        <v>33.634</v>
      </c>
      <c r="J39" s="74"/>
      <c r="N39" s="135" t="s">
        <v>862</v>
      </c>
      <c r="O39" s="136"/>
      <c r="P39" s="137"/>
      <c r="Q39" s="136"/>
      <c r="R39" s="138"/>
      <c r="S39" s="136"/>
      <c r="T39" s="185"/>
      <c r="U39" s="185"/>
      <c r="V39" s="191">
        <v>0.3</v>
      </c>
      <c r="W39" s="165">
        <f ca="1">ROUNDDOWN((W12+W38)*V39,0)</f>
        <v>156282233</v>
      </c>
      <c r="X39" s="166"/>
      <c r="Y39" s="136"/>
      <c r="Z39" s="136"/>
    </row>
    <row r="40" spans="1:26" ht="18" customHeight="1">
      <c r="A40" s="326">
        <v>6</v>
      </c>
      <c r="B40" s="223" t="s">
        <v>1277</v>
      </c>
      <c r="C40" s="23"/>
      <c r="D40" s="197">
        <v>2.3740000000000001</v>
      </c>
      <c r="E40" s="198">
        <v>2.3740000000000001</v>
      </c>
      <c r="F40" s="198">
        <v>4.7480000000000002</v>
      </c>
      <c r="G40" s="198">
        <v>7.9139999999999997</v>
      </c>
      <c r="H40" s="198">
        <v>11.871</v>
      </c>
      <c r="I40" s="199">
        <v>17.806000000000001</v>
      </c>
      <c r="J40" s="389"/>
      <c r="M40" s="171"/>
    </row>
    <row r="41" spans="1:26" ht="18" customHeight="1">
      <c r="A41" s="326">
        <v>7</v>
      </c>
      <c r="B41" s="223" t="s">
        <v>1278</v>
      </c>
      <c r="C41" s="23"/>
      <c r="D41" s="197">
        <v>0</v>
      </c>
      <c r="E41" s="198">
        <v>3.9569999999999999</v>
      </c>
      <c r="F41" s="198">
        <v>9.4960000000000004</v>
      </c>
      <c r="G41" s="198">
        <v>11.871</v>
      </c>
      <c r="H41" s="198">
        <v>23.742000000000001</v>
      </c>
      <c r="I41" s="199">
        <v>33.634</v>
      </c>
      <c r="J41" s="389"/>
      <c r="M41" s="171"/>
    </row>
    <row r="42" spans="1:26" ht="18" customHeight="1" thickBot="1">
      <c r="A42" s="326">
        <v>8</v>
      </c>
      <c r="B42" s="223" t="s">
        <v>1279</v>
      </c>
      <c r="C42" s="23"/>
      <c r="D42" s="197">
        <v>1.5820000000000001</v>
      </c>
      <c r="E42" s="198">
        <v>3.9569999999999999</v>
      </c>
      <c r="F42" s="198">
        <v>9.4960000000000004</v>
      </c>
      <c r="G42" s="198">
        <v>11.871</v>
      </c>
      <c r="H42" s="198">
        <v>23.742000000000001</v>
      </c>
      <c r="I42" s="199">
        <v>33.634</v>
      </c>
      <c r="J42" s="389"/>
      <c r="M42" s="171"/>
      <c r="N42" s="66" t="s">
        <v>18</v>
      </c>
      <c r="O42" s="2"/>
      <c r="P42" s="2"/>
      <c r="Q42" s="2"/>
      <c r="R42" s="3"/>
      <c r="S42" s="4"/>
      <c r="T42" s="3"/>
      <c r="U42" s="4"/>
      <c r="V42" s="3"/>
      <c r="W42" s="4"/>
      <c r="X42" s="3"/>
      <c r="Y42" s="4"/>
      <c r="Z42" s="2"/>
    </row>
    <row r="43" spans="1:26" ht="18" customHeight="1">
      <c r="A43" s="326">
        <v>9</v>
      </c>
      <c r="B43" s="223" t="s">
        <v>1280</v>
      </c>
      <c r="C43" s="23"/>
      <c r="D43" s="197">
        <v>0</v>
      </c>
      <c r="E43" s="198">
        <v>4.7480000000000002</v>
      </c>
      <c r="F43" s="198">
        <v>9.4960000000000004</v>
      </c>
      <c r="G43" s="198">
        <v>11.871</v>
      </c>
      <c r="H43" s="198">
        <v>23.742000000000001</v>
      </c>
      <c r="I43" s="199">
        <v>33.634</v>
      </c>
      <c r="J43" s="389"/>
      <c r="M43" s="171"/>
      <c r="N43" s="765" t="s">
        <v>19</v>
      </c>
      <c r="O43" s="755" t="s">
        <v>20</v>
      </c>
      <c r="P43" s="755" t="s">
        <v>21</v>
      </c>
      <c r="Q43" s="755" t="s">
        <v>16</v>
      </c>
      <c r="R43" s="5" t="s">
        <v>22</v>
      </c>
      <c r="S43" s="5"/>
      <c r="T43" s="5" t="s">
        <v>23</v>
      </c>
      <c r="U43" s="5"/>
      <c r="V43" s="5" t="s">
        <v>24</v>
      </c>
      <c r="W43" s="5"/>
      <c r="X43" s="5" t="s">
        <v>25</v>
      </c>
      <c r="Y43" s="5"/>
      <c r="Z43" s="755" t="s">
        <v>26</v>
      </c>
    </row>
    <row r="44" spans="1:26" ht="18" customHeight="1" thickBot="1">
      <c r="B44" s="222" t="s">
        <v>51</v>
      </c>
      <c r="C44" s="47"/>
      <c r="D44" s="48">
        <f t="shared" ref="D44:I44" si="8">SUBTOTAL(9,D45:D46)</f>
        <v>2.3730000000000002</v>
      </c>
      <c r="E44" s="49">
        <f t="shared" si="8"/>
        <v>3.5609999999999999</v>
      </c>
      <c r="F44" s="49">
        <f t="shared" si="8"/>
        <v>9.4960000000000004</v>
      </c>
      <c r="G44" s="49">
        <f t="shared" si="8"/>
        <v>17.806000000000001</v>
      </c>
      <c r="H44" s="49">
        <f t="shared" si="8"/>
        <v>31.655000000000001</v>
      </c>
      <c r="I44" s="50">
        <f t="shared" si="8"/>
        <v>34.424999999999997</v>
      </c>
      <c r="J44" s="74"/>
      <c r="M44" s="171"/>
      <c r="N44" s="766"/>
      <c r="O44" s="756"/>
      <c r="P44" s="756"/>
      <c r="Q44" s="756"/>
      <c r="R44" s="67" t="s">
        <v>27</v>
      </c>
      <c r="S44" s="67" t="s">
        <v>28</v>
      </c>
      <c r="T44" s="67" t="s">
        <v>27</v>
      </c>
      <c r="U44" s="67" t="s">
        <v>28</v>
      </c>
      <c r="V44" s="67" t="s">
        <v>27</v>
      </c>
      <c r="W44" s="67" t="s">
        <v>28</v>
      </c>
      <c r="X44" s="67" t="s">
        <v>27</v>
      </c>
      <c r="Y44" s="67" t="s">
        <v>28</v>
      </c>
      <c r="Z44" s="756"/>
    </row>
    <row r="45" spans="1:26" ht="18" customHeight="1" thickTop="1">
      <c r="A45" s="326">
        <v>10</v>
      </c>
      <c r="B45" s="223" t="s">
        <v>1281</v>
      </c>
      <c r="C45" s="23"/>
      <c r="D45" s="197">
        <f t="array" ref="D45:I46">ROUNDDOWN(D25:I26*D5*L25:L26,3)</f>
        <v>1.5820000000000001</v>
      </c>
      <c r="E45" s="198">
        <v>2.3740000000000001</v>
      </c>
      <c r="F45" s="198">
        <v>6.3310000000000004</v>
      </c>
      <c r="G45" s="198">
        <v>11.871</v>
      </c>
      <c r="H45" s="198">
        <v>12.662000000000001</v>
      </c>
      <c r="I45" s="199">
        <v>13.849</v>
      </c>
      <c r="J45" s="74"/>
      <c r="M45" s="171"/>
      <c r="N45" s="318" t="str">
        <f ca="1">"제 " &amp; Z45 &amp; " 호표  "&amp; OFFSET($A$1,MATCH(Z45,$A:$A,0)-1,1)</f>
        <v>제 1 호표  1.1 관련법규 및 계획 검토</v>
      </c>
      <c r="O45" s="221"/>
      <c r="P45" s="148"/>
      <c r="Q45" s="148"/>
      <c r="R45" s="149"/>
      <c r="S45" s="149"/>
      <c r="T45" s="149"/>
      <c r="U45" s="149"/>
      <c r="V45" s="149"/>
      <c r="W45" s="149"/>
      <c r="X45" s="149"/>
      <c r="Y45" s="149"/>
      <c r="Z45" s="325">
        <v>1</v>
      </c>
    </row>
    <row r="46" spans="1:26" ht="18" customHeight="1">
      <c r="A46" s="326">
        <v>11</v>
      </c>
      <c r="B46" s="259" t="s">
        <v>1282</v>
      </c>
      <c r="C46" s="43"/>
      <c r="D46" s="206">
        <v>0.79100000000000004</v>
      </c>
      <c r="E46" s="207">
        <v>1.1870000000000001</v>
      </c>
      <c r="F46" s="207">
        <v>3.165</v>
      </c>
      <c r="G46" s="207">
        <v>5.9349999999999996</v>
      </c>
      <c r="H46" s="207">
        <v>18.992999999999999</v>
      </c>
      <c r="I46" s="208">
        <v>20.576000000000001</v>
      </c>
      <c r="J46" s="239"/>
      <c r="M46" s="171"/>
      <c r="N46" s="140" t="s">
        <v>43</v>
      </c>
      <c r="O46" s="172">
        <v>3</v>
      </c>
      <c r="P46" s="219">
        <f ca="1">OFFSET($A$1,MATCH(Z45,$A:$A,0)-1,O46)</f>
        <v>1.5820000000000001</v>
      </c>
      <c r="Q46" s="141" t="s">
        <v>29</v>
      </c>
      <c r="R46" s="142">
        <f t="shared" ref="R46:S51" ca="1" si="9">T46</f>
        <v>467217</v>
      </c>
      <c r="S46" s="142">
        <f t="shared" ca="1" si="9"/>
        <v>739137</v>
      </c>
      <c r="T46" s="142">
        <f ca="1">기술사</f>
        <v>467217</v>
      </c>
      <c r="U46" s="142">
        <f t="shared" ref="U46:U51" ca="1" si="10">ROUNDDOWN(P46*R46,0)</f>
        <v>739137</v>
      </c>
      <c r="V46" s="142"/>
      <c r="W46" s="142"/>
      <c r="X46" s="142"/>
      <c r="Y46" s="142"/>
      <c r="Z46" s="114"/>
    </row>
    <row r="47" spans="1:26" ht="18" customHeight="1">
      <c r="B47" s="222" t="s">
        <v>269</v>
      </c>
      <c r="C47" s="47"/>
      <c r="D47" s="48">
        <f t="shared" ref="D47:I47" si="11">SUBTOTAL(9,D48:D51)</f>
        <v>8</v>
      </c>
      <c r="E47" s="49">
        <f t="shared" si="11"/>
        <v>8</v>
      </c>
      <c r="F47" s="49">
        <f t="shared" si="11"/>
        <v>8</v>
      </c>
      <c r="G47" s="49">
        <f t="shared" si="11"/>
        <v>16</v>
      </c>
      <c r="H47" s="49">
        <f t="shared" si="11"/>
        <v>16</v>
      </c>
      <c r="I47" s="50">
        <f t="shared" si="11"/>
        <v>16</v>
      </c>
      <c r="J47" s="786"/>
      <c r="M47" s="171"/>
      <c r="N47" s="143" t="s">
        <v>32</v>
      </c>
      <c r="O47" s="173">
        <v>4</v>
      </c>
      <c r="P47" s="234">
        <f ca="1">OFFSET($A$1,MATCH(Z45,$A:$A,0)-1,O47)</f>
        <v>2.3740000000000001</v>
      </c>
      <c r="Q47" s="144" t="s">
        <v>29</v>
      </c>
      <c r="R47" s="118">
        <f t="shared" ca="1" si="9"/>
        <v>373353</v>
      </c>
      <c r="S47" s="118">
        <f t="shared" ca="1" si="9"/>
        <v>886340</v>
      </c>
      <c r="T47" s="118">
        <f ca="1">특급</f>
        <v>373353</v>
      </c>
      <c r="U47" s="118">
        <f t="shared" ca="1" si="10"/>
        <v>886340</v>
      </c>
      <c r="V47" s="118"/>
      <c r="W47" s="118"/>
      <c r="X47" s="118"/>
      <c r="Y47" s="118"/>
      <c r="Z47" s="115"/>
    </row>
    <row r="48" spans="1:26" ht="18" customHeight="1">
      <c r="A48" s="326">
        <v>12</v>
      </c>
      <c r="B48" s="223" t="s">
        <v>1283</v>
      </c>
      <c r="C48" s="23"/>
      <c r="D48" s="197">
        <f t="array" ref="D48:I51">ROUNDDOWN(D28:I31*L28:L31*I5,3)</f>
        <v>2</v>
      </c>
      <c r="E48" s="198">
        <v>2</v>
      </c>
      <c r="F48" s="198">
        <v>2</v>
      </c>
      <c r="G48" s="198">
        <v>4</v>
      </c>
      <c r="H48" s="198">
        <v>4</v>
      </c>
      <c r="I48" s="199">
        <v>4</v>
      </c>
      <c r="J48" s="787"/>
      <c r="M48" s="171"/>
      <c r="N48" s="145" t="s">
        <v>39</v>
      </c>
      <c r="O48" s="173">
        <v>5</v>
      </c>
      <c r="P48" s="234">
        <f ca="1">OFFSET($A$1,MATCH(Z45,$A:$A,0)-1,O48)</f>
        <v>4.7480000000000002</v>
      </c>
      <c r="Q48" s="144" t="s">
        <v>29</v>
      </c>
      <c r="R48" s="118">
        <f t="shared" ca="1" si="9"/>
        <v>310884</v>
      </c>
      <c r="S48" s="118">
        <f t="shared" ca="1" si="9"/>
        <v>1476077</v>
      </c>
      <c r="T48" s="118">
        <f ca="1">고급</f>
        <v>310884</v>
      </c>
      <c r="U48" s="118">
        <f t="shared" ca="1" si="10"/>
        <v>1476077</v>
      </c>
      <c r="V48" s="118"/>
      <c r="W48" s="118"/>
      <c r="X48" s="118"/>
      <c r="Y48" s="118"/>
      <c r="Z48" s="115"/>
    </row>
    <row r="49" spans="1:26" ht="18" customHeight="1">
      <c r="A49" s="326">
        <v>13</v>
      </c>
      <c r="B49" s="223" t="s">
        <v>1284</v>
      </c>
      <c r="C49" s="23"/>
      <c r="D49" s="197">
        <v>2</v>
      </c>
      <c r="E49" s="198">
        <v>2</v>
      </c>
      <c r="F49" s="198">
        <v>2</v>
      </c>
      <c r="G49" s="198">
        <v>4</v>
      </c>
      <c r="H49" s="198">
        <v>4</v>
      </c>
      <c r="I49" s="199">
        <v>4</v>
      </c>
      <c r="J49" s="787"/>
      <c r="L49" s="171"/>
      <c r="M49" s="171"/>
      <c r="N49" s="145" t="s">
        <v>40</v>
      </c>
      <c r="O49" s="173">
        <v>6</v>
      </c>
      <c r="P49" s="234">
        <f ca="1">OFFSET($A$1,MATCH(Z45,$A:$A,0)-1,O49)</f>
        <v>7.1219999999999999</v>
      </c>
      <c r="Q49" s="144" t="s">
        <v>29</v>
      </c>
      <c r="R49" s="118">
        <f t="shared" ca="1" si="9"/>
        <v>295138</v>
      </c>
      <c r="S49" s="118">
        <f t="shared" ca="1" si="9"/>
        <v>2101972</v>
      </c>
      <c r="T49" s="118">
        <f ca="1">중급</f>
        <v>295138</v>
      </c>
      <c r="U49" s="118">
        <f t="shared" ca="1" si="10"/>
        <v>2101972</v>
      </c>
      <c r="V49" s="118"/>
      <c r="W49" s="118"/>
      <c r="X49" s="118"/>
      <c r="Y49" s="118"/>
      <c r="Z49" s="115"/>
    </row>
    <row r="50" spans="1:26" ht="18" customHeight="1">
      <c r="A50" s="326">
        <v>14</v>
      </c>
      <c r="B50" s="223" t="s">
        <v>1285</v>
      </c>
      <c r="C50" s="23"/>
      <c r="D50" s="197">
        <v>2</v>
      </c>
      <c r="E50" s="198">
        <v>2</v>
      </c>
      <c r="F50" s="198">
        <v>2</v>
      </c>
      <c r="G50" s="198">
        <v>4</v>
      </c>
      <c r="H50" s="198">
        <v>4</v>
      </c>
      <c r="I50" s="199">
        <v>4</v>
      </c>
      <c r="J50" s="787"/>
      <c r="L50" s="171"/>
      <c r="M50" s="171"/>
      <c r="N50" s="145" t="s">
        <v>41</v>
      </c>
      <c r="O50" s="173">
        <v>7</v>
      </c>
      <c r="P50" s="234">
        <f ca="1">OFFSET($A$1,MATCH(Z45,$A:$A,0)-1,O50)</f>
        <v>11.871</v>
      </c>
      <c r="Q50" s="144" t="s">
        <v>29</v>
      </c>
      <c r="R50" s="118">
        <f t="shared" ca="1" si="9"/>
        <v>235459</v>
      </c>
      <c r="S50" s="118">
        <f t="shared" ca="1" si="9"/>
        <v>2795133</v>
      </c>
      <c r="T50" s="118">
        <f ca="1">초급</f>
        <v>235459</v>
      </c>
      <c r="U50" s="118">
        <f t="shared" ca="1" si="10"/>
        <v>2795133</v>
      </c>
      <c r="V50" s="118"/>
      <c r="W50" s="118"/>
      <c r="X50" s="118"/>
      <c r="Y50" s="118"/>
      <c r="Z50" s="115"/>
    </row>
    <row r="51" spans="1:26" ht="18" customHeight="1" thickBot="1">
      <c r="A51" s="326">
        <v>15</v>
      </c>
      <c r="B51" s="388" t="s">
        <v>1286</v>
      </c>
      <c r="C51" s="342"/>
      <c r="D51" s="343">
        <v>2</v>
      </c>
      <c r="E51" s="344">
        <v>2</v>
      </c>
      <c r="F51" s="344">
        <v>2</v>
      </c>
      <c r="G51" s="344">
        <v>4</v>
      </c>
      <c r="H51" s="344">
        <v>4</v>
      </c>
      <c r="I51" s="345">
        <v>4</v>
      </c>
      <c r="J51" s="788"/>
      <c r="L51" s="171"/>
      <c r="M51" s="171"/>
      <c r="N51" s="319" t="s">
        <v>42</v>
      </c>
      <c r="O51" s="174">
        <v>8</v>
      </c>
      <c r="P51" s="235">
        <f ca="1">OFFSET($A$1,MATCH(Z45,$A:$A,0)-1,O51)</f>
        <v>13.849</v>
      </c>
      <c r="Q51" s="322" t="s">
        <v>29</v>
      </c>
      <c r="R51" s="323">
        <f t="shared" ca="1" si="9"/>
        <v>250087</v>
      </c>
      <c r="S51" s="323">
        <f t="shared" ca="1" si="9"/>
        <v>3463454</v>
      </c>
      <c r="T51" s="323">
        <f ca="1">보조원</f>
        <v>250087</v>
      </c>
      <c r="U51" s="323">
        <f t="shared" ca="1" si="10"/>
        <v>3463454</v>
      </c>
      <c r="V51" s="323"/>
      <c r="W51" s="323"/>
      <c r="X51" s="323"/>
      <c r="Y51" s="323"/>
      <c r="Z51" s="324"/>
    </row>
    <row r="52" spans="1:26" ht="18" customHeight="1">
      <c r="B52" s="80" t="s">
        <v>15</v>
      </c>
      <c r="C52" s="9" t="s">
        <v>1287</v>
      </c>
      <c r="L52" s="171"/>
      <c r="M52" s="171"/>
      <c r="N52" s="139" t="s">
        <v>17</v>
      </c>
      <c r="O52" s="68"/>
      <c r="P52" s="69"/>
      <c r="Q52" s="70"/>
      <c r="R52" s="71"/>
      <c r="S52" s="71">
        <f ca="1">SUBTOTAL(9,S46:S51)</f>
        <v>11462113</v>
      </c>
      <c r="T52" s="71"/>
      <c r="U52" s="71">
        <f ca="1">SUBTOTAL(9,U46:U51)</f>
        <v>11462113</v>
      </c>
      <c r="V52" s="71"/>
      <c r="W52" s="71"/>
      <c r="X52" s="71"/>
      <c r="Y52" s="71"/>
      <c r="Z52" s="68"/>
    </row>
    <row r="53" spans="1:26" ht="18" customHeight="1">
      <c r="C53" s="9" t="s">
        <v>1173</v>
      </c>
      <c r="L53" s="171"/>
      <c r="M53" s="171"/>
      <c r="N53" s="318" t="str">
        <f ca="1">"제 " &amp; Z53 &amp; " 호표  "&amp; OFFSET($A$1,MATCH(Z53,$A:$A,0)-1,1)</f>
        <v>제 2 호표  1.2 주변지역과의 상관성검토</v>
      </c>
      <c r="O53" s="221"/>
      <c r="P53" s="148"/>
      <c r="Q53" s="148"/>
      <c r="R53" s="149"/>
      <c r="S53" s="149"/>
      <c r="T53" s="149"/>
      <c r="U53" s="149"/>
      <c r="V53" s="149"/>
      <c r="W53" s="149"/>
      <c r="X53" s="149"/>
      <c r="Y53" s="149"/>
      <c r="Z53" s="325">
        <f>Z45+1</f>
        <v>2</v>
      </c>
    </row>
    <row r="54" spans="1:26" ht="18" customHeight="1">
      <c r="C54" s="9" t="s">
        <v>1174</v>
      </c>
      <c r="K54" s="171" t="s">
        <v>14</v>
      </c>
      <c r="L54" s="171"/>
      <c r="M54" s="171"/>
      <c r="N54" s="140" t="s">
        <v>43</v>
      </c>
      <c r="O54" s="172">
        <v>3</v>
      </c>
      <c r="P54" s="219">
        <f ca="1">OFFSET($A$1,MATCH(Z53,$A:$A,0)-1,O54)</f>
        <v>0.79100000000000004</v>
      </c>
      <c r="Q54" s="141" t="s">
        <v>29</v>
      </c>
      <c r="R54" s="142">
        <f t="shared" ref="R54:S59" ca="1" si="12">T54</f>
        <v>467217</v>
      </c>
      <c r="S54" s="142">
        <f t="shared" ca="1" si="12"/>
        <v>369568</v>
      </c>
      <c r="T54" s="142">
        <f ca="1">기술사</f>
        <v>467217</v>
      </c>
      <c r="U54" s="142">
        <f t="shared" ref="U54:U59" ca="1" si="13">ROUNDDOWN(P54*R54,0)</f>
        <v>369568</v>
      </c>
      <c r="V54" s="142"/>
      <c r="W54" s="142"/>
      <c r="X54" s="142"/>
      <c r="Y54" s="142"/>
      <c r="Z54" s="114"/>
    </row>
    <row r="55" spans="1:26" ht="18" customHeight="1">
      <c r="C55" s="9" t="s">
        <v>1288</v>
      </c>
      <c r="K55" s="171" t="s">
        <v>14</v>
      </c>
      <c r="L55" s="171"/>
      <c r="M55" s="171"/>
      <c r="N55" s="143" t="s">
        <v>32</v>
      </c>
      <c r="O55" s="173">
        <v>4</v>
      </c>
      <c r="P55" s="234">
        <f ca="1">OFFSET($A$1,MATCH(Z53,$A:$A,0)-1,O55)</f>
        <v>1.5820000000000001</v>
      </c>
      <c r="Q55" s="144" t="s">
        <v>29</v>
      </c>
      <c r="R55" s="118">
        <f t="shared" ca="1" si="12"/>
        <v>373353</v>
      </c>
      <c r="S55" s="118">
        <f t="shared" ca="1" si="12"/>
        <v>590644</v>
      </c>
      <c r="T55" s="118">
        <f ca="1">특급</f>
        <v>373353</v>
      </c>
      <c r="U55" s="118">
        <f t="shared" ca="1" si="13"/>
        <v>590644</v>
      </c>
      <c r="V55" s="118"/>
      <c r="W55" s="118"/>
      <c r="X55" s="118"/>
      <c r="Y55" s="118"/>
      <c r="Z55" s="115"/>
    </row>
    <row r="56" spans="1:26" ht="18" customHeight="1">
      <c r="C56" s="9"/>
      <c r="K56" s="171" t="s">
        <v>14</v>
      </c>
      <c r="L56" s="171"/>
      <c r="M56" s="171"/>
      <c r="N56" s="145" t="s">
        <v>39</v>
      </c>
      <c r="O56" s="173">
        <v>5</v>
      </c>
      <c r="P56" s="234">
        <f ca="1">OFFSET($A$1,MATCH(Z53,$A:$A,0)-1,O56)</f>
        <v>3.165</v>
      </c>
      <c r="Q56" s="144" t="s">
        <v>29</v>
      </c>
      <c r="R56" s="118">
        <f t="shared" ca="1" si="12"/>
        <v>310884</v>
      </c>
      <c r="S56" s="118">
        <f t="shared" ca="1" si="12"/>
        <v>983947</v>
      </c>
      <c r="T56" s="118">
        <f ca="1">고급</f>
        <v>310884</v>
      </c>
      <c r="U56" s="118">
        <f t="shared" ca="1" si="13"/>
        <v>983947</v>
      </c>
      <c r="V56" s="118"/>
      <c r="W56" s="118"/>
      <c r="X56" s="118"/>
      <c r="Y56" s="118"/>
      <c r="Z56" s="115"/>
    </row>
    <row r="57" spans="1:26" ht="18" customHeight="1">
      <c r="C57" s="9"/>
      <c r="K57" s="171" t="s">
        <v>14</v>
      </c>
      <c r="L57" s="171"/>
      <c r="M57" s="171"/>
      <c r="N57" s="145" t="s">
        <v>40</v>
      </c>
      <c r="O57" s="173">
        <v>6</v>
      </c>
      <c r="P57" s="234">
        <f ca="1">OFFSET($A$1,MATCH(Z53,$A:$A,0)-1,O57)</f>
        <v>4.7480000000000002</v>
      </c>
      <c r="Q57" s="144" t="s">
        <v>29</v>
      </c>
      <c r="R57" s="118">
        <f t="shared" ca="1" si="12"/>
        <v>295138</v>
      </c>
      <c r="S57" s="118">
        <f t="shared" ca="1" si="12"/>
        <v>1401315</v>
      </c>
      <c r="T57" s="118">
        <f ca="1">중급</f>
        <v>295138</v>
      </c>
      <c r="U57" s="118">
        <f t="shared" ca="1" si="13"/>
        <v>1401315</v>
      </c>
      <c r="V57" s="118"/>
      <c r="W57" s="118"/>
      <c r="X57" s="118"/>
      <c r="Y57" s="118"/>
      <c r="Z57" s="115"/>
    </row>
    <row r="58" spans="1:26" ht="18" customHeight="1">
      <c r="K58" s="171" t="s">
        <v>14</v>
      </c>
      <c r="L58" s="171"/>
      <c r="M58" s="171"/>
      <c r="N58" s="145" t="s">
        <v>41</v>
      </c>
      <c r="O58" s="173">
        <v>7</v>
      </c>
      <c r="P58" s="234">
        <f ca="1">OFFSET($A$1,MATCH(Z53,$A:$A,0)-1,O58)</f>
        <v>7.9139999999999997</v>
      </c>
      <c r="Q58" s="144" t="s">
        <v>29</v>
      </c>
      <c r="R58" s="118">
        <f t="shared" ca="1" si="12"/>
        <v>235459</v>
      </c>
      <c r="S58" s="118">
        <f t="shared" ca="1" si="12"/>
        <v>1863422</v>
      </c>
      <c r="T58" s="118">
        <f ca="1">초급</f>
        <v>235459</v>
      </c>
      <c r="U58" s="118">
        <f t="shared" ca="1" si="13"/>
        <v>1863422</v>
      </c>
      <c r="V58" s="118"/>
      <c r="W58" s="118"/>
      <c r="X58" s="118"/>
      <c r="Y58" s="118"/>
      <c r="Z58" s="115"/>
    </row>
    <row r="59" spans="1:26" ht="18" customHeight="1">
      <c r="C59" s="9"/>
      <c r="K59" s="171" t="s">
        <v>14</v>
      </c>
      <c r="L59" s="171"/>
      <c r="M59" s="171"/>
      <c r="N59" s="319" t="s">
        <v>42</v>
      </c>
      <c r="O59" s="174">
        <v>8</v>
      </c>
      <c r="P59" s="235">
        <f ca="1">OFFSET($A$1,MATCH(Z53,$A:$A,0)-1,O59)</f>
        <v>9.8919999999999995</v>
      </c>
      <c r="Q59" s="322" t="s">
        <v>29</v>
      </c>
      <c r="R59" s="323">
        <f t="shared" ca="1" si="12"/>
        <v>250087</v>
      </c>
      <c r="S59" s="323">
        <f t="shared" ca="1" si="12"/>
        <v>2473860</v>
      </c>
      <c r="T59" s="323">
        <f ca="1">보조원</f>
        <v>250087</v>
      </c>
      <c r="U59" s="323">
        <f t="shared" ca="1" si="13"/>
        <v>2473860</v>
      </c>
      <c r="V59" s="323"/>
      <c r="W59" s="323"/>
      <c r="X59" s="323"/>
      <c r="Y59" s="323"/>
      <c r="Z59" s="324"/>
    </row>
    <row r="60" spans="1:26" ht="18" customHeight="1">
      <c r="K60" s="171" t="s">
        <v>14</v>
      </c>
      <c r="L60" s="171"/>
      <c r="M60" s="171"/>
      <c r="N60" s="139" t="s">
        <v>17</v>
      </c>
      <c r="O60" s="68"/>
      <c r="P60" s="69"/>
      <c r="Q60" s="70"/>
      <c r="R60" s="71"/>
      <c r="S60" s="71">
        <f ca="1">SUBTOTAL(9,S54:S59)</f>
        <v>7682756</v>
      </c>
      <c r="T60" s="71"/>
      <c r="U60" s="71">
        <f ca="1">SUBTOTAL(9,U54:U59)</f>
        <v>7682756</v>
      </c>
      <c r="V60" s="71"/>
      <c r="W60" s="71"/>
      <c r="X60" s="71"/>
      <c r="Y60" s="71"/>
      <c r="Z60" s="68"/>
    </row>
    <row r="61" spans="1:26" ht="18" customHeight="1">
      <c r="K61" s="171" t="s">
        <v>14</v>
      </c>
      <c r="L61" s="171"/>
      <c r="M61" s="171"/>
      <c r="N61" s="318" t="str">
        <f ca="1">"제 " &amp; Z61 &amp; " 호표  "&amp; OFFSET($A$1,MATCH(Z61,$A:$A,0)-1,1)</f>
        <v>제 3 호표  2.1 도시·군계획시설(변경)결정 조서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f>Z53+1</f>
        <v>3</v>
      </c>
    </row>
    <row r="62" spans="1:26" ht="18" customHeight="1">
      <c r="K62" s="171" t="s">
        <v>14</v>
      </c>
      <c r="L62" s="171"/>
      <c r="M62" s="171"/>
      <c r="N62" s="140" t="s">
        <v>43</v>
      </c>
      <c r="O62" s="172">
        <v>3</v>
      </c>
      <c r="P62" s="219">
        <f ca="1">OFFSET($A$1,MATCH(Z61,$A:$A,0)-1,O62)</f>
        <v>1.5820000000000001</v>
      </c>
      <c r="Q62" s="141" t="s">
        <v>29</v>
      </c>
      <c r="R62" s="142">
        <f t="shared" ref="R62:S67" ca="1" si="14">T62</f>
        <v>467217</v>
      </c>
      <c r="S62" s="142">
        <f t="shared" ca="1" si="14"/>
        <v>739137</v>
      </c>
      <c r="T62" s="142">
        <f ca="1">기술사</f>
        <v>467217</v>
      </c>
      <c r="U62" s="142">
        <f t="shared" ref="U62:U67" ca="1" si="15">ROUNDDOWN(P62*R62,0)</f>
        <v>739137</v>
      </c>
      <c r="V62" s="142"/>
      <c r="W62" s="142"/>
      <c r="X62" s="142"/>
      <c r="Y62" s="142"/>
      <c r="Z62" s="114"/>
    </row>
    <row r="63" spans="1:26" ht="18" customHeight="1">
      <c r="K63" s="171" t="s">
        <v>14</v>
      </c>
      <c r="L63" s="171"/>
      <c r="M63" s="171"/>
      <c r="N63" s="143" t="s">
        <v>32</v>
      </c>
      <c r="O63" s="173">
        <v>4</v>
      </c>
      <c r="P63" s="234">
        <f ca="1">OFFSET($A$1,MATCH(Z61,$A:$A,0)-1,O63)</f>
        <v>3.9569999999999999</v>
      </c>
      <c r="Q63" s="144" t="s">
        <v>29</v>
      </c>
      <c r="R63" s="118">
        <f t="shared" ca="1" si="14"/>
        <v>373353</v>
      </c>
      <c r="S63" s="118">
        <f t="shared" ca="1" si="14"/>
        <v>1477357</v>
      </c>
      <c r="T63" s="118">
        <f ca="1">특급</f>
        <v>373353</v>
      </c>
      <c r="U63" s="118">
        <f t="shared" ca="1" si="15"/>
        <v>1477357</v>
      </c>
      <c r="V63" s="118"/>
      <c r="W63" s="118"/>
      <c r="X63" s="118"/>
      <c r="Y63" s="118"/>
      <c r="Z63" s="115"/>
    </row>
    <row r="64" spans="1:26" ht="18" customHeight="1">
      <c r="K64" s="171" t="s">
        <v>14</v>
      </c>
      <c r="L64" s="171"/>
      <c r="M64" s="171"/>
      <c r="N64" s="145" t="s">
        <v>39</v>
      </c>
      <c r="O64" s="173">
        <v>5</v>
      </c>
      <c r="P64" s="234">
        <f ca="1">OFFSET($A$1,MATCH(Z61,$A:$A,0)-1,O64)</f>
        <v>9.4960000000000004</v>
      </c>
      <c r="Q64" s="144" t="s">
        <v>29</v>
      </c>
      <c r="R64" s="118">
        <f t="shared" ca="1" si="14"/>
        <v>310884</v>
      </c>
      <c r="S64" s="118">
        <f t="shared" ca="1" si="14"/>
        <v>2952154</v>
      </c>
      <c r="T64" s="118">
        <f ca="1">고급</f>
        <v>310884</v>
      </c>
      <c r="U64" s="118">
        <f t="shared" ca="1" si="15"/>
        <v>2952154</v>
      </c>
      <c r="V64" s="118"/>
      <c r="W64" s="118"/>
      <c r="X64" s="118"/>
      <c r="Y64" s="118"/>
      <c r="Z64" s="115"/>
    </row>
    <row r="65" spans="3:26" ht="18" customHeight="1">
      <c r="C65" s="9"/>
      <c r="K65" s="171" t="s">
        <v>14</v>
      </c>
      <c r="L65" s="171"/>
      <c r="M65" s="171"/>
      <c r="N65" s="145" t="s">
        <v>40</v>
      </c>
      <c r="O65" s="173">
        <v>6</v>
      </c>
      <c r="P65" s="234">
        <f ca="1">OFFSET($A$1,MATCH(Z61,$A:$A,0)-1,O65)</f>
        <v>11.871</v>
      </c>
      <c r="Q65" s="144" t="s">
        <v>29</v>
      </c>
      <c r="R65" s="118">
        <f t="shared" ca="1" si="14"/>
        <v>295138</v>
      </c>
      <c r="S65" s="118">
        <f t="shared" ca="1" si="14"/>
        <v>3503583</v>
      </c>
      <c r="T65" s="118">
        <f ca="1">중급</f>
        <v>295138</v>
      </c>
      <c r="U65" s="118">
        <f t="shared" ca="1" si="15"/>
        <v>3503583</v>
      </c>
      <c r="V65" s="118"/>
      <c r="W65" s="118"/>
      <c r="X65" s="118"/>
      <c r="Y65" s="118"/>
      <c r="Z65" s="115"/>
    </row>
    <row r="66" spans="3:26" ht="18" customHeight="1">
      <c r="C66" s="9"/>
      <c r="K66" s="171" t="s">
        <v>14</v>
      </c>
      <c r="L66" s="171"/>
      <c r="M66" s="171"/>
      <c r="N66" s="145" t="s">
        <v>41</v>
      </c>
      <c r="O66" s="173">
        <v>7</v>
      </c>
      <c r="P66" s="234">
        <f ca="1">OFFSET($A$1,MATCH(Z61,$A:$A,0)-1,O66)</f>
        <v>23.742000000000001</v>
      </c>
      <c r="Q66" s="144" t="s">
        <v>29</v>
      </c>
      <c r="R66" s="118">
        <f t="shared" ca="1" si="14"/>
        <v>235459</v>
      </c>
      <c r="S66" s="118">
        <f t="shared" ca="1" si="14"/>
        <v>5590267</v>
      </c>
      <c r="T66" s="118">
        <f ca="1">초급</f>
        <v>235459</v>
      </c>
      <c r="U66" s="118">
        <f t="shared" ca="1" si="15"/>
        <v>5590267</v>
      </c>
      <c r="V66" s="118"/>
      <c r="W66" s="118"/>
      <c r="X66" s="118"/>
      <c r="Y66" s="118"/>
      <c r="Z66" s="115"/>
    </row>
    <row r="67" spans="3:26" ht="18" customHeight="1">
      <c r="K67" s="171" t="s">
        <v>14</v>
      </c>
      <c r="L67" s="171"/>
      <c r="M67" s="171"/>
      <c r="N67" s="319" t="s">
        <v>42</v>
      </c>
      <c r="O67" s="174">
        <v>8</v>
      </c>
      <c r="P67" s="235">
        <f ca="1">OFFSET($A$1,MATCH(Z61,$A:$A,0)-1,O67)</f>
        <v>33.634</v>
      </c>
      <c r="Q67" s="322" t="s">
        <v>29</v>
      </c>
      <c r="R67" s="323">
        <f t="shared" ca="1" si="14"/>
        <v>250087</v>
      </c>
      <c r="S67" s="323">
        <f t="shared" ca="1" si="14"/>
        <v>8411426</v>
      </c>
      <c r="T67" s="323">
        <f ca="1">보조원</f>
        <v>250087</v>
      </c>
      <c r="U67" s="323">
        <f t="shared" ca="1" si="15"/>
        <v>8411426</v>
      </c>
      <c r="V67" s="323"/>
      <c r="W67" s="323"/>
      <c r="X67" s="323"/>
      <c r="Y67" s="323"/>
      <c r="Z67" s="324"/>
    </row>
    <row r="68" spans="3:26" ht="18" customHeight="1">
      <c r="K68" s="171" t="s">
        <v>14</v>
      </c>
      <c r="L68" s="171"/>
      <c r="M68" s="171"/>
      <c r="N68" s="139" t="s">
        <v>17</v>
      </c>
      <c r="O68" s="68"/>
      <c r="P68" s="69"/>
      <c r="Q68" s="70"/>
      <c r="R68" s="71"/>
      <c r="S68" s="71">
        <f ca="1">SUBTOTAL(9,S62:S67)</f>
        <v>22673924</v>
      </c>
      <c r="T68" s="71"/>
      <c r="U68" s="71">
        <f ca="1">SUBTOTAL(9,U62:U67)</f>
        <v>22673924</v>
      </c>
      <c r="V68" s="71"/>
      <c r="W68" s="71"/>
      <c r="X68" s="71"/>
      <c r="Y68" s="71"/>
      <c r="Z68" s="68"/>
    </row>
    <row r="69" spans="3:26" ht="18" customHeight="1">
      <c r="K69" s="171" t="s">
        <v>14</v>
      </c>
      <c r="L69" s="171"/>
      <c r="M69" s="171"/>
      <c r="N69" s="318" t="str">
        <f ca="1">"제 " &amp; Z69 &amp; " 호표  "&amp; OFFSET($A$1,MATCH(Z69,$A:$A,0)-1,1)</f>
        <v>제 4 호표  2.2 도시·군계획시설(변경)결정사유서 및 개발(사업)계획서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4</v>
      </c>
    </row>
    <row r="70" spans="3:26" ht="18" customHeight="1">
      <c r="K70" s="171" t="s">
        <v>14</v>
      </c>
      <c r="L70" s="171"/>
      <c r="M70" s="171"/>
      <c r="N70" s="140" t="s">
        <v>43</v>
      </c>
      <c r="O70" s="172">
        <v>3</v>
      </c>
      <c r="P70" s="219">
        <f ca="1">OFFSET($A$1,MATCH(Z69,$A:$A,0)-1,O70)</f>
        <v>2.3740000000000001</v>
      </c>
      <c r="Q70" s="141" t="s">
        <v>29</v>
      </c>
      <c r="R70" s="142">
        <f t="shared" ref="R70:S75" ca="1" si="16">T70</f>
        <v>467217</v>
      </c>
      <c r="S70" s="142">
        <f t="shared" ca="1" si="16"/>
        <v>1109173</v>
      </c>
      <c r="T70" s="142">
        <f ca="1">기술사</f>
        <v>467217</v>
      </c>
      <c r="U70" s="142">
        <f t="shared" ref="U70:U75" ca="1" si="17">ROUNDDOWN(P70*R70,0)</f>
        <v>1109173</v>
      </c>
      <c r="V70" s="142"/>
      <c r="W70" s="142"/>
      <c r="X70" s="142"/>
      <c r="Y70" s="142"/>
      <c r="Z70" s="114"/>
    </row>
    <row r="71" spans="3:26" ht="18" customHeight="1">
      <c r="K71" s="171" t="s">
        <v>14</v>
      </c>
      <c r="L71" s="171"/>
      <c r="M71" s="171"/>
      <c r="N71" s="143" t="s">
        <v>32</v>
      </c>
      <c r="O71" s="173">
        <v>4</v>
      </c>
      <c r="P71" s="234">
        <f ca="1">OFFSET($A$1,MATCH(Z69,$A:$A,0)-1,O71)</f>
        <v>3.9569999999999999</v>
      </c>
      <c r="Q71" s="144" t="s">
        <v>29</v>
      </c>
      <c r="R71" s="118">
        <f t="shared" ca="1" si="16"/>
        <v>373353</v>
      </c>
      <c r="S71" s="118">
        <f t="shared" ca="1" si="16"/>
        <v>1477357</v>
      </c>
      <c r="T71" s="118">
        <f ca="1">특급</f>
        <v>373353</v>
      </c>
      <c r="U71" s="118">
        <f t="shared" ca="1" si="17"/>
        <v>1477357</v>
      </c>
      <c r="V71" s="118"/>
      <c r="W71" s="118"/>
      <c r="X71" s="118"/>
      <c r="Y71" s="118"/>
      <c r="Z71" s="115"/>
    </row>
    <row r="72" spans="3:26" ht="18" customHeight="1">
      <c r="K72" s="171" t="s">
        <v>14</v>
      </c>
      <c r="L72" s="171"/>
      <c r="M72" s="171"/>
      <c r="N72" s="145" t="s">
        <v>39</v>
      </c>
      <c r="O72" s="173">
        <v>5</v>
      </c>
      <c r="P72" s="234">
        <f ca="1">OFFSET($A$1,MATCH(Z69,$A:$A,0)-1,O72)</f>
        <v>23.742000000000001</v>
      </c>
      <c r="Q72" s="144" t="s">
        <v>29</v>
      </c>
      <c r="R72" s="118">
        <f t="shared" ca="1" si="16"/>
        <v>310884</v>
      </c>
      <c r="S72" s="118">
        <f t="shared" ca="1" si="16"/>
        <v>7381007</v>
      </c>
      <c r="T72" s="118">
        <f ca="1">고급</f>
        <v>310884</v>
      </c>
      <c r="U72" s="118">
        <f t="shared" ca="1" si="17"/>
        <v>7381007</v>
      </c>
      <c r="V72" s="118"/>
      <c r="W72" s="118"/>
      <c r="X72" s="118"/>
      <c r="Y72" s="118"/>
      <c r="Z72" s="115"/>
    </row>
    <row r="73" spans="3:26" ht="18" customHeight="1">
      <c r="K73" s="171" t="s">
        <v>14</v>
      </c>
      <c r="L73" s="171"/>
      <c r="M73" s="171"/>
      <c r="N73" s="145" t="s">
        <v>40</v>
      </c>
      <c r="O73" s="173">
        <v>6</v>
      </c>
      <c r="P73" s="234">
        <f ca="1">OFFSET($A$1,MATCH(Z69,$A:$A,0)-1,O73)</f>
        <v>27.699000000000002</v>
      </c>
      <c r="Q73" s="144" t="s">
        <v>29</v>
      </c>
      <c r="R73" s="118">
        <f t="shared" ca="1" si="16"/>
        <v>295138</v>
      </c>
      <c r="S73" s="118">
        <f t="shared" ca="1" si="16"/>
        <v>8175027</v>
      </c>
      <c r="T73" s="118">
        <f ca="1">중급</f>
        <v>295138</v>
      </c>
      <c r="U73" s="118">
        <f t="shared" ca="1" si="17"/>
        <v>8175027</v>
      </c>
      <c r="V73" s="118"/>
      <c r="W73" s="118"/>
      <c r="X73" s="118"/>
      <c r="Y73" s="118"/>
      <c r="Z73" s="115"/>
    </row>
    <row r="74" spans="3:26" ht="18" customHeight="1">
      <c r="K74" s="171" t="s">
        <v>14</v>
      </c>
      <c r="L74" s="171"/>
      <c r="M74" s="171"/>
      <c r="N74" s="145" t="s">
        <v>41</v>
      </c>
      <c r="O74" s="173">
        <v>7</v>
      </c>
      <c r="P74" s="234">
        <f ca="1">OFFSET($A$1,MATCH(Z69,$A:$A,0)-1,O74)</f>
        <v>59.354999999999997</v>
      </c>
      <c r="Q74" s="144" t="s">
        <v>29</v>
      </c>
      <c r="R74" s="118">
        <f t="shared" ca="1" si="16"/>
        <v>235459</v>
      </c>
      <c r="S74" s="118">
        <f t="shared" ca="1" si="16"/>
        <v>13975668</v>
      </c>
      <c r="T74" s="118">
        <f ca="1">초급</f>
        <v>235459</v>
      </c>
      <c r="U74" s="118">
        <f t="shared" ca="1" si="17"/>
        <v>13975668</v>
      </c>
      <c r="V74" s="118"/>
      <c r="W74" s="118"/>
      <c r="X74" s="118"/>
      <c r="Y74" s="118"/>
      <c r="Z74" s="115"/>
    </row>
    <row r="75" spans="3:26" ht="18" customHeight="1">
      <c r="K75" s="171" t="s">
        <v>14</v>
      </c>
      <c r="L75" s="171"/>
      <c r="M75" s="171"/>
      <c r="N75" s="319" t="s">
        <v>42</v>
      </c>
      <c r="O75" s="174">
        <v>8</v>
      </c>
      <c r="P75" s="235">
        <f ca="1">OFFSET($A$1,MATCH(Z69,$A:$A,0)-1,O75)</f>
        <v>47.484000000000002</v>
      </c>
      <c r="Q75" s="322" t="s">
        <v>29</v>
      </c>
      <c r="R75" s="323">
        <f t="shared" ca="1" si="16"/>
        <v>250087</v>
      </c>
      <c r="S75" s="323">
        <f t="shared" ca="1" si="16"/>
        <v>11875131</v>
      </c>
      <c r="T75" s="323">
        <f ca="1">보조원</f>
        <v>250087</v>
      </c>
      <c r="U75" s="323">
        <f t="shared" ca="1" si="17"/>
        <v>11875131</v>
      </c>
      <c r="V75" s="323"/>
      <c r="W75" s="323"/>
      <c r="X75" s="323"/>
      <c r="Y75" s="323"/>
      <c r="Z75" s="324"/>
    </row>
    <row r="76" spans="3:26" ht="18" customHeight="1">
      <c r="K76" s="171" t="s">
        <v>14</v>
      </c>
      <c r="L76" s="171"/>
      <c r="M76" s="171"/>
      <c r="N76" s="139" t="s">
        <v>17</v>
      </c>
      <c r="O76" s="68"/>
      <c r="P76" s="69"/>
      <c r="Q76" s="70"/>
      <c r="R76" s="71"/>
      <c r="S76" s="71">
        <f ca="1">SUBTOTAL(9,S70:S75)</f>
        <v>43993363</v>
      </c>
      <c r="T76" s="71"/>
      <c r="U76" s="71">
        <f ca="1">SUBTOTAL(9,U70:U75)</f>
        <v>43993363</v>
      </c>
      <c r="V76" s="71"/>
      <c r="W76" s="71"/>
      <c r="X76" s="71"/>
      <c r="Y76" s="71"/>
      <c r="Z76" s="68"/>
    </row>
    <row r="77" spans="3:26" ht="18" customHeight="1">
      <c r="K77" s="171" t="s">
        <v>14</v>
      </c>
      <c r="L77" s="171"/>
      <c r="M77" s="171"/>
      <c r="N77" s="318" t="str">
        <f ca="1">"제 " &amp; Z77 &amp; " 호표  "&amp; OFFSET($A$1,MATCH(Z77,$A:$A,0)-1,1)</f>
        <v>제 5 호표  2.3 각종 영향 분석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5</v>
      </c>
    </row>
    <row r="78" spans="3:26" ht="18" customHeight="1">
      <c r="K78" s="171" t="s">
        <v>14</v>
      </c>
      <c r="L78" s="171"/>
      <c r="M78" s="171"/>
      <c r="N78" s="140" t="s">
        <v>43</v>
      </c>
      <c r="O78" s="172">
        <v>3</v>
      </c>
      <c r="P78" s="219">
        <f ca="1">OFFSET($A$1,MATCH(Z77,$A:$A,0)-1,O78)</f>
        <v>1.5820000000000001</v>
      </c>
      <c r="Q78" s="141" t="s">
        <v>29</v>
      </c>
      <c r="R78" s="142">
        <f t="shared" ref="R78:S83" ca="1" si="18">T78</f>
        <v>467217</v>
      </c>
      <c r="S78" s="142">
        <f t="shared" ca="1" si="18"/>
        <v>739137</v>
      </c>
      <c r="T78" s="142">
        <f ca="1">기술사</f>
        <v>467217</v>
      </c>
      <c r="U78" s="142">
        <f t="shared" ref="U78:U83" ca="1" si="19">ROUNDDOWN(P78*R78,0)</f>
        <v>739137</v>
      </c>
      <c r="V78" s="142"/>
      <c r="W78" s="142"/>
      <c r="X78" s="142"/>
      <c r="Y78" s="142"/>
      <c r="Z78" s="114"/>
    </row>
    <row r="79" spans="3:26" ht="18" customHeight="1">
      <c r="K79" s="171" t="s">
        <v>14</v>
      </c>
      <c r="L79" s="171"/>
      <c r="M79" s="171"/>
      <c r="N79" s="143" t="s">
        <v>32</v>
      </c>
      <c r="O79" s="173">
        <v>4</v>
      </c>
      <c r="P79" s="234">
        <f ca="1">OFFSET($A$1,MATCH(Z77,$A:$A,0)-1,O79)</f>
        <v>3.9569999999999999</v>
      </c>
      <c r="Q79" s="144" t="s">
        <v>29</v>
      </c>
      <c r="R79" s="118">
        <f t="shared" ca="1" si="18"/>
        <v>373353</v>
      </c>
      <c r="S79" s="118">
        <f t="shared" ca="1" si="18"/>
        <v>1477357</v>
      </c>
      <c r="T79" s="118">
        <f ca="1">특급</f>
        <v>373353</v>
      </c>
      <c r="U79" s="118">
        <f t="shared" ca="1" si="19"/>
        <v>1477357</v>
      </c>
      <c r="V79" s="118"/>
      <c r="W79" s="118"/>
      <c r="X79" s="118"/>
      <c r="Y79" s="118"/>
      <c r="Z79" s="115"/>
    </row>
    <row r="80" spans="3:26" ht="18" customHeight="1">
      <c r="K80" s="171" t="s">
        <v>14</v>
      </c>
      <c r="L80" s="171"/>
      <c r="M80" s="171"/>
      <c r="N80" s="145" t="s">
        <v>39</v>
      </c>
      <c r="O80" s="173">
        <v>5</v>
      </c>
      <c r="P80" s="234">
        <f ca="1">OFFSET($A$1,MATCH(Z77,$A:$A,0)-1,O80)</f>
        <v>9.4960000000000004</v>
      </c>
      <c r="Q80" s="144" t="s">
        <v>29</v>
      </c>
      <c r="R80" s="118">
        <f t="shared" ca="1" si="18"/>
        <v>310884</v>
      </c>
      <c r="S80" s="118">
        <f t="shared" ca="1" si="18"/>
        <v>2952154</v>
      </c>
      <c r="T80" s="118">
        <f ca="1">고급</f>
        <v>310884</v>
      </c>
      <c r="U80" s="118">
        <f t="shared" ca="1" si="19"/>
        <v>2952154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40</v>
      </c>
      <c r="O81" s="173">
        <v>6</v>
      </c>
      <c r="P81" s="234">
        <f ca="1">OFFSET($A$1,MATCH(Z77,$A:$A,0)-1,O81)</f>
        <v>11.871</v>
      </c>
      <c r="Q81" s="144" t="s">
        <v>29</v>
      </c>
      <c r="R81" s="118">
        <f t="shared" ca="1" si="18"/>
        <v>295138</v>
      </c>
      <c r="S81" s="118">
        <f t="shared" ca="1" si="18"/>
        <v>3503583</v>
      </c>
      <c r="T81" s="118">
        <f ca="1">중급</f>
        <v>295138</v>
      </c>
      <c r="U81" s="118">
        <f t="shared" ca="1" si="19"/>
        <v>3503583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41</v>
      </c>
      <c r="O82" s="173">
        <v>7</v>
      </c>
      <c r="P82" s="234">
        <f ca="1">OFFSET($A$1,MATCH(Z77,$A:$A,0)-1,O82)</f>
        <v>23.742000000000001</v>
      </c>
      <c r="Q82" s="144" t="s">
        <v>29</v>
      </c>
      <c r="R82" s="118">
        <f t="shared" ca="1" si="18"/>
        <v>235459</v>
      </c>
      <c r="S82" s="118">
        <f t="shared" ca="1" si="18"/>
        <v>5590267</v>
      </c>
      <c r="T82" s="118">
        <f ca="1">초급</f>
        <v>235459</v>
      </c>
      <c r="U82" s="118">
        <f t="shared" ca="1" si="19"/>
        <v>5590267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319" t="s">
        <v>42</v>
      </c>
      <c r="O83" s="174">
        <v>8</v>
      </c>
      <c r="P83" s="235">
        <f ca="1">OFFSET($A$1,MATCH(Z77,$A:$A,0)-1,O83)</f>
        <v>33.634</v>
      </c>
      <c r="Q83" s="322" t="s">
        <v>29</v>
      </c>
      <c r="R83" s="323">
        <f t="shared" ca="1" si="18"/>
        <v>250087</v>
      </c>
      <c r="S83" s="323">
        <f t="shared" ca="1" si="18"/>
        <v>8411426</v>
      </c>
      <c r="T83" s="323">
        <f ca="1">보조원</f>
        <v>250087</v>
      </c>
      <c r="U83" s="323">
        <f t="shared" ca="1" si="19"/>
        <v>8411426</v>
      </c>
      <c r="V83" s="323"/>
      <c r="W83" s="323"/>
      <c r="X83" s="323"/>
      <c r="Y83" s="323"/>
      <c r="Z83" s="324"/>
    </row>
    <row r="84" spans="11:26" ht="18" customHeight="1">
      <c r="K84" s="171" t="s">
        <v>14</v>
      </c>
      <c r="L84" s="171"/>
      <c r="M84" s="171"/>
      <c r="N84" s="139" t="s">
        <v>17</v>
      </c>
      <c r="O84" s="68"/>
      <c r="P84" s="69"/>
      <c r="Q84" s="70"/>
      <c r="R84" s="71"/>
      <c r="S84" s="71">
        <f ca="1">SUBTOTAL(9,S78:S83)</f>
        <v>22673924</v>
      </c>
      <c r="T84" s="71"/>
      <c r="U84" s="71">
        <f ca="1">SUBTOTAL(9,U78:U83)</f>
        <v>22673924</v>
      </c>
      <c r="V84" s="71"/>
      <c r="W84" s="71"/>
      <c r="X84" s="71"/>
      <c r="Y84" s="71"/>
      <c r="Z84" s="68"/>
    </row>
    <row r="85" spans="11:26" ht="18" customHeight="1">
      <c r="K85" s="171" t="s">
        <v>14</v>
      </c>
      <c r="L85" s="171"/>
      <c r="M85" s="171"/>
      <c r="N85" s="318" t="str">
        <f ca="1">"제 " &amp; Z85 &amp; " 호표  "&amp; OFFSET($A$1,MATCH(Z85,$A:$A,0)-1,1)</f>
        <v>제 6 호표  2.4 공고에 따른 의견내용 및 조치결과 작성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6</v>
      </c>
    </row>
    <row r="86" spans="11:26" ht="18" customHeight="1">
      <c r="K86" s="171" t="s">
        <v>14</v>
      </c>
      <c r="L86" s="171"/>
      <c r="M86" s="171"/>
      <c r="N86" s="140" t="s">
        <v>43</v>
      </c>
      <c r="O86" s="172">
        <v>3</v>
      </c>
      <c r="P86" s="219">
        <f ca="1">OFFSET($A$1,MATCH(Z85,$A:$A,0)-1,O86)</f>
        <v>2.3740000000000001</v>
      </c>
      <c r="Q86" s="141" t="s">
        <v>29</v>
      </c>
      <c r="R86" s="142">
        <f t="shared" ref="R86:S91" ca="1" si="20">T86</f>
        <v>467217</v>
      </c>
      <c r="S86" s="142">
        <f t="shared" ca="1" si="20"/>
        <v>1109173</v>
      </c>
      <c r="T86" s="142">
        <f ca="1">기술사</f>
        <v>467217</v>
      </c>
      <c r="U86" s="142">
        <f t="shared" ref="U86:U91" ca="1" si="21">ROUNDDOWN(P86*R86,0)</f>
        <v>1109173</v>
      </c>
      <c r="V86" s="142"/>
      <c r="W86" s="142"/>
      <c r="X86" s="142"/>
      <c r="Y86" s="142"/>
      <c r="Z86" s="114"/>
    </row>
    <row r="87" spans="11:26" ht="18" customHeight="1">
      <c r="K87" s="171" t="s">
        <v>14</v>
      </c>
      <c r="L87" s="171"/>
      <c r="M87" s="171"/>
      <c r="N87" s="143" t="s">
        <v>32</v>
      </c>
      <c r="O87" s="173">
        <v>4</v>
      </c>
      <c r="P87" s="234">
        <f ca="1">OFFSET($A$1,MATCH(Z85,$A:$A,0)-1,O87)</f>
        <v>2.3740000000000001</v>
      </c>
      <c r="Q87" s="144" t="s">
        <v>29</v>
      </c>
      <c r="R87" s="118">
        <f t="shared" ca="1" si="20"/>
        <v>373353</v>
      </c>
      <c r="S87" s="118">
        <f t="shared" ca="1" si="20"/>
        <v>886340</v>
      </c>
      <c r="T87" s="118">
        <f ca="1">특급</f>
        <v>373353</v>
      </c>
      <c r="U87" s="118">
        <f t="shared" ca="1" si="21"/>
        <v>886340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39</v>
      </c>
      <c r="O88" s="173">
        <v>5</v>
      </c>
      <c r="P88" s="234">
        <f ca="1">OFFSET($A$1,MATCH(Z85,$A:$A,0)-1,O88)</f>
        <v>4.7480000000000002</v>
      </c>
      <c r="Q88" s="144" t="s">
        <v>29</v>
      </c>
      <c r="R88" s="118">
        <f t="shared" ca="1" si="20"/>
        <v>310884</v>
      </c>
      <c r="S88" s="118">
        <f t="shared" ca="1" si="20"/>
        <v>1476077</v>
      </c>
      <c r="T88" s="118">
        <f ca="1">고급</f>
        <v>310884</v>
      </c>
      <c r="U88" s="118">
        <f t="shared" ca="1" si="21"/>
        <v>1476077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40</v>
      </c>
      <c r="O89" s="173">
        <v>6</v>
      </c>
      <c r="P89" s="234">
        <f ca="1">OFFSET($A$1,MATCH(Z85,$A:$A,0)-1,O89)</f>
        <v>7.9139999999999997</v>
      </c>
      <c r="Q89" s="144" t="s">
        <v>29</v>
      </c>
      <c r="R89" s="118">
        <f t="shared" ca="1" si="20"/>
        <v>295138</v>
      </c>
      <c r="S89" s="118">
        <f t="shared" ca="1" si="20"/>
        <v>2335722</v>
      </c>
      <c r="T89" s="118">
        <f ca="1">중급</f>
        <v>295138</v>
      </c>
      <c r="U89" s="118">
        <f t="shared" ca="1" si="21"/>
        <v>2335722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41</v>
      </c>
      <c r="O90" s="173">
        <v>7</v>
      </c>
      <c r="P90" s="234">
        <f ca="1">OFFSET($A$1,MATCH(Z85,$A:$A,0)-1,O90)</f>
        <v>11.871</v>
      </c>
      <c r="Q90" s="144" t="s">
        <v>29</v>
      </c>
      <c r="R90" s="118">
        <f t="shared" ca="1" si="20"/>
        <v>235459</v>
      </c>
      <c r="S90" s="118">
        <f t="shared" ca="1" si="20"/>
        <v>2795133</v>
      </c>
      <c r="T90" s="118">
        <f ca="1">초급</f>
        <v>235459</v>
      </c>
      <c r="U90" s="118">
        <f t="shared" ca="1" si="21"/>
        <v>2795133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319" t="s">
        <v>42</v>
      </c>
      <c r="O91" s="174">
        <v>8</v>
      </c>
      <c r="P91" s="235">
        <f ca="1">OFFSET($A$1,MATCH(Z85,$A:$A,0)-1,O91)</f>
        <v>17.806000000000001</v>
      </c>
      <c r="Q91" s="322" t="s">
        <v>29</v>
      </c>
      <c r="R91" s="323">
        <f t="shared" ca="1" si="20"/>
        <v>250087</v>
      </c>
      <c r="S91" s="323">
        <f t="shared" ca="1" si="20"/>
        <v>4453049</v>
      </c>
      <c r="T91" s="323">
        <f ca="1">보조원</f>
        <v>250087</v>
      </c>
      <c r="U91" s="323">
        <f t="shared" ca="1" si="21"/>
        <v>4453049</v>
      </c>
      <c r="V91" s="323"/>
      <c r="W91" s="323"/>
      <c r="X91" s="323"/>
      <c r="Y91" s="323"/>
      <c r="Z91" s="324"/>
    </row>
    <row r="92" spans="11:26" ht="18" customHeight="1">
      <c r="K92" s="171" t="s">
        <v>14</v>
      </c>
      <c r="L92" s="171"/>
      <c r="M92" s="171"/>
      <c r="N92" s="139" t="s">
        <v>17</v>
      </c>
      <c r="O92" s="68"/>
      <c r="P92" s="69"/>
      <c r="Q92" s="70"/>
      <c r="R92" s="71"/>
      <c r="S92" s="71">
        <f ca="1">SUBTOTAL(9,S86:S91)</f>
        <v>13055494</v>
      </c>
      <c r="T92" s="71"/>
      <c r="U92" s="71">
        <f ca="1">SUBTOTAL(9,U86:U91)</f>
        <v>13055494</v>
      </c>
      <c r="V92" s="71"/>
      <c r="W92" s="71"/>
      <c r="X92" s="71"/>
      <c r="Y92" s="71"/>
      <c r="Z92" s="68"/>
    </row>
    <row r="93" spans="11:26" ht="18" customHeight="1">
      <c r="K93" s="171" t="s">
        <v>14</v>
      </c>
      <c r="L93" s="171"/>
      <c r="M93" s="171"/>
      <c r="N93" s="318" t="str">
        <f ca="1">"제 " &amp; Z93 &amp; " 호표  "&amp; OFFSET($A$1,MATCH(Z93,$A:$A,0)-1,1)</f>
        <v>제 7 호표  2.5 도시·군계획시설(변경)결정도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7</v>
      </c>
    </row>
    <row r="94" spans="11:26" ht="18" customHeight="1">
      <c r="K94" s="171" t="s">
        <v>14</v>
      </c>
      <c r="L94" s="171"/>
      <c r="M94" s="171"/>
      <c r="N94" s="140" t="s">
        <v>43</v>
      </c>
      <c r="O94" s="172">
        <v>3</v>
      </c>
      <c r="P94" s="219">
        <f ca="1">OFFSET($A$1,MATCH(Z93,$A:$A,0)-1,O94)</f>
        <v>0</v>
      </c>
      <c r="Q94" s="141" t="s">
        <v>29</v>
      </c>
      <c r="R94" s="142">
        <f t="shared" ref="R94:S99" ca="1" si="22">T94</f>
        <v>467217</v>
      </c>
      <c r="S94" s="142">
        <f t="shared" ca="1" si="22"/>
        <v>0</v>
      </c>
      <c r="T94" s="142">
        <f ca="1">기술사</f>
        <v>467217</v>
      </c>
      <c r="U94" s="142">
        <f t="shared" ref="U94:U99" ca="1" si="23">ROUNDDOWN(P94*R94,0)</f>
        <v>0</v>
      </c>
      <c r="V94" s="142"/>
      <c r="W94" s="142"/>
      <c r="X94" s="142"/>
      <c r="Y94" s="142"/>
      <c r="Z94" s="114"/>
    </row>
    <row r="95" spans="11:26" ht="18" customHeight="1">
      <c r="K95" s="171" t="s">
        <v>14</v>
      </c>
      <c r="L95" s="171"/>
      <c r="M95" s="171"/>
      <c r="N95" s="143" t="s">
        <v>32</v>
      </c>
      <c r="O95" s="173">
        <v>4</v>
      </c>
      <c r="P95" s="234">
        <f ca="1">OFFSET($A$1,MATCH(Z93,$A:$A,0)-1,O95)</f>
        <v>3.9569999999999999</v>
      </c>
      <c r="Q95" s="144" t="s">
        <v>29</v>
      </c>
      <c r="R95" s="118">
        <f t="shared" ca="1" si="22"/>
        <v>373353</v>
      </c>
      <c r="S95" s="118">
        <f t="shared" ca="1" si="22"/>
        <v>1477357</v>
      </c>
      <c r="T95" s="118">
        <f ca="1">특급</f>
        <v>373353</v>
      </c>
      <c r="U95" s="118">
        <f t="shared" ca="1" si="23"/>
        <v>1477357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39</v>
      </c>
      <c r="O96" s="173">
        <v>5</v>
      </c>
      <c r="P96" s="234">
        <f ca="1">OFFSET($A$1,MATCH(Z93,$A:$A,0)-1,O96)</f>
        <v>9.4960000000000004</v>
      </c>
      <c r="Q96" s="144" t="s">
        <v>29</v>
      </c>
      <c r="R96" s="118">
        <f t="shared" ca="1" si="22"/>
        <v>310884</v>
      </c>
      <c r="S96" s="118">
        <f t="shared" ca="1" si="22"/>
        <v>2952154</v>
      </c>
      <c r="T96" s="118">
        <f ca="1">고급</f>
        <v>310884</v>
      </c>
      <c r="U96" s="118">
        <f t="shared" ca="1" si="23"/>
        <v>2952154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40</v>
      </c>
      <c r="O97" s="173">
        <v>6</v>
      </c>
      <c r="P97" s="234">
        <f ca="1">OFFSET($A$1,MATCH(Z93,$A:$A,0)-1,O97)</f>
        <v>11.871</v>
      </c>
      <c r="Q97" s="144" t="s">
        <v>29</v>
      </c>
      <c r="R97" s="118">
        <f t="shared" ca="1" si="22"/>
        <v>295138</v>
      </c>
      <c r="S97" s="118">
        <f t="shared" ca="1" si="22"/>
        <v>3503583</v>
      </c>
      <c r="T97" s="118">
        <f ca="1">중급</f>
        <v>295138</v>
      </c>
      <c r="U97" s="118">
        <f t="shared" ca="1" si="23"/>
        <v>3503583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41</v>
      </c>
      <c r="O98" s="173">
        <v>7</v>
      </c>
      <c r="P98" s="234">
        <f ca="1">OFFSET($A$1,MATCH(Z93,$A:$A,0)-1,O98)</f>
        <v>23.742000000000001</v>
      </c>
      <c r="Q98" s="144" t="s">
        <v>29</v>
      </c>
      <c r="R98" s="118">
        <f t="shared" ca="1" si="22"/>
        <v>235459</v>
      </c>
      <c r="S98" s="118">
        <f t="shared" ca="1" si="22"/>
        <v>5590267</v>
      </c>
      <c r="T98" s="118">
        <f ca="1">초급</f>
        <v>235459</v>
      </c>
      <c r="U98" s="118">
        <f t="shared" ca="1" si="23"/>
        <v>5590267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319" t="s">
        <v>42</v>
      </c>
      <c r="O99" s="174">
        <v>8</v>
      </c>
      <c r="P99" s="235">
        <f ca="1">OFFSET($A$1,MATCH(Z93,$A:$A,0)-1,O99)</f>
        <v>33.634</v>
      </c>
      <c r="Q99" s="322" t="s">
        <v>29</v>
      </c>
      <c r="R99" s="323">
        <f t="shared" ca="1" si="22"/>
        <v>250087</v>
      </c>
      <c r="S99" s="323">
        <f t="shared" ca="1" si="22"/>
        <v>8411426</v>
      </c>
      <c r="T99" s="323">
        <f ca="1">보조원</f>
        <v>250087</v>
      </c>
      <c r="U99" s="323">
        <f t="shared" ca="1" si="23"/>
        <v>8411426</v>
      </c>
      <c r="V99" s="323"/>
      <c r="W99" s="323"/>
      <c r="X99" s="323"/>
      <c r="Y99" s="323"/>
      <c r="Z99" s="324"/>
    </row>
    <row r="100" spans="11:26" ht="18" customHeight="1">
      <c r="K100" s="171" t="s">
        <v>14</v>
      </c>
      <c r="L100" s="171"/>
      <c r="M100" s="171"/>
      <c r="N100" s="139" t="s">
        <v>17</v>
      </c>
      <c r="O100" s="68"/>
      <c r="P100" s="69"/>
      <c r="Q100" s="70"/>
      <c r="R100" s="71"/>
      <c r="S100" s="71">
        <f ca="1">SUBTOTAL(9,S94:S99)</f>
        <v>21934787</v>
      </c>
      <c r="T100" s="71"/>
      <c r="U100" s="71">
        <f ca="1">SUBTOTAL(9,U94:U99)</f>
        <v>21934787</v>
      </c>
      <c r="V100" s="71"/>
      <c r="W100" s="71"/>
      <c r="X100" s="71"/>
      <c r="Y100" s="71"/>
      <c r="Z100" s="68"/>
    </row>
    <row r="101" spans="11:26" ht="18" customHeight="1">
      <c r="K101" s="171" t="s">
        <v>14</v>
      </c>
      <c r="L101" s="171"/>
      <c r="M101" s="171"/>
      <c r="N101" s="318" t="str">
        <f ca="1">"제 " &amp; Z101 &amp; " 호표  "&amp; OFFSET($A$1,MATCH(Z101,$A:$A,0)-1,1)</f>
        <v>제 8 호표  2.6 시설배치 및 토지이용계획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8</v>
      </c>
    </row>
    <row r="102" spans="11:26" ht="18" customHeight="1">
      <c r="K102" s="171" t="s">
        <v>14</v>
      </c>
      <c r="L102" s="171"/>
      <c r="M102" s="171"/>
      <c r="N102" s="140" t="s">
        <v>43</v>
      </c>
      <c r="O102" s="172">
        <v>3</v>
      </c>
      <c r="P102" s="219">
        <f ca="1">OFFSET($A$1,MATCH(Z101,$A:$A,0)-1,O102)</f>
        <v>1.5820000000000001</v>
      </c>
      <c r="Q102" s="141" t="s">
        <v>29</v>
      </c>
      <c r="R102" s="142">
        <f t="shared" ref="R102:S107" ca="1" si="24">T102</f>
        <v>467217</v>
      </c>
      <c r="S102" s="142">
        <f t="shared" ca="1" si="24"/>
        <v>739137</v>
      </c>
      <c r="T102" s="142">
        <f ca="1">기술사</f>
        <v>467217</v>
      </c>
      <c r="U102" s="142">
        <f t="shared" ref="U102:U107" ca="1" si="25">ROUNDDOWN(P102*R102,0)</f>
        <v>739137</v>
      </c>
      <c r="V102" s="142"/>
      <c r="W102" s="142"/>
      <c r="X102" s="142"/>
      <c r="Y102" s="142"/>
      <c r="Z102" s="114"/>
    </row>
    <row r="103" spans="11:26" ht="18" customHeight="1">
      <c r="K103" s="171" t="s">
        <v>14</v>
      </c>
      <c r="L103" s="171"/>
      <c r="M103" s="171"/>
      <c r="N103" s="143" t="s">
        <v>32</v>
      </c>
      <c r="O103" s="173">
        <v>4</v>
      </c>
      <c r="P103" s="234">
        <f ca="1">OFFSET($A$1,MATCH(Z101,$A:$A,0)-1,O103)</f>
        <v>3.9569999999999999</v>
      </c>
      <c r="Q103" s="144" t="s">
        <v>29</v>
      </c>
      <c r="R103" s="118">
        <f t="shared" ca="1" si="24"/>
        <v>373353</v>
      </c>
      <c r="S103" s="118">
        <f t="shared" ca="1" si="24"/>
        <v>1477357</v>
      </c>
      <c r="T103" s="118">
        <f ca="1">특급</f>
        <v>373353</v>
      </c>
      <c r="U103" s="118">
        <f t="shared" ca="1" si="25"/>
        <v>1477357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39</v>
      </c>
      <c r="O104" s="173">
        <v>5</v>
      </c>
      <c r="P104" s="234">
        <f ca="1">OFFSET($A$1,MATCH(Z101,$A:$A,0)-1,O104)</f>
        <v>9.4960000000000004</v>
      </c>
      <c r="Q104" s="144" t="s">
        <v>29</v>
      </c>
      <c r="R104" s="118">
        <f t="shared" ca="1" si="24"/>
        <v>310884</v>
      </c>
      <c r="S104" s="118">
        <f t="shared" ca="1" si="24"/>
        <v>2952154</v>
      </c>
      <c r="T104" s="118">
        <f ca="1">고급</f>
        <v>310884</v>
      </c>
      <c r="U104" s="118">
        <f t="shared" ca="1" si="25"/>
        <v>2952154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40</v>
      </c>
      <c r="O105" s="173">
        <v>6</v>
      </c>
      <c r="P105" s="234">
        <f ca="1">OFFSET($A$1,MATCH(Z101,$A:$A,0)-1,O105)</f>
        <v>11.871</v>
      </c>
      <c r="Q105" s="144" t="s">
        <v>29</v>
      </c>
      <c r="R105" s="118">
        <f t="shared" ca="1" si="24"/>
        <v>295138</v>
      </c>
      <c r="S105" s="118">
        <f t="shared" ca="1" si="24"/>
        <v>3503583</v>
      </c>
      <c r="T105" s="118">
        <f ca="1">중급</f>
        <v>295138</v>
      </c>
      <c r="U105" s="118">
        <f t="shared" ca="1" si="25"/>
        <v>3503583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41</v>
      </c>
      <c r="O106" s="173">
        <v>7</v>
      </c>
      <c r="P106" s="234">
        <f ca="1">OFFSET($A$1,MATCH(Z101,$A:$A,0)-1,O106)</f>
        <v>23.742000000000001</v>
      </c>
      <c r="Q106" s="144" t="s">
        <v>29</v>
      </c>
      <c r="R106" s="118">
        <f t="shared" ca="1" si="24"/>
        <v>235459</v>
      </c>
      <c r="S106" s="118">
        <f t="shared" ca="1" si="24"/>
        <v>5590267</v>
      </c>
      <c r="T106" s="118">
        <f ca="1">초급</f>
        <v>235459</v>
      </c>
      <c r="U106" s="118">
        <f t="shared" ca="1" si="25"/>
        <v>5590267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319" t="s">
        <v>42</v>
      </c>
      <c r="O107" s="174">
        <v>8</v>
      </c>
      <c r="P107" s="235">
        <f ca="1">OFFSET($A$1,MATCH(Z101,$A:$A,0)-1,O107)</f>
        <v>33.634</v>
      </c>
      <c r="Q107" s="322" t="s">
        <v>29</v>
      </c>
      <c r="R107" s="323">
        <f t="shared" ca="1" si="24"/>
        <v>250087</v>
      </c>
      <c r="S107" s="323">
        <f t="shared" ca="1" si="24"/>
        <v>8411426</v>
      </c>
      <c r="T107" s="323">
        <f ca="1">보조원</f>
        <v>250087</v>
      </c>
      <c r="U107" s="323">
        <f t="shared" ca="1" si="25"/>
        <v>8411426</v>
      </c>
      <c r="V107" s="323"/>
      <c r="W107" s="323"/>
      <c r="X107" s="323"/>
      <c r="Y107" s="323"/>
      <c r="Z107" s="324"/>
    </row>
    <row r="108" spans="11:26" ht="18" customHeight="1">
      <c r="K108" s="171" t="s">
        <v>14</v>
      </c>
      <c r="L108" s="171"/>
      <c r="M108" s="171"/>
      <c r="N108" s="139" t="s">
        <v>17</v>
      </c>
      <c r="O108" s="68"/>
      <c r="P108" s="69"/>
      <c r="Q108" s="70"/>
      <c r="R108" s="71"/>
      <c r="S108" s="71">
        <f ca="1">SUBTOTAL(9,S102:S107)</f>
        <v>22673924</v>
      </c>
      <c r="T108" s="71"/>
      <c r="U108" s="71">
        <f ca="1">SUBTOTAL(9,U102:U107)</f>
        <v>22673924</v>
      </c>
      <c r="V108" s="71"/>
      <c r="W108" s="71"/>
      <c r="X108" s="71"/>
      <c r="Y108" s="71"/>
      <c r="Z108" s="68"/>
    </row>
    <row r="109" spans="11:26" ht="18" customHeight="1">
      <c r="K109" s="171" t="s">
        <v>14</v>
      </c>
      <c r="L109" s="171"/>
      <c r="M109" s="171"/>
      <c r="N109" s="318" t="str">
        <f ca="1">"제 " &amp; Z109 &amp; " 호표  "&amp; OFFSET($A$1,MATCH(Z109,$A:$A,0)-1,1)</f>
        <v>제 9 호표  2.7 지적도 및 토지조서, 권리조서 작성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9</v>
      </c>
    </row>
    <row r="110" spans="11:26" ht="18" customHeight="1">
      <c r="K110" s="171" t="s">
        <v>14</v>
      </c>
      <c r="L110" s="171"/>
      <c r="M110" s="171"/>
      <c r="N110" s="140" t="s">
        <v>43</v>
      </c>
      <c r="O110" s="172">
        <v>3</v>
      </c>
      <c r="P110" s="219">
        <f ca="1">OFFSET($A$1,MATCH(Z109,$A:$A,0)-1,O110)</f>
        <v>0</v>
      </c>
      <c r="Q110" s="141" t="s">
        <v>29</v>
      </c>
      <c r="R110" s="142">
        <f t="shared" ref="R110:S115" ca="1" si="26">T110</f>
        <v>467217</v>
      </c>
      <c r="S110" s="142">
        <f t="shared" ca="1" si="26"/>
        <v>0</v>
      </c>
      <c r="T110" s="142">
        <f ca="1">기술사</f>
        <v>467217</v>
      </c>
      <c r="U110" s="142">
        <f t="shared" ref="U110:U115" ca="1" si="27">ROUNDDOWN(P110*R110,0)</f>
        <v>0</v>
      </c>
      <c r="V110" s="142"/>
      <c r="W110" s="142"/>
      <c r="X110" s="142"/>
      <c r="Y110" s="142"/>
      <c r="Z110" s="114"/>
    </row>
    <row r="111" spans="11:26" ht="18" customHeight="1">
      <c r="K111" s="171" t="s">
        <v>14</v>
      </c>
      <c r="L111" s="171"/>
      <c r="M111" s="171"/>
      <c r="N111" s="143" t="s">
        <v>32</v>
      </c>
      <c r="O111" s="173">
        <v>4</v>
      </c>
      <c r="P111" s="234">
        <f ca="1">OFFSET($A$1,MATCH(Z109,$A:$A,0)-1,O111)</f>
        <v>4.7480000000000002</v>
      </c>
      <c r="Q111" s="144" t="s">
        <v>29</v>
      </c>
      <c r="R111" s="118">
        <f t="shared" ca="1" si="26"/>
        <v>373353</v>
      </c>
      <c r="S111" s="118">
        <f t="shared" ca="1" si="26"/>
        <v>1772680</v>
      </c>
      <c r="T111" s="118">
        <f ca="1">특급</f>
        <v>373353</v>
      </c>
      <c r="U111" s="118">
        <f t="shared" ca="1" si="27"/>
        <v>1772680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39</v>
      </c>
      <c r="O112" s="173">
        <v>5</v>
      </c>
      <c r="P112" s="234">
        <f ca="1">OFFSET($A$1,MATCH(Z109,$A:$A,0)-1,O112)</f>
        <v>9.4960000000000004</v>
      </c>
      <c r="Q112" s="144" t="s">
        <v>29</v>
      </c>
      <c r="R112" s="118">
        <f t="shared" ca="1" si="26"/>
        <v>310884</v>
      </c>
      <c r="S112" s="118">
        <f t="shared" ca="1" si="26"/>
        <v>2952154</v>
      </c>
      <c r="T112" s="118">
        <f ca="1">고급</f>
        <v>310884</v>
      </c>
      <c r="U112" s="118">
        <f t="shared" ca="1" si="27"/>
        <v>2952154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40</v>
      </c>
      <c r="O113" s="173">
        <v>6</v>
      </c>
      <c r="P113" s="234">
        <f ca="1">OFFSET($A$1,MATCH(Z109,$A:$A,0)-1,O113)</f>
        <v>11.871</v>
      </c>
      <c r="Q113" s="144" t="s">
        <v>29</v>
      </c>
      <c r="R113" s="118">
        <f t="shared" ca="1" si="26"/>
        <v>295138</v>
      </c>
      <c r="S113" s="118">
        <f t="shared" ca="1" si="26"/>
        <v>3503583</v>
      </c>
      <c r="T113" s="118">
        <f ca="1">중급</f>
        <v>295138</v>
      </c>
      <c r="U113" s="118">
        <f t="shared" ca="1" si="27"/>
        <v>3503583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41</v>
      </c>
      <c r="O114" s="173">
        <v>7</v>
      </c>
      <c r="P114" s="234">
        <f ca="1">OFFSET($A$1,MATCH(Z109,$A:$A,0)-1,O114)</f>
        <v>23.742000000000001</v>
      </c>
      <c r="Q114" s="144" t="s">
        <v>29</v>
      </c>
      <c r="R114" s="118">
        <f t="shared" ca="1" si="26"/>
        <v>235459</v>
      </c>
      <c r="S114" s="118">
        <f t="shared" ca="1" si="26"/>
        <v>5590267</v>
      </c>
      <c r="T114" s="118">
        <f ca="1">초급</f>
        <v>235459</v>
      </c>
      <c r="U114" s="118">
        <f t="shared" ca="1" si="27"/>
        <v>5590267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319" t="s">
        <v>42</v>
      </c>
      <c r="O115" s="174">
        <v>8</v>
      </c>
      <c r="P115" s="235">
        <f ca="1">OFFSET($A$1,MATCH(Z109,$A:$A,0)-1,O115)</f>
        <v>33.634</v>
      </c>
      <c r="Q115" s="322" t="s">
        <v>29</v>
      </c>
      <c r="R115" s="323">
        <f t="shared" ca="1" si="26"/>
        <v>250087</v>
      </c>
      <c r="S115" s="323">
        <f t="shared" ca="1" si="26"/>
        <v>8411426</v>
      </c>
      <c r="T115" s="323">
        <f ca="1">보조원</f>
        <v>250087</v>
      </c>
      <c r="U115" s="323">
        <f t="shared" ca="1" si="27"/>
        <v>8411426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M116" s="171"/>
      <c r="N116" s="139" t="s">
        <v>17</v>
      </c>
      <c r="O116" s="68"/>
      <c r="P116" s="69"/>
      <c r="Q116" s="70"/>
      <c r="R116" s="71"/>
      <c r="S116" s="71">
        <f ca="1">SUBTOTAL(9,S110:S115)</f>
        <v>22230110</v>
      </c>
      <c r="T116" s="71"/>
      <c r="U116" s="71">
        <f ca="1">SUBTOTAL(9,U110:U115)</f>
        <v>22230110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M117" s="171"/>
      <c r="N117" s="318" t="str">
        <f ca="1">"제 " &amp; Z117 &amp; " 호표  "&amp; OFFSET($A$1,MATCH(Z117,$A:$A,0)-1,1)</f>
        <v>제 10 호표  3.1 보고서작성 및 편집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10</v>
      </c>
    </row>
    <row r="118" spans="11:26" ht="18" customHeight="1">
      <c r="K118" s="171" t="s">
        <v>14</v>
      </c>
      <c r="L118" s="171"/>
      <c r="M118" s="171"/>
      <c r="N118" s="140" t="s">
        <v>43</v>
      </c>
      <c r="O118" s="172">
        <v>3</v>
      </c>
      <c r="P118" s="219">
        <f ca="1">OFFSET($A$1,MATCH(Z117,$A:$A,0)-1,O118)</f>
        <v>1.5820000000000001</v>
      </c>
      <c r="Q118" s="141" t="s">
        <v>29</v>
      </c>
      <c r="R118" s="142">
        <f t="shared" ref="R118:S123" ca="1" si="28">T118</f>
        <v>467217</v>
      </c>
      <c r="S118" s="142">
        <f t="shared" ca="1" si="28"/>
        <v>739137</v>
      </c>
      <c r="T118" s="142">
        <f ca="1">기술사</f>
        <v>467217</v>
      </c>
      <c r="U118" s="142">
        <f t="shared" ref="U118:U123" ca="1" si="29">ROUNDDOWN(P118*R118,0)</f>
        <v>739137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M119" s="171"/>
      <c r="N119" s="143" t="s">
        <v>32</v>
      </c>
      <c r="O119" s="173">
        <v>4</v>
      </c>
      <c r="P119" s="234">
        <f ca="1">OFFSET($A$1,MATCH(Z117,$A:$A,0)-1,O119)</f>
        <v>2.3740000000000001</v>
      </c>
      <c r="Q119" s="144" t="s">
        <v>29</v>
      </c>
      <c r="R119" s="118">
        <f t="shared" ca="1" si="28"/>
        <v>373353</v>
      </c>
      <c r="S119" s="118">
        <f t="shared" ca="1" si="28"/>
        <v>886340</v>
      </c>
      <c r="T119" s="118">
        <f ca="1">특급</f>
        <v>373353</v>
      </c>
      <c r="U119" s="118">
        <f t="shared" ca="1" si="29"/>
        <v>886340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39</v>
      </c>
      <c r="O120" s="173">
        <v>5</v>
      </c>
      <c r="P120" s="234">
        <f ca="1">OFFSET($A$1,MATCH(Z117,$A:$A,0)-1,O120)</f>
        <v>6.3310000000000004</v>
      </c>
      <c r="Q120" s="144" t="s">
        <v>29</v>
      </c>
      <c r="R120" s="118">
        <f t="shared" ca="1" si="28"/>
        <v>310884</v>
      </c>
      <c r="S120" s="118">
        <f t="shared" ca="1" si="28"/>
        <v>1968206</v>
      </c>
      <c r="T120" s="118">
        <f ca="1">고급</f>
        <v>310884</v>
      </c>
      <c r="U120" s="118">
        <f t="shared" ca="1" si="29"/>
        <v>1968206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40</v>
      </c>
      <c r="O121" s="173">
        <v>6</v>
      </c>
      <c r="P121" s="234">
        <f ca="1">OFFSET($A$1,MATCH(Z117,$A:$A,0)-1,O121)</f>
        <v>11.871</v>
      </c>
      <c r="Q121" s="144" t="s">
        <v>29</v>
      </c>
      <c r="R121" s="118">
        <f t="shared" ca="1" si="28"/>
        <v>295138</v>
      </c>
      <c r="S121" s="118">
        <f t="shared" ca="1" si="28"/>
        <v>3503583</v>
      </c>
      <c r="T121" s="118">
        <f ca="1">중급</f>
        <v>295138</v>
      </c>
      <c r="U121" s="118">
        <f t="shared" ca="1" si="29"/>
        <v>3503583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41</v>
      </c>
      <c r="O122" s="173">
        <v>7</v>
      </c>
      <c r="P122" s="234">
        <f ca="1">OFFSET($A$1,MATCH(Z117,$A:$A,0)-1,O122)</f>
        <v>12.662000000000001</v>
      </c>
      <c r="Q122" s="144" t="s">
        <v>29</v>
      </c>
      <c r="R122" s="118">
        <f t="shared" ca="1" si="28"/>
        <v>235459</v>
      </c>
      <c r="S122" s="118">
        <f t="shared" ca="1" si="28"/>
        <v>2981381</v>
      </c>
      <c r="T122" s="118">
        <f ca="1">초급</f>
        <v>235459</v>
      </c>
      <c r="U122" s="118">
        <f t="shared" ca="1" si="29"/>
        <v>2981381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319" t="s">
        <v>42</v>
      </c>
      <c r="O123" s="174">
        <v>8</v>
      </c>
      <c r="P123" s="235">
        <f ca="1">OFFSET($A$1,MATCH(Z117,$A:$A,0)-1,O123)</f>
        <v>13.849</v>
      </c>
      <c r="Q123" s="322" t="s">
        <v>29</v>
      </c>
      <c r="R123" s="323">
        <f t="shared" ca="1" si="28"/>
        <v>250087</v>
      </c>
      <c r="S123" s="323">
        <f t="shared" ca="1" si="28"/>
        <v>3463454</v>
      </c>
      <c r="T123" s="323">
        <f ca="1">보조원</f>
        <v>250087</v>
      </c>
      <c r="U123" s="323">
        <f t="shared" ca="1" si="29"/>
        <v>3463454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M124" s="171"/>
      <c r="N124" s="139" t="s">
        <v>17</v>
      </c>
      <c r="O124" s="68"/>
      <c r="P124" s="69"/>
      <c r="Q124" s="70"/>
      <c r="R124" s="71"/>
      <c r="S124" s="71">
        <f ca="1">SUBTOTAL(9,S118:S123)</f>
        <v>13542101</v>
      </c>
      <c r="T124" s="71"/>
      <c r="U124" s="71">
        <f ca="1">SUBTOTAL(9,U118:U123)</f>
        <v>13542101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M125" s="171"/>
      <c r="N125" s="318" t="str">
        <f ca="1">"제 " &amp; Z125 &amp; " 호표  "&amp; OFFSET($A$1,MATCH(Z125,$A:$A,0)-1,1)</f>
        <v>제 11 호표  3.2 관련도서작성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11</v>
      </c>
    </row>
    <row r="126" spans="11:26" ht="18" customHeight="1">
      <c r="K126" s="171" t="s">
        <v>14</v>
      </c>
      <c r="L126" s="171"/>
      <c r="M126" s="171"/>
      <c r="N126" s="140" t="s">
        <v>43</v>
      </c>
      <c r="O126" s="172">
        <v>3</v>
      </c>
      <c r="P126" s="219">
        <f ca="1">OFFSET($A$1,MATCH(Z125,$A:$A,0)-1,O126)</f>
        <v>0.79100000000000004</v>
      </c>
      <c r="Q126" s="141" t="s">
        <v>29</v>
      </c>
      <c r="R126" s="142">
        <f t="shared" ref="R126:S131" ca="1" si="30">T126</f>
        <v>467217</v>
      </c>
      <c r="S126" s="142">
        <f t="shared" ca="1" si="30"/>
        <v>369568</v>
      </c>
      <c r="T126" s="142">
        <f ca="1">기술사</f>
        <v>467217</v>
      </c>
      <c r="U126" s="142">
        <f t="shared" ref="U126:U131" ca="1" si="31">ROUNDDOWN(P126*R126,0)</f>
        <v>369568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M127" s="171"/>
      <c r="N127" s="143" t="s">
        <v>32</v>
      </c>
      <c r="O127" s="173">
        <v>4</v>
      </c>
      <c r="P127" s="234">
        <f ca="1">OFFSET($A$1,MATCH(Z125,$A:$A,0)-1,O127)</f>
        <v>1.1870000000000001</v>
      </c>
      <c r="Q127" s="144" t="s">
        <v>29</v>
      </c>
      <c r="R127" s="118">
        <f t="shared" ca="1" si="30"/>
        <v>373353</v>
      </c>
      <c r="S127" s="118">
        <f t="shared" ca="1" si="30"/>
        <v>443170</v>
      </c>
      <c r="T127" s="118">
        <f ca="1">특급</f>
        <v>373353</v>
      </c>
      <c r="U127" s="118">
        <f t="shared" ca="1" si="31"/>
        <v>443170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39</v>
      </c>
      <c r="O128" s="173">
        <v>5</v>
      </c>
      <c r="P128" s="234">
        <f ca="1">OFFSET($A$1,MATCH(Z125,$A:$A,0)-1,O128)</f>
        <v>3.165</v>
      </c>
      <c r="Q128" s="144" t="s">
        <v>29</v>
      </c>
      <c r="R128" s="118">
        <f t="shared" ca="1" si="30"/>
        <v>310884</v>
      </c>
      <c r="S128" s="118">
        <f t="shared" ca="1" si="30"/>
        <v>983947</v>
      </c>
      <c r="T128" s="118">
        <f ca="1">고급</f>
        <v>310884</v>
      </c>
      <c r="U128" s="118">
        <f t="shared" ca="1" si="31"/>
        <v>983947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40</v>
      </c>
      <c r="O129" s="173">
        <v>6</v>
      </c>
      <c r="P129" s="234">
        <f ca="1">OFFSET($A$1,MATCH(Z125,$A:$A,0)-1,O129)</f>
        <v>5.9349999999999996</v>
      </c>
      <c r="Q129" s="144" t="s">
        <v>29</v>
      </c>
      <c r="R129" s="118">
        <f t="shared" ca="1" si="30"/>
        <v>295138</v>
      </c>
      <c r="S129" s="118">
        <f t="shared" ca="1" si="30"/>
        <v>1751644</v>
      </c>
      <c r="T129" s="118">
        <f ca="1">중급</f>
        <v>295138</v>
      </c>
      <c r="U129" s="118">
        <f t="shared" ca="1" si="31"/>
        <v>1751644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41</v>
      </c>
      <c r="O130" s="173">
        <v>7</v>
      </c>
      <c r="P130" s="234">
        <f ca="1">OFFSET($A$1,MATCH(Z125,$A:$A,0)-1,O130)</f>
        <v>18.992999999999999</v>
      </c>
      <c r="Q130" s="144" t="s">
        <v>29</v>
      </c>
      <c r="R130" s="118">
        <f t="shared" ca="1" si="30"/>
        <v>235459</v>
      </c>
      <c r="S130" s="118">
        <f t="shared" ca="1" si="30"/>
        <v>4472072</v>
      </c>
      <c r="T130" s="118">
        <f ca="1">초급</f>
        <v>235459</v>
      </c>
      <c r="U130" s="118">
        <f t="shared" ca="1" si="31"/>
        <v>4472072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319" t="s">
        <v>42</v>
      </c>
      <c r="O131" s="174">
        <v>8</v>
      </c>
      <c r="P131" s="235">
        <f ca="1">OFFSET($A$1,MATCH(Z125,$A:$A,0)-1,O131)</f>
        <v>20.576000000000001</v>
      </c>
      <c r="Q131" s="322" t="s">
        <v>29</v>
      </c>
      <c r="R131" s="323">
        <f t="shared" ca="1" si="30"/>
        <v>250087</v>
      </c>
      <c r="S131" s="323">
        <f t="shared" ca="1" si="30"/>
        <v>5145790</v>
      </c>
      <c r="T131" s="323">
        <f ca="1">보조원</f>
        <v>250087</v>
      </c>
      <c r="U131" s="323">
        <f t="shared" ca="1" si="31"/>
        <v>5145790</v>
      </c>
      <c r="V131" s="323"/>
      <c r="W131" s="323"/>
      <c r="X131" s="323"/>
      <c r="Y131" s="323"/>
      <c r="Z131" s="324"/>
    </row>
    <row r="132" spans="11:29" ht="18" customHeight="1">
      <c r="K132" s="171" t="s">
        <v>14</v>
      </c>
      <c r="L132" s="171"/>
      <c r="M132" s="171"/>
      <c r="N132" s="139" t="s">
        <v>17</v>
      </c>
      <c r="O132" s="68"/>
      <c r="P132" s="69"/>
      <c r="Q132" s="70"/>
      <c r="R132" s="71"/>
      <c r="S132" s="71">
        <f ca="1">SUBTOTAL(9,S126:S131)</f>
        <v>13166191</v>
      </c>
      <c r="T132" s="71"/>
      <c r="U132" s="71">
        <f ca="1">SUBTOTAL(9,U126:U131)</f>
        <v>13166191</v>
      </c>
      <c r="V132" s="71"/>
      <c r="W132" s="71"/>
      <c r="X132" s="71"/>
      <c r="Y132" s="71"/>
      <c r="Z132" s="68"/>
    </row>
    <row r="133" spans="11:29" ht="18" customHeight="1">
      <c r="K133" s="171" t="s">
        <v>14</v>
      </c>
      <c r="L133" s="171"/>
      <c r="M133" s="171"/>
      <c r="N133" s="318" t="str">
        <f ca="1">"제 " &amp; Z133 &amp; " 호표  "&amp; OFFSET($A$1,MATCH(Z133,$A:$A,0)-1,1)</f>
        <v>제 12 호표  4.1 공청회/주민설명회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12</v>
      </c>
    </row>
    <row r="134" spans="11:29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219">
        <f ca="1">OFFSET($A$1,MATCH(Z133,$A:$A,0)-1,O134)</f>
        <v>2</v>
      </c>
      <c r="Q134" s="141" t="s">
        <v>29</v>
      </c>
      <c r="R134" s="142">
        <f t="shared" ref="R134:S139" ca="1" si="32">T134</f>
        <v>467217</v>
      </c>
      <c r="S134" s="142">
        <f t="shared" ca="1" si="32"/>
        <v>934434</v>
      </c>
      <c r="T134" s="142">
        <f ca="1">기술사</f>
        <v>467217</v>
      </c>
      <c r="U134" s="142">
        <f t="shared" ref="U134:U139" ca="1" si="33">ROUNDDOWN(P134*R134,0)</f>
        <v>934434</v>
      </c>
      <c r="V134" s="142"/>
      <c r="W134" s="142"/>
      <c r="X134" s="142"/>
      <c r="Y134" s="142"/>
      <c r="Z134" s="114"/>
      <c r="AA134" s="171"/>
    </row>
    <row r="135" spans="11:29" ht="18" customHeight="1">
      <c r="K135" s="171" t="s">
        <v>14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2</v>
      </c>
      <c r="Q135" s="144" t="s">
        <v>29</v>
      </c>
      <c r="R135" s="118">
        <f t="shared" ca="1" si="32"/>
        <v>373353</v>
      </c>
      <c r="S135" s="118">
        <f t="shared" ca="1" si="32"/>
        <v>746706</v>
      </c>
      <c r="T135" s="118">
        <f ca="1">특급</f>
        <v>373353</v>
      </c>
      <c r="U135" s="118">
        <f t="shared" ca="1" si="33"/>
        <v>746706</v>
      </c>
      <c r="V135" s="118"/>
      <c r="W135" s="118"/>
      <c r="X135" s="118"/>
      <c r="Y135" s="118"/>
      <c r="Z135" s="115"/>
      <c r="AA135" s="171"/>
    </row>
    <row r="136" spans="11:29" ht="18" customHeight="1">
      <c r="K136" s="171" t="s">
        <v>14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2</v>
      </c>
      <c r="Q136" s="144" t="s">
        <v>29</v>
      </c>
      <c r="R136" s="118">
        <f t="shared" ca="1" si="32"/>
        <v>310884</v>
      </c>
      <c r="S136" s="118">
        <f t="shared" ca="1" si="32"/>
        <v>621768</v>
      </c>
      <c r="T136" s="118">
        <f ca="1">고급</f>
        <v>310884</v>
      </c>
      <c r="U136" s="118">
        <f t="shared" ca="1" si="33"/>
        <v>621768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4</v>
      </c>
      <c r="Q137" s="144" t="s">
        <v>29</v>
      </c>
      <c r="R137" s="118">
        <f t="shared" ca="1" si="32"/>
        <v>295138</v>
      </c>
      <c r="S137" s="118">
        <f t="shared" ca="1" si="32"/>
        <v>1180552</v>
      </c>
      <c r="T137" s="118">
        <f ca="1">중급</f>
        <v>295138</v>
      </c>
      <c r="U137" s="118">
        <f t="shared" ca="1" si="33"/>
        <v>1180552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4</v>
      </c>
      <c r="Q138" s="144" t="s">
        <v>29</v>
      </c>
      <c r="R138" s="118">
        <f t="shared" ca="1" si="32"/>
        <v>235459</v>
      </c>
      <c r="S138" s="118">
        <f t="shared" ca="1" si="32"/>
        <v>941836</v>
      </c>
      <c r="T138" s="118">
        <f ca="1">초급</f>
        <v>235459</v>
      </c>
      <c r="U138" s="118">
        <f t="shared" ca="1" si="33"/>
        <v>941836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4</v>
      </c>
      <c r="Q139" s="322" t="s">
        <v>29</v>
      </c>
      <c r="R139" s="323">
        <f t="shared" ca="1" si="32"/>
        <v>250087</v>
      </c>
      <c r="S139" s="323">
        <f t="shared" ca="1" si="32"/>
        <v>1000348</v>
      </c>
      <c r="T139" s="323">
        <f ca="1">보조원</f>
        <v>250087</v>
      </c>
      <c r="U139" s="323">
        <f t="shared" ca="1" si="33"/>
        <v>1000348</v>
      </c>
      <c r="V139" s="323"/>
      <c r="W139" s="323"/>
      <c r="X139" s="323"/>
      <c r="Y139" s="323"/>
      <c r="Z139" s="324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5425644</v>
      </c>
      <c r="T140" s="71"/>
      <c r="U140" s="71">
        <f ca="1">SUBTOTAL(9,U134:U139)</f>
        <v>5425644</v>
      </c>
      <c r="V140" s="71"/>
      <c r="W140" s="71"/>
      <c r="X140" s="71"/>
      <c r="Y140" s="71"/>
      <c r="Z140" s="68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13 호표  4.2 주민간담회/시민계획단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13</v>
      </c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2</v>
      </c>
      <c r="Q142" s="141" t="s">
        <v>29</v>
      </c>
      <c r="R142" s="142">
        <f t="shared" ref="R142:S147" ca="1" si="34">T142</f>
        <v>467217</v>
      </c>
      <c r="S142" s="142">
        <f t="shared" ca="1" si="34"/>
        <v>934434</v>
      </c>
      <c r="T142" s="142">
        <f ca="1">기술사</f>
        <v>467217</v>
      </c>
      <c r="U142" s="142">
        <f t="shared" ref="U142:U147" ca="1" si="35">ROUNDDOWN(P142*R142,0)</f>
        <v>934434</v>
      </c>
      <c r="V142" s="142"/>
      <c r="W142" s="142"/>
      <c r="X142" s="142"/>
      <c r="Y142" s="142"/>
      <c r="Z142" s="114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2</v>
      </c>
      <c r="Q143" s="144" t="s">
        <v>29</v>
      </c>
      <c r="R143" s="118">
        <f t="shared" ca="1" si="34"/>
        <v>373353</v>
      </c>
      <c r="S143" s="118">
        <f t="shared" ca="1" si="34"/>
        <v>746706</v>
      </c>
      <c r="T143" s="118">
        <f ca="1">특급</f>
        <v>373353</v>
      </c>
      <c r="U143" s="118">
        <f t="shared" ca="1" si="35"/>
        <v>746706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2</v>
      </c>
      <c r="Q144" s="144" t="s">
        <v>29</v>
      </c>
      <c r="R144" s="118">
        <f t="shared" ca="1" si="34"/>
        <v>310884</v>
      </c>
      <c r="S144" s="118">
        <f t="shared" ca="1" si="34"/>
        <v>621768</v>
      </c>
      <c r="T144" s="118">
        <f ca="1">고급</f>
        <v>310884</v>
      </c>
      <c r="U144" s="118">
        <f t="shared" ca="1" si="35"/>
        <v>621768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4</v>
      </c>
      <c r="Q145" s="144" t="s">
        <v>29</v>
      </c>
      <c r="R145" s="118">
        <f t="shared" ca="1" si="34"/>
        <v>295138</v>
      </c>
      <c r="S145" s="118">
        <f t="shared" ca="1" si="34"/>
        <v>1180552</v>
      </c>
      <c r="T145" s="118">
        <f ca="1">중급</f>
        <v>295138</v>
      </c>
      <c r="U145" s="118">
        <f t="shared" ca="1" si="35"/>
        <v>1180552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4</v>
      </c>
      <c r="Q146" s="144" t="s">
        <v>29</v>
      </c>
      <c r="R146" s="118">
        <f t="shared" ca="1" si="34"/>
        <v>235459</v>
      </c>
      <c r="S146" s="118">
        <f t="shared" ca="1" si="34"/>
        <v>941836</v>
      </c>
      <c r="T146" s="118">
        <f ca="1">초급</f>
        <v>235459</v>
      </c>
      <c r="U146" s="118">
        <f t="shared" ca="1" si="35"/>
        <v>941836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4</v>
      </c>
      <c r="Q147" s="322" t="s">
        <v>29</v>
      </c>
      <c r="R147" s="323">
        <f t="shared" ca="1" si="34"/>
        <v>250087</v>
      </c>
      <c r="S147" s="323">
        <f t="shared" ca="1" si="34"/>
        <v>1000348</v>
      </c>
      <c r="T147" s="323">
        <f ca="1">보조원</f>
        <v>250087</v>
      </c>
      <c r="U147" s="323">
        <f t="shared" ca="1" si="35"/>
        <v>1000348</v>
      </c>
      <c r="V147" s="323"/>
      <c r="W147" s="323"/>
      <c r="X147" s="323"/>
      <c r="Y147" s="323"/>
      <c r="Z147" s="324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5425644</v>
      </c>
      <c r="T148" s="71"/>
      <c r="U148" s="71">
        <f ca="1">SUBTOTAL(9,U142:U147)</f>
        <v>5425644</v>
      </c>
      <c r="V148" s="71"/>
      <c r="W148" s="71"/>
      <c r="X148" s="71"/>
      <c r="Y148" s="71"/>
      <c r="Z148" s="68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14 호표  4.3 위원회심의 지원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14</v>
      </c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2</v>
      </c>
      <c r="Q150" s="141" t="s">
        <v>29</v>
      </c>
      <c r="R150" s="142">
        <f t="shared" ref="R150:S155" ca="1" si="36">T150</f>
        <v>467217</v>
      </c>
      <c r="S150" s="142">
        <f t="shared" ca="1" si="36"/>
        <v>934434</v>
      </c>
      <c r="T150" s="142">
        <f ca="1">기술사</f>
        <v>467217</v>
      </c>
      <c r="U150" s="142">
        <f t="shared" ref="U150:U155" ca="1" si="37">ROUNDDOWN(P150*R150,0)</f>
        <v>934434</v>
      </c>
      <c r="V150" s="142"/>
      <c r="W150" s="142"/>
      <c r="X150" s="142"/>
      <c r="Y150" s="142"/>
      <c r="Z150" s="11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2</v>
      </c>
      <c r="Q151" s="144" t="s">
        <v>29</v>
      </c>
      <c r="R151" s="118">
        <f t="shared" ca="1" si="36"/>
        <v>373353</v>
      </c>
      <c r="S151" s="118">
        <f t="shared" ca="1" si="36"/>
        <v>746706</v>
      </c>
      <c r="T151" s="118">
        <f ca="1">특급</f>
        <v>373353</v>
      </c>
      <c r="U151" s="118">
        <f t="shared" ca="1" si="37"/>
        <v>746706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2</v>
      </c>
      <c r="Q152" s="144" t="s">
        <v>29</v>
      </c>
      <c r="R152" s="118">
        <f t="shared" ca="1" si="36"/>
        <v>310884</v>
      </c>
      <c r="S152" s="118">
        <f t="shared" ca="1" si="36"/>
        <v>621768</v>
      </c>
      <c r="T152" s="118">
        <f ca="1">고급</f>
        <v>310884</v>
      </c>
      <c r="U152" s="118">
        <f t="shared" ca="1" si="37"/>
        <v>621768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4</v>
      </c>
      <c r="Q153" s="144" t="s">
        <v>29</v>
      </c>
      <c r="R153" s="118">
        <f t="shared" ca="1" si="36"/>
        <v>295138</v>
      </c>
      <c r="S153" s="118">
        <f t="shared" ca="1" si="36"/>
        <v>1180552</v>
      </c>
      <c r="T153" s="118">
        <f ca="1">중급</f>
        <v>295138</v>
      </c>
      <c r="U153" s="118">
        <f t="shared" ca="1" si="37"/>
        <v>1180552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4</v>
      </c>
      <c r="Q154" s="144" t="s">
        <v>29</v>
      </c>
      <c r="R154" s="118">
        <f t="shared" ca="1" si="36"/>
        <v>235459</v>
      </c>
      <c r="S154" s="118">
        <f t="shared" ca="1" si="36"/>
        <v>941836</v>
      </c>
      <c r="T154" s="118">
        <f ca="1">초급</f>
        <v>235459</v>
      </c>
      <c r="U154" s="118">
        <f t="shared" ca="1" si="37"/>
        <v>941836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4</v>
      </c>
      <c r="Q155" s="322" t="s">
        <v>29</v>
      </c>
      <c r="R155" s="323">
        <f t="shared" ca="1" si="36"/>
        <v>250087</v>
      </c>
      <c r="S155" s="323">
        <f t="shared" ca="1" si="36"/>
        <v>1000348</v>
      </c>
      <c r="T155" s="323">
        <f ca="1">보조원</f>
        <v>250087</v>
      </c>
      <c r="U155" s="323">
        <f t="shared" ca="1" si="37"/>
        <v>1000348</v>
      </c>
      <c r="V155" s="323"/>
      <c r="W155" s="323"/>
      <c r="X155" s="323"/>
      <c r="Y155" s="323"/>
      <c r="Z155" s="324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5425644</v>
      </c>
      <c r="T156" s="71"/>
      <c r="U156" s="71">
        <f ca="1">SUBTOTAL(9,U150:U155)</f>
        <v>5425644</v>
      </c>
      <c r="V156" s="71"/>
      <c r="W156" s="71"/>
      <c r="X156" s="71"/>
      <c r="Y156" s="71"/>
      <c r="Z156" s="68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15 호표  4.4 관계기관 협의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15</v>
      </c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2</v>
      </c>
      <c r="Q158" s="141" t="s">
        <v>29</v>
      </c>
      <c r="R158" s="142">
        <f t="shared" ref="R158:S163" ca="1" si="38">T158</f>
        <v>467217</v>
      </c>
      <c r="S158" s="142">
        <f t="shared" ca="1" si="38"/>
        <v>934434</v>
      </c>
      <c r="T158" s="142">
        <f ca="1">기술사</f>
        <v>467217</v>
      </c>
      <c r="U158" s="142">
        <f t="shared" ref="U158:U163" ca="1" si="39">ROUNDDOWN(P158*R158,0)</f>
        <v>934434</v>
      </c>
      <c r="V158" s="142"/>
      <c r="W158" s="142"/>
      <c r="X158" s="142"/>
      <c r="Y158" s="142"/>
      <c r="Z158" s="11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2</v>
      </c>
      <c r="Q159" s="144" t="s">
        <v>29</v>
      </c>
      <c r="R159" s="118">
        <f t="shared" ca="1" si="38"/>
        <v>373353</v>
      </c>
      <c r="S159" s="118">
        <f t="shared" ca="1" si="38"/>
        <v>746706</v>
      </c>
      <c r="T159" s="118">
        <f ca="1">특급</f>
        <v>373353</v>
      </c>
      <c r="U159" s="118">
        <f t="shared" ca="1" si="39"/>
        <v>746706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2</v>
      </c>
      <c r="Q160" s="144" t="s">
        <v>29</v>
      </c>
      <c r="R160" s="118">
        <f t="shared" ca="1" si="38"/>
        <v>310884</v>
      </c>
      <c r="S160" s="118">
        <f t="shared" ca="1" si="38"/>
        <v>621768</v>
      </c>
      <c r="T160" s="118">
        <f ca="1">고급</f>
        <v>310884</v>
      </c>
      <c r="U160" s="118">
        <f t="shared" ca="1" si="39"/>
        <v>621768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4</v>
      </c>
      <c r="Q161" s="144" t="s">
        <v>29</v>
      </c>
      <c r="R161" s="118">
        <f t="shared" ca="1" si="38"/>
        <v>295138</v>
      </c>
      <c r="S161" s="118">
        <f t="shared" ca="1" si="38"/>
        <v>1180552</v>
      </c>
      <c r="T161" s="118">
        <f ca="1">중급</f>
        <v>295138</v>
      </c>
      <c r="U161" s="118">
        <f t="shared" ca="1" si="39"/>
        <v>1180552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4</v>
      </c>
      <c r="Q162" s="144" t="s">
        <v>29</v>
      </c>
      <c r="R162" s="118">
        <f t="shared" ca="1" si="38"/>
        <v>235459</v>
      </c>
      <c r="S162" s="118">
        <f t="shared" ca="1" si="38"/>
        <v>941836</v>
      </c>
      <c r="T162" s="118">
        <f ca="1">초급</f>
        <v>235459</v>
      </c>
      <c r="U162" s="118">
        <f t="shared" ca="1" si="39"/>
        <v>941836</v>
      </c>
      <c r="V162" s="118"/>
      <c r="W162" s="118"/>
      <c r="X162" s="118"/>
      <c r="Y162" s="118"/>
      <c r="Z162" s="115"/>
      <c r="AB162" s="171"/>
      <c r="AC162" s="171"/>
    </row>
    <row r="163" spans="11:29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4</v>
      </c>
      <c r="Q163" s="322" t="s">
        <v>29</v>
      </c>
      <c r="R163" s="323">
        <f t="shared" ca="1" si="38"/>
        <v>250087</v>
      </c>
      <c r="S163" s="323">
        <f t="shared" ca="1" si="38"/>
        <v>1000348</v>
      </c>
      <c r="T163" s="323">
        <f ca="1">보조원</f>
        <v>250087</v>
      </c>
      <c r="U163" s="323">
        <f t="shared" ca="1" si="39"/>
        <v>1000348</v>
      </c>
      <c r="V163" s="323"/>
      <c r="W163" s="323"/>
      <c r="X163" s="323"/>
      <c r="Y163" s="323"/>
      <c r="Z163" s="324"/>
      <c r="AB163" s="171"/>
      <c r="AC163" s="171"/>
    </row>
    <row r="164" spans="11:29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5425644</v>
      </c>
      <c r="T164" s="71"/>
      <c r="U164" s="71">
        <f ca="1">SUBTOTAL(9,U158:U163)</f>
        <v>5425644</v>
      </c>
      <c r="V164" s="71"/>
      <c r="W164" s="71"/>
      <c r="X164" s="71"/>
      <c r="Y164" s="71"/>
      <c r="Z164" s="68"/>
    </row>
    <row r="165" spans="11:29" ht="18" customHeight="1">
      <c r="K165" s="171" t="s">
        <v>14</v>
      </c>
      <c r="L165" s="171"/>
      <c r="M165" s="171"/>
      <c r="N165" s="171"/>
      <c r="O165" s="171"/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</row>
    <row r="166" spans="11:29" ht="18" customHeight="1">
      <c r="K166" s="171" t="s">
        <v>14</v>
      </c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1:29" ht="18" customHeight="1">
      <c r="K167" s="171" t="s">
        <v>14</v>
      </c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1:29" ht="18" customHeight="1">
      <c r="K168" s="171" t="s">
        <v>14</v>
      </c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1:29" ht="18" customHeight="1">
      <c r="K169" s="171" t="s">
        <v>14</v>
      </c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1:29" ht="18" customHeight="1">
      <c r="K170" s="171" t="s">
        <v>14</v>
      </c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1:29" ht="18" customHeight="1">
      <c r="K171" s="171" t="s">
        <v>14</v>
      </c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1:29" ht="18" customHeight="1">
      <c r="K172" s="171" t="s">
        <v>14</v>
      </c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1:29" ht="18" customHeight="1">
      <c r="K173" s="171" t="s">
        <v>14</v>
      </c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1:29" ht="18" customHeight="1">
      <c r="K174" s="171" t="s">
        <v>14</v>
      </c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1:29" ht="18" customHeight="1">
      <c r="K175" s="171" t="s">
        <v>14</v>
      </c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1:29" ht="18" customHeight="1">
      <c r="K176" s="171" t="s">
        <v>14</v>
      </c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1:26" ht="18" customHeight="1">
      <c r="K177" s="171" t="s">
        <v>14</v>
      </c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1:26" ht="18" customHeight="1">
      <c r="K178" s="171" t="s">
        <v>14</v>
      </c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1:26" ht="18" customHeight="1">
      <c r="K179" s="171" t="s">
        <v>14</v>
      </c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1:26" ht="18" customHeight="1">
      <c r="K180" s="171" t="s">
        <v>14</v>
      </c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1:26" ht="18" customHeight="1">
      <c r="K181" s="171" t="s">
        <v>14</v>
      </c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1:26" ht="18" customHeight="1">
      <c r="K182" s="171" t="s">
        <v>14</v>
      </c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1:26" ht="18" customHeight="1">
      <c r="K183" s="171" t="s">
        <v>14</v>
      </c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1:26" ht="18" customHeight="1">
      <c r="K184" s="171" t="s">
        <v>14</v>
      </c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1:26" ht="18" customHeight="1">
      <c r="K185" s="171" t="s">
        <v>14</v>
      </c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1:26" ht="18" customHeight="1">
      <c r="K186" s="171" t="s">
        <v>14</v>
      </c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1:26" ht="18" customHeight="1">
      <c r="K187" s="171" t="s">
        <v>14</v>
      </c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1:26" ht="18" customHeight="1">
      <c r="K188" s="171" t="s">
        <v>14</v>
      </c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1:26" ht="18" customHeight="1">
      <c r="K189" s="171" t="s">
        <v>14</v>
      </c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1:26" ht="18" customHeight="1">
      <c r="K190" s="171" t="s">
        <v>14</v>
      </c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1:26" ht="18" customHeight="1">
      <c r="K191" s="171" t="s">
        <v>14</v>
      </c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1:26" ht="18" customHeight="1">
      <c r="K192" s="171" t="s">
        <v>14</v>
      </c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L607" s="171"/>
      <c r="M607" s="171"/>
    </row>
    <row r="608" spans="11:13" ht="18" customHeight="1"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</sheetData>
  <mergeCells count="20">
    <mergeCell ref="N43:N44"/>
    <mergeCell ref="O43:O44"/>
    <mergeCell ref="P43:P44"/>
    <mergeCell ref="Q43:Q44"/>
    <mergeCell ref="Z43:Z44"/>
    <mergeCell ref="J47:J51"/>
    <mergeCell ref="B11:C12"/>
    <mergeCell ref="J11:J12"/>
    <mergeCell ref="L11:L12"/>
    <mergeCell ref="B18:C18"/>
    <mergeCell ref="B38:C38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3:V32">
    <cfRule type="cellIs" dxfId="68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9154" r:id="rId4" name="Group Box 2">
              <controlPr defaultSize="0" autoFill="0" autoPict="0">
                <anchor moveWithCells="1" sizeWithCells="1">
                  <from>
                    <xdr:col>10</xdr:col>
                    <xdr:colOff>66675</xdr:colOff>
                    <xdr:row>0</xdr:row>
                    <xdr:rowOff>95250</xdr:rowOff>
                  </from>
                  <to>
                    <xdr:col>12</xdr:col>
                    <xdr:colOff>238125</xdr:colOff>
                    <xdr:row>5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6" r:id="rId5" name="Option Button 4">
              <controlPr defaultSize="0" autoFill="0" autoLine="0" autoPict="0">
                <anchor moveWithCells="1" sizeWithCells="1">
                  <from>
                    <xdr:col>10</xdr:col>
                    <xdr:colOff>180975</xdr:colOff>
                    <xdr:row>0</xdr:row>
                    <xdr:rowOff>285750</xdr:rowOff>
                  </from>
                  <to>
                    <xdr:col>12</xdr:col>
                    <xdr:colOff>114300</xdr:colOff>
                    <xdr:row>2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9157" r:id="rId6" name="Option Button 5">
              <controlPr defaultSize="0" autoFill="0" autoLine="0" autoPict="0">
                <anchor moveWithCells="1" sizeWithCells="1">
                  <from>
                    <xdr:col>10</xdr:col>
                    <xdr:colOff>180975</xdr:colOff>
                    <xdr:row>2</xdr:row>
                    <xdr:rowOff>123825</xdr:rowOff>
                  </from>
                  <to>
                    <xdr:col>12</xdr:col>
                    <xdr:colOff>114300</xdr:colOff>
                    <xdr:row>4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rgb="FFFFC000"/>
    <pageSetUpPr fitToPage="1"/>
  </sheetPr>
  <dimension ref="A1:AC744"/>
  <sheetViews>
    <sheetView showGridLines="0" zoomScale="85" zoomScaleNormal="85" zoomScaleSheetLayoutView="75" workbookViewId="0">
      <selection activeCell="I37" sqref="I37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67" style="1" customWidth="1"/>
    <col min="4" max="8" width="10.5" style="1" customWidth="1"/>
    <col min="9" max="9" width="12.8320312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681</v>
      </c>
    </row>
    <row r="2" spans="1:26" ht="19.5" thickBot="1">
      <c r="B2" s="66" t="s">
        <v>682</v>
      </c>
    </row>
    <row r="3" spans="1:26" ht="18" customHeight="1">
      <c r="B3" s="773" t="s">
        <v>683</v>
      </c>
      <c r="C3" s="774"/>
      <c r="D3" s="793">
        <v>50</v>
      </c>
      <c r="E3" s="794"/>
      <c r="F3" s="44" t="s">
        <v>684</v>
      </c>
      <c r="G3" s="767" t="s">
        <v>1104</v>
      </c>
      <c r="H3" s="768"/>
      <c r="I3" s="656">
        <v>2</v>
      </c>
      <c r="J3" s="669" t="s">
        <v>1105</v>
      </c>
    </row>
    <row r="4" spans="1:26" ht="18" customHeight="1">
      <c r="B4" s="777" t="s">
        <v>1329</v>
      </c>
      <c r="C4" s="778"/>
      <c r="D4" s="795">
        <v>50</v>
      </c>
      <c r="E4" s="796"/>
      <c r="F4" s="65" t="str">
        <f>F3</f>
        <v>㎢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685</v>
      </c>
      <c r="C5" s="782"/>
      <c r="D5" s="797">
        <f>ROUND((IF(D4&lt;10,10,IF(D4&gt;=100,100,D4))/D3)^0.5,3)</f>
        <v>1</v>
      </c>
      <c r="E5" s="798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1330</v>
      </c>
      <c r="C6" s="469"/>
      <c r="D6" s="36"/>
      <c r="E6" s="36"/>
      <c r="F6" s="36"/>
      <c r="G6" s="9" t="s">
        <v>1107</v>
      </c>
      <c r="H6" s="36"/>
    </row>
    <row r="7" spans="1:26" ht="18" customHeight="1">
      <c r="B7" s="1" t="s">
        <v>1335</v>
      </c>
      <c r="G7" s="36"/>
      <c r="W7" s="1"/>
      <c r="X7" s="1"/>
    </row>
    <row r="8" spans="1:26" ht="18" customHeight="1">
      <c r="C8" s="1" t="s">
        <v>1334</v>
      </c>
      <c r="G8" s="36"/>
      <c r="W8" s="1"/>
      <c r="X8" s="1"/>
    </row>
    <row r="9" spans="1:26" ht="18" customHeight="1">
      <c r="G9" s="36"/>
      <c r="W9" s="676"/>
      <c r="X9" s="676"/>
    </row>
    <row r="10" spans="1:26" ht="18" customHeight="1" thickBot="1">
      <c r="B10" s="66" t="s">
        <v>687</v>
      </c>
      <c r="C10" s="9"/>
      <c r="D10" s="468"/>
      <c r="E10" s="468"/>
      <c r="G10" s="36"/>
      <c r="N10" s="66" t="s">
        <v>688</v>
      </c>
      <c r="W10" s="188" t="s">
        <v>686</v>
      </c>
      <c r="X10" s="189"/>
    </row>
    <row r="11" spans="1:26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470"/>
      <c r="V11" s="470"/>
      <c r="W11" s="471">
        <f ca="1">SUBTOTAL(9,W12:W63)</f>
        <v>782692264</v>
      </c>
      <c r="X11" s="472"/>
      <c r="Y11" s="177"/>
      <c r="Z11" s="167"/>
    </row>
    <row r="12" spans="1:26" ht="18" customHeight="1">
      <c r="B12" s="757" t="s">
        <v>30</v>
      </c>
      <c r="C12" s="758"/>
      <c r="D12" s="14" t="s">
        <v>689</v>
      </c>
      <c r="E12" s="15"/>
      <c r="F12" s="15"/>
      <c r="G12" s="15"/>
      <c r="H12" s="15"/>
      <c r="I12" s="16"/>
      <c r="J12" s="761" t="s">
        <v>31</v>
      </c>
      <c r="L12" s="763" t="s">
        <v>690</v>
      </c>
      <c r="N12" s="127" t="s">
        <v>691</v>
      </c>
      <c r="O12" s="122"/>
      <c r="P12" s="122"/>
      <c r="Q12" s="123"/>
      <c r="R12" s="123"/>
      <c r="S12" s="123"/>
      <c r="T12" s="123"/>
      <c r="U12" s="473"/>
      <c r="V12" s="473"/>
      <c r="W12" s="474">
        <f ca="1">SUBTOTAL(9,W13:W60)</f>
        <v>283886320</v>
      </c>
      <c r="X12" s="475"/>
      <c r="Y12" s="178" t="s">
        <v>692</v>
      </c>
      <c r="Z12" s="179"/>
    </row>
    <row r="13" spans="1:26" ht="18" customHeight="1" thickBot="1">
      <c r="B13" s="759"/>
      <c r="C13" s="760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476"/>
      <c r="V13" s="477"/>
      <c r="W13" s="159">
        <f ca="1">SUBTOTAL(9,W14:W55)</f>
        <v>277886320</v>
      </c>
      <c r="X13" s="478"/>
      <c r="Y13" s="168"/>
      <c r="Z13" s="168"/>
    </row>
    <row r="14" spans="1:26" ht="18" customHeight="1">
      <c r="B14" s="225" t="s">
        <v>1290</v>
      </c>
      <c r="C14" s="72"/>
      <c r="D14" s="479">
        <f t="shared" ref="D14:I14" si="0">SUBTOTAL(9,D15:D24)</f>
        <v>3.9000000000000004</v>
      </c>
      <c r="E14" s="480">
        <f t="shared" si="0"/>
        <v>6.5</v>
      </c>
      <c r="F14" s="480">
        <f t="shared" si="0"/>
        <v>18.099999999999998</v>
      </c>
      <c r="G14" s="480">
        <f t="shared" si="0"/>
        <v>29.400000000000002</v>
      </c>
      <c r="H14" s="480">
        <f t="shared" si="0"/>
        <v>48</v>
      </c>
      <c r="I14" s="481">
        <f t="shared" si="0"/>
        <v>68.099999999999994</v>
      </c>
      <c r="J14" s="654"/>
      <c r="L14" s="482"/>
      <c r="N14" s="294" t="str">
        <f>B14</f>
        <v>1. 조사 및 분석</v>
      </c>
      <c r="O14" s="169"/>
      <c r="P14" s="169"/>
      <c r="Q14" s="169"/>
      <c r="R14" s="169"/>
      <c r="S14" s="169"/>
      <c r="T14" s="169"/>
      <c r="U14" s="484"/>
      <c r="V14" s="485"/>
      <c r="W14" s="486">
        <f ca="1">SUBTOTAL(9,W15:W24)</f>
        <v>46885932</v>
      </c>
      <c r="X14" s="487"/>
      <c r="Y14" s="170"/>
      <c r="Z14" s="170"/>
    </row>
    <row r="15" spans="1:26" ht="18" customHeight="1">
      <c r="B15" s="223" t="s">
        <v>1291</v>
      </c>
      <c r="C15" s="23"/>
      <c r="D15" s="488">
        <v>0.2</v>
      </c>
      <c r="E15" s="489">
        <v>0.3</v>
      </c>
      <c r="F15" s="489">
        <v>0.6</v>
      </c>
      <c r="G15" s="489">
        <v>0.9</v>
      </c>
      <c r="H15" s="489">
        <v>1.5</v>
      </c>
      <c r="I15" s="490">
        <v>1.8</v>
      </c>
      <c r="J15" s="389" t="s">
        <v>1324</v>
      </c>
      <c r="L15" s="494">
        <v>1</v>
      </c>
      <c r="N15" s="296" t="str">
        <f>B15</f>
        <v>1.1 스마트도시 관련 정책 및 계획</v>
      </c>
      <c r="O15" s="37"/>
      <c r="P15" s="37"/>
      <c r="Q15" s="37"/>
      <c r="R15" s="37"/>
      <c r="S15" s="37"/>
      <c r="T15" s="37"/>
      <c r="U15" s="484"/>
      <c r="V15" s="500"/>
      <c r="W15" s="501">
        <f t="array" aca="1" ref="W15" ca="1">SUM((ROUNDDOWN((D58:I58)*단가,0)))</f>
        <v>1460946</v>
      </c>
      <c r="X15" s="502"/>
      <c r="Y15" s="150" t="str">
        <f>IF(A58&gt;0, "제 " &amp;A58&amp; " 호표","")</f>
        <v>제 1 호표</v>
      </c>
      <c r="Z15" s="150"/>
    </row>
    <row r="16" spans="1:26" ht="18" customHeight="1">
      <c r="B16" s="223" t="s">
        <v>1292</v>
      </c>
      <c r="C16" s="23"/>
      <c r="D16" s="488">
        <v>0.2</v>
      </c>
      <c r="E16" s="489">
        <v>0.3</v>
      </c>
      <c r="F16" s="489">
        <v>0.6</v>
      </c>
      <c r="G16" s="489">
        <v>0.9</v>
      </c>
      <c r="H16" s="489">
        <v>1.5</v>
      </c>
      <c r="I16" s="490">
        <v>1.8</v>
      </c>
      <c r="J16" s="389" t="s">
        <v>1090</v>
      </c>
      <c r="L16" s="494">
        <v>1</v>
      </c>
      <c r="N16" s="296" t="str">
        <f t="shared" ref="N16:N51" si="1">B16</f>
        <v>1.2 관련계획 및 인구, 기반시설</v>
      </c>
      <c r="O16" s="37"/>
      <c r="P16" s="37"/>
      <c r="Q16" s="37"/>
      <c r="R16" s="37"/>
      <c r="S16" s="37"/>
      <c r="T16" s="37"/>
      <c r="U16" s="484"/>
      <c r="V16" s="500"/>
      <c r="W16" s="501">
        <f t="array" aca="1" ref="W16" ca="1">SUM((ROUNDDOWN((D59:I59)*단가,0)))</f>
        <v>1460946</v>
      </c>
      <c r="X16" s="502"/>
      <c r="Y16" s="150" t="str">
        <f t="shared" ref="Y16:Y55" si="2">IF(A59&gt;0, "제 " &amp;A59&amp; " 호표","")</f>
        <v>제 2 호표</v>
      </c>
      <c r="Z16" s="150"/>
    </row>
    <row r="17" spans="2:26" ht="18" customHeight="1">
      <c r="B17" s="223" t="s">
        <v>1293</v>
      </c>
      <c r="C17" s="23"/>
      <c r="D17" s="488">
        <v>0.2</v>
      </c>
      <c r="E17" s="489">
        <v>0.2</v>
      </c>
      <c r="F17" s="489">
        <v>0.5</v>
      </c>
      <c r="G17" s="489">
        <v>0.9</v>
      </c>
      <c r="H17" s="489">
        <v>1.3</v>
      </c>
      <c r="I17" s="490">
        <v>1.3</v>
      </c>
      <c r="J17" s="389" t="s">
        <v>1325</v>
      </c>
      <c r="L17" s="494">
        <v>1</v>
      </c>
      <c r="N17" s="296" t="str">
        <f t="shared" si="1"/>
        <v>1.3 스마트도시건설 및 정보화 관련 법령</v>
      </c>
      <c r="O17" s="37"/>
      <c r="P17" s="37"/>
      <c r="Q17" s="37"/>
      <c r="R17" s="37"/>
      <c r="S17" s="37"/>
      <c r="T17" s="37"/>
      <c r="U17" s="484"/>
      <c r="V17" s="500"/>
      <c r="W17" s="501">
        <f t="array" aca="1" ref="W17" ca="1">SUM((ROUNDDOWN((D60:I60)*단가,0)))</f>
        <v>1220388</v>
      </c>
      <c r="X17" s="502"/>
      <c r="Y17" s="150" t="str">
        <f t="shared" si="2"/>
        <v>제 3 호표</v>
      </c>
      <c r="Z17" s="150"/>
    </row>
    <row r="18" spans="2:26" ht="18" customHeight="1">
      <c r="B18" s="223" t="s">
        <v>1294</v>
      </c>
      <c r="C18" s="23"/>
      <c r="D18" s="488">
        <v>0.2</v>
      </c>
      <c r="E18" s="489">
        <v>0.2</v>
      </c>
      <c r="F18" s="489">
        <v>0.5</v>
      </c>
      <c r="G18" s="489">
        <v>0.9</v>
      </c>
      <c r="H18" s="489">
        <v>1.3</v>
      </c>
      <c r="I18" s="490">
        <v>1.3</v>
      </c>
      <c r="J18" s="389" t="s">
        <v>1090</v>
      </c>
      <c r="L18" s="494">
        <v>1</v>
      </c>
      <c r="N18" s="296" t="str">
        <f t="shared" si="1"/>
        <v>1.4 스마트도시 건설 및 정보통신 관련 기술</v>
      </c>
      <c r="O18" s="37"/>
      <c r="P18" s="37"/>
      <c r="Q18" s="37"/>
      <c r="R18" s="37"/>
      <c r="S18" s="37"/>
      <c r="T18" s="37"/>
      <c r="U18" s="484"/>
      <c r="V18" s="500"/>
      <c r="W18" s="501">
        <f t="array" aca="1" ref="W18" ca="1">SUM((ROUNDDOWN((D61:I61)*단가,0)))</f>
        <v>1220388</v>
      </c>
      <c r="X18" s="502"/>
      <c r="Y18" s="150" t="str">
        <f t="shared" si="2"/>
        <v>제 4 호표</v>
      </c>
      <c r="Z18" s="150"/>
    </row>
    <row r="19" spans="2:26" ht="18" customHeight="1">
      <c r="B19" s="223" t="s">
        <v>1295</v>
      </c>
      <c r="C19" s="23"/>
      <c r="D19" s="488">
        <v>0.8</v>
      </c>
      <c r="E19" s="489">
        <v>1.5</v>
      </c>
      <c r="F19" s="489">
        <v>4.5</v>
      </c>
      <c r="G19" s="489">
        <v>7.5</v>
      </c>
      <c r="H19" s="489">
        <v>12</v>
      </c>
      <c r="I19" s="490">
        <v>18.5</v>
      </c>
      <c r="J19" s="389" t="s">
        <v>1090</v>
      </c>
      <c r="L19" s="494">
        <v>1</v>
      </c>
      <c r="N19" s="296" t="str">
        <f t="shared" si="1"/>
        <v>1.5 스마트도시 정보시스템 현황</v>
      </c>
      <c r="O19" s="37"/>
      <c r="P19" s="37"/>
      <c r="Q19" s="37"/>
      <c r="R19" s="37"/>
      <c r="S19" s="37"/>
      <c r="T19" s="37"/>
      <c r="U19" s="484"/>
      <c r="V19" s="500"/>
      <c r="W19" s="501">
        <f t="array" aca="1" ref="W19" ca="1">SUM((ROUNDDOWN((D62:I62)*단가,0)))</f>
        <v>11998432</v>
      </c>
      <c r="X19" s="502"/>
      <c r="Y19" s="150" t="str">
        <f t="shared" si="2"/>
        <v>제 5 호표</v>
      </c>
      <c r="Z19" s="150"/>
    </row>
    <row r="20" spans="2:26" ht="18" customHeight="1">
      <c r="B20" s="223" t="s">
        <v>1296</v>
      </c>
      <c r="C20" s="23"/>
      <c r="D20" s="488">
        <v>0.8</v>
      </c>
      <c r="E20" s="489">
        <v>1.5</v>
      </c>
      <c r="F20" s="489">
        <v>4.5</v>
      </c>
      <c r="G20" s="489">
        <v>7.5</v>
      </c>
      <c r="H20" s="489">
        <v>12</v>
      </c>
      <c r="I20" s="490">
        <v>18.5</v>
      </c>
      <c r="J20" s="389" t="s">
        <v>1090</v>
      </c>
      <c r="L20" s="494">
        <v>1</v>
      </c>
      <c r="N20" s="296" t="str">
        <f t="shared" si="1"/>
        <v>1.6 스마트도시 공공시설, 정보통신망, 운영센터 구축 현황</v>
      </c>
      <c r="O20" s="37"/>
      <c r="P20" s="37"/>
      <c r="Q20" s="37"/>
      <c r="R20" s="37"/>
      <c r="S20" s="37"/>
      <c r="T20" s="37"/>
      <c r="U20" s="484"/>
      <c r="V20" s="500"/>
      <c r="W20" s="501">
        <f t="array" aca="1" ref="W20" ca="1">SUM((ROUNDDOWN((D63:I63)*단가,0)))</f>
        <v>11998432</v>
      </c>
      <c r="X20" s="502"/>
      <c r="Y20" s="150" t="str">
        <f t="shared" si="2"/>
        <v>제 6 호표</v>
      </c>
      <c r="Z20" s="150"/>
    </row>
    <row r="21" spans="2:26" ht="18" customHeight="1">
      <c r="B21" s="223" t="s">
        <v>1297</v>
      </c>
      <c r="C21" s="23"/>
      <c r="D21" s="488">
        <v>0.8</v>
      </c>
      <c r="E21" s="489">
        <v>1.5</v>
      </c>
      <c r="F21" s="489">
        <v>4.5</v>
      </c>
      <c r="G21" s="489">
        <v>7.5</v>
      </c>
      <c r="H21" s="489">
        <v>12</v>
      </c>
      <c r="I21" s="490">
        <v>18.5</v>
      </c>
      <c r="J21" s="389" t="s">
        <v>1090</v>
      </c>
      <c r="L21" s="494">
        <v>1</v>
      </c>
      <c r="N21" s="296" t="str">
        <f t="shared" si="1"/>
        <v>1.7 스마트도시 서비스 구축 및 운영 현황</v>
      </c>
      <c r="O21" s="37"/>
      <c r="P21" s="37"/>
      <c r="Q21" s="37"/>
      <c r="R21" s="37"/>
      <c r="S21" s="37"/>
      <c r="T21" s="37"/>
      <c r="U21" s="484"/>
      <c r="V21" s="500"/>
      <c r="W21" s="501">
        <f t="array" aca="1" ref="W21" ca="1">SUM((ROUNDDOWN((D64:I64)*단가,0)))</f>
        <v>11998432</v>
      </c>
      <c r="X21" s="502"/>
      <c r="Y21" s="150" t="str">
        <f t="shared" si="2"/>
        <v>제 7 호표</v>
      </c>
      <c r="Z21" s="150"/>
    </row>
    <row r="22" spans="2:26" ht="18" customHeight="1">
      <c r="B22" s="223" t="s">
        <v>1298</v>
      </c>
      <c r="C22" s="23"/>
      <c r="D22" s="488">
        <v>0.2</v>
      </c>
      <c r="E22" s="489">
        <v>0.2</v>
      </c>
      <c r="F22" s="489">
        <v>0.5</v>
      </c>
      <c r="G22" s="489">
        <v>0.9</v>
      </c>
      <c r="H22" s="489">
        <v>1.3</v>
      </c>
      <c r="I22" s="490">
        <v>1.3</v>
      </c>
      <c r="J22" s="389" t="s">
        <v>1090</v>
      </c>
      <c r="L22" s="494">
        <v>1</v>
      </c>
      <c r="N22" s="296" t="str">
        <f t="shared" si="1"/>
        <v>1.8 스마트도시 관련 조직 및 업무현황</v>
      </c>
      <c r="O22" s="37"/>
      <c r="P22" s="37"/>
      <c r="Q22" s="37"/>
      <c r="R22" s="37"/>
      <c r="S22" s="37"/>
      <c r="T22" s="37"/>
      <c r="U22" s="484"/>
      <c r="V22" s="500"/>
      <c r="W22" s="501">
        <f t="array" aca="1" ref="W22" ca="1">SUM((ROUNDDOWN((D65:I65)*단가,0)))</f>
        <v>1220388</v>
      </c>
      <c r="X22" s="502"/>
      <c r="Y22" s="150" t="str">
        <f t="shared" si="2"/>
        <v>제 8 호표</v>
      </c>
      <c r="Z22" s="150"/>
    </row>
    <row r="23" spans="2:26" ht="18" customHeight="1">
      <c r="B23" s="223" t="s">
        <v>1299</v>
      </c>
      <c r="C23" s="23"/>
      <c r="D23" s="488">
        <v>0.1</v>
      </c>
      <c r="E23" s="489">
        <v>0.2</v>
      </c>
      <c r="F23" s="489">
        <v>0.4</v>
      </c>
      <c r="G23" s="489">
        <v>0.6</v>
      </c>
      <c r="H23" s="489">
        <v>1</v>
      </c>
      <c r="I23" s="490">
        <v>1.3</v>
      </c>
      <c r="J23" s="389" t="s">
        <v>1090</v>
      </c>
      <c r="L23" s="494">
        <v>1</v>
      </c>
      <c r="N23" s="296" t="str">
        <f t="shared" si="1"/>
        <v>1.9 도시개발사업 추진 현황 및 향후 계획</v>
      </c>
      <c r="O23" s="37"/>
      <c r="P23" s="37"/>
      <c r="Q23" s="37"/>
      <c r="R23" s="37"/>
      <c r="S23" s="37"/>
      <c r="T23" s="37"/>
      <c r="U23" s="484"/>
      <c r="V23" s="500"/>
      <c r="W23" s="501">
        <f t="array" aca="1" ref="W23" ca="1">SUM((ROUNDDOWN((D66:I66)*단가,0)))</f>
        <v>983398</v>
      </c>
      <c r="X23" s="502"/>
      <c r="Y23" s="150" t="str">
        <f t="shared" si="2"/>
        <v>제 9 호표</v>
      </c>
      <c r="Z23" s="150"/>
    </row>
    <row r="24" spans="2:26" ht="18" customHeight="1">
      <c r="B24" s="224" t="s">
        <v>1300</v>
      </c>
      <c r="C24" s="27"/>
      <c r="D24" s="491">
        <v>0.4</v>
      </c>
      <c r="E24" s="492">
        <v>0.6</v>
      </c>
      <c r="F24" s="492">
        <v>1.5</v>
      </c>
      <c r="G24" s="492">
        <v>1.8</v>
      </c>
      <c r="H24" s="492">
        <v>4.0999999999999996</v>
      </c>
      <c r="I24" s="493">
        <v>3.8</v>
      </c>
      <c r="J24" s="389" t="s">
        <v>1090</v>
      </c>
      <c r="L24" s="494">
        <v>1</v>
      </c>
      <c r="N24" s="296" t="str">
        <f t="shared" si="1"/>
        <v>1.10 시민설문조사</v>
      </c>
      <c r="O24" s="37"/>
      <c r="P24" s="37"/>
      <c r="Q24" s="37"/>
      <c r="R24" s="37"/>
      <c r="S24" s="37"/>
      <c r="T24" s="37"/>
      <c r="U24" s="484"/>
      <c r="V24" s="500"/>
      <c r="W24" s="501">
        <f t="array" aca="1" ref="W24" ca="1">SUM((ROUNDDOWN((D67:I67)*단가,0)))</f>
        <v>3324182</v>
      </c>
      <c r="X24" s="502"/>
      <c r="Y24" s="150" t="str">
        <f t="shared" si="2"/>
        <v>제 10 호표</v>
      </c>
      <c r="Z24" s="150"/>
    </row>
    <row r="25" spans="2:26" ht="18" customHeight="1">
      <c r="B25" s="222" t="s">
        <v>693</v>
      </c>
      <c r="C25" s="47"/>
      <c r="D25" s="503">
        <f t="shared" ref="D25:I25" si="3">SUBTOTAL(9,D26:D28)</f>
        <v>3.3</v>
      </c>
      <c r="E25" s="504">
        <f t="shared" si="3"/>
        <v>5.0999999999999996</v>
      </c>
      <c r="F25" s="504">
        <f t="shared" si="3"/>
        <v>12.100000000000001</v>
      </c>
      <c r="G25" s="504">
        <f t="shared" si="3"/>
        <v>19.600000000000001</v>
      </c>
      <c r="H25" s="504">
        <f t="shared" si="3"/>
        <v>13.799999999999999</v>
      </c>
      <c r="I25" s="505">
        <f t="shared" si="3"/>
        <v>14.9</v>
      </c>
      <c r="J25" s="389"/>
      <c r="L25" s="494"/>
      <c r="N25" s="292" t="str">
        <f t="shared" si="1"/>
        <v>2. 계획의 목표 및 추진전략</v>
      </c>
      <c r="O25" s="37"/>
      <c r="P25" s="39"/>
      <c r="Q25" s="37"/>
      <c r="R25" s="117"/>
      <c r="S25" s="37"/>
      <c r="T25" s="37"/>
      <c r="U25" s="484"/>
      <c r="V25" s="500"/>
      <c r="W25" s="506">
        <f ca="1">SUBTOTAL(9,W26:W28)</f>
        <v>19967941</v>
      </c>
      <c r="X25" s="502"/>
      <c r="Y25" s="150" t="str">
        <f t="shared" si="2"/>
        <v/>
      </c>
      <c r="Z25" s="150"/>
    </row>
    <row r="26" spans="2:26" ht="18" customHeight="1">
      <c r="B26" s="223" t="s">
        <v>1301</v>
      </c>
      <c r="C26" s="23"/>
      <c r="D26" s="488">
        <v>0.7</v>
      </c>
      <c r="E26" s="489">
        <v>1.1000000000000001</v>
      </c>
      <c r="F26" s="489">
        <v>3.3</v>
      </c>
      <c r="G26" s="489">
        <v>5</v>
      </c>
      <c r="H26" s="489">
        <v>2.6</v>
      </c>
      <c r="I26" s="490">
        <v>2.7</v>
      </c>
      <c r="J26" s="389" t="s">
        <v>1090</v>
      </c>
      <c r="L26" s="494">
        <v>1</v>
      </c>
      <c r="N26" s="296" t="str">
        <f t="shared" si="1"/>
        <v>2.1 기본방향설정</v>
      </c>
      <c r="O26" s="37"/>
      <c r="P26" s="39"/>
      <c r="Q26" s="37"/>
      <c r="R26" s="117"/>
      <c r="S26" s="37"/>
      <c r="T26" s="37"/>
      <c r="U26" s="484"/>
      <c r="V26" s="500"/>
      <c r="W26" s="501">
        <f t="array" aca="1" ref="W26" ca="1">SUM((ROUNDDOWN((D69:I69)*단가,0)))</f>
        <v>4526773</v>
      </c>
      <c r="X26" s="502"/>
      <c r="Y26" s="150" t="str">
        <f t="shared" si="2"/>
        <v>제 11 호표</v>
      </c>
      <c r="Z26" s="150"/>
    </row>
    <row r="27" spans="2:26" ht="18" customHeight="1">
      <c r="B27" s="223" t="s">
        <v>1302</v>
      </c>
      <c r="C27" s="23"/>
      <c r="D27" s="488">
        <v>1.3</v>
      </c>
      <c r="E27" s="489">
        <v>2</v>
      </c>
      <c r="F27" s="489">
        <v>4.4000000000000004</v>
      </c>
      <c r="G27" s="489">
        <v>7.3</v>
      </c>
      <c r="H27" s="489">
        <v>5.6</v>
      </c>
      <c r="I27" s="490">
        <v>6.1</v>
      </c>
      <c r="J27" s="389" t="s">
        <v>1090</v>
      </c>
      <c r="L27" s="494">
        <v>1</v>
      </c>
      <c r="N27" s="296" t="str">
        <f t="shared" si="1"/>
        <v>2.2 계획의 목표 설정</v>
      </c>
      <c r="O27" s="37"/>
      <c r="P27" s="39"/>
      <c r="Q27" s="37"/>
      <c r="R27" s="117"/>
      <c r="S27" s="37"/>
      <c r="T27" s="37"/>
      <c r="U27" s="484"/>
      <c r="V27" s="500"/>
      <c r="W27" s="501">
        <f t="array" aca="1" ref="W27" ca="1">SUM((ROUNDDOWN((D70:I70)*단가,0)))</f>
        <v>7720584</v>
      </c>
      <c r="X27" s="502"/>
      <c r="Y27" s="150" t="str">
        <f t="shared" si="2"/>
        <v>제 12 호표</v>
      </c>
      <c r="Z27" s="150"/>
    </row>
    <row r="28" spans="2:26" ht="18" customHeight="1">
      <c r="B28" s="223" t="s">
        <v>1303</v>
      </c>
      <c r="C28" s="23"/>
      <c r="D28" s="488">
        <v>1.3</v>
      </c>
      <c r="E28" s="489">
        <v>2</v>
      </c>
      <c r="F28" s="489">
        <v>4.4000000000000004</v>
      </c>
      <c r="G28" s="489">
        <v>7.3</v>
      </c>
      <c r="H28" s="489">
        <v>5.6</v>
      </c>
      <c r="I28" s="490">
        <v>6.1</v>
      </c>
      <c r="J28" s="389" t="s">
        <v>1090</v>
      </c>
      <c r="L28" s="494">
        <v>1</v>
      </c>
      <c r="N28" s="296" t="str">
        <f t="shared" si="1"/>
        <v>2.3 계획지표설정</v>
      </c>
      <c r="O28" s="37"/>
      <c r="P28" s="39"/>
      <c r="Q28" s="37"/>
      <c r="R28" s="117"/>
      <c r="S28" s="37"/>
      <c r="T28" s="37"/>
      <c r="U28" s="484"/>
      <c r="V28" s="500"/>
      <c r="W28" s="501">
        <f t="array" aca="1" ref="W28" ca="1">SUM((ROUNDDOWN((D71:I71)*단가,0)))</f>
        <v>7720584</v>
      </c>
      <c r="X28" s="502"/>
      <c r="Y28" s="150" t="str">
        <f t="shared" si="2"/>
        <v>제 13 호표</v>
      </c>
      <c r="Z28" s="150"/>
    </row>
    <row r="29" spans="2:26" ht="18" customHeight="1">
      <c r="B29" s="222" t="s">
        <v>447</v>
      </c>
      <c r="C29" s="47"/>
      <c r="D29" s="503">
        <f t="shared" ref="D29:I29" si="4">SUBTOTAL(9,D30:D39)</f>
        <v>9.8999999999999986</v>
      </c>
      <c r="E29" s="504">
        <f t="shared" si="4"/>
        <v>15.7</v>
      </c>
      <c r="F29" s="504">
        <f t="shared" si="4"/>
        <v>47.2</v>
      </c>
      <c r="G29" s="504">
        <f t="shared" si="4"/>
        <v>71</v>
      </c>
      <c r="H29" s="504">
        <f t="shared" si="4"/>
        <v>77.800000000000011</v>
      </c>
      <c r="I29" s="504">
        <f t="shared" si="4"/>
        <v>85.499999999999986</v>
      </c>
      <c r="J29" s="389"/>
      <c r="L29" s="494"/>
      <c r="N29" s="292" t="str">
        <f t="shared" si="1"/>
        <v>3. 부문별 계획</v>
      </c>
      <c r="O29" s="37"/>
      <c r="P29" s="39"/>
      <c r="Q29" s="37"/>
      <c r="R29" s="117"/>
      <c r="S29" s="37"/>
      <c r="T29" s="37"/>
      <c r="U29" s="484"/>
      <c r="V29" s="500"/>
      <c r="W29" s="506">
        <f ca="1">SUBTOTAL(9,W30:W39)</f>
        <v>85816738</v>
      </c>
      <c r="X29" s="502"/>
      <c r="Y29" s="150" t="str">
        <f t="shared" si="2"/>
        <v/>
      </c>
      <c r="Z29" s="150"/>
    </row>
    <row r="30" spans="2:26" ht="18" customHeight="1">
      <c r="B30" s="223" t="s">
        <v>1304</v>
      </c>
      <c r="C30" s="23"/>
      <c r="D30" s="538">
        <v>1.7</v>
      </c>
      <c r="E30" s="539">
        <v>2.7</v>
      </c>
      <c r="F30" s="539">
        <v>8.6</v>
      </c>
      <c r="G30" s="539">
        <v>11.2</v>
      </c>
      <c r="H30" s="539">
        <v>12.4</v>
      </c>
      <c r="I30" s="540">
        <v>13</v>
      </c>
      <c r="J30" s="389" t="s">
        <v>1090</v>
      </c>
      <c r="L30" s="494">
        <v>1</v>
      </c>
      <c r="N30" s="296" t="str">
        <f t="shared" si="1"/>
        <v>3.1 스마트도시 공공시설 구축계획</v>
      </c>
      <c r="O30" s="37"/>
      <c r="P30" s="39"/>
      <c r="Q30" s="37"/>
      <c r="R30" s="117"/>
      <c r="S30" s="37"/>
      <c r="T30" s="37"/>
      <c r="U30" s="484"/>
      <c r="V30" s="500"/>
      <c r="W30" s="501">
        <f t="array" aca="1" ref="W30" ca="1">SUM((ROUNDDOWN((D73:I73)*단가,0)))</f>
        <v>13952290</v>
      </c>
      <c r="X30" s="502"/>
      <c r="Y30" s="150" t="str">
        <f t="shared" si="2"/>
        <v>제 14 호표</v>
      </c>
      <c r="Z30" s="150"/>
    </row>
    <row r="31" spans="2:26" ht="18" customHeight="1">
      <c r="B31" s="223" t="s">
        <v>1305</v>
      </c>
      <c r="C31" s="23"/>
      <c r="D31" s="538">
        <v>1.1000000000000001</v>
      </c>
      <c r="E31" s="539">
        <v>1.7</v>
      </c>
      <c r="F31" s="539">
        <v>5.3</v>
      </c>
      <c r="G31" s="539">
        <v>7.5</v>
      </c>
      <c r="H31" s="539">
        <v>8.1</v>
      </c>
      <c r="I31" s="540">
        <v>11.7</v>
      </c>
      <c r="J31" s="389" t="s">
        <v>1090</v>
      </c>
      <c r="L31" s="494">
        <v>1</v>
      </c>
      <c r="N31" s="296" t="str">
        <f t="shared" si="1"/>
        <v>3.2 정보통신망 구축계획</v>
      </c>
      <c r="O31" s="37"/>
      <c r="P31" s="39"/>
      <c r="Q31" s="37"/>
      <c r="R31" s="117"/>
      <c r="S31" s="37"/>
      <c r="T31" s="37"/>
      <c r="U31" s="484"/>
      <c r="V31" s="500"/>
      <c r="W31" s="501">
        <f t="array" aca="1" ref="W31" ca="1">SUM((ROUNDDOWN((D74:I74)*단가,0)))</f>
        <v>9843092</v>
      </c>
      <c r="X31" s="502"/>
      <c r="Y31" s="150" t="str">
        <f t="shared" si="2"/>
        <v>제 15 호표</v>
      </c>
      <c r="Z31" s="150"/>
    </row>
    <row r="32" spans="2:26" ht="18" customHeight="1">
      <c r="B32" s="223" t="s">
        <v>1306</v>
      </c>
      <c r="C32" s="23"/>
      <c r="D32" s="538">
        <v>0.7</v>
      </c>
      <c r="E32" s="539">
        <v>1.1000000000000001</v>
      </c>
      <c r="F32" s="539">
        <v>3</v>
      </c>
      <c r="G32" s="539">
        <v>6</v>
      </c>
      <c r="H32" s="539">
        <v>6.4</v>
      </c>
      <c r="I32" s="540">
        <v>6.3</v>
      </c>
      <c r="J32" s="389" t="s">
        <v>1090</v>
      </c>
      <c r="L32" s="494">
        <v>1</v>
      </c>
      <c r="N32" s="296" t="str">
        <f t="shared" si="1"/>
        <v>3.3 스마트도시 운영센터 구축계획</v>
      </c>
      <c r="O32" s="37"/>
      <c r="P32" s="39"/>
      <c r="Q32" s="37"/>
      <c r="R32" s="117"/>
      <c r="S32" s="37"/>
      <c r="T32" s="37"/>
      <c r="U32" s="484"/>
      <c r="V32" s="500"/>
      <c r="W32" s="501">
        <f t="array" aca="1" ref="W32" ca="1">SUM((ROUNDDOWN((D75:I75)*단가,0)))</f>
        <v>6523704</v>
      </c>
      <c r="X32" s="502"/>
      <c r="Y32" s="150" t="str">
        <f t="shared" si="2"/>
        <v>제 16 호표</v>
      </c>
      <c r="Z32" s="150"/>
    </row>
    <row r="33" spans="2:26" ht="18" customHeight="1">
      <c r="B33" s="223" t="s">
        <v>1307</v>
      </c>
      <c r="C33" s="23"/>
      <c r="D33" s="538">
        <v>1.7</v>
      </c>
      <c r="E33" s="539">
        <v>2.7</v>
      </c>
      <c r="F33" s="539">
        <v>8.6</v>
      </c>
      <c r="G33" s="539">
        <v>11.2</v>
      </c>
      <c r="H33" s="539">
        <v>12.4</v>
      </c>
      <c r="I33" s="540">
        <v>13</v>
      </c>
      <c r="J33" s="389" t="s">
        <v>1090</v>
      </c>
      <c r="L33" s="494">
        <v>1</v>
      </c>
      <c r="N33" s="296" t="str">
        <f t="shared" si="1"/>
        <v>3.4 스마트도시 기반시설 계획</v>
      </c>
      <c r="O33" s="37"/>
      <c r="P33" s="39"/>
      <c r="Q33" s="37"/>
      <c r="R33" s="117"/>
      <c r="S33" s="37"/>
      <c r="T33" s="37"/>
      <c r="U33" s="484"/>
      <c r="V33" s="500"/>
      <c r="W33" s="501">
        <f t="array" aca="1" ref="W33" ca="1">SUM((ROUNDDOWN((D76:I76)*단가,0)))</f>
        <v>13952290</v>
      </c>
      <c r="X33" s="502"/>
      <c r="Y33" s="150" t="str">
        <f t="shared" si="2"/>
        <v>제 17 호표</v>
      </c>
      <c r="Z33" s="150"/>
    </row>
    <row r="34" spans="2:26" ht="18" customHeight="1">
      <c r="B34" s="223" t="s">
        <v>1308</v>
      </c>
      <c r="C34" s="23"/>
      <c r="D34" s="538">
        <v>0.7</v>
      </c>
      <c r="E34" s="539">
        <v>1.1000000000000001</v>
      </c>
      <c r="F34" s="539">
        <v>3</v>
      </c>
      <c r="G34" s="539">
        <v>6</v>
      </c>
      <c r="H34" s="539">
        <v>6.4</v>
      </c>
      <c r="I34" s="540">
        <v>6.3</v>
      </c>
      <c r="J34" s="389" t="s">
        <v>1090</v>
      </c>
      <c r="L34" s="494">
        <v>1</v>
      </c>
      <c r="N34" s="296" t="str">
        <f t="shared" si="1"/>
        <v>3.5 정보시스템의 공동 활용 및 연계 계획</v>
      </c>
      <c r="O34" s="37"/>
      <c r="P34" s="39"/>
      <c r="Q34" s="37"/>
      <c r="R34" s="117"/>
      <c r="S34" s="37"/>
      <c r="T34" s="37"/>
      <c r="U34" s="484"/>
      <c r="V34" s="500"/>
      <c r="W34" s="501">
        <f t="array" aca="1" ref="W34" ca="1">SUM((ROUNDDOWN((D77:I77)*단가,0)))</f>
        <v>6523704</v>
      </c>
      <c r="X34" s="502"/>
      <c r="Y34" s="150" t="str">
        <f t="shared" si="2"/>
        <v>제 18 호표</v>
      </c>
      <c r="Z34" s="150"/>
    </row>
    <row r="35" spans="2:26" ht="18" customHeight="1">
      <c r="B35" s="223" t="s">
        <v>1309</v>
      </c>
      <c r="C35" s="23"/>
      <c r="D35" s="538">
        <v>0.7</v>
      </c>
      <c r="E35" s="539">
        <v>1.2</v>
      </c>
      <c r="F35" s="539">
        <v>3.5</v>
      </c>
      <c r="G35" s="539">
        <v>5</v>
      </c>
      <c r="H35" s="539">
        <v>5.4</v>
      </c>
      <c r="I35" s="540">
        <v>7.8</v>
      </c>
      <c r="J35" s="389" t="s">
        <v>1090</v>
      </c>
      <c r="L35" s="494">
        <v>1</v>
      </c>
      <c r="N35" s="296" t="str">
        <f t="shared" si="1"/>
        <v>3.6 지역산업의 육성 및 진흥 계획</v>
      </c>
      <c r="O35" s="37"/>
      <c r="P35" s="39"/>
      <c r="Q35" s="37"/>
      <c r="R35" s="117"/>
      <c r="S35" s="37"/>
      <c r="T35" s="37"/>
      <c r="U35" s="484"/>
      <c r="V35" s="500"/>
      <c r="W35" s="501">
        <f t="array" aca="1" ref="W35" ca="1">SUM((ROUNDDOWN((D78:I78)*단가,0)))</f>
        <v>6561014</v>
      </c>
      <c r="X35" s="502"/>
      <c r="Y35" s="150" t="str">
        <f t="shared" si="2"/>
        <v>제 19 호표</v>
      </c>
      <c r="Z35" s="150"/>
    </row>
    <row r="36" spans="2:26" ht="18" customHeight="1">
      <c r="B36" s="223" t="s">
        <v>1310</v>
      </c>
      <c r="C36" s="23"/>
      <c r="D36" s="538">
        <v>0.2</v>
      </c>
      <c r="E36" s="539">
        <v>0.3</v>
      </c>
      <c r="F36" s="539">
        <v>0.6</v>
      </c>
      <c r="G36" s="539">
        <v>0.9</v>
      </c>
      <c r="H36" s="539">
        <v>1.5</v>
      </c>
      <c r="I36" s="540">
        <v>1.8</v>
      </c>
      <c r="J36" s="389" t="s">
        <v>1090</v>
      </c>
      <c r="L36" s="494">
        <v>1</v>
      </c>
      <c r="N36" s="296" t="str">
        <f t="shared" si="1"/>
        <v>3.7 유관기관 및 관련계획의 연계성 확보계획</v>
      </c>
      <c r="O36" s="37"/>
      <c r="P36" s="39"/>
      <c r="Q36" s="37"/>
      <c r="R36" s="117"/>
      <c r="S36" s="37"/>
      <c r="T36" s="37"/>
      <c r="U36" s="484"/>
      <c r="V36" s="500"/>
      <c r="W36" s="501">
        <f t="array" aca="1" ref="W36" ca="1">SUM((ROUNDDOWN((D79:I79)*단가,0)))</f>
        <v>1460946</v>
      </c>
      <c r="X36" s="502"/>
      <c r="Y36" s="150" t="str">
        <f t="shared" si="2"/>
        <v>제 20 호표</v>
      </c>
      <c r="Z36" s="150"/>
    </row>
    <row r="37" spans="2:26" ht="18" customHeight="1">
      <c r="B37" s="223" t="s">
        <v>1311</v>
      </c>
      <c r="C37" s="23"/>
      <c r="D37" s="538">
        <v>1.7</v>
      </c>
      <c r="E37" s="539">
        <v>2.7</v>
      </c>
      <c r="F37" s="539">
        <v>8.6</v>
      </c>
      <c r="G37" s="539">
        <v>11.2</v>
      </c>
      <c r="H37" s="539">
        <v>12.4</v>
      </c>
      <c r="I37" s="540">
        <v>13</v>
      </c>
      <c r="J37" s="389" t="s">
        <v>1090</v>
      </c>
      <c r="L37" s="494">
        <v>1</v>
      </c>
      <c r="N37" s="296" t="str">
        <f t="shared" si="1"/>
        <v>3.8 개인정보 보호 및 기반시설 보호에 관한 계획</v>
      </c>
      <c r="O37" s="37"/>
      <c r="P37" s="39"/>
      <c r="Q37" s="37"/>
      <c r="R37" s="117"/>
      <c r="S37" s="37"/>
      <c r="T37" s="37"/>
      <c r="U37" s="484"/>
      <c r="V37" s="500"/>
      <c r="W37" s="501">
        <f t="array" aca="1" ref="W37" ca="1">SUM((ROUNDDOWN((D80:I80)*단가,0)))</f>
        <v>13952290</v>
      </c>
      <c r="X37" s="502"/>
      <c r="Y37" s="150" t="str">
        <f t="shared" si="2"/>
        <v>제 21 호표</v>
      </c>
      <c r="Z37" s="150"/>
    </row>
    <row r="38" spans="2:26" ht="18" customHeight="1">
      <c r="B38" s="223" t="s">
        <v>1312</v>
      </c>
      <c r="C38" s="23"/>
      <c r="D38" s="538">
        <v>0.7</v>
      </c>
      <c r="E38" s="539">
        <v>1.1000000000000001</v>
      </c>
      <c r="F38" s="539">
        <v>3</v>
      </c>
      <c r="G38" s="539">
        <v>6</v>
      </c>
      <c r="H38" s="539">
        <v>6.4</v>
      </c>
      <c r="I38" s="540">
        <v>6.3</v>
      </c>
      <c r="J38" s="389" t="s">
        <v>1090</v>
      </c>
      <c r="L38" s="494">
        <v>1</v>
      </c>
      <c r="N38" s="296" t="str">
        <f t="shared" si="1"/>
        <v>3.9 도시정보의 생산·수집·가공·활용·유통계획</v>
      </c>
      <c r="O38" s="37"/>
      <c r="P38" s="39"/>
      <c r="Q38" s="37"/>
      <c r="R38" s="117"/>
      <c r="S38" s="37"/>
      <c r="T38" s="37"/>
      <c r="U38" s="484"/>
      <c r="V38" s="500"/>
      <c r="W38" s="501">
        <f t="array" aca="1" ref="W38" ca="1">SUM((ROUNDDOWN((D81:I81)*단가,0)))</f>
        <v>6523704</v>
      </c>
      <c r="X38" s="502"/>
      <c r="Y38" s="150" t="str">
        <f t="shared" si="2"/>
        <v>제 22 호표</v>
      </c>
      <c r="Z38" s="150"/>
    </row>
    <row r="39" spans="2:26" ht="18" customHeight="1">
      <c r="B39" s="223" t="s">
        <v>1313</v>
      </c>
      <c r="C39" s="23"/>
      <c r="D39" s="488">
        <v>0.7</v>
      </c>
      <c r="E39" s="489">
        <v>1.1000000000000001</v>
      </c>
      <c r="F39" s="489">
        <v>3</v>
      </c>
      <c r="G39" s="489">
        <v>6</v>
      </c>
      <c r="H39" s="489">
        <v>6.4</v>
      </c>
      <c r="I39" s="490">
        <v>6.3</v>
      </c>
      <c r="J39" s="389" t="s">
        <v>1090</v>
      </c>
      <c r="L39" s="494">
        <v>1</v>
      </c>
      <c r="N39" s="296" t="str">
        <f t="shared" si="1"/>
        <v>3.10 기반시설 관리·운영계획</v>
      </c>
      <c r="O39" s="37"/>
      <c r="P39" s="39"/>
      <c r="Q39" s="37"/>
      <c r="R39" s="117"/>
      <c r="S39" s="37"/>
      <c r="T39" s="37"/>
      <c r="U39" s="484"/>
      <c r="V39" s="500"/>
      <c r="W39" s="501">
        <f t="array" aca="1" ref="W39" ca="1">SUM((ROUNDDOWN((D82:I82)*단가,0)))</f>
        <v>6523704</v>
      </c>
      <c r="X39" s="502"/>
      <c r="Y39" s="150" t="str">
        <f t="shared" si="2"/>
        <v>제 23 호표</v>
      </c>
      <c r="Z39" s="150"/>
    </row>
    <row r="40" spans="2:26" ht="18" customHeight="1">
      <c r="B40" s="222" t="s">
        <v>1314</v>
      </c>
      <c r="C40" s="47"/>
      <c r="D40" s="503">
        <f t="shared" ref="D40:I40" si="5">SUBTOTAL(9,D41:D42)</f>
        <v>9.8000000000000007</v>
      </c>
      <c r="E40" s="504">
        <f t="shared" si="5"/>
        <v>15.6</v>
      </c>
      <c r="F40" s="504">
        <f t="shared" si="5"/>
        <v>46.8</v>
      </c>
      <c r="G40" s="504">
        <f t="shared" si="5"/>
        <v>70.8</v>
      </c>
      <c r="H40" s="504">
        <f t="shared" si="5"/>
        <v>77.8</v>
      </c>
      <c r="I40" s="505">
        <f t="shared" si="5"/>
        <v>85.6</v>
      </c>
      <c r="J40" s="389"/>
      <c r="L40" s="494"/>
      <c r="N40" s="292" t="str">
        <f t="shared" si="1"/>
        <v>4. 도시서비스 계획</v>
      </c>
      <c r="O40" s="37"/>
      <c r="P40" s="39"/>
      <c r="Q40" s="37"/>
      <c r="R40" s="117"/>
      <c r="S40" s="37"/>
      <c r="T40" s="37"/>
      <c r="U40" s="484"/>
      <c r="V40" s="500"/>
      <c r="W40" s="506">
        <f ca="1">SUBTOTAL(9,W41:W42)</f>
        <v>85574328</v>
      </c>
      <c r="X40" s="502"/>
      <c r="Y40" s="150" t="str">
        <f t="shared" si="2"/>
        <v/>
      </c>
      <c r="Z40" s="150"/>
    </row>
    <row r="41" spans="2:26" ht="18" customHeight="1">
      <c r="B41" s="223" t="s">
        <v>1315</v>
      </c>
      <c r="C41" s="23"/>
      <c r="D41" s="488">
        <v>4.9000000000000004</v>
      </c>
      <c r="E41" s="489">
        <v>7.8</v>
      </c>
      <c r="F41" s="489">
        <v>23.4</v>
      </c>
      <c r="G41" s="489">
        <v>35.4</v>
      </c>
      <c r="H41" s="489">
        <v>38.9</v>
      </c>
      <c r="I41" s="490">
        <v>42.8</v>
      </c>
      <c r="J41" s="389" t="s">
        <v>1090</v>
      </c>
      <c r="L41" s="494">
        <v>1</v>
      </c>
      <c r="N41" s="296" t="str">
        <f t="shared" si="1"/>
        <v>4.1 기본 서비스 계획</v>
      </c>
      <c r="O41" s="37"/>
      <c r="P41" s="39"/>
      <c r="Q41" s="37"/>
      <c r="R41" s="117"/>
      <c r="S41" s="37"/>
      <c r="T41" s="37"/>
      <c r="U41" s="484"/>
      <c r="V41" s="500"/>
      <c r="W41" s="501">
        <f t="array" aca="1" ref="W41" ca="1">SUM((ROUNDDOWN((D84:I84)*단가,0)))</f>
        <v>42787164</v>
      </c>
      <c r="X41" s="502"/>
      <c r="Y41" s="150" t="str">
        <f t="shared" si="2"/>
        <v>제 24 호표</v>
      </c>
      <c r="Z41" s="150"/>
    </row>
    <row r="42" spans="2:26" ht="18" customHeight="1">
      <c r="B42" s="223" t="s">
        <v>1316</v>
      </c>
      <c r="C42" s="23"/>
      <c r="D42" s="488">
        <v>4.9000000000000004</v>
      </c>
      <c r="E42" s="489">
        <v>7.8</v>
      </c>
      <c r="F42" s="489">
        <v>23.4</v>
      </c>
      <c r="G42" s="489">
        <v>35.4</v>
      </c>
      <c r="H42" s="489">
        <v>38.9</v>
      </c>
      <c r="I42" s="490">
        <v>42.8</v>
      </c>
      <c r="J42" s="389" t="s">
        <v>1090</v>
      </c>
      <c r="L42" s="494">
        <v>1</v>
      </c>
      <c r="N42" s="296" t="str">
        <f t="shared" si="1"/>
        <v>4.2 특화 서비스 계획</v>
      </c>
      <c r="O42" s="37"/>
      <c r="P42" s="39"/>
      <c r="Q42" s="37"/>
      <c r="R42" s="117"/>
      <c r="S42" s="37"/>
      <c r="T42" s="37"/>
      <c r="U42" s="484"/>
      <c r="V42" s="500"/>
      <c r="W42" s="501">
        <f t="array" aca="1" ref="W42" ca="1">SUM((ROUNDDOWN((D85:I85)*단가,0)))</f>
        <v>42787164</v>
      </c>
      <c r="X42" s="502"/>
      <c r="Y42" s="150" t="str">
        <f t="shared" si="2"/>
        <v>제 25 호표</v>
      </c>
      <c r="Z42" s="150"/>
    </row>
    <row r="43" spans="2:26" ht="18" customHeight="1">
      <c r="B43" s="222" t="s">
        <v>694</v>
      </c>
      <c r="C43" s="47"/>
      <c r="D43" s="503">
        <f t="shared" ref="D43:I43" si="6">SUBTOTAL(9,D44:D48)</f>
        <v>1.9</v>
      </c>
      <c r="E43" s="504">
        <f t="shared" si="6"/>
        <v>2.9000000000000004</v>
      </c>
      <c r="F43" s="504">
        <f t="shared" si="6"/>
        <v>7.8</v>
      </c>
      <c r="G43" s="504">
        <f t="shared" si="6"/>
        <v>12</v>
      </c>
      <c r="H43" s="504">
        <f t="shared" si="6"/>
        <v>15.8</v>
      </c>
      <c r="I43" s="505">
        <f t="shared" si="6"/>
        <v>12.100000000000001</v>
      </c>
      <c r="J43" s="389"/>
      <c r="L43" s="494"/>
      <c r="N43" s="292" t="str">
        <f t="shared" si="1"/>
        <v>5. 계획추진방안</v>
      </c>
      <c r="O43" s="37"/>
      <c r="P43" s="39"/>
      <c r="Q43" s="37"/>
      <c r="R43" s="117"/>
      <c r="S43" s="37"/>
      <c r="T43" s="37"/>
      <c r="U43" s="484"/>
      <c r="V43" s="500"/>
      <c r="W43" s="506">
        <f ca="1">SUBTOTAL(9,W44:W48)</f>
        <v>14683277</v>
      </c>
      <c r="X43" s="502"/>
      <c r="Y43" s="150" t="str">
        <f t="shared" si="2"/>
        <v/>
      </c>
      <c r="Z43" s="150"/>
    </row>
    <row r="44" spans="2:26" ht="18" customHeight="1">
      <c r="B44" s="223" t="s">
        <v>1132</v>
      </c>
      <c r="C44" s="23"/>
      <c r="D44" s="488">
        <v>0.3</v>
      </c>
      <c r="E44" s="489">
        <v>0.5</v>
      </c>
      <c r="F44" s="489">
        <v>1.7</v>
      </c>
      <c r="G44" s="489">
        <v>2.2999999999999998</v>
      </c>
      <c r="H44" s="489">
        <v>3.3</v>
      </c>
      <c r="I44" s="490">
        <v>2.4</v>
      </c>
      <c r="J44" s="389" t="s">
        <v>1090</v>
      </c>
      <c r="L44" s="494">
        <v>1</v>
      </c>
      <c r="N44" s="296" t="str">
        <f t="shared" si="1"/>
        <v>5.1 단계별추진계획</v>
      </c>
      <c r="O44" s="37"/>
      <c r="P44" s="39"/>
      <c r="Q44" s="37"/>
      <c r="R44" s="117"/>
      <c r="S44" s="37"/>
      <c r="T44" s="37"/>
      <c r="U44" s="484"/>
      <c r="V44" s="500"/>
      <c r="W44" s="501">
        <f t="array" aca="1" ref="W44" ca="1">SUM((ROUNDDOWN((D87:I87)*단가,0)))</f>
        <v>2911382</v>
      </c>
      <c r="X44" s="502"/>
      <c r="Y44" s="150" t="str">
        <f t="shared" si="2"/>
        <v>제 26 호표</v>
      </c>
      <c r="Z44" s="150"/>
    </row>
    <row r="45" spans="2:26" ht="18" customHeight="1">
      <c r="B45" s="223" t="s">
        <v>1317</v>
      </c>
      <c r="C45" s="23"/>
      <c r="D45" s="488">
        <v>0.3</v>
      </c>
      <c r="E45" s="489">
        <v>0.5</v>
      </c>
      <c r="F45" s="489">
        <v>1.7</v>
      </c>
      <c r="G45" s="489">
        <v>2.2999999999999998</v>
      </c>
      <c r="H45" s="489">
        <v>3.3</v>
      </c>
      <c r="I45" s="490">
        <v>2.4</v>
      </c>
      <c r="J45" s="389" t="s">
        <v>1090</v>
      </c>
      <c r="L45" s="494">
        <v>1</v>
      </c>
      <c r="N45" s="296" t="str">
        <f t="shared" si="1"/>
        <v>5.2 스마트도시건설사업 추진체계 설정</v>
      </c>
      <c r="O45" s="37"/>
      <c r="P45" s="39"/>
      <c r="Q45" s="37"/>
      <c r="R45" s="117"/>
      <c r="S45" s="37"/>
      <c r="T45" s="37"/>
      <c r="U45" s="484"/>
      <c r="V45" s="500"/>
      <c r="W45" s="501">
        <f t="array" aca="1" ref="W45" ca="1">SUM((ROUNDDOWN((D88:I88)*단가,0)))</f>
        <v>2911382</v>
      </c>
      <c r="X45" s="502"/>
      <c r="Y45" s="150" t="str">
        <f t="shared" si="2"/>
        <v>제 27 호표</v>
      </c>
      <c r="Z45" s="150"/>
    </row>
    <row r="46" spans="2:26" ht="18" customHeight="1">
      <c r="B46" s="223" t="s">
        <v>1318</v>
      </c>
      <c r="C46" s="23"/>
      <c r="D46" s="488">
        <v>0.4</v>
      </c>
      <c r="E46" s="489">
        <v>0.6</v>
      </c>
      <c r="F46" s="489">
        <v>0.9</v>
      </c>
      <c r="G46" s="489">
        <v>1.4</v>
      </c>
      <c r="H46" s="489">
        <v>2.2000000000000002</v>
      </c>
      <c r="I46" s="490">
        <v>1.6</v>
      </c>
      <c r="J46" s="389" t="s">
        <v>1090</v>
      </c>
      <c r="L46" s="494">
        <v>1</v>
      </c>
      <c r="M46" s="171"/>
      <c r="N46" s="296" t="str">
        <f t="shared" si="1"/>
        <v>5.3 관계 행정기관간 역할분담 및 협력 계획</v>
      </c>
      <c r="O46" s="37"/>
      <c r="P46" s="39"/>
      <c r="Q46" s="37"/>
      <c r="R46" s="117"/>
      <c r="S46" s="37"/>
      <c r="T46" s="37"/>
      <c r="U46" s="484"/>
      <c r="V46" s="500"/>
      <c r="W46" s="501">
        <f t="array" aca="1" ref="W46" ca="1">SUM((ROUNDDOWN((D89:I89)*단가,0)))</f>
        <v>2022033</v>
      </c>
      <c r="X46" s="502"/>
      <c r="Y46" s="150" t="str">
        <f t="shared" si="2"/>
        <v>제 28 호표</v>
      </c>
      <c r="Z46" s="150"/>
    </row>
    <row r="47" spans="2:26" ht="18" customHeight="1">
      <c r="B47" s="223" t="s">
        <v>1319</v>
      </c>
      <c r="C47" s="23"/>
      <c r="D47" s="488">
        <v>0.4</v>
      </c>
      <c r="E47" s="489">
        <v>0.5</v>
      </c>
      <c r="F47" s="489">
        <v>1.7</v>
      </c>
      <c r="G47" s="489">
        <v>2.5</v>
      </c>
      <c r="H47" s="489">
        <v>3.3</v>
      </c>
      <c r="I47" s="490">
        <v>2.4</v>
      </c>
      <c r="J47" s="389" t="s">
        <v>1090</v>
      </c>
      <c r="L47" s="494">
        <v>1</v>
      </c>
      <c r="M47" s="171"/>
      <c r="N47" s="296" t="str">
        <f t="shared" si="1"/>
        <v>5.4 기반시설의 조성 및 관리·운영계획</v>
      </c>
      <c r="O47" s="37"/>
      <c r="P47" s="39"/>
      <c r="Q47" s="37"/>
      <c r="R47" s="117"/>
      <c r="S47" s="37"/>
      <c r="T47" s="37"/>
      <c r="U47" s="484"/>
      <c r="V47" s="500"/>
      <c r="W47" s="501">
        <f t="array" aca="1" ref="W47" ca="1">SUM((ROUNDDOWN((D90:I90)*단가,0)))</f>
        <v>3017131</v>
      </c>
      <c r="X47" s="502"/>
      <c r="Y47" s="150" t="str">
        <f t="shared" si="2"/>
        <v>제 29 호표</v>
      </c>
      <c r="Z47" s="150"/>
    </row>
    <row r="48" spans="2:26" ht="18" customHeight="1">
      <c r="B48" s="223" t="s">
        <v>1320</v>
      </c>
      <c r="C48" s="23"/>
      <c r="D48" s="488">
        <v>0.5</v>
      </c>
      <c r="E48" s="489">
        <v>0.8</v>
      </c>
      <c r="F48" s="489">
        <v>1.8</v>
      </c>
      <c r="G48" s="489">
        <v>3.5</v>
      </c>
      <c r="H48" s="489">
        <v>3.7</v>
      </c>
      <c r="I48" s="490">
        <v>3.3</v>
      </c>
      <c r="J48" s="389" t="s">
        <v>1090</v>
      </c>
      <c r="L48" s="494">
        <v>1</v>
      </c>
      <c r="M48" s="171"/>
      <c r="N48" s="296" t="str">
        <f t="shared" si="1"/>
        <v>5.5 재원조달 및 운영계획</v>
      </c>
      <c r="O48" s="37"/>
      <c r="P48" s="39"/>
      <c r="Q48" s="37"/>
      <c r="R48" s="117"/>
      <c r="S48" s="37"/>
      <c r="T48" s="37"/>
      <c r="U48" s="484"/>
      <c r="V48" s="500"/>
      <c r="W48" s="501">
        <f t="array" aca="1" ref="W48" ca="1">SUM((ROUNDDOWN((D91:I91)*단가,0)))</f>
        <v>3821349</v>
      </c>
      <c r="X48" s="502"/>
      <c r="Y48" s="150" t="str">
        <f t="shared" si="2"/>
        <v>제 30 호표</v>
      </c>
      <c r="Z48" s="150"/>
    </row>
    <row r="49" spans="1:26" ht="18" customHeight="1">
      <c r="B49" s="222" t="s">
        <v>117</v>
      </c>
      <c r="C49" s="47"/>
      <c r="D49" s="503">
        <f t="shared" ref="D49:I49" si="7">SUBTOTAL(9,D50:D51)</f>
        <v>1.5</v>
      </c>
      <c r="E49" s="504">
        <f t="shared" si="7"/>
        <v>2.4000000000000004</v>
      </c>
      <c r="F49" s="504">
        <f t="shared" si="7"/>
        <v>5.9</v>
      </c>
      <c r="G49" s="504">
        <f t="shared" si="7"/>
        <v>11.100000000000001</v>
      </c>
      <c r="H49" s="504">
        <f t="shared" si="7"/>
        <v>19.899999999999999</v>
      </c>
      <c r="I49" s="505">
        <f t="shared" si="7"/>
        <v>21.7</v>
      </c>
      <c r="J49" s="389"/>
      <c r="L49" s="494"/>
      <c r="M49" s="171"/>
      <c r="N49" s="292" t="str">
        <f t="shared" si="1"/>
        <v>6. 성과품작성</v>
      </c>
      <c r="O49" s="37"/>
      <c r="P49" s="39"/>
      <c r="Q49" s="37"/>
      <c r="R49" s="117"/>
      <c r="S49" s="37"/>
      <c r="T49" s="37"/>
      <c r="U49" s="484"/>
      <c r="V49" s="500"/>
      <c r="W49" s="506">
        <f ca="1">SUBTOTAL(9,W50:W51)</f>
        <v>16819638</v>
      </c>
      <c r="X49" s="502"/>
      <c r="Y49" s="150" t="str">
        <f t="shared" si="2"/>
        <v/>
      </c>
      <c r="Z49" s="150"/>
    </row>
    <row r="50" spans="1:26" ht="18" customHeight="1">
      <c r="B50" s="223" t="s">
        <v>1321</v>
      </c>
      <c r="C50" s="23"/>
      <c r="D50" s="488">
        <v>1</v>
      </c>
      <c r="E50" s="489">
        <v>1.6</v>
      </c>
      <c r="F50" s="489">
        <v>3.9</v>
      </c>
      <c r="G50" s="489">
        <v>7.4</v>
      </c>
      <c r="H50" s="489">
        <v>8</v>
      </c>
      <c r="I50" s="490">
        <v>8.6999999999999993</v>
      </c>
      <c r="J50" s="389" t="s">
        <v>1090</v>
      </c>
      <c r="L50" s="494">
        <v>1</v>
      </c>
      <c r="M50" s="171"/>
      <c r="N50" s="296" t="str">
        <f t="shared" si="1"/>
        <v>6.1 보고서작성 및 편집</v>
      </c>
      <c r="O50" s="37"/>
      <c r="P50" s="39"/>
      <c r="Q50" s="37"/>
      <c r="R50" s="117"/>
      <c r="S50" s="37"/>
      <c r="T50" s="37"/>
      <c r="U50" s="484"/>
      <c r="V50" s="500"/>
      <c r="W50" s="501">
        <f t="array" aca="1" ref="W50" ca="1">SUM((ROUNDDOWN((D93:I93)*단가,0)))</f>
        <v>8520477</v>
      </c>
      <c r="X50" s="502"/>
      <c r="Y50" s="150" t="str">
        <f t="shared" si="2"/>
        <v>제 31 호표</v>
      </c>
      <c r="Z50" s="150"/>
    </row>
    <row r="51" spans="1:26" ht="18" customHeight="1">
      <c r="B51" s="259" t="s">
        <v>1136</v>
      </c>
      <c r="C51" s="43"/>
      <c r="D51" s="491">
        <v>0.5</v>
      </c>
      <c r="E51" s="492">
        <v>0.8</v>
      </c>
      <c r="F51" s="492">
        <v>2</v>
      </c>
      <c r="G51" s="492">
        <v>3.7</v>
      </c>
      <c r="H51" s="492">
        <v>11.9</v>
      </c>
      <c r="I51" s="493">
        <v>13</v>
      </c>
      <c r="J51" s="389" t="s">
        <v>1090</v>
      </c>
      <c r="L51" s="494">
        <v>1</v>
      </c>
      <c r="M51" s="171"/>
      <c r="N51" s="296" t="str">
        <f t="shared" si="1"/>
        <v>6.2 관련도서작성</v>
      </c>
      <c r="O51" s="37"/>
      <c r="P51" s="39"/>
      <c r="Q51" s="37"/>
      <c r="R51" s="117"/>
      <c r="S51" s="37"/>
      <c r="T51" s="37"/>
      <c r="U51" s="484"/>
      <c r="V51" s="500"/>
      <c r="W51" s="501">
        <f t="array" aca="1" ref="W51" ca="1">SUM((ROUNDDOWN((D94:I94)*단가,0)))</f>
        <v>8299161</v>
      </c>
      <c r="X51" s="502"/>
      <c r="Y51" s="150" t="str">
        <f t="shared" si="2"/>
        <v>제 32 호표</v>
      </c>
      <c r="Z51" s="150"/>
    </row>
    <row r="52" spans="1:26" ht="18" customHeight="1">
      <c r="B52" s="222" t="s">
        <v>180</v>
      </c>
      <c r="C52" s="47"/>
      <c r="D52" s="503">
        <f t="shared" ref="D52:I52" si="8">SUBTOTAL(9,D53:D55)</f>
        <v>3</v>
      </c>
      <c r="E52" s="504">
        <f t="shared" si="8"/>
        <v>3</v>
      </c>
      <c r="F52" s="504">
        <f t="shared" si="8"/>
        <v>3</v>
      </c>
      <c r="G52" s="504">
        <f t="shared" si="8"/>
        <v>6</v>
      </c>
      <c r="H52" s="504">
        <f t="shared" si="8"/>
        <v>6</v>
      </c>
      <c r="I52" s="505">
        <f t="shared" si="8"/>
        <v>6</v>
      </c>
      <c r="J52" s="389"/>
      <c r="L52" s="494"/>
      <c r="M52" s="171"/>
      <c r="N52" s="292" t="str">
        <f>B52</f>
        <v>7. 기술협의</v>
      </c>
      <c r="O52" s="37"/>
      <c r="P52" s="39"/>
      <c r="Q52" s="37"/>
      <c r="R52" s="117"/>
      <c r="S52" s="37"/>
      <c r="T52" s="37"/>
      <c r="U52" s="484"/>
      <c r="V52" s="500"/>
      <c r="W52" s="506">
        <f ca="1">SUBTOTAL(9,W53:W55)</f>
        <v>8138466</v>
      </c>
      <c r="X52" s="502"/>
      <c r="Y52" s="150" t="str">
        <f t="shared" si="2"/>
        <v/>
      </c>
      <c r="Z52" s="150"/>
    </row>
    <row r="53" spans="1:26" ht="18" customHeight="1">
      <c r="B53" s="223" t="s">
        <v>1180</v>
      </c>
      <c r="C53" s="23"/>
      <c r="D53" s="488">
        <v>1</v>
      </c>
      <c r="E53" s="489">
        <v>1</v>
      </c>
      <c r="F53" s="489">
        <v>1</v>
      </c>
      <c r="G53" s="489">
        <v>2</v>
      </c>
      <c r="H53" s="489">
        <v>2</v>
      </c>
      <c r="I53" s="490">
        <v>2</v>
      </c>
      <c r="J53" s="389" t="s">
        <v>1326</v>
      </c>
      <c r="L53" s="494">
        <v>1</v>
      </c>
      <c r="M53" s="171"/>
      <c r="N53" s="296" t="str">
        <f>B53</f>
        <v>7.1 공청회/주민설명회</v>
      </c>
      <c r="O53" s="37"/>
      <c r="P53" s="39"/>
      <c r="Q53" s="37"/>
      <c r="R53" s="117"/>
      <c r="S53" s="37"/>
      <c r="T53" s="37"/>
      <c r="U53" s="484"/>
      <c r="V53" s="500"/>
      <c r="W53" s="501">
        <f t="array" aca="1" ref="W53" ca="1">SUM((ROUNDDOWN((D96:I96)*단가,0)))</f>
        <v>2712822</v>
      </c>
      <c r="X53" s="502"/>
      <c r="Y53" s="150" t="str">
        <f t="shared" si="2"/>
        <v>제 33 호표</v>
      </c>
      <c r="Z53" s="150"/>
    </row>
    <row r="54" spans="1:26" ht="18" customHeight="1">
      <c r="B54" s="223" t="s">
        <v>1322</v>
      </c>
      <c r="C54" s="23"/>
      <c r="D54" s="488">
        <v>1</v>
      </c>
      <c r="E54" s="489">
        <v>1</v>
      </c>
      <c r="F54" s="489">
        <v>1</v>
      </c>
      <c r="G54" s="489">
        <v>2</v>
      </c>
      <c r="H54" s="489">
        <v>2</v>
      </c>
      <c r="I54" s="490">
        <v>2</v>
      </c>
      <c r="J54" s="389" t="s">
        <v>1094</v>
      </c>
      <c r="L54" s="494">
        <v>1</v>
      </c>
      <c r="M54" s="171"/>
      <c r="N54" s="296" t="str">
        <f>B54</f>
        <v>7.2 위원회심의 지원</v>
      </c>
      <c r="O54" s="37"/>
      <c r="P54" s="39"/>
      <c r="Q54" s="37"/>
      <c r="R54" s="117"/>
      <c r="S54" s="37"/>
      <c r="T54" s="37"/>
      <c r="U54" s="484"/>
      <c r="V54" s="500"/>
      <c r="W54" s="501">
        <f t="array" aca="1" ref="W54" ca="1">SUM((ROUNDDOWN((D97:I97)*단가,0)))</f>
        <v>2712822</v>
      </c>
      <c r="X54" s="502"/>
      <c r="Y54" s="150" t="str">
        <f t="shared" si="2"/>
        <v>제 34 호표</v>
      </c>
      <c r="Z54" s="150"/>
    </row>
    <row r="55" spans="1:26" ht="18" customHeight="1" thickBot="1">
      <c r="B55" s="388" t="s">
        <v>1323</v>
      </c>
      <c r="C55" s="342"/>
      <c r="D55" s="535">
        <v>1</v>
      </c>
      <c r="E55" s="536">
        <v>1</v>
      </c>
      <c r="F55" s="536">
        <v>1</v>
      </c>
      <c r="G55" s="536">
        <v>2</v>
      </c>
      <c r="H55" s="536">
        <v>2</v>
      </c>
      <c r="I55" s="537">
        <v>2</v>
      </c>
      <c r="J55" s="612" t="s">
        <v>1094</v>
      </c>
      <c r="L55" s="494">
        <v>1</v>
      </c>
      <c r="M55" s="171"/>
      <c r="N55" s="296" t="str">
        <f>B55</f>
        <v>7.3 관계기관 협의</v>
      </c>
      <c r="O55" s="37"/>
      <c r="P55" s="39"/>
      <c r="Q55" s="37"/>
      <c r="R55" s="117"/>
      <c r="S55" s="37"/>
      <c r="T55" s="37"/>
      <c r="U55" s="484"/>
      <c r="V55" s="500"/>
      <c r="W55" s="501">
        <f t="array" aca="1" ref="W55" ca="1">SUM((ROUNDDOWN((D98:I98)*단가,0)))</f>
        <v>2712822</v>
      </c>
      <c r="X55" s="502"/>
      <c r="Y55" s="150" t="str">
        <f t="shared" si="2"/>
        <v>제 35 호표</v>
      </c>
      <c r="Z55" s="150"/>
    </row>
    <row r="56" spans="1:26" ht="18" customHeight="1" thickBot="1">
      <c r="B56" s="799" t="s">
        <v>30</v>
      </c>
      <c r="C56" s="761"/>
      <c r="D56" s="14" t="s">
        <v>695</v>
      </c>
      <c r="E56" s="15"/>
      <c r="F56" s="15"/>
      <c r="G56" s="15"/>
      <c r="H56" s="15"/>
      <c r="I56" s="16"/>
      <c r="J56" s="459" t="s">
        <v>31</v>
      </c>
      <c r="M56" s="171"/>
      <c r="N56" s="296"/>
      <c r="O56" s="37"/>
      <c r="P56" s="39"/>
      <c r="Q56" s="37"/>
      <c r="R56" s="117"/>
      <c r="S56" s="37"/>
      <c r="T56" s="37"/>
      <c r="U56" s="484"/>
      <c r="V56" s="500"/>
      <c r="W56" s="501"/>
      <c r="X56" s="502"/>
      <c r="Y56" s="150"/>
      <c r="Z56" s="150"/>
    </row>
    <row r="57" spans="1:26" ht="18" customHeight="1">
      <c r="B57" s="225" t="str">
        <f t="shared" ref="B57:B98" si="9">B14</f>
        <v>1. 조사 및 분석</v>
      </c>
      <c r="C57" s="72"/>
      <c r="D57" s="479">
        <f t="shared" ref="D57:I57" si="10">SUBTOTAL(9,D58:D67)</f>
        <v>3.9000000000000004</v>
      </c>
      <c r="E57" s="480">
        <f t="shared" si="10"/>
        <v>6.5</v>
      </c>
      <c r="F57" s="480">
        <f t="shared" si="10"/>
        <v>18.099999999999998</v>
      </c>
      <c r="G57" s="480">
        <f t="shared" si="10"/>
        <v>29.400000000000002</v>
      </c>
      <c r="H57" s="480">
        <f t="shared" si="10"/>
        <v>48</v>
      </c>
      <c r="I57" s="481">
        <f t="shared" si="10"/>
        <v>68.099999999999994</v>
      </c>
      <c r="J57" s="73"/>
      <c r="M57" s="171"/>
      <c r="N57" s="290" t="s">
        <v>696</v>
      </c>
      <c r="O57" s="129"/>
      <c r="P57" s="130"/>
      <c r="Q57" s="124"/>
      <c r="R57" s="131"/>
      <c r="S57" s="124"/>
      <c r="T57" s="124"/>
      <c r="U57" s="476"/>
      <c r="V57" s="476"/>
      <c r="W57" s="517">
        <f>SUBTOTAL(9,W58:W60)</f>
        <v>6000000</v>
      </c>
      <c r="X57" s="478"/>
      <c r="Y57" s="124"/>
      <c r="Z57" s="124"/>
    </row>
    <row r="58" spans="1:26" ht="18" customHeight="1">
      <c r="A58" s="326">
        <v>1</v>
      </c>
      <c r="B58" s="223" t="str">
        <f t="shared" si="9"/>
        <v>1.1 스마트도시 관련 정책 및 계획</v>
      </c>
      <c r="C58" s="23"/>
      <c r="D58" s="488">
        <f t="array" ref="D58:I67">ROUND(L15:L24*D15:I24*D5,1)</f>
        <v>0.2</v>
      </c>
      <c r="E58" s="489">
        <v>0.3</v>
      </c>
      <c r="F58" s="489">
        <v>0.6</v>
      </c>
      <c r="G58" s="489">
        <v>0.9</v>
      </c>
      <c r="H58" s="489">
        <v>1.5</v>
      </c>
      <c r="I58" s="490">
        <v>1.8</v>
      </c>
      <c r="J58" s="74"/>
      <c r="M58" s="171"/>
      <c r="N58" s="291" t="str">
        <f>"여비("&amp;TEXT(T58,"#인 ×")&amp;TEXT(U58,"#일 ×")&amp;TEXT(V58,"###,###원)")</f>
        <v>여비(3인 ×10일 ×100,000원)</v>
      </c>
      <c r="O58" s="78"/>
      <c r="P58" s="52"/>
      <c r="Q58" s="51"/>
      <c r="T58" s="146">
        <v>3</v>
      </c>
      <c r="U58" s="146">
        <v>10</v>
      </c>
      <c r="V58" s="519">
        <v>100000</v>
      </c>
      <c r="W58" s="520">
        <f>T58*U58*V58</f>
        <v>3000000</v>
      </c>
      <c r="X58" s="521"/>
      <c r="Y58" s="51"/>
      <c r="Z58" s="51"/>
    </row>
    <row r="59" spans="1:26" ht="18" customHeight="1">
      <c r="A59" s="326">
        <v>2</v>
      </c>
      <c r="B59" s="223" t="str">
        <f t="shared" si="9"/>
        <v>1.2 관련계획 및 인구, 기반시설</v>
      </c>
      <c r="C59" s="23"/>
      <c r="D59" s="488">
        <v>0.2</v>
      </c>
      <c r="E59" s="489">
        <v>0.3</v>
      </c>
      <c r="F59" s="489">
        <v>0.6</v>
      </c>
      <c r="G59" s="489">
        <v>0.9</v>
      </c>
      <c r="H59" s="489">
        <v>1.5</v>
      </c>
      <c r="I59" s="490">
        <v>1.8</v>
      </c>
      <c r="J59" s="74"/>
      <c r="M59" s="171"/>
      <c r="N59" s="292" t="s">
        <v>46</v>
      </c>
      <c r="O59" s="79"/>
      <c r="P59" s="39"/>
      <c r="Q59" s="37"/>
      <c r="R59" s="117"/>
      <c r="S59" s="37"/>
      <c r="T59" s="37"/>
      <c r="U59" s="523"/>
      <c r="V59" s="523"/>
      <c r="W59" s="524">
        <v>2000000</v>
      </c>
      <c r="X59" s="525"/>
      <c r="Y59" s="37"/>
      <c r="Z59" s="37"/>
    </row>
    <row r="60" spans="1:26" ht="18" customHeight="1">
      <c r="A60" s="326">
        <v>3</v>
      </c>
      <c r="B60" s="223" t="str">
        <f t="shared" si="9"/>
        <v>1.3 스마트도시건설 및 정보화 관련 법령</v>
      </c>
      <c r="C60" s="23"/>
      <c r="D60" s="488">
        <v>0.2</v>
      </c>
      <c r="E60" s="489">
        <v>0.2</v>
      </c>
      <c r="F60" s="489">
        <v>0.5</v>
      </c>
      <c r="G60" s="489">
        <v>0.9</v>
      </c>
      <c r="H60" s="489">
        <v>1.3</v>
      </c>
      <c r="I60" s="490">
        <v>1.3</v>
      </c>
      <c r="J60" s="74"/>
      <c r="M60" s="171"/>
      <c r="N60" s="293" t="s">
        <v>13</v>
      </c>
      <c r="O60" s="132"/>
      <c r="P60" s="38"/>
      <c r="Q60" s="38"/>
      <c r="R60" s="116"/>
      <c r="S60" s="38"/>
      <c r="T60" s="38"/>
      <c r="U60" s="526"/>
      <c r="V60" s="526"/>
      <c r="W60" s="527">
        <v>1000000</v>
      </c>
      <c r="X60" s="528"/>
      <c r="Y60" s="38"/>
      <c r="Z60" s="38"/>
    </row>
    <row r="61" spans="1:26" ht="18" customHeight="1">
      <c r="A61" s="326">
        <v>4</v>
      </c>
      <c r="B61" s="223" t="str">
        <f t="shared" si="9"/>
        <v>1.4 스마트도시 건설 및 정보통신 관련 기술</v>
      </c>
      <c r="C61" s="23"/>
      <c r="D61" s="488">
        <v>0.2</v>
      </c>
      <c r="E61" s="489">
        <v>0.2</v>
      </c>
      <c r="F61" s="489">
        <v>0.5</v>
      </c>
      <c r="G61" s="489">
        <v>0.9</v>
      </c>
      <c r="H61" s="489">
        <v>1.3</v>
      </c>
      <c r="I61" s="490">
        <v>1.3</v>
      </c>
      <c r="J61" s="74"/>
      <c r="M61" s="171"/>
      <c r="N61" s="127" t="s">
        <v>47</v>
      </c>
      <c r="O61" s="123"/>
      <c r="P61" s="123"/>
      <c r="Q61" s="123"/>
      <c r="R61" s="123"/>
      <c r="S61" s="123"/>
      <c r="T61" s="123"/>
      <c r="U61" s="473"/>
      <c r="V61" s="473"/>
      <c r="W61" s="474">
        <f ca="1">SUBTOTAL(9,W62:W63)</f>
        <v>498805944</v>
      </c>
      <c r="X61" s="475"/>
      <c r="Y61" s="123"/>
      <c r="Z61" s="123"/>
    </row>
    <row r="62" spans="1:26" ht="18" customHeight="1">
      <c r="A62" s="326">
        <v>5</v>
      </c>
      <c r="B62" s="223" t="str">
        <f t="shared" si="9"/>
        <v>1.5 스마트도시 정보시스템 현황</v>
      </c>
      <c r="C62" s="23"/>
      <c r="D62" s="488">
        <v>0.8</v>
      </c>
      <c r="E62" s="489">
        <v>1.5</v>
      </c>
      <c r="F62" s="489">
        <v>4.5</v>
      </c>
      <c r="G62" s="489">
        <v>7.5</v>
      </c>
      <c r="H62" s="489">
        <v>12</v>
      </c>
      <c r="I62" s="490">
        <v>18.5</v>
      </c>
      <c r="J62" s="74"/>
      <c r="M62" s="171"/>
      <c r="N62" s="133" t="s">
        <v>861</v>
      </c>
      <c r="O62" s="124"/>
      <c r="P62" s="134"/>
      <c r="Q62" s="124"/>
      <c r="R62" s="131"/>
      <c r="S62" s="124"/>
      <c r="T62" s="476"/>
      <c r="U62" s="476"/>
      <c r="V62" s="190">
        <v>1.1499999999999999</v>
      </c>
      <c r="W62" s="159">
        <f ca="1">ROUNDDOWN(W13*V62,0)</f>
        <v>319569268</v>
      </c>
      <c r="X62" s="478"/>
      <c r="Y62" s="124"/>
      <c r="Z62" s="124"/>
    </row>
    <row r="63" spans="1:26" ht="18" customHeight="1" thickBot="1">
      <c r="A63" s="326">
        <v>6</v>
      </c>
      <c r="B63" s="223" t="str">
        <f t="shared" si="9"/>
        <v>1.6 스마트도시 공공시설, 정보통신망, 운영센터 구축 현황</v>
      </c>
      <c r="C63" s="23"/>
      <c r="D63" s="488">
        <v>0.8</v>
      </c>
      <c r="E63" s="489">
        <v>1.5</v>
      </c>
      <c r="F63" s="489">
        <v>4.5</v>
      </c>
      <c r="G63" s="489">
        <v>7.5</v>
      </c>
      <c r="H63" s="489">
        <v>12</v>
      </c>
      <c r="I63" s="490">
        <v>18.5</v>
      </c>
      <c r="J63" s="74"/>
      <c r="M63" s="171"/>
      <c r="N63" s="135" t="s">
        <v>862</v>
      </c>
      <c r="O63" s="136"/>
      <c r="P63" s="137"/>
      <c r="Q63" s="136"/>
      <c r="R63" s="138"/>
      <c r="S63" s="136"/>
      <c r="T63" s="529"/>
      <c r="U63" s="529"/>
      <c r="V63" s="191">
        <v>0.3</v>
      </c>
      <c r="W63" s="165">
        <f ca="1">ROUNDDOWN((W13+W62)*V63,0)</f>
        <v>179236676</v>
      </c>
      <c r="X63" s="530"/>
      <c r="Y63" s="136"/>
      <c r="Z63" s="136"/>
    </row>
    <row r="64" spans="1:26" ht="18" customHeight="1">
      <c r="A64" s="326">
        <v>7</v>
      </c>
      <c r="B64" s="223" t="str">
        <f t="shared" si="9"/>
        <v>1.7 스마트도시 서비스 구축 및 운영 현황</v>
      </c>
      <c r="C64" s="23"/>
      <c r="D64" s="488">
        <v>0.8</v>
      </c>
      <c r="E64" s="489">
        <v>1.5</v>
      </c>
      <c r="F64" s="489">
        <v>4.5</v>
      </c>
      <c r="G64" s="489">
        <v>7.5</v>
      </c>
      <c r="H64" s="489">
        <v>12</v>
      </c>
      <c r="I64" s="490">
        <v>18.5</v>
      </c>
      <c r="J64" s="74"/>
      <c r="M64" s="171"/>
    </row>
    <row r="65" spans="1:26" ht="18" customHeight="1">
      <c r="A65" s="326">
        <v>8</v>
      </c>
      <c r="B65" s="223" t="str">
        <f t="shared" si="9"/>
        <v>1.8 스마트도시 관련 조직 및 업무현황</v>
      </c>
      <c r="C65" s="23"/>
      <c r="D65" s="488">
        <v>0.2</v>
      </c>
      <c r="E65" s="489">
        <v>0.2</v>
      </c>
      <c r="F65" s="489">
        <v>0.5</v>
      </c>
      <c r="G65" s="489">
        <v>0.9</v>
      </c>
      <c r="H65" s="489">
        <v>1.3</v>
      </c>
      <c r="I65" s="490">
        <v>1.3</v>
      </c>
      <c r="J65" s="74"/>
      <c r="M65" s="171"/>
    </row>
    <row r="66" spans="1:26" ht="18" customHeight="1" thickBot="1">
      <c r="A66" s="326">
        <v>9</v>
      </c>
      <c r="B66" s="223" t="str">
        <f t="shared" si="9"/>
        <v>1.9 도시개발사업 추진 현황 및 향후 계획</v>
      </c>
      <c r="C66" s="23"/>
      <c r="D66" s="488">
        <v>0.1</v>
      </c>
      <c r="E66" s="489">
        <v>0.2</v>
      </c>
      <c r="F66" s="489">
        <v>0.4</v>
      </c>
      <c r="G66" s="489">
        <v>0.6</v>
      </c>
      <c r="H66" s="489">
        <v>1</v>
      </c>
      <c r="I66" s="490">
        <v>1.3</v>
      </c>
      <c r="J66" s="74"/>
      <c r="M66" s="171"/>
      <c r="N66" s="66" t="s">
        <v>18</v>
      </c>
      <c r="R66" s="3"/>
      <c r="S66" s="4"/>
      <c r="T66" s="3"/>
      <c r="U66" s="4"/>
      <c r="V66" s="3"/>
      <c r="W66" s="4"/>
      <c r="X66" s="3"/>
      <c r="Y66" s="4"/>
    </row>
    <row r="67" spans="1:26" ht="18" customHeight="1">
      <c r="A67" s="326">
        <v>10</v>
      </c>
      <c r="B67" s="224" t="str">
        <f t="shared" si="9"/>
        <v>1.10 시민설문조사</v>
      </c>
      <c r="C67" s="27"/>
      <c r="D67" s="491">
        <v>0.4</v>
      </c>
      <c r="E67" s="492">
        <v>0.6</v>
      </c>
      <c r="F67" s="492">
        <v>1.5</v>
      </c>
      <c r="G67" s="492">
        <v>1.8</v>
      </c>
      <c r="H67" s="492">
        <v>4.0999999999999996</v>
      </c>
      <c r="I67" s="493">
        <v>3.8</v>
      </c>
      <c r="J67" s="74"/>
      <c r="M67" s="171"/>
      <c r="N67" s="765" t="s">
        <v>19</v>
      </c>
      <c r="O67" s="755" t="s">
        <v>20</v>
      </c>
      <c r="P67" s="755" t="s">
        <v>21</v>
      </c>
      <c r="Q67" s="755" t="s">
        <v>697</v>
      </c>
      <c r="R67" s="5" t="s">
        <v>22</v>
      </c>
      <c r="S67" s="5"/>
      <c r="T67" s="5" t="s">
        <v>23</v>
      </c>
      <c r="U67" s="5"/>
      <c r="V67" s="5" t="s">
        <v>24</v>
      </c>
      <c r="W67" s="5"/>
      <c r="X67" s="5" t="s">
        <v>25</v>
      </c>
      <c r="Y67" s="5"/>
      <c r="Z67" s="755" t="s">
        <v>26</v>
      </c>
    </row>
    <row r="68" spans="1:26" ht="18" customHeight="1" thickBot="1">
      <c r="B68" s="222" t="str">
        <f t="shared" si="9"/>
        <v>2. 계획의 목표 및 추진전략</v>
      </c>
      <c r="C68" s="47"/>
      <c r="D68" s="503">
        <f t="shared" ref="D68:I68" si="11">SUBTOTAL(9,D69:D71)</f>
        <v>3.3</v>
      </c>
      <c r="E68" s="504">
        <f t="shared" si="11"/>
        <v>5.0999999999999996</v>
      </c>
      <c r="F68" s="504">
        <f t="shared" si="11"/>
        <v>12.100000000000001</v>
      </c>
      <c r="G68" s="504">
        <f t="shared" si="11"/>
        <v>19.600000000000001</v>
      </c>
      <c r="H68" s="504">
        <f t="shared" si="11"/>
        <v>13.799999999999999</v>
      </c>
      <c r="I68" s="505">
        <f t="shared" si="11"/>
        <v>14.9</v>
      </c>
      <c r="J68" s="74"/>
      <c r="M68" s="171"/>
      <c r="N68" s="766"/>
      <c r="O68" s="756"/>
      <c r="P68" s="756"/>
      <c r="Q68" s="756"/>
      <c r="R68" s="67" t="s">
        <v>27</v>
      </c>
      <c r="S68" s="67" t="s">
        <v>28</v>
      </c>
      <c r="T68" s="67" t="s">
        <v>27</v>
      </c>
      <c r="U68" s="67" t="s">
        <v>28</v>
      </c>
      <c r="V68" s="67" t="s">
        <v>27</v>
      </c>
      <c r="W68" s="67" t="s">
        <v>28</v>
      </c>
      <c r="X68" s="67" t="s">
        <v>27</v>
      </c>
      <c r="Y68" s="67" t="s">
        <v>28</v>
      </c>
      <c r="Z68" s="756"/>
    </row>
    <row r="69" spans="1:26" ht="18" customHeight="1" thickTop="1">
      <c r="A69" s="326">
        <v>11</v>
      </c>
      <c r="B69" s="223" t="str">
        <f t="shared" si="9"/>
        <v>2.1 기본방향설정</v>
      </c>
      <c r="C69" s="23"/>
      <c r="D69" s="488">
        <f t="array" ref="D69:I71">ROUND(D26:I28*L26:L28*D5,1)</f>
        <v>0.7</v>
      </c>
      <c r="E69" s="489">
        <v>1.1000000000000001</v>
      </c>
      <c r="F69" s="489">
        <v>3.3</v>
      </c>
      <c r="G69" s="489">
        <v>5</v>
      </c>
      <c r="H69" s="489">
        <v>2.6</v>
      </c>
      <c r="I69" s="490">
        <v>2.7</v>
      </c>
      <c r="J69" s="74"/>
      <c r="M69" s="171"/>
      <c r="N69" s="532" t="str">
        <f ca="1">"제 " &amp; Z69 &amp; " 호표  "&amp; OFFSET($A$1,MATCH(Z69,$A:$A,0)-1,1)</f>
        <v>제 1 호표  1.1 스마트도시 관련 정책 및 계획</v>
      </c>
      <c r="O69" s="533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v>1</v>
      </c>
    </row>
    <row r="70" spans="1:26" ht="18" customHeight="1">
      <c r="A70" s="326">
        <v>12</v>
      </c>
      <c r="B70" s="223" t="str">
        <f t="shared" si="9"/>
        <v>2.2 계획의 목표 설정</v>
      </c>
      <c r="C70" s="23"/>
      <c r="D70" s="488">
        <v>1.3</v>
      </c>
      <c r="E70" s="489">
        <v>2</v>
      </c>
      <c r="F70" s="489">
        <v>4.4000000000000004</v>
      </c>
      <c r="G70" s="489">
        <v>7.3</v>
      </c>
      <c r="H70" s="489">
        <v>5.6</v>
      </c>
      <c r="I70" s="490">
        <v>6.1</v>
      </c>
      <c r="J70" s="74"/>
      <c r="M70" s="171"/>
      <c r="N70" s="140" t="s">
        <v>43</v>
      </c>
      <c r="O70" s="172">
        <v>3</v>
      </c>
      <c r="P70" s="534">
        <f ca="1">OFFSET($A$1,MATCH(Z69,$A:$A,0)-1,O70)</f>
        <v>0.2</v>
      </c>
      <c r="Q70" s="141" t="s">
        <v>29</v>
      </c>
      <c r="R70" s="142">
        <f t="shared" ref="R70:S75" ca="1" si="12">T70</f>
        <v>467217</v>
      </c>
      <c r="S70" s="142">
        <f t="shared" ca="1" si="12"/>
        <v>93443</v>
      </c>
      <c r="T70" s="142">
        <f ca="1">기술사</f>
        <v>467217</v>
      </c>
      <c r="U70" s="142">
        <f t="shared" ref="U70:U75" ca="1" si="13">ROUNDDOWN(P70*R70,0)</f>
        <v>93443</v>
      </c>
      <c r="V70" s="142"/>
      <c r="W70" s="142"/>
      <c r="X70" s="142"/>
      <c r="Y70" s="142"/>
      <c r="Z70" s="114"/>
    </row>
    <row r="71" spans="1:26" ht="18" customHeight="1">
      <c r="A71" s="326">
        <v>13</v>
      </c>
      <c r="B71" s="223" t="str">
        <f t="shared" si="9"/>
        <v>2.3 계획지표설정</v>
      </c>
      <c r="C71" s="23"/>
      <c r="D71" s="488">
        <v>1.3</v>
      </c>
      <c r="E71" s="489">
        <v>2</v>
      </c>
      <c r="F71" s="489">
        <v>4.4000000000000004</v>
      </c>
      <c r="G71" s="489">
        <v>7.3</v>
      </c>
      <c r="H71" s="489">
        <v>5.6</v>
      </c>
      <c r="I71" s="490">
        <v>6.1</v>
      </c>
      <c r="J71" s="74"/>
      <c r="M71" s="171"/>
      <c r="N71" s="143" t="s">
        <v>32</v>
      </c>
      <c r="O71" s="173">
        <v>4</v>
      </c>
      <c r="P71" s="234">
        <f ca="1">OFFSET($A$1,MATCH(Z69,$A:$A,0)-1,O71)</f>
        <v>0.3</v>
      </c>
      <c r="Q71" s="144" t="s">
        <v>29</v>
      </c>
      <c r="R71" s="118">
        <f t="shared" ca="1" si="12"/>
        <v>373353</v>
      </c>
      <c r="S71" s="118">
        <f t="shared" ca="1" si="12"/>
        <v>112005</v>
      </c>
      <c r="T71" s="118">
        <f ca="1">특급</f>
        <v>373353</v>
      </c>
      <c r="U71" s="118">
        <f t="shared" ca="1" si="13"/>
        <v>112005</v>
      </c>
      <c r="V71" s="118"/>
      <c r="W71" s="118"/>
      <c r="X71" s="118"/>
      <c r="Y71" s="118"/>
      <c r="Z71" s="115"/>
    </row>
    <row r="72" spans="1:26" ht="18" customHeight="1">
      <c r="B72" s="222" t="str">
        <f t="shared" si="9"/>
        <v>3. 부문별 계획</v>
      </c>
      <c r="C72" s="47"/>
      <c r="D72" s="503">
        <f t="shared" ref="D72:I72" si="14">SUBTOTAL(9,D73:D82)</f>
        <v>9.8999999999999986</v>
      </c>
      <c r="E72" s="504">
        <f t="shared" si="14"/>
        <v>15.7</v>
      </c>
      <c r="F72" s="504">
        <f t="shared" si="14"/>
        <v>47.2</v>
      </c>
      <c r="G72" s="504">
        <f t="shared" si="14"/>
        <v>71</v>
      </c>
      <c r="H72" s="504">
        <f t="shared" si="14"/>
        <v>77.800000000000011</v>
      </c>
      <c r="I72" s="504">
        <f t="shared" si="14"/>
        <v>85.499999999999986</v>
      </c>
      <c r="J72" s="74"/>
      <c r="M72" s="171"/>
      <c r="N72" s="145" t="s">
        <v>39</v>
      </c>
      <c r="O72" s="173">
        <v>5</v>
      </c>
      <c r="P72" s="234">
        <f ca="1">OFFSET($A$1,MATCH(Z69,$A:$A,0)-1,O72)</f>
        <v>0.6</v>
      </c>
      <c r="Q72" s="144" t="s">
        <v>29</v>
      </c>
      <c r="R72" s="118">
        <f t="shared" ca="1" si="12"/>
        <v>310884</v>
      </c>
      <c r="S72" s="118">
        <f t="shared" ca="1" si="12"/>
        <v>186530</v>
      </c>
      <c r="T72" s="118">
        <f ca="1">고급</f>
        <v>310884</v>
      </c>
      <c r="U72" s="118">
        <f t="shared" ca="1" si="13"/>
        <v>186530</v>
      </c>
      <c r="V72" s="118"/>
      <c r="W72" s="118"/>
      <c r="X72" s="118"/>
      <c r="Y72" s="118"/>
      <c r="Z72" s="115"/>
    </row>
    <row r="73" spans="1:26" ht="18" customHeight="1">
      <c r="A73" s="326">
        <v>14</v>
      </c>
      <c r="B73" s="223" t="str">
        <f t="shared" si="9"/>
        <v>3.1 스마트도시 공공시설 구축계획</v>
      </c>
      <c r="C73" s="23"/>
      <c r="D73" s="538">
        <f t="array" ref="D73:I82">ROUND(D30:I39*L30:L39*D5,1)</f>
        <v>1.7</v>
      </c>
      <c r="E73" s="539">
        <v>2.7</v>
      </c>
      <c r="F73" s="539">
        <v>8.6</v>
      </c>
      <c r="G73" s="539">
        <v>11.2</v>
      </c>
      <c r="H73" s="539">
        <v>12.4</v>
      </c>
      <c r="I73" s="540">
        <v>13</v>
      </c>
      <c r="J73" s="74"/>
      <c r="M73" s="171"/>
      <c r="N73" s="145" t="s">
        <v>40</v>
      </c>
      <c r="O73" s="173">
        <v>6</v>
      </c>
      <c r="P73" s="234">
        <f ca="1">OFFSET($A$1,MATCH(Z69,$A:$A,0)-1,O73)</f>
        <v>0.9</v>
      </c>
      <c r="Q73" s="144" t="s">
        <v>29</v>
      </c>
      <c r="R73" s="118">
        <f t="shared" ca="1" si="12"/>
        <v>295138</v>
      </c>
      <c r="S73" s="118">
        <f t="shared" ca="1" si="12"/>
        <v>265624</v>
      </c>
      <c r="T73" s="118">
        <f ca="1">중급</f>
        <v>295138</v>
      </c>
      <c r="U73" s="118">
        <f t="shared" ca="1" si="13"/>
        <v>265624</v>
      </c>
      <c r="V73" s="118"/>
      <c r="W73" s="118"/>
      <c r="X73" s="118"/>
      <c r="Y73" s="118"/>
      <c r="Z73" s="115"/>
    </row>
    <row r="74" spans="1:26" ht="18" customHeight="1">
      <c r="A74" s="326">
        <v>15</v>
      </c>
      <c r="B74" s="223" t="str">
        <f t="shared" si="9"/>
        <v>3.2 정보통신망 구축계획</v>
      </c>
      <c r="C74" s="23"/>
      <c r="D74" s="538">
        <v>1.1000000000000001</v>
      </c>
      <c r="E74" s="539">
        <v>1.7</v>
      </c>
      <c r="F74" s="539">
        <v>5.3</v>
      </c>
      <c r="G74" s="539">
        <v>7.5</v>
      </c>
      <c r="H74" s="539">
        <v>8.1</v>
      </c>
      <c r="I74" s="540">
        <v>11.7</v>
      </c>
      <c r="J74" s="74"/>
      <c r="M74" s="171"/>
      <c r="N74" s="145" t="s">
        <v>41</v>
      </c>
      <c r="O74" s="173">
        <v>7</v>
      </c>
      <c r="P74" s="234">
        <f ca="1">OFFSET($A$1,MATCH(Z69,$A:$A,0)-1,O74)</f>
        <v>1.5</v>
      </c>
      <c r="Q74" s="144" t="s">
        <v>29</v>
      </c>
      <c r="R74" s="118">
        <f t="shared" ca="1" si="12"/>
        <v>235459</v>
      </c>
      <c r="S74" s="118">
        <f t="shared" ca="1" si="12"/>
        <v>353188</v>
      </c>
      <c r="T74" s="118">
        <f ca="1">초급</f>
        <v>235459</v>
      </c>
      <c r="U74" s="118">
        <f t="shared" ca="1" si="13"/>
        <v>353188</v>
      </c>
      <c r="V74" s="118"/>
      <c r="W74" s="118"/>
      <c r="X74" s="118"/>
      <c r="Y74" s="118"/>
      <c r="Z74" s="115"/>
    </row>
    <row r="75" spans="1:26" ht="18" customHeight="1">
      <c r="A75" s="326">
        <v>16</v>
      </c>
      <c r="B75" s="223" t="str">
        <f t="shared" si="9"/>
        <v>3.3 스마트도시 운영센터 구축계획</v>
      </c>
      <c r="C75" s="23"/>
      <c r="D75" s="538">
        <v>0.7</v>
      </c>
      <c r="E75" s="539">
        <v>1.1000000000000001</v>
      </c>
      <c r="F75" s="539">
        <v>3</v>
      </c>
      <c r="G75" s="539">
        <v>6</v>
      </c>
      <c r="H75" s="539">
        <v>6.4</v>
      </c>
      <c r="I75" s="540">
        <v>6.3</v>
      </c>
      <c r="J75" s="74"/>
      <c r="M75" s="171"/>
      <c r="N75" s="319" t="s">
        <v>42</v>
      </c>
      <c r="O75" s="174">
        <v>8</v>
      </c>
      <c r="P75" s="235">
        <f ca="1">OFFSET($A$1,MATCH(Z69,$A:$A,0)-1,O75)</f>
        <v>1.8</v>
      </c>
      <c r="Q75" s="322" t="s">
        <v>29</v>
      </c>
      <c r="R75" s="323">
        <f t="shared" ca="1" si="12"/>
        <v>250087</v>
      </c>
      <c r="S75" s="323">
        <f t="shared" ca="1" si="12"/>
        <v>450156</v>
      </c>
      <c r="T75" s="323">
        <f ca="1">보조원</f>
        <v>250087</v>
      </c>
      <c r="U75" s="323">
        <f t="shared" ca="1" si="13"/>
        <v>450156</v>
      </c>
      <c r="V75" s="323"/>
      <c r="W75" s="323"/>
      <c r="X75" s="323"/>
      <c r="Y75" s="323"/>
      <c r="Z75" s="324"/>
    </row>
    <row r="76" spans="1:26" ht="18" customHeight="1">
      <c r="A76" s="326">
        <v>17</v>
      </c>
      <c r="B76" s="223" t="str">
        <f t="shared" si="9"/>
        <v>3.4 스마트도시 기반시설 계획</v>
      </c>
      <c r="C76" s="23"/>
      <c r="D76" s="538">
        <v>1.7</v>
      </c>
      <c r="E76" s="539">
        <v>2.7</v>
      </c>
      <c r="F76" s="539">
        <v>8.6</v>
      </c>
      <c r="G76" s="539">
        <v>11.2</v>
      </c>
      <c r="H76" s="539">
        <v>12.4</v>
      </c>
      <c r="I76" s="540">
        <v>13</v>
      </c>
      <c r="J76" s="74"/>
      <c r="M76" s="171"/>
      <c r="N76" s="139" t="s">
        <v>698</v>
      </c>
      <c r="O76" s="68"/>
      <c r="P76" s="69"/>
      <c r="Q76" s="70"/>
      <c r="R76" s="71"/>
      <c r="S76" s="71">
        <f ca="1">SUBTOTAL(9,S70:S75)</f>
        <v>1460946</v>
      </c>
      <c r="T76" s="71"/>
      <c r="U76" s="71">
        <f ca="1">SUBTOTAL(9,U70:U75)</f>
        <v>1460946</v>
      </c>
      <c r="V76" s="71"/>
      <c r="W76" s="71"/>
      <c r="X76" s="71"/>
      <c r="Y76" s="71"/>
      <c r="Z76" s="68"/>
    </row>
    <row r="77" spans="1:26" ht="18" customHeight="1">
      <c r="A77" s="326">
        <v>18</v>
      </c>
      <c r="B77" s="223" t="str">
        <f t="shared" si="9"/>
        <v>3.5 정보시스템의 공동 활용 및 연계 계획</v>
      </c>
      <c r="C77" s="23"/>
      <c r="D77" s="538">
        <v>0.7</v>
      </c>
      <c r="E77" s="539">
        <v>1.1000000000000001</v>
      </c>
      <c r="F77" s="539">
        <v>3</v>
      </c>
      <c r="G77" s="539">
        <v>6</v>
      </c>
      <c r="H77" s="539">
        <v>6.4</v>
      </c>
      <c r="I77" s="540">
        <v>6.3</v>
      </c>
      <c r="J77" s="74"/>
      <c r="K77" s="171" t="s">
        <v>699</v>
      </c>
      <c r="L77" s="171"/>
      <c r="M77" s="171"/>
      <c r="N77" s="532" t="str">
        <f ca="1">"제 " &amp; Z77 &amp; " 호표  "&amp; OFFSET($A$1,MATCH(Z77,$A:$A,0)-1,1)</f>
        <v>제 2 호표  1.2 관련계획 및 인구, 기반시설</v>
      </c>
      <c r="O77" s="533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2</v>
      </c>
    </row>
    <row r="78" spans="1:26" ht="18" customHeight="1">
      <c r="A78" s="326">
        <v>19</v>
      </c>
      <c r="B78" s="223" t="str">
        <f t="shared" si="9"/>
        <v>3.6 지역산업의 육성 및 진흥 계획</v>
      </c>
      <c r="C78" s="23"/>
      <c r="D78" s="538">
        <v>0.7</v>
      </c>
      <c r="E78" s="539">
        <v>1.2</v>
      </c>
      <c r="F78" s="539">
        <v>3.5</v>
      </c>
      <c r="G78" s="539">
        <v>5</v>
      </c>
      <c r="H78" s="539">
        <v>5.4</v>
      </c>
      <c r="I78" s="540">
        <v>7.8</v>
      </c>
      <c r="J78" s="74"/>
      <c r="K78" s="171" t="s">
        <v>699</v>
      </c>
      <c r="L78" s="171"/>
      <c r="M78" s="171"/>
      <c r="N78" s="140" t="s">
        <v>43</v>
      </c>
      <c r="O78" s="172">
        <v>3</v>
      </c>
      <c r="P78" s="534">
        <f ca="1">OFFSET($A$1,MATCH(Z77,$A:$A,0)-1,O78)</f>
        <v>0.2</v>
      </c>
      <c r="Q78" s="141" t="s">
        <v>29</v>
      </c>
      <c r="R78" s="142">
        <f t="shared" ref="R78:S83" ca="1" si="15">T78</f>
        <v>467217</v>
      </c>
      <c r="S78" s="142">
        <f t="shared" ca="1" si="15"/>
        <v>93443</v>
      </c>
      <c r="T78" s="142">
        <f ca="1">기술사</f>
        <v>467217</v>
      </c>
      <c r="U78" s="142">
        <f t="shared" ref="U78:U83" ca="1" si="16">ROUNDDOWN(P78*R78,0)</f>
        <v>93443</v>
      </c>
      <c r="V78" s="142"/>
      <c r="W78" s="142"/>
      <c r="X78" s="142"/>
      <c r="Y78" s="142"/>
      <c r="Z78" s="114"/>
    </row>
    <row r="79" spans="1:26" ht="18" customHeight="1">
      <c r="A79" s="326">
        <v>20</v>
      </c>
      <c r="B79" s="223" t="str">
        <f t="shared" si="9"/>
        <v>3.7 유관기관 및 관련계획의 연계성 확보계획</v>
      </c>
      <c r="C79" s="23"/>
      <c r="D79" s="538">
        <v>0.2</v>
      </c>
      <c r="E79" s="539">
        <v>0.3</v>
      </c>
      <c r="F79" s="539">
        <v>0.6</v>
      </c>
      <c r="G79" s="539">
        <v>0.9</v>
      </c>
      <c r="H79" s="539">
        <v>1.5</v>
      </c>
      <c r="I79" s="540">
        <v>1.8</v>
      </c>
      <c r="J79" s="74"/>
      <c r="K79" s="171" t="s">
        <v>14</v>
      </c>
      <c r="L79" s="171"/>
      <c r="M79" s="171"/>
      <c r="N79" s="143" t="s">
        <v>32</v>
      </c>
      <c r="O79" s="173">
        <v>4</v>
      </c>
      <c r="P79" s="234">
        <f ca="1">OFFSET($A$1,MATCH(Z77,$A:$A,0)-1,O79)</f>
        <v>0.3</v>
      </c>
      <c r="Q79" s="144" t="s">
        <v>29</v>
      </c>
      <c r="R79" s="118">
        <f t="shared" ca="1" si="15"/>
        <v>373353</v>
      </c>
      <c r="S79" s="118">
        <f t="shared" ca="1" si="15"/>
        <v>112005</v>
      </c>
      <c r="T79" s="118">
        <f ca="1">특급</f>
        <v>373353</v>
      </c>
      <c r="U79" s="118">
        <f t="shared" ca="1" si="16"/>
        <v>112005</v>
      </c>
      <c r="V79" s="118"/>
      <c r="W79" s="118"/>
      <c r="X79" s="118"/>
      <c r="Y79" s="118"/>
      <c r="Z79" s="115"/>
    </row>
    <row r="80" spans="1:26" ht="18" customHeight="1">
      <c r="A80" s="326">
        <v>21</v>
      </c>
      <c r="B80" s="223" t="str">
        <f t="shared" si="9"/>
        <v>3.8 개인정보 보호 및 기반시설 보호에 관한 계획</v>
      </c>
      <c r="C80" s="23"/>
      <c r="D80" s="538">
        <v>1.7</v>
      </c>
      <c r="E80" s="539">
        <v>2.7</v>
      </c>
      <c r="F80" s="539">
        <v>8.6</v>
      </c>
      <c r="G80" s="539">
        <v>11.2</v>
      </c>
      <c r="H80" s="539">
        <v>12.4</v>
      </c>
      <c r="I80" s="540">
        <v>13</v>
      </c>
      <c r="J80" s="74"/>
      <c r="K80" s="171" t="s">
        <v>699</v>
      </c>
      <c r="L80" s="171"/>
      <c r="M80" s="171"/>
      <c r="N80" s="145" t="s">
        <v>39</v>
      </c>
      <c r="O80" s="173">
        <v>5</v>
      </c>
      <c r="P80" s="234">
        <f ca="1">OFFSET($A$1,MATCH(Z77,$A:$A,0)-1,O80)</f>
        <v>0.6</v>
      </c>
      <c r="Q80" s="144" t="s">
        <v>29</v>
      </c>
      <c r="R80" s="118">
        <f t="shared" ca="1" si="15"/>
        <v>310884</v>
      </c>
      <c r="S80" s="118">
        <f t="shared" ca="1" si="15"/>
        <v>186530</v>
      </c>
      <c r="T80" s="118">
        <f ca="1">고급</f>
        <v>310884</v>
      </c>
      <c r="U80" s="118">
        <f t="shared" ca="1" si="16"/>
        <v>186530</v>
      </c>
      <c r="V80" s="118"/>
      <c r="W80" s="118"/>
      <c r="X80" s="118"/>
      <c r="Y80" s="118"/>
      <c r="Z80" s="115"/>
    </row>
    <row r="81" spans="1:26" ht="18" customHeight="1">
      <c r="A81" s="326">
        <v>22</v>
      </c>
      <c r="B81" s="223" t="str">
        <f t="shared" si="9"/>
        <v>3.9 도시정보의 생산·수집·가공·활용·유통계획</v>
      </c>
      <c r="C81" s="23"/>
      <c r="D81" s="538">
        <v>0.7</v>
      </c>
      <c r="E81" s="539">
        <v>1.1000000000000001</v>
      </c>
      <c r="F81" s="539">
        <v>3</v>
      </c>
      <c r="G81" s="539">
        <v>6</v>
      </c>
      <c r="H81" s="539">
        <v>6.4</v>
      </c>
      <c r="I81" s="540">
        <v>6.3</v>
      </c>
      <c r="J81" s="74"/>
      <c r="K81" s="171" t="s">
        <v>14</v>
      </c>
      <c r="L81" s="171"/>
      <c r="M81" s="171"/>
      <c r="N81" s="145" t="s">
        <v>40</v>
      </c>
      <c r="O81" s="173">
        <v>6</v>
      </c>
      <c r="P81" s="234">
        <f ca="1">OFFSET($A$1,MATCH(Z77,$A:$A,0)-1,O81)</f>
        <v>0.9</v>
      </c>
      <c r="Q81" s="144" t="s">
        <v>29</v>
      </c>
      <c r="R81" s="118">
        <f t="shared" ca="1" si="15"/>
        <v>295138</v>
      </c>
      <c r="S81" s="118">
        <f t="shared" ca="1" si="15"/>
        <v>265624</v>
      </c>
      <c r="T81" s="118">
        <f ca="1">중급</f>
        <v>295138</v>
      </c>
      <c r="U81" s="118">
        <f t="shared" ca="1" si="16"/>
        <v>265624</v>
      </c>
      <c r="V81" s="118"/>
      <c r="W81" s="118"/>
      <c r="X81" s="118"/>
      <c r="Y81" s="118"/>
      <c r="Z81" s="115"/>
    </row>
    <row r="82" spans="1:26" ht="18" customHeight="1">
      <c r="A82" s="326">
        <v>23</v>
      </c>
      <c r="B82" s="223" t="str">
        <f t="shared" si="9"/>
        <v>3.10 기반시설 관리·운영계획</v>
      </c>
      <c r="C82" s="23"/>
      <c r="D82" s="538">
        <v>0.7</v>
      </c>
      <c r="E82" s="539">
        <v>1.1000000000000001</v>
      </c>
      <c r="F82" s="539">
        <v>3</v>
      </c>
      <c r="G82" s="539">
        <v>6</v>
      </c>
      <c r="H82" s="539">
        <v>6.4</v>
      </c>
      <c r="I82" s="540">
        <v>6.3</v>
      </c>
      <c r="J82" s="74"/>
      <c r="K82" s="171" t="s">
        <v>14</v>
      </c>
      <c r="L82" s="171"/>
      <c r="M82" s="171"/>
      <c r="N82" s="145" t="s">
        <v>41</v>
      </c>
      <c r="O82" s="173">
        <v>7</v>
      </c>
      <c r="P82" s="234">
        <f ca="1">OFFSET($A$1,MATCH(Z77,$A:$A,0)-1,O82)</f>
        <v>1.5</v>
      </c>
      <c r="Q82" s="144" t="s">
        <v>29</v>
      </c>
      <c r="R82" s="118">
        <f t="shared" ca="1" si="15"/>
        <v>235459</v>
      </c>
      <c r="S82" s="118">
        <f t="shared" ca="1" si="15"/>
        <v>353188</v>
      </c>
      <c r="T82" s="118">
        <f ca="1">초급</f>
        <v>235459</v>
      </c>
      <c r="U82" s="118">
        <f t="shared" ca="1" si="16"/>
        <v>353188</v>
      </c>
      <c r="V82" s="118"/>
      <c r="W82" s="118"/>
      <c r="X82" s="118"/>
      <c r="Y82" s="118"/>
      <c r="Z82" s="115"/>
    </row>
    <row r="83" spans="1:26" ht="18" customHeight="1">
      <c r="B83" s="222" t="str">
        <f t="shared" si="9"/>
        <v>4. 도시서비스 계획</v>
      </c>
      <c r="C83" s="47"/>
      <c r="D83" s="503">
        <f t="shared" ref="D83:I83" si="17">SUBTOTAL(9,D84:D85)</f>
        <v>9.8000000000000007</v>
      </c>
      <c r="E83" s="504">
        <f t="shared" si="17"/>
        <v>15.6</v>
      </c>
      <c r="F83" s="504">
        <f t="shared" si="17"/>
        <v>46.8</v>
      </c>
      <c r="G83" s="504">
        <f t="shared" si="17"/>
        <v>70.8</v>
      </c>
      <c r="H83" s="504">
        <f t="shared" si="17"/>
        <v>77.8</v>
      </c>
      <c r="I83" s="505">
        <f t="shared" si="17"/>
        <v>85.6</v>
      </c>
      <c r="J83" s="74"/>
      <c r="K83" s="171" t="s">
        <v>14</v>
      </c>
      <c r="L83" s="171"/>
      <c r="M83" s="171"/>
      <c r="N83" s="319" t="s">
        <v>42</v>
      </c>
      <c r="O83" s="174">
        <v>8</v>
      </c>
      <c r="P83" s="235">
        <f ca="1">OFFSET($A$1,MATCH(Z77,$A:$A,0)-1,O83)</f>
        <v>1.8</v>
      </c>
      <c r="Q83" s="322" t="s">
        <v>29</v>
      </c>
      <c r="R83" s="323">
        <f t="shared" ca="1" si="15"/>
        <v>250087</v>
      </c>
      <c r="S83" s="323">
        <f t="shared" ca="1" si="15"/>
        <v>450156</v>
      </c>
      <c r="T83" s="323">
        <f ca="1">보조원</f>
        <v>250087</v>
      </c>
      <c r="U83" s="323">
        <f t="shared" ca="1" si="16"/>
        <v>450156</v>
      </c>
      <c r="V83" s="323"/>
      <c r="W83" s="323"/>
      <c r="X83" s="323"/>
      <c r="Y83" s="323"/>
      <c r="Z83" s="324"/>
    </row>
    <row r="84" spans="1:26" ht="18" customHeight="1">
      <c r="A84" s="326">
        <v>24</v>
      </c>
      <c r="B84" s="223" t="str">
        <f t="shared" si="9"/>
        <v>4.1 기본 서비스 계획</v>
      </c>
      <c r="C84" s="23"/>
      <c r="D84" s="488">
        <f t="array" ref="D84:I85">ROUND(D41:I42*L41:L42*D5,1)</f>
        <v>4.9000000000000004</v>
      </c>
      <c r="E84" s="489">
        <v>7.8</v>
      </c>
      <c r="F84" s="489">
        <v>23.4</v>
      </c>
      <c r="G84" s="489">
        <v>35.4</v>
      </c>
      <c r="H84" s="489">
        <v>38.9</v>
      </c>
      <c r="I84" s="490">
        <v>42.8</v>
      </c>
      <c r="J84" s="74"/>
      <c r="K84" s="171" t="s">
        <v>14</v>
      </c>
      <c r="L84" s="171"/>
      <c r="M84" s="171"/>
      <c r="N84" s="139" t="s">
        <v>700</v>
      </c>
      <c r="O84" s="68"/>
      <c r="P84" s="69"/>
      <c r="Q84" s="70"/>
      <c r="R84" s="71"/>
      <c r="S84" s="71">
        <f ca="1">SUBTOTAL(9,S78:S83)</f>
        <v>1460946</v>
      </c>
      <c r="T84" s="71"/>
      <c r="U84" s="71">
        <f ca="1">SUBTOTAL(9,U78:U83)</f>
        <v>1460946</v>
      </c>
      <c r="V84" s="71"/>
      <c r="W84" s="71"/>
      <c r="X84" s="71"/>
      <c r="Y84" s="71"/>
      <c r="Z84" s="68"/>
    </row>
    <row r="85" spans="1:26" ht="18" customHeight="1">
      <c r="A85" s="326">
        <v>25</v>
      </c>
      <c r="B85" s="223" t="str">
        <f t="shared" si="9"/>
        <v>4.2 특화 서비스 계획</v>
      </c>
      <c r="C85" s="23"/>
      <c r="D85" s="488">
        <v>4.9000000000000004</v>
      </c>
      <c r="E85" s="489">
        <v>7.8</v>
      </c>
      <c r="F85" s="489">
        <v>23.4</v>
      </c>
      <c r="G85" s="489">
        <v>35.4</v>
      </c>
      <c r="H85" s="489">
        <v>38.9</v>
      </c>
      <c r="I85" s="490">
        <v>42.8</v>
      </c>
      <c r="J85" s="74"/>
      <c r="K85" s="171" t="s">
        <v>699</v>
      </c>
      <c r="L85" s="171"/>
      <c r="M85" s="171"/>
      <c r="N85" s="532" t="str">
        <f ca="1">"제 " &amp; Z85 &amp; " 호표  "&amp; OFFSET($A$1,MATCH(Z85,$A:$A,0)-1,1)</f>
        <v>제 3 호표  1.3 스마트도시건설 및 정보화 관련 법령</v>
      </c>
      <c r="O85" s="533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3</v>
      </c>
    </row>
    <row r="86" spans="1:26" ht="18" customHeight="1">
      <c r="B86" s="222" t="str">
        <f t="shared" si="9"/>
        <v>5. 계획추진방안</v>
      </c>
      <c r="C86" s="47"/>
      <c r="D86" s="503">
        <f t="shared" ref="D86:I86" si="18">SUBTOTAL(9,D87:D91)</f>
        <v>1.9</v>
      </c>
      <c r="E86" s="504">
        <f t="shared" si="18"/>
        <v>2.9000000000000004</v>
      </c>
      <c r="F86" s="504">
        <f t="shared" si="18"/>
        <v>7.8</v>
      </c>
      <c r="G86" s="504">
        <f t="shared" si="18"/>
        <v>12</v>
      </c>
      <c r="H86" s="504">
        <f t="shared" si="18"/>
        <v>15.8</v>
      </c>
      <c r="I86" s="505">
        <f t="shared" si="18"/>
        <v>12.100000000000001</v>
      </c>
      <c r="J86" s="74"/>
      <c r="K86" s="171" t="s">
        <v>699</v>
      </c>
      <c r="L86" s="171"/>
      <c r="M86" s="171"/>
      <c r="N86" s="140" t="s">
        <v>43</v>
      </c>
      <c r="O86" s="172">
        <v>3</v>
      </c>
      <c r="P86" s="534">
        <f ca="1">OFFSET($A$1,MATCH(Z85,$A:$A,0)-1,O86)</f>
        <v>0.2</v>
      </c>
      <c r="Q86" s="141" t="s">
        <v>29</v>
      </c>
      <c r="R86" s="142">
        <f t="shared" ref="R86:S91" ca="1" si="19">T86</f>
        <v>467217</v>
      </c>
      <c r="S86" s="142">
        <f t="shared" ca="1" si="19"/>
        <v>93443</v>
      </c>
      <c r="T86" s="142">
        <f ca="1">기술사</f>
        <v>467217</v>
      </c>
      <c r="U86" s="142">
        <f t="shared" ref="U86:U91" ca="1" si="20">ROUNDDOWN(P86*R86,0)</f>
        <v>93443</v>
      </c>
      <c r="V86" s="142"/>
      <c r="W86" s="142"/>
      <c r="X86" s="142"/>
      <c r="Y86" s="142"/>
      <c r="Z86" s="114"/>
    </row>
    <row r="87" spans="1:26" ht="18" customHeight="1">
      <c r="A87" s="326">
        <v>26</v>
      </c>
      <c r="B87" s="223" t="str">
        <f t="shared" si="9"/>
        <v>5.1 단계별추진계획</v>
      </c>
      <c r="C87" s="23"/>
      <c r="D87" s="488">
        <f t="array" ref="D87:I91">ROUND(D44:I48*L44:L48*D5,1)</f>
        <v>0.3</v>
      </c>
      <c r="E87" s="489">
        <v>0.5</v>
      </c>
      <c r="F87" s="489">
        <v>1.7</v>
      </c>
      <c r="G87" s="489">
        <v>2.2999999999999998</v>
      </c>
      <c r="H87" s="489">
        <v>3.3</v>
      </c>
      <c r="I87" s="490">
        <v>2.4</v>
      </c>
      <c r="J87" s="74"/>
      <c r="K87" s="171" t="s">
        <v>14</v>
      </c>
      <c r="L87" s="171"/>
      <c r="M87" s="171"/>
      <c r="N87" s="143" t="s">
        <v>32</v>
      </c>
      <c r="O87" s="173">
        <v>4</v>
      </c>
      <c r="P87" s="234">
        <f ca="1">OFFSET($A$1,MATCH(Z85,$A:$A,0)-1,O87)</f>
        <v>0.2</v>
      </c>
      <c r="Q87" s="144" t="s">
        <v>29</v>
      </c>
      <c r="R87" s="118">
        <f t="shared" ca="1" si="19"/>
        <v>373353</v>
      </c>
      <c r="S87" s="118">
        <f t="shared" ca="1" si="19"/>
        <v>74670</v>
      </c>
      <c r="T87" s="118">
        <f ca="1">특급</f>
        <v>373353</v>
      </c>
      <c r="U87" s="118">
        <f t="shared" ca="1" si="20"/>
        <v>74670</v>
      </c>
      <c r="V87" s="118"/>
      <c r="W87" s="118"/>
      <c r="X87" s="118"/>
      <c r="Y87" s="118"/>
      <c r="Z87" s="115"/>
    </row>
    <row r="88" spans="1:26" ht="18" customHeight="1">
      <c r="A88" s="326">
        <v>27</v>
      </c>
      <c r="B88" s="223" t="str">
        <f t="shared" si="9"/>
        <v>5.2 스마트도시건설사업 추진체계 설정</v>
      </c>
      <c r="C88" s="23"/>
      <c r="D88" s="488">
        <v>0.3</v>
      </c>
      <c r="E88" s="489">
        <v>0.5</v>
      </c>
      <c r="F88" s="489">
        <v>1.7</v>
      </c>
      <c r="G88" s="489">
        <v>2.2999999999999998</v>
      </c>
      <c r="H88" s="489">
        <v>3.3</v>
      </c>
      <c r="I88" s="490">
        <v>2.4</v>
      </c>
      <c r="J88" s="74"/>
      <c r="K88" s="171" t="s">
        <v>14</v>
      </c>
      <c r="L88" s="171"/>
      <c r="M88" s="171"/>
      <c r="N88" s="145" t="s">
        <v>39</v>
      </c>
      <c r="O88" s="173">
        <v>5</v>
      </c>
      <c r="P88" s="234">
        <f ca="1">OFFSET($A$1,MATCH(Z85,$A:$A,0)-1,O88)</f>
        <v>0.5</v>
      </c>
      <c r="Q88" s="144" t="s">
        <v>29</v>
      </c>
      <c r="R88" s="118">
        <f t="shared" ca="1" si="19"/>
        <v>310884</v>
      </c>
      <c r="S88" s="118">
        <f t="shared" ca="1" si="19"/>
        <v>155442</v>
      </c>
      <c r="T88" s="118">
        <f ca="1">고급</f>
        <v>310884</v>
      </c>
      <c r="U88" s="118">
        <f t="shared" ca="1" si="20"/>
        <v>155442</v>
      </c>
      <c r="V88" s="118"/>
      <c r="W88" s="118"/>
      <c r="X88" s="118"/>
      <c r="Y88" s="118"/>
      <c r="Z88" s="115"/>
    </row>
    <row r="89" spans="1:26" ht="18" customHeight="1">
      <c r="A89" s="326">
        <v>28</v>
      </c>
      <c r="B89" s="223" t="str">
        <f t="shared" si="9"/>
        <v>5.3 관계 행정기관간 역할분담 및 협력 계획</v>
      </c>
      <c r="C89" s="23"/>
      <c r="D89" s="488">
        <v>0.4</v>
      </c>
      <c r="E89" s="489">
        <v>0.6</v>
      </c>
      <c r="F89" s="489">
        <v>0.9</v>
      </c>
      <c r="G89" s="489">
        <v>1.4</v>
      </c>
      <c r="H89" s="489">
        <v>2.2000000000000002</v>
      </c>
      <c r="I89" s="490">
        <v>1.6</v>
      </c>
      <c r="J89" s="74"/>
      <c r="K89" s="171" t="s">
        <v>14</v>
      </c>
      <c r="L89" s="171"/>
      <c r="M89" s="171"/>
      <c r="N89" s="145" t="s">
        <v>40</v>
      </c>
      <c r="O89" s="173">
        <v>6</v>
      </c>
      <c r="P89" s="234">
        <f ca="1">OFFSET($A$1,MATCH(Z85,$A:$A,0)-1,O89)</f>
        <v>0.9</v>
      </c>
      <c r="Q89" s="144" t="s">
        <v>29</v>
      </c>
      <c r="R89" s="118">
        <f t="shared" ca="1" si="19"/>
        <v>295138</v>
      </c>
      <c r="S89" s="118">
        <f t="shared" ca="1" si="19"/>
        <v>265624</v>
      </c>
      <c r="T89" s="118">
        <f ca="1">중급</f>
        <v>295138</v>
      </c>
      <c r="U89" s="118">
        <f t="shared" ca="1" si="20"/>
        <v>265624</v>
      </c>
      <c r="V89" s="118"/>
      <c r="W89" s="118"/>
      <c r="X89" s="118"/>
      <c r="Y89" s="118"/>
      <c r="Z89" s="115"/>
    </row>
    <row r="90" spans="1:26" ht="18" customHeight="1">
      <c r="A90" s="326">
        <v>29</v>
      </c>
      <c r="B90" s="223" t="str">
        <f t="shared" si="9"/>
        <v>5.4 기반시설의 조성 및 관리·운영계획</v>
      </c>
      <c r="C90" s="23"/>
      <c r="D90" s="488">
        <v>0.4</v>
      </c>
      <c r="E90" s="489">
        <v>0.5</v>
      </c>
      <c r="F90" s="489">
        <v>1.7</v>
      </c>
      <c r="G90" s="489">
        <v>2.5</v>
      </c>
      <c r="H90" s="489">
        <v>3.3</v>
      </c>
      <c r="I90" s="490">
        <v>2.4</v>
      </c>
      <c r="J90" s="74"/>
      <c r="K90" s="171" t="s">
        <v>14</v>
      </c>
      <c r="L90" s="171"/>
      <c r="M90" s="171"/>
      <c r="N90" s="145" t="s">
        <v>41</v>
      </c>
      <c r="O90" s="173">
        <v>7</v>
      </c>
      <c r="P90" s="234">
        <f ca="1">OFFSET($A$1,MATCH(Z85,$A:$A,0)-1,O90)</f>
        <v>1.3</v>
      </c>
      <c r="Q90" s="144" t="s">
        <v>29</v>
      </c>
      <c r="R90" s="118">
        <f t="shared" ca="1" si="19"/>
        <v>235459</v>
      </c>
      <c r="S90" s="118">
        <f t="shared" ca="1" si="19"/>
        <v>306096</v>
      </c>
      <c r="T90" s="118">
        <f ca="1">초급</f>
        <v>235459</v>
      </c>
      <c r="U90" s="118">
        <f t="shared" ca="1" si="20"/>
        <v>306096</v>
      </c>
      <c r="V90" s="118"/>
      <c r="W90" s="118"/>
      <c r="X90" s="118"/>
      <c r="Y90" s="118"/>
      <c r="Z90" s="115"/>
    </row>
    <row r="91" spans="1:26" ht="18" customHeight="1">
      <c r="A91" s="326">
        <v>30</v>
      </c>
      <c r="B91" s="223" t="str">
        <f t="shared" si="9"/>
        <v>5.5 재원조달 및 운영계획</v>
      </c>
      <c r="C91" s="23"/>
      <c r="D91" s="488">
        <v>0.5</v>
      </c>
      <c r="E91" s="489">
        <v>0.8</v>
      </c>
      <c r="F91" s="489">
        <v>1.8</v>
      </c>
      <c r="G91" s="489">
        <v>3.5</v>
      </c>
      <c r="H91" s="489">
        <v>3.7</v>
      </c>
      <c r="I91" s="490">
        <v>3.3</v>
      </c>
      <c r="J91" s="74"/>
      <c r="K91" s="171" t="s">
        <v>14</v>
      </c>
      <c r="L91" s="171"/>
      <c r="M91" s="171"/>
      <c r="N91" s="319" t="s">
        <v>42</v>
      </c>
      <c r="O91" s="174">
        <v>8</v>
      </c>
      <c r="P91" s="235">
        <f ca="1">OFFSET($A$1,MATCH(Z85,$A:$A,0)-1,O91)</f>
        <v>1.3</v>
      </c>
      <c r="Q91" s="322" t="s">
        <v>29</v>
      </c>
      <c r="R91" s="323">
        <f t="shared" ca="1" si="19"/>
        <v>250087</v>
      </c>
      <c r="S91" s="323">
        <f t="shared" ca="1" si="19"/>
        <v>325113</v>
      </c>
      <c r="T91" s="323">
        <f ca="1">보조원</f>
        <v>250087</v>
      </c>
      <c r="U91" s="323">
        <f t="shared" ca="1" si="20"/>
        <v>325113</v>
      </c>
      <c r="V91" s="323"/>
      <c r="W91" s="323"/>
      <c r="X91" s="323"/>
      <c r="Y91" s="323"/>
      <c r="Z91" s="324"/>
    </row>
    <row r="92" spans="1:26" ht="18" customHeight="1">
      <c r="B92" s="222" t="str">
        <f t="shared" si="9"/>
        <v>6. 성과품작성</v>
      </c>
      <c r="C92" s="47"/>
      <c r="D92" s="503">
        <f t="shared" ref="D92:I92" si="21">SUBTOTAL(9,D93:D94)</f>
        <v>1.5</v>
      </c>
      <c r="E92" s="504">
        <f t="shared" si="21"/>
        <v>2.4000000000000004</v>
      </c>
      <c r="F92" s="504">
        <f t="shared" si="21"/>
        <v>5.9</v>
      </c>
      <c r="G92" s="504">
        <f t="shared" si="21"/>
        <v>11.100000000000001</v>
      </c>
      <c r="H92" s="504">
        <f t="shared" si="21"/>
        <v>19.899999999999999</v>
      </c>
      <c r="I92" s="505">
        <f t="shared" si="21"/>
        <v>21.7</v>
      </c>
      <c r="J92" s="74"/>
      <c r="K92" s="171" t="s">
        <v>701</v>
      </c>
      <c r="L92" s="171"/>
      <c r="M92" s="171"/>
      <c r="N92" s="139" t="s">
        <v>700</v>
      </c>
      <c r="O92" s="68"/>
      <c r="P92" s="69"/>
      <c r="Q92" s="70"/>
      <c r="R92" s="71"/>
      <c r="S92" s="71">
        <f ca="1">SUBTOTAL(9,S86:S91)</f>
        <v>1220388</v>
      </c>
      <c r="T92" s="71"/>
      <c r="U92" s="71">
        <f ca="1">SUBTOTAL(9,U86:U91)</f>
        <v>1220388</v>
      </c>
      <c r="V92" s="71"/>
      <c r="W92" s="71"/>
      <c r="X92" s="71"/>
      <c r="Y92" s="71"/>
      <c r="Z92" s="68"/>
    </row>
    <row r="93" spans="1:26" ht="18" customHeight="1">
      <c r="A93" s="326">
        <v>31</v>
      </c>
      <c r="B93" s="223" t="str">
        <f t="shared" si="9"/>
        <v>6.1 보고서작성 및 편집</v>
      </c>
      <c r="C93" s="23"/>
      <c r="D93" s="488">
        <f t="array" ref="D93:I94">ROUND(D50:I51*L50:L51*D5,1)</f>
        <v>1</v>
      </c>
      <c r="E93" s="489">
        <v>1.6</v>
      </c>
      <c r="F93" s="489">
        <v>3.9</v>
      </c>
      <c r="G93" s="489">
        <v>7.4</v>
      </c>
      <c r="H93" s="489">
        <v>8</v>
      </c>
      <c r="I93" s="490">
        <v>8.6999999999999993</v>
      </c>
      <c r="J93" s="74"/>
      <c r="K93" s="171" t="s">
        <v>699</v>
      </c>
      <c r="L93" s="171"/>
      <c r="M93" s="171"/>
      <c r="N93" s="532" t="str">
        <f ca="1">"제 " &amp; Z93 &amp; " 호표  "&amp; OFFSET($A$1,MATCH(Z93,$A:$A,0)-1,1)</f>
        <v>제 4 호표  1.4 스마트도시 건설 및 정보통신 관련 기술</v>
      </c>
      <c r="O93" s="533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4</v>
      </c>
    </row>
    <row r="94" spans="1:26" ht="18" customHeight="1">
      <c r="A94" s="326">
        <v>32</v>
      </c>
      <c r="B94" s="259" t="str">
        <f t="shared" si="9"/>
        <v>6.2 관련도서작성</v>
      </c>
      <c r="C94" s="43"/>
      <c r="D94" s="491">
        <v>0.5</v>
      </c>
      <c r="E94" s="492">
        <v>0.8</v>
      </c>
      <c r="F94" s="492">
        <v>2</v>
      </c>
      <c r="G94" s="492">
        <v>3.7</v>
      </c>
      <c r="H94" s="492">
        <v>11.9</v>
      </c>
      <c r="I94" s="493">
        <v>13</v>
      </c>
      <c r="J94" s="74"/>
      <c r="K94" s="171" t="s">
        <v>699</v>
      </c>
      <c r="L94" s="171"/>
      <c r="M94" s="171"/>
      <c r="N94" s="140" t="s">
        <v>43</v>
      </c>
      <c r="O94" s="172">
        <v>3</v>
      </c>
      <c r="P94" s="534">
        <f ca="1">OFFSET($A$1,MATCH(Z93,$A:$A,0)-1,O94)</f>
        <v>0.2</v>
      </c>
      <c r="Q94" s="141" t="s">
        <v>29</v>
      </c>
      <c r="R94" s="142">
        <f t="shared" ref="R94:S99" ca="1" si="22">T94</f>
        <v>467217</v>
      </c>
      <c r="S94" s="142">
        <f t="shared" ca="1" si="22"/>
        <v>93443</v>
      </c>
      <c r="T94" s="142">
        <f ca="1">기술사</f>
        <v>467217</v>
      </c>
      <c r="U94" s="142">
        <f t="shared" ref="U94:U99" ca="1" si="23">ROUNDDOWN(P94*R94,0)</f>
        <v>93443</v>
      </c>
      <c r="V94" s="142"/>
      <c r="W94" s="142"/>
      <c r="X94" s="142"/>
      <c r="Y94" s="142"/>
      <c r="Z94" s="114"/>
    </row>
    <row r="95" spans="1:26" ht="18" customHeight="1">
      <c r="B95" s="222" t="str">
        <f t="shared" si="9"/>
        <v>7. 기술협의</v>
      </c>
      <c r="C95" s="47"/>
      <c r="D95" s="503">
        <f t="shared" ref="D95:I95" si="24">SUBTOTAL(9,D96:D98)</f>
        <v>3</v>
      </c>
      <c r="E95" s="504">
        <f t="shared" si="24"/>
        <v>3</v>
      </c>
      <c r="F95" s="504">
        <f t="shared" si="24"/>
        <v>3</v>
      </c>
      <c r="G95" s="504">
        <f t="shared" si="24"/>
        <v>6</v>
      </c>
      <c r="H95" s="504">
        <f t="shared" si="24"/>
        <v>6</v>
      </c>
      <c r="I95" s="505">
        <f t="shared" si="24"/>
        <v>6</v>
      </c>
      <c r="J95" s="74"/>
      <c r="K95" s="171" t="s">
        <v>699</v>
      </c>
      <c r="L95" s="171"/>
      <c r="M95" s="171"/>
      <c r="N95" s="143" t="s">
        <v>32</v>
      </c>
      <c r="O95" s="173">
        <v>4</v>
      </c>
      <c r="P95" s="234">
        <f ca="1">OFFSET($A$1,MATCH(Z93,$A:$A,0)-1,O95)</f>
        <v>0.2</v>
      </c>
      <c r="Q95" s="144" t="s">
        <v>29</v>
      </c>
      <c r="R95" s="118">
        <f t="shared" ca="1" si="22"/>
        <v>373353</v>
      </c>
      <c r="S95" s="118">
        <f t="shared" ca="1" si="22"/>
        <v>74670</v>
      </c>
      <c r="T95" s="118">
        <f ca="1">특급</f>
        <v>373353</v>
      </c>
      <c r="U95" s="118">
        <f t="shared" ca="1" si="23"/>
        <v>74670</v>
      </c>
      <c r="V95" s="118"/>
      <c r="W95" s="118"/>
      <c r="X95" s="118"/>
      <c r="Y95" s="118"/>
      <c r="Z95" s="115"/>
    </row>
    <row r="96" spans="1:26" ht="18" customHeight="1">
      <c r="A96" s="326">
        <v>33</v>
      </c>
      <c r="B96" s="223" t="str">
        <f t="shared" si="9"/>
        <v>7.1 공청회/주민설명회</v>
      </c>
      <c r="C96" s="23"/>
      <c r="D96" s="488">
        <f t="array" ref="D96:I98">ROUND(D53:I55*L53:L55*I5,1)</f>
        <v>1</v>
      </c>
      <c r="E96" s="489">
        <v>1</v>
      </c>
      <c r="F96" s="489">
        <v>1</v>
      </c>
      <c r="G96" s="489">
        <v>2</v>
      </c>
      <c r="H96" s="489">
        <v>2</v>
      </c>
      <c r="I96" s="490">
        <v>2</v>
      </c>
      <c r="J96" s="74"/>
      <c r="K96" s="171" t="s">
        <v>699</v>
      </c>
      <c r="L96" s="171"/>
      <c r="M96" s="171"/>
      <c r="N96" s="145" t="s">
        <v>39</v>
      </c>
      <c r="O96" s="173">
        <v>5</v>
      </c>
      <c r="P96" s="234">
        <f ca="1">OFFSET($A$1,MATCH(Z93,$A:$A,0)-1,O96)</f>
        <v>0.5</v>
      </c>
      <c r="Q96" s="144" t="s">
        <v>29</v>
      </c>
      <c r="R96" s="118">
        <f t="shared" ca="1" si="22"/>
        <v>310884</v>
      </c>
      <c r="S96" s="118">
        <f t="shared" ca="1" si="22"/>
        <v>155442</v>
      </c>
      <c r="T96" s="118">
        <f ca="1">고급</f>
        <v>310884</v>
      </c>
      <c r="U96" s="118">
        <f t="shared" ca="1" si="23"/>
        <v>155442</v>
      </c>
      <c r="V96" s="118"/>
      <c r="W96" s="118"/>
      <c r="X96" s="118"/>
      <c r="Y96" s="118"/>
      <c r="Z96" s="115"/>
    </row>
    <row r="97" spans="1:26" ht="18" customHeight="1">
      <c r="A97" s="326">
        <v>34</v>
      </c>
      <c r="B97" s="223" t="str">
        <f t="shared" si="9"/>
        <v>7.2 위원회심의 지원</v>
      </c>
      <c r="C97" s="23"/>
      <c r="D97" s="488">
        <v>1</v>
      </c>
      <c r="E97" s="489">
        <v>1</v>
      </c>
      <c r="F97" s="489">
        <v>1</v>
      </c>
      <c r="G97" s="489">
        <v>2</v>
      </c>
      <c r="H97" s="489">
        <v>2</v>
      </c>
      <c r="I97" s="490">
        <v>2</v>
      </c>
      <c r="J97" s="74"/>
      <c r="K97" s="171" t="s">
        <v>699</v>
      </c>
      <c r="L97" s="171"/>
      <c r="M97" s="171"/>
      <c r="N97" s="145" t="s">
        <v>40</v>
      </c>
      <c r="O97" s="173">
        <v>6</v>
      </c>
      <c r="P97" s="234">
        <f ca="1">OFFSET($A$1,MATCH(Z93,$A:$A,0)-1,O97)</f>
        <v>0.9</v>
      </c>
      <c r="Q97" s="144" t="s">
        <v>29</v>
      </c>
      <c r="R97" s="118">
        <f t="shared" ca="1" si="22"/>
        <v>295138</v>
      </c>
      <c r="S97" s="118">
        <f t="shared" ca="1" si="22"/>
        <v>265624</v>
      </c>
      <c r="T97" s="118">
        <f ca="1">중급</f>
        <v>295138</v>
      </c>
      <c r="U97" s="118">
        <f t="shared" ca="1" si="23"/>
        <v>265624</v>
      </c>
      <c r="V97" s="118"/>
      <c r="W97" s="118"/>
      <c r="X97" s="118"/>
      <c r="Y97" s="118"/>
      <c r="Z97" s="115"/>
    </row>
    <row r="98" spans="1:26" ht="18" customHeight="1" thickBot="1">
      <c r="A98" s="326">
        <v>35</v>
      </c>
      <c r="B98" s="388" t="str">
        <f t="shared" si="9"/>
        <v>7.3 관계기관 협의</v>
      </c>
      <c r="C98" s="342"/>
      <c r="D98" s="535">
        <v>1</v>
      </c>
      <c r="E98" s="536">
        <v>1</v>
      </c>
      <c r="F98" s="536">
        <v>1</v>
      </c>
      <c r="G98" s="536">
        <v>2</v>
      </c>
      <c r="H98" s="536">
        <v>2</v>
      </c>
      <c r="I98" s="537">
        <v>2</v>
      </c>
      <c r="J98" s="176"/>
      <c r="K98" s="171" t="s">
        <v>699</v>
      </c>
      <c r="L98" s="171"/>
      <c r="M98" s="171"/>
      <c r="N98" s="145" t="s">
        <v>41</v>
      </c>
      <c r="O98" s="173">
        <v>7</v>
      </c>
      <c r="P98" s="234">
        <f ca="1">OFFSET($A$1,MATCH(Z93,$A:$A,0)-1,O98)</f>
        <v>1.3</v>
      </c>
      <c r="Q98" s="144" t="s">
        <v>29</v>
      </c>
      <c r="R98" s="118">
        <f t="shared" ca="1" si="22"/>
        <v>235459</v>
      </c>
      <c r="S98" s="118">
        <f t="shared" ca="1" si="22"/>
        <v>306096</v>
      </c>
      <c r="T98" s="118">
        <f ca="1">초급</f>
        <v>235459</v>
      </c>
      <c r="U98" s="118">
        <f t="shared" ca="1" si="23"/>
        <v>306096</v>
      </c>
      <c r="V98" s="118"/>
      <c r="W98" s="118"/>
      <c r="X98" s="118"/>
      <c r="Y98" s="118"/>
      <c r="Z98" s="115"/>
    </row>
    <row r="99" spans="1:26" ht="18" customHeight="1">
      <c r="B99" s="80" t="s">
        <v>15</v>
      </c>
      <c r="C99" s="9" t="s">
        <v>1327</v>
      </c>
      <c r="K99" s="171" t="s">
        <v>702</v>
      </c>
      <c r="L99" s="171"/>
      <c r="M99" s="171"/>
      <c r="N99" s="319" t="s">
        <v>42</v>
      </c>
      <c r="O99" s="174">
        <v>8</v>
      </c>
      <c r="P99" s="235">
        <f ca="1">OFFSET($A$1,MATCH(Z93,$A:$A,0)-1,O99)</f>
        <v>1.3</v>
      </c>
      <c r="Q99" s="322" t="s">
        <v>29</v>
      </c>
      <c r="R99" s="323">
        <f t="shared" ca="1" si="22"/>
        <v>250087</v>
      </c>
      <c r="S99" s="323">
        <f t="shared" ca="1" si="22"/>
        <v>325113</v>
      </c>
      <c r="T99" s="323">
        <f ca="1">보조원</f>
        <v>250087</v>
      </c>
      <c r="U99" s="323">
        <f t="shared" ca="1" si="23"/>
        <v>325113</v>
      </c>
      <c r="V99" s="323"/>
      <c r="W99" s="323"/>
      <c r="X99" s="323"/>
      <c r="Y99" s="323"/>
      <c r="Z99" s="324"/>
    </row>
    <row r="100" spans="1:26" ht="18" customHeight="1">
      <c r="C100" s="1" t="s">
        <v>1217</v>
      </c>
      <c r="K100" s="171" t="s">
        <v>14</v>
      </c>
      <c r="L100" s="171"/>
      <c r="M100" s="171"/>
      <c r="N100" s="139" t="s">
        <v>698</v>
      </c>
      <c r="O100" s="68"/>
      <c r="P100" s="69"/>
      <c r="Q100" s="70"/>
      <c r="R100" s="71"/>
      <c r="S100" s="71">
        <f ca="1">SUBTOTAL(9,S94:S99)</f>
        <v>1220388</v>
      </c>
      <c r="T100" s="71"/>
      <c r="U100" s="71">
        <f ca="1">SUBTOTAL(9,U94:U99)</f>
        <v>1220388</v>
      </c>
      <c r="V100" s="71"/>
      <c r="W100" s="71"/>
      <c r="X100" s="71"/>
      <c r="Y100" s="71"/>
      <c r="Z100" s="68"/>
    </row>
    <row r="101" spans="1:26" ht="18" customHeight="1">
      <c r="C101" s="9" t="s">
        <v>1218</v>
      </c>
      <c r="K101" s="171" t="s">
        <v>14</v>
      </c>
      <c r="L101" s="171"/>
      <c r="M101" s="171"/>
      <c r="N101" s="532" t="str">
        <f ca="1">"제 " &amp; Z101 &amp; " 호표  "&amp; OFFSET($A$1,MATCH(Z101,$A:$A,0)-1,1)</f>
        <v>제 5 호표  1.5 스마트도시 정보시스템 현황</v>
      </c>
      <c r="O101" s="533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5</v>
      </c>
    </row>
    <row r="102" spans="1:26" ht="18" customHeight="1">
      <c r="C102" s="9" t="s">
        <v>1328</v>
      </c>
      <c r="K102" s="171" t="s">
        <v>703</v>
      </c>
      <c r="L102" s="171"/>
      <c r="M102" s="171"/>
      <c r="N102" s="140" t="s">
        <v>43</v>
      </c>
      <c r="O102" s="172">
        <v>3</v>
      </c>
      <c r="P102" s="534">
        <f ca="1">OFFSET($A$1,MATCH(Z101,$A:$A,0)-1,O102)</f>
        <v>0.8</v>
      </c>
      <c r="Q102" s="141" t="s">
        <v>29</v>
      </c>
      <c r="R102" s="142">
        <f t="shared" ref="R102:S107" ca="1" si="25">T102</f>
        <v>467217</v>
      </c>
      <c r="S102" s="142">
        <f t="shared" ca="1" si="25"/>
        <v>373773</v>
      </c>
      <c r="T102" s="142">
        <f ca="1">기술사</f>
        <v>467217</v>
      </c>
      <c r="U102" s="142">
        <f t="shared" ref="U102:U107" ca="1" si="26">ROUNDDOWN(P102*R102,0)</f>
        <v>373773</v>
      </c>
      <c r="V102" s="142"/>
      <c r="W102" s="142"/>
      <c r="X102" s="142"/>
      <c r="Y102" s="142"/>
      <c r="Z102" s="114"/>
    </row>
    <row r="103" spans="1:26" ht="18" customHeight="1">
      <c r="K103" s="171" t="s">
        <v>14</v>
      </c>
      <c r="L103" s="171"/>
      <c r="M103" s="171"/>
      <c r="N103" s="143" t="s">
        <v>32</v>
      </c>
      <c r="O103" s="173">
        <v>4</v>
      </c>
      <c r="P103" s="234">
        <f ca="1">OFFSET($A$1,MATCH(Z101,$A:$A,0)-1,O103)</f>
        <v>1.5</v>
      </c>
      <c r="Q103" s="144" t="s">
        <v>29</v>
      </c>
      <c r="R103" s="118">
        <f t="shared" ca="1" si="25"/>
        <v>373353</v>
      </c>
      <c r="S103" s="118">
        <f t="shared" ca="1" si="25"/>
        <v>560029</v>
      </c>
      <c r="T103" s="118">
        <f ca="1">특급</f>
        <v>373353</v>
      </c>
      <c r="U103" s="118">
        <f t="shared" ca="1" si="26"/>
        <v>560029</v>
      </c>
      <c r="V103" s="118"/>
      <c r="W103" s="118"/>
      <c r="X103" s="118"/>
      <c r="Y103" s="118"/>
      <c r="Z103" s="115"/>
    </row>
    <row r="104" spans="1:26" ht="18" customHeight="1">
      <c r="C104" s="9"/>
      <c r="K104" s="171" t="s">
        <v>699</v>
      </c>
      <c r="L104" s="171"/>
      <c r="M104" s="171"/>
      <c r="N104" s="145" t="s">
        <v>39</v>
      </c>
      <c r="O104" s="173">
        <v>5</v>
      </c>
      <c r="P104" s="234">
        <f ca="1">OFFSET($A$1,MATCH(Z101,$A:$A,0)-1,O104)</f>
        <v>4.5</v>
      </c>
      <c r="Q104" s="144" t="s">
        <v>29</v>
      </c>
      <c r="R104" s="118">
        <f t="shared" ca="1" si="25"/>
        <v>310884</v>
      </c>
      <c r="S104" s="118">
        <f t="shared" ca="1" si="25"/>
        <v>1398978</v>
      </c>
      <c r="T104" s="118">
        <f ca="1">고급</f>
        <v>310884</v>
      </c>
      <c r="U104" s="118">
        <f t="shared" ca="1" si="26"/>
        <v>1398978</v>
      </c>
      <c r="V104" s="118"/>
      <c r="W104" s="118"/>
      <c r="X104" s="118"/>
      <c r="Y104" s="118"/>
      <c r="Z104" s="115"/>
    </row>
    <row r="105" spans="1:26" ht="18" customHeight="1">
      <c r="C105" s="9"/>
      <c r="K105" s="171" t="s">
        <v>699</v>
      </c>
      <c r="L105" s="171"/>
      <c r="M105" s="171"/>
      <c r="N105" s="145" t="s">
        <v>40</v>
      </c>
      <c r="O105" s="173">
        <v>6</v>
      </c>
      <c r="P105" s="234">
        <f ca="1">OFFSET($A$1,MATCH(Z101,$A:$A,0)-1,O105)</f>
        <v>7.5</v>
      </c>
      <c r="Q105" s="144" t="s">
        <v>29</v>
      </c>
      <c r="R105" s="118">
        <f t="shared" ca="1" si="25"/>
        <v>295138</v>
      </c>
      <c r="S105" s="118">
        <f t="shared" ca="1" si="25"/>
        <v>2213535</v>
      </c>
      <c r="T105" s="118">
        <f ca="1">중급</f>
        <v>295138</v>
      </c>
      <c r="U105" s="118">
        <f t="shared" ca="1" si="26"/>
        <v>2213535</v>
      </c>
      <c r="V105" s="118"/>
      <c r="W105" s="118"/>
      <c r="X105" s="118"/>
      <c r="Y105" s="118"/>
      <c r="Z105" s="115"/>
    </row>
    <row r="106" spans="1:26" ht="18" customHeight="1">
      <c r="K106" s="171" t="s">
        <v>702</v>
      </c>
      <c r="L106" s="171"/>
      <c r="M106" s="171"/>
      <c r="N106" s="145" t="s">
        <v>41</v>
      </c>
      <c r="O106" s="173">
        <v>7</v>
      </c>
      <c r="P106" s="234">
        <f ca="1">OFFSET($A$1,MATCH(Z101,$A:$A,0)-1,O106)</f>
        <v>12</v>
      </c>
      <c r="Q106" s="144" t="s">
        <v>29</v>
      </c>
      <c r="R106" s="118">
        <f t="shared" ca="1" si="25"/>
        <v>235459</v>
      </c>
      <c r="S106" s="118">
        <f t="shared" ca="1" si="25"/>
        <v>2825508</v>
      </c>
      <c r="T106" s="118">
        <f ca="1">초급</f>
        <v>235459</v>
      </c>
      <c r="U106" s="118">
        <f t="shared" ca="1" si="26"/>
        <v>2825508</v>
      </c>
      <c r="V106" s="118"/>
      <c r="W106" s="118"/>
      <c r="X106" s="118"/>
      <c r="Y106" s="118"/>
      <c r="Z106" s="115"/>
    </row>
    <row r="107" spans="1:26" ht="18" customHeight="1">
      <c r="K107" s="171" t="s">
        <v>14</v>
      </c>
      <c r="L107" s="171"/>
      <c r="M107" s="171"/>
      <c r="N107" s="319" t="s">
        <v>42</v>
      </c>
      <c r="O107" s="174">
        <v>8</v>
      </c>
      <c r="P107" s="235">
        <f ca="1">OFFSET($A$1,MATCH(Z101,$A:$A,0)-1,O107)</f>
        <v>18.5</v>
      </c>
      <c r="Q107" s="322" t="s">
        <v>29</v>
      </c>
      <c r="R107" s="323">
        <f t="shared" ca="1" si="25"/>
        <v>250087</v>
      </c>
      <c r="S107" s="323">
        <f t="shared" ca="1" si="25"/>
        <v>4626609</v>
      </c>
      <c r="T107" s="323">
        <f ca="1">보조원</f>
        <v>250087</v>
      </c>
      <c r="U107" s="323">
        <f t="shared" ca="1" si="26"/>
        <v>4626609</v>
      </c>
      <c r="V107" s="323"/>
      <c r="W107" s="323"/>
      <c r="X107" s="323"/>
      <c r="Y107" s="323"/>
      <c r="Z107" s="324"/>
    </row>
    <row r="108" spans="1:26" ht="18" customHeight="1">
      <c r="K108" s="171" t="s">
        <v>699</v>
      </c>
      <c r="L108" s="171"/>
      <c r="M108" s="171"/>
      <c r="N108" s="139" t="s">
        <v>700</v>
      </c>
      <c r="O108" s="68"/>
      <c r="P108" s="69"/>
      <c r="Q108" s="70"/>
      <c r="R108" s="71"/>
      <c r="S108" s="71">
        <f ca="1">SUBTOTAL(9,S102:S107)</f>
        <v>11998432</v>
      </c>
      <c r="T108" s="71"/>
      <c r="U108" s="71">
        <f ca="1">SUBTOTAL(9,U102:U107)</f>
        <v>11998432</v>
      </c>
      <c r="V108" s="71"/>
      <c r="W108" s="71"/>
      <c r="X108" s="71"/>
      <c r="Y108" s="71"/>
      <c r="Z108" s="68"/>
    </row>
    <row r="109" spans="1:26" ht="18" customHeight="1">
      <c r="K109" s="171" t="s">
        <v>699</v>
      </c>
      <c r="L109" s="171"/>
      <c r="M109" s="171"/>
      <c r="N109" s="532" t="str">
        <f ca="1">"제 " &amp; Z109 &amp; " 호표  "&amp; OFFSET($A$1,MATCH(Z109,$A:$A,0)-1,1)</f>
        <v>제 6 호표  1.6 스마트도시 공공시설, 정보통신망, 운영센터 구축 현황</v>
      </c>
      <c r="O109" s="533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6</v>
      </c>
    </row>
    <row r="110" spans="1:26" ht="18" customHeight="1">
      <c r="K110" s="171" t="s">
        <v>699</v>
      </c>
      <c r="L110" s="171"/>
      <c r="M110" s="171"/>
      <c r="N110" s="140" t="s">
        <v>43</v>
      </c>
      <c r="O110" s="172">
        <v>3</v>
      </c>
      <c r="P110" s="534">
        <f ca="1">OFFSET($A$1,MATCH(Z109,$A:$A,0)-1,O110)</f>
        <v>0.8</v>
      </c>
      <c r="Q110" s="141" t="s">
        <v>29</v>
      </c>
      <c r="R110" s="142">
        <f t="shared" ref="R110:S115" ca="1" si="27">T110</f>
        <v>467217</v>
      </c>
      <c r="S110" s="142">
        <f t="shared" ca="1" si="27"/>
        <v>373773</v>
      </c>
      <c r="T110" s="142">
        <f ca="1">기술사</f>
        <v>467217</v>
      </c>
      <c r="U110" s="142">
        <f t="shared" ref="U110:U115" ca="1" si="28">ROUNDDOWN(P110*R110,0)</f>
        <v>373773</v>
      </c>
      <c r="V110" s="142"/>
      <c r="W110" s="142"/>
      <c r="X110" s="142"/>
      <c r="Y110" s="142"/>
      <c r="Z110" s="114"/>
    </row>
    <row r="111" spans="1:26" ht="18" customHeight="1">
      <c r="K111" s="171" t="s">
        <v>699</v>
      </c>
      <c r="L111" s="171"/>
      <c r="M111" s="171"/>
      <c r="N111" s="143" t="s">
        <v>32</v>
      </c>
      <c r="O111" s="173">
        <v>4</v>
      </c>
      <c r="P111" s="234">
        <f ca="1">OFFSET($A$1,MATCH(Z109,$A:$A,0)-1,O111)</f>
        <v>1.5</v>
      </c>
      <c r="Q111" s="144" t="s">
        <v>29</v>
      </c>
      <c r="R111" s="118">
        <f t="shared" ca="1" si="27"/>
        <v>373353</v>
      </c>
      <c r="S111" s="118">
        <f t="shared" ca="1" si="27"/>
        <v>560029</v>
      </c>
      <c r="T111" s="118">
        <f ca="1">특급</f>
        <v>373353</v>
      </c>
      <c r="U111" s="118">
        <f t="shared" ca="1" si="28"/>
        <v>560029</v>
      </c>
      <c r="V111" s="118"/>
      <c r="W111" s="118"/>
      <c r="X111" s="118"/>
      <c r="Y111" s="118"/>
      <c r="Z111" s="115"/>
    </row>
    <row r="112" spans="1:26" ht="18" customHeight="1">
      <c r="K112" s="171" t="s">
        <v>699</v>
      </c>
      <c r="L112" s="171"/>
      <c r="M112" s="171"/>
      <c r="N112" s="145" t="s">
        <v>39</v>
      </c>
      <c r="O112" s="173">
        <v>5</v>
      </c>
      <c r="P112" s="234">
        <f ca="1">OFFSET($A$1,MATCH(Z109,$A:$A,0)-1,O112)</f>
        <v>4.5</v>
      </c>
      <c r="Q112" s="144" t="s">
        <v>29</v>
      </c>
      <c r="R112" s="118">
        <f t="shared" ca="1" si="27"/>
        <v>310884</v>
      </c>
      <c r="S112" s="118">
        <f t="shared" ca="1" si="27"/>
        <v>1398978</v>
      </c>
      <c r="T112" s="118">
        <f ca="1">고급</f>
        <v>310884</v>
      </c>
      <c r="U112" s="118">
        <f t="shared" ca="1" si="28"/>
        <v>1398978</v>
      </c>
      <c r="V112" s="118"/>
      <c r="W112" s="118"/>
      <c r="X112" s="118"/>
      <c r="Y112" s="118"/>
      <c r="Z112" s="115"/>
    </row>
    <row r="113" spans="11:26" ht="18" customHeight="1">
      <c r="K113" s="171" t="s">
        <v>699</v>
      </c>
      <c r="L113" s="171"/>
      <c r="M113" s="171"/>
      <c r="N113" s="145" t="s">
        <v>40</v>
      </c>
      <c r="O113" s="173">
        <v>6</v>
      </c>
      <c r="P113" s="234">
        <f ca="1">OFFSET($A$1,MATCH(Z109,$A:$A,0)-1,O113)</f>
        <v>7.5</v>
      </c>
      <c r="Q113" s="144" t="s">
        <v>29</v>
      </c>
      <c r="R113" s="118">
        <f t="shared" ca="1" si="27"/>
        <v>295138</v>
      </c>
      <c r="S113" s="118">
        <f t="shared" ca="1" si="27"/>
        <v>2213535</v>
      </c>
      <c r="T113" s="118">
        <f ca="1">중급</f>
        <v>295138</v>
      </c>
      <c r="U113" s="118">
        <f t="shared" ca="1" si="28"/>
        <v>2213535</v>
      </c>
      <c r="V113" s="118"/>
      <c r="W113" s="118"/>
      <c r="X113" s="118"/>
      <c r="Y113" s="118"/>
      <c r="Z113" s="115"/>
    </row>
    <row r="114" spans="11:26" ht="18" customHeight="1">
      <c r="K114" s="171" t="s">
        <v>699</v>
      </c>
      <c r="L114" s="171"/>
      <c r="M114" s="171"/>
      <c r="N114" s="145" t="s">
        <v>41</v>
      </c>
      <c r="O114" s="173">
        <v>7</v>
      </c>
      <c r="P114" s="234">
        <f ca="1">OFFSET($A$1,MATCH(Z109,$A:$A,0)-1,O114)</f>
        <v>12</v>
      </c>
      <c r="Q114" s="144" t="s">
        <v>29</v>
      </c>
      <c r="R114" s="118">
        <f t="shared" ca="1" si="27"/>
        <v>235459</v>
      </c>
      <c r="S114" s="118">
        <f t="shared" ca="1" si="27"/>
        <v>2825508</v>
      </c>
      <c r="T114" s="118">
        <f ca="1">초급</f>
        <v>235459</v>
      </c>
      <c r="U114" s="118">
        <f t="shared" ca="1" si="28"/>
        <v>2825508</v>
      </c>
      <c r="V114" s="118"/>
      <c r="W114" s="118"/>
      <c r="X114" s="118"/>
      <c r="Y114" s="118"/>
      <c r="Z114" s="115"/>
    </row>
    <row r="115" spans="11:26" ht="18" customHeight="1">
      <c r="K115" s="171" t="s">
        <v>702</v>
      </c>
      <c r="L115" s="171"/>
      <c r="M115" s="171"/>
      <c r="N115" s="319" t="s">
        <v>42</v>
      </c>
      <c r="O115" s="174">
        <v>8</v>
      </c>
      <c r="P115" s="235">
        <f ca="1">OFFSET($A$1,MATCH(Z109,$A:$A,0)-1,O115)</f>
        <v>18.5</v>
      </c>
      <c r="Q115" s="322" t="s">
        <v>29</v>
      </c>
      <c r="R115" s="323">
        <f t="shared" ca="1" si="27"/>
        <v>250087</v>
      </c>
      <c r="S115" s="323">
        <f t="shared" ca="1" si="27"/>
        <v>4626609</v>
      </c>
      <c r="T115" s="323">
        <f ca="1">보조원</f>
        <v>250087</v>
      </c>
      <c r="U115" s="323">
        <f t="shared" ca="1" si="28"/>
        <v>4626609</v>
      </c>
      <c r="V115" s="323"/>
      <c r="W115" s="323"/>
      <c r="X115" s="323"/>
      <c r="Y115" s="323"/>
      <c r="Z115" s="324"/>
    </row>
    <row r="116" spans="11:26" ht="18" customHeight="1">
      <c r="K116" s="171" t="s">
        <v>699</v>
      </c>
      <c r="L116" s="171"/>
      <c r="M116" s="171"/>
      <c r="N116" s="139" t="s">
        <v>698</v>
      </c>
      <c r="O116" s="68"/>
      <c r="P116" s="69"/>
      <c r="Q116" s="70"/>
      <c r="R116" s="71"/>
      <c r="S116" s="71">
        <f ca="1">SUBTOTAL(9,S110:S115)</f>
        <v>11998432</v>
      </c>
      <c r="T116" s="71"/>
      <c r="U116" s="71">
        <f ca="1">SUBTOTAL(9,U110:U115)</f>
        <v>11998432</v>
      </c>
      <c r="V116" s="71"/>
      <c r="W116" s="71"/>
      <c r="X116" s="71"/>
      <c r="Y116" s="71"/>
      <c r="Z116" s="68"/>
    </row>
    <row r="117" spans="11:26" ht="18" customHeight="1">
      <c r="K117" s="171" t="s">
        <v>702</v>
      </c>
      <c r="L117" s="171"/>
      <c r="M117" s="171"/>
      <c r="N117" s="532" t="str">
        <f ca="1">"제 " &amp; Z117 &amp; " 호표  "&amp; OFFSET($A$1,MATCH(Z117,$A:$A,0)-1,1)</f>
        <v>제 7 호표  1.7 스마트도시 서비스 구축 및 운영 현황</v>
      </c>
      <c r="O117" s="533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7</v>
      </c>
    </row>
    <row r="118" spans="11:26" ht="18" customHeight="1">
      <c r="K118" s="171" t="s">
        <v>699</v>
      </c>
      <c r="L118" s="171"/>
      <c r="M118" s="171"/>
      <c r="N118" s="140" t="s">
        <v>43</v>
      </c>
      <c r="O118" s="172">
        <v>3</v>
      </c>
      <c r="P118" s="534">
        <f ca="1">OFFSET($A$1,MATCH(Z117,$A:$A,0)-1,O118)</f>
        <v>0.8</v>
      </c>
      <c r="Q118" s="141" t="s">
        <v>29</v>
      </c>
      <c r="R118" s="142">
        <f t="shared" ref="R118:S123" ca="1" si="29">T118</f>
        <v>467217</v>
      </c>
      <c r="S118" s="142">
        <f t="shared" ca="1" si="29"/>
        <v>373773</v>
      </c>
      <c r="T118" s="142">
        <f ca="1">기술사</f>
        <v>467217</v>
      </c>
      <c r="U118" s="142">
        <f t="shared" ref="U118:U123" ca="1" si="30">ROUNDDOWN(P118*R118,0)</f>
        <v>373773</v>
      </c>
      <c r="V118" s="142"/>
      <c r="W118" s="142"/>
      <c r="X118" s="142"/>
      <c r="Y118" s="142"/>
      <c r="Z118" s="114"/>
    </row>
    <row r="119" spans="11:26" ht="18" customHeight="1">
      <c r="K119" s="171" t="s">
        <v>699</v>
      </c>
      <c r="L119" s="171"/>
      <c r="M119" s="171"/>
      <c r="N119" s="143" t="s">
        <v>32</v>
      </c>
      <c r="O119" s="173">
        <v>4</v>
      </c>
      <c r="P119" s="234">
        <f ca="1">OFFSET($A$1,MATCH(Z117,$A:$A,0)-1,O119)</f>
        <v>1.5</v>
      </c>
      <c r="Q119" s="144" t="s">
        <v>29</v>
      </c>
      <c r="R119" s="118">
        <f t="shared" ca="1" si="29"/>
        <v>373353</v>
      </c>
      <c r="S119" s="118">
        <f t="shared" ca="1" si="29"/>
        <v>560029</v>
      </c>
      <c r="T119" s="118">
        <f ca="1">특급</f>
        <v>373353</v>
      </c>
      <c r="U119" s="118">
        <f t="shared" ca="1" si="30"/>
        <v>560029</v>
      </c>
      <c r="V119" s="118"/>
      <c r="W119" s="118"/>
      <c r="X119" s="118"/>
      <c r="Y119" s="118"/>
      <c r="Z119" s="115"/>
    </row>
    <row r="120" spans="11:26" ht="18" customHeight="1">
      <c r="K120" s="171" t="s">
        <v>702</v>
      </c>
      <c r="L120" s="171"/>
      <c r="M120" s="171"/>
      <c r="N120" s="145" t="s">
        <v>39</v>
      </c>
      <c r="O120" s="173">
        <v>5</v>
      </c>
      <c r="P120" s="234">
        <f ca="1">OFFSET($A$1,MATCH(Z117,$A:$A,0)-1,O120)</f>
        <v>4.5</v>
      </c>
      <c r="Q120" s="144" t="s">
        <v>29</v>
      </c>
      <c r="R120" s="118">
        <f t="shared" ca="1" si="29"/>
        <v>310884</v>
      </c>
      <c r="S120" s="118">
        <f t="shared" ca="1" si="29"/>
        <v>1398978</v>
      </c>
      <c r="T120" s="118">
        <f ca="1">고급</f>
        <v>310884</v>
      </c>
      <c r="U120" s="118">
        <f t="shared" ca="1" si="30"/>
        <v>1398978</v>
      </c>
      <c r="V120" s="118"/>
      <c r="W120" s="118"/>
      <c r="X120" s="118"/>
      <c r="Y120" s="118"/>
      <c r="Z120" s="115"/>
    </row>
    <row r="121" spans="11:26" ht="18" customHeight="1">
      <c r="K121" s="171" t="s">
        <v>702</v>
      </c>
      <c r="L121" s="171"/>
      <c r="M121" s="171"/>
      <c r="N121" s="145" t="s">
        <v>40</v>
      </c>
      <c r="O121" s="173">
        <v>6</v>
      </c>
      <c r="P121" s="234">
        <f ca="1">OFFSET($A$1,MATCH(Z117,$A:$A,0)-1,O121)</f>
        <v>7.5</v>
      </c>
      <c r="Q121" s="144" t="s">
        <v>29</v>
      </c>
      <c r="R121" s="118">
        <f t="shared" ca="1" si="29"/>
        <v>295138</v>
      </c>
      <c r="S121" s="118">
        <f t="shared" ca="1" si="29"/>
        <v>2213535</v>
      </c>
      <c r="T121" s="118">
        <f ca="1">중급</f>
        <v>295138</v>
      </c>
      <c r="U121" s="118">
        <f t="shared" ca="1" si="30"/>
        <v>2213535</v>
      </c>
      <c r="V121" s="118"/>
      <c r="W121" s="118"/>
      <c r="X121" s="118"/>
      <c r="Y121" s="118"/>
      <c r="Z121" s="115"/>
    </row>
    <row r="122" spans="11:26" ht="18" customHeight="1">
      <c r="K122" s="171" t="s">
        <v>699</v>
      </c>
      <c r="L122" s="171"/>
      <c r="M122" s="171"/>
      <c r="N122" s="145" t="s">
        <v>41</v>
      </c>
      <c r="O122" s="173">
        <v>7</v>
      </c>
      <c r="P122" s="234">
        <f ca="1">OFFSET($A$1,MATCH(Z117,$A:$A,0)-1,O122)</f>
        <v>12</v>
      </c>
      <c r="Q122" s="144" t="s">
        <v>29</v>
      </c>
      <c r="R122" s="118">
        <f t="shared" ca="1" si="29"/>
        <v>235459</v>
      </c>
      <c r="S122" s="118">
        <f t="shared" ca="1" si="29"/>
        <v>2825508</v>
      </c>
      <c r="T122" s="118">
        <f ca="1">초급</f>
        <v>235459</v>
      </c>
      <c r="U122" s="118">
        <f t="shared" ca="1" si="30"/>
        <v>2825508</v>
      </c>
      <c r="V122" s="118"/>
      <c r="W122" s="118"/>
      <c r="X122" s="118"/>
      <c r="Y122" s="118"/>
      <c r="Z122" s="115"/>
    </row>
    <row r="123" spans="11:26" ht="18" customHeight="1">
      <c r="K123" s="171" t="s">
        <v>702</v>
      </c>
      <c r="L123" s="171"/>
      <c r="M123" s="171"/>
      <c r="N123" s="319" t="s">
        <v>42</v>
      </c>
      <c r="O123" s="174">
        <v>8</v>
      </c>
      <c r="P123" s="235">
        <f ca="1">OFFSET($A$1,MATCH(Z117,$A:$A,0)-1,O123)</f>
        <v>18.5</v>
      </c>
      <c r="Q123" s="322" t="s">
        <v>29</v>
      </c>
      <c r="R123" s="323">
        <f t="shared" ca="1" si="29"/>
        <v>250087</v>
      </c>
      <c r="S123" s="323">
        <f t="shared" ca="1" si="29"/>
        <v>4626609</v>
      </c>
      <c r="T123" s="323">
        <f ca="1">보조원</f>
        <v>250087</v>
      </c>
      <c r="U123" s="323">
        <f t="shared" ca="1" si="30"/>
        <v>4626609</v>
      </c>
      <c r="V123" s="323"/>
      <c r="W123" s="323"/>
      <c r="X123" s="323"/>
      <c r="Y123" s="323"/>
      <c r="Z123" s="324"/>
    </row>
    <row r="124" spans="11:26" ht="18" customHeight="1">
      <c r="K124" s="171" t="s">
        <v>702</v>
      </c>
      <c r="L124" s="171"/>
      <c r="M124" s="171"/>
      <c r="N124" s="139" t="s">
        <v>700</v>
      </c>
      <c r="O124" s="68"/>
      <c r="P124" s="69"/>
      <c r="Q124" s="70"/>
      <c r="R124" s="71"/>
      <c r="S124" s="71">
        <f ca="1">SUBTOTAL(9,S118:S123)</f>
        <v>11998432</v>
      </c>
      <c r="T124" s="71"/>
      <c r="U124" s="71">
        <f ca="1">SUBTOTAL(9,U118:U123)</f>
        <v>11998432</v>
      </c>
      <c r="V124" s="71"/>
      <c r="W124" s="71"/>
      <c r="X124" s="71"/>
      <c r="Y124" s="71"/>
      <c r="Z124" s="68"/>
    </row>
    <row r="125" spans="11:26" ht="18" customHeight="1">
      <c r="K125" s="171" t="s">
        <v>702</v>
      </c>
      <c r="L125" s="171"/>
      <c r="M125" s="171"/>
      <c r="N125" s="532" t="str">
        <f ca="1">"제 " &amp; Z125 &amp; " 호표  "&amp; OFFSET($A$1,MATCH(Z125,$A:$A,0)-1,1)</f>
        <v>제 8 호표  1.8 스마트도시 관련 조직 및 업무현황</v>
      </c>
      <c r="O125" s="533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8</v>
      </c>
    </row>
    <row r="126" spans="11:26" ht="18" customHeight="1">
      <c r="K126" s="171" t="s">
        <v>699</v>
      </c>
      <c r="L126" s="171"/>
      <c r="M126" s="171"/>
      <c r="N126" s="140" t="s">
        <v>43</v>
      </c>
      <c r="O126" s="172">
        <v>3</v>
      </c>
      <c r="P126" s="534">
        <f ca="1">OFFSET($A$1,MATCH(Z125,$A:$A,0)-1,O126)</f>
        <v>0.2</v>
      </c>
      <c r="Q126" s="141" t="s">
        <v>29</v>
      </c>
      <c r="R126" s="142">
        <f t="shared" ref="R126:S131" ca="1" si="31">T126</f>
        <v>467217</v>
      </c>
      <c r="S126" s="142">
        <f t="shared" ca="1" si="31"/>
        <v>93443</v>
      </c>
      <c r="T126" s="142">
        <f ca="1">기술사</f>
        <v>467217</v>
      </c>
      <c r="U126" s="142">
        <f t="shared" ref="U126:U131" ca="1" si="32">ROUNDDOWN(P126*R126,0)</f>
        <v>93443</v>
      </c>
      <c r="V126" s="142"/>
      <c r="W126" s="142"/>
      <c r="X126" s="142"/>
      <c r="Y126" s="142"/>
      <c r="Z126" s="114"/>
    </row>
    <row r="127" spans="11:26" ht="18" customHeight="1">
      <c r="K127" s="171" t="s">
        <v>699</v>
      </c>
      <c r="L127" s="171"/>
      <c r="M127" s="171"/>
      <c r="N127" s="143" t="s">
        <v>32</v>
      </c>
      <c r="O127" s="173">
        <v>4</v>
      </c>
      <c r="P127" s="234">
        <f ca="1">OFFSET($A$1,MATCH(Z125,$A:$A,0)-1,O127)</f>
        <v>0.2</v>
      </c>
      <c r="Q127" s="144" t="s">
        <v>29</v>
      </c>
      <c r="R127" s="118">
        <f t="shared" ca="1" si="31"/>
        <v>373353</v>
      </c>
      <c r="S127" s="118">
        <f t="shared" ca="1" si="31"/>
        <v>74670</v>
      </c>
      <c r="T127" s="118">
        <f ca="1">특급</f>
        <v>373353</v>
      </c>
      <c r="U127" s="118">
        <f t="shared" ca="1" si="32"/>
        <v>74670</v>
      </c>
      <c r="V127" s="118"/>
      <c r="W127" s="118"/>
      <c r="X127" s="118"/>
      <c r="Y127" s="118"/>
      <c r="Z127" s="115"/>
    </row>
    <row r="128" spans="11:26" ht="18" customHeight="1">
      <c r="K128" s="171" t="s">
        <v>699</v>
      </c>
      <c r="L128" s="171"/>
      <c r="M128" s="171"/>
      <c r="N128" s="145" t="s">
        <v>39</v>
      </c>
      <c r="O128" s="173">
        <v>5</v>
      </c>
      <c r="P128" s="234">
        <f ca="1">OFFSET($A$1,MATCH(Z125,$A:$A,0)-1,O128)</f>
        <v>0.5</v>
      </c>
      <c r="Q128" s="144" t="s">
        <v>29</v>
      </c>
      <c r="R128" s="118">
        <f t="shared" ca="1" si="31"/>
        <v>310884</v>
      </c>
      <c r="S128" s="118">
        <f t="shared" ca="1" si="31"/>
        <v>155442</v>
      </c>
      <c r="T128" s="118">
        <f ca="1">고급</f>
        <v>310884</v>
      </c>
      <c r="U128" s="118">
        <f t="shared" ca="1" si="32"/>
        <v>155442</v>
      </c>
      <c r="V128" s="118"/>
      <c r="W128" s="118"/>
      <c r="X128" s="118"/>
      <c r="Y128" s="118"/>
      <c r="Z128" s="115"/>
    </row>
    <row r="129" spans="11:29" ht="18" customHeight="1">
      <c r="K129" s="171" t="s">
        <v>699</v>
      </c>
      <c r="L129" s="171"/>
      <c r="M129" s="171"/>
      <c r="N129" s="145" t="s">
        <v>40</v>
      </c>
      <c r="O129" s="173">
        <v>6</v>
      </c>
      <c r="P129" s="234">
        <f ca="1">OFFSET($A$1,MATCH(Z125,$A:$A,0)-1,O129)</f>
        <v>0.9</v>
      </c>
      <c r="Q129" s="144" t="s">
        <v>29</v>
      </c>
      <c r="R129" s="118">
        <f t="shared" ca="1" si="31"/>
        <v>295138</v>
      </c>
      <c r="S129" s="118">
        <f t="shared" ca="1" si="31"/>
        <v>265624</v>
      </c>
      <c r="T129" s="118">
        <f ca="1">중급</f>
        <v>295138</v>
      </c>
      <c r="U129" s="118">
        <f t="shared" ca="1" si="32"/>
        <v>265624</v>
      </c>
      <c r="V129" s="118"/>
      <c r="W129" s="118"/>
      <c r="X129" s="118"/>
      <c r="Y129" s="118"/>
      <c r="Z129" s="115"/>
    </row>
    <row r="130" spans="11:29" ht="18" customHeight="1">
      <c r="K130" s="171" t="s">
        <v>699</v>
      </c>
      <c r="L130" s="171"/>
      <c r="M130" s="171"/>
      <c r="N130" s="145" t="s">
        <v>41</v>
      </c>
      <c r="O130" s="173">
        <v>7</v>
      </c>
      <c r="P130" s="234">
        <f ca="1">OFFSET($A$1,MATCH(Z125,$A:$A,0)-1,O130)</f>
        <v>1.3</v>
      </c>
      <c r="Q130" s="144" t="s">
        <v>29</v>
      </c>
      <c r="R130" s="118">
        <f t="shared" ca="1" si="31"/>
        <v>235459</v>
      </c>
      <c r="S130" s="118">
        <f t="shared" ca="1" si="31"/>
        <v>306096</v>
      </c>
      <c r="T130" s="118">
        <f ca="1">초급</f>
        <v>235459</v>
      </c>
      <c r="U130" s="118">
        <f t="shared" ca="1" si="32"/>
        <v>306096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319" t="s">
        <v>42</v>
      </c>
      <c r="O131" s="174">
        <v>8</v>
      </c>
      <c r="P131" s="235">
        <f ca="1">OFFSET($A$1,MATCH(Z125,$A:$A,0)-1,O131)</f>
        <v>1.3</v>
      </c>
      <c r="Q131" s="322" t="s">
        <v>29</v>
      </c>
      <c r="R131" s="323">
        <f t="shared" ca="1" si="31"/>
        <v>250087</v>
      </c>
      <c r="S131" s="323">
        <f t="shared" ca="1" si="31"/>
        <v>325113</v>
      </c>
      <c r="T131" s="323">
        <f ca="1">보조원</f>
        <v>250087</v>
      </c>
      <c r="U131" s="323">
        <f t="shared" ca="1" si="32"/>
        <v>325113</v>
      </c>
      <c r="V131" s="323"/>
      <c r="W131" s="323"/>
      <c r="X131" s="323"/>
      <c r="Y131" s="323"/>
      <c r="Z131" s="324"/>
    </row>
    <row r="132" spans="11:29" ht="18" customHeight="1">
      <c r="K132" s="171" t="s">
        <v>699</v>
      </c>
      <c r="L132" s="171"/>
      <c r="M132" s="171"/>
      <c r="N132" s="139" t="s">
        <v>700</v>
      </c>
      <c r="O132" s="68"/>
      <c r="P132" s="69"/>
      <c r="Q132" s="70"/>
      <c r="R132" s="71"/>
      <c r="S132" s="71">
        <f ca="1">SUBTOTAL(9,S126:S131)</f>
        <v>1220388</v>
      </c>
      <c r="T132" s="71"/>
      <c r="U132" s="71">
        <f ca="1">SUBTOTAL(9,U126:U131)</f>
        <v>1220388</v>
      </c>
      <c r="V132" s="71"/>
      <c r="W132" s="71"/>
      <c r="X132" s="71"/>
      <c r="Y132" s="71"/>
      <c r="Z132" s="68"/>
    </row>
    <row r="133" spans="11:29" ht="18" customHeight="1">
      <c r="K133" s="171" t="s">
        <v>699</v>
      </c>
      <c r="L133" s="171"/>
      <c r="M133" s="171"/>
      <c r="N133" s="532" t="str">
        <f ca="1">"제 " &amp; Z133 &amp; " 호표  "&amp; OFFSET($A$1,MATCH(Z133,$A:$A,0)-1,1)</f>
        <v>제 9 호표  1.9 도시개발사업 추진 현황 및 향후 계획</v>
      </c>
      <c r="O133" s="533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9</v>
      </c>
    </row>
    <row r="134" spans="11:29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534">
        <f ca="1">OFFSET($A$1,MATCH(Z133,$A:$A,0)-1,O134)</f>
        <v>0.1</v>
      </c>
      <c r="Q134" s="141" t="s">
        <v>29</v>
      </c>
      <c r="R134" s="142">
        <f t="shared" ref="R134:S139" ca="1" si="33">T134</f>
        <v>467217</v>
      </c>
      <c r="S134" s="142">
        <f t="shared" ca="1" si="33"/>
        <v>46721</v>
      </c>
      <c r="T134" s="142">
        <f ca="1">기술사</f>
        <v>467217</v>
      </c>
      <c r="U134" s="142">
        <f t="shared" ref="U134:U139" ca="1" si="34">ROUNDDOWN(P134*R134,0)</f>
        <v>46721</v>
      </c>
      <c r="V134" s="142"/>
      <c r="W134" s="142"/>
      <c r="X134" s="142"/>
      <c r="Y134" s="142"/>
      <c r="Z134" s="114"/>
    </row>
    <row r="135" spans="11:29" ht="18" customHeight="1">
      <c r="K135" s="171" t="s">
        <v>699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0.2</v>
      </c>
      <c r="Q135" s="144" t="s">
        <v>29</v>
      </c>
      <c r="R135" s="118">
        <f t="shared" ca="1" si="33"/>
        <v>373353</v>
      </c>
      <c r="S135" s="118">
        <f t="shared" ca="1" si="33"/>
        <v>74670</v>
      </c>
      <c r="T135" s="118">
        <f ca="1">특급</f>
        <v>373353</v>
      </c>
      <c r="U135" s="118">
        <f t="shared" ca="1" si="34"/>
        <v>74670</v>
      </c>
      <c r="V135" s="118"/>
      <c r="W135" s="118"/>
      <c r="X135" s="118"/>
      <c r="Y135" s="118"/>
      <c r="Z135" s="115"/>
    </row>
    <row r="136" spans="11:29" ht="18" customHeight="1">
      <c r="K136" s="171" t="s">
        <v>702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0.4</v>
      </c>
      <c r="Q136" s="144" t="s">
        <v>29</v>
      </c>
      <c r="R136" s="118">
        <f t="shared" ca="1" si="33"/>
        <v>310884</v>
      </c>
      <c r="S136" s="118">
        <f t="shared" ca="1" si="33"/>
        <v>124353</v>
      </c>
      <c r="T136" s="118">
        <f ca="1">고급</f>
        <v>310884</v>
      </c>
      <c r="U136" s="118">
        <f t="shared" ca="1" si="34"/>
        <v>124353</v>
      </c>
      <c r="V136" s="118"/>
      <c r="W136" s="118"/>
      <c r="X136" s="118"/>
      <c r="Y136" s="118"/>
      <c r="Z136" s="115"/>
    </row>
    <row r="137" spans="11:29" ht="18" customHeight="1">
      <c r="K137" s="171" t="s">
        <v>699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0.6</v>
      </c>
      <c r="Q137" s="144" t="s">
        <v>29</v>
      </c>
      <c r="R137" s="118">
        <f t="shared" ca="1" si="33"/>
        <v>295138</v>
      </c>
      <c r="S137" s="118">
        <f t="shared" ca="1" si="33"/>
        <v>177082</v>
      </c>
      <c r="T137" s="118">
        <f ca="1">중급</f>
        <v>295138</v>
      </c>
      <c r="U137" s="118">
        <f t="shared" ca="1" si="34"/>
        <v>177082</v>
      </c>
      <c r="V137" s="118"/>
      <c r="W137" s="118"/>
      <c r="X137" s="118"/>
      <c r="Y137" s="118"/>
      <c r="Z137" s="115"/>
    </row>
    <row r="138" spans="11:29" ht="18" customHeight="1">
      <c r="K138" s="171" t="s">
        <v>702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1</v>
      </c>
      <c r="Q138" s="144" t="s">
        <v>29</v>
      </c>
      <c r="R138" s="118">
        <f t="shared" ca="1" si="33"/>
        <v>235459</v>
      </c>
      <c r="S138" s="118">
        <f t="shared" ca="1" si="33"/>
        <v>235459</v>
      </c>
      <c r="T138" s="118">
        <f ca="1">초급</f>
        <v>235459</v>
      </c>
      <c r="U138" s="118">
        <f t="shared" ca="1" si="34"/>
        <v>235459</v>
      </c>
      <c r="V138" s="118"/>
      <c r="W138" s="118"/>
      <c r="X138" s="118"/>
      <c r="Y138" s="118"/>
      <c r="Z138" s="115"/>
    </row>
    <row r="139" spans="11:29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1.3</v>
      </c>
      <c r="Q139" s="322" t="s">
        <v>29</v>
      </c>
      <c r="R139" s="323">
        <f t="shared" ca="1" si="33"/>
        <v>250087</v>
      </c>
      <c r="S139" s="323">
        <f t="shared" ca="1" si="33"/>
        <v>325113</v>
      </c>
      <c r="T139" s="323">
        <f ca="1">보조원</f>
        <v>250087</v>
      </c>
      <c r="U139" s="323">
        <f t="shared" ca="1" si="34"/>
        <v>325113</v>
      </c>
      <c r="V139" s="323"/>
      <c r="W139" s="323"/>
      <c r="X139" s="323"/>
      <c r="Y139" s="323"/>
      <c r="Z139" s="324"/>
    </row>
    <row r="140" spans="11:29" ht="18" customHeight="1">
      <c r="K140" s="171" t="s">
        <v>699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983398</v>
      </c>
      <c r="T140" s="71"/>
      <c r="U140" s="71">
        <f ca="1">SUBTOTAL(9,U134:U139)</f>
        <v>983398</v>
      </c>
      <c r="V140" s="71"/>
      <c r="W140" s="71"/>
      <c r="X140" s="71"/>
      <c r="Y140" s="71"/>
      <c r="Z140" s="68"/>
    </row>
    <row r="141" spans="11:29" ht="18" customHeight="1">
      <c r="K141" s="171" t="s">
        <v>702</v>
      </c>
      <c r="L141" s="171"/>
      <c r="M141" s="171"/>
      <c r="N141" s="532" t="str">
        <f ca="1">"제 " &amp; Z141 &amp; " 호표  "&amp; OFFSET($A$1,MATCH(Z141,$A:$A,0)-1,1)</f>
        <v>제 10 호표  1.10 시민설문조사</v>
      </c>
      <c r="O141" s="533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10</v>
      </c>
    </row>
    <row r="142" spans="11:29" ht="18" customHeight="1">
      <c r="K142" s="171" t="s">
        <v>699</v>
      </c>
      <c r="L142" s="171"/>
      <c r="M142" s="171"/>
      <c r="N142" s="140" t="s">
        <v>43</v>
      </c>
      <c r="O142" s="172">
        <v>3</v>
      </c>
      <c r="P142" s="534">
        <f ca="1">OFFSET($A$1,MATCH(Z141,$A:$A,0)-1,O142)</f>
        <v>0.4</v>
      </c>
      <c r="Q142" s="141" t="s">
        <v>29</v>
      </c>
      <c r="R142" s="142">
        <f t="shared" ref="R142:S147" ca="1" si="35">T142</f>
        <v>467217</v>
      </c>
      <c r="S142" s="142">
        <f t="shared" ca="1" si="35"/>
        <v>186886</v>
      </c>
      <c r="T142" s="142">
        <f ca="1">기술사</f>
        <v>467217</v>
      </c>
      <c r="U142" s="142">
        <f t="shared" ref="U142:U147" ca="1" si="36">ROUNDDOWN(P142*R142,0)</f>
        <v>186886</v>
      </c>
      <c r="V142" s="142"/>
      <c r="W142" s="142"/>
      <c r="X142" s="142"/>
      <c r="Y142" s="142"/>
      <c r="Z142" s="114"/>
      <c r="AA142" s="171"/>
      <c r="AB142" s="171"/>
      <c r="AC142" s="171"/>
    </row>
    <row r="143" spans="11:29" ht="18" customHeight="1">
      <c r="K143" s="171" t="s">
        <v>699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0.6</v>
      </c>
      <c r="Q143" s="144" t="s">
        <v>29</v>
      </c>
      <c r="R143" s="118">
        <f t="shared" ca="1" si="35"/>
        <v>373353</v>
      </c>
      <c r="S143" s="118">
        <f t="shared" ca="1" si="35"/>
        <v>224011</v>
      </c>
      <c r="T143" s="118">
        <f ca="1">특급</f>
        <v>373353</v>
      </c>
      <c r="U143" s="118">
        <f t="shared" ca="1" si="36"/>
        <v>224011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699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1.5</v>
      </c>
      <c r="Q144" s="144" t="s">
        <v>29</v>
      </c>
      <c r="R144" s="118">
        <f t="shared" ca="1" si="35"/>
        <v>310884</v>
      </c>
      <c r="S144" s="118">
        <f t="shared" ca="1" si="35"/>
        <v>466326</v>
      </c>
      <c r="T144" s="118">
        <f ca="1">고급</f>
        <v>310884</v>
      </c>
      <c r="U144" s="118">
        <f t="shared" ca="1" si="36"/>
        <v>466326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699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1.8</v>
      </c>
      <c r="Q145" s="144" t="s">
        <v>29</v>
      </c>
      <c r="R145" s="118">
        <f t="shared" ca="1" si="35"/>
        <v>295138</v>
      </c>
      <c r="S145" s="118">
        <f t="shared" ca="1" si="35"/>
        <v>531248</v>
      </c>
      <c r="T145" s="118">
        <f ca="1">중급</f>
        <v>295138</v>
      </c>
      <c r="U145" s="118">
        <f t="shared" ca="1" si="36"/>
        <v>531248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702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4.0999999999999996</v>
      </c>
      <c r="Q146" s="144" t="s">
        <v>29</v>
      </c>
      <c r="R146" s="118">
        <f t="shared" ca="1" si="35"/>
        <v>235459</v>
      </c>
      <c r="S146" s="118">
        <f t="shared" ca="1" si="35"/>
        <v>965381</v>
      </c>
      <c r="T146" s="118">
        <f ca="1">초급</f>
        <v>235459</v>
      </c>
      <c r="U146" s="118">
        <f t="shared" ca="1" si="36"/>
        <v>965381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702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3.8</v>
      </c>
      <c r="Q147" s="322" t="s">
        <v>29</v>
      </c>
      <c r="R147" s="323">
        <f t="shared" ca="1" si="35"/>
        <v>250087</v>
      </c>
      <c r="S147" s="323">
        <f t="shared" ca="1" si="35"/>
        <v>950330</v>
      </c>
      <c r="T147" s="323">
        <f ca="1">보조원</f>
        <v>250087</v>
      </c>
      <c r="U147" s="323">
        <f t="shared" ca="1" si="36"/>
        <v>950330</v>
      </c>
      <c r="V147" s="323"/>
      <c r="W147" s="323"/>
      <c r="X147" s="323"/>
      <c r="Y147" s="323"/>
      <c r="Z147" s="324"/>
      <c r="AA147" s="171"/>
      <c r="AB147" s="171"/>
      <c r="AC147" s="171"/>
    </row>
    <row r="148" spans="11:29" ht="18" customHeight="1">
      <c r="K148" s="171" t="s">
        <v>699</v>
      </c>
      <c r="L148" s="171"/>
      <c r="M148" s="171"/>
      <c r="N148" s="139" t="s">
        <v>700</v>
      </c>
      <c r="O148" s="68"/>
      <c r="P148" s="69"/>
      <c r="Q148" s="70"/>
      <c r="R148" s="71"/>
      <c r="S148" s="71">
        <f ca="1">SUBTOTAL(9,S142:S147)</f>
        <v>3324182</v>
      </c>
      <c r="T148" s="71"/>
      <c r="U148" s="71">
        <f ca="1">SUBTOTAL(9,U142:U147)</f>
        <v>3324182</v>
      </c>
      <c r="V148" s="71"/>
      <c r="W148" s="71"/>
      <c r="X148" s="71"/>
      <c r="Y148" s="71"/>
      <c r="Z148" s="68"/>
      <c r="AA148" s="171"/>
      <c r="AB148" s="171"/>
      <c r="AC148" s="171"/>
    </row>
    <row r="149" spans="11:29" ht="18" customHeight="1">
      <c r="K149" s="171" t="s">
        <v>702</v>
      </c>
      <c r="L149" s="171"/>
      <c r="M149" s="171"/>
      <c r="N149" s="532" t="str">
        <f ca="1">"제 " &amp; Z149 &amp; " 호표  "&amp; OFFSET($A$1,MATCH(Z149,$A:$A,0)-1,1)</f>
        <v>제 11 호표  2.1 기본방향설정</v>
      </c>
      <c r="O149" s="533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11</v>
      </c>
      <c r="AA149" s="171"/>
      <c r="AB149" s="171"/>
      <c r="AC149" s="171"/>
    </row>
    <row r="150" spans="11:29" ht="18" customHeight="1">
      <c r="K150" s="171" t="s">
        <v>699</v>
      </c>
      <c r="L150" s="171"/>
      <c r="M150" s="171"/>
      <c r="N150" s="140" t="s">
        <v>43</v>
      </c>
      <c r="O150" s="172">
        <v>3</v>
      </c>
      <c r="P150" s="534">
        <f ca="1">OFFSET($A$1,MATCH(Z149,$A:$A,0)-1,O150)</f>
        <v>0.7</v>
      </c>
      <c r="Q150" s="141" t="s">
        <v>29</v>
      </c>
      <c r="R150" s="142">
        <f t="shared" ref="R150:S155" ca="1" si="37">T150</f>
        <v>467217</v>
      </c>
      <c r="S150" s="142">
        <f t="shared" ca="1" si="37"/>
        <v>327051</v>
      </c>
      <c r="T150" s="142">
        <f ca="1">기술사</f>
        <v>467217</v>
      </c>
      <c r="U150" s="142">
        <f t="shared" ref="U150:U155" ca="1" si="38">ROUNDDOWN(P150*R150,0)</f>
        <v>327051</v>
      </c>
      <c r="V150" s="142"/>
      <c r="W150" s="142"/>
      <c r="X150" s="142"/>
      <c r="Y150" s="142"/>
      <c r="Z150" s="114"/>
      <c r="AA150" s="171"/>
      <c r="AB150" s="171"/>
      <c r="AC150" s="171"/>
    </row>
    <row r="151" spans="11:29" ht="18" customHeight="1">
      <c r="K151" s="171" t="s">
        <v>702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1.1000000000000001</v>
      </c>
      <c r="Q151" s="144" t="s">
        <v>29</v>
      </c>
      <c r="R151" s="118">
        <f t="shared" ca="1" si="37"/>
        <v>373353</v>
      </c>
      <c r="S151" s="118">
        <f t="shared" ca="1" si="37"/>
        <v>410688</v>
      </c>
      <c r="T151" s="118">
        <f ca="1">특급</f>
        <v>373353</v>
      </c>
      <c r="U151" s="118">
        <f t="shared" ca="1" si="38"/>
        <v>410688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699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3.3</v>
      </c>
      <c r="Q152" s="144" t="s">
        <v>29</v>
      </c>
      <c r="R152" s="118">
        <f t="shared" ca="1" si="37"/>
        <v>310884</v>
      </c>
      <c r="S152" s="118">
        <f t="shared" ca="1" si="37"/>
        <v>1025917</v>
      </c>
      <c r="T152" s="118">
        <f ca="1">고급</f>
        <v>310884</v>
      </c>
      <c r="U152" s="118">
        <f t="shared" ca="1" si="38"/>
        <v>1025917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702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5</v>
      </c>
      <c r="Q153" s="144" t="s">
        <v>29</v>
      </c>
      <c r="R153" s="118">
        <f t="shared" ca="1" si="37"/>
        <v>295138</v>
      </c>
      <c r="S153" s="118">
        <f t="shared" ca="1" si="37"/>
        <v>1475690</v>
      </c>
      <c r="T153" s="118">
        <f ca="1">중급</f>
        <v>295138</v>
      </c>
      <c r="U153" s="118">
        <f t="shared" ca="1" si="38"/>
        <v>1475690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699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2.6</v>
      </c>
      <c r="Q154" s="144" t="s">
        <v>29</v>
      </c>
      <c r="R154" s="118">
        <f t="shared" ca="1" si="37"/>
        <v>235459</v>
      </c>
      <c r="S154" s="118">
        <f t="shared" ca="1" si="37"/>
        <v>612193</v>
      </c>
      <c r="T154" s="118">
        <f ca="1">초급</f>
        <v>235459</v>
      </c>
      <c r="U154" s="118">
        <f t="shared" ca="1" si="38"/>
        <v>612193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702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2.7</v>
      </c>
      <c r="Q155" s="322" t="s">
        <v>29</v>
      </c>
      <c r="R155" s="323">
        <f t="shared" ca="1" si="37"/>
        <v>250087</v>
      </c>
      <c r="S155" s="323">
        <f t="shared" ca="1" si="37"/>
        <v>675234</v>
      </c>
      <c r="T155" s="323">
        <f ca="1">보조원</f>
        <v>250087</v>
      </c>
      <c r="U155" s="323">
        <f t="shared" ca="1" si="38"/>
        <v>675234</v>
      </c>
      <c r="V155" s="323"/>
      <c r="W155" s="323"/>
      <c r="X155" s="323"/>
      <c r="Y155" s="323"/>
      <c r="Z155" s="324"/>
      <c r="AA155" s="171"/>
      <c r="AB155" s="171"/>
      <c r="AC155" s="171"/>
    </row>
    <row r="156" spans="11:29" ht="18" customHeight="1">
      <c r="K156" s="171" t="s">
        <v>699</v>
      </c>
      <c r="L156" s="171"/>
      <c r="M156" s="171"/>
      <c r="N156" s="139" t="s">
        <v>700</v>
      </c>
      <c r="O156" s="68"/>
      <c r="P156" s="69"/>
      <c r="Q156" s="70"/>
      <c r="R156" s="71"/>
      <c r="S156" s="71">
        <f ca="1">SUBTOTAL(9,S150:S155)</f>
        <v>4526773</v>
      </c>
      <c r="T156" s="71"/>
      <c r="U156" s="71">
        <f ca="1">SUBTOTAL(9,U150:U155)</f>
        <v>4526773</v>
      </c>
      <c r="V156" s="71"/>
      <c r="W156" s="71"/>
      <c r="X156" s="71"/>
      <c r="Y156" s="71"/>
      <c r="Z156" s="68"/>
      <c r="AA156" s="171"/>
      <c r="AB156" s="171"/>
      <c r="AC156" s="171"/>
    </row>
    <row r="157" spans="11:29" ht="18" customHeight="1">
      <c r="K157" s="171" t="s">
        <v>699</v>
      </c>
      <c r="L157" s="171"/>
      <c r="M157" s="171"/>
      <c r="N157" s="532" t="str">
        <f ca="1">"제 " &amp; Z157 &amp; " 호표  "&amp; OFFSET($A$1,MATCH(Z157,$A:$A,0)-1,1)</f>
        <v>제 12 호표  2.2 계획의 목표 설정</v>
      </c>
      <c r="O157" s="533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12</v>
      </c>
      <c r="AA157" s="171"/>
      <c r="AB157" s="171"/>
      <c r="AC157" s="171"/>
    </row>
    <row r="158" spans="11:29" ht="18" customHeight="1">
      <c r="K158" s="171" t="s">
        <v>699</v>
      </c>
      <c r="L158" s="171"/>
      <c r="M158" s="171"/>
      <c r="N158" s="140" t="s">
        <v>43</v>
      </c>
      <c r="O158" s="172">
        <v>3</v>
      </c>
      <c r="P158" s="534">
        <f ca="1">OFFSET($A$1,MATCH(Z157,$A:$A,0)-1,O158)</f>
        <v>1.3</v>
      </c>
      <c r="Q158" s="141" t="s">
        <v>29</v>
      </c>
      <c r="R158" s="142">
        <f t="shared" ref="R158:S163" ca="1" si="39">T158</f>
        <v>467217</v>
      </c>
      <c r="S158" s="142">
        <f t="shared" ca="1" si="39"/>
        <v>607382</v>
      </c>
      <c r="T158" s="142">
        <f ca="1">기술사</f>
        <v>467217</v>
      </c>
      <c r="U158" s="142">
        <f t="shared" ref="U158:U163" ca="1" si="40">ROUNDDOWN(P158*R158,0)</f>
        <v>607382</v>
      </c>
      <c r="V158" s="142"/>
      <c r="W158" s="142"/>
      <c r="X158" s="142"/>
      <c r="Y158" s="142"/>
      <c r="Z158" s="114"/>
      <c r="AA158" s="171"/>
      <c r="AB158" s="171"/>
      <c r="AC158" s="171"/>
    </row>
    <row r="159" spans="11:29" ht="18" customHeight="1">
      <c r="K159" s="171" t="s">
        <v>699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2</v>
      </c>
      <c r="Q159" s="144" t="s">
        <v>29</v>
      </c>
      <c r="R159" s="118">
        <f t="shared" ca="1" si="39"/>
        <v>373353</v>
      </c>
      <c r="S159" s="118">
        <f t="shared" ca="1" si="39"/>
        <v>746706</v>
      </c>
      <c r="T159" s="118">
        <f ca="1">특급</f>
        <v>373353</v>
      </c>
      <c r="U159" s="118">
        <f t="shared" ca="1" si="40"/>
        <v>746706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699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4.4000000000000004</v>
      </c>
      <c r="Q160" s="144" t="s">
        <v>29</v>
      </c>
      <c r="R160" s="118">
        <f t="shared" ca="1" si="39"/>
        <v>310884</v>
      </c>
      <c r="S160" s="118">
        <f t="shared" ca="1" si="39"/>
        <v>1367889</v>
      </c>
      <c r="T160" s="118">
        <f ca="1">고급</f>
        <v>310884</v>
      </c>
      <c r="U160" s="118">
        <f t="shared" ca="1" si="40"/>
        <v>1367889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699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7.3</v>
      </c>
      <c r="Q161" s="144" t="s">
        <v>29</v>
      </c>
      <c r="R161" s="118">
        <f t="shared" ca="1" si="39"/>
        <v>295138</v>
      </c>
      <c r="S161" s="118">
        <f t="shared" ca="1" si="39"/>
        <v>2154507</v>
      </c>
      <c r="T161" s="118">
        <f ca="1">중급</f>
        <v>295138</v>
      </c>
      <c r="U161" s="118">
        <f t="shared" ca="1" si="40"/>
        <v>2154507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699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5.6</v>
      </c>
      <c r="Q162" s="144" t="s">
        <v>29</v>
      </c>
      <c r="R162" s="118">
        <f t="shared" ca="1" si="39"/>
        <v>235459</v>
      </c>
      <c r="S162" s="118">
        <f t="shared" ca="1" si="39"/>
        <v>1318570</v>
      </c>
      <c r="T162" s="118">
        <f ca="1">초급</f>
        <v>235459</v>
      </c>
      <c r="U162" s="118">
        <f t="shared" ca="1" si="40"/>
        <v>1318570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699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6.1</v>
      </c>
      <c r="Q163" s="322" t="s">
        <v>29</v>
      </c>
      <c r="R163" s="323">
        <f t="shared" ca="1" si="39"/>
        <v>250087</v>
      </c>
      <c r="S163" s="323">
        <f t="shared" ca="1" si="39"/>
        <v>1525530</v>
      </c>
      <c r="T163" s="323">
        <f ca="1">보조원</f>
        <v>250087</v>
      </c>
      <c r="U163" s="323">
        <f t="shared" ca="1" si="40"/>
        <v>1525530</v>
      </c>
      <c r="V163" s="323"/>
      <c r="W163" s="323"/>
      <c r="X163" s="323"/>
      <c r="Y163" s="323"/>
      <c r="Z163" s="324"/>
      <c r="AA163" s="171"/>
      <c r="AB163" s="171"/>
      <c r="AC163" s="171"/>
    </row>
    <row r="164" spans="11:29" ht="18" customHeight="1">
      <c r="K164" s="171" t="s">
        <v>699</v>
      </c>
      <c r="L164" s="171"/>
      <c r="M164" s="171"/>
      <c r="N164" s="139" t="s">
        <v>698</v>
      </c>
      <c r="O164" s="68"/>
      <c r="P164" s="69"/>
      <c r="Q164" s="70"/>
      <c r="R164" s="71"/>
      <c r="S164" s="71">
        <f ca="1">SUBTOTAL(9,S158:S163)</f>
        <v>7720584</v>
      </c>
      <c r="T164" s="71"/>
      <c r="U164" s="71">
        <f ca="1">SUBTOTAL(9,U158:U163)</f>
        <v>7720584</v>
      </c>
      <c r="V164" s="71"/>
      <c r="W164" s="71"/>
      <c r="X164" s="71"/>
      <c r="Y164" s="71"/>
      <c r="Z164" s="68"/>
      <c r="AA164" s="171"/>
      <c r="AB164" s="171"/>
      <c r="AC164" s="171"/>
    </row>
    <row r="165" spans="11:29" ht="18" customHeight="1">
      <c r="K165" s="171" t="s">
        <v>699</v>
      </c>
      <c r="L165" s="171"/>
      <c r="M165" s="171"/>
      <c r="N165" s="532" t="str">
        <f ca="1">"제 " &amp; Z165 &amp; " 호표  "&amp; OFFSET($A$1,MATCH(Z165,$A:$A,0)-1,1)</f>
        <v>제 13 호표  2.3 계획지표설정</v>
      </c>
      <c r="O165" s="533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13</v>
      </c>
      <c r="AA165" s="171"/>
      <c r="AB165" s="171"/>
      <c r="AC165" s="171"/>
    </row>
    <row r="166" spans="11:29" ht="18" customHeight="1">
      <c r="K166" s="171" t="s">
        <v>702</v>
      </c>
      <c r="L166" s="171"/>
      <c r="M166" s="171"/>
      <c r="N166" s="140" t="s">
        <v>43</v>
      </c>
      <c r="O166" s="172">
        <v>3</v>
      </c>
      <c r="P166" s="534">
        <f ca="1">OFFSET($A$1,MATCH(Z165,$A:$A,0)-1,O166)</f>
        <v>1.3</v>
      </c>
      <c r="Q166" s="141" t="s">
        <v>29</v>
      </c>
      <c r="R166" s="142">
        <f t="shared" ref="R166:S171" ca="1" si="41">T166</f>
        <v>467217</v>
      </c>
      <c r="S166" s="142">
        <f t="shared" ca="1" si="41"/>
        <v>607382</v>
      </c>
      <c r="T166" s="142">
        <f ca="1">기술사</f>
        <v>467217</v>
      </c>
      <c r="U166" s="142">
        <f t="shared" ref="U166:U171" ca="1" si="42">ROUNDDOWN(P166*R166,0)</f>
        <v>607382</v>
      </c>
      <c r="V166" s="142"/>
      <c r="W166" s="142"/>
      <c r="X166" s="142"/>
      <c r="Y166" s="142"/>
      <c r="Z166" s="114"/>
      <c r="AA166" s="171"/>
      <c r="AB166" s="171"/>
      <c r="AC166" s="171"/>
    </row>
    <row r="167" spans="11:29" ht="18" customHeight="1">
      <c r="K167" s="171" t="s">
        <v>702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2</v>
      </c>
      <c r="Q167" s="144" t="s">
        <v>29</v>
      </c>
      <c r="R167" s="118">
        <f t="shared" ca="1" si="41"/>
        <v>373353</v>
      </c>
      <c r="S167" s="118">
        <f t="shared" ca="1" si="41"/>
        <v>746706</v>
      </c>
      <c r="T167" s="118">
        <f ca="1">특급</f>
        <v>373353</v>
      </c>
      <c r="U167" s="118">
        <f t="shared" ca="1" si="42"/>
        <v>746706</v>
      </c>
      <c r="V167" s="118"/>
      <c r="W167" s="118"/>
      <c r="X167" s="118"/>
      <c r="Y167" s="118"/>
      <c r="Z167" s="115"/>
      <c r="AA167" s="171"/>
      <c r="AB167" s="171"/>
      <c r="AC167" s="171"/>
    </row>
    <row r="168" spans="11:29" ht="18" customHeight="1">
      <c r="K168" s="171" t="s">
        <v>702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4.4000000000000004</v>
      </c>
      <c r="Q168" s="144" t="s">
        <v>29</v>
      </c>
      <c r="R168" s="118">
        <f t="shared" ca="1" si="41"/>
        <v>310884</v>
      </c>
      <c r="S168" s="118">
        <f t="shared" ca="1" si="41"/>
        <v>1367889</v>
      </c>
      <c r="T168" s="118">
        <f ca="1">고급</f>
        <v>310884</v>
      </c>
      <c r="U168" s="118">
        <f t="shared" ca="1" si="42"/>
        <v>1367889</v>
      </c>
      <c r="V168" s="118"/>
      <c r="W168" s="118"/>
      <c r="X168" s="118"/>
      <c r="Y168" s="118"/>
      <c r="Z168" s="115"/>
      <c r="AA168" s="171"/>
      <c r="AB168" s="171"/>
      <c r="AC168" s="171"/>
    </row>
    <row r="169" spans="11:29" ht="18" customHeight="1">
      <c r="K169" s="171" t="s">
        <v>699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7.3</v>
      </c>
      <c r="Q169" s="144" t="s">
        <v>29</v>
      </c>
      <c r="R169" s="118">
        <f t="shared" ca="1" si="41"/>
        <v>295138</v>
      </c>
      <c r="S169" s="118">
        <f t="shared" ca="1" si="41"/>
        <v>2154507</v>
      </c>
      <c r="T169" s="118">
        <f ca="1">중급</f>
        <v>295138</v>
      </c>
      <c r="U169" s="118">
        <f t="shared" ca="1" si="42"/>
        <v>2154507</v>
      </c>
      <c r="V169" s="118"/>
      <c r="W169" s="118"/>
      <c r="X169" s="118"/>
      <c r="Y169" s="118"/>
      <c r="Z169" s="115"/>
      <c r="AA169" s="171"/>
      <c r="AB169" s="171"/>
      <c r="AC169" s="171"/>
    </row>
    <row r="170" spans="11:29" ht="18" customHeight="1">
      <c r="K170" s="171" t="s">
        <v>699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5.6</v>
      </c>
      <c r="Q170" s="144" t="s">
        <v>29</v>
      </c>
      <c r="R170" s="118">
        <f t="shared" ca="1" si="41"/>
        <v>235459</v>
      </c>
      <c r="S170" s="118">
        <f t="shared" ca="1" si="41"/>
        <v>1318570</v>
      </c>
      <c r="T170" s="118">
        <f ca="1">초급</f>
        <v>235459</v>
      </c>
      <c r="U170" s="118">
        <f t="shared" ca="1" si="42"/>
        <v>1318570</v>
      </c>
      <c r="V170" s="118"/>
      <c r="W170" s="118"/>
      <c r="X170" s="118"/>
      <c r="Y170" s="118"/>
      <c r="Z170" s="115"/>
    </row>
    <row r="171" spans="11:29" ht="18" customHeight="1">
      <c r="K171" s="171" t="s">
        <v>702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6.1</v>
      </c>
      <c r="Q171" s="322" t="s">
        <v>29</v>
      </c>
      <c r="R171" s="323">
        <f t="shared" ca="1" si="41"/>
        <v>250087</v>
      </c>
      <c r="S171" s="323">
        <f t="shared" ca="1" si="41"/>
        <v>1525530</v>
      </c>
      <c r="T171" s="323">
        <f ca="1">보조원</f>
        <v>250087</v>
      </c>
      <c r="U171" s="323">
        <f t="shared" ca="1" si="42"/>
        <v>1525530</v>
      </c>
      <c r="V171" s="323"/>
      <c r="W171" s="323"/>
      <c r="X171" s="323"/>
      <c r="Y171" s="323"/>
      <c r="Z171" s="324"/>
    </row>
    <row r="172" spans="11:29" ht="18" customHeight="1">
      <c r="K172" s="171" t="s">
        <v>699</v>
      </c>
      <c r="L172" s="171"/>
      <c r="M172" s="171"/>
      <c r="N172" s="139" t="s">
        <v>698</v>
      </c>
      <c r="O172" s="68"/>
      <c r="P172" s="69"/>
      <c r="Q172" s="70"/>
      <c r="R172" s="71"/>
      <c r="S172" s="71">
        <f ca="1">SUBTOTAL(9,S166:S171)</f>
        <v>7720584</v>
      </c>
      <c r="T172" s="71"/>
      <c r="U172" s="71">
        <f ca="1">SUBTOTAL(9,U166:U171)</f>
        <v>7720584</v>
      </c>
      <c r="V172" s="71"/>
      <c r="W172" s="71"/>
      <c r="X172" s="71"/>
      <c r="Y172" s="71"/>
      <c r="Z172" s="68"/>
    </row>
    <row r="173" spans="11:29" ht="18" customHeight="1">
      <c r="K173" s="171" t="s">
        <v>702</v>
      </c>
      <c r="L173" s="171"/>
      <c r="M173" s="171"/>
      <c r="N173" s="532" t="str">
        <f ca="1">"제 " &amp; Z173 &amp; " 호표  "&amp; OFFSET($A$1,MATCH(Z173,$A:$A,0)-1,1)</f>
        <v>제 14 호표  3.1 스마트도시 공공시설 구축계획</v>
      </c>
      <c r="O173" s="533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14</v>
      </c>
    </row>
    <row r="174" spans="11:29" ht="18" customHeight="1">
      <c r="K174" s="171" t="s">
        <v>699</v>
      </c>
      <c r="L174" s="171"/>
      <c r="M174" s="171"/>
      <c r="N174" s="140" t="s">
        <v>43</v>
      </c>
      <c r="O174" s="172">
        <v>3</v>
      </c>
      <c r="P174" s="534">
        <f ca="1">OFFSET($A$1,MATCH(Z173,$A:$A,0)-1,O174)</f>
        <v>1.7</v>
      </c>
      <c r="Q174" s="141" t="s">
        <v>29</v>
      </c>
      <c r="R174" s="142">
        <f t="shared" ref="R174:S179" ca="1" si="43">T174</f>
        <v>467217</v>
      </c>
      <c r="S174" s="142">
        <f t="shared" ca="1" si="43"/>
        <v>794268</v>
      </c>
      <c r="T174" s="142">
        <f ca="1">기술사</f>
        <v>467217</v>
      </c>
      <c r="U174" s="142">
        <f t="shared" ref="U174:U179" ca="1" si="44">ROUNDDOWN(P174*R174,0)</f>
        <v>794268</v>
      </c>
      <c r="V174" s="142"/>
      <c r="W174" s="142"/>
      <c r="X174" s="142"/>
      <c r="Y174" s="142"/>
      <c r="Z174" s="114"/>
    </row>
    <row r="175" spans="11:29" ht="18" customHeight="1">
      <c r="K175" s="171" t="s">
        <v>699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2.7</v>
      </c>
      <c r="Q175" s="144" t="s">
        <v>29</v>
      </c>
      <c r="R175" s="118">
        <f t="shared" ca="1" si="43"/>
        <v>373353</v>
      </c>
      <c r="S175" s="118">
        <f t="shared" ca="1" si="43"/>
        <v>1008053</v>
      </c>
      <c r="T175" s="118">
        <f ca="1">특급</f>
        <v>373353</v>
      </c>
      <c r="U175" s="118">
        <f t="shared" ca="1" si="44"/>
        <v>1008053</v>
      </c>
      <c r="V175" s="118"/>
      <c r="W175" s="118"/>
      <c r="X175" s="118"/>
      <c r="Y175" s="118"/>
      <c r="Z175" s="115"/>
    </row>
    <row r="176" spans="11:29" ht="18" customHeight="1">
      <c r="K176" s="171" t="s">
        <v>699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8.6</v>
      </c>
      <c r="Q176" s="144" t="s">
        <v>29</v>
      </c>
      <c r="R176" s="118">
        <f t="shared" ca="1" si="43"/>
        <v>310884</v>
      </c>
      <c r="S176" s="118">
        <f t="shared" ca="1" si="43"/>
        <v>2673602</v>
      </c>
      <c r="T176" s="118">
        <f ca="1">고급</f>
        <v>310884</v>
      </c>
      <c r="U176" s="118">
        <f t="shared" ca="1" si="44"/>
        <v>2673602</v>
      </c>
      <c r="V176" s="118"/>
      <c r="W176" s="118"/>
      <c r="X176" s="118"/>
      <c r="Y176" s="118"/>
      <c r="Z176" s="115"/>
    </row>
    <row r="177" spans="11:26" ht="18" customHeight="1">
      <c r="K177" s="171" t="s">
        <v>699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11.2</v>
      </c>
      <c r="Q177" s="144" t="s">
        <v>29</v>
      </c>
      <c r="R177" s="118">
        <f t="shared" ca="1" si="43"/>
        <v>295138</v>
      </c>
      <c r="S177" s="118">
        <f t="shared" ca="1" si="43"/>
        <v>3305545</v>
      </c>
      <c r="T177" s="118">
        <f ca="1">중급</f>
        <v>295138</v>
      </c>
      <c r="U177" s="118">
        <f t="shared" ca="1" si="44"/>
        <v>3305545</v>
      </c>
      <c r="V177" s="118"/>
      <c r="W177" s="118"/>
      <c r="X177" s="118"/>
      <c r="Y177" s="118"/>
      <c r="Z177" s="115"/>
    </row>
    <row r="178" spans="11:26" ht="18" customHeight="1">
      <c r="K178" s="171" t="s">
        <v>699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12.4</v>
      </c>
      <c r="Q178" s="144" t="s">
        <v>29</v>
      </c>
      <c r="R178" s="118">
        <f t="shared" ca="1" si="43"/>
        <v>235459</v>
      </c>
      <c r="S178" s="118">
        <f t="shared" ca="1" si="43"/>
        <v>2919691</v>
      </c>
      <c r="T178" s="118">
        <f ca="1">초급</f>
        <v>235459</v>
      </c>
      <c r="U178" s="118">
        <f t="shared" ca="1" si="44"/>
        <v>2919691</v>
      </c>
      <c r="V178" s="118"/>
      <c r="W178" s="118"/>
      <c r="X178" s="118"/>
      <c r="Y178" s="118"/>
      <c r="Z178" s="115"/>
    </row>
    <row r="179" spans="11:26" ht="18" customHeight="1">
      <c r="K179" s="171" t="s">
        <v>699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13</v>
      </c>
      <c r="Q179" s="322" t="s">
        <v>29</v>
      </c>
      <c r="R179" s="323">
        <f t="shared" ca="1" si="43"/>
        <v>250087</v>
      </c>
      <c r="S179" s="323">
        <f t="shared" ca="1" si="43"/>
        <v>3251131</v>
      </c>
      <c r="T179" s="323">
        <f ca="1">보조원</f>
        <v>250087</v>
      </c>
      <c r="U179" s="323">
        <f t="shared" ca="1" si="44"/>
        <v>3251131</v>
      </c>
      <c r="V179" s="323"/>
      <c r="W179" s="323"/>
      <c r="X179" s="323"/>
      <c r="Y179" s="323"/>
      <c r="Z179" s="324"/>
    </row>
    <row r="180" spans="11:26" ht="18" customHeight="1">
      <c r="K180" s="171" t="s">
        <v>699</v>
      </c>
      <c r="L180" s="171"/>
      <c r="M180" s="171"/>
      <c r="N180" s="139" t="s">
        <v>698</v>
      </c>
      <c r="O180" s="68"/>
      <c r="P180" s="69"/>
      <c r="Q180" s="70"/>
      <c r="R180" s="71"/>
      <c r="S180" s="71">
        <f ca="1">SUBTOTAL(9,S174:S179)</f>
        <v>13952290</v>
      </c>
      <c r="T180" s="71"/>
      <c r="U180" s="71">
        <f ca="1">SUBTOTAL(9,U174:U179)</f>
        <v>13952290</v>
      </c>
      <c r="V180" s="71"/>
      <c r="W180" s="71"/>
      <c r="X180" s="71"/>
      <c r="Y180" s="71"/>
      <c r="Z180" s="68"/>
    </row>
    <row r="181" spans="11:26" ht="18" customHeight="1">
      <c r="K181" s="171" t="s">
        <v>699</v>
      </c>
      <c r="L181" s="171"/>
      <c r="M181" s="171"/>
      <c r="N181" s="532" t="str">
        <f ca="1">"제 " &amp; Z181 &amp; " 호표  "&amp; OFFSET($A$1,MATCH(Z181,$A:$A,0)-1,1)</f>
        <v>제 15 호표  3.2 정보통신망 구축계획</v>
      </c>
      <c r="O181" s="533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15</v>
      </c>
    </row>
    <row r="182" spans="11:26" ht="18" customHeight="1">
      <c r="K182" s="171" t="s">
        <v>702</v>
      </c>
      <c r="L182" s="171"/>
      <c r="M182" s="171"/>
      <c r="N182" s="140" t="s">
        <v>43</v>
      </c>
      <c r="O182" s="172">
        <v>3</v>
      </c>
      <c r="P182" s="534">
        <f ca="1">OFFSET($A$1,MATCH(Z181,$A:$A,0)-1,O182)</f>
        <v>1.1000000000000001</v>
      </c>
      <c r="Q182" s="141" t="s">
        <v>29</v>
      </c>
      <c r="R182" s="142">
        <f t="shared" ref="R182:S187" ca="1" si="45">T182</f>
        <v>467217</v>
      </c>
      <c r="S182" s="142">
        <f t="shared" ca="1" si="45"/>
        <v>513938</v>
      </c>
      <c r="T182" s="142">
        <f ca="1">기술사</f>
        <v>467217</v>
      </c>
      <c r="U182" s="142">
        <f t="shared" ref="U182:U187" ca="1" si="46">ROUNDDOWN(P182*R182,0)</f>
        <v>513938</v>
      </c>
      <c r="V182" s="142"/>
      <c r="W182" s="142"/>
      <c r="X182" s="142"/>
      <c r="Y182" s="142"/>
      <c r="Z182" s="114"/>
    </row>
    <row r="183" spans="11:26" ht="18" customHeight="1">
      <c r="K183" s="171" t="s">
        <v>699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1.7</v>
      </c>
      <c r="Q183" s="144" t="s">
        <v>29</v>
      </c>
      <c r="R183" s="118">
        <f t="shared" ca="1" si="45"/>
        <v>373353</v>
      </c>
      <c r="S183" s="118">
        <f t="shared" ca="1" si="45"/>
        <v>634700</v>
      </c>
      <c r="T183" s="118">
        <f ca="1">특급</f>
        <v>373353</v>
      </c>
      <c r="U183" s="118">
        <f t="shared" ca="1" si="46"/>
        <v>634700</v>
      </c>
      <c r="V183" s="118"/>
      <c r="W183" s="118"/>
      <c r="X183" s="118"/>
      <c r="Y183" s="118"/>
      <c r="Z183" s="115"/>
    </row>
    <row r="184" spans="11:26" ht="18" customHeight="1">
      <c r="K184" s="171" t="s">
        <v>702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5.3</v>
      </c>
      <c r="Q184" s="144" t="s">
        <v>29</v>
      </c>
      <c r="R184" s="118">
        <f t="shared" ca="1" si="45"/>
        <v>310884</v>
      </c>
      <c r="S184" s="118">
        <f t="shared" ca="1" si="45"/>
        <v>1647685</v>
      </c>
      <c r="T184" s="118">
        <f ca="1">고급</f>
        <v>310884</v>
      </c>
      <c r="U184" s="118">
        <f t="shared" ca="1" si="46"/>
        <v>1647685</v>
      </c>
      <c r="V184" s="118"/>
      <c r="W184" s="118"/>
      <c r="X184" s="118"/>
      <c r="Y184" s="118"/>
      <c r="Z184" s="115"/>
    </row>
    <row r="185" spans="11:26" ht="18" customHeight="1">
      <c r="K185" s="171" t="s">
        <v>699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7.5</v>
      </c>
      <c r="Q185" s="144" t="s">
        <v>29</v>
      </c>
      <c r="R185" s="118">
        <f t="shared" ca="1" si="45"/>
        <v>295138</v>
      </c>
      <c r="S185" s="118">
        <f t="shared" ca="1" si="45"/>
        <v>2213535</v>
      </c>
      <c r="T185" s="118">
        <f ca="1">중급</f>
        <v>295138</v>
      </c>
      <c r="U185" s="118">
        <f t="shared" ca="1" si="46"/>
        <v>2213535</v>
      </c>
      <c r="V185" s="118"/>
      <c r="W185" s="118"/>
      <c r="X185" s="118"/>
      <c r="Y185" s="118"/>
      <c r="Z185" s="115"/>
    </row>
    <row r="186" spans="11:26" ht="18" customHeight="1">
      <c r="K186" s="171" t="s">
        <v>699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8.1</v>
      </c>
      <c r="Q186" s="144" t="s">
        <v>29</v>
      </c>
      <c r="R186" s="118">
        <f t="shared" ca="1" si="45"/>
        <v>235459</v>
      </c>
      <c r="S186" s="118">
        <f t="shared" ca="1" si="45"/>
        <v>1907217</v>
      </c>
      <c r="T186" s="118">
        <f ca="1">초급</f>
        <v>235459</v>
      </c>
      <c r="U186" s="118">
        <f t="shared" ca="1" si="46"/>
        <v>1907217</v>
      </c>
      <c r="V186" s="118"/>
      <c r="W186" s="118"/>
      <c r="X186" s="118"/>
      <c r="Y186" s="118"/>
      <c r="Z186" s="115"/>
    </row>
    <row r="187" spans="11:26" ht="18" customHeight="1">
      <c r="K187" s="171" t="s">
        <v>702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11.7</v>
      </c>
      <c r="Q187" s="322" t="s">
        <v>29</v>
      </c>
      <c r="R187" s="323">
        <f t="shared" ca="1" si="45"/>
        <v>250087</v>
      </c>
      <c r="S187" s="323">
        <f t="shared" ca="1" si="45"/>
        <v>2926017</v>
      </c>
      <c r="T187" s="323">
        <f ca="1">보조원</f>
        <v>250087</v>
      </c>
      <c r="U187" s="323">
        <f t="shared" ca="1" si="46"/>
        <v>2926017</v>
      </c>
      <c r="V187" s="323"/>
      <c r="W187" s="323"/>
      <c r="X187" s="323"/>
      <c r="Y187" s="323"/>
      <c r="Z187" s="324"/>
    </row>
    <row r="188" spans="11:26" ht="18" customHeight="1">
      <c r="K188" s="171" t="s">
        <v>699</v>
      </c>
      <c r="L188" s="171"/>
      <c r="M188" s="171"/>
      <c r="N188" s="139" t="s">
        <v>698</v>
      </c>
      <c r="O188" s="68"/>
      <c r="P188" s="69"/>
      <c r="Q188" s="70"/>
      <c r="R188" s="71"/>
      <c r="S188" s="71">
        <f ca="1">SUBTOTAL(9,S182:S187)</f>
        <v>9843092</v>
      </c>
      <c r="T188" s="71"/>
      <c r="U188" s="71">
        <f ca="1">SUBTOTAL(9,U182:U187)</f>
        <v>9843092</v>
      </c>
      <c r="V188" s="71"/>
      <c r="W188" s="71"/>
      <c r="X188" s="71"/>
      <c r="Y188" s="71"/>
      <c r="Z188" s="68"/>
    </row>
    <row r="189" spans="11:26" ht="18" customHeight="1">
      <c r="K189" s="171" t="s">
        <v>699</v>
      </c>
      <c r="L189" s="171"/>
      <c r="M189" s="171"/>
      <c r="N189" s="532" t="str">
        <f ca="1">"제 " &amp; Z189 &amp; " 호표  "&amp; OFFSET($A$1,MATCH(Z189,$A:$A,0)-1,1)</f>
        <v>제 16 호표  3.3 스마트도시 운영센터 구축계획</v>
      </c>
      <c r="O189" s="533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16</v>
      </c>
    </row>
    <row r="190" spans="11:26" ht="18" customHeight="1">
      <c r="K190" s="171" t="s">
        <v>699</v>
      </c>
      <c r="L190" s="171"/>
      <c r="M190" s="171"/>
      <c r="N190" s="140" t="s">
        <v>43</v>
      </c>
      <c r="O190" s="172">
        <v>3</v>
      </c>
      <c r="P190" s="534">
        <f ca="1">OFFSET($A$1,MATCH(Z189,$A:$A,0)-1,O190)</f>
        <v>0.7</v>
      </c>
      <c r="Q190" s="141" t="s">
        <v>29</v>
      </c>
      <c r="R190" s="142">
        <f t="shared" ref="R190:S195" ca="1" si="47">T190</f>
        <v>467217</v>
      </c>
      <c r="S190" s="142">
        <f t="shared" ca="1" si="47"/>
        <v>327051</v>
      </c>
      <c r="T190" s="142">
        <f ca="1">기술사</f>
        <v>467217</v>
      </c>
      <c r="U190" s="142">
        <f t="shared" ref="U190:U195" ca="1" si="48">ROUNDDOWN(P190*R190,0)</f>
        <v>327051</v>
      </c>
      <c r="V190" s="142"/>
      <c r="W190" s="142"/>
      <c r="X190" s="142"/>
      <c r="Y190" s="142"/>
      <c r="Z190" s="114"/>
    </row>
    <row r="191" spans="11:26" ht="18" customHeight="1">
      <c r="K191" s="171" t="s">
        <v>702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1.1000000000000001</v>
      </c>
      <c r="Q191" s="144" t="s">
        <v>29</v>
      </c>
      <c r="R191" s="118">
        <f t="shared" ca="1" si="47"/>
        <v>373353</v>
      </c>
      <c r="S191" s="118">
        <f t="shared" ca="1" si="47"/>
        <v>410688</v>
      </c>
      <c r="T191" s="118">
        <f ca="1">특급</f>
        <v>373353</v>
      </c>
      <c r="U191" s="118">
        <f t="shared" ca="1" si="48"/>
        <v>410688</v>
      </c>
      <c r="V191" s="118"/>
      <c r="W191" s="118"/>
      <c r="X191" s="118"/>
      <c r="Y191" s="118"/>
      <c r="Z191" s="115"/>
    </row>
    <row r="192" spans="11:26" ht="18" customHeight="1">
      <c r="K192" s="171" t="s">
        <v>702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3</v>
      </c>
      <c r="Q192" s="144" t="s">
        <v>29</v>
      </c>
      <c r="R192" s="118">
        <f t="shared" ca="1" si="47"/>
        <v>310884</v>
      </c>
      <c r="S192" s="118">
        <f t="shared" ca="1" si="47"/>
        <v>932652</v>
      </c>
      <c r="T192" s="118">
        <f ca="1">고급</f>
        <v>310884</v>
      </c>
      <c r="U192" s="118">
        <f t="shared" ca="1" si="48"/>
        <v>932652</v>
      </c>
      <c r="V192" s="118"/>
      <c r="W192" s="118"/>
      <c r="X192" s="118"/>
      <c r="Y192" s="118"/>
      <c r="Z192" s="115"/>
    </row>
    <row r="193" spans="11:26" ht="18" customHeight="1">
      <c r="K193" s="171" t="s">
        <v>699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6</v>
      </c>
      <c r="Q193" s="144" t="s">
        <v>29</v>
      </c>
      <c r="R193" s="118">
        <f t="shared" ca="1" si="47"/>
        <v>295138</v>
      </c>
      <c r="S193" s="118">
        <f t="shared" ca="1" si="47"/>
        <v>1770828</v>
      </c>
      <c r="T193" s="118">
        <f ca="1">중급</f>
        <v>295138</v>
      </c>
      <c r="U193" s="118">
        <f t="shared" ca="1" si="48"/>
        <v>1770828</v>
      </c>
      <c r="V193" s="118"/>
      <c r="W193" s="118"/>
      <c r="X193" s="118"/>
      <c r="Y193" s="118"/>
      <c r="Z193" s="115"/>
    </row>
    <row r="194" spans="11:26" ht="18" customHeight="1">
      <c r="K194" s="171" t="s">
        <v>699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6.4</v>
      </c>
      <c r="Q194" s="144" t="s">
        <v>29</v>
      </c>
      <c r="R194" s="118">
        <f t="shared" ca="1" si="47"/>
        <v>235459</v>
      </c>
      <c r="S194" s="118">
        <f t="shared" ca="1" si="47"/>
        <v>1506937</v>
      </c>
      <c r="T194" s="118">
        <f ca="1">초급</f>
        <v>235459</v>
      </c>
      <c r="U194" s="118">
        <f t="shared" ca="1" si="48"/>
        <v>1506937</v>
      </c>
      <c r="V194" s="118"/>
      <c r="W194" s="118"/>
      <c r="X194" s="118"/>
      <c r="Y194" s="118"/>
      <c r="Z194" s="115"/>
    </row>
    <row r="195" spans="11:26" ht="18" customHeight="1">
      <c r="K195" s="171" t="s">
        <v>702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6.3</v>
      </c>
      <c r="Q195" s="322" t="s">
        <v>29</v>
      </c>
      <c r="R195" s="323">
        <f t="shared" ca="1" si="47"/>
        <v>250087</v>
      </c>
      <c r="S195" s="323">
        <f t="shared" ca="1" si="47"/>
        <v>1575548</v>
      </c>
      <c r="T195" s="323">
        <f ca="1">보조원</f>
        <v>250087</v>
      </c>
      <c r="U195" s="323">
        <f t="shared" ca="1" si="48"/>
        <v>1575548</v>
      </c>
      <c r="V195" s="323"/>
      <c r="W195" s="323"/>
      <c r="X195" s="323"/>
      <c r="Y195" s="323"/>
      <c r="Z195" s="324"/>
    </row>
    <row r="196" spans="11:26" ht="18" customHeight="1">
      <c r="K196" s="171" t="s">
        <v>699</v>
      </c>
      <c r="L196" s="171"/>
      <c r="M196" s="171"/>
      <c r="N196" s="139" t="s">
        <v>700</v>
      </c>
      <c r="O196" s="68"/>
      <c r="P196" s="69"/>
      <c r="Q196" s="70"/>
      <c r="R196" s="71"/>
      <c r="S196" s="71">
        <f ca="1">SUBTOTAL(9,S190:S195)</f>
        <v>6523704</v>
      </c>
      <c r="T196" s="71"/>
      <c r="U196" s="71">
        <f ca="1">SUBTOTAL(9,U190:U195)</f>
        <v>6523704</v>
      </c>
      <c r="V196" s="71"/>
      <c r="W196" s="71"/>
      <c r="X196" s="71"/>
      <c r="Y196" s="71"/>
      <c r="Z196" s="68"/>
    </row>
    <row r="197" spans="11:26" ht="18" customHeight="1">
      <c r="K197" s="171" t="s">
        <v>702</v>
      </c>
      <c r="L197" s="171"/>
      <c r="M197" s="171"/>
      <c r="N197" s="532" t="str">
        <f ca="1">"제 " &amp; Z197 &amp; " 호표  "&amp; OFFSET($A$1,MATCH(Z197,$A:$A,0)-1,1)</f>
        <v>제 17 호표  3.4 스마트도시 기반시설 계획</v>
      </c>
      <c r="O197" s="533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17</v>
      </c>
    </row>
    <row r="198" spans="11:26" ht="18" customHeight="1">
      <c r="K198" s="171" t="s">
        <v>702</v>
      </c>
      <c r="L198" s="171"/>
      <c r="M198" s="171"/>
      <c r="N198" s="140" t="s">
        <v>43</v>
      </c>
      <c r="O198" s="172">
        <v>3</v>
      </c>
      <c r="P198" s="534">
        <f ca="1">OFFSET($A$1,MATCH(Z197,$A:$A,0)-1,O198)</f>
        <v>1.7</v>
      </c>
      <c r="Q198" s="141" t="s">
        <v>29</v>
      </c>
      <c r="R198" s="142">
        <f t="shared" ref="R198:S203" ca="1" si="49">T198</f>
        <v>467217</v>
      </c>
      <c r="S198" s="142">
        <f t="shared" ca="1" si="49"/>
        <v>794268</v>
      </c>
      <c r="T198" s="142">
        <f ca="1">기술사</f>
        <v>467217</v>
      </c>
      <c r="U198" s="142">
        <f t="shared" ref="U198:U203" ca="1" si="50">ROUNDDOWN(P198*R198,0)</f>
        <v>794268</v>
      </c>
      <c r="V198" s="142"/>
      <c r="W198" s="142"/>
      <c r="X198" s="142"/>
      <c r="Y198" s="142"/>
      <c r="Z198" s="114"/>
    </row>
    <row r="199" spans="11:26" ht="18" customHeight="1">
      <c r="K199" s="171" t="s">
        <v>702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2.7</v>
      </c>
      <c r="Q199" s="144" t="s">
        <v>29</v>
      </c>
      <c r="R199" s="118">
        <f t="shared" ca="1" si="49"/>
        <v>373353</v>
      </c>
      <c r="S199" s="118">
        <f t="shared" ca="1" si="49"/>
        <v>1008053</v>
      </c>
      <c r="T199" s="118">
        <f ca="1">특급</f>
        <v>373353</v>
      </c>
      <c r="U199" s="118">
        <f t="shared" ca="1" si="50"/>
        <v>1008053</v>
      </c>
      <c r="V199" s="118"/>
      <c r="W199" s="118"/>
      <c r="X199" s="118"/>
      <c r="Y199" s="118"/>
      <c r="Z199" s="115"/>
    </row>
    <row r="200" spans="11:26" ht="18" customHeight="1">
      <c r="K200" s="171" t="s">
        <v>702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8.6</v>
      </c>
      <c r="Q200" s="144" t="s">
        <v>29</v>
      </c>
      <c r="R200" s="118">
        <f t="shared" ca="1" si="49"/>
        <v>310884</v>
      </c>
      <c r="S200" s="118">
        <f t="shared" ca="1" si="49"/>
        <v>2673602</v>
      </c>
      <c r="T200" s="118">
        <f ca="1">고급</f>
        <v>310884</v>
      </c>
      <c r="U200" s="118">
        <f t="shared" ca="1" si="50"/>
        <v>2673602</v>
      </c>
      <c r="V200" s="118"/>
      <c r="W200" s="118"/>
      <c r="X200" s="118"/>
      <c r="Y200" s="118"/>
      <c r="Z200" s="115"/>
    </row>
    <row r="201" spans="11:26" ht="18" customHeight="1">
      <c r="K201" s="171" t="s">
        <v>702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11.2</v>
      </c>
      <c r="Q201" s="144" t="s">
        <v>29</v>
      </c>
      <c r="R201" s="118">
        <f t="shared" ca="1" si="49"/>
        <v>295138</v>
      </c>
      <c r="S201" s="118">
        <f t="shared" ca="1" si="49"/>
        <v>3305545</v>
      </c>
      <c r="T201" s="118">
        <f ca="1">중급</f>
        <v>295138</v>
      </c>
      <c r="U201" s="118">
        <f t="shared" ca="1" si="50"/>
        <v>3305545</v>
      </c>
      <c r="V201" s="118"/>
      <c r="W201" s="118"/>
      <c r="X201" s="118"/>
      <c r="Y201" s="118"/>
      <c r="Z201" s="115"/>
    </row>
    <row r="202" spans="11:26" ht="18" customHeight="1">
      <c r="K202" s="171" t="s">
        <v>699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12.4</v>
      </c>
      <c r="Q202" s="144" t="s">
        <v>29</v>
      </c>
      <c r="R202" s="118">
        <f t="shared" ca="1" si="49"/>
        <v>235459</v>
      </c>
      <c r="S202" s="118">
        <f t="shared" ca="1" si="49"/>
        <v>2919691</v>
      </c>
      <c r="T202" s="118">
        <f ca="1">초급</f>
        <v>235459</v>
      </c>
      <c r="U202" s="118">
        <f t="shared" ca="1" si="50"/>
        <v>2919691</v>
      </c>
      <c r="V202" s="118"/>
      <c r="W202" s="118"/>
      <c r="X202" s="118"/>
      <c r="Y202" s="118"/>
      <c r="Z202" s="115"/>
    </row>
    <row r="203" spans="11:26" ht="18" customHeight="1">
      <c r="K203" s="171" t="s">
        <v>699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13</v>
      </c>
      <c r="Q203" s="322" t="s">
        <v>29</v>
      </c>
      <c r="R203" s="323">
        <f t="shared" ca="1" si="49"/>
        <v>250087</v>
      </c>
      <c r="S203" s="323">
        <f t="shared" ca="1" si="49"/>
        <v>3251131</v>
      </c>
      <c r="T203" s="323">
        <f ca="1">보조원</f>
        <v>250087</v>
      </c>
      <c r="U203" s="323">
        <f t="shared" ca="1" si="50"/>
        <v>3251131</v>
      </c>
      <c r="V203" s="323"/>
      <c r="W203" s="323"/>
      <c r="X203" s="323"/>
      <c r="Y203" s="323"/>
      <c r="Z203" s="324"/>
    </row>
    <row r="204" spans="11:26" ht="18" customHeight="1">
      <c r="K204" s="171" t="s">
        <v>702</v>
      </c>
      <c r="L204" s="171"/>
      <c r="M204" s="171"/>
      <c r="N204" s="139" t="s">
        <v>698</v>
      </c>
      <c r="O204" s="68"/>
      <c r="P204" s="69"/>
      <c r="Q204" s="70"/>
      <c r="R204" s="71"/>
      <c r="S204" s="71">
        <f ca="1">SUBTOTAL(9,S198:S203)</f>
        <v>13952290</v>
      </c>
      <c r="T204" s="71"/>
      <c r="U204" s="71">
        <f ca="1">SUBTOTAL(9,U198:U203)</f>
        <v>13952290</v>
      </c>
      <c r="V204" s="71"/>
      <c r="W204" s="71"/>
      <c r="X204" s="71"/>
      <c r="Y204" s="71"/>
      <c r="Z204" s="68"/>
    </row>
    <row r="205" spans="11:26" ht="18" customHeight="1">
      <c r="K205" s="171" t="s">
        <v>699</v>
      </c>
      <c r="L205" s="171"/>
      <c r="M205" s="171"/>
      <c r="N205" s="532" t="str">
        <f ca="1">"제 " &amp; Z205 &amp; " 호표  "&amp; OFFSET($A$1,MATCH(Z205,$A:$A,0)-1,1)</f>
        <v>제 18 호표  3.5 정보시스템의 공동 활용 및 연계 계획</v>
      </c>
      <c r="O205" s="533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18</v>
      </c>
    </row>
    <row r="206" spans="11:26" ht="18" customHeight="1">
      <c r="K206" s="171" t="s">
        <v>699</v>
      </c>
      <c r="L206" s="171"/>
      <c r="M206" s="171"/>
      <c r="N206" s="140" t="s">
        <v>43</v>
      </c>
      <c r="O206" s="172">
        <v>3</v>
      </c>
      <c r="P206" s="534">
        <f ca="1">OFFSET($A$1,MATCH(Z205,$A:$A,0)-1,O206)</f>
        <v>0.7</v>
      </c>
      <c r="Q206" s="141" t="s">
        <v>29</v>
      </c>
      <c r="R206" s="142">
        <f t="shared" ref="R206:S211" ca="1" si="51">T206</f>
        <v>467217</v>
      </c>
      <c r="S206" s="142">
        <f t="shared" ca="1" si="51"/>
        <v>327051</v>
      </c>
      <c r="T206" s="142">
        <f ca="1">기술사</f>
        <v>467217</v>
      </c>
      <c r="U206" s="142">
        <f t="shared" ref="U206:U211" ca="1" si="52">ROUNDDOWN(P206*R206,0)</f>
        <v>327051</v>
      </c>
      <c r="V206" s="142"/>
      <c r="W206" s="142"/>
      <c r="X206" s="142"/>
      <c r="Y206" s="142"/>
      <c r="Z206" s="114"/>
    </row>
    <row r="207" spans="11:26" ht="18" customHeight="1">
      <c r="K207" s="171" t="s">
        <v>699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1.1000000000000001</v>
      </c>
      <c r="Q207" s="144" t="s">
        <v>29</v>
      </c>
      <c r="R207" s="118">
        <f t="shared" ca="1" si="51"/>
        <v>373353</v>
      </c>
      <c r="S207" s="118">
        <f t="shared" ca="1" si="51"/>
        <v>410688</v>
      </c>
      <c r="T207" s="118">
        <f ca="1">특급</f>
        <v>373353</v>
      </c>
      <c r="U207" s="118">
        <f t="shared" ca="1" si="52"/>
        <v>410688</v>
      </c>
      <c r="V207" s="118"/>
      <c r="W207" s="118"/>
      <c r="X207" s="118"/>
      <c r="Y207" s="118"/>
      <c r="Z207" s="115"/>
    </row>
    <row r="208" spans="11:26" ht="18" customHeight="1">
      <c r="K208" s="171" t="s">
        <v>699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3</v>
      </c>
      <c r="Q208" s="144" t="s">
        <v>29</v>
      </c>
      <c r="R208" s="118">
        <f t="shared" ca="1" si="51"/>
        <v>310884</v>
      </c>
      <c r="S208" s="118">
        <f t="shared" ca="1" si="51"/>
        <v>932652</v>
      </c>
      <c r="T208" s="118">
        <f ca="1">고급</f>
        <v>310884</v>
      </c>
      <c r="U208" s="118">
        <f t="shared" ca="1" si="52"/>
        <v>932652</v>
      </c>
      <c r="V208" s="118"/>
      <c r="W208" s="118"/>
      <c r="X208" s="118"/>
      <c r="Y208" s="118"/>
      <c r="Z208" s="115"/>
    </row>
    <row r="209" spans="11:26" ht="18" customHeight="1">
      <c r="K209" s="171" t="s">
        <v>699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6</v>
      </c>
      <c r="Q209" s="144" t="s">
        <v>29</v>
      </c>
      <c r="R209" s="118">
        <f t="shared" ca="1" si="51"/>
        <v>295138</v>
      </c>
      <c r="S209" s="118">
        <f t="shared" ca="1" si="51"/>
        <v>1770828</v>
      </c>
      <c r="T209" s="118">
        <f ca="1">중급</f>
        <v>295138</v>
      </c>
      <c r="U209" s="118">
        <f t="shared" ca="1" si="52"/>
        <v>1770828</v>
      </c>
      <c r="V209" s="118"/>
      <c r="W209" s="118"/>
      <c r="X209" s="118"/>
      <c r="Y209" s="118"/>
      <c r="Z209" s="115"/>
    </row>
    <row r="210" spans="11:26" ht="18" customHeight="1">
      <c r="K210" s="171" t="s">
        <v>699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6.4</v>
      </c>
      <c r="Q210" s="144" t="s">
        <v>29</v>
      </c>
      <c r="R210" s="118">
        <f t="shared" ca="1" si="51"/>
        <v>235459</v>
      </c>
      <c r="S210" s="118">
        <f t="shared" ca="1" si="51"/>
        <v>1506937</v>
      </c>
      <c r="T210" s="118">
        <f ca="1">초급</f>
        <v>235459</v>
      </c>
      <c r="U210" s="118">
        <f t="shared" ca="1" si="52"/>
        <v>1506937</v>
      </c>
      <c r="V210" s="118"/>
      <c r="W210" s="118"/>
      <c r="X210" s="118"/>
      <c r="Y210" s="118"/>
      <c r="Z210" s="115"/>
    </row>
    <row r="211" spans="11:26" ht="18" customHeight="1">
      <c r="K211" s="171" t="s">
        <v>699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6.3</v>
      </c>
      <c r="Q211" s="322" t="s">
        <v>29</v>
      </c>
      <c r="R211" s="323">
        <f t="shared" ca="1" si="51"/>
        <v>250087</v>
      </c>
      <c r="S211" s="323">
        <f t="shared" ca="1" si="51"/>
        <v>1575548</v>
      </c>
      <c r="T211" s="323">
        <f ca="1">보조원</f>
        <v>250087</v>
      </c>
      <c r="U211" s="323">
        <f t="shared" ca="1" si="52"/>
        <v>1575548</v>
      </c>
      <c r="V211" s="323"/>
      <c r="W211" s="323"/>
      <c r="X211" s="323"/>
      <c r="Y211" s="323"/>
      <c r="Z211" s="324"/>
    </row>
    <row r="212" spans="11:26" ht="18" customHeight="1">
      <c r="K212" s="171" t="s">
        <v>699</v>
      </c>
      <c r="L212" s="171"/>
      <c r="M212" s="171"/>
      <c r="N212" s="139" t="s">
        <v>700</v>
      </c>
      <c r="O212" s="68"/>
      <c r="P212" s="69"/>
      <c r="Q212" s="70"/>
      <c r="R212" s="71"/>
      <c r="S212" s="71">
        <f ca="1">SUBTOTAL(9,S206:S211)</f>
        <v>6523704</v>
      </c>
      <c r="T212" s="71"/>
      <c r="U212" s="71">
        <f ca="1">SUBTOTAL(9,U206:U211)</f>
        <v>6523704</v>
      </c>
      <c r="V212" s="71"/>
      <c r="W212" s="71"/>
      <c r="X212" s="71"/>
      <c r="Y212" s="71"/>
      <c r="Z212" s="68"/>
    </row>
    <row r="213" spans="11:26" ht="18" customHeight="1">
      <c r="K213" s="171" t="s">
        <v>699</v>
      </c>
      <c r="L213" s="171"/>
      <c r="M213" s="171"/>
      <c r="N213" s="532" t="str">
        <f ca="1">"제 " &amp; Z213 &amp; " 호표  "&amp; OFFSET($A$1,MATCH(Z213,$A:$A,0)-1,1)</f>
        <v>제 19 호표  3.6 지역산업의 육성 및 진흥 계획</v>
      </c>
      <c r="O213" s="533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19</v>
      </c>
    </row>
    <row r="214" spans="11:26" ht="18" customHeight="1">
      <c r="K214" s="171" t="s">
        <v>699</v>
      </c>
      <c r="L214" s="171"/>
      <c r="M214" s="171"/>
      <c r="N214" s="140" t="s">
        <v>43</v>
      </c>
      <c r="O214" s="172">
        <v>3</v>
      </c>
      <c r="P214" s="534">
        <f ca="1">OFFSET($A$1,MATCH(Z213,$A:$A,0)-1,O214)</f>
        <v>0.7</v>
      </c>
      <c r="Q214" s="141" t="s">
        <v>29</v>
      </c>
      <c r="R214" s="142">
        <f t="shared" ref="R214:S219" ca="1" si="53">T214</f>
        <v>467217</v>
      </c>
      <c r="S214" s="142">
        <f t="shared" ca="1" si="53"/>
        <v>327051</v>
      </c>
      <c r="T214" s="142">
        <f ca="1">기술사</f>
        <v>467217</v>
      </c>
      <c r="U214" s="142">
        <f t="shared" ref="U214:U219" ca="1" si="54">ROUNDDOWN(P214*R214,0)</f>
        <v>327051</v>
      </c>
      <c r="V214" s="142"/>
      <c r="W214" s="142"/>
      <c r="X214" s="142"/>
      <c r="Y214" s="142"/>
      <c r="Z214" s="114"/>
    </row>
    <row r="215" spans="11:26" ht="18" customHeight="1">
      <c r="K215" s="171" t="s">
        <v>699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1.2</v>
      </c>
      <c r="Q215" s="144" t="s">
        <v>29</v>
      </c>
      <c r="R215" s="118">
        <f t="shared" ca="1" si="53"/>
        <v>373353</v>
      </c>
      <c r="S215" s="118">
        <f t="shared" ca="1" si="53"/>
        <v>448023</v>
      </c>
      <c r="T215" s="118">
        <f ca="1">특급</f>
        <v>373353</v>
      </c>
      <c r="U215" s="118">
        <f t="shared" ca="1" si="54"/>
        <v>448023</v>
      </c>
      <c r="V215" s="118"/>
      <c r="W215" s="118"/>
      <c r="X215" s="118"/>
      <c r="Y215" s="118"/>
      <c r="Z215" s="115"/>
    </row>
    <row r="216" spans="11:26" ht="18" customHeight="1">
      <c r="K216" s="171" t="s">
        <v>699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3.5</v>
      </c>
      <c r="Q216" s="144" t="s">
        <v>29</v>
      </c>
      <c r="R216" s="118">
        <f t="shared" ca="1" si="53"/>
        <v>310884</v>
      </c>
      <c r="S216" s="118">
        <f t="shared" ca="1" si="53"/>
        <v>1088094</v>
      </c>
      <c r="T216" s="118">
        <f ca="1">고급</f>
        <v>310884</v>
      </c>
      <c r="U216" s="118">
        <f t="shared" ca="1" si="54"/>
        <v>1088094</v>
      </c>
      <c r="V216" s="118"/>
      <c r="W216" s="118"/>
      <c r="X216" s="118"/>
      <c r="Y216" s="118"/>
      <c r="Z216" s="115"/>
    </row>
    <row r="217" spans="11:26" ht="18" customHeight="1">
      <c r="K217" s="171" t="s">
        <v>699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5</v>
      </c>
      <c r="Q217" s="144" t="s">
        <v>29</v>
      </c>
      <c r="R217" s="118">
        <f t="shared" ca="1" si="53"/>
        <v>295138</v>
      </c>
      <c r="S217" s="118">
        <f t="shared" ca="1" si="53"/>
        <v>1475690</v>
      </c>
      <c r="T217" s="118">
        <f ca="1">중급</f>
        <v>295138</v>
      </c>
      <c r="U217" s="118">
        <f t="shared" ca="1" si="54"/>
        <v>1475690</v>
      </c>
      <c r="V217" s="118"/>
      <c r="W217" s="118"/>
      <c r="X217" s="118"/>
      <c r="Y217" s="118"/>
      <c r="Z217" s="115"/>
    </row>
    <row r="218" spans="11:26" ht="18" customHeight="1">
      <c r="K218" s="171" t="s">
        <v>699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5.4</v>
      </c>
      <c r="Q218" s="144" t="s">
        <v>29</v>
      </c>
      <c r="R218" s="118">
        <f t="shared" ca="1" si="53"/>
        <v>235459</v>
      </c>
      <c r="S218" s="118">
        <f t="shared" ca="1" si="53"/>
        <v>1271478</v>
      </c>
      <c r="T218" s="118">
        <f ca="1">초급</f>
        <v>235459</v>
      </c>
      <c r="U218" s="118">
        <f t="shared" ca="1" si="54"/>
        <v>1271478</v>
      </c>
      <c r="V218" s="118"/>
      <c r="W218" s="118"/>
      <c r="X218" s="118"/>
      <c r="Y218" s="118"/>
      <c r="Z218" s="115"/>
    </row>
    <row r="219" spans="11:26" ht="18" customHeight="1">
      <c r="K219" s="171" t="s">
        <v>699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7.8</v>
      </c>
      <c r="Q219" s="322" t="s">
        <v>29</v>
      </c>
      <c r="R219" s="323">
        <f t="shared" ca="1" si="53"/>
        <v>250087</v>
      </c>
      <c r="S219" s="323">
        <f t="shared" ca="1" si="53"/>
        <v>1950678</v>
      </c>
      <c r="T219" s="323">
        <f ca="1">보조원</f>
        <v>250087</v>
      </c>
      <c r="U219" s="323">
        <f t="shared" ca="1" si="54"/>
        <v>1950678</v>
      </c>
      <c r="V219" s="323"/>
      <c r="W219" s="323"/>
      <c r="X219" s="323"/>
      <c r="Y219" s="323"/>
      <c r="Z219" s="324"/>
    </row>
    <row r="220" spans="11:26" ht="18" customHeight="1">
      <c r="K220" s="171" t="s">
        <v>699</v>
      </c>
      <c r="L220" s="171"/>
      <c r="M220" s="171"/>
      <c r="N220" s="139" t="s">
        <v>698</v>
      </c>
      <c r="O220" s="68"/>
      <c r="P220" s="69"/>
      <c r="Q220" s="70"/>
      <c r="R220" s="71"/>
      <c r="S220" s="71">
        <f ca="1">SUBTOTAL(9,S214:S219)</f>
        <v>6561014</v>
      </c>
      <c r="T220" s="71"/>
      <c r="U220" s="71">
        <f ca="1">SUBTOTAL(9,U214:U219)</f>
        <v>6561014</v>
      </c>
      <c r="V220" s="71"/>
      <c r="W220" s="71"/>
      <c r="X220" s="71"/>
      <c r="Y220" s="71"/>
      <c r="Z220" s="68"/>
    </row>
    <row r="221" spans="11:26" ht="18" customHeight="1">
      <c r="K221" s="171" t="s">
        <v>699</v>
      </c>
      <c r="L221" s="171"/>
      <c r="M221" s="171"/>
      <c r="N221" s="532" t="str">
        <f ca="1">"제 " &amp; Z221 &amp; " 호표  "&amp; OFFSET($A$1,MATCH(Z221,$A:$A,0)-1,1)</f>
        <v>제 20 호표  3.7 유관기관 및 관련계획의 연계성 확보계획</v>
      </c>
      <c r="O221" s="533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20</v>
      </c>
    </row>
    <row r="222" spans="11:26" ht="18" customHeight="1">
      <c r="K222" s="171" t="s">
        <v>699</v>
      </c>
      <c r="L222" s="171"/>
      <c r="M222" s="171"/>
      <c r="N222" s="140" t="s">
        <v>43</v>
      </c>
      <c r="O222" s="172">
        <v>3</v>
      </c>
      <c r="P222" s="534">
        <f ca="1">OFFSET($A$1,MATCH(Z221,$A:$A,0)-1,O222)</f>
        <v>0.2</v>
      </c>
      <c r="Q222" s="141" t="s">
        <v>29</v>
      </c>
      <c r="R222" s="142">
        <f t="shared" ref="R222:S227" ca="1" si="55">T222</f>
        <v>467217</v>
      </c>
      <c r="S222" s="142">
        <f t="shared" ca="1" si="55"/>
        <v>93443</v>
      </c>
      <c r="T222" s="142">
        <f ca="1">기술사</f>
        <v>467217</v>
      </c>
      <c r="U222" s="142">
        <f t="shared" ref="U222:U227" ca="1" si="56">ROUNDDOWN(P222*R222,0)</f>
        <v>93443</v>
      </c>
      <c r="V222" s="142"/>
      <c r="W222" s="142"/>
      <c r="X222" s="142"/>
      <c r="Y222" s="142"/>
      <c r="Z222" s="114"/>
    </row>
    <row r="223" spans="11:26" ht="18" customHeight="1">
      <c r="K223" s="171" t="s">
        <v>702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0.3</v>
      </c>
      <c r="Q223" s="144" t="s">
        <v>29</v>
      </c>
      <c r="R223" s="118">
        <f t="shared" ca="1" si="55"/>
        <v>373353</v>
      </c>
      <c r="S223" s="118">
        <f t="shared" ca="1" si="55"/>
        <v>112005</v>
      </c>
      <c r="T223" s="118">
        <f ca="1">특급</f>
        <v>373353</v>
      </c>
      <c r="U223" s="118">
        <f t="shared" ca="1" si="56"/>
        <v>112005</v>
      </c>
      <c r="V223" s="118"/>
      <c r="W223" s="118"/>
      <c r="X223" s="118"/>
      <c r="Y223" s="118"/>
      <c r="Z223" s="115"/>
    </row>
    <row r="224" spans="11:26" ht="18" customHeight="1">
      <c r="K224" s="171" t="s">
        <v>699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0.6</v>
      </c>
      <c r="Q224" s="144" t="s">
        <v>29</v>
      </c>
      <c r="R224" s="118">
        <f t="shared" ca="1" si="55"/>
        <v>310884</v>
      </c>
      <c r="S224" s="118">
        <f t="shared" ca="1" si="55"/>
        <v>186530</v>
      </c>
      <c r="T224" s="118">
        <f ca="1">고급</f>
        <v>310884</v>
      </c>
      <c r="U224" s="118">
        <f t="shared" ca="1" si="56"/>
        <v>186530</v>
      </c>
      <c r="V224" s="118"/>
      <c r="W224" s="118"/>
      <c r="X224" s="118"/>
      <c r="Y224" s="118"/>
      <c r="Z224" s="115"/>
    </row>
    <row r="225" spans="11:26" ht="18" customHeight="1">
      <c r="K225" s="171" t="s">
        <v>702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0.9</v>
      </c>
      <c r="Q225" s="144" t="s">
        <v>29</v>
      </c>
      <c r="R225" s="118">
        <f t="shared" ca="1" si="55"/>
        <v>295138</v>
      </c>
      <c r="S225" s="118">
        <f t="shared" ca="1" si="55"/>
        <v>265624</v>
      </c>
      <c r="T225" s="118">
        <f ca="1">중급</f>
        <v>295138</v>
      </c>
      <c r="U225" s="118">
        <f t="shared" ca="1" si="56"/>
        <v>265624</v>
      </c>
      <c r="V225" s="118"/>
      <c r="W225" s="118"/>
      <c r="X225" s="118"/>
      <c r="Y225" s="118"/>
      <c r="Z225" s="115"/>
    </row>
    <row r="226" spans="11:26" ht="18" customHeight="1">
      <c r="K226" s="171" t="s">
        <v>699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1.5</v>
      </c>
      <c r="Q226" s="144" t="s">
        <v>29</v>
      </c>
      <c r="R226" s="118">
        <f t="shared" ca="1" si="55"/>
        <v>235459</v>
      </c>
      <c r="S226" s="118">
        <f t="shared" ca="1" si="55"/>
        <v>353188</v>
      </c>
      <c r="T226" s="118">
        <f ca="1">초급</f>
        <v>235459</v>
      </c>
      <c r="U226" s="118">
        <f t="shared" ca="1" si="56"/>
        <v>353188</v>
      </c>
      <c r="V226" s="118"/>
      <c r="W226" s="118"/>
      <c r="X226" s="118"/>
      <c r="Y226" s="118"/>
      <c r="Z226" s="115"/>
    </row>
    <row r="227" spans="11:26" ht="18" customHeight="1">
      <c r="K227" s="171" t="s">
        <v>699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1.8</v>
      </c>
      <c r="Q227" s="322" t="s">
        <v>29</v>
      </c>
      <c r="R227" s="323">
        <f t="shared" ca="1" si="55"/>
        <v>250087</v>
      </c>
      <c r="S227" s="323">
        <f t="shared" ca="1" si="55"/>
        <v>450156</v>
      </c>
      <c r="T227" s="323">
        <f ca="1">보조원</f>
        <v>250087</v>
      </c>
      <c r="U227" s="323">
        <f t="shared" ca="1" si="56"/>
        <v>450156</v>
      </c>
      <c r="V227" s="323"/>
      <c r="W227" s="323"/>
      <c r="X227" s="323"/>
      <c r="Y227" s="323"/>
      <c r="Z227" s="324"/>
    </row>
    <row r="228" spans="11:26" ht="18" customHeight="1">
      <c r="K228" s="171" t="s">
        <v>702</v>
      </c>
      <c r="L228" s="171"/>
      <c r="M228" s="171"/>
      <c r="N228" s="139" t="s">
        <v>698</v>
      </c>
      <c r="O228" s="68"/>
      <c r="P228" s="69"/>
      <c r="Q228" s="70"/>
      <c r="R228" s="71"/>
      <c r="S228" s="71">
        <f ca="1">SUBTOTAL(9,S222:S227)</f>
        <v>1460946</v>
      </c>
      <c r="T228" s="71"/>
      <c r="U228" s="71">
        <f ca="1">SUBTOTAL(9,U222:U227)</f>
        <v>1460946</v>
      </c>
      <c r="V228" s="71"/>
      <c r="W228" s="71"/>
      <c r="X228" s="71"/>
      <c r="Y228" s="71"/>
      <c r="Z228" s="68"/>
    </row>
    <row r="229" spans="11:26" ht="18" customHeight="1">
      <c r="K229" s="171" t="s">
        <v>702</v>
      </c>
      <c r="L229" s="171"/>
      <c r="M229" s="171"/>
      <c r="N229" s="532" t="str">
        <f ca="1">"제 " &amp; Z229 &amp; " 호표  "&amp; OFFSET($A$1,MATCH(Z229,$A:$A,0)-1,1)</f>
        <v>제 21 호표  3.8 개인정보 보호 및 기반시설 보호에 관한 계획</v>
      </c>
      <c r="O229" s="533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21</v>
      </c>
    </row>
    <row r="230" spans="11:26" ht="18" customHeight="1">
      <c r="K230" s="171" t="s">
        <v>699</v>
      </c>
      <c r="L230" s="171"/>
      <c r="M230" s="171"/>
      <c r="N230" s="140" t="s">
        <v>43</v>
      </c>
      <c r="O230" s="172">
        <v>3</v>
      </c>
      <c r="P230" s="534">
        <f ca="1">OFFSET($A$1,MATCH(Z229,$A:$A,0)-1,O230)</f>
        <v>1.7</v>
      </c>
      <c r="Q230" s="141" t="s">
        <v>29</v>
      </c>
      <c r="R230" s="142">
        <f t="shared" ref="R230:S235" ca="1" si="57">T230</f>
        <v>467217</v>
      </c>
      <c r="S230" s="142">
        <f t="shared" ca="1" si="57"/>
        <v>794268</v>
      </c>
      <c r="T230" s="142">
        <f ca="1">기술사</f>
        <v>467217</v>
      </c>
      <c r="U230" s="142">
        <f t="shared" ref="U230:U235" ca="1" si="58">ROUNDDOWN(P230*R230,0)</f>
        <v>794268</v>
      </c>
      <c r="V230" s="142"/>
      <c r="W230" s="142"/>
      <c r="X230" s="142"/>
      <c r="Y230" s="142"/>
      <c r="Z230" s="114"/>
    </row>
    <row r="231" spans="11:26" ht="18" customHeight="1">
      <c r="K231" s="171" t="s">
        <v>699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2.7</v>
      </c>
      <c r="Q231" s="144" t="s">
        <v>29</v>
      </c>
      <c r="R231" s="118">
        <f t="shared" ca="1" si="57"/>
        <v>373353</v>
      </c>
      <c r="S231" s="118">
        <f t="shared" ca="1" si="57"/>
        <v>1008053</v>
      </c>
      <c r="T231" s="118">
        <f ca="1">특급</f>
        <v>373353</v>
      </c>
      <c r="U231" s="118">
        <f t="shared" ca="1" si="58"/>
        <v>1008053</v>
      </c>
      <c r="V231" s="118"/>
      <c r="W231" s="118"/>
      <c r="X231" s="118"/>
      <c r="Y231" s="118"/>
      <c r="Z231" s="115"/>
    </row>
    <row r="232" spans="11:26" ht="18" customHeight="1">
      <c r="K232" s="171" t="s">
        <v>702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8.6</v>
      </c>
      <c r="Q232" s="144" t="s">
        <v>29</v>
      </c>
      <c r="R232" s="118">
        <f t="shared" ca="1" si="57"/>
        <v>310884</v>
      </c>
      <c r="S232" s="118">
        <f t="shared" ca="1" si="57"/>
        <v>2673602</v>
      </c>
      <c r="T232" s="118">
        <f ca="1">고급</f>
        <v>310884</v>
      </c>
      <c r="U232" s="118">
        <f t="shared" ca="1" si="58"/>
        <v>2673602</v>
      </c>
      <c r="V232" s="118"/>
      <c r="W232" s="118"/>
      <c r="X232" s="118"/>
      <c r="Y232" s="118"/>
      <c r="Z232" s="115"/>
    </row>
    <row r="233" spans="11:26" ht="18" customHeight="1">
      <c r="K233" s="171" t="s">
        <v>702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11.2</v>
      </c>
      <c r="Q233" s="144" t="s">
        <v>29</v>
      </c>
      <c r="R233" s="118">
        <f t="shared" ca="1" si="57"/>
        <v>295138</v>
      </c>
      <c r="S233" s="118">
        <f t="shared" ca="1" si="57"/>
        <v>3305545</v>
      </c>
      <c r="T233" s="118">
        <f ca="1">중급</f>
        <v>295138</v>
      </c>
      <c r="U233" s="118">
        <f t="shared" ca="1" si="58"/>
        <v>3305545</v>
      </c>
      <c r="V233" s="118"/>
      <c r="W233" s="118"/>
      <c r="X233" s="118"/>
      <c r="Y233" s="118"/>
      <c r="Z233" s="115"/>
    </row>
    <row r="234" spans="11:26" ht="18" customHeight="1">
      <c r="K234" s="171" t="s">
        <v>699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12.4</v>
      </c>
      <c r="Q234" s="144" t="s">
        <v>29</v>
      </c>
      <c r="R234" s="118">
        <f t="shared" ca="1" si="57"/>
        <v>235459</v>
      </c>
      <c r="S234" s="118">
        <f t="shared" ca="1" si="57"/>
        <v>2919691</v>
      </c>
      <c r="T234" s="118">
        <f ca="1">초급</f>
        <v>235459</v>
      </c>
      <c r="U234" s="118">
        <f t="shared" ca="1" si="58"/>
        <v>2919691</v>
      </c>
      <c r="V234" s="118"/>
      <c r="W234" s="118"/>
      <c r="X234" s="118"/>
      <c r="Y234" s="118"/>
      <c r="Z234" s="115"/>
    </row>
    <row r="235" spans="11:26" ht="18" customHeight="1">
      <c r="K235" s="171" t="s">
        <v>702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13</v>
      </c>
      <c r="Q235" s="322" t="s">
        <v>29</v>
      </c>
      <c r="R235" s="323">
        <f t="shared" ca="1" si="57"/>
        <v>250087</v>
      </c>
      <c r="S235" s="323">
        <f t="shared" ca="1" si="57"/>
        <v>3251131</v>
      </c>
      <c r="T235" s="323">
        <f ca="1">보조원</f>
        <v>250087</v>
      </c>
      <c r="U235" s="323">
        <f t="shared" ca="1" si="58"/>
        <v>3251131</v>
      </c>
      <c r="V235" s="323"/>
      <c r="W235" s="323"/>
      <c r="X235" s="323"/>
      <c r="Y235" s="323"/>
      <c r="Z235" s="324"/>
    </row>
    <row r="236" spans="11:26" ht="18" customHeight="1">
      <c r="K236" s="171" t="s">
        <v>702</v>
      </c>
      <c r="L236" s="171"/>
      <c r="M236" s="171"/>
      <c r="N236" s="139" t="s">
        <v>700</v>
      </c>
      <c r="O236" s="68"/>
      <c r="P236" s="69"/>
      <c r="Q236" s="70"/>
      <c r="R236" s="71"/>
      <c r="S236" s="71">
        <f ca="1">SUBTOTAL(9,S230:S235)</f>
        <v>13952290</v>
      </c>
      <c r="T236" s="71"/>
      <c r="U236" s="71">
        <f ca="1">SUBTOTAL(9,U230:U235)</f>
        <v>13952290</v>
      </c>
      <c r="V236" s="71"/>
      <c r="W236" s="71"/>
      <c r="X236" s="71"/>
      <c r="Y236" s="71"/>
      <c r="Z236" s="68"/>
    </row>
    <row r="237" spans="11:26" ht="18" customHeight="1">
      <c r="K237" s="171" t="s">
        <v>702</v>
      </c>
      <c r="L237" s="171"/>
      <c r="M237" s="171"/>
      <c r="N237" s="532" t="str">
        <f ca="1">"제 " &amp; Z237 &amp; " 호표  "&amp; OFFSET($A$1,MATCH(Z237,$A:$A,0)-1,1)</f>
        <v>제 22 호표  3.9 도시정보의 생산·수집·가공·활용·유통계획</v>
      </c>
      <c r="O237" s="533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22</v>
      </c>
    </row>
    <row r="238" spans="11:26" ht="18" customHeight="1">
      <c r="K238" s="171" t="s">
        <v>699</v>
      </c>
      <c r="L238" s="171"/>
      <c r="M238" s="171"/>
      <c r="N238" s="140" t="s">
        <v>43</v>
      </c>
      <c r="O238" s="172">
        <v>3</v>
      </c>
      <c r="P238" s="534">
        <f ca="1">OFFSET($A$1,MATCH(Z237,$A:$A,0)-1,O238)</f>
        <v>0.7</v>
      </c>
      <c r="Q238" s="141" t="s">
        <v>29</v>
      </c>
      <c r="R238" s="142">
        <f t="shared" ref="R238:S243" ca="1" si="59">T238</f>
        <v>467217</v>
      </c>
      <c r="S238" s="142">
        <f t="shared" ca="1" si="59"/>
        <v>327051</v>
      </c>
      <c r="T238" s="142">
        <f ca="1">기술사</f>
        <v>467217</v>
      </c>
      <c r="U238" s="142">
        <f t="shared" ref="U238:U243" ca="1" si="60">ROUNDDOWN(P238*R238,0)</f>
        <v>327051</v>
      </c>
      <c r="V238" s="142"/>
      <c r="W238" s="142"/>
      <c r="X238" s="142"/>
      <c r="Y238" s="142"/>
      <c r="Z238" s="114"/>
    </row>
    <row r="239" spans="11:26" ht="18" customHeight="1">
      <c r="K239" s="171" t="s">
        <v>699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1.1000000000000001</v>
      </c>
      <c r="Q239" s="144" t="s">
        <v>29</v>
      </c>
      <c r="R239" s="118">
        <f t="shared" ca="1" si="59"/>
        <v>373353</v>
      </c>
      <c r="S239" s="118">
        <f t="shared" ca="1" si="59"/>
        <v>410688</v>
      </c>
      <c r="T239" s="118">
        <f ca="1">특급</f>
        <v>373353</v>
      </c>
      <c r="U239" s="118">
        <f t="shared" ca="1" si="60"/>
        <v>410688</v>
      </c>
      <c r="V239" s="118"/>
      <c r="W239" s="118"/>
      <c r="X239" s="118"/>
      <c r="Y239" s="118"/>
      <c r="Z239" s="115"/>
    </row>
    <row r="240" spans="11:26" ht="18" customHeight="1">
      <c r="K240" s="171" t="s">
        <v>699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3</v>
      </c>
      <c r="Q240" s="144" t="s">
        <v>29</v>
      </c>
      <c r="R240" s="118">
        <f t="shared" ca="1" si="59"/>
        <v>310884</v>
      </c>
      <c r="S240" s="118">
        <f t="shared" ca="1" si="59"/>
        <v>932652</v>
      </c>
      <c r="T240" s="118">
        <f ca="1">고급</f>
        <v>310884</v>
      </c>
      <c r="U240" s="118">
        <f t="shared" ca="1" si="60"/>
        <v>932652</v>
      </c>
      <c r="V240" s="118"/>
      <c r="W240" s="118"/>
      <c r="X240" s="118"/>
      <c r="Y240" s="118"/>
      <c r="Z240" s="115"/>
    </row>
    <row r="241" spans="11:26" ht="18" customHeight="1">
      <c r="K241" s="171" t="s">
        <v>699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6</v>
      </c>
      <c r="Q241" s="144" t="s">
        <v>29</v>
      </c>
      <c r="R241" s="118">
        <f t="shared" ca="1" si="59"/>
        <v>295138</v>
      </c>
      <c r="S241" s="118">
        <f t="shared" ca="1" si="59"/>
        <v>1770828</v>
      </c>
      <c r="T241" s="118">
        <f ca="1">중급</f>
        <v>295138</v>
      </c>
      <c r="U241" s="118">
        <f t="shared" ca="1" si="60"/>
        <v>1770828</v>
      </c>
      <c r="V241" s="118"/>
      <c r="W241" s="118"/>
      <c r="X241" s="118"/>
      <c r="Y241" s="118"/>
      <c r="Z241" s="115"/>
    </row>
    <row r="242" spans="11:26" ht="18" customHeight="1">
      <c r="K242" s="171" t="s">
        <v>699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6.4</v>
      </c>
      <c r="Q242" s="144" t="s">
        <v>29</v>
      </c>
      <c r="R242" s="118">
        <f t="shared" ca="1" si="59"/>
        <v>235459</v>
      </c>
      <c r="S242" s="118">
        <f t="shared" ca="1" si="59"/>
        <v>1506937</v>
      </c>
      <c r="T242" s="118">
        <f ca="1">초급</f>
        <v>235459</v>
      </c>
      <c r="U242" s="118">
        <f t="shared" ca="1" si="60"/>
        <v>1506937</v>
      </c>
      <c r="V242" s="118"/>
      <c r="W242" s="118"/>
      <c r="X242" s="118"/>
      <c r="Y242" s="118"/>
      <c r="Z242" s="115"/>
    </row>
    <row r="243" spans="11:26" ht="18" customHeight="1">
      <c r="K243" s="171" t="s">
        <v>699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6.3</v>
      </c>
      <c r="Q243" s="322" t="s">
        <v>29</v>
      </c>
      <c r="R243" s="323">
        <f t="shared" ca="1" si="59"/>
        <v>250087</v>
      </c>
      <c r="S243" s="323">
        <f t="shared" ca="1" si="59"/>
        <v>1575548</v>
      </c>
      <c r="T243" s="323">
        <f ca="1">보조원</f>
        <v>250087</v>
      </c>
      <c r="U243" s="323">
        <f t="shared" ca="1" si="60"/>
        <v>1575548</v>
      </c>
      <c r="V243" s="323"/>
      <c r="W243" s="323"/>
      <c r="X243" s="323"/>
      <c r="Y243" s="323"/>
      <c r="Z243" s="324"/>
    </row>
    <row r="244" spans="11:26" ht="18" customHeight="1">
      <c r="K244" s="171" t="s">
        <v>702</v>
      </c>
      <c r="L244" s="171"/>
      <c r="M244" s="171"/>
      <c r="N244" s="139" t="s">
        <v>698</v>
      </c>
      <c r="O244" s="68"/>
      <c r="P244" s="69"/>
      <c r="Q244" s="70"/>
      <c r="R244" s="71"/>
      <c r="S244" s="71">
        <f ca="1">SUBTOTAL(9,S238:S243)</f>
        <v>6523704</v>
      </c>
      <c r="T244" s="71"/>
      <c r="U244" s="71">
        <f ca="1">SUBTOTAL(9,U238:U243)</f>
        <v>6523704</v>
      </c>
      <c r="V244" s="71"/>
      <c r="W244" s="71"/>
      <c r="X244" s="71"/>
      <c r="Y244" s="71"/>
      <c r="Z244" s="68"/>
    </row>
    <row r="245" spans="11:26" ht="18" customHeight="1">
      <c r="K245" s="171" t="s">
        <v>702</v>
      </c>
      <c r="L245" s="171"/>
      <c r="M245" s="171"/>
      <c r="N245" s="532" t="str">
        <f ca="1">"제 " &amp; Z245 &amp; " 호표  "&amp; OFFSET($A$1,MATCH(Z245,$A:$A,0)-1,1)</f>
        <v>제 23 호표  3.10 기반시설 관리·운영계획</v>
      </c>
      <c r="O245" s="533"/>
      <c r="P245" s="148"/>
      <c r="Q245" s="148"/>
      <c r="R245" s="149"/>
      <c r="S245" s="149"/>
      <c r="T245" s="149"/>
      <c r="U245" s="149"/>
      <c r="V245" s="149"/>
      <c r="W245" s="149"/>
      <c r="X245" s="149"/>
      <c r="Y245" s="149"/>
      <c r="Z245" s="325">
        <f>Z237+1</f>
        <v>23</v>
      </c>
    </row>
    <row r="246" spans="11:26" ht="18" customHeight="1">
      <c r="K246" s="171" t="s">
        <v>699</v>
      </c>
      <c r="L246" s="171"/>
      <c r="M246" s="171"/>
      <c r="N246" s="140" t="s">
        <v>43</v>
      </c>
      <c r="O246" s="172">
        <v>3</v>
      </c>
      <c r="P246" s="534">
        <f ca="1">OFFSET($A$1,MATCH(Z245,$A:$A,0)-1,O246)</f>
        <v>0.7</v>
      </c>
      <c r="Q246" s="141" t="s">
        <v>29</v>
      </c>
      <c r="R246" s="142">
        <f t="shared" ref="R246:S251" ca="1" si="61">T246</f>
        <v>467217</v>
      </c>
      <c r="S246" s="142">
        <f t="shared" ca="1" si="61"/>
        <v>327051</v>
      </c>
      <c r="T246" s="142">
        <f ca="1">기술사</f>
        <v>467217</v>
      </c>
      <c r="U246" s="142">
        <f t="shared" ref="U246:U251" ca="1" si="62">ROUNDDOWN(P246*R246,0)</f>
        <v>327051</v>
      </c>
      <c r="V246" s="142"/>
      <c r="W246" s="142"/>
      <c r="X246" s="142"/>
      <c r="Y246" s="142"/>
      <c r="Z246" s="114"/>
    </row>
    <row r="247" spans="11:26" ht="18" customHeight="1">
      <c r="K247" s="171" t="s">
        <v>699</v>
      </c>
      <c r="L247" s="171"/>
      <c r="M247" s="171"/>
      <c r="N247" s="143" t="s">
        <v>32</v>
      </c>
      <c r="O247" s="173">
        <v>4</v>
      </c>
      <c r="P247" s="234">
        <f ca="1">OFFSET($A$1,MATCH(Z245,$A:$A,0)-1,O247)</f>
        <v>1.1000000000000001</v>
      </c>
      <c r="Q247" s="144" t="s">
        <v>29</v>
      </c>
      <c r="R247" s="118">
        <f t="shared" ca="1" si="61"/>
        <v>373353</v>
      </c>
      <c r="S247" s="118">
        <f t="shared" ca="1" si="61"/>
        <v>410688</v>
      </c>
      <c r="T247" s="118">
        <f ca="1">특급</f>
        <v>373353</v>
      </c>
      <c r="U247" s="118">
        <f t="shared" ca="1" si="62"/>
        <v>410688</v>
      </c>
      <c r="V247" s="118"/>
      <c r="W247" s="118"/>
      <c r="X247" s="118"/>
      <c r="Y247" s="118"/>
      <c r="Z247" s="115"/>
    </row>
    <row r="248" spans="11:26" ht="18" customHeight="1">
      <c r="K248" s="171" t="s">
        <v>699</v>
      </c>
      <c r="L248" s="171"/>
      <c r="M248" s="171"/>
      <c r="N248" s="145" t="s">
        <v>39</v>
      </c>
      <c r="O248" s="173">
        <v>5</v>
      </c>
      <c r="P248" s="234">
        <f ca="1">OFFSET($A$1,MATCH(Z245,$A:$A,0)-1,O248)</f>
        <v>3</v>
      </c>
      <c r="Q248" s="144" t="s">
        <v>29</v>
      </c>
      <c r="R248" s="118">
        <f t="shared" ca="1" si="61"/>
        <v>310884</v>
      </c>
      <c r="S248" s="118">
        <f t="shared" ca="1" si="61"/>
        <v>932652</v>
      </c>
      <c r="T248" s="118">
        <f ca="1">고급</f>
        <v>310884</v>
      </c>
      <c r="U248" s="118">
        <f t="shared" ca="1" si="62"/>
        <v>932652</v>
      </c>
      <c r="V248" s="118"/>
      <c r="W248" s="118"/>
      <c r="X248" s="118"/>
      <c r="Y248" s="118"/>
      <c r="Z248" s="115"/>
    </row>
    <row r="249" spans="11:26" ht="18" customHeight="1">
      <c r="K249" s="171" t="s">
        <v>699</v>
      </c>
      <c r="L249" s="171"/>
      <c r="M249" s="171"/>
      <c r="N249" s="145" t="s">
        <v>40</v>
      </c>
      <c r="O249" s="173">
        <v>6</v>
      </c>
      <c r="P249" s="234">
        <f ca="1">OFFSET($A$1,MATCH(Z245,$A:$A,0)-1,O249)</f>
        <v>6</v>
      </c>
      <c r="Q249" s="144" t="s">
        <v>29</v>
      </c>
      <c r="R249" s="118">
        <f t="shared" ca="1" si="61"/>
        <v>295138</v>
      </c>
      <c r="S249" s="118">
        <f t="shared" ca="1" si="61"/>
        <v>1770828</v>
      </c>
      <c r="T249" s="118">
        <f ca="1">중급</f>
        <v>295138</v>
      </c>
      <c r="U249" s="118">
        <f t="shared" ca="1" si="62"/>
        <v>1770828</v>
      </c>
      <c r="V249" s="118"/>
      <c r="W249" s="118"/>
      <c r="X249" s="118"/>
      <c r="Y249" s="118"/>
      <c r="Z249" s="115"/>
    </row>
    <row r="250" spans="11:26" ht="18" customHeight="1">
      <c r="K250" s="171" t="s">
        <v>702</v>
      </c>
      <c r="L250" s="171"/>
      <c r="M250" s="171"/>
      <c r="N250" s="145" t="s">
        <v>41</v>
      </c>
      <c r="O250" s="173">
        <v>7</v>
      </c>
      <c r="P250" s="234">
        <f ca="1">OFFSET($A$1,MATCH(Z245,$A:$A,0)-1,O250)</f>
        <v>6.4</v>
      </c>
      <c r="Q250" s="144" t="s">
        <v>29</v>
      </c>
      <c r="R250" s="118">
        <f t="shared" ca="1" si="61"/>
        <v>235459</v>
      </c>
      <c r="S250" s="118">
        <f t="shared" ca="1" si="61"/>
        <v>1506937</v>
      </c>
      <c r="T250" s="118">
        <f ca="1">초급</f>
        <v>235459</v>
      </c>
      <c r="U250" s="118">
        <f t="shared" ca="1" si="62"/>
        <v>1506937</v>
      </c>
      <c r="V250" s="118"/>
      <c r="W250" s="118"/>
      <c r="X250" s="118"/>
      <c r="Y250" s="118"/>
      <c r="Z250" s="115"/>
    </row>
    <row r="251" spans="11:26" ht="18" customHeight="1">
      <c r="K251" s="171" t="s">
        <v>699</v>
      </c>
      <c r="L251" s="171"/>
      <c r="M251" s="171"/>
      <c r="N251" s="319" t="s">
        <v>42</v>
      </c>
      <c r="O251" s="174">
        <v>8</v>
      </c>
      <c r="P251" s="235">
        <f ca="1">OFFSET($A$1,MATCH(Z245,$A:$A,0)-1,O251)</f>
        <v>6.3</v>
      </c>
      <c r="Q251" s="322" t="s">
        <v>29</v>
      </c>
      <c r="R251" s="323">
        <f t="shared" ca="1" si="61"/>
        <v>250087</v>
      </c>
      <c r="S251" s="323">
        <f t="shared" ca="1" si="61"/>
        <v>1575548</v>
      </c>
      <c r="T251" s="323">
        <f ca="1">보조원</f>
        <v>250087</v>
      </c>
      <c r="U251" s="323">
        <f t="shared" ca="1" si="62"/>
        <v>1575548</v>
      </c>
      <c r="V251" s="323"/>
      <c r="W251" s="323"/>
      <c r="X251" s="323"/>
      <c r="Y251" s="323"/>
      <c r="Z251" s="324"/>
    </row>
    <row r="252" spans="11:26" ht="18" customHeight="1">
      <c r="K252" s="171" t="s">
        <v>699</v>
      </c>
      <c r="L252" s="171"/>
      <c r="M252" s="171"/>
      <c r="N252" s="139" t="s">
        <v>700</v>
      </c>
      <c r="O252" s="68"/>
      <c r="P252" s="69"/>
      <c r="Q252" s="70"/>
      <c r="R252" s="71"/>
      <c r="S252" s="71">
        <f ca="1">SUBTOTAL(9,S246:S251)</f>
        <v>6523704</v>
      </c>
      <c r="T252" s="71"/>
      <c r="U252" s="71">
        <f ca="1">SUBTOTAL(9,U246:U251)</f>
        <v>6523704</v>
      </c>
      <c r="V252" s="71"/>
      <c r="W252" s="71"/>
      <c r="X252" s="71"/>
      <c r="Y252" s="71"/>
      <c r="Z252" s="68"/>
    </row>
    <row r="253" spans="11:26" ht="18" customHeight="1">
      <c r="K253" s="171" t="s">
        <v>702</v>
      </c>
      <c r="L253" s="171"/>
      <c r="M253" s="171"/>
      <c r="N253" s="532" t="str">
        <f ca="1">"제 " &amp; Z253 &amp; " 호표  "&amp; OFFSET($A$1,MATCH(Z253,$A:$A,0)-1,1)</f>
        <v>제 24 호표  4.1 기본 서비스 계획</v>
      </c>
      <c r="O253" s="533"/>
      <c r="P253" s="148"/>
      <c r="Q253" s="148"/>
      <c r="R253" s="149"/>
      <c r="S253" s="149"/>
      <c r="T253" s="149"/>
      <c r="U253" s="149"/>
      <c r="V253" s="149"/>
      <c r="W253" s="149"/>
      <c r="X253" s="149"/>
      <c r="Y253" s="149"/>
      <c r="Z253" s="325">
        <f>Z245+1</f>
        <v>24</v>
      </c>
    </row>
    <row r="254" spans="11:26" ht="18" customHeight="1">
      <c r="K254" s="171" t="s">
        <v>702</v>
      </c>
      <c r="L254" s="171"/>
      <c r="M254" s="171"/>
      <c r="N254" s="140" t="s">
        <v>43</v>
      </c>
      <c r="O254" s="172">
        <v>3</v>
      </c>
      <c r="P254" s="534">
        <f ca="1">OFFSET($A$1,MATCH(Z253,$A:$A,0)-1,O254)</f>
        <v>4.9000000000000004</v>
      </c>
      <c r="Q254" s="141" t="s">
        <v>29</v>
      </c>
      <c r="R254" s="142">
        <f t="shared" ref="R254:S259" ca="1" si="63">T254</f>
        <v>467217</v>
      </c>
      <c r="S254" s="142">
        <f t="shared" ca="1" si="63"/>
        <v>2289363</v>
      </c>
      <c r="T254" s="142">
        <f ca="1">기술사</f>
        <v>467217</v>
      </c>
      <c r="U254" s="142">
        <f t="shared" ref="U254:U259" ca="1" si="64">ROUNDDOWN(P254*R254,0)</f>
        <v>2289363</v>
      </c>
      <c r="V254" s="142"/>
      <c r="W254" s="142"/>
      <c r="X254" s="142"/>
      <c r="Y254" s="142"/>
      <c r="Z254" s="114"/>
    </row>
    <row r="255" spans="11:26" ht="18" customHeight="1">
      <c r="K255" s="171" t="s">
        <v>699</v>
      </c>
      <c r="L255" s="171"/>
      <c r="M255" s="171"/>
      <c r="N255" s="143" t="s">
        <v>32</v>
      </c>
      <c r="O255" s="173">
        <v>4</v>
      </c>
      <c r="P255" s="234">
        <f ca="1">OFFSET($A$1,MATCH(Z253,$A:$A,0)-1,O255)</f>
        <v>7.8</v>
      </c>
      <c r="Q255" s="144" t="s">
        <v>29</v>
      </c>
      <c r="R255" s="118">
        <f t="shared" ca="1" si="63"/>
        <v>373353</v>
      </c>
      <c r="S255" s="118">
        <f t="shared" ca="1" si="63"/>
        <v>2912153</v>
      </c>
      <c r="T255" s="118">
        <f ca="1">특급</f>
        <v>373353</v>
      </c>
      <c r="U255" s="118">
        <f t="shared" ca="1" si="64"/>
        <v>2912153</v>
      </c>
      <c r="V255" s="118"/>
      <c r="W255" s="118"/>
      <c r="X255" s="118"/>
      <c r="Y255" s="118"/>
      <c r="Z255" s="115"/>
    </row>
    <row r="256" spans="11:26" ht="18" customHeight="1">
      <c r="K256" s="171" t="s">
        <v>699</v>
      </c>
      <c r="L256" s="171"/>
      <c r="M256" s="171"/>
      <c r="N256" s="145" t="s">
        <v>39</v>
      </c>
      <c r="O256" s="173">
        <v>5</v>
      </c>
      <c r="P256" s="234">
        <f ca="1">OFFSET($A$1,MATCH(Z253,$A:$A,0)-1,O256)</f>
        <v>23.4</v>
      </c>
      <c r="Q256" s="144" t="s">
        <v>29</v>
      </c>
      <c r="R256" s="118">
        <f t="shared" ca="1" si="63"/>
        <v>310884</v>
      </c>
      <c r="S256" s="118">
        <f t="shared" ca="1" si="63"/>
        <v>7274685</v>
      </c>
      <c r="T256" s="118">
        <f ca="1">고급</f>
        <v>310884</v>
      </c>
      <c r="U256" s="118">
        <f t="shared" ca="1" si="64"/>
        <v>7274685</v>
      </c>
      <c r="V256" s="118"/>
      <c r="W256" s="118"/>
      <c r="X256" s="118"/>
      <c r="Y256" s="118"/>
      <c r="Z256" s="115"/>
    </row>
    <row r="257" spans="11:26" ht="18" customHeight="1">
      <c r="K257" s="171" t="s">
        <v>699</v>
      </c>
      <c r="L257" s="171"/>
      <c r="M257" s="171"/>
      <c r="N257" s="145" t="s">
        <v>40</v>
      </c>
      <c r="O257" s="173">
        <v>6</v>
      </c>
      <c r="P257" s="234">
        <f ca="1">OFFSET($A$1,MATCH(Z253,$A:$A,0)-1,O257)</f>
        <v>35.4</v>
      </c>
      <c r="Q257" s="144" t="s">
        <v>29</v>
      </c>
      <c r="R257" s="118">
        <f t="shared" ca="1" si="63"/>
        <v>295138</v>
      </c>
      <c r="S257" s="118">
        <f t="shared" ca="1" si="63"/>
        <v>10447885</v>
      </c>
      <c r="T257" s="118">
        <f ca="1">중급</f>
        <v>295138</v>
      </c>
      <c r="U257" s="118">
        <f t="shared" ca="1" si="64"/>
        <v>10447885</v>
      </c>
      <c r="V257" s="118"/>
      <c r="W257" s="118"/>
      <c r="X257" s="118"/>
      <c r="Y257" s="118"/>
      <c r="Z257" s="115"/>
    </row>
    <row r="258" spans="11:26" ht="18" customHeight="1">
      <c r="K258" s="171" t="s">
        <v>699</v>
      </c>
      <c r="L258" s="171"/>
      <c r="M258" s="171"/>
      <c r="N258" s="145" t="s">
        <v>41</v>
      </c>
      <c r="O258" s="173">
        <v>7</v>
      </c>
      <c r="P258" s="234">
        <f ca="1">OFFSET($A$1,MATCH(Z253,$A:$A,0)-1,O258)</f>
        <v>38.9</v>
      </c>
      <c r="Q258" s="144" t="s">
        <v>29</v>
      </c>
      <c r="R258" s="118">
        <f t="shared" ca="1" si="63"/>
        <v>235459</v>
      </c>
      <c r="S258" s="118">
        <f t="shared" ca="1" si="63"/>
        <v>9159355</v>
      </c>
      <c r="T258" s="118">
        <f ca="1">초급</f>
        <v>235459</v>
      </c>
      <c r="U258" s="118">
        <f t="shared" ca="1" si="64"/>
        <v>9159355</v>
      </c>
      <c r="V258" s="118"/>
      <c r="W258" s="118"/>
      <c r="X258" s="118"/>
      <c r="Y258" s="118"/>
      <c r="Z258" s="115"/>
    </row>
    <row r="259" spans="11:26" ht="18" customHeight="1">
      <c r="K259" s="171" t="s">
        <v>699</v>
      </c>
      <c r="L259" s="171"/>
      <c r="M259" s="171"/>
      <c r="N259" s="319" t="s">
        <v>42</v>
      </c>
      <c r="O259" s="174">
        <v>8</v>
      </c>
      <c r="P259" s="235">
        <f ca="1">OFFSET($A$1,MATCH(Z253,$A:$A,0)-1,O259)</f>
        <v>42.8</v>
      </c>
      <c r="Q259" s="322" t="s">
        <v>29</v>
      </c>
      <c r="R259" s="323">
        <f t="shared" ca="1" si="63"/>
        <v>250087</v>
      </c>
      <c r="S259" s="323">
        <f t="shared" ca="1" si="63"/>
        <v>10703723</v>
      </c>
      <c r="T259" s="323">
        <f ca="1">보조원</f>
        <v>250087</v>
      </c>
      <c r="U259" s="323">
        <f t="shared" ca="1" si="64"/>
        <v>10703723</v>
      </c>
      <c r="V259" s="323"/>
      <c r="W259" s="323"/>
      <c r="X259" s="323"/>
      <c r="Y259" s="323"/>
      <c r="Z259" s="324"/>
    </row>
    <row r="260" spans="11:26" ht="18" customHeight="1">
      <c r="K260" s="171" t="s">
        <v>699</v>
      </c>
      <c r="L260" s="171"/>
      <c r="M260" s="171"/>
      <c r="N260" s="139" t="s">
        <v>698</v>
      </c>
      <c r="O260" s="68"/>
      <c r="P260" s="69"/>
      <c r="Q260" s="70"/>
      <c r="R260" s="71"/>
      <c r="S260" s="71">
        <f ca="1">SUBTOTAL(9,S254:S259)</f>
        <v>42787164</v>
      </c>
      <c r="T260" s="71"/>
      <c r="U260" s="71">
        <f ca="1">SUBTOTAL(9,U254:U259)</f>
        <v>42787164</v>
      </c>
      <c r="V260" s="71"/>
      <c r="W260" s="71"/>
      <c r="X260" s="71"/>
      <c r="Y260" s="71"/>
      <c r="Z260" s="68"/>
    </row>
    <row r="261" spans="11:26" ht="18" customHeight="1">
      <c r="K261" s="171" t="s">
        <v>699</v>
      </c>
      <c r="L261" s="171"/>
      <c r="M261" s="171"/>
      <c r="N261" s="532" t="str">
        <f ca="1">"제 " &amp; Z261 &amp; " 호표  "&amp; OFFSET($A$1,MATCH(Z261,$A:$A,0)-1,1)</f>
        <v>제 25 호표  4.2 특화 서비스 계획</v>
      </c>
      <c r="O261" s="533"/>
      <c r="P261" s="148"/>
      <c r="Q261" s="148"/>
      <c r="R261" s="149"/>
      <c r="S261" s="149"/>
      <c r="T261" s="149"/>
      <c r="U261" s="149"/>
      <c r="V261" s="149"/>
      <c r="W261" s="149"/>
      <c r="X261" s="149"/>
      <c r="Y261" s="149"/>
      <c r="Z261" s="325">
        <f>Z253+1</f>
        <v>25</v>
      </c>
    </row>
    <row r="262" spans="11:26" ht="18" customHeight="1">
      <c r="K262" s="171" t="s">
        <v>699</v>
      </c>
      <c r="L262" s="171"/>
      <c r="M262" s="171"/>
      <c r="N262" s="140" t="s">
        <v>43</v>
      </c>
      <c r="O262" s="172">
        <v>3</v>
      </c>
      <c r="P262" s="534">
        <f ca="1">OFFSET($A$1,MATCH(Z261,$A:$A,0)-1,O262)</f>
        <v>4.9000000000000004</v>
      </c>
      <c r="Q262" s="141" t="s">
        <v>29</v>
      </c>
      <c r="R262" s="142">
        <f t="shared" ref="R262:S267" ca="1" si="65">T262</f>
        <v>467217</v>
      </c>
      <c r="S262" s="142">
        <f t="shared" ca="1" si="65"/>
        <v>2289363</v>
      </c>
      <c r="T262" s="142">
        <f ca="1">기술사</f>
        <v>467217</v>
      </c>
      <c r="U262" s="142">
        <f t="shared" ref="U262:U267" ca="1" si="66">ROUNDDOWN(P262*R262,0)</f>
        <v>2289363</v>
      </c>
      <c r="V262" s="142"/>
      <c r="W262" s="142"/>
      <c r="X262" s="142"/>
      <c r="Y262" s="142"/>
      <c r="Z262" s="114"/>
    </row>
    <row r="263" spans="11:26" ht="18" customHeight="1">
      <c r="K263" s="171" t="s">
        <v>699</v>
      </c>
      <c r="L263" s="171"/>
      <c r="M263" s="171"/>
      <c r="N263" s="143" t="s">
        <v>32</v>
      </c>
      <c r="O263" s="173">
        <v>4</v>
      </c>
      <c r="P263" s="234">
        <f ca="1">OFFSET($A$1,MATCH(Z261,$A:$A,0)-1,O263)</f>
        <v>7.8</v>
      </c>
      <c r="Q263" s="144" t="s">
        <v>29</v>
      </c>
      <c r="R263" s="118">
        <f t="shared" ca="1" si="65"/>
        <v>373353</v>
      </c>
      <c r="S263" s="118">
        <f t="shared" ca="1" si="65"/>
        <v>2912153</v>
      </c>
      <c r="T263" s="118">
        <f ca="1">특급</f>
        <v>373353</v>
      </c>
      <c r="U263" s="118">
        <f t="shared" ca="1" si="66"/>
        <v>2912153</v>
      </c>
      <c r="V263" s="118"/>
      <c r="W263" s="118"/>
      <c r="X263" s="118"/>
      <c r="Y263" s="118"/>
      <c r="Z263" s="115"/>
    </row>
    <row r="264" spans="11:26" ht="18" customHeight="1">
      <c r="K264" s="171" t="s">
        <v>699</v>
      </c>
      <c r="L264" s="171"/>
      <c r="M264" s="171"/>
      <c r="N264" s="145" t="s">
        <v>39</v>
      </c>
      <c r="O264" s="173">
        <v>5</v>
      </c>
      <c r="P264" s="234">
        <f ca="1">OFFSET($A$1,MATCH(Z261,$A:$A,0)-1,O264)</f>
        <v>23.4</v>
      </c>
      <c r="Q264" s="144" t="s">
        <v>29</v>
      </c>
      <c r="R264" s="118">
        <f t="shared" ca="1" si="65"/>
        <v>310884</v>
      </c>
      <c r="S264" s="118">
        <f t="shared" ca="1" si="65"/>
        <v>7274685</v>
      </c>
      <c r="T264" s="118">
        <f ca="1">고급</f>
        <v>310884</v>
      </c>
      <c r="U264" s="118">
        <f t="shared" ca="1" si="66"/>
        <v>7274685</v>
      </c>
      <c r="V264" s="118"/>
      <c r="W264" s="118"/>
      <c r="X264" s="118"/>
      <c r="Y264" s="118"/>
      <c r="Z264" s="115"/>
    </row>
    <row r="265" spans="11:26" ht="18" customHeight="1">
      <c r="K265" s="171" t="s">
        <v>699</v>
      </c>
      <c r="L265" s="171"/>
      <c r="M265" s="171"/>
      <c r="N265" s="145" t="s">
        <v>40</v>
      </c>
      <c r="O265" s="173">
        <v>6</v>
      </c>
      <c r="P265" s="234">
        <f ca="1">OFFSET($A$1,MATCH(Z261,$A:$A,0)-1,O265)</f>
        <v>35.4</v>
      </c>
      <c r="Q265" s="144" t="s">
        <v>29</v>
      </c>
      <c r="R265" s="118">
        <f t="shared" ca="1" si="65"/>
        <v>295138</v>
      </c>
      <c r="S265" s="118">
        <f t="shared" ca="1" si="65"/>
        <v>10447885</v>
      </c>
      <c r="T265" s="118">
        <f ca="1">중급</f>
        <v>295138</v>
      </c>
      <c r="U265" s="118">
        <f t="shared" ca="1" si="66"/>
        <v>10447885</v>
      </c>
      <c r="V265" s="118"/>
      <c r="W265" s="118"/>
      <c r="X265" s="118"/>
      <c r="Y265" s="118"/>
      <c r="Z265" s="115"/>
    </row>
    <row r="266" spans="11:26" ht="18" customHeight="1">
      <c r="K266" s="171" t="s">
        <v>699</v>
      </c>
      <c r="L266" s="171"/>
      <c r="M266" s="171"/>
      <c r="N266" s="145" t="s">
        <v>41</v>
      </c>
      <c r="O266" s="173">
        <v>7</v>
      </c>
      <c r="P266" s="234">
        <f ca="1">OFFSET($A$1,MATCH(Z261,$A:$A,0)-1,O266)</f>
        <v>38.9</v>
      </c>
      <c r="Q266" s="144" t="s">
        <v>29</v>
      </c>
      <c r="R266" s="118">
        <f t="shared" ca="1" si="65"/>
        <v>235459</v>
      </c>
      <c r="S266" s="118">
        <f t="shared" ca="1" si="65"/>
        <v>9159355</v>
      </c>
      <c r="T266" s="118">
        <f ca="1">초급</f>
        <v>235459</v>
      </c>
      <c r="U266" s="118">
        <f t="shared" ca="1" si="66"/>
        <v>9159355</v>
      </c>
      <c r="V266" s="118"/>
      <c r="W266" s="118"/>
      <c r="X266" s="118"/>
      <c r="Y266" s="118"/>
      <c r="Z266" s="115"/>
    </row>
    <row r="267" spans="11:26" ht="18" customHeight="1">
      <c r="K267" s="171" t="s">
        <v>699</v>
      </c>
      <c r="L267" s="171"/>
      <c r="M267" s="171"/>
      <c r="N267" s="319" t="s">
        <v>42</v>
      </c>
      <c r="O267" s="174">
        <v>8</v>
      </c>
      <c r="P267" s="235">
        <f ca="1">OFFSET($A$1,MATCH(Z261,$A:$A,0)-1,O267)</f>
        <v>42.8</v>
      </c>
      <c r="Q267" s="322" t="s">
        <v>29</v>
      </c>
      <c r="R267" s="323">
        <f t="shared" ca="1" si="65"/>
        <v>250087</v>
      </c>
      <c r="S267" s="323">
        <f t="shared" ca="1" si="65"/>
        <v>10703723</v>
      </c>
      <c r="T267" s="323">
        <f ca="1">보조원</f>
        <v>250087</v>
      </c>
      <c r="U267" s="323">
        <f t="shared" ca="1" si="66"/>
        <v>10703723</v>
      </c>
      <c r="V267" s="323"/>
      <c r="W267" s="323"/>
      <c r="X267" s="323"/>
      <c r="Y267" s="323"/>
      <c r="Z267" s="324"/>
    </row>
    <row r="268" spans="11:26" ht="18" customHeight="1">
      <c r="K268" s="171" t="s">
        <v>699</v>
      </c>
      <c r="L268" s="171"/>
      <c r="M268" s="171"/>
      <c r="N268" s="139" t="s">
        <v>698</v>
      </c>
      <c r="O268" s="68"/>
      <c r="P268" s="69"/>
      <c r="Q268" s="70"/>
      <c r="R268" s="71"/>
      <c r="S268" s="71">
        <f ca="1">SUBTOTAL(9,S262:S267)</f>
        <v>42787164</v>
      </c>
      <c r="T268" s="71"/>
      <c r="U268" s="71">
        <f ca="1">SUBTOTAL(9,U262:U267)</f>
        <v>42787164</v>
      </c>
      <c r="V268" s="71"/>
      <c r="W268" s="71"/>
      <c r="X268" s="71"/>
      <c r="Y268" s="71"/>
      <c r="Z268" s="68"/>
    </row>
    <row r="269" spans="11:26" ht="18" customHeight="1">
      <c r="K269" s="171" t="s">
        <v>699</v>
      </c>
      <c r="L269" s="171"/>
      <c r="M269" s="171"/>
      <c r="N269" s="532" t="str">
        <f ca="1">"제 " &amp; Z269 &amp; " 호표  "&amp; OFFSET($A$1,MATCH(Z269,$A:$A,0)-1,1)</f>
        <v>제 26 호표  5.1 단계별추진계획</v>
      </c>
      <c r="O269" s="533"/>
      <c r="P269" s="148"/>
      <c r="Q269" s="148"/>
      <c r="R269" s="149"/>
      <c r="S269" s="149"/>
      <c r="T269" s="149"/>
      <c r="U269" s="149"/>
      <c r="V269" s="149"/>
      <c r="W269" s="149"/>
      <c r="X269" s="149"/>
      <c r="Y269" s="149"/>
      <c r="Z269" s="325">
        <f>Z261+1</f>
        <v>26</v>
      </c>
    </row>
    <row r="270" spans="11:26" ht="18" customHeight="1">
      <c r="K270" s="171" t="s">
        <v>702</v>
      </c>
      <c r="L270" s="171"/>
      <c r="M270" s="171"/>
      <c r="N270" s="140" t="s">
        <v>43</v>
      </c>
      <c r="O270" s="172">
        <v>3</v>
      </c>
      <c r="P270" s="534">
        <f ca="1">OFFSET($A$1,MATCH(Z269,$A:$A,0)-1,O270)</f>
        <v>0.3</v>
      </c>
      <c r="Q270" s="141" t="s">
        <v>29</v>
      </c>
      <c r="R270" s="142">
        <f t="shared" ref="R270:S275" ca="1" si="67">T270</f>
        <v>467217</v>
      </c>
      <c r="S270" s="142">
        <f t="shared" ca="1" si="67"/>
        <v>140165</v>
      </c>
      <c r="T270" s="142">
        <f ca="1">기술사</f>
        <v>467217</v>
      </c>
      <c r="U270" s="142">
        <f t="shared" ref="U270:U275" ca="1" si="68">ROUNDDOWN(P270*R270,0)</f>
        <v>140165</v>
      </c>
      <c r="V270" s="142"/>
      <c r="W270" s="142"/>
      <c r="X270" s="142"/>
      <c r="Y270" s="142"/>
      <c r="Z270" s="114"/>
    </row>
    <row r="271" spans="11:26" ht="18" customHeight="1">
      <c r="K271" s="171" t="s">
        <v>699</v>
      </c>
      <c r="L271" s="171"/>
      <c r="M271" s="171"/>
      <c r="N271" s="143" t="s">
        <v>32</v>
      </c>
      <c r="O271" s="173">
        <v>4</v>
      </c>
      <c r="P271" s="234">
        <f ca="1">OFFSET($A$1,MATCH(Z269,$A:$A,0)-1,O271)</f>
        <v>0.5</v>
      </c>
      <c r="Q271" s="144" t="s">
        <v>29</v>
      </c>
      <c r="R271" s="118">
        <f t="shared" ca="1" si="67"/>
        <v>373353</v>
      </c>
      <c r="S271" s="118">
        <f t="shared" ca="1" si="67"/>
        <v>186676</v>
      </c>
      <c r="T271" s="118">
        <f ca="1">특급</f>
        <v>373353</v>
      </c>
      <c r="U271" s="118">
        <f t="shared" ca="1" si="68"/>
        <v>186676</v>
      </c>
      <c r="V271" s="118"/>
      <c r="W271" s="118"/>
      <c r="X271" s="118"/>
      <c r="Y271" s="118"/>
      <c r="Z271" s="115"/>
    </row>
    <row r="272" spans="11:26" ht="18" customHeight="1">
      <c r="K272" s="171" t="s">
        <v>702</v>
      </c>
      <c r="L272" s="171"/>
      <c r="M272" s="171"/>
      <c r="N272" s="145" t="s">
        <v>39</v>
      </c>
      <c r="O272" s="173">
        <v>5</v>
      </c>
      <c r="P272" s="234">
        <f ca="1">OFFSET($A$1,MATCH(Z269,$A:$A,0)-1,O272)</f>
        <v>1.7</v>
      </c>
      <c r="Q272" s="144" t="s">
        <v>29</v>
      </c>
      <c r="R272" s="118">
        <f t="shared" ca="1" si="67"/>
        <v>310884</v>
      </c>
      <c r="S272" s="118">
        <f t="shared" ca="1" si="67"/>
        <v>528502</v>
      </c>
      <c r="T272" s="118">
        <f ca="1">고급</f>
        <v>310884</v>
      </c>
      <c r="U272" s="118">
        <f t="shared" ca="1" si="68"/>
        <v>528502</v>
      </c>
      <c r="V272" s="118"/>
      <c r="W272" s="118"/>
      <c r="X272" s="118"/>
      <c r="Y272" s="118"/>
      <c r="Z272" s="115"/>
    </row>
    <row r="273" spans="11:26" ht="18" customHeight="1">
      <c r="K273" s="171" t="s">
        <v>702</v>
      </c>
      <c r="L273" s="171"/>
      <c r="M273" s="171"/>
      <c r="N273" s="145" t="s">
        <v>40</v>
      </c>
      <c r="O273" s="173">
        <v>6</v>
      </c>
      <c r="P273" s="234">
        <f ca="1">OFFSET($A$1,MATCH(Z269,$A:$A,0)-1,O273)</f>
        <v>2.2999999999999998</v>
      </c>
      <c r="Q273" s="144" t="s">
        <v>29</v>
      </c>
      <c r="R273" s="118">
        <f t="shared" ca="1" si="67"/>
        <v>295138</v>
      </c>
      <c r="S273" s="118">
        <f t="shared" ca="1" si="67"/>
        <v>678817</v>
      </c>
      <c r="T273" s="118">
        <f ca="1">중급</f>
        <v>295138</v>
      </c>
      <c r="U273" s="118">
        <f t="shared" ca="1" si="68"/>
        <v>678817</v>
      </c>
      <c r="V273" s="118"/>
      <c r="W273" s="118"/>
      <c r="X273" s="118"/>
      <c r="Y273" s="118"/>
      <c r="Z273" s="115"/>
    </row>
    <row r="274" spans="11:26" ht="18" customHeight="1">
      <c r="K274" s="171" t="s">
        <v>699</v>
      </c>
      <c r="L274" s="171"/>
      <c r="M274" s="171"/>
      <c r="N274" s="145" t="s">
        <v>41</v>
      </c>
      <c r="O274" s="173">
        <v>7</v>
      </c>
      <c r="P274" s="234">
        <f ca="1">OFFSET($A$1,MATCH(Z269,$A:$A,0)-1,O274)</f>
        <v>3.3</v>
      </c>
      <c r="Q274" s="144" t="s">
        <v>29</v>
      </c>
      <c r="R274" s="118">
        <f t="shared" ca="1" si="67"/>
        <v>235459</v>
      </c>
      <c r="S274" s="118">
        <f t="shared" ca="1" si="67"/>
        <v>777014</v>
      </c>
      <c r="T274" s="118">
        <f ca="1">초급</f>
        <v>235459</v>
      </c>
      <c r="U274" s="118">
        <f t="shared" ca="1" si="68"/>
        <v>777014</v>
      </c>
      <c r="V274" s="118"/>
      <c r="W274" s="118"/>
      <c r="X274" s="118"/>
      <c r="Y274" s="118"/>
      <c r="Z274" s="115"/>
    </row>
    <row r="275" spans="11:26" ht="18" customHeight="1">
      <c r="K275" s="171" t="s">
        <v>699</v>
      </c>
      <c r="L275" s="171"/>
      <c r="M275" s="171"/>
      <c r="N275" s="319" t="s">
        <v>42</v>
      </c>
      <c r="O275" s="174">
        <v>8</v>
      </c>
      <c r="P275" s="235">
        <f ca="1">OFFSET($A$1,MATCH(Z269,$A:$A,0)-1,O275)</f>
        <v>2.4</v>
      </c>
      <c r="Q275" s="322" t="s">
        <v>29</v>
      </c>
      <c r="R275" s="323">
        <f t="shared" ca="1" si="67"/>
        <v>250087</v>
      </c>
      <c r="S275" s="323">
        <f t="shared" ca="1" si="67"/>
        <v>600208</v>
      </c>
      <c r="T275" s="323">
        <f ca="1">보조원</f>
        <v>250087</v>
      </c>
      <c r="U275" s="323">
        <f t="shared" ca="1" si="68"/>
        <v>600208</v>
      </c>
      <c r="V275" s="323"/>
      <c r="W275" s="323"/>
      <c r="X275" s="323"/>
      <c r="Y275" s="323"/>
      <c r="Z275" s="324"/>
    </row>
    <row r="276" spans="11:26" ht="18" customHeight="1">
      <c r="K276" s="171" t="s">
        <v>699</v>
      </c>
      <c r="L276" s="171"/>
      <c r="M276" s="171"/>
      <c r="N276" s="139" t="s">
        <v>698</v>
      </c>
      <c r="O276" s="68"/>
      <c r="P276" s="69"/>
      <c r="Q276" s="70"/>
      <c r="R276" s="71"/>
      <c r="S276" s="71">
        <f ca="1">SUBTOTAL(9,S270:S275)</f>
        <v>2911382</v>
      </c>
      <c r="T276" s="71"/>
      <c r="U276" s="71">
        <f ca="1">SUBTOTAL(9,U270:U275)</f>
        <v>2911382</v>
      </c>
      <c r="V276" s="71"/>
      <c r="W276" s="71"/>
      <c r="X276" s="71"/>
      <c r="Y276" s="71"/>
      <c r="Z276" s="68"/>
    </row>
    <row r="277" spans="11:26" ht="18" customHeight="1">
      <c r="K277" s="171" t="s">
        <v>699</v>
      </c>
      <c r="L277" s="171"/>
      <c r="M277" s="171"/>
      <c r="N277" s="532" t="str">
        <f ca="1">"제 " &amp; Z277 &amp; " 호표  "&amp; OFFSET($A$1,MATCH(Z277,$A:$A,0)-1,1)</f>
        <v>제 27 호표  5.2 스마트도시건설사업 추진체계 설정</v>
      </c>
      <c r="O277" s="533"/>
      <c r="P277" s="148"/>
      <c r="Q277" s="148"/>
      <c r="R277" s="149"/>
      <c r="S277" s="149"/>
      <c r="T277" s="149"/>
      <c r="U277" s="149"/>
      <c r="V277" s="149"/>
      <c r="W277" s="149"/>
      <c r="X277" s="149"/>
      <c r="Y277" s="149"/>
      <c r="Z277" s="325">
        <f>Z269+1</f>
        <v>27</v>
      </c>
    </row>
    <row r="278" spans="11:26" ht="18" customHeight="1">
      <c r="K278" s="171" t="s">
        <v>699</v>
      </c>
      <c r="L278" s="171"/>
      <c r="M278" s="171"/>
      <c r="N278" s="140" t="s">
        <v>43</v>
      </c>
      <c r="O278" s="172">
        <v>3</v>
      </c>
      <c r="P278" s="534">
        <f ca="1">OFFSET($A$1,MATCH(Z277,$A:$A,0)-1,O278)</f>
        <v>0.3</v>
      </c>
      <c r="Q278" s="141" t="s">
        <v>29</v>
      </c>
      <c r="R278" s="142">
        <f t="shared" ref="R278:S283" ca="1" si="69">T278</f>
        <v>467217</v>
      </c>
      <c r="S278" s="142">
        <f t="shared" ca="1" si="69"/>
        <v>140165</v>
      </c>
      <c r="T278" s="142">
        <f ca="1">기술사</f>
        <v>467217</v>
      </c>
      <c r="U278" s="142">
        <f t="shared" ref="U278:U283" ca="1" si="70">ROUNDDOWN(P278*R278,0)</f>
        <v>140165</v>
      </c>
      <c r="V278" s="142"/>
      <c r="W278" s="142"/>
      <c r="X278" s="142"/>
      <c r="Y278" s="142"/>
      <c r="Z278" s="114"/>
    </row>
    <row r="279" spans="11:26" ht="18" customHeight="1">
      <c r="K279" s="171" t="s">
        <v>699</v>
      </c>
      <c r="L279" s="171"/>
      <c r="M279" s="171"/>
      <c r="N279" s="143" t="s">
        <v>32</v>
      </c>
      <c r="O279" s="173">
        <v>4</v>
      </c>
      <c r="P279" s="234">
        <f ca="1">OFFSET($A$1,MATCH(Z277,$A:$A,0)-1,O279)</f>
        <v>0.5</v>
      </c>
      <c r="Q279" s="144" t="s">
        <v>29</v>
      </c>
      <c r="R279" s="118">
        <f t="shared" ca="1" si="69"/>
        <v>373353</v>
      </c>
      <c r="S279" s="118">
        <f t="shared" ca="1" si="69"/>
        <v>186676</v>
      </c>
      <c r="T279" s="118">
        <f ca="1">특급</f>
        <v>373353</v>
      </c>
      <c r="U279" s="118">
        <f t="shared" ca="1" si="70"/>
        <v>186676</v>
      </c>
      <c r="V279" s="118"/>
      <c r="W279" s="118"/>
      <c r="X279" s="118"/>
      <c r="Y279" s="118"/>
      <c r="Z279" s="115"/>
    </row>
    <row r="280" spans="11:26" ht="18" customHeight="1">
      <c r="K280" s="171" t="s">
        <v>699</v>
      </c>
      <c r="L280" s="171"/>
      <c r="M280" s="171"/>
      <c r="N280" s="145" t="s">
        <v>39</v>
      </c>
      <c r="O280" s="173">
        <v>5</v>
      </c>
      <c r="P280" s="234">
        <f ca="1">OFFSET($A$1,MATCH(Z277,$A:$A,0)-1,O280)</f>
        <v>1.7</v>
      </c>
      <c r="Q280" s="144" t="s">
        <v>29</v>
      </c>
      <c r="R280" s="118">
        <f t="shared" ca="1" si="69"/>
        <v>310884</v>
      </c>
      <c r="S280" s="118">
        <f t="shared" ca="1" si="69"/>
        <v>528502</v>
      </c>
      <c r="T280" s="118">
        <f ca="1">고급</f>
        <v>310884</v>
      </c>
      <c r="U280" s="118">
        <f t="shared" ca="1" si="70"/>
        <v>528502</v>
      </c>
      <c r="V280" s="118"/>
      <c r="W280" s="118"/>
      <c r="X280" s="118"/>
      <c r="Y280" s="118"/>
      <c r="Z280" s="115"/>
    </row>
    <row r="281" spans="11:26" ht="18" customHeight="1">
      <c r="K281" s="171" t="s">
        <v>699</v>
      </c>
      <c r="L281" s="171"/>
      <c r="M281" s="171"/>
      <c r="N281" s="145" t="s">
        <v>40</v>
      </c>
      <c r="O281" s="173">
        <v>6</v>
      </c>
      <c r="P281" s="234">
        <f ca="1">OFFSET($A$1,MATCH(Z277,$A:$A,0)-1,O281)</f>
        <v>2.2999999999999998</v>
      </c>
      <c r="Q281" s="144" t="s">
        <v>29</v>
      </c>
      <c r="R281" s="118">
        <f t="shared" ca="1" si="69"/>
        <v>295138</v>
      </c>
      <c r="S281" s="118">
        <f t="shared" ca="1" si="69"/>
        <v>678817</v>
      </c>
      <c r="T281" s="118">
        <f ca="1">중급</f>
        <v>295138</v>
      </c>
      <c r="U281" s="118">
        <f t="shared" ca="1" si="70"/>
        <v>678817</v>
      </c>
      <c r="V281" s="118"/>
      <c r="W281" s="118"/>
      <c r="X281" s="118"/>
      <c r="Y281" s="118"/>
      <c r="Z281" s="115"/>
    </row>
    <row r="282" spans="11:26" ht="18" customHeight="1">
      <c r="K282" s="171" t="s">
        <v>699</v>
      </c>
      <c r="L282" s="171"/>
      <c r="M282" s="171"/>
      <c r="N282" s="145" t="s">
        <v>41</v>
      </c>
      <c r="O282" s="173">
        <v>7</v>
      </c>
      <c r="P282" s="234">
        <f ca="1">OFFSET($A$1,MATCH(Z277,$A:$A,0)-1,O282)</f>
        <v>3.3</v>
      </c>
      <c r="Q282" s="144" t="s">
        <v>29</v>
      </c>
      <c r="R282" s="118">
        <f t="shared" ca="1" si="69"/>
        <v>235459</v>
      </c>
      <c r="S282" s="118">
        <f t="shared" ca="1" si="69"/>
        <v>777014</v>
      </c>
      <c r="T282" s="118">
        <f ca="1">초급</f>
        <v>235459</v>
      </c>
      <c r="U282" s="118">
        <f t="shared" ca="1" si="70"/>
        <v>777014</v>
      </c>
      <c r="V282" s="118"/>
      <c r="W282" s="118"/>
      <c r="X282" s="118"/>
      <c r="Y282" s="118"/>
      <c r="Z282" s="115"/>
    </row>
    <row r="283" spans="11:26" ht="18" customHeight="1">
      <c r="K283" s="171" t="s">
        <v>699</v>
      </c>
      <c r="L283" s="171"/>
      <c r="M283" s="171"/>
      <c r="N283" s="319" t="s">
        <v>42</v>
      </c>
      <c r="O283" s="174">
        <v>8</v>
      </c>
      <c r="P283" s="235">
        <f ca="1">OFFSET($A$1,MATCH(Z277,$A:$A,0)-1,O283)</f>
        <v>2.4</v>
      </c>
      <c r="Q283" s="322" t="s">
        <v>29</v>
      </c>
      <c r="R283" s="323">
        <f t="shared" ca="1" si="69"/>
        <v>250087</v>
      </c>
      <c r="S283" s="323">
        <f t="shared" ca="1" si="69"/>
        <v>600208</v>
      </c>
      <c r="T283" s="323">
        <f ca="1">보조원</f>
        <v>250087</v>
      </c>
      <c r="U283" s="323">
        <f t="shared" ca="1" si="70"/>
        <v>600208</v>
      </c>
      <c r="V283" s="323"/>
      <c r="W283" s="323"/>
      <c r="X283" s="323"/>
      <c r="Y283" s="323"/>
      <c r="Z283" s="324"/>
    </row>
    <row r="284" spans="11:26" ht="18" customHeight="1">
      <c r="K284" s="171" t="s">
        <v>699</v>
      </c>
      <c r="L284" s="171"/>
      <c r="M284" s="171"/>
      <c r="N284" s="139" t="s">
        <v>698</v>
      </c>
      <c r="O284" s="68"/>
      <c r="P284" s="69"/>
      <c r="Q284" s="70"/>
      <c r="R284" s="71"/>
      <c r="S284" s="71">
        <f ca="1">SUBTOTAL(9,S278:S283)</f>
        <v>2911382</v>
      </c>
      <c r="T284" s="71"/>
      <c r="U284" s="71">
        <f ca="1">SUBTOTAL(9,U278:U283)</f>
        <v>2911382</v>
      </c>
      <c r="V284" s="71"/>
      <c r="W284" s="71"/>
      <c r="X284" s="71"/>
      <c r="Y284" s="71"/>
      <c r="Z284" s="68"/>
    </row>
    <row r="285" spans="11:26" ht="18" customHeight="1">
      <c r="K285" s="171" t="s">
        <v>699</v>
      </c>
      <c r="L285" s="171"/>
      <c r="M285" s="171"/>
      <c r="N285" s="532" t="str">
        <f ca="1">"제 " &amp; Z285 &amp; " 호표  "&amp; OFFSET($A$1,MATCH(Z285,$A:$A,0)-1,1)</f>
        <v>제 28 호표  5.3 관계 행정기관간 역할분담 및 협력 계획</v>
      </c>
      <c r="O285" s="533"/>
      <c r="P285" s="148"/>
      <c r="Q285" s="148"/>
      <c r="R285" s="149"/>
      <c r="S285" s="149"/>
      <c r="T285" s="149"/>
      <c r="U285" s="149"/>
      <c r="V285" s="149"/>
      <c r="W285" s="149"/>
      <c r="X285" s="149"/>
      <c r="Y285" s="149"/>
      <c r="Z285" s="325">
        <f>Z277+1</f>
        <v>28</v>
      </c>
    </row>
    <row r="286" spans="11:26" ht="18" customHeight="1">
      <c r="K286" s="171" t="s">
        <v>699</v>
      </c>
      <c r="L286" s="171"/>
      <c r="M286" s="171"/>
      <c r="N286" s="140" t="s">
        <v>43</v>
      </c>
      <c r="O286" s="172">
        <v>3</v>
      </c>
      <c r="P286" s="534">
        <f ca="1">OFFSET($A$1,MATCH(Z285,$A:$A,0)-1,O286)</f>
        <v>0.4</v>
      </c>
      <c r="Q286" s="141" t="s">
        <v>29</v>
      </c>
      <c r="R286" s="142">
        <f t="shared" ref="R286:S291" ca="1" si="71">T286</f>
        <v>467217</v>
      </c>
      <c r="S286" s="142">
        <f t="shared" ca="1" si="71"/>
        <v>186886</v>
      </c>
      <c r="T286" s="142">
        <f ca="1">기술사</f>
        <v>467217</v>
      </c>
      <c r="U286" s="142">
        <f t="shared" ref="U286:U291" ca="1" si="72">ROUNDDOWN(P286*R286,0)</f>
        <v>186886</v>
      </c>
      <c r="V286" s="142"/>
      <c r="W286" s="142"/>
      <c r="X286" s="142"/>
      <c r="Y286" s="142"/>
      <c r="Z286" s="114"/>
    </row>
    <row r="287" spans="11:26" ht="18" customHeight="1">
      <c r="K287" s="171" t="s">
        <v>699</v>
      </c>
      <c r="L287" s="171"/>
      <c r="M287" s="171"/>
      <c r="N287" s="143" t="s">
        <v>32</v>
      </c>
      <c r="O287" s="173">
        <v>4</v>
      </c>
      <c r="P287" s="234">
        <f ca="1">OFFSET($A$1,MATCH(Z285,$A:$A,0)-1,O287)</f>
        <v>0.6</v>
      </c>
      <c r="Q287" s="144" t="s">
        <v>29</v>
      </c>
      <c r="R287" s="118">
        <f t="shared" ca="1" si="71"/>
        <v>373353</v>
      </c>
      <c r="S287" s="118">
        <f t="shared" ca="1" si="71"/>
        <v>224011</v>
      </c>
      <c r="T287" s="118">
        <f ca="1">특급</f>
        <v>373353</v>
      </c>
      <c r="U287" s="118">
        <f t="shared" ca="1" si="72"/>
        <v>224011</v>
      </c>
      <c r="V287" s="118"/>
      <c r="W287" s="118"/>
      <c r="X287" s="118"/>
      <c r="Y287" s="118"/>
      <c r="Z287" s="115"/>
    </row>
    <row r="288" spans="11:26" ht="18" customHeight="1">
      <c r="K288" s="171" t="s">
        <v>702</v>
      </c>
      <c r="L288" s="171"/>
      <c r="M288" s="171"/>
      <c r="N288" s="145" t="s">
        <v>39</v>
      </c>
      <c r="O288" s="173">
        <v>5</v>
      </c>
      <c r="P288" s="234">
        <f ca="1">OFFSET($A$1,MATCH(Z285,$A:$A,0)-1,O288)</f>
        <v>0.9</v>
      </c>
      <c r="Q288" s="144" t="s">
        <v>29</v>
      </c>
      <c r="R288" s="118">
        <f t="shared" ca="1" si="71"/>
        <v>310884</v>
      </c>
      <c r="S288" s="118">
        <f t="shared" ca="1" si="71"/>
        <v>279795</v>
      </c>
      <c r="T288" s="118">
        <f ca="1">고급</f>
        <v>310884</v>
      </c>
      <c r="U288" s="118">
        <f t="shared" ca="1" si="72"/>
        <v>279795</v>
      </c>
      <c r="V288" s="118"/>
      <c r="W288" s="118"/>
      <c r="X288" s="118"/>
      <c r="Y288" s="118"/>
      <c r="Z288" s="115"/>
    </row>
    <row r="289" spans="11:26" ht="18" customHeight="1">
      <c r="K289" s="171" t="s">
        <v>699</v>
      </c>
      <c r="L289" s="171"/>
      <c r="M289" s="171"/>
      <c r="N289" s="145" t="s">
        <v>40</v>
      </c>
      <c r="O289" s="173">
        <v>6</v>
      </c>
      <c r="P289" s="234">
        <f ca="1">OFFSET($A$1,MATCH(Z285,$A:$A,0)-1,O289)</f>
        <v>1.4</v>
      </c>
      <c r="Q289" s="144" t="s">
        <v>29</v>
      </c>
      <c r="R289" s="118">
        <f t="shared" ca="1" si="71"/>
        <v>295138</v>
      </c>
      <c r="S289" s="118">
        <f t="shared" ca="1" si="71"/>
        <v>413193</v>
      </c>
      <c r="T289" s="118">
        <f ca="1">중급</f>
        <v>295138</v>
      </c>
      <c r="U289" s="118">
        <f t="shared" ca="1" si="72"/>
        <v>413193</v>
      </c>
      <c r="V289" s="118"/>
      <c r="W289" s="118"/>
      <c r="X289" s="118"/>
      <c r="Y289" s="118"/>
      <c r="Z289" s="115"/>
    </row>
    <row r="290" spans="11:26" ht="18" customHeight="1">
      <c r="K290" s="171" t="s">
        <v>699</v>
      </c>
      <c r="L290" s="171"/>
      <c r="M290" s="171"/>
      <c r="N290" s="145" t="s">
        <v>41</v>
      </c>
      <c r="O290" s="173">
        <v>7</v>
      </c>
      <c r="P290" s="234">
        <f ca="1">OFFSET($A$1,MATCH(Z285,$A:$A,0)-1,O290)</f>
        <v>2.2000000000000002</v>
      </c>
      <c r="Q290" s="144" t="s">
        <v>29</v>
      </c>
      <c r="R290" s="118">
        <f t="shared" ca="1" si="71"/>
        <v>235459</v>
      </c>
      <c r="S290" s="118">
        <f t="shared" ca="1" si="71"/>
        <v>518009</v>
      </c>
      <c r="T290" s="118">
        <f ca="1">초급</f>
        <v>235459</v>
      </c>
      <c r="U290" s="118">
        <f t="shared" ca="1" si="72"/>
        <v>518009</v>
      </c>
      <c r="V290" s="118"/>
      <c r="W290" s="118"/>
      <c r="X290" s="118"/>
      <c r="Y290" s="118"/>
      <c r="Z290" s="115"/>
    </row>
    <row r="291" spans="11:26" ht="18" customHeight="1">
      <c r="K291" s="171" t="s">
        <v>699</v>
      </c>
      <c r="L291" s="171"/>
      <c r="M291" s="171"/>
      <c r="N291" s="319" t="s">
        <v>42</v>
      </c>
      <c r="O291" s="174">
        <v>8</v>
      </c>
      <c r="P291" s="235">
        <f ca="1">OFFSET($A$1,MATCH(Z285,$A:$A,0)-1,O291)</f>
        <v>1.6</v>
      </c>
      <c r="Q291" s="322" t="s">
        <v>29</v>
      </c>
      <c r="R291" s="323">
        <f t="shared" ca="1" si="71"/>
        <v>250087</v>
      </c>
      <c r="S291" s="323">
        <f t="shared" ca="1" si="71"/>
        <v>400139</v>
      </c>
      <c r="T291" s="323">
        <f ca="1">보조원</f>
        <v>250087</v>
      </c>
      <c r="U291" s="323">
        <f t="shared" ca="1" si="72"/>
        <v>400139</v>
      </c>
      <c r="V291" s="323"/>
      <c r="W291" s="323"/>
      <c r="X291" s="323"/>
      <c r="Y291" s="323"/>
      <c r="Z291" s="324"/>
    </row>
    <row r="292" spans="11:26" ht="18" customHeight="1">
      <c r="K292" s="171" t="s">
        <v>702</v>
      </c>
      <c r="L292" s="171"/>
      <c r="M292" s="171"/>
      <c r="N292" s="139" t="s">
        <v>698</v>
      </c>
      <c r="O292" s="68"/>
      <c r="P292" s="69"/>
      <c r="Q292" s="70"/>
      <c r="R292" s="71"/>
      <c r="S292" s="71">
        <f ca="1">SUBTOTAL(9,S286:S291)</f>
        <v>2022033</v>
      </c>
      <c r="T292" s="71"/>
      <c r="U292" s="71">
        <f ca="1">SUBTOTAL(9,U286:U291)</f>
        <v>2022033</v>
      </c>
      <c r="V292" s="71"/>
      <c r="W292" s="71"/>
      <c r="X292" s="71"/>
      <c r="Y292" s="71"/>
      <c r="Z292" s="68"/>
    </row>
    <row r="293" spans="11:26" ht="18" customHeight="1">
      <c r="K293" s="171" t="s">
        <v>699</v>
      </c>
      <c r="L293" s="171"/>
      <c r="M293" s="171"/>
      <c r="N293" s="532" t="str">
        <f ca="1">"제 " &amp; Z293 &amp; " 호표  "&amp; OFFSET($A$1,MATCH(Z293,$A:$A,0)-1,1)</f>
        <v>제 29 호표  5.4 기반시설의 조성 및 관리·운영계획</v>
      </c>
      <c r="O293" s="533"/>
      <c r="P293" s="148"/>
      <c r="Q293" s="148"/>
      <c r="R293" s="149"/>
      <c r="S293" s="149"/>
      <c r="T293" s="149"/>
      <c r="U293" s="149"/>
      <c r="V293" s="149"/>
      <c r="W293" s="149"/>
      <c r="X293" s="149"/>
      <c r="Y293" s="149"/>
      <c r="Z293" s="325">
        <f>Z285+1</f>
        <v>29</v>
      </c>
    </row>
    <row r="294" spans="11:26" ht="18" customHeight="1">
      <c r="K294" s="171" t="s">
        <v>699</v>
      </c>
      <c r="L294" s="171"/>
      <c r="M294" s="171"/>
      <c r="N294" s="140" t="s">
        <v>43</v>
      </c>
      <c r="O294" s="172">
        <v>3</v>
      </c>
      <c r="P294" s="534">
        <f ca="1">OFFSET($A$1,MATCH(Z293,$A:$A,0)-1,O294)</f>
        <v>0.4</v>
      </c>
      <c r="Q294" s="141" t="s">
        <v>29</v>
      </c>
      <c r="R294" s="142">
        <f t="shared" ref="R294:S299" ca="1" si="73">T294</f>
        <v>467217</v>
      </c>
      <c r="S294" s="142">
        <f t="shared" ca="1" si="73"/>
        <v>186886</v>
      </c>
      <c r="T294" s="142">
        <f ca="1">기술사</f>
        <v>467217</v>
      </c>
      <c r="U294" s="142">
        <f t="shared" ref="U294:U299" ca="1" si="74">ROUNDDOWN(P294*R294,0)</f>
        <v>186886</v>
      </c>
      <c r="V294" s="142"/>
      <c r="W294" s="142"/>
      <c r="X294" s="142"/>
      <c r="Y294" s="142"/>
      <c r="Z294" s="114"/>
    </row>
    <row r="295" spans="11:26" ht="18" customHeight="1">
      <c r="K295" s="171" t="s">
        <v>699</v>
      </c>
      <c r="L295" s="171"/>
      <c r="M295" s="171"/>
      <c r="N295" s="143" t="s">
        <v>32</v>
      </c>
      <c r="O295" s="173">
        <v>4</v>
      </c>
      <c r="P295" s="234">
        <f ca="1">OFFSET($A$1,MATCH(Z293,$A:$A,0)-1,O295)</f>
        <v>0.5</v>
      </c>
      <c r="Q295" s="144" t="s">
        <v>29</v>
      </c>
      <c r="R295" s="118">
        <f t="shared" ca="1" si="73"/>
        <v>373353</v>
      </c>
      <c r="S295" s="118">
        <f t="shared" ca="1" si="73"/>
        <v>186676</v>
      </c>
      <c r="T295" s="118">
        <f ca="1">특급</f>
        <v>373353</v>
      </c>
      <c r="U295" s="118">
        <f t="shared" ca="1" si="74"/>
        <v>186676</v>
      </c>
      <c r="V295" s="118"/>
      <c r="W295" s="118"/>
      <c r="X295" s="118"/>
      <c r="Y295" s="118"/>
      <c r="Z295" s="115"/>
    </row>
    <row r="296" spans="11:26" ht="18" customHeight="1">
      <c r="K296" s="171" t="s">
        <v>699</v>
      </c>
      <c r="L296" s="171"/>
      <c r="M296" s="171"/>
      <c r="N296" s="145" t="s">
        <v>39</v>
      </c>
      <c r="O296" s="173">
        <v>5</v>
      </c>
      <c r="P296" s="234">
        <f ca="1">OFFSET($A$1,MATCH(Z293,$A:$A,0)-1,O296)</f>
        <v>1.7</v>
      </c>
      <c r="Q296" s="144" t="s">
        <v>29</v>
      </c>
      <c r="R296" s="118">
        <f t="shared" ca="1" si="73"/>
        <v>310884</v>
      </c>
      <c r="S296" s="118">
        <f t="shared" ca="1" si="73"/>
        <v>528502</v>
      </c>
      <c r="T296" s="118">
        <f ca="1">고급</f>
        <v>310884</v>
      </c>
      <c r="U296" s="118">
        <f t="shared" ca="1" si="74"/>
        <v>528502</v>
      </c>
      <c r="V296" s="118"/>
      <c r="W296" s="118"/>
      <c r="X296" s="118"/>
      <c r="Y296" s="118"/>
      <c r="Z296" s="115"/>
    </row>
    <row r="297" spans="11:26" ht="18" customHeight="1">
      <c r="K297" s="171" t="s">
        <v>699</v>
      </c>
      <c r="L297" s="171"/>
      <c r="M297" s="171"/>
      <c r="N297" s="145" t="s">
        <v>40</v>
      </c>
      <c r="O297" s="173">
        <v>6</v>
      </c>
      <c r="P297" s="234">
        <f ca="1">OFFSET($A$1,MATCH(Z293,$A:$A,0)-1,O297)</f>
        <v>2.5</v>
      </c>
      <c r="Q297" s="144" t="s">
        <v>29</v>
      </c>
      <c r="R297" s="118">
        <f t="shared" ca="1" si="73"/>
        <v>295138</v>
      </c>
      <c r="S297" s="118">
        <f t="shared" ca="1" si="73"/>
        <v>737845</v>
      </c>
      <c r="T297" s="118">
        <f ca="1">중급</f>
        <v>295138</v>
      </c>
      <c r="U297" s="118">
        <f t="shared" ca="1" si="74"/>
        <v>737845</v>
      </c>
      <c r="V297" s="118"/>
      <c r="W297" s="118"/>
      <c r="X297" s="118"/>
      <c r="Y297" s="118"/>
      <c r="Z297" s="115"/>
    </row>
    <row r="298" spans="11:26" ht="18" customHeight="1">
      <c r="K298" s="171" t="s">
        <v>699</v>
      </c>
      <c r="L298" s="171"/>
      <c r="M298" s="171"/>
      <c r="N298" s="145" t="s">
        <v>41</v>
      </c>
      <c r="O298" s="173">
        <v>7</v>
      </c>
      <c r="P298" s="234">
        <f ca="1">OFFSET($A$1,MATCH(Z293,$A:$A,0)-1,O298)</f>
        <v>3.3</v>
      </c>
      <c r="Q298" s="144" t="s">
        <v>29</v>
      </c>
      <c r="R298" s="118">
        <f t="shared" ca="1" si="73"/>
        <v>235459</v>
      </c>
      <c r="S298" s="118">
        <f t="shared" ca="1" si="73"/>
        <v>777014</v>
      </c>
      <c r="T298" s="118">
        <f ca="1">초급</f>
        <v>235459</v>
      </c>
      <c r="U298" s="118">
        <f t="shared" ca="1" si="74"/>
        <v>777014</v>
      </c>
      <c r="V298" s="118"/>
      <c r="W298" s="118"/>
      <c r="X298" s="118"/>
      <c r="Y298" s="118"/>
      <c r="Z298" s="115"/>
    </row>
    <row r="299" spans="11:26" ht="18" customHeight="1">
      <c r="K299" s="171" t="s">
        <v>702</v>
      </c>
      <c r="L299" s="171"/>
      <c r="M299" s="171"/>
      <c r="N299" s="319" t="s">
        <v>42</v>
      </c>
      <c r="O299" s="174">
        <v>8</v>
      </c>
      <c r="P299" s="235">
        <f ca="1">OFFSET($A$1,MATCH(Z293,$A:$A,0)-1,O299)</f>
        <v>2.4</v>
      </c>
      <c r="Q299" s="322" t="s">
        <v>29</v>
      </c>
      <c r="R299" s="323">
        <f t="shared" ca="1" si="73"/>
        <v>250087</v>
      </c>
      <c r="S299" s="323">
        <f t="shared" ca="1" si="73"/>
        <v>600208</v>
      </c>
      <c r="T299" s="323">
        <f ca="1">보조원</f>
        <v>250087</v>
      </c>
      <c r="U299" s="323">
        <f t="shared" ca="1" si="74"/>
        <v>600208</v>
      </c>
      <c r="V299" s="323"/>
      <c r="W299" s="323"/>
      <c r="X299" s="323"/>
      <c r="Y299" s="323"/>
      <c r="Z299" s="324"/>
    </row>
    <row r="300" spans="11:26" ht="18" customHeight="1">
      <c r="K300" s="171" t="s">
        <v>699</v>
      </c>
      <c r="L300" s="171"/>
      <c r="M300" s="171"/>
      <c r="N300" s="139" t="s">
        <v>700</v>
      </c>
      <c r="O300" s="68"/>
      <c r="P300" s="69"/>
      <c r="Q300" s="70"/>
      <c r="R300" s="71"/>
      <c r="S300" s="71">
        <f ca="1">SUBTOTAL(9,S294:S299)</f>
        <v>3017131</v>
      </c>
      <c r="T300" s="71"/>
      <c r="U300" s="71">
        <f ca="1">SUBTOTAL(9,U294:U299)</f>
        <v>3017131</v>
      </c>
      <c r="V300" s="71"/>
      <c r="W300" s="71"/>
      <c r="X300" s="71"/>
      <c r="Y300" s="71"/>
      <c r="Z300" s="68"/>
    </row>
    <row r="301" spans="11:26" ht="18" customHeight="1">
      <c r="K301" s="171" t="s">
        <v>699</v>
      </c>
      <c r="L301" s="171"/>
      <c r="M301" s="171"/>
      <c r="N301" s="532" t="str">
        <f ca="1">"제 " &amp; Z301 &amp; " 호표  "&amp; OFFSET($A$1,MATCH(Z301,$A:$A,0)-1,1)</f>
        <v>제 30 호표  5.5 재원조달 및 운영계획</v>
      </c>
      <c r="O301" s="533"/>
      <c r="P301" s="148"/>
      <c r="Q301" s="148"/>
      <c r="R301" s="149"/>
      <c r="S301" s="149"/>
      <c r="T301" s="149"/>
      <c r="U301" s="149"/>
      <c r="V301" s="149"/>
      <c r="W301" s="149"/>
      <c r="X301" s="149"/>
      <c r="Y301" s="149"/>
      <c r="Z301" s="325">
        <f>Z293+1</f>
        <v>30</v>
      </c>
    </row>
    <row r="302" spans="11:26" ht="18" customHeight="1">
      <c r="K302" s="171" t="s">
        <v>699</v>
      </c>
      <c r="L302" s="171"/>
      <c r="M302" s="171"/>
      <c r="N302" s="140" t="s">
        <v>43</v>
      </c>
      <c r="O302" s="172">
        <v>3</v>
      </c>
      <c r="P302" s="534">
        <f ca="1">OFFSET($A$1,MATCH(Z301,$A:$A,0)-1,O302)</f>
        <v>0.5</v>
      </c>
      <c r="Q302" s="141" t="s">
        <v>29</v>
      </c>
      <c r="R302" s="142">
        <f t="shared" ref="R302:S307" ca="1" si="75">T302</f>
        <v>467217</v>
      </c>
      <c r="S302" s="142">
        <f t="shared" ca="1" si="75"/>
        <v>233608</v>
      </c>
      <c r="T302" s="142">
        <f ca="1">기술사</f>
        <v>467217</v>
      </c>
      <c r="U302" s="142">
        <f t="shared" ref="U302:U307" ca="1" si="76">ROUNDDOWN(P302*R302,0)</f>
        <v>233608</v>
      </c>
      <c r="V302" s="142"/>
      <c r="W302" s="142"/>
      <c r="X302" s="142"/>
      <c r="Y302" s="142"/>
      <c r="Z302" s="114"/>
    </row>
    <row r="303" spans="11:26" ht="18" customHeight="1">
      <c r="K303" s="171" t="s">
        <v>699</v>
      </c>
      <c r="L303" s="171"/>
      <c r="M303" s="171"/>
      <c r="N303" s="143" t="s">
        <v>32</v>
      </c>
      <c r="O303" s="173">
        <v>4</v>
      </c>
      <c r="P303" s="234">
        <f ca="1">OFFSET($A$1,MATCH(Z301,$A:$A,0)-1,O303)</f>
        <v>0.8</v>
      </c>
      <c r="Q303" s="144" t="s">
        <v>29</v>
      </c>
      <c r="R303" s="118">
        <f t="shared" ca="1" si="75"/>
        <v>373353</v>
      </c>
      <c r="S303" s="118">
        <f t="shared" ca="1" si="75"/>
        <v>298682</v>
      </c>
      <c r="T303" s="118">
        <f ca="1">특급</f>
        <v>373353</v>
      </c>
      <c r="U303" s="118">
        <f t="shared" ca="1" si="76"/>
        <v>298682</v>
      </c>
      <c r="V303" s="118"/>
      <c r="W303" s="118"/>
      <c r="X303" s="118"/>
      <c r="Y303" s="118"/>
      <c r="Z303" s="115"/>
    </row>
    <row r="304" spans="11:26" ht="18" customHeight="1">
      <c r="K304" s="171" t="s">
        <v>699</v>
      </c>
      <c r="L304" s="171"/>
      <c r="M304" s="171"/>
      <c r="N304" s="145" t="s">
        <v>39</v>
      </c>
      <c r="O304" s="173">
        <v>5</v>
      </c>
      <c r="P304" s="234">
        <f ca="1">OFFSET($A$1,MATCH(Z301,$A:$A,0)-1,O304)</f>
        <v>1.8</v>
      </c>
      <c r="Q304" s="144" t="s">
        <v>29</v>
      </c>
      <c r="R304" s="118">
        <f t="shared" ca="1" si="75"/>
        <v>310884</v>
      </c>
      <c r="S304" s="118">
        <f t="shared" ca="1" si="75"/>
        <v>559591</v>
      </c>
      <c r="T304" s="118">
        <f ca="1">고급</f>
        <v>310884</v>
      </c>
      <c r="U304" s="118">
        <f t="shared" ca="1" si="76"/>
        <v>559591</v>
      </c>
      <c r="V304" s="118"/>
      <c r="W304" s="118"/>
      <c r="X304" s="118"/>
      <c r="Y304" s="118"/>
      <c r="Z304" s="115"/>
    </row>
    <row r="305" spans="11:26" ht="18" customHeight="1">
      <c r="K305" s="171" t="s">
        <v>699</v>
      </c>
      <c r="L305" s="171"/>
      <c r="M305" s="171"/>
      <c r="N305" s="145" t="s">
        <v>40</v>
      </c>
      <c r="O305" s="173">
        <v>6</v>
      </c>
      <c r="P305" s="234">
        <f ca="1">OFFSET($A$1,MATCH(Z301,$A:$A,0)-1,O305)</f>
        <v>3.5</v>
      </c>
      <c r="Q305" s="144" t="s">
        <v>29</v>
      </c>
      <c r="R305" s="118">
        <f t="shared" ca="1" si="75"/>
        <v>295138</v>
      </c>
      <c r="S305" s="118">
        <f t="shared" ca="1" si="75"/>
        <v>1032983</v>
      </c>
      <c r="T305" s="118">
        <f ca="1">중급</f>
        <v>295138</v>
      </c>
      <c r="U305" s="118">
        <f t="shared" ca="1" si="76"/>
        <v>1032983</v>
      </c>
      <c r="V305" s="118"/>
      <c r="W305" s="118"/>
      <c r="X305" s="118"/>
      <c r="Y305" s="118"/>
      <c r="Z305" s="115"/>
    </row>
    <row r="306" spans="11:26" ht="18" customHeight="1">
      <c r="K306" s="171" t="s">
        <v>699</v>
      </c>
      <c r="L306" s="171"/>
      <c r="M306" s="171"/>
      <c r="N306" s="145" t="s">
        <v>41</v>
      </c>
      <c r="O306" s="173">
        <v>7</v>
      </c>
      <c r="P306" s="234">
        <f ca="1">OFFSET($A$1,MATCH(Z301,$A:$A,0)-1,O306)</f>
        <v>3.7</v>
      </c>
      <c r="Q306" s="144" t="s">
        <v>29</v>
      </c>
      <c r="R306" s="118">
        <f t="shared" ca="1" si="75"/>
        <v>235459</v>
      </c>
      <c r="S306" s="118">
        <f t="shared" ca="1" si="75"/>
        <v>871198</v>
      </c>
      <c r="T306" s="118">
        <f ca="1">초급</f>
        <v>235459</v>
      </c>
      <c r="U306" s="118">
        <f t="shared" ca="1" si="76"/>
        <v>871198</v>
      </c>
      <c r="V306" s="118"/>
      <c r="W306" s="118"/>
      <c r="X306" s="118"/>
      <c r="Y306" s="118"/>
      <c r="Z306" s="115"/>
    </row>
    <row r="307" spans="11:26" ht="18" customHeight="1">
      <c r="K307" s="171" t="s">
        <v>699</v>
      </c>
      <c r="L307" s="171"/>
      <c r="M307" s="171"/>
      <c r="N307" s="319" t="s">
        <v>42</v>
      </c>
      <c r="O307" s="174">
        <v>8</v>
      </c>
      <c r="P307" s="235">
        <f ca="1">OFFSET($A$1,MATCH(Z301,$A:$A,0)-1,O307)</f>
        <v>3.3</v>
      </c>
      <c r="Q307" s="322" t="s">
        <v>29</v>
      </c>
      <c r="R307" s="323">
        <f t="shared" ca="1" si="75"/>
        <v>250087</v>
      </c>
      <c r="S307" s="323">
        <f t="shared" ca="1" si="75"/>
        <v>825287</v>
      </c>
      <c r="T307" s="323">
        <f ca="1">보조원</f>
        <v>250087</v>
      </c>
      <c r="U307" s="323">
        <f t="shared" ca="1" si="76"/>
        <v>825287</v>
      </c>
      <c r="V307" s="323"/>
      <c r="W307" s="323"/>
      <c r="X307" s="323"/>
      <c r="Y307" s="323"/>
      <c r="Z307" s="324"/>
    </row>
    <row r="308" spans="11:26" ht="18" customHeight="1">
      <c r="K308" s="171" t="s">
        <v>699</v>
      </c>
      <c r="L308" s="171"/>
      <c r="M308" s="171"/>
      <c r="N308" s="139" t="s">
        <v>698</v>
      </c>
      <c r="O308" s="68"/>
      <c r="P308" s="69"/>
      <c r="Q308" s="70"/>
      <c r="R308" s="71"/>
      <c r="S308" s="71">
        <f ca="1">SUBTOTAL(9,S302:S307)</f>
        <v>3821349</v>
      </c>
      <c r="T308" s="71"/>
      <c r="U308" s="71">
        <f ca="1">SUBTOTAL(9,U302:U307)</f>
        <v>3821349</v>
      </c>
      <c r="V308" s="71"/>
      <c r="W308" s="71"/>
      <c r="X308" s="71"/>
      <c r="Y308" s="71"/>
      <c r="Z308" s="68"/>
    </row>
    <row r="309" spans="11:26" ht="18" customHeight="1">
      <c r="K309" s="171" t="s">
        <v>699</v>
      </c>
      <c r="L309" s="171"/>
      <c r="M309" s="171"/>
      <c r="N309" s="532" t="str">
        <f ca="1">"제 " &amp; Z309 &amp; " 호표  "&amp; OFFSET($A$1,MATCH(Z309,$A:$A,0)-1,1)</f>
        <v>제 31 호표  6.1 보고서작성 및 편집</v>
      </c>
      <c r="O309" s="533"/>
      <c r="P309" s="148"/>
      <c r="Q309" s="148"/>
      <c r="R309" s="149"/>
      <c r="S309" s="149"/>
      <c r="T309" s="149"/>
      <c r="U309" s="149"/>
      <c r="V309" s="149"/>
      <c r="W309" s="149"/>
      <c r="X309" s="149"/>
      <c r="Y309" s="149"/>
      <c r="Z309" s="325">
        <f>Z301+1</f>
        <v>31</v>
      </c>
    </row>
    <row r="310" spans="11:26" ht="18" customHeight="1">
      <c r="K310" s="171" t="s">
        <v>702</v>
      </c>
      <c r="L310" s="171"/>
      <c r="M310" s="171"/>
      <c r="N310" s="140" t="s">
        <v>43</v>
      </c>
      <c r="O310" s="172">
        <v>3</v>
      </c>
      <c r="P310" s="534">
        <f ca="1">OFFSET($A$1,MATCH(Z309,$A:$A,0)-1,O310)</f>
        <v>1</v>
      </c>
      <c r="Q310" s="141" t="s">
        <v>29</v>
      </c>
      <c r="R310" s="142">
        <f t="shared" ref="R310:S315" ca="1" si="77">T310</f>
        <v>467217</v>
      </c>
      <c r="S310" s="142">
        <f t="shared" ca="1" si="77"/>
        <v>467217</v>
      </c>
      <c r="T310" s="142">
        <f ca="1">기술사</f>
        <v>467217</v>
      </c>
      <c r="U310" s="142">
        <f t="shared" ref="U310:U315" ca="1" si="78">ROUNDDOWN(P310*R310,0)</f>
        <v>467217</v>
      </c>
      <c r="V310" s="142"/>
      <c r="W310" s="142"/>
      <c r="X310" s="142"/>
      <c r="Y310" s="142"/>
      <c r="Z310" s="114"/>
    </row>
    <row r="311" spans="11:26" ht="18" customHeight="1">
      <c r="K311" s="171" t="s">
        <v>699</v>
      </c>
      <c r="L311" s="171"/>
      <c r="M311" s="171"/>
      <c r="N311" s="143" t="s">
        <v>32</v>
      </c>
      <c r="O311" s="173">
        <v>4</v>
      </c>
      <c r="P311" s="234">
        <f ca="1">OFFSET($A$1,MATCH(Z309,$A:$A,0)-1,O311)</f>
        <v>1.6</v>
      </c>
      <c r="Q311" s="144" t="s">
        <v>29</v>
      </c>
      <c r="R311" s="118">
        <f t="shared" ca="1" si="77"/>
        <v>373353</v>
      </c>
      <c r="S311" s="118">
        <f t="shared" ca="1" si="77"/>
        <v>597364</v>
      </c>
      <c r="T311" s="118">
        <f ca="1">특급</f>
        <v>373353</v>
      </c>
      <c r="U311" s="118">
        <f t="shared" ca="1" si="78"/>
        <v>597364</v>
      </c>
      <c r="V311" s="118"/>
      <c r="W311" s="118"/>
      <c r="X311" s="118"/>
      <c r="Y311" s="118"/>
      <c r="Z311" s="115"/>
    </row>
    <row r="312" spans="11:26" ht="18" customHeight="1">
      <c r="K312" s="171" t="s">
        <v>699</v>
      </c>
      <c r="L312" s="171"/>
      <c r="M312" s="171"/>
      <c r="N312" s="145" t="s">
        <v>39</v>
      </c>
      <c r="O312" s="173">
        <v>5</v>
      </c>
      <c r="P312" s="234">
        <f ca="1">OFFSET($A$1,MATCH(Z309,$A:$A,0)-1,O312)</f>
        <v>3.9</v>
      </c>
      <c r="Q312" s="144" t="s">
        <v>29</v>
      </c>
      <c r="R312" s="118">
        <f t="shared" ca="1" si="77"/>
        <v>310884</v>
      </c>
      <c r="S312" s="118">
        <f t="shared" ca="1" si="77"/>
        <v>1212447</v>
      </c>
      <c r="T312" s="118">
        <f ca="1">고급</f>
        <v>310884</v>
      </c>
      <c r="U312" s="118">
        <f t="shared" ca="1" si="78"/>
        <v>1212447</v>
      </c>
      <c r="V312" s="118"/>
      <c r="W312" s="118"/>
      <c r="X312" s="118"/>
      <c r="Y312" s="118"/>
      <c r="Z312" s="115"/>
    </row>
    <row r="313" spans="11:26" ht="18" customHeight="1">
      <c r="K313" s="171" t="s">
        <v>699</v>
      </c>
      <c r="L313" s="171"/>
      <c r="M313" s="171"/>
      <c r="N313" s="145" t="s">
        <v>40</v>
      </c>
      <c r="O313" s="173">
        <v>6</v>
      </c>
      <c r="P313" s="234">
        <f ca="1">OFFSET($A$1,MATCH(Z309,$A:$A,0)-1,O313)</f>
        <v>7.4</v>
      </c>
      <c r="Q313" s="144" t="s">
        <v>29</v>
      </c>
      <c r="R313" s="118">
        <f t="shared" ca="1" si="77"/>
        <v>295138</v>
      </c>
      <c r="S313" s="118">
        <f t="shared" ca="1" si="77"/>
        <v>2184021</v>
      </c>
      <c r="T313" s="118">
        <f ca="1">중급</f>
        <v>295138</v>
      </c>
      <c r="U313" s="118">
        <f t="shared" ca="1" si="78"/>
        <v>2184021</v>
      </c>
      <c r="V313" s="118"/>
      <c r="W313" s="118"/>
      <c r="X313" s="118"/>
      <c r="Y313" s="118"/>
      <c r="Z313" s="115"/>
    </row>
    <row r="314" spans="11:26" ht="18" customHeight="1">
      <c r="K314" s="171" t="s">
        <v>702</v>
      </c>
      <c r="L314" s="171"/>
      <c r="M314" s="171"/>
      <c r="N314" s="145" t="s">
        <v>41</v>
      </c>
      <c r="O314" s="173">
        <v>7</v>
      </c>
      <c r="P314" s="234">
        <f ca="1">OFFSET($A$1,MATCH(Z309,$A:$A,0)-1,O314)</f>
        <v>8</v>
      </c>
      <c r="Q314" s="144" t="s">
        <v>29</v>
      </c>
      <c r="R314" s="118">
        <f t="shared" ca="1" si="77"/>
        <v>235459</v>
      </c>
      <c r="S314" s="118">
        <f t="shared" ca="1" si="77"/>
        <v>1883672</v>
      </c>
      <c r="T314" s="118">
        <f ca="1">초급</f>
        <v>235459</v>
      </c>
      <c r="U314" s="118">
        <f t="shared" ca="1" si="78"/>
        <v>1883672</v>
      </c>
      <c r="V314" s="118"/>
      <c r="W314" s="118"/>
      <c r="X314" s="118"/>
      <c r="Y314" s="118"/>
      <c r="Z314" s="115"/>
    </row>
    <row r="315" spans="11:26" ht="18" customHeight="1">
      <c r="K315" s="171" t="s">
        <v>699</v>
      </c>
      <c r="L315" s="171"/>
      <c r="M315" s="171"/>
      <c r="N315" s="319" t="s">
        <v>42</v>
      </c>
      <c r="O315" s="174">
        <v>8</v>
      </c>
      <c r="P315" s="235">
        <f ca="1">OFFSET($A$1,MATCH(Z309,$A:$A,0)-1,O315)</f>
        <v>8.6999999999999993</v>
      </c>
      <c r="Q315" s="322" t="s">
        <v>29</v>
      </c>
      <c r="R315" s="323">
        <f t="shared" ca="1" si="77"/>
        <v>250087</v>
      </c>
      <c r="S315" s="323">
        <f t="shared" ca="1" si="77"/>
        <v>2175756</v>
      </c>
      <c r="T315" s="323">
        <f ca="1">보조원</f>
        <v>250087</v>
      </c>
      <c r="U315" s="323">
        <f t="shared" ca="1" si="78"/>
        <v>2175756</v>
      </c>
      <c r="V315" s="323"/>
      <c r="W315" s="323"/>
      <c r="X315" s="323"/>
      <c r="Y315" s="323"/>
      <c r="Z315" s="324"/>
    </row>
    <row r="316" spans="11:26" ht="18" customHeight="1">
      <c r="K316" s="171" t="s">
        <v>702</v>
      </c>
      <c r="L316" s="171"/>
      <c r="M316" s="171"/>
      <c r="N316" s="139" t="s">
        <v>700</v>
      </c>
      <c r="O316" s="68"/>
      <c r="P316" s="69"/>
      <c r="Q316" s="70"/>
      <c r="R316" s="71"/>
      <c r="S316" s="71">
        <f ca="1">SUBTOTAL(9,S310:S315)</f>
        <v>8520477</v>
      </c>
      <c r="T316" s="71"/>
      <c r="U316" s="71">
        <f ca="1">SUBTOTAL(9,U310:U315)</f>
        <v>8520477</v>
      </c>
      <c r="V316" s="71"/>
      <c r="W316" s="71"/>
      <c r="X316" s="71"/>
      <c r="Y316" s="71"/>
      <c r="Z316" s="68"/>
    </row>
    <row r="317" spans="11:26" ht="18" customHeight="1">
      <c r="K317" s="171" t="s">
        <v>699</v>
      </c>
      <c r="L317" s="171"/>
      <c r="M317" s="171"/>
      <c r="N317" s="532" t="str">
        <f ca="1">"제 " &amp; Z317 &amp; " 호표  "&amp; OFFSET($A$1,MATCH(Z317,$A:$A,0)-1,1)</f>
        <v>제 32 호표  6.2 관련도서작성</v>
      </c>
      <c r="O317" s="533"/>
      <c r="P317" s="148"/>
      <c r="Q317" s="148"/>
      <c r="R317" s="149"/>
      <c r="S317" s="149"/>
      <c r="T317" s="149"/>
      <c r="U317" s="149"/>
      <c r="V317" s="149"/>
      <c r="W317" s="149"/>
      <c r="X317" s="149"/>
      <c r="Y317" s="149"/>
      <c r="Z317" s="325">
        <f>Z309+1</f>
        <v>32</v>
      </c>
    </row>
    <row r="318" spans="11:26" ht="18" customHeight="1">
      <c r="K318" s="171" t="s">
        <v>699</v>
      </c>
      <c r="L318" s="171"/>
      <c r="M318" s="171"/>
      <c r="N318" s="140" t="s">
        <v>43</v>
      </c>
      <c r="O318" s="172">
        <v>3</v>
      </c>
      <c r="P318" s="534">
        <f ca="1">OFFSET($A$1,MATCH(Z317,$A:$A,0)-1,O318)</f>
        <v>0.5</v>
      </c>
      <c r="Q318" s="141" t="s">
        <v>29</v>
      </c>
      <c r="R318" s="142">
        <f t="shared" ref="R318:S323" ca="1" si="79">T318</f>
        <v>467217</v>
      </c>
      <c r="S318" s="142">
        <f t="shared" ca="1" si="79"/>
        <v>233608</v>
      </c>
      <c r="T318" s="142">
        <f ca="1">기술사</f>
        <v>467217</v>
      </c>
      <c r="U318" s="142">
        <f t="shared" ref="U318:U323" ca="1" si="80">ROUNDDOWN(P318*R318,0)</f>
        <v>233608</v>
      </c>
      <c r="V318" s="142"/>
      <c r="W318" s="142"/>
      <c r="X318" s="142"/>
      <c r="Y318" s="142"/>
      <c r="Z318" s="114"/>
    </row>
    <row r="319" spans="11:26" ht="18" customHeight="1">
      <c r="K319" s="171" t="s">
        <v>699</v>
      </c>
      <c r="L319" s="171"/>
      <c r="M319" s="171"/>
      <c r="N319" s="143" t="s">
        <v>32</v>
      </c>
      <c r="O319" s="173">
        <v>4</v>
      </c>
      <c r="P319" s="234">
        <f ca="1">OFFSET($A$1,MATCH(Z317,$A:$A,0)-1,O319)</f>
        <v>0.8</v>
      </c>
      <c r="Q319" s="144" t="s">
        <v>29</v>
      </c>
      <c r="R319" s="118">
        <f t="shared" ca="1" si="79"/>
        <v>373353</v>
      </c>
      <c r="S319" s="118">
        <f t="shared" ca="1" si="79"/>
        <v>298682</v>
      </c>
      <c r="T319" s="118">
        <f ca="1">특급</f>
        <v>373353</v>
      </c>
      <c r="U319" s="118">
        <f t="shared" ca="1" si="80"/>
        <v>298682</v>
      </c>
      <c r="V319" s="118"/>
      <c r="W319" s="118"/>
      <c r="X319" s="118"/>
      <c r="Y319" s="118"/>
      <c r="Z319" s="115"/>
    </row>
    <row r="320" spans="11:26" ht="18" customHeight="1">
      <c r="K320" s="171" t="s">
        <v>699</v>
      </c>
      <c r="L320" s="171"/>
      <c r="M320" s="171"/>
      <c r="N320" s="145" t="s">
        <v>39</v>
      </c>
      <c r="O320" s="173">
        <v>5</v>
      </c>
      <c r="P320" s="234">
        <f ca="1">OFFSET($A$1,MATCH(Z317,$A:$A,0)-1,O320)</f>
        <v>2</v>
      </c>
      <c r="Q320" s="144" t="s">
        <v>29</v>
      </c>
      <c r="R320" s="118">
        <f t="shared" ca="1" si="79"/>
        <v>310884</v>
      </c>
      <c r="S320" s="118">
        <f t="shared" ca="1" si="79"/>
        <v>621768</v>
      </c>
      <c r="T320" s="118">
        <f ca="1">고급</f>
        <v>310884</v>
      </c>
      <c r="U320" s="118">
        <f t="shared" ca="1" si="80"/>
        <v>621768</v>
      </c>
      <c r="V320" s="118"/>
      <c r="W320" s="118"/>
      <c r="X320" s="118"/>
      <c r="Y320" s="118"/>
      <c r="Z320" s="115"/>
    </row>
    <row r="321" spans="11:26" ht="18" customHeight="1">
      <c r="K321" s="171" t="s">
        <v>699</v>
      </c>
      <c r="L321" s="171"/>
      <c r="M321" s="171"/>
      <c r="N321" s="145" t="s">
        <v>40</v>
      </c>
      <c r="O321" s="173">
        <v>6</v>
      </c>
      <c r="P321" s="234">
        <f ca="1">OFFSET($A$1,MATCH(Z317,$A:$A,0)-1,O321)</f>
        <v>3.7</v>
      </c>
      <c r="Q321" s="144" t="s">
        <v>29</v>
      </c>
      <c r="R321" s="118">
        <f t="shared" ca="1" si="79"/>
        <v>295138</v>
      </c>
      <c r="S321" s="118">
        <f t="shared" ca="1" si="79"/>
        <v>1092010</v>
      </c>
      <c r="T321" s="118">
        <f ca="1">중급</f>
        <v>295138</v>
      </c>
      <c r="U321" s="118">
        <f t="shared" ca="1" si="80"/>
        <v>1092010</v>
      </c>
      <c r="V321" s="118"/>
      <c r="W321" s="118"/>
      <c r="X321" s="118"/>
      <c r="Y321" s="118"/>
      <c r="Z321" s="115"/>
    </row>
    <row r="322" spans="11:26" ht="18" customHeight="1">
      <c r="K322" s="171" t="s">
        <v>699</v>
      </c>
      <c r="L322" s="171"/>
      <c r="M322" s="171"/>
      <c r="N322" s="145" t="s">
        <v>41</v>
      </c>
      <c r="O322" s="173">
        <v>7</v>
      </c>
      <c r="P322" s="234">
        <f ca="1">OFFSET($A$1,MATCH(Z317,$A:$A,0)-1,O322)</f>
        <v>11.9</v>
      </c>
      <c r="Q322" s="144" t="s">
        <v>29</v>
      </c>
      <c r="R322" s="118">
        <f t="shared" ca="1" si="79"/>
        <v>235459</v>
      </c>
      <c r="S322" s="118">
        <f t="shared" ca="1" si="79"/>
        <v>2801962</v>
      </c>
      <c r="T322" s="118">
        <f ca="1">초급</f>
        <v>235459</v>
      </c>
      <c r="U322" s="118">
        <f t="shared" ca="1" si="80"/>
        <v>2801962</v>
      </c>
      <c r="V322" s="118"/>
      <c r="W322" s="118"/>
      <c r="X322" s="118"/>
      <c r="Y322" s="118"/>
      <c r="Z322" s="115"/>
    </row>
    <row r="323" spans="11:26" ht="18" customHeight="1">
      <c r="K323" s="171" t="s">
        <v>702</v>
      </c>
      <c r="L323" s="171"/>
      <c r="M323" s="171"/>
      <c r="N323" s="319" t="s">
        <v>42</v>
      </c>
      <c r="O323" s="174">
        <v>8</v>
      </c>
      <c r="P323" s="235">
        <f ca="1">OFFSET($A$1,MATCH(Z317,$A:$A,0)-1,O323)</f>
        <v>13</v>
      </c>
      <c r="Q323" s="322" t="s">
        <v>29</v>
      </c>
      <c r="R323" s="323">
        <f t="shared" ca="1" si="79"/>
        <v>250087</v>
      </c>
      <c r="S323" s="323">
        <f t="shared" ca="1" si="79"/>
        <v>3251131</v>
      </c>
      <c r="T323" s="323">
        <f ca="1">보조원</f>
        <v>250087</v>
      </c>
      <c r="U323" s="323">
        <f t="shared" ca="1" si="80"/>
        <v>3251131</v>
      </c>
      <c r="V323" s="323"/>
      <c r="W323" s="323"/>
      <c r="X323" s="323"/>
      <c r="Y323" s="323"/>
      <c r="Z323" s="324"/>
    </row>
    <row r="324" spans="11:26" ht="18" customHeight="1">
      <c r="K324" s="171" t="s">
        <v>699</v>
      </c>
      <c r="L324" s="171"/>
      <c r="M324" s="171"/>
      <c r="N324" s="139" t="s">
        <v>700</v>
      </c>
      <c r="O324" s="68"/>
      <c r="P324" s="69"/>
      <c r="Q324" s="70"/>
      <c r="R324" s="71"/>
      <c r="S324" s="71">
        <f ca="1">SUBTOTAL(9,S318:S323)</f>
        <v>8299161</v>
      </c>
      <c r="T324" s="71"/>
      <c r="U324" s="71">
        <f ca="1">SUBTOTAL(9,U318:U323)</f>
        <v>8299161</v>
      </c>
      <c r="V324" s="71"/>
      <c r="W324" s="71"/>
      <c r="X324" s="71"/>
      <c r="Y324" s="71"/>
      <c r="Z324" s="68"/>
    </row>
    <row r="325" spans="11:26" ht="18" customHeight="1">
      <c r="K325" s="171" t="s">
        <v>699</v>
      </c>
      <c r="L325" s="171"/>
      <c r="M325" s="171"/>
      <c r="N325" s="532" t="str">
        <f ca="1">"제 " &amp; Z325 &amp; " 호표  "&amp; OFFSET($A$1,MATCH(Z325,$A:$A,0)-1,1)</f>
        <v>제 33 호표  7.1 공청회/주민설명회</v>
      </c>
      <c r="O325" s="533"/>
      <c r="P325" s="148"/>
      <c r="Q325" s="148"/>
      <c r="R325" s="149"/>
      <c r="S325" s="149"/>
      <c r="T325" s="149"/>
      <c r="U325" s="149"/>
      <c r="V325" s="149"/>
      <c r="W325" s="149"/>
      <c r="X325" s="149"/>
      <c r="Y325" s="149"/>
      <c r="Z325" s="325">
        <f>Z317+1</f>
        <v>33</v>
      </c>
    </row>
    <row r="326" spans="11:26" ht="18" customHeight="1">
      <c r="K326" s="171" t="s">
        <v>699</v>
      </c>
      <c r="L326" s="171"/>
      <c r="M326" s="171"/>
      <c r="N326" s="140" t="s">
        <v>43</v>
      </c>
      <c r="O326" s="172">
        <v>3</v>
      </c>
      <c r="P326" s="534">
        <f ca="1">OFFSET($A$1,MATCH(Z325,$A:$A,0)-1,O326)</f>
        <v>1</v>
      </c>
      <c r="Q326" s="141" t="s">
        <v>29</v>
      </c>
      <c r="R326" s="142">
        <f t="shared" ref="R326:S331" ca="1" si="81">T326</f>
        <v>467217</v>
      </c>
      <c r="S326" s="142">
        <f t="shared" ca="1" si="81"/>
        <v>467217</v>
      </c>
      <c r="T326" s="142">
        <f ca="1">기술사</f>
        <v>467217</v>
      </c>
      <c r="U326" s="142">
        <f t="shared" ref="U326:U331" ca="1" si="82">ROUNDDOWN(P326*R326,0)</f>
        <v>467217</v>
      </c>
      <c r="V326" s="142"/>
      <c r="W326" s="142"/>
      <c r="X326" s="142"/>
      <c r="Y326" s="142"/>
      <c r="Z326" s="114"/>
    </row>
    <row r="327" spans="11:26" ht="18" customHeight="1">
      <c r="K327" s="171" t="s">
        <v>702</v>
      </c>
      <c r="L327" s="171"/>
      <c r="M327" s="171"/>
      <c r="N327" s="143" t="s">
        <v>32</v>
      </c>
      <c r="O327" s="173">
        <v>4</v>
      </c>
      <c r="P327" s="234">
        <f ca="1">OFFSET($A$1,MATCH(Z325,$A:$A,0)-1,O327)</f>
        <v>1</v>
      </c>
      <c r="Q327" s="144" t="s">
        <v>29</v>
      </c>
      <c r="R327" s="118">
        <f t="shared" ca="1" si="81"/>
        <v>373353</v>
      </c>
      <c r="S327" s="118">
        <f t="shared" ca="1" si="81"/>
        <v>373353</v>
      </c>
      <c r="T327" s="118">
        <f ca="1">특급</f>
        <v>373353</v>
      </c>
      <c r="U327" s="118">
        <f t="shared" ca="1" si="82"/>
        <v>373353</v>
      </c>
      <c r="V327" s="118"/>
      <c r="W327" s="118"/>
      <c r="X327" s="118"/>
      <c r="Y327" s="118"/>
      <c r="Z327" s="115"/>
    </row>
    <row r="328" spans="11:26" ht="18" customHeight="1">
      <c r="K328" s="171" t="s">
        <v>699</v>
      </c>
      <c r="L328" s="171"/>
      <c r="M328" s="171"/>
      <c r="N328" s="145" t="s">
        <v>39</v>
      </c>
      <c r="O328" s="173">
        <v>5</v>
      </c>
      <c r="P328" s="234">
        <f ca="1">OFFSET($A$1,MATCH(Z325,$A:$A,0)-1,O328)</f>
        <v>1</v>
      </c>
      <c r="Q328" s="144" t="s">
        <v>29</v>
      </c>
      <c r="R328" s="118">
        <f t="shared" ca="1" si="81"/>
        <v>310884</v>
      </c>
      <c r="S328" s="118">
        <f t="shared" ca="1" si="81"/>
        <v>310884</v>
      </c>
      <c r="T328" s="118">
        <f ca="1">고급</f>
        <v>310884</v>
      </c>
      <c r="U328" s="118">
        <f t="shared" ca="1" si="82"/>
        <v>310884</v>
      </c>
      <c r="V328" s="118"/>
      <c r="W328" s="118"/>
      <c r="X328" s="118"/>
      <c r="Y328" s="118"/>
      <c r="Z328" s="115"/>
    </row>
    <row r="329" spans="11:26" ht="18" customHeight="1">
      <c r="K329" s="171" t="s">
        <v>699</v>
      </c>
      <c r="L329" s="171"/>
      <c r="M329" s="171"/>
      <c r="N329" s="145" t="s">
        <v>40</v>
      </c>
      <c r="O329" s="173">
        <v>6</v>
      </c>
      <c r="P329" s="234">
        <f ca="1">OFFSET($A$1,MATCH(Z325,$A:$A,0)-1,O329)</f>
        <v>2</v>
      </c>
      <c r="Q329" s="144" t="s">
        <v>29</v>
      </c>
      <c r="R329" s="118">
        <f t="shared" ca="1" si="81"/>
        <v>295138</v>
      </c>
      <c r="S329" s="118">
        <f t="shared" ca="1" si="81"/>
        <v>590276</v>
      </c>
      <c r="T329" s="118">
        <f ca="1">중급</f>
        <v>295138</v>
      </c>
      <c r="U329" s="118">
        <f t="shared" ca="1" si="82"/>
        <v>590276</v>
      </c>
      <c r="V329" s="118"/>
      <c r="W329" s="118"/>
      <c r="X329" s="118"/>
      <c r="Y329" s="118"/>
      <c r="Z329" s="115"/>
    </row>
    <row r="330" spans="11:26" ht="18" customHeight="1">
      <c r="K330" s="171" t="s">
        <v>699</v>
      </c>
      <c r="L330" s="171"/>
      <c r="M330" s="171"/>
      <c r="N330" s="145" t="s">
        <v>41</v>
      </c>
      <c r="O330" s="173">
        <v>7</v>
      </c>
      <c r="P330" s="234">
        <f ca="1">OFFSET($A$1,MATCH(Z325,$A:$A,0)-1,O330)</f>
        <v>2</v>
      </c>
      <c r="Q330" s="144" t="s">
        <v>29</v>
      </c>
      <c r="R330" s="118">
        <f t="shared" ca="1" si="81"/>
        <v>235459</v>
      </c>
      <c r="S330" s="118">
        <f t="shared" ca="1" si="81"/>
        <v>470918</v>
      </c>
      <c r="T330" s="118">
        <f ca="1">초급</f>
        <v>235459</v>
      </c>
      <c r="U330" s="118">
        <f t="shared" ca="1" si="82"/>
        <v>470918</v>
      </c>
      <c r="V330" s="118"/>
      <c r="W330" s="118"/>
      <c r="X330" s="118"/>
      <c r="Y330" s="118"/>
      <c r="Z330" s="115"/>
    </row>
    <row r="331" spans="11:26" ht="18" customHeight="1">
      <c r="K331" s="171" t="s">
        <v>699</v>
      </c>
      <c r="L331" s="171"/>
      <c r="M331" s="171"/>
      <c r="N331" s="319" t="s">
        <v>42</v>
      </c>
      <c r="O331" s="174">
        <v>8</v>
      </c>
      <c r="P331" s="235">
        <f ca="1">OFFSET($A$1,MATCH(Z325,$A:$A,0)-1,O331)</f>
        <v>2</v>
      </c>
      <c r="Q331" s="322" t="s">
        <v>29</v>
      </c>
      <c r="R331" s="323">
        <f t="shared" ca="1" si="81"/>
        <v>250087</v>
      </c>
      <c r="S331" s="323">
        <f t="shared" ca="1" si="81"/>
        <v>500174</v>
      </c>
      <c r="T331" s="323">
        <f ca="1">보조원</f>
        <v>250087</v>
      </c>
      <c r="U331" s="323">
        <f t="shared" ca="1" si="82"/>
        <v>500174</v>
      </c>
      <c r="V331" s="323"/>
      <c r="W331" s="323"/>
      <c r="X331" s="323"/>
      <c r="Y331" s="323"/>
      <c r="Z331" s="324"/>
    </row>
    <row r="332" spans="11:26" ht="18" customHeight="1">
      <c r="K332" s="171" t="s">
        <v>699</v>
      </c>
      <c r="L332" s="171"/>
      <c r="M332" s="171"/>
      <c r="N332" s="139" t="s">
        <v>698</v>
      </c>
      <c r="O332" s="68"/>
      <c r="P332" s="69"/>
      <c r="Q332" s="70"/>
      <c r="R332" s="71"/>
      <c r="S332" s="71">
        <f ca="1">SUBTOTAL(9,S326:S331)</f>
        <v>2712822</v>
      </c>
      <c r="T332" s="71"/>
      <c r="U332" s="71">
        <f ca="1">SUBTOTAL(9,U326:U331)</f>
        <v>2712822</v>
      </c>
      <c r="V332" s="71"/>
      <c r="W332" s="71"/>
      <c r="X332" s="71"/>
      <c r="Y332" s="71"/>
      <c r="Z332" s="68"/>
    </row>
    <row r="333" spans="11:26" ht="18" customHeight="1">
      <c r="K333" s="171" t="s">
        <v>699</v>
      </c>
      <c r="L333" s="171"/>
      <c r="M333" s="171"/>
      <c r="N333" s="532" t="str">
        <f ca="1">"제 " &amp; Z333 &amp; " 호표  "&amp; OFFSET($A$1,MATCH(Z333,$A:$A,0)-1,1)</f>
        <v>제 34 호표  7.2 위원회심의 지원</v>
      </c>
      <c r="O333" s="533"/>
      <c r="P333" s="148"/>
      <c r="Q333" s="148"/>
      <c r="R333" s="149"/>
      <c r="S333" s="149"/>
      <c r="T333" s="149"/>
      <c r="U333" s="149"/>
      <c r="V333" s="149"/>
      <c r="W333" s="149"/>
      <c r="X333" s="149"/>
      <c r="Y333" s="149"/>
      <c r="Z333" s="325">
        <f>Z325+1</f>
        <v>34</v>
      </c>
    </row>
    <row r="334" spans="11:26" ht="18" customHeight="1">
      <c r="K334" s="171" t="s">
        <v>699</v>
      </c>
      <c r="L334" s="171"/>
      <c r="M334" s="171"/>
      <c r="N334" s="140" t="s">
        <v>43</v>
      </c>
      <c r="O334" s="172">
        <v>3</v>
      </c>
      <c r="P334" s="534">
        <f ca="1">OFFSET($A$1,MATCH(Z333,$A:$A,0)-1,O334)</f>
        <v>1</v>
      </c>
      <c r="Q334" s="141" t="s">
        <v>29</v>
      </c>
      <c r="R334" s="142">
        <f t="shared" ref="R334:S339" ca="1" si="83">T334</f>
        <v>467217</v>
      </c>
      <c r="S334" s="142">
        <f t="shared" ca="1" si="83"/>
        <v>467217</v>
      </c>
      <c r="T334" s="142">
        <f ca="1">기술사</f>
        <v>467217</v>
      </c>
      <c r="U334" s="142">
        <f t="shared" ref="U334:U339" ca="1" si="84">ROUNDDOWN(P334*R334,0)</f>
        <v>467217</v>
      </c>
      <c r="V334" s="142"/>
      <c r="W334" s="142"/>
      <c r="X334" s="142"/>
      <c r="Y334" s="142"/>
      <c r="Z334" s="114"/>
    </row>
    <row r="335" spans="11:26" ht="18" customHeight="1">
      <c r="K335" s="171" t="s">
        <v>699</v>
      </c>
      <c r="L335" s="171"/>
      <c r="M335" s="171"/>
      <c r="N335" s="143" t="s">
        <v>32</v>
      </c>
      <c r="O335" s="173">
        <v>4</v>
      </c>
      <c r="P335" s="234">
        <f ca="1">OFFSET($A$1,MATCH(Z333,$A:$A,0)-1,O335)</f>
        <v>1</v>
      </c>
      <c r="Q335" s="144" t="s">
        <v>29</v>
      </c>
      <c r="R335" s="118">
        <f t="shared" ca="1" si="83"/>
        <v>373353</v>
      </c>
      <c r="S335" s="118">
        <f t="shared" ca="1" si="83"/>
        <v>373353</v>
      </c>
      <c r="T335" s="118">
        <f ca="1">특급</f>
        <v>373353</v>
      </c>
      <c r="U335" s="118">
        <f t="shared" ca="1" si="84"/>
        <v>373353</v>
      </c>
      <c r="V335" s="118"/>
      <c r="W335" s="118"/>
      <c r="X335" s="118"/>
      <c r="Y335" s="118"/>
      <c r="Z335" s="115"/>
    </row>
    <row r="336" spans="11:26" ht="18" customHeight="1">
      <c r="K336" s="171" t="s">
        <v>702</v>
      </c>
      <c r="L336" s="171"/>
      <c r="M336" s="171"/>
      <c r="N336" s="145" t="s">
        <v>39</v>
      </c>
      <c r="O336" s="173">
        <v>5</v>
      </c>
      <c r="P336" s="234">
        <f ca="1">OFFSET($A$1,MATCH(Z333,$A:$A,0)-1,O336)</f>
        <v>1</v>
      </c>
      <c r="Q336" s="144" t="s">
        <v>29</v>
      </c>
      <c r="R336" s="118">
        <f t="shared" ca="1" si="83"/>
        <v>310884</v>
      </c>
      <c r="S336" s="118">
        <f t="shared" ca="1" si="83"/>
        <v>310884</v>
      </c>
      <c r="T336" s="118">
        <f ca="1">고급</f>
        <v>310884</v>
      </c>
      <c r="U336" s="118">
        <f t="shared" ca="1" si="84"/>
        <v>310884</v>
      </c>
      <c r="V336" s="118"/>
      <c r="W336" s="118"/>
      <c r="X336" s="118"/>
      <c r="Y336" s="118"/>
      <c r="Z336" s="115"/>
    </row>
    <row r="337" spans="11:26" ht="18" customHeight="1">
      <c r="K337" s="171" t="s">
        <v>702</v>
      </c>
      <c r="L337" s="171"/>
      <c r="M337" s="171"/>
      <c r="N337" s="145" t="s">
        <v>40</v>
      </c>
      <c r="O337" s="173">
        <v>6</v>
      </c>
      <c r="P337" s="234">
        <f ca="1">OFFSET($A$1,MATCH(Z333,$A:$A,0)-1,O337)</f>
        <v>2</v>
      </c>
      <c r="Q337" s="144" t="s">
        <v>29</v>
      </c>
      <c r="R337" s="118">
        <f t="shared" ca="1" si="83"/>
        <v>295138</v>
      </c>
      <c r="S337" s="118">
        <f t="shared" ca="1" si="83"/>
        <v>590276</v>
      </c>
      <c r="T337" s="118">
        <f ca="1">중급</f>
        <v>295138</v>
      </c>
      <c r="U337" s="118">
        <f t="shared" ca="1" si="84"/>
        <v>590276</v>
      </c>
      <c r="V337" s="118"/>
      <c r="W337" s="118"/>
      <c r="X337" s="118"/>
      <c r="Y337" s="118"/>
      <c r="Z337" s="115"/>
    </row>
    <row r="338" spans="11:26" ht="18" customHeight="1">
      <c r="K338" s="171" t="s">
        <v>699</v>
      </c>
      <c r="L338" s="171"/>
      <c r="M338" s="171"/>
      <c r="N338" s="145" t="s">
        <v>41</v>
      </c>
      <c r="O338" s="173">
        <v>7</v>
      </c>
      <c r="P338" s="234">
        <f ca="1">OFFSET($A$1,MATCH(Z333,$A:$A,0)-1,O338)</f>
        <v>2</v>
      </c>
      <c r="Q338" s="144" t="s">
        <v>29</v>
      </c>
      <c r="R338" s="118">
        <f t="shared" ca="1" si="83"/>
        <v>235459</v>
      </c>
      <c r="S338" s="118">
        <f t="shared" ca="1" si="83"/>
        <v>470918</v>
      </c>
      <c r="T338" s="118">
        <f ca="1">초급</f>
        <v>235459</v>
      </c>
      <c r="U338" s="118">
        <f t="shared" ca="1" si="84"/>
        <v>470918</v>
      </c>
      <c r="V338" s="118"/>
      <c r="W338" s="118"/>
      <c r="X338" s="118"/>
      <c r="Y338" s="118"/>
      <c r="Z338" s="115"/>
    </row>
    <row r="339" spans="11:26" ht="18" customHeight="1">
      <c r="K339" s="171" t="s">
        <v>699</v>
      </c>
      <c r="L339" s="171"/>
      <c r="M339" s="171"/>
      <c r="N339" s="319" t="s">
        <v>42</v>
      </c>
      <c r="O339" s="174">
        <v>8</v>
      </c>
      <c r="P339" s="235">
        <f ca="1">OFFSET($A$1,MATCH(Z333,$A:$A,0)-1,O339)</f>
        <v>2</v>
      </c>
      <c r="Q339" s="322" t="s">
        <v>29</v>
      </c>
      <c r="R339" s="323">
        <f t="shared" ca="1" si="83"/>
        <v>250087</v>
      </c>
      <c r="S339" s="323">
        <f t="shared" ca="1" si="83"/>
        <v>500174</v>
      </c>
      <c r="T339" s="323">
        <f ca="1">보조원</f>
        <v>250087</v>
      </c>
      <c r="U339" s="323">
        <f t="shared" ca="1" si="84"/>
        <v>500174</v>
      </c>
      <c r="V339" s="323"/>
      <c r="W339" s="323"/>
      <c r="X339" s="323"/>
      <c r="Y339" s="323"/>
      <c r="Z339" s="324"/>
    </row>
    <row r="340" spans="11:26" ht="18" customHeight="1">
      <c r="K340" s="171" t="s">
        <v>699</v>
      </c>
      <c r="L340" s="171"/>
      <c r="M340" s="171"/>
      <c r="N340" s="139" t="s">
        <v>698</v>
      </c>
      <c r="O340" s="68"/>
      <c r="P340" s="69"/>
      <c r="Q340" s="70"/>
      <c r="R340" s="71"/>
      <c r="S340" s="71">
        <f ca="1">SUBTOTAL(9,S334:S339)</f>
        <v>2712822</v>
      </c>
      <c r="T340" s="71"/>
      <c r="U340" s="71">
        <f ca="1">SUBTOTAL(9,U334:U339)</f>
        <v>2712822</v>
      </c>
      <c r="V340" s="71"/>
      <c r="W340" s="71"/>
      <c r="X340" s="71"/>
      <c r="Y340" s="71"/>
      <c r="Z340" s="68"/>
    </row>
    <row r="341" spans="11:26" ht="18" customHeight="1">
      <c r="K341" s="171" t="s">
        <v>699</v>
      </c>
      <c r="L341" s="171"/>
      <c r="M341" s="171"/>
      <c r="N341" s="532" t="str">
        <f ca="1">"제 " &amp; Z341 &amp; " 호표  "&amp; OFFSET($A$1,MATCH(Z341,$A:$A,0)-1,1)</f>
        <v>제 35 호표  7.3 관계기관 협의</v>
      </c>
      <c r="O341" s="533"/>
      <c r="P341" s="148"/>
      <c r="Q341" s="148"/>
      <c r="R341" s="149"/>
      <c r="S341" s="149"/>
      <c r="T341" s="149"/>
      <c r="U341" s="149"/>
      <c r="V341" s="149"/>
      <c r="W341" s="149"/>
      <c r="X341" s="149"/>
      <c r="Y341" s="149"/>
      <c r="Z341" s="325">
        <f>Z333+1</f>
        <v>35</v>
      </c>
    </row>
    <row r="342" spans="11:26" ht="18" customHeight="1">
      <c r="K342" s="171" t="s">
        <v>702</v>
      </c>
      <c r="L342" s="171"/>
      <c r="M342" s="171"/>
      <c r="N342" s="140" t="s">
        <v>43</v>
      </c>
      <c r="O342" s="172">
        <v>3</v>
      </c>
      <c r="P342" s="534">
        <f ca="1">OFFSET($A$1,MATCH(Z341,$A:$A,0)-1,O342)</f>
        <v>1</v>
      </c>
      <c r="Q342" s="141" t="s">
        <v>29</v>
      </c>
      <c r="R342" s="142">
        <f t="shared" ref="R342:S347" ca="1" si="85">T342</f>
        <v>467217</v>
      </c>
      <c r="S342" s="142">
        <f t="shared" ca="1" si="85"/>
        <v>467217</v>
      </c>
      <c r="T342" s="142">
        <f ca="1">기술사</f>
        <v>467217</v>
      </c>
      <c r="U342" s="142">
        <f t="shared" ref="U342:U347" ca="1" si="86">ROUNDDOWN(P342*R342,0)</f>
        <v>467217</v>
      </c>
      <c r="V342" s="142"/>
      <c r="W342" s="142"/>
      <c r="X342" s="142"/>
      <c r="Y342" s="142"/>
      <c r="Z342" s="114"/>
    </row>
    <row r="343" spans="11:26" ht="18" customHeight="1">
      <c r="K343" s="171" t="s">
        <v>699</v>
      </c>
      <c r="L343" s="171"/>
      <c r="M343" s="171"/>
      <c r="N343" s="143" t="s">
        <v>32</v>
      </c>
      <c r="O343" s="173">
        <v>4</v>
      </c>
      <c r="P343" s="234">
        <f ca="1">OFFSET($A$1,MATCH(Z341,$A:$A,0)-1,O343)</f>
        <v>1</v>
      </c>
      <c r="Q343" s="144" t="s">
        <v>29</v>
      </c>
      <c r="R343" s="118">
        <f t="shared" ca="1" si="85"/>
        <v>373353</v>
      </c>
      <c r="S343" s="118">
        <f t="shared" ca="1" si="85"/>
        <v>373353</v>
      </c>
      <c r="T343" s="118">
        <f ca="1">특급</f>
        <v>373353</v>
      </c>
      <c r="U343" s="118">
        <f t="shared" ca="1" si="86"/>
        <v>373353</v>
      </c>
      <c r="V343" s="118"/>
      <c r="W343" s="118"/>
      <c r="X343" s="118"/>
      <c r="Y343" s="118"/>
      <c r="Z343" s="115"/>
    </row>
    <row r="344" spans="11:26" ht="18" customHeight="1">
      <c r="K344" s="171" t="s">
        <v>702</v>
      </c>
      <c r="L344" s="171"/>
      <c r="M344" s="171"/>
      <c r="N344" s="145" t="s">
        <v>39</v>
      </c>
      <c r="O344" s="173">
        <v>5</v>
      </c>
      <c r="P344" s="234">
        <f ca="1">OFFSET($A$1,MATCH(Z341,$A:$A,0)-1,O344)</f>
        <v>1</v>
      </c>
      <c r="Q344" s="144" t="s">
        <v>29</v>
      </c>
      <c r="R344" s="118">
        <f t="shared" ca="1" si="85"/>
        <v>310884</v>
      </c>
      <c r="S344" s="118">
        <f t="shared" ca="1" si="85"/>
        <v>310884</v>
      </c>
      <c r="T344" s="118">
        <f ca="1">고급</f>
        <v>310884</v>
      </c>
      <c r="U344" s="118">
        <f t="shared" ca="1" si="86"/>
        <v>310884</v>
      </c>
      <c r="V344" s="118"/>
      <c r="W344" s="118"/>
      <c r="X344" s="118"/>
      <c r="Y344" s="118"/>
      <c r="Z344" s="115"/>
    </row>
    <row r="345" spans="11:26" ht="18" customHeight="1">
      <c r="K345" s="171" t="s">
        <v>702</v>
      </c>
      <c r="L345" s="171"/>
      <c r="M345" s="171"/>
      <c r="N345" s="145" t="s">
        <v>40</v>
      </c>
      <c r="O345" s="173">
        <v>6</v>
      </c>
      <c r="P345" s="234">
        <f ca="1">OFFSET($A$1,MATCH(Z341,$A:$A,0)-1,O345)</f>
        <v>2</v>
      </c>
      <c r="Q345" s="144" t="s">
        <v>29</v>
      </c>
      <c r="R345" s="118">
        <f t="shared" ca="1" si="85"/>
        <v>295138</v>
      </c>
      <c r="S345" s="118">
        <f t="shared" ca="1" si="85"/>
        <v>590276</v>
      </c>
      <c r="T345" s="118">
        <f ca="1">중급</f>
        <v>295138</v>
      </c>
      <c r="U345" s="118">
        <f t="shared" ca="1" si="86"/>
        <v>590276</v>
      </c>
      <c r="V345" s="118"/>
      <c r="W345" s="118"/>
      <c r="X345" s="118"/>
      <c r="Y345" s="118"/>
      <c r="Z345" s="115"/>
    </row>
    <row r="346" spans="11:26" ht="18" customHeight="1">
      <c r="K346" s="171" t="s">
        <v>702</v>
      </c>
      <c r="L346" s="171"/>
      <c r="M346" s="171"/>
      <c r="N346" s="145" t="s">
        <v>41</v>
      </c>
      <c r="O346" s="173">
        <v>7</v>
      </c>
      <c r="P346" s="234">
        <f ca="1">OFFSET($A$1,MATCH(Z341,$A:$A,0)-1,O346)</f>
        <v>2</v>
      </c>
      <c r="Q346" s="144" t="s">
        <v>29</v>
      </c>
      <c r="R346" s="118">
        <f t="shared" ca="1" si="85"/>
        <v>235459</v>
      </c>
      <c r="S346" s="118">
        <f t="shared" ca="1" si="85"/>
        <v>470918</v>
      </c>
      <c r="T346" s="118">
        <f ca="1">초급</f>
        <v>235459</v>
      </c>
      <c r="U346" s="118">
        <f t="shared" ca="1" si="86"/>
        <v>470918</v>
      </c>
      <c r="V346" s="118"/>
      <c r="W346" s="118"/>
      <c r="X346" s="118"/>
      <c r="Y346" s="118"/>
      <c r="Z346" s="115"/>
    </row>
    <row r="347" spans="11:26" ht="18" customHeight="1">
      <c r="K347" s="171" t="s">
        <v>702</v>
      </c>
      <c r="L347" s="171"/>
      <c r="M347" s="171"/>
      <c r="N347" s="319" t="s">
        <v>42</v>
      </c>
      <c r="O347" s="174">
        <v>8</v>
      </c>
      <c r="P347" s="235">
        <f ca="1">OFFSET($A$1,MATCH(Z341,$A:$A,0)-1,O347)</f>
        <v>2</v>
      </c>
      <c r="Q347" s="322" t="s">
        <v>29</v>
      </c>
      <c r="R347" s="323">
        <f t="shared" ca="1" si="85"/>
        <v>250087</v>
      </c>
      <c r="S347" s="323">
        <f t="shared" ca="1" si="85"/>
        <v>500174</v>
      </c>
      <c r="T347" s="323">
        <f ca="1">보조원</f>
        <v>250087</v>
      </c>
      <c r="U347" s="323">
        <f t="shared" ca="1" si="86"/>
        <v>500174</v>
      </c>
      <c r="V347" s="323"/>
      <c r="W347" s="323"/>
      <c r="X347" s="323"/>
      <c r="Y347" s="323"/>
      <c r="Z347" s="324"/>
    </row>
    <row r="348" spans="11:26" ht="18" customHeight="1">
      <c r="K348" s="171" t="s">
        <v>699</v>
      </c>
      <c r="L348" s="171"/>
      <c r="M348" s="171"/>
      <c r="N348" s="139" t="s">
        <v>698</v>
      </c>
      <c r="O348" s="68"/>
      <c r="P348" s="69"/>
      <c r="Q348" s="70"/>
      <c r="R348" s="71"/>
      <c r="S348" s="71">
        <f ca="1">SUBTOTAL(9,S342:S347)</f>
        <v>2712822</v>
      </c>
      <c r="T348" s="71"/>
      <c r="U348" s="71">
        <f ca="1">SUBTOTAL(9,U342:U347)</f>
        <v>2712822</v>
      </c>
      <c r="V348" s="71"/>
      <c r="W348" s="71"/>
      <c r="X348" s="71"/>
      <c r="Y348" s="71"/>
      <c r="Z348" s="68"/>
    </row>
    <row r="349" spans="11:26" ht="18" customHeight="1">
      <c r="K349" s="171" t="s">
        <v>699</v>
      </c>
      <c r="L349" s="171"/>
      <c r="M349" s="171"/>
    </row>
    <row r="350" spans="11:26" ht="18" customHeight="1">
      <c r="K350" s="171" t="s">
        <v>702</v>
      </c>
      <c r="L350" s="171"/>
      <c r="M350" s="171"/>
    </row>
    <row r="351" spans="11:26" ht="18" customHeight="1">
      <c r="K351" s="171" t="s">
        <v>702</v>
      </c>
      <c r="L351" s="171"/>
      <c r="M351" s="171"/>
    </row>
    <row r="352" spans="11:26" ht="18" customHeight="1">
      <c r="K352" s="171" t="s">
        <v>702</v>
      </c>
      <c r="L352" s="171"/>
      <c r="M352" s="171"/>
    </row>
    <row r="353" spans="11:13" ht="18" customHeight="1">
      <c r="K353" s="171" t="s">
        <v>702</v>
      </c>
      <c r="L353" s="171"/>
      <c r="M353" s="171"/>
    </row>
    <row r="354" spans="11:13" ht="18" customHeight="1">
      <c r="K354" s="171" t="s">
        <v>699</v>
      </c>
      <c r="L354" s="171"/>
      <c r="M354" s="171"/>
    </row>
    <row r="355" spans="11:13" ht="18" customHeight="1">
      <c r="K355" s="171" t="s">
        <v>699</v>
      </c>
      <c r="L355" s="171"/>
      <c r="M355" s="171"/>
    </row>
    <row r="356" spans="11:13" ht="18" customHeight="1">
      <c r="K356" s="171" t="s">
        <v>699</v>
      </c>
      <c r="L356" s="171"/>
      <c r="M356" s="171"/>
    </row>
    <row r="357" spans="11:13" ht="18" customHeight="1">
      <c r="K357" s="171" t="s">
        <v>699</v>
      </c>
      <c r="L357" s="171"/>
      <c r="M357" s="171"/>
    </row>
    <row r="358" spans="11:13" ht="18" customHeight="1">
      <c r="K358" s="171" t="s">
        <v>699</v>
      </c>
      <c r="L358" s="171"/>
      <c r="M358" s="171"/>
    </row>
    <row r="359" spans="11:13" ht="18" customHeight="1">
      <c r="K359" s="171" t="s">
        <v>699</v>
      </c>
      <c r="L359" s="171"/>
      <c r="M359" s="171"/>
    </row>
    <row r="360" spans="11:13" ht="18" customHeight="1">
      <c r="K360" s="171" t="s">
        <v>699</v>
      </c>
      <c r="L360" s="171"/>
      <c r="M360" s="171"/>
    </row>
    <row r="361" spans="11:13" ht="18" customHeight="1">
      <c r="K361" s="171" t="s">
        <v>699</v>
      </c>
      <c r="L361" s="171"/>
      <c r="M361" s="171"/>
    </row>
    <row r="362" spans="11:13" ht="18" customHeight="1">
      <c r="K362" s="171" t="s">
        <v>699</v>
      </c>
      <c r="L362" s="171"/>
      <c r="M362" s="171"/>
    </row>
    <row r="363" spans="11:13" ht="18" customHeight="1">
      <c r="K363" s="171" t="s">
        <v>699</v>
      </c>
      <c r="L363" s="171"/>
      <c r="M363" s="171"/>
    </row>
    <row r="364" spans="11:13" ht="18" customHeight="1">
      <c r="K364" s="171" t="s">
        <v>702</v>
      </c>
      <c r="L364" s="171"/>
      <c r="M364" s="171"/>
    </row>
    <row r="365" spans="11:13" ht="18" customHeight="1">
      <c r="K365" s="171" t="s">
        <v>699</v>
      </c>
      <c r="L365" s="171"/>
      <c r="M365" s="171"/>
    </row>
    <row r="366" spans="11:13" ht="18" customHeight="1">
      <c r="K366" s="171" t="s">
        <v>699</v>
      </c>
      <c r="L366" s="171"/>
      <c r="M366" s="171"/>
    </row>
    <row r="367" spans="11:13" ht="18" customHeight="1">
      <c r="K367" s="171" t="s">
        <v>702</v>
      </c>
      <c r="L367" s="171"/>
      <c r="M367" s="171"/>
    </row>
    <row r="368" spans="11:13" ht="18" customHeight="1">
      <c r="K368" s="171" t="s">
        <v>699</v>
      </c>
      <c r="L368" s="171"/>
      <c r="M368" s="171"/>
    </row>
    <row r="369" spans="11:13" ht="18" customHeight="1">
      <c r="K369" s="171" t="s">
        <v>702</v>
      </c>
      <c r="L369" s="171"/>
      <c r="M369" s="171"/>
    </row>
    <row r="370" spans="11:13" ht="18" customHeight="1">
      <c r="K370" s="171" t="s">
        <v>702</v>
      </c>
      <c r="L370" s="171"/>
      <c r="M370" s="171"/>
    </row>
    <row r="371" spans="11:13" ht="18" customHeight="1">
      <c r="K371" s="171" t="s">
        <v>702</v>
      </c>
      <c r="L371" s="171"/>
      <c r="M371" s="171"/>
    </row>
    <row r="372" spans="11:13" ht="18" customHeight="1">
      <c r="K372" s="171" t="s">
        <v>699</v>
      </c>
      <c r="L372" s="171"/>
      <c r="M372" s="171"/>
    </row>
    <row r="373" spans="11:13" ht="18" customHeight="1">
      <c r="K373" s="171" t="s">
        <v>699</v>
      </c>
      <c r="L373" s="171"/>
      <c r="M373" s="171"/>
    </row>
    <row r="374" spans="11:13" ht="18" customHeight="1">
      <c r="K374" s="171" t="s">
        <v>702</v>
      </c>
      <c r="L374" s="171"/>
      <c r="M374" s="171"/>
    </row>
    <row r="375" spans="11:13" ht="18" customHeight="1">
      <c r="K375" s="171" t="s">
        <v>699</v>
      </c>
      <c r="L375" s="171"/>
      <c r="M375" s="171"/>
    </row>
    <row r="376" spans="11:13" ht="18" customHeight="1">
      <c r="K376" s="171" t="s">
        <v>702</v>
      </c>
      <c r="L376" s="171"/>
      <c r="M376" s="171"/>
    </row>
    <row r="377" spans="11:13" ht="18" customHeight="1">
      <c r="K377" s="171" t="s">
        <v>699</v>
      </c>
      <c r="L377" s="171"/>
      <c r="M377" s="171"/>
    </row>
    <row r="378" spans="11:13" ht="18" customHeight="1">
      <c r="K378" s="171" t="s">
        <v>702</v>
      </c>
      <c r="L378" s="171"/>
      <c r="M378" s="171"/>
    </row>
    <row r="379" spans="11:13" ht="18" customHeight="1">
      <c r="K379" s="171" t="s">
        <v>702</v>
      </c>
      <c r="L379" s="171"/>
      <c r="M379" s="171"/>
    </row>
    <row r="380" spans="11:13" ht="18" customHeight="1">
      <c r="K380" s="171" t="s">
        <v>699</v>
      </c>
      <c r="L380" s="171"/>
      <c r="M380" s="171"/>
    </row>
    <row r="381" spans="11:13" ht="18" customHeight="1">
      <c r="K381" s="171" t="s">
        <v>702</v>
      </c>
      <c r="L381" s="171"/>
      <c r="M381" s="171"/>
    </row>
    <row r="382" spans="11:13" ht="18" customHeight="1">
      <c r="K382" s="171" t="s">
        <v>702</v>
      </c>
      <c r="L382" s="171"/>
      <c r="M382" s="171"/>
    </row>
    <row r="383" spans="11:13" ht="18" customHeight="1">
      <c r="K383" s="171" t="s">
        <v>702</v>
      </c>
      <c r="L383" s="171"/>
      <c r="M383" s="171"/>
    </row>
    <row r="384" spans="11:13" ht="18" customHeight="1">
      <c r="K384" s="171" t="s">
        <v>702</v>
      </c>
      <c r="L384" s="171"/>
      <c r="M384" s="171"/>
    </row>
    <row r="385" spans="11:13" ht="18" customHeight="1">
      <c r="K385" s="171" t="s">
        <v>702</v>
      </c>
      <c r="L385" s="171"/>
      <c r="M385" s="171"/>
    </row>
    <row r="386" spans="11:13" ht="18" customHeight="1">
      <c r="K386" s="171" t="s">
        <v>702</v>
      </c>
      <c r="L386" s="171"/>
      <c r="M386" s="171"/>
    </row>
    <row r="387" spans="11:13" ht="18" customHeight="1">
      <c r="K387" s="171" t="s">
        <v>702</v>
      </c>
      <c r="L387" s="171"/>
      <c r="M387" s="171"/>
    </row>
    <row r="388" spans="11:13" ht="18" customHeight="1">
      <c r="K388" s="171" t="s">
        <v>702</v>
      </c>
      <c r="L388" s="171"/>
      <c r="M388" s="171"/>
    </row>
    <row r="389" spans="11:13" ht="18" customHeight="1">
      <c r="K389" s="171" t="s">
        <v>702</v>
      </c>
      <c r="L389" s="171"/>
      <c r="M389" s="171"/>
    </row>
    <row r="390" spans="11:13" ht="18" customHeight="1">
      <c r="K390" s="171" t="s">
        <v>702</v>
      </c>
      <c r="L390" s="171"/>
      <c r="M390" s="171"/>
    </row>
    <row r="391" spans="11:13" ht="18" customHeight="1">
      <c r="K391" s="171" t="s">
        <v>702</v>
      </c>
      <c r="L391" s="171"/>
      <c r="M391" s="171"/>
    </row>
    <row r="392" spans="11:13" ht="18" customHeight="1">
      <c r="K392" s="171" t="s">
        <v>702</v>
      </c>
      <c r="L392" s="171"/>
      <c r="M392" s="171"/>
    </row>
    <row r="393" spans="11:13" ht="18" customHeight="1">
      <c r="K393" s="171" t="s">
        <v>702</v>
      </c>
      <c r="L393" s="171"/>
      <c r="M393" s="171"/>
    </row>
    <row r="394" spans="11:13" ht="18" customHeight="1">
      <c r="K394" s="171" t="s">
        <v>702</v>
      </c>
      <c r="L394" s="171"/>
      <c r="M394" s="171"/>
    </row>
    <row r="395" spans="11:13" ht="18" customHeight="1">
      <c r="K395" s="171" t="s">
        <v>702</v>
      </c>
      <c r="L395" s="171"/>
      <c r="M395" s="171"/>
    </row>
    <row r="396" spans="11:13" ht="18" customHeight="1">
      <c r="K396" s="171" t="s">
        <v>702</v>
      </c>
      <c r="L396" s="171"/>
      <c r="M396" s="171"/>
    </row>
    <row r="397" spans="11:13" ht="18" customHeight="1">
      <c r="K397" s="171" t="s">
        <v>702</v>
      </c>
      <c r="L397" s="171"/>
      <c r="M397" s="171"/>
    </row>
    <row r="398" spans="11:13" ht="18" customHeight="1">
      <c r="K398" s="171" t="s">
        <v>702</v>
      </c>
      <c r="L398" s="171"/>
      <c r="M398" s="171"/>
    </row>
    <row r="399" spans="11:13" ht="18" customHeight="1">
      <c r="K399" s="171" t="s">
        <v>702</v>
      </c>
      <c r="L399" s="171"/>
      <c r="M399" s="171"/>
    </row>
    <row r="400" spans="11:13" ht="18" customHeight="1">
      <c r="K400" s="171" t="s">
        <v>702</v>
      </c>
      <c r="L400" s="171"/>
      <c r="M400" s="171"/>
    </row>
    <row r="401" spans="11:13" ht="18" customHeight="1">
      <c r="K401" s="171" t="s">
        <v>702</v>
      </c>
      <c r="L401" s="171"/>
      <c r="M401" s="171"/>
    </row>
    <row r="402" spans="11:13" ht="18" customHeight="1">
      <c r="K402" s="171" t="s">
        <v>702</v>
      </c>
      <c r="L402" s="171"/>
      <c r="M402" s="171"/>
    </row>
    <row r="403" spans="11:13" ht="18" customHeight="1">
      <c r="K403" s="171" t="s">
        <v>702</v>
      </c>
      <c r="L403" s="171"/>
      <c r="M403" s="171"/>
    </row>
    <row r="404" spans="11:13" ht="18" customHeight="1">
      <c r="K404" s="171" t="s">
        <v>702</v>
      </c>
      <c r="L404" s="171"/>
      <c r="M404" s="171"/>
    </row>
    <row r="405" spans="11:13" ht="18" customHeight="1">
      <c r="K405" s="171" t="s">
        <v>702</v>
      </c>
      <c r="L405" s="171"/>
      <c r="M405" s="171"/>
    </row>
    <row r="406" spans="11:13" ht="18" customHeight="1">
      <c r="K406" s="171" t="s">
        <v>702</v>
      </c>
      <c r="L406" s="171"/>
      <c r="M406" s="171"/>
    </row>
    <row r="407" spans="11:13" ht="18" customHeight="1">
      <c r="K407" s="171" t="s">
        <v>702</v>
      </c>
      <c r="L407" s="171"/>
      <c r="M407" s="171"/>
    </row>
    <row r="408" spans="11:13" ht="18" customHeight="1">
      <c r="K408" s="171" t="s">
        <v>702</v>
      </c>
      <c r="L408" s="171"/>
      <c r="M408" s="171"/>
    </row>
    <row r="409" spans="11:13" ht="18" customHeight="1">
      <c r="K409" s="171" t="s">
        <v>702</v>
      </c>
      <c r="L409" s="171"/>
      <c r="M409" s="171"/>
    </row>
    <row r="410" spans="11:13" ht="18" customHeight="1">
      <c r="K410" s="171" t="s">
        <v>702</v>
      </c>
      <c r="L410" s="171"/>
      <c r="M410" s="171"/>
    </row>
    <row r="411" spans="11:13" ht="18" customHeight="1">
      <c r="K411" s="171" t="s">
        <v>702</v>
      </c>
      <c r="L411" s="171"/>
      <c r="M411" s="171"/>
    </row>
    <row r="412" spans="11:13" ht="18" customHeight="1">
      <c r="K412" s="171" t="s">
        <v>702</v>
      </c>
      <c r="L412" s="171"/>
      <c r="M412" s="171"/>
    </row>
    <row r="413" spans="11:13" ht="18" customHeight="1">
      <c r="K413" s="171" t="s">
        <v>702</v>
      </c>
      <c r="L413" s="171"/>
      <c r="M413" s="171"/>
    </row>
    <row r="414" spans="11:13" ht="18" customHeight="1">
      <c r="K414" s="171" t="s">
        <v>702</v>
      </c>
      <c r="L414" s="171"/>
      <c r="M414" s="171"/>
    </row>
    <row r="415" spans="11:13" ht="18" customHeight="1">
      <c r="K415" s="171" t="s">
        <v>702</v>
      </c>
      <c r="L415" s="171"/>
      <c r="M415" s="171"/>
    </row>
    <row r="416" spans="11:13" ht="18" customHeight="1">
      <c r="K416" s="171" t="s">
        <v>702</v>
      </c>
      <c r="L416" s="171"/>
      <c r="M416" s="171"/>
    </row>
    <row r="417" spans="11:13" ht="18" customHeight="1">
      <c r="K417" s="171" t="s">
        <v>702</v>
      </c>
      <c r="L417" s="171"/>
      <c r="M417" s="171"/>
    </row>
    <row r="418" spans="11:13" ht="18" customHeight="1">
      <c r="K418" s="171" t="s">
        <v>702</v>
      </c>
      <c r="L418" s="171"/>
      <c r="M418" s="171"/>
    </row>
    <row r="419" spans="11:13" ht="18" customHeight="1">
      <c r="K419" s="171" t="s">
        <v>702</v>
      </c>
      <c r="L419" s="171"/>
      <c r="M419" s="171"/>
    </row>
    <row r="420" spans="11:13" ht="18" customHeight="1">
      <c r="K420" s="171" t="s">
        <v>702</v>
      </c>
      <c r="L420" s="171"/>
      <c r="M420" s="171"/>
    </row>
    <row r="421" spans="11:13" ht="18" customHeight="1">
      <c r="K421" s="171" t="s">
        <v>702</v>
      </c>
      <c r="L421" s="171"/>
      <c r="M421" s="171"/>
    </row>
    <row r="422" spans="11:13" ht="18" customHeight="1">
      <c r="K422" s="171" t="s">
        <v>702</v>
      </c>
      <c r="L422" s="171"/>
      <c r="M422" s="171"/>
    </row>
    <row r="423" spans="11:13" ht="18" customHeight="1">
      <c r="K423" s="171" t="s">
        <v>702</v>
      </c>
      <c r="L423" s="171"/>
      <c r="M423" s="171"/>
    </row>
    <row r="424" spans="11:13" ht="18" customHeight="1">
      <c r="K424" s="171" t="s">
        <v>702</v>
      </c>
      <c r="L424" s="171"/>
      <c r="M424" s="171"/>
    </row>
    <row r="425" spans="11:13" ht="18" customHeight="1">
      <c r="K425" s="171" t="s">
        <v>702</v>
      </c>
      <c r="L425" s="171"/>
      <c r="M425" s="171"/>
    </row>
    <row r="426" spans="11:13" ht="18" customHeight="1">
      <c r="K426" s="171" t="s">
        <v>702</v>
      </c>
      <c r="L426" s="171"/>
      <c r="M426" s="171"/>
    </row>
    <row r="427" spans="11:13" ht="18" customHeight="1">
      <c r="K427" s="171" t="s">
        <v>702</v>
      </c>
      <c r="L427" s="171"/>
      <c r="M427" s="171"/>
    </row>
    <row r="428" spans="11:13" ht="18" customHeight="1">
      <c r="K428" s="171" t="s">
        <v>702</v>
      </c>
      <c r="L428" s="171"/>
      <c r="M428" s="171"/>
    </row>
    <row r="429" spans="11:13" ht="18" customHeight="1">
      <c r="K429" s="171" t="s">
        <v>702</v>
      </c>
      <c r="L429" s="171"/>
      <c r="M429" s="171"/>
    </row>
    <row r="430" spans="11:13" ht="18" customHeight="1">
      <c r="K430" s="171" t="s">
        <v>702</v>
      </c>
      <c r="L430" s="171"/>
      <c r="M430" s="171"/>
    </row>
    <row r="431" spans="11:13" ht="18" customHeight="1">
      <c r="K431" s="171" t="s">
        <v>702</v>
      </c>
      <c r="L431" s="171"/>
      <c r="M431" s="171"/>
    </row>
    <row r="432" spans="11:13" ht="18" customHeight="1">
      <c r="K432" s="171" t="s">
        <v>702</v>
      </c>
      <c r="L432" s="171"/>
      <c r="M432" s="171"/>
    </row>
    <row r="433" spans="11:13" ht="18" customHeight="1">
      <c r="K433" s="171" t="s">
        <v>702</v>
      </c>
      <c r="L433" s="171"/>
      <c r="M433" s="171"/>
    </row>
    <row r="434" spans="11:13" ht="18" customHeight="1">
      <c r="K434" s="171" t="s">
        <v>702</v>
      </c>
      <c r="L434" s="171"/>
      <c r="M434" s="171"/>
    </row>
    <row r="435" spans="11:13" ht="18" customHeight="1">
      <c r="K435" s="171" t="s">
        <v>702</v>
      </c>
      <c r="L435" s="171"/>
      <c r="M435" s="171"/>
    </row>
    <row r="436" spans="11:13" ht="18" customHeight="1">
      <c r="K436" s="171" t="s">
        <v>702</v>
      </c>
      <c r="L436" s="171"/>
      <c r="M436" s="171"/>
    </row>
    <row r="437" spans="11:13" ht="18" customHeight="1">
      <c r="K437" s="171" t="s">
        <v>702</v>
      </c>
      <c r="L437" s="171"/>
      <c r="M437" s="171"/>
    </row>
    <row r="438" spans="11:13" ht="18" customHeight="1">
      <c r="K438" s="171" t="s">
        <v>702</v>
      </c>
      <c r="L438" s="171"/>
      <c r="M438" s="171"/>
    </row>
    <row r="439" spans="11:13" ht="18" customHeight="1">
      <c r="K439" s="171" t="s">
        <v>702</v>
      </c>
      <c r="L439" s="171"/>
      <c r="M439" s="171"/>
    </row>
    <row r="440" spans="11:13" ht="18" customHeight="1">
      <c r="K440" s="171" t="s">
        <v>702</v>
      </c>
      <c r="L440" s="171"/>
      <c r="M440" s="171"/>
    </row>
    <row r="441" spans="11:13" ht="18" customHeight="1">
      <c r="K441" s="171" t="s">
        <v>702</v>
      </c>
      <c r="L441" s="171"/>
      <c r="M441" s="171"/>
    </row>
    <row r="442" spans="11:13" ht="18" customHeight="1">
      <c r="K442" s="171" t="s">
        <v>702</v>
      </c>
      <c r="L442" s="171"/>
      <c r="M442" s="171"/>
    </row>
    <row r="443" spans="11:13" ht="18" customHeight="1">
      <c r="K443" s="171" t="s">
        <v>702</v>
      </c>
      <c r="L443" s="171"/>
      <c r="M443" s="171"/>
    </row>
    <row r="444" spans="11:13" ht="18" customHeight="1">
      <c r="K444" s="171" t="s">
        <v>702</v>
      </c>
      <c r="L444" s="171"/>
      <c r="M444" s="171"/>
    </row>
    <row r="445" spans="11:13" ht="18" customHeight="1">
      <c r="K445" s="171" t="s">
        <v>702</v>
      </c>
      <c r="L445" s="171"/>
      <c r="M445" s="171"/>
    </row>
    <row r="446" spans="11:13" ht="18" customHeight="1">
      <c r="K446" s="171" t="s">
        <v>702</v>
      </c>
      <c r="L446" s="171"/>
      <c r="M446" s="171"/>
    </row>
    <row r="447" spans="11:13" ht="18" customHeight="1">
      <c r="K447" s="171" t="s">
        <v>702</v>
      </c>
      <c r="L447" s="171"/>
      <c r="M447" s="171"/>
    </row>
    <row r="448" spans="11:13" ht="18" customHeight="1">
      <c r="K448" s="171" t="s">
        <v>702</v>
      </c>
      <c r="L448" s="171"/>
      <c r="M448" s="171"/>
    </row>
    <row r="449" spans="11:13" ht="18" customHeight="1">
      <c r="K449" s="171" t="s">
        <v>702</v>
      </c>
      <c r="L449" s="171"/>
      <c r="M449" s="171"/>
    </row>
    <row r="450" spans="11:13" ht="18" customHeight="1">
      <c r="K450" s="171" t="s">
        <v>702</v>
      </c>
      <c r="L450" s="171"/>
      <c r="M450" s="171"/>
    </row>
    <row r="451" spans="11:13" ht="18" customHeight="1">
      <c r="K451" s="171" t="s">
        <v>702</v>
      </c>
      <c r="L451" s="171"/>
      <c r="M451" s="171"/>
    </row>
    <row r="452" spans="11:13" ht="18" customHeight="1">
      <c r="K452" s="171" t="s">
        <v>702</v>
      </c>
      <c r="L452" s="171"/>
      <c r="M452" s="171"/>
    </row>
    <row r="453" spans="11:13" ht="18" customHeight="1">
      <c r="K453" s="171" t="s">
        <v>702</v>
      </c>
      <c r="L453" s="171"/>
      <c r="M453" s="171"/>
    </row>
    <row r="454" spans="11:13" ht="18" customHeight="1">
      <c r="K454" s="171" t="s">
        <v>702</v>
      </c>
      <c r="L454" s="171"/>
      <c r="M454" s="171"/>
    </row>
    <row r="455" spans="11:13" ht="18" customHeight="1">
      <c r="K455" s="171" t="s">
        <v>702</v>
      </c>
      <c r="L455" s="171"/>
      <c r="M455" s="171"/>
    </row>
    <row r="456" spans="11:13" ht="18" customHeight="1">
      <c r="K456" s="171" t="s">
        <v>702</v>
      </c>
      <c r="L456" s="171"/>
      <c r="M456" s="171"/>
    </row>
    <row r="457" spans="11:13" ht="18" customHeight="1">
      <c r="K457" s="171" t="s">
        <v>702</v>
      </c>
      <c r="L457" s="171"/>
      <c r="M457" s="171"/>
    </row>
    <row r="458" spans="11:13" ht="18" customHeight="1">
      <c r="K458" s="171" t="s">
        <v>702</v>
      </c>
      <c r="L458" s="171"/>
      <c r="M458" s="171"/>
    </row>
    <row r="459" spans="11:13" ht="18" customHeight="1">
      <c r="K459" s="171" t="s">
        <v>702</v>
      </c>
      <c r="L459" s="171"/>
      <c r="M459" s="171"/>
    </row>
    <row r="460" spans="11:13" ht="18" customHeight="1">
      <c r="K460" s="171" t="s">
        <v>702</v>
      </c>
      <c r="L460" s="171"/>
      <c r="M460" s="171"/>
    </row>
    <row r="461" spans="11:13" ht="18" customHeight="1">
      <c r="K461" s="171" t="s">
        <v>702</v>
      </c>
      <c r="L461" s="171"/>
      <c r="M461" s="171"/>
    </row>
    <row r="462" spans="11:13" ht="18" customHeight="1">
      <c r="K462" s="171" t="s">
        <v>702</v>
      </c>
      <c r="L462" s="171"/>
      <c r="M462" s="171"/>
    </row>
    <row r="463" spans="11:13" ht="18" customHeight="1">
      <c r="K463" s="171" t="s">
        <v>702</v>
      </c>
      <c r="L463" s="171"/>
      <c r="M463" s="171"/>
    </row>
    <row r="464" spans="11:13" ht="18" customHeight="1">
      <c r="K464" s="171" t="s">
        <v>702</v>
      </c>
      <c r="L464" s="171"/>
      <c r="M464" s="171"/>
    </row>
    <row r="465" spans="11:13" ht="18" customHeight="1">
      <c r="K465" s="171" t="s">
        <v>702</v>
      </c>
      <c r="L465" s="171"/>
      <c r="M465" s="171"/>
    </row>
    <row r="466" spans="11:13" ht="18" customHeight="1">
      <c r="K466" s="171" t="s">
        <v>702</v>
      </c>
      <c r="L466" s="171"/>
      <c r="M466" s="171"/>
    </row>
    <row r="467" spans="11:13" ht="18" customHeight="1">
      <c r="K467" s="171" t="s">
        <v>702</v>
      </c>
      <c r="L467" s="171"/>
      <c r="M467" s="171"/>
    </row>
    <row r="468" spans="11:13" ht="18" customHeight="1">
      <c r="K468" s="171" t="s">
        <v>702</v>
      </c>
      <c r="L468" s="171"/>
      <c r="M468" s="171"/>
    </row>
    <row r="469" spans="11:13" ht="18" customHeight="1">
      <c r="K469" s="171" t="s">
        <v>702</v>
      </c>
      <c r="L469" s="171"/>
      <c r="M469" s="171"/>
    </row>
    <row r="470" spans="11:13" ht="18" customHeight="1">
      <c r="K470" s="171" t="s">
        <v>702</v>
      </c>
      <c r="L470" s="171"/>
      <c r="M470" s="171"/>
    </row>
    <row r="471" spans="11:13" ht="18" customHeight="1">
      <c r="K471" s="171" t="s">
        <v>702</v>
      </c>
      <c r="L471" s="171"/>
      <c r="M471" s="171"/>
    </row>
    <row r="472" spans="11:13" ht="18" customHeight="1">
      <c r="K472" s="171" t="s">
        <v>702</v>
      </c>
      <c r="L472" s="171"/>
      <c r="M472" s="171"/>
    </row>
    <row r="473" spans="11:13" ht="18" customHeight="1">
      <c r="K473" s="171" t="s">
        <v>702</v>
      </c>
      <c r="L473" s="171"/>
      <c r="M473" s="171"/>
    </row>
    <row r="474" spans="11:13" ht="18" customHeight="1">
      <c r="K474" s="171" t="s">
        <v>702</v>
      </c>
      <c r="L474" s="171"/>
      <c r="M474" s="171"/>
    </row>
    <row r="475" spans="11:13" ht="18" customHeight="1">
      <c r="K475" s="171" t="s">
        <v>702</v>
      </c>
      <c r="L475" s="171"/>
      <c r="M475" s="171"/>
    </row>
    <row r="476" spans="11:13" ht="18" customHeight="1">
      <c r="K476" s="171" t="s">
        <v>702</v>
      </c>
      <c r="L476" s="171"/>
      <c r="M476" s="171"/>
    </row>
    <row r="477" spans="11:13" ht="18" customHeight="1">
      <c r="K477" s="171" t="s">
        <v>702</v>
      </c>
      <c r="L477" s="171"/>
      <c r="M477" s="171"/>
    </row>
    <row r="478" spans="11:13" ht="18" customHeight="1">
      <c r="K478" s="171" t="s">
        <v>702</v>
      </c>
      <c r="L478" s="171"/>
      <c r="M478" s="171"/>
    </row>
    <row r="479" spans="11:13" ht="18" customHeight="1">
      <c r="K479" s="171" t="s">
        <v>702</v>
      </c>
      <c r="L479" s="171"/>
      <c r="M479" s="171"/>
    </row>
    <row r="480" spans="11:13" ht="18" customHeight="1">
      <c r="K480" s="171" t="s">
        <v>702</v>
      </c>
      <c r="L480" s="171"/>
      <c r="M480" s="171"/>
    </row>
    <row r="481" spans="11:13" ht="18" customHeight="1">
      <c r="K481" s="171" t="s">
        <v>702</v>
      </c>
      <c r="L481" s="171"/>
      <c r="M481" s="171"/>
    </row>
    <row r="482" spans="11:13" ht="18" customHeight="1">
      <c r="K482" s="171" t="s">
        <v>702</v>
      </c>
      <c r="L482" s="171"/>
      <c r="M482" s="171"/>
    </row>
    <row r="483" spans="11:13" ht="18" customHeight="1">
      <c r="K483" s="171" t="s">
        <v>702</v>
      </c>
      <c r="L483" s="171"/>
      <c r="M483" s="171"/>
    </row>
    <row r="484" spans="11:13" ht="18" customHeight="1">
      <c r="K484" s="171" t="s">
        <v>702</v>
      </c>
      <c r="L484" s="171"/>
      <c r="M484" s="171"/>
    </row>
    <row r="485" spans="11:13" ht="18" customHeight="1">
      <c r="K485" s="171" t="s">
        <v>702</v>
      </c>
      <c r="L485" s="171"/>
      <c r="M485" s="171"/>
    </row>
    <row r="486" spans="11:13" ht="18" customHeight="1">
      <c r="K486" s="171" t="s">
        <v>702</v>
      </c>
      <c r="L486" s="171"/>
      <c r="M486" s="171"/>
    </row>
    <row r="487" spans="11:13" ht="18" customHeight="1">
      <c r="K487" s="171" t="s">
        <v>702</v>
      </c>
      <c r="L487" s="171"/>
      <c r="M487" s="171"/>
    </row>
    <row r="488" spans="11:13" ht="18" customHeight="1">
      <c r="K488" s="171" t="s">
        <v>702</v>
      </c>
      <c r="L488" s="171"/>
      <c r="M488" s="171"/>
    </row>
    <row r="489" spans="11:13" ht="18" customHeight="1">
      <c r="K489" s="171" t="s">
        <v>702</v>
      </c>
      <c r="L489" s="171"/>
      <c r="M489" s="171"/>
    </row>
    <row r="490" spans="11:13" ht="18" customHeight="1">
      <c r="K490" s="171" t="s">
        <v>702</v>
      </c>
      <c r="L490" s="171"/>
      <c r="M490" s="171"/>
    </row>
    <row r="491" spans="11:13" ht="18" customHeight="1">
      <c r="K491" s="171" t="s">
        <v>702</v>
      </c>
      <c r="L491" s="171"/>
      <c r="M491" s="171"/>
    </row>
    <row r="492" spans="11:13" ht="18" customHeight="1">
      <c r="K492" s="171" t="s">
        <v>702</v>
      </c>
      <c r="L492" s="171"/>
      <c r="M492" s="171"/>
    </row>
    <row r="493" spans="11:13" ht="18" customHeight="1">
      <c r="K493" s="171" t="s">
        <v>702</v>
      </c>
      <c r="L493" s="171"/>
      <c r="M493" s="171"/>
    </row>
    <row r="494" spans="11:13" ht="18" customHeight="1">
      <c r="K494" s="171" t="s">
        <v>702</v>
      </c>
      <c r="L494" s="171"/>
      <c r="M494" s="171"/>
    </row>
    <row r="495" spans="11:13" ht="18" customHeight="1">
      <c r="K495" s="171" t="s">
        <v>702</v>
      </c>
      <c r="L495" s="171"/>
      <c r="M495" s="171"/>
    </row>
    <row r="496" spans="11:13" ht="18" customHeight="1">
      <c r="K496" s="171" t="s">
        <v>702</v>
      </c>
      <c r="L496" s="171"/>
      <c r="M496" s="171"/>
    </row>
    <row r="497" spans="11:13" ht="18" customHeight="1">
      <c r="K497" s="171" t="s">
        <v>702</v>
      </c>
      <c r="L497" s="171"/>
      <c r="M497" s="171"/>
    </row>
    <row r="498" spans="11:13" ht="18" customHeight="1">
      <c r="K498" s="171" t="s">
        <v>702</v>
      </c>
      <c r="L498" s="171"/>
      <c r="M498" s="171"/>
    </row>
    <row r="499" spans="11:13" ht="18" customHeight="1">
      <c r="K499" s="171" t="s">
        <v>702</v>
      </c>
      <c r="L499" s="171"/>
      <c r="M499" s="171"/>
    </row>
    <row r="500" spans="11:13" ht="18" customHeight="1">
      <c r="K500" s="171" t="s">
        <v>702</v>
      </c>
      <c r="L500" s="171"/>
      <c r="M500" s="171"/>
    </row>
    <row r="501" spans="11:13" ht="18" customHeight="1">
      <c r="K501" s="171" t="s">
        <v>702</v>
      </c>
      <c r="L501" s="171"/>
      <c r="M501" s="171"/>
    </row>
    <row r="502" spans="11:13" ht="18" customHeight="1">
      <c r="K502" s="171" t="s">
        <v>702</v>
      </c>
      <c r="L502" s="171"/>
      <c r="M502" s="171"/>
    </row>
    <row r="503" spans="11:13" ht="18" customHeight="1">
      <c r="K503" s="171" t="s">
        <v>702</v>
      </c>
      <c r="L503" s="171"/>
      <c r="M503" s="171"/>
    </row>
    <row r="504" spans="11:13" ht="18" customHeight="1">
      <c r="K504" s="171" t="s">
        <v>702</v>
      </c>
      <c r="L504" s="171"/>
      <c r="M504" s="171"/>
    </row>
    <row r="505" spans="11:13" ht="18" customHeight="1">
      <c r="K505" s="171" t="s">
        <v>702</v>
      </c>
      <c r="L505" s="171"/>
      <c r="M505" s="171"/>
    </row>
    <row r="506" spans="11:13" ht="18" customHeight="1">
      <c r="K506" s="171" t="s">
        <v>702</v>
      </c>
      <c r="L506" s="171"/>
      <c r="M506" s="171"/>
    </row>
    <row r="507" spans="11:13" ht="18" customHeight="1">
      <c r="K507" s="171" t="s">
        <v>702</v>
      </c>
      <c r="L507" s="171"/>
      <c r="M507" s="171"/>
    </row>
    <row r="508" spans="11:13" ht="18" customHeight="1">
      <c r="K508" s="171" t="s">
        <v>702</v>
      </c>
      <c r="L508" s="171"/>
      <c r="M508" s="171"/>
    </row>
    <row r="509" spans="11:13" ht="18" customHeight="1">
      <c r="K509" s="171" t="s">
        <v>702</v>
      </c>
      <c r="L509" s="171"/>
      <c r="M509" s="171"/>
    </row>
    <row r="510" spans="11:13" ht="18" customHeight="1">
      <c r="K510" s="171" t="s">
        <v>702</v>
      </c>
      <c r="L510" s="171"/>
      <c r="M510" s="171"/>
    </row>
    <row r="511" spans="11:13" ht="18" customHeight="1">
      <c r="K511" s="171" t="s">
        <v>702</v>
      </c>
      <c r="L511" s="171"/>
      <c r="M511" s="171"/>
    </row>
    <row r="512" spans="11:13" ht="18" customHeight="1">
      <c r="K512" s="171" t="s">
        <v>702</v>
      </c>
      <c r="L512" s="171"/>
      <c r="M512" s="171"/>
    </row>
    <row r="513" spans="11:13" ht="18" customHeight="1">
      <c r="K513" s="171" t="s">
        <v>702</v>
      </c>
      <c r="L513" s="171"/>
      <c r="M513" s="171"/>
    </row>
    <row r="514" spans="11:13" ht="18" customHeight="1">
      <c r="K514" s="171" t="s">
        <v>702</v>
      </c>
      <c r="L514" s="171"/>
      <c r="M514" s="171"/>
    </row>
    <row r="515" spans="11:13" ht="18" customHeight="1">
      <c r="K515" s="171" t="s">
        <v>702</v>
      </c>
      <c r="L515" s="171"/>
      <c r="M515" s="171"/>
    </row>
    <row r="516" spans="11:13" ht="18" customHeight="1">
      <c r="K516" s="171" t="s">
        <v>702</v>
      </c>
      <c r="L516" s="171"/>
      <c r="M516" s="171"/>
    </row>
    <row r="517" spans="11:13" ht="18" customHeight="1">
      <c r="K517" s="171" t="s">
        <v>702</v>
      </c>
      <c r="L517" s="171"/>
      <c r="M517" s="171"/>
    </row>
    <row r="518" spans="11:13" ht="18" customHeight="1">
      <c r="K518" s="171" t="s">
        <v>702</v>
      </c>
      <c r="L518" s="171"/>
      <c r="M518" s="171"/>
    </row>
    <row r="519" spans="11:13" ht="18" customHeight="1">
      <c r="K519" s="171" t="s">
        <v>702</v>
      </c>
      <c r="L519" s="171"/>
      <c r="M519" s="171"/>
    </row>
    <row r="520" spans="11:13" ht="18" customHeight="1">
      <c r="K520" s="171" t="s">
        <v>702</v>
      </c>
      <c r="L520" s="171"/>
      <c r="M520" s="171"/>
    </row>
    <row r="521" spans="11:13" ht="18" customHeight="1">
      <c r="K521" s="171" t="s">
        <v>702</v>
      </c>
      <c r="L521" s="171"/>
      <c r="M521" s="171"/>
    </row>
    <row r="522" spans="11:13" ht="18" customHeight="1">
      <c r="K522" s="171" t="s">
        <v>702</v>
      </c>
      <c r="L522" s="171"/>
      <c r="M522" s="171"/>
    </row>
    <row r="523" spans="11:13" ht="18" customHeight="1">
      <c r="K523" s="171" t="s">
        <v>702</v>
      </c>
      <c r="L523" s="171"/>
      <c r="M523" s="171"/>
    </row>
    <row r="524" spans="11:13" ht="18" customHeight="1">
      <c r="K524" s="171" t="s">
        <v>702</v>
      </c>
      <c r="L524" s="171"/>
      <c r="M524" s="171"/>
    </row>
    <row r="525" spans="11:13" ht="18" customHeight="1">
      <c r="K525" s="171" t="s">
        <v>702</v>
      </c>
      <c r="L525" s="171"/>
      <c r="M525" s="171"/>
    </row>
    <row r="526" spans="11:13" ht="18" customHeight="1">
      <c r="K526" s="171" t="s">
        <v>702</v>
      </c>
      <c r="L526" s="171"/>
      <c r="M526" s="171"/>
    </row>
    <row r="527" spans="11:13" ht="18" customHeight="1">
      <c r="K527" s="171" t="s">
        <v>702</v>
      </c>
      <c r="L527" s="171"/>
      <c r="M527" s="171"/>
    </row>
    <row r="528" spans="11:13" ht="18" customHeight="1">
      <c r="K528" s="171" t="s">
        <v>702</v>
      </c>
      <c r="L528" s="171"/>
      <c r="M528" s="171"/>
    </row>
    <row r="529" spans="11:13" ht="18" customHeight="1">
      <c r="K529" s="171" t="s">
        <v>702</v>
      </c>
      <c r="L529" s="171"/>
      <c r="M529" s="171"/>
    </row>
    <row r="530" spans="11:13" ht="18" customHeight="1">
      <c r="K530" s="171" t="s">
        <v>702</v>
      </c>
      <c r="L530" s="171"/>
      <c r="M530" s="171"/>
    </row>
    <row r="531" spans="11:13" ht="18" customHeight="1">
      <c r="K531" s="171" t="s">
        <v>702</v>
      </c>
      <c r="L531" s="171"/>
      <c r="M531" s="171"/>
    </row>
    <row r="532" spans="11:13" ht="18" customHeight="1">
      <c r="K532" s="171" t="s">
        <v>702</v>
      </c>
      <c r="L532" s="171"/>
      <c r="M532" s="171"/>
    </row>
    <row r="533" spans="11:13" ht="18" customHeight="1">
      <c r="K533" s="171" t="s">
        <v>702</v>
      </c>
      <c r="L533" s="171"/>
      <c r="M533" s="171"/>
    </row>
    <row r="534" spans="11:13" ht="18" customHeight="1">
      <c r="K534" s="171" t="s">
        <v>702</v>
      </c>
      <c r="L534" s="171"/>
      <c r="M534" s="171"/>
    </row>
    <row r="535" spans="11:13" ht="18" customHeight="1">
      <c r="K535" s="171" t="s">
        <v>702</v>
      </c>
      <c r="L535" s="171"/>
      <c r="M535" s="171"/>
    </row>
    <row r="536" spans="11:13" ht="18" customHeight="1">
      <c r="K536" s="171" t="s">
        <v>702</v>
      </c>
      <c r="L536" s="171"/>
      <c r="M536" s="171"/>
    </row>
    <row r="537" spans="11:13" ht="18" customHeight="1">
      <c r="K537" s="171" t="s">
        <v>702</v>
      </c>
      <c r="L537" s="171"/>
      <c r="M537" s="171"/>
    </row>
    <row r="538" spans="11:13" ht="18" customHeight="1">
      <c r="K538" s="171" t="s">
        <v>702</v>
      </c>
      <c r="L538" s="171"/>
      <c r="M538" s="171"/>
    </row>
    <row r="539" spans="11:13" ht="18" customHeight="1">
      <c r="K539" s="171" t="s">
        <v>702</v>
      </c>
      <c r="L539" s="171"/>
      <c r="M539" s="171"/>
    </row>
    <row r="540" spans="11:13" ht="18" customHeight="1">
      <c r="K540" s="171" t="s">
        <v>702</v>
      </c>
      <c r="L540" s="171"/>
      <c r="M540" s="171"/>
    </row>
    <row r="541" spans="11:13" ht="18" customHeight="1">
      <c r="K541" s="171" t="s">
        <v>702</v>
      </c>
      <c r="L541" s="171"/>
      <c r="M541" s="171"/>
    </row>
    <row r="542" spans="11:13" ht="18" customHeight="1">
      <c r="K542" s="171" t="s">
        <v>702</v>
      </c>
      <c r="L542" s="171"/>
      <c r="M542" s="171"/>
    </row>
    <row r="543" spans="11:13" ht="18" customHeight="1">
      <c r="K543" s="171" t="s">
        <v>702</v>
      </c>
      <c r="L543" s="171"/>
      <c r="M543" s="171"/>
    </row>
    <row r="544" spans="11:13" ht="18" customHeight="1">
      <c r="K544" s="171" t="s">
        <v>702</v>
      </c>
      <c r="L544" s="171"/>
      <c r="M544" s="171"/>
    </row>
    <row r="545" spans="11:13" ht="18" customHeight="1">
      <c r="K545" s="171" t="s">
        <v>702</v>
      </c>
      <c r="L545" s="171"/>
      <c r="M545" s="171"/>
    </row>
    <row r="546" spans="11:13" ht="18" customHeight="1">
      <c r="K546" s="171" t="s">
        <v>702</v>
      </c>
      <c r="L546" s="171"/>
      <c r="M546" s="171"/>
    </row>
    <row r="547" spans="11:13" ht="18" customHeight="1">
      <c r="K547" s="171" t="s">
        <v>702</v>
      </c>
      <c r="L547" s="171"/>
      <c r="M547" s="171"/>
    </row>
    <row r="548" spans="11:13" ht="18" customHeight="1">
      <c r="K548" s="171" t="s">
        <v>702</v>
      </c>
      <c r="L548" s="171"/>
      <c r="M548" s="171"/>
    </row>
    <row r="549" spans="11:13" ht="18" customHeight="1">
      <c r="K549" s="171" t="s">
        <v>702</v>
      </c>
      <c r="L549" s="171"/>
      <c r="M549" s="171"/>
    </row>
    <row r="550" spans="11:13" ht="18" customHeight="1">
      <c r="K550" s="171" t="s">
        <v>702</v>
      </c>
      <c r="L550" s="171"/>
      <c r="M550" s="171"/>
    </row>
    <row r="551" spans="11:13" ht="18" customHeight="1">
      <c r="K551" s="171" t="s">
        <v>702</v>
      </c>
      <c r="L551" s="171"/>
      <c r="M551" s="171"/>
    </row>
    <row r="552" spans="11:13" ht="18" customHeight="1">
      <c r="K552" s="171" t="s">
        <v>702</v>
      </c>
      <c r="L552" s="171"/>
      <c r="M552" s="171"/>
    </row>
    <row r="553" spans="11:13" ht="18" customHeight="1">
      <c r="K553" s="171" t="s">
        <v>702</v>
      </c>
      <c r="L553" s="171"/>
      <c r="M553" s="171"/>
    </row>
    <row r="554" spans="11:13" ht="18" customHeight="1">
      <c r="K554" s="171" t="s">
        <v>702</v>
      </c>
      <c r="L554" s="171"/>
      <c r="M554" s="171"/>
    </row>
    <row r="555" spans="11:13" ht="18" customHeight="1">
      <c r="K555" s="171" t="s">
        <v>702</v>
      </c>
      <c r="L555" s="171"/>
      <c r="M555" s="171"/>
    </row>
    <row r="556" spans="11:13" ht="18" customHeight="1">
      <c r="K556" s="171" t="s">
        <v>702</v>
      </c>
      <c r="L556" s="171"/>
      <c r="M556" s="171"/>
    </row>
    <row r="557" spans="11:13" ht="18" customHeight="1">
      <c r="K557" s="171" t="s">
        <v>702</v>
      </c>
      <c r="L557" s="171"/>
      <c r="M557" s="171"/>
    </row>
    <row r="558" spans="11:13" ht="18" customHeight="1">
      <c r="K558" s="171" t="s">
        <v>702</v>
      </c>
      <c r="L558" s="171"/>
      <c r="M558" s="171"/>
    </row>
    <row r="559" spans="11:13" ht="18" customHeight="1">
      <c r="K559" s="171" t="s">
        <v>702</v>
      </c>
      <c r="L559" s="171"/>
      <c r="M559" s="171"/>
    </row>
    <row r="560" spans="11:13" ht="18" customHeight="1">
      <c r="K560" s="171" t="s">
        <v>702</v>
      </c>
      <c r="L560" s="171"/>
      <c r="M560" s="171"/>
    </row>
    <row r="561" spans="11:13" ht="18" customHeight="1">
      <c r="K561" s="171" t="s">
        <v>702</v>
      </c>
      <c r="L561" s="171"/>
      <c r="M561" s="171"/>
    </row>
    <row r="562" spans="11:13" ht="18" customHeight="1">
      <c r="K562" s="171" t="s">
        <v>702</v>
      </c>
      <c r="L562" s="171"/>
      <c r="M562" s="171"/>
    </row>
    <row r="563" spans="11:13" ht="18" customHeight="1">
      <c r="K563" s="171" t="s">
        <v>702</v>
      </c>
      <c r="L563" s="171"/>
      <c r="M563" s="171"/>
    </row>
    <row r="564" spans="11:13" ht="18" customHeight="1">
      <c r="K564" s="171" t="s">
        <v>702</v>
      </c>
      <c r="L564" s="171"/>
      <c r="M564" s="171"/>
    </row>
    <row r="565" spans="11:13" ht="18" customHeight="1">
      <c r="K565" s="171" t="s">
        <v>702</v>
      </c>
      <c r="L565" s="171"/>
      <c r="M565" s="171"/>
    </row>
    <row r="566" spans="11:13" ht="18" customHeight="1">
      <c r="K566" s="171" t="s">
        <v>702</v>
      </c>
      <c r="L566" s="171"/>
      <c r="M566" s="171"/>
    </row>
    <row r="567" spans="11:13" ht="18" customHeight="1">
      <c r="K567" s="171" t="s">
        <v>702</v>
      </c>
      <c r="L567" s="171"/>
      <c r="M567" s="171"/>
    </row>
    <row r="568" spans="11:13" ht="18" customHeight="1">
      <c r="K568" s="171" t="s">
        <v>702</v>
      </c>
      <c r="L568" s="171"/>
      <c r="M568" s="171"/>
    </row>
    <row r="569" spans="11:13" ht="18" customHeight="1">
      <c r="K569" s="171" t="s">
        <v>702</v>
      </c>
      <c r="L569" s="171"/>
      <c r="M569" s="171"/>
    </row>
    <row r="570" spans="11:13" ht="18" customHeight="1">
      <c r="K570" s="171" t="s">
        <v>702</v>
      </c>
      <c r="L570" s="171"/>
      <c r="M570" s="171"/>
    </row>
    <row r="571" spans="11:13" ht="18" customHeight="1">
      <c r="K571" s="171" t="s">
        <v>702</v>
      </c>
      <c r="L571" s="171"/>
      <c r="M571" s="171"/>
    </row>
    <row r="572" spans="11:13" ht="18" customHeight="1">
      <c r="K572" s="171" t="s">
        <v>702</v>
      </c>
      <c r="L572" s="171"/>
      <c r="M572" s="171"/>
    </row>
    <row r="573" spans="11:13" ht="18" customHeight="1">
      <c r="K573" s="171" t="s">
        <v>702</v>
      </c>
      <c r="L573" s="171"/>
      <c r="M573" s="171"/>
    </row>
    <row r="574" spans="11:13" ht="18" customHeight="1">
      <c r="K574" s="171" t="s">
        <v>702</v>
      </c>
      <c r="L574" s="171"/>
      <c r="M574" s="171"/>
    </row>
    <row r="575" spans="11:13" ht="18" customHeight="1">
      <c r="K575" s="171" t="s">
        <v>702</v>
      </c>
      <c r="L575" s="171"/>
      <c r="M575" s="171"/>
    </row>
    <row r="576" spans="11:13" ht="18" customHeight="1">
      <c r="K576" s="171" t="s">
        <v>702</v>
      </c>
      <c r="L576" s="171"/>
      <c r="M576" s="171"/>
    </row>
    <row r="577" spans="11:13" ht="18" customHeight="1">
      <c r="K577" s="171" t="s">
        <v>702</v>
      </c>
      <c r="L577" s="171"/>
      <c r="M577" s="171"/>
    </row>
    <row r="578" spans="11:13" ht="18" customHeight="1">
      <c r="K578" s="171" t="s">
        <v>702</v>
      </c>
      <c r="L578" s="171"/>
      <c r="M578" s="171"/>
    </row>
    <row r="579" spans="11:13" ht="18" customHeight="1">
      <c r="K579" s="171" t="s">
        <v>702</v>
      </c>
      <c r="L579" s="171"/>
      <c r="M579" s="171"/>
    </row>
    <row r="580" spans="11:13" ht="18" customHeight="1">
      <c r="K580" s="171" t="s">
        <v>702</v>
      </c>
      <c r="L580" s="171"/>
      <c r="M580" s="171"/>
    </row>
    <row r="581" spans="11:13" ht="18" customHeight="1">
      <c r="K581" s="171" t="s">
        <v>702</v>
      </c>
      <c r="L581" s="171"/>
      <c r="M581" s="171"/>
    </row>
    <row r="582" spans="11:13" ht="18" customHeight="1">
      <c r="K582" s="171" t="s">
        <v>702</v>
      </c>
      <c r="L582" s="171"/>
      <c r="M582" s="171"/>
    </row>
    <row r="583" spans="11:13" ht="18" customHeight="1">
      <c r="K583" s="171" t="s">
        <v>702</v>
      </c>
      <c r="L583" s="171"/>
      <c r="M583" s="171"/>
    </row>
    <row r="584" spans="11:13" ht="18" customHeight="1">
      <c r="K584" s="171" t="s">
        <v>702</v>
      </c>
      <c r="L584" s="171"/>
      <c r="M584" s="171"/>
    </row>
    <row r="585" spans="11:13" ht="18" customHeight="1">
      <c r="K585" s="171" t="s">
        <v>702</v>
      </c>
      <c r="L585" s="171"/>
      <c r="M585" s="171"/>
    </row>
    <row r="586" spans="11:13" ht="18" customHeight="1">
      <c r="K586" s="171" t="s">
        <v>702</v>
      </c>
      <c r="L586" s="171"/>
      <c r="M586" s="171"/>
    </row>
    <row r="587" spans="11:13" ht="18" customHeight="1">
      <c r="K587" s="171" t="s">
        <v>702</v>
      </c>
      <c r="L587" s="171"/>
      <c r="M587" s="171"/>
    </row>
    <row r="588" spans="11:13" ht="18" customHeight="1">
      <c r="K588" s="171" t="s">
        <v>702</v>
      </c>
      <c r="L588" s="171"/>
      <c r="M588" s="171"/>
    </row>
    <row r="589" spans="11:13" ht="18" customHeight="1">
      <c r="K589" s="171" t="s">
        <v>702</v>
      </c>
      <c r="L589" s="171"/>
      <c r="M589" s="171"/>
    </row>
    <row r="590" spans="11:13" ht="18" customHeight="1">
      <c r="K590" s="171" t="s">
        <v>702</v>
      </c>
      <c r="L590" s="171"/>
      <c r="M590" s="171"/>
    </row>
    <row r="591" spans="11:13" ht="18" customHeight="1">
      <c r="K591" s="171" t="s">
        <v>702</v>
      </c>
      <c r="L591" s="171"/>
      <c r="M591" s="171"/>
    </row>
    <row r="592" spans="11:13" ht="18" customHeight="1">
      <c r="K592" s="171" t="s">
        <v>702</v>
      </c>
      <c r="L592" s="171"/>
      <c r="M592" s="171"/>
    </row>
    <row r="593" spans="11:13" ht="18" customHeight="1">
      <c r="K593" s="171" t="s">
        <v>702</v>
      </c>
      <c r="L593" s="171"/>
      <c r="M593" s="171"/>
    </row>
    <row r="594" spans="11:13" ht="18" customHeight="1">
      <c r="K594" s="171" t="s">
        <v>702</v>
      </c>
      <c r="L594" s="171"/>
      <c r="M594" s="171"/>
    </row>
    <row r="595" spans="11:13" ht="18" customHeight="1">
      <c r="K595" s="171" t="s">
        <v>702</v>
      </c>
      <c r="L595" s="171"/>
      <c r="M595" s="171"/>
    </row>
    <row r="596" spans="11:13" ht="18" customHeight="1">
      <c r="K596" s="171" t="s">
        <v>702</v>
      </c>
      <c r="L596" s="171"/>
      <c r="M596" s="171"/>
    </row>
    <row r="597" spans="11:13" ht="18" customHeight="1">
      <c r="K597" s="171" t="s">
        <v>702</v>
      </c>
      <c r="L597" s="171"/>
      <c r="M597" s="171"/>
    </row>
    <row r="598" spans="11:13" ht="18" customHeight="1">
      <c r="K598" s="171" t="s">
        <v>702</v>
      </c>
      <c r="L598" s="171"/>
      <c r="M598" s="171"/>
    </row>
    <row r="599" spans="11:13" ht="18" customHeight="1">
      <c r="K599" s="171" t="s">
        <v>702</v>
      </c>
      <c r="L599" s="171"/>
      <c r="M599" s="171"/>
    </row>
    <row r="600" spans="11:13" ht="18" customHeight="1">
      <c r="K600" s="171" t="s">
        <v>702</v>
      </c>
      <c r="L600" s="171"/>
      <c r="M600" s="171"/>
    </row>
    <row r="601" spans="11:13" ht="18" customHeight="1">
      <c r="K601" s="171" t="s">
        <v>702</v>
      </c>
      <c r="L601" s="171"/>
      <c r="M601" s="171"/>
    </row>
    <row r="602" spans="11:13" ht="18" customHeight="1">
      <c r="K602" s="171" t="s">
        <v>702</v>
      </c>
      <c r="L602" s="171"/>
      <c r="M602" s="171"/>
    </row>
    <row r="603" spans="11:13" ht="18" customHeight="1">
      <c r="K603" s="171" t="s">
        <v>702</v>
      </c>
      <c r="L603" s="171"/>
      <c r="M603" s="171"/>
    </row>
    <row r="604" spans="11:13" ht="18" customHeight="1">
      <c r="K604" s="171" t="s">
        <v>702</v>
      </c>
      <c r="L604" s="171"/>
      <c r="M604" s="171"/>
    </row>
    <row r="605" spans="11:13" ht="18" customHeight="1">
      <c r="K605" s="171" t="s">
        <v>702</v>
      </c>
      <c r="L605" s="171"/>
      <c r="M605" s="171"/>
    </row>
    <row r="606" spans="11:13" ht="18" customHeight="1">
      <c r="K606" s="171" t="s">
        <v>702</v>
      </c>
      <c r="L606" s="171"/>
      <c r="M606" s="171"/>
    </row>
    <row r="607" spans="11:13" ht="18" customHeight="1">
      <c r="K607" s="171" t="s">
        <v>702</v>
      </c>
      <c r="L607" s="171"/>
      <c r="M607" s="171"/>
    </row>
    <row r="608" spans="11:13" ht="18" customHeight="1">
      <c r="K608" s="171" t="s">
        <v>702</v>
      </c>
      <c r="L608" s="171"/>
      <c r="M608" s="171"/>
    </row>
    <row r="609" spans="11:13" ht="18" customHeight="1">
      <c r="K609" s="171" t="s">
        <v>702</v>
      </c>
      <c r="L609" s="171"/>
      <c r="M609" s="171"/>
    </row>
    <row r="610" spans="11:13" ht="18" customHeight="1">
      <c r="K610" s="171" t="s">
        <v>702</v>
      </c>
      <c r="L610" s="171"/>
      <c r="M610" s="171"/>
    </row>
    <row r="611" spans="11:13" ht="18" customHeight="1">
      <c r="K611" s="171" t="s">
        <v>702</v>
      </c>
      <c r="L611" s="171"/>
      <c r="M611" s="171"/>
    </row>
    <row r="612" spans="11:13" ht="18" customHeight="1">
      <c r="K612" s="171" t="s">
        <v>702</v>
      </c>
      <c r="L612" s="171"/>
      <c r="M612" s="171"/>
    </row>
    <row r="613" spans="11:13" ht="18" customHeight="1">
      <c r="K613" s="171" t="s">
        <v>702</v>
      </c>
      <c r="L613" s="171"/>
      <c r="M613" s="171"/>
    </row>
    <row r="614" spans="11:13" ht="18" customHeight="1">
      <c r="K614" s="171" t="s">
        <v>702</v>
      </c>
      <c r="L614" s="171"/>
      <c r="M614" s="171"/>
    </row>
    <row r="615" spans="11:13" ht="18" customHeight="1">
      <c r="K615" s="171" t="s">
        <v>702</v>
      </c>
      <c r="L615" s="171"/>
      <c r="M615" s="171"/>
    </row>
    <row r="616" spans="11:13" ht="18" customHeight="1">
      <c r="K616" s="171" t="s">
        <v>702</v>
      </c>
      <c r="L616" s="171"/>
      <c r="M616" s="171"/>
    </row>
    <row r="617" spans="11:13" ht="18" customHeight="1">
      <c r="K617" s="171" t="s">
        <v>702</v>
      </c>
      <c r="L617" s="171"/>
      <c r="M617" s="171"/>
    </row>
    <row r="618" spans="11:13" ht="18" customHeight="1">
      <c r="K618" s="171" t="s">
        <v>702</v>
      </c>
      <c r="L618" s="171"/>
      <c r="M618" s="171"/>
    </row>
    <row r="619" spans="11:13" ht="18" customHeight="1">
      <c r="K619" s="171" t="s">
        <v>702</v>
      </c>
      <c r="L619" s="171"/>
      <c r="M619" s="171"/>
    </row>
    <row r="620" spans="11:13" ht="18" customHeight="1">
      <c r="K620" s="171" t="s">
        <v>702</v>
      </c>
      <c r="L620" s="171"/>
      <c r="M620" s="171"/>
    </row>
    <row r="621" spans="11:13" ht="18" customHeight="1">
      <c r="K621" s="171" t="s">
        <v>702</v>
      </c>
      <c r="L621" s="171"/>
      <c r="M621" s="171"/>
    </row>
    <row r="622" spans="11:13" ht="18" customHeight="1">
      <c r="K622" s="171" t="s">
        <v>702</v>
      </c>
      <c r="L622" s="171"/>
      <c r="M622" s="171"/>
    </row>
    <row r="623" spans="11:13" ht="18" customHeight="1">
      <c r="K623" s="171" t="s">
        <v>702</v>
      </c>
      <c r="L623" s="171"/>
      <c r="M623" s="171"/>
    </row>
    <row r="624" spans="11:13" ht="18" customHeight="1">
      <c r="K624" s="171" t="s">
        <v>702</v>
      </c>
      <c r="L624" s="171"/>
      <c r="M624" s="171"/>
    </row>
    <row r="625" spans="11:13" ht="18" customHeight="1">
      <c r="K625" s="171" t="s">
        <v>702</v>
      </c>
      <c r="L625" s="171"/>
      <c r="M625" s="171"/>
    </row>
    <row r="626" spans="11:13" ht="18" customHeight="1">
      <c r="K626" s="171" t="s">
        <v>702</v>
      </c>
      <c r="L626" s="171"/>
      <c r="M626" s="171"/>
    </row>
    <row r="627" spans="11:13" ht="18" customHeight="1">
      <c r="K627" s="171" t="s">
        <v>702</v>
      </c>
      <c r="L627" s="171"/>
      <c r="M627" s="171"/>
    </row>
    <row r="628" spans="11:13" ht="18" customHeight="1">
      <c r="K628" s="171" t="s">
        <v>702</v>
      </c>
      <c r="L628" s="171"/>
      <c r="M628" s="171"/>
    </row>
    <row r="629" spans="11:13" ht="18" customHeight="1">
      <c r="K629" s="171" t="s">
        <v>702</v>
      </c>
      <c r="L629" s="171"/>
      <c r="M629" s="171"/>
    </row>
    <row r="630" spans="11:13" ht="18" customHeight="1">
      <c r="K630" s="171" t="s">
        <v>702</v>
      </c>
      <c r="L630" s="171"/>
      <c r="M630" s="171"/>
    </row>
    <row r="631" spans="11:13" ht="18" customHeight="1">
      <c r="K631" s="171" t="s">
        <v>702</v>
      </c>
      <c r="L631" s="171"/>
      <c r="M631" s="171"/>
    </row>
    <row r="632" spans="11:13" ht="18" customHeight="1">
      <c r="K632" s="171" t="s">
        <v>702</v>
      </c>
      <c r="L632" s="171"/>
      <c r="M632" s="171"/>
    </row>
    <row r="633" spans="11:13" ht="18" customHeight="1">
      <c r="K633" s="171" t="s">
        <v>702</v>
      </c>
      <c r="L633" s="171"/>
      <c r="M633" s="171"/>
    </row>
    <row r="634" spans="11:13" ht="18" customHeight="1">
      <c r="K634" s="171" t="s">
        <v>702</v>
      </c>
      <c r="L634" s="171"/>
      <c r="M634" s="171"/>
    </row>
    <row r="635" spans="11:13" ht="18" customHeight="1">
      <c r="K635" s="171" t="s">
        <v>702</v>
      </c>
      <c r="L635" s="171"/>
      <c r="M635" s="171"/>
    </row>
    <row r="636" spans="11:13" ht="18" customHeight="1">
      <c r="K636" s="171" t="s">
        <v>702</v>
      </c>
      <c r="L636" s="171"/>
      <c r="M636" s="171"/>
    </row>
    <row r="637" spans="11:13" ht="18" customHeight="1">
      <c r="K637" s="171" t="s">
        <v>702</v>
      </c>
      <c r="L637" s="171"/>
      <c r="M637" s="171"/>
    </row>
    <row r="638" spans="11:13" ht="18" customHeight="1">
      <c r="K638" s="171" t="s">
        <v>702</v>
      </c>
      <c r="L638" s="171"/>
      <c r="M638" s="171"/>
    </row>
    <row r="639" spans="11:13" ht="18" customHeight="1">
      <c r="K639" s="171" t="s">
        <v>702</v>
      </c>
      <c r="L639" s="171"/>
      <c r="M639" s="171"/>
    </row>
    <row r="640" spans="11:13" ht="18" customHeight="1">
      <c r="K640" s="171" t="s">
        <v>702</v>
      </c>
      <c r="L640" s="171"/>
      <c r="M640" s="171"/>
    </row>
    <row r="641" spans="11:13" ht="18" customHeight="1">
      <c r="K641" s="171" t="s">
        <v>702</v>
      </c>
      <c r="L641" s="171"/>
      <c r="M641" s="171"/>
    </row>
    <row r="642" spans="11:13" ht="18" customHeight="1">
      <c r="K642" s="171" t="s">
        <v>702</v>
      </c>
      <c r="L642" s="171"/>
      <c r="M642" s="171"/>
    </row>
    <row r="643" spans="11:13" ht="18" customHeight="1">
      <c r="K643" s="171" t="s">
        <v>702</v>
      </c>
      <c r="L643" s="171"/>
      <c r="M643" s="171"/>
    </row>
    <row r="644" spans="11:13" ht="18" customHeight="1">
      <c r="K644" s="171" t="s">
        <v>702</v>
      </c>
      <c r="L644" s="171"/>
      <c r="M644" s="171"/>
    </row>
    <row r="645" spans="11:13" ht="18" customHeight="1">
      <c r="K645" s="171" t="s">
        <v>702</v>
      </c>
      <c r="L645" s="171"/>
      <c r="M645" s="171"/>
    </row>
    <row r="646" spans="11:13" ht="18" customHeight="1">
      <c r="K646" s="171" t="s">
        <v>702</v>
      </c>
      <c r="L646" s="171"/>
      <c r="M646" s="171"/>
    </row>
    <row r="647" spans="11:13" ht="18" customHeight="1">
      <c r="K647" s="171" t="s">
        <v>702</v>
      </c>
      <c r="L647" s="171"/>
      <c r="M647" s="171"/>
    </row>
    <row r="648" spans="11:13" ht="18" customHeight="1">
      <c r="K648" s="171" t="s">
        <v>702</v>
      </c>
      <c r="L648" s="171"/>
      <c r="M648" s="171"/>
    </row>
    <row r="649" spans="11:13" ht="18" customHeight="1">
      <c r="K649" s="171" t="s">
        <v>702</v>
      </c>
      <c r="L649" s="171"/>
      <c r="M649" s="171"/>
    </row>
    <row r="650" spans="11:13" ht="18" customHeight="1">
      <c r="K650" s="171" t="s">
        <v>702</v>
      </c>
      <c r="L650" s="171"/>
      <c r="M650" s="171"/>
    </row>
    <row r="651" spans="11:13" ht="18" customHeight="1">
      <c r="K651" s="171" t="s">
        <v>702</v>
      </c>
      <c r="L651" s="171"/>
      <c r="M651" s="171"/>
    </row>
    <row r="652" spans="11:13" ht="18" customHeight="1">
      <c r="K652" s="171" t="s">
        <v>702</v>
      </c>
      <c r="L652" s="171"/>
      <c r="M652" s="171"/>
    </row>
    <row r="653" spans="11:13" ht="18" customHeight="1">
      <c r="K653" s="171" t="s">
        <v>702</v>
      </c>
      <c r="L653" s="171"/>
      <c r="M653" s="171"/>
    </row>
    <row r="654" spans="11:13" ht="18" customHeight="1">
      <c r="K654" s="171" t="s">
        <v>702</v>
      </c>
      <c r="L654" s="171"/>
      <c r="M654" s="171"/>
    </row>
    <row r="655" spans="11:13" ht="18" customHeight="1">
      <c r="K655" s="171" t="s">
        <v>702</v>
      </c>
      <c r="L655" s="171"/>
      <c r="M655" s="171"/>
    </row>
    <row r="656" spans="11:13" ht="18" customHeight="1">
      <c r="K656" s="171" t="s">
        <v>702</v>
      </c>
      <c r="L656" s="171"/>
      <c r="M656" s="171"/>
    </row>
    <row r="657" spans="11:13" ht="18" customHeight="1">
      <c r="K657" s="171" t="s">
        <v>702</v>
      </c>
      <c r="L657" s="171"/>
      <c r="M657" s="171"/>
    </row>
    <row r="658" spans="11:13" ht="18" customHeight="1">
      <c r="K658" s="171" t="s">
        <v>702</v>
      </c>
      <c r="L658" s="171"/>
      <c r="M658" s="171"/>
    </row>
    <row r="659" spans="11:13" ht="18" customHeight="1">
      <c r="K659" s="171" t="s">
        <v>702</v>
      </c>
      <c r="L659" s="171"/>
      <c r="M659" s="171"/>
    </row>
    <row r="660" spans="11:13" ht="18" customHeight="1">
      <c r="K660" s="171" t="s">
        <v>702</v>
      </c>
      <c r="L660" s="171"/>
      <c r="M660" s="171"/>
    </row>
    <row r="661" spans="11:13" ht="18" customHeight="1">
      <c r="K661" s="171" t="s">
        <v>702</v>
      </c>
      <c r="L661" s="171"/>
      <c r="M661" s="171"/>
    </row>
    <row r="662" spans="11:13" ht="18" customHeight="1">
      <c r="K662" s="171" t="s">
        <v>702</v>
      </c>
      <c r="L662" s="171"/>
      <c r="M662" s="171"/>
    </row>
    <row r="663" spans="11:13" ht="18" customHeight="1">
      <c r="K663" s="171" t="s">
        <v>702</v>
      </c>
      <c r="L663" s="171"/>
      <c r="M663" s="171"/>
    </row>
    <row r="664" spans="11:13" ht="18" customHeight="1">
      <c r="K664" s="171" t="s">
        <v>702</v>
      </c>
      <c r="L664" s="171"/>
      <c r="M664" s="171"/>
    </row>
    <row r="665" spans="11:13" ht="18" customHeight="1">
      <c r="K665" s="171" t="s">
        <v>702</v>
      </c>
      <c r="L665" s="171"/>
      <c r="M665" s="171"/>
    </row>
    <row r="666" spans="11:13" ht="18" customHeight="1">
      <c r="K666" s="171" t="s">
        <v>702</v>
      </c>
      <c r="L666" s="171"/>
      <c r="M666" s="171"/>
    </row>
    <row r="667" spans="11:13" ht="18" customHeight="1">
      <c r="K667" s="171" t="s">
        <v>702</v>
      </c>
      <c r="L667" s="171"/>
      <c r="M667" s="171"/>
    </row>
    <row r="668" spans="11:13" ht="18" customHeight="1">
      <c r="K668" s="171" t="s">
        <v>702</v>
      </c>
      <c r="L668" s="171"/>
      <c r="M668" s="171"/>
    </row>
    <row r="669" spans="11:13" ht="18" customHeight="1">
      <c r="K669" s="171" t="s">
        <v>702</v>
      </c>
      <c r="L669" s="171"/>
      <c r="M669" s="171"/>
    </row>
    <row r="670" spans="11:13" ht="18" customHeight="1">
      <c r="K670" s="171" t="s">
        <v>702</v>
      </c>
      <c r="L670" s="171"/>
      <c r="M670" s="171"/>
    </row>
    <row r="671" spans="11:13" ht="18" customHeight="1">
      <c r="K671" s="171" t="s">
        <v>702</v>
      </c>
      <c r="L671" s="171"/>
      <c r="M671" s="171"/>
    </row>
    <row r="672" spans="11:13" ht="18" customHeight="1">
      <c r="K672" s="171" t="s">
        <v>702</v>
      </c>
      <c r="L672" s="171"/>
      <c r="M672" s="171"/>
    </row>
    <row r="673" spans="11:13" ht="18" customHeight="1">
      <c r="K673" s="171" t="s">
        <v>702</v>
      </c>
      <c r="L673" s="171"/>
      <c r="M673" s="171"/>
    </row>
    <row r="674" spans="11:13" ht="18" customHeight="1">
      <c r="K674" s="171" t="s">
        <v>702</v>
      </c>
      <c r="L674" s="171"/>
      <c r="M674" s="171"/>
    </row>
    <row r="675" spans="11:13" ht="18" customHeight="1">
      <c r="K675" s="171" t="s">
        <v>702</v>
      </c>
      <c r="L675" s="171"/>
      <c r="M675" s="171"/>
    </row>
    <row r="676" spans="11:13" ht="18" customHeight="1">
      <c r="K676" s="171" t="s">
        <v>702</v>
      </c>
      <c r="L676" s="171"/>
      <c r="M676" s="171"/>
    </row>
    <row r="677" spans="11:13" ht="18" customHeight="1">
      <c r="K677" s="171" t="s">
        <v>702</v>
      </c>
      <c r="L677" s="171"/>
      <c r="M677" s="171"/>
    </row>
    <row r="678" spans="11:13" ht="18" customHeight="1">
      <c r="K678" s="171" t="s">
        <v>702</v>
      </c>
      <c r="L678" s="171"/>
      <c r="M678" s="171"/>
    </row>
    <row r="679" spans="11:13" ht="18" customHeight="1">
      <c r="K679" s="171" t="s">
        <v>702</v>
      </c>
      <c r="L679" s="171"/>
      <c r="M679" s="171"/>
    </row>
    <row r="680" spans="11:13" ht="18" customHeight="1">
      <c r="K680" s="171" t="s">
        <v>702</v>
      </c>
      <c r="L680" s="171"/>
      <c r="M680" s="171"/>
    </row>
    <row r="681" spans="11:13" ht="18" customHeight="1">
      <c r="K681" s="171" t="s">
        <v>702</v>
      </c>
      <c r="L681" s="171"/>
      <c r="M681" s="171"/>
    </row>
    <row r="682" spans="11:13" ht="18" customHeight="1">
      <c r="K682" s="171" t="s">
        <v>702</v>
      </c>
      <c r="L682" s="171"/>
      <c r="M682" s="171"/>
    </row>
    <row r="683" spans="11:13" ht="18" customHeight="1">
      <c r="K683" s="171" t="s">
        <v>702</v>
      </c>
      <c r="L683" s="171"/>
      <c r="M683" s="171"/>
    </row>
    <row r="684" spans="11:13" ht="18" customHeight="1">
      <c r="K684" s="171" t="s">
        <v>702</v>
      </c>
      <c r="L684" s="171"/>
      <c r="M684" s="171"/>
    </row>
    <row r="685" spans="11:13" ht="18" customHeight="1">
      <c r="K685" s="171" t="s">
        <v>702</v>
      </c>
      <c r="L685" s="171"/>
      <c r="M685" s="171"/>
    </row>
    <row r="686" spans="11:13" ht="18" customHeight="1">
      <c r="K686" s="171" t="s">
        <v>702</v>
      </c>
      <c r="L686" s="171"/>
      <c r="M686" s="171"/>
    </row>
    <row r="687" spans="11:13" ht="18" customHeight="1">
      <c r="K687" s="171" t="s">
        <v>702</v>
      </c>
      <c r="L687" s="171"/>
      <c r="M687" s="171"/>
    </row>
    <row r="688" spans="11:13" ht="18" customHeight="1">
      <c r="K688" s="171" t="s">
        <v>702</v>
      </c>
      <c r="L688" s="171"/>
      <c r="M688" s="171"/>
    </row>
    <row r="689" spans="11:13" ht="18" customHeight="1">
      <c r="K689" s="171" t="s">
        <v>702</v>
      </c>
      <c r="L689" s="171"/>
      <c r="M689" s="171"/>
    </row>
    <row r="690" spans="11:13" ht="18" customHeight="1">
      <c r="K690" s="171" t="s">
        <v>702</v>
      </c>
      <c r="L690" s="171"/>
      <c r="M690" s="171"/>
    </row>
    <row r="691" spans="11:13" ht="18" customHeight="1">
      <c r="K691" s="171" t="s">
        <v>702</v>
      </c>
      <c r="L691" s="171"/>
      <c r="M691" s="171"/>
    </row>
    <row r="692" spans="11:13" ht="18" customHeight="1">
      <c r="K692" s="171" t="s">
        <v>702</v>
      </c>
      <c r="L692" s="171"/>
      <c r="M692" s="171"/>
    </row>
    <row r="693" spans="11:13" ht="18" customHeight="1">
      <c r="K693" s="171" t="s">
        <v>702</v>
      </c>
      <c r="L693" s="171"/>
      <c r="M693" s="171"/>
    </row>
    <row r="694" spans="11:13" ht="18" customHeight="1">
      <c r="K694" s="171" t="s">
        <v>702</v>
      </c>
      <c r="L694" s="171"/>
      <c r="M694" s="171"/>
    </row>
    <row r="695" spans="11:13" ht="18" customHeight="1">
      <c r="K695" s="171" t="s">
        <v>702</v>
      </c>
      <c r="L695" s="171"/>
      <c r="M695" s="171"/>
    </row>
    <row r="696" spans="11:13" ht="18" customHeight="1">
      <c r="K696" s="171" t="s">
        <v>702</v>
      </c>
      <c r="L696" s="171"/>
      <c r="M696" s="171"/>
    </row>
    <row r="697" spans="11:13" ht="18" customHeight="1">
      <c r="K697" s="171" t="s">
        <v>702</v>
      </c>
      <c r="L697" s="171"/>
      <c r="M697" s="171"/>
    </row>
    <row r="698" spans="11:13" ht="18" customHeight="1">
      <c r="K698" s="171" t="s">
        <v>702</v>
      </c>
      <c r="L698" s="171"/>
      <c r="M698" s="171"/>
    </row>
    <row r="699" spans="11:13" ht="18" customHeight="1">
      <c r="K699" s="171" t="s">
        <v>702</v>
      </c>
      <c r="L699" s="171"/>
      <c r="M699" s="171"/>
    </row>
    <row r="700" spans="11:13" ht="18" customHeight="1">
      <c r="K700" s="171" t="s">
        <v>702</v>
      </c>
      <c r="L700" s="171"/>
      <c r="M700" s="171"/>
    </row>
    <row r="701" spans="11:13" ht="18" customHeight="1">
      <c r="K701" s="171" t="s">
        <v>702</v>
      </c>
      <c r="L701" s="171"/>
      <c r="M701" s="171"/>
    </row>
    <row r="702" spans="11:13" ht="18" customHeight="1">
      <c r="K702" s="171" t="s">
        <v>702</v>
      </c>
      <c r="L702" s="171"/>
      <c r="M702" s="171"/>
    </row>
    <row r="703" spans="11:13" ht="18" customHeight="1">
      <c r="K703" s="171" t="s">
        <v>702</v>
      </c>
      <c r="L703" s="171"/>
      <c r="M703" s="171"/>
    </row>
    <row r="704" spans="11:13" ht="18" customHeight="1">
      <c r="K704" s="171" t="s">
        <v>702</v>
      </c>
      <c r="L704" s="171"/>
      <c r="M704" s="171"/>
    </row>
    <row r="705" spans="11:13" ht="18" customHeight="1">
      <c r="K705" s="171" t="s">
        <v>702</v>
      </c>
      <c r="L705" s="171"/>
      <c r="M705" s="171"/>
    </row>
    <row r="706" spans="11:13" ht="18" customHeight="1">
      <c r="K706" s="171" t="s">
        <v>702</v>
      </c>
      <c r="L706" s="171"/>
      <c r="M706" s="171"/>
    </row>
    <row r="707" spans="11:13" ht="18" customHeight="1">
      <c r="K707" s="171" t="s">
        <v>702</v>
      </c>
      <c r="L707" s="171"/>
      <c r="M707" s="171"/>
    </row>
    <row r="708" spans="11:13" ht="18" customHeight="1">
      <c r="K708" s="171" t="s">
        <v>702</v>
      </c>
      <c r="L708" s="171"/>
      <c r="M708" s="171"/>
    </row>
    <row r="709" spans="11:13" ht="18" customHeight="1">
      <c r="K709" s="171" t="s">
        <v>702</v>
      </c>
      <c r="L709" s="171"/>
      <c r="M709" s="171"/>
    </row>
    <row r="710" spans="11:13" ht="18" customHeight="1">
      <c r="K710" s="171" t="s">
        <v>702</v>
      </c>
      <c r="L710" s="171"/>
      <c r="M710" s="171"/>
    </row>
    <row r="711" spans="11:13" ht="18" customHeight="1">
      <c r="K711" s="171" t="s">
        <v>702</v>
      </c>
      <c r="L711" s="171"/>
      <c r="M711" s="171"/>
    </row>
    <row r="712" spans="11:13" ht="18" customHeight="1">
      <c r="K712" s="171" t="s">
        <v>702</v>
      </c>
      <c r="L712" s="171"/>
      <c r="M712" s="171"/>
    </row>
    <row r="713" spans="11:13" ht="18" customHeight="1">
      <c r="K713" s="171" t="s">
        <v>702</v>
      </c>
      <c r="L713" s="171"/>
      <c r="M713" s="171"/>
    </row>
    <row r="714" spans="11:13" ht="18" customHeight="1">
      <c r="K714" s="171" t="s">
        <v>702</v>
      </c>
      <c r="L714" s="171"/>
      <c r="M714" s="171"/>
    </row>
    <row r="715" spans="11:13" ht="18" customHeight="1">
      <c r="K715" s="171" t="s">
        <v>702</v>
      </c>
      <c r="L715" s="171"/>
    </row>
    <row r="716" spans="11:13" ht="18" customHeight="1">
      <c r="K716" s="171" t="s">
        <v>702</v>
      </c>
      <c r="L716" s="171"/>
    </row>
    <row r="717" spans="11:13" ht="18" customHeight="1">
      <c r="K717" s="171" t="s">
        <v>702</v>
      </c>
      <c r="L717" s="171"/>
    </row>
    <row r="718" spans="11:13" ht="18" customHeight="1">
      <c r="K718" s="171" t="s">
        <v>702</v>
      </c>
      <c r="L718" s="171"/>
    </row>
    <row r="719" spans="11:13" ht="18" customHeight="1">
      <c r="K719" s="171" t="s">
        <v>702</v>
      </c>
      <c r="L719" s="171"/>
    </row>
    <row r="720" spans="11:13" ht="18" customHeight="1">
      <c r="K720" s="171" t="s">
        <v>702</v>
      </c>
      <c r="L720" s="171"/>
    </row>
    <row r="721" spans="11:12" ht="18" customHeight="1">
      <c r="K721" s="171" t="s">
        <v>702</v>
      </c>
      <c r="L721" s="171"/>
    </row>
    <row r="722" spans="11:12" ht="18" customHeight="1">
      <c r="K722" s="171" t="s">
        <v>702</v>
      </c>
      <c r="L722" s="171"/>
    </row>
    <row r="723" spans="11:12" ht="18" customHeight="1">
      <c r="K723" s="171" t="s">
        <v>702</v>
      </c>
      <c r="L723" s="171"/>
    </row>
    <row r="724" spans="11:12" ht="18" customHeight="1">
      <c r="K724" s="171" t="s">
        <v>702</v>
      </c>
      <c r="L724" s="171"/>
    </row>
    <row r="725" spans="11:12" ht="18" customHeight="1">
      <c r="K725" s="171" t="s">
        <v>702</v>
      </c>
      <c r="L725" s="171"/>
    </row>
    <row r="726" spans="11:12" ht="18" customHeight="1">
      <c r="K726" s="171" t="s">
        <v>702</v>
      </c>
      <c r="L726" s="171"/>
    </row>
    <row r="727" spans="11:12" ht="18" customHeight="1">
      <c r="K727" s="171" t="s">
        <v>702</v>
      </c>
      <c r="L727" s="171"/>
    </row>
    <row r="728" spans="11:12" ht="18" customHeight="1">
      <c r="K728" s="171" t="s">
        <v>702</v>
      </c>
      <c r="L728" s="171"/>
    </row>
    <row r="729" spans="11:12" ht="18" customHeight="1">
      <c r="K729" s="171" t="s">
        <v>702</v>
      </c>
      <c r="L729" s="171"/>
    </row>
    <row r="730" spans="11:12" ht="18" customHeight="1">
      <c r="K730" s="171" t="s">
        <v>702</v>
      </c>
      <c r="L730" s="171"/>
    </row>
    <row r="731" spans="11:12" ht="18" customHeight="1">
      <c r="K731" s="171" t="s">
        <v>702</v>
      </c>
      <c r="L731" s="171"/>
    </row>
    <row r="732" spans="11:12" ht="18" customHeight="1">
      <c r="K732" s="171" t="s">
        <v>702</v>
      </c>
      <c r="L732" s="171"/>
    </row>
    <row r="733" spans="11:12" ht="18" customHeight="1">
      <c r="K733" s="171" t="s">
        <v>702</v>
      </c>
      <c r="L733" s="171"/>
    </row>
    <row r="734" spans="11:12" ht="18" customHeight="1">
      <c r="K734" s="171" t="s">
        <v>702</v>
      </c>
      <c r="L734" s="171"/>
    </row>
    <row r="735" spans="11:12" ht="18" customHeight="1">
      <c r="K735" s="171" t="s">
        <v>702</v>
      </c>
      <c r="L735" s="171"/>
    </row>
    <row r="736" spans="11:12" ht="18" customHeight="1">
      <c r="K736" s="171" t="s">
        <v>702</v>
      </c>
      <c r="L736" s="171"/>
    </row>
    <row r="737" spans="11:12" ht="18" customHeight="1">
      <c r="K737" s="171" t="s">
        <v>702</v>
      </c>
      <c r="L737" s="171"/>
    </row>
    <row r="738" spans="11:12" ht="18" customHeight="1">
      <c r="K738" s="171" t="s">
        <v>702</v>
      </c>
      <c r="L738" s="171"/>
    </row>
    <row r="739" spans="11:12" ht="18" customHeight="1">
      <c r="K739" s="171" t="s">
        <v>702</v>
      </c>
      <c r="L739" s="171"/>
    </row>
    <row r="740" spans="11:12" ht="18" customHeight="1">
      <c r="K740" s="171" t="s">
        <v>702</v>
      </c>
      <c r="L740" s="171"/>
    </row>
    <row r="741" spans="11:12" ht="18" customHeight="1">
      <c r="K741" s="171" t="s">
        <v>702</v>
      </c>
      <c r="L741" s="171"/>
    </row>
    <row r="742" spans="11:12" ht="18" customHeight="1">
      <c r="K742" s="171" t="s">
        <v>702</v>
      </c>
      <c r="L742" s="171"/>
    </row>
    <row r="743" spans="11:12" ht="18" customHeight="1">
      <c r="K743" s="171" t="s">
        <v>702</v>
      </c>
      <c r="L743" s="171"/>
    </row>
    <row r="744" spans="11:12" ht="18" customHeight="1">
      <c r="K744" s="171" t="s">
        <v>702</v>
      </c>
      <c r="L744" s="171"/>
    </row>
  </sheetData>
  <mergeCells count="18">
    <mergeCell ref="N67:N68"/>
    <mergeCell ref="Z67:Z68"/>
    <mergeCell ref="P67:P68"/>
    <mergeCell ref="O67:O68"/>
    <mergeCell ref="B12:C13"/>
    <mergeCell ref="J12:J13"/>
    <mergeCell ref="L12:L13"/>
    <mergeCell ref="Q67:Q68"/>
    <mergeCell ref="B5:C5"/>
    <mergeCell ref="D5:E5"/>
    <mergeCell ref="G4:H4"/>
    <mergeCell ref="G5:H5"/>
    <mergeCell ref="B56:C56"/>
    <mergeCell ref="G3:H3"/>
    <mergeCell ref="B3:C3"/>
    <mergeCell ref="D3:E3"/>
    <mergeCell ref="B4:C4"/>
    <mergeCell ref="D4:E4"/>
  </mergeCells>
  <phoneticPr fontId="14" type="noConversion"/>
  <conditionalFormatting sqref="V14:V56">
    <cfRule type="cellIs" dxfId="67" priority="2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8" min="13" max="28" man="1"/>
    <brk id="89" min="13" max="2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">
    <tabColor rgb="FFFFC000"/>
    <pageSetUpPr fitToPage="1"/>
  </sheetPr>
  <dimension ref="A1:AB793"/>
  <sheetViews>
    <sheetView showGridLines="0" zoomScale="85" zoomScaleNormal="85" zoomScaleSheetLayoutView="75" workbookViewId="0">
      <selection activeCell="B17" sqref="B17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9" width="10.832031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22" width="15.6640625" style="6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728</v>
      </c>
    </row>
    <row r="2" spans="1:27" ht="19.5" thickBot="1">
      <c r="B2" s="66" t="s">
        <v>727</v>
      </c>
    </row>
    <row r="3" spans="1:27" ht="18" customHeight="1">
      <c r="B3" s="462"/>
      <c r="C3" s="466" t="s">
        <v>726</v>
      </c>
      <c r="D3" s="800">
        <v>30</v>
      </c>
      <c r="E3" s="800"/>
      <c r="F3" s="44" t="s">
        <v>725</v>
      </c>
      <c r="G3" s="767" t="s">
        <v>1104</v>
      </c>
      <c r="H3" s="768"/>
      <c r="I3" s="656">
        <v>2</v>
      </c>
      <c r="J3" s="669" t="s">
        <v>1105</v>
      </c>
      <c r="R3" s="1"/>
      <c r="Z3" s="6"/>
    </row>
    <row r="4" spans="1:27" ht="18" customHeight="1">
      <c r="B4" s="463"/>
      <c r="C4" s="465" t="s">
        <v>1333</v>
      </c>
      <c r="D4" s="801">
        <v>30</v>
      </c>
      <c r="E4" s="801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  <c r="R4" s="1"/>
      <c r="Z4" s="6"/>
    </row>
    <row r="5" spans="1:27" ht="18" customHeight="1" thickBot="1">
      <c r="B5" s="464"/>
      <c r="C5" s="467" t="s">
        <v>724</v>
      </c>
      <c r="D5" s="798">
        <f>ROUND((IF(D4&lt;10,10,IF(D4&gt;=330,330,D4))/D3)^0.6,3)</f>
        <v>1</v>
      </c>
      <c r="E5" s="798"/>
      <c r="F5" s="45"/>
      <c r="G5" s="771" t="s">
        <v>1102</v>
      </c>
      <c r="H5" s="772"/>
      <c r="I5" s="646">
        <f>ROUND(I4/I3,3)</f>
        <v>1</v>
      </c>
      <c r="J5" s="671"/>
      <c r="Q5" s="6"/>
      <c r="Y5" s="1"/>
    </row>
    <row r="6" spans="1:27" ht="18" customHeight="1">
      <c r="B6" s="9" t="s">
        <v>1331</v>
      </c>
      <c r="C6" s="9"/>
      <c r="D6" s="468"/>
      <c r="E6" s="468"/>
      <c r="G6" s="9" t="s">
        <v>1107</v>
      </c>
      <c r="J6" s="36"/>
    </row>
    <row r="7" spans="1:27" ht="18" customHeight="1">
      <c r="A7" s="326"/>
      <c r="B7" s="9" t="s">
        <v>1332</v>
      </c>
      <c r="C7" s="9"/>
      <c r="D7" s="468"/>
      <c r="E7" s="468"/>
      <c r="G7" s="36"/>
    </row>
    <row r="8" spans="1:27" ht="18" customHeight="1">
      <c r="A8" s="326"/>
      <c r="B8" s="9"/>
      <c r="C8" s="9" t="s">
        <v>1336</v>
      </c>
      <c r="D8" s="468"/>
      <c r="E8" s="468"/>
      <c r="G8" s="36"/>
    </row>
    <row r="9" spans="1:27" ht="18" customHeight="1">
      <c r="A9" s="326"/>
      <c r="B9" s="9"/>
      <c r="C9" s="9"/>
      <c r="D9" s="468"/>
      <c r="E9" s="468"/>
      <c r="G9" s="36"/>
      <c r="W9" s="188" t="s">
        <v>723</v>
      </c>
      <c r="X9" s="189"/>
    </row>
    <row r="10" spans="1:27" ht="18" customHeight="1" thickBot="1">
      <c r="A10" s="355"/>
      <c r="B10" s="66" t="s">
        <v>722</v>
      </c>
      <c r="C10" s="9"/>
      <c r="D10" s="468"/>
      <c r="E10" s="468"/>
      <c r="G10" s="36"/>
      <c r="N10" s="66" t="s">
        <v>721</v>
      </c>
    </row>
    <row r="11" spans="1:27" ht="18" customHeight="1" thickBot="1">
      <c r="A11" s="355"/>
      <c r="B11" s="9"/>
      <c r="N11" s="151" t="s">
        <v>44</v>
      </c>
      <c r="O11" s="119"/>
      <c r="P11" s="119"/>
      <c r="Q11" s="120"/>
      <c r="R11" s="120"/>
      <c r="S11" s="120"/>
      <c r="T11" s="120"/>
      <c r="U11" s="470"/>
      <c r="V11" s="470"/>
      <c r="W11" s="471">
        <f ca="1">SUBTOTAL(9,W12:W42)</f>
        <v>456341854</v>
      </c>
      <c r="X11" s="472"/>
      <c r="Y11" s="177"/>
      <c r="Z11" s="167"/>
    </row>
    <row r="12" spans="1:27" ht="18" customHeight="1">
      <c r="A12" s="355"/>
      <c r="B12" s="757" t="s">
        <v>30</v>
      </c>
      <c r="C12" s="758"/>
      <c r="D12" s="14" t="s">
        <v>720</v>
      </c>
      <c r="E12" s="15"/>
      <c r="F12" s="15"/>
      <c r="G12" s="15"/>
      <c r="H12" s="15"/>
      <c r="I12" s="16"/>
      <c r="J12" s="761" t="s">
        <v>31</v>
      </c>
      <c r="L12" s="763" t="s">
        <v>719</v>
      </c>
      <c r="N12" s="127" t="s">
        <v>718</v>
      </c>
      <c r="O12" s="122"/>
      <c r="P12" s="122"/>
      <c r="Q12" s="123"/>
      <c r="R12" s="123"/>
      <c r="S12" s="123"/>
      <c r="T12" s="123"/>
      <c r="U12" s="473"/>
      <c r="V12" s="473"/>
      <c r="W12" s="474">
        <f ca="1">SUBTOTAL(9,W13:W39)</f>
        <v>166160771</v>
      </c>
      <c r="X12" s="475"/>
      <c r="Y12" s="178" t="s">
        <v>717</v>
      </c>
      <c r="Z12" s="179"/>
    </row>
    <row r="13" spans="1:27" ht="18" customHeight="1" thickBot="1">
      <c r="A13" s="355"/>
      <c r="B13" s="759"/>
      <c r="C13" s="760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476"/>
      <c r="V13" s="477"/>
      <c r="W13" s="517">
        <f ca="1">SUBTOTAL(9,W14:W34)</f>
        <v>161660771</v>
      </c>
      <c r="X13" s="478"/>
      <c r="Y13" s="168"/>
      <c r="Z13" s="168"/>
    </row>
    <row r="14" spans="1:27" ht="18" customHeight="1">
      <c r="A14" s="355"/>
      <c r="B14" s="73" t="s">
        <v>1337</v>
      </c>
      <c r="C14" s="72"/>
      <c r="D14" s="576">
        <f t="shared" ref="D14:I14" si="0">SUBTOTAL(9,D15:D18)</f>
        <v>2.5999999999999996</v>
      </c>
      <c r="E14" s="575">
        <f t="shared" si="0"/>
        <v>4.8000000000000007</v>
      </c>
      <c r="F14" s="575">
        <f t="shared" si="0"/>
        <v>12.4</v>
      </c>
      <c r="G14" s="575">
        <f t="shared" si="0"/>
        <v>21.7</v>
      </c>
      <c r="H14" s="575">
        <f t="shared" si="0"/>
        <v>33.9</v>
      </c>
      <c r="I14" s="574">
        <f t="shared" si="0"/>
        <v>50.5</v>
      </c>
      <c r="J14" s="654"/>
      <c r="L14" s="482"/>
      <c r="N14" s="354" t="str">
        <f t="shared" ref="N14:N31" si="1">B14</f>
        <v>1. 조사 및 분석</v>
      </c>
      <c r="O14" s="169"/>
      <c r="P14" s="169"/>
      <c r="Q14" s="169"/>
      <c r="R14" s="169"/>
      <c r="S14" s="169"/>
      <c r="T14" s="169"/>
      <c r="U14" s="484"/>
      <c r="V14" s="485"/>
      <c r="W14" s="486">
        <f ca="1">SUBTOTAL(9,W15:W18)</f>
        <v>33877759</v>
      </c>
      <c r="X14" s="487"/>
      <c r="Y14" s="170"/>
      <c r="Z14" s="170"/>
      <c r="AA14" s="229"/>
    </row>
    <row r="15" spans="1:27" ht="18" customHeight="1">
      <c r="A15" s="355"/>
      <c r="B15" s="409" t="s">
        <v>1338</v>
      </c>
      <c r="C15" s="237"/>
      <c r="D15" s="488">
        <v>0.4</v>
      </c>
      <c r="E15" s="489">
        <v>0.6</v>
      </c>
      <c r="F15" s="489">
        <v>1.2</v>
      </c>
      <c r="G15" s="489">
        <v>1.8</v>
      </c>
      <c r="H15" s="489">
        <v>3</v>
      </c>
      <c r="I15" s="490">
        <v>3.5</v>
      </c>
      <c r="J15" s="389" t="s">
        <v>1355</v>
      </c>
      <c r="L15" s="494">
        <v>1</v>
      </c>
      <c r="N15" s="292" t="str">
        <f t="shared" si="1"/>
        <v>1.1 관련 정책 및 계획 분석</v>
      </c>
      <c r="O15" s="37"/>
      <c r="P15" s="37"/>
      <c r="Q15" s="37"/>
      <c r="R15" s="37"/>
      <c r="S15" s="37"/>
      <c r="T15" s="37"/>
      <c r="U15" s="562"/>
      <c r="V15" s="500"/>
      <c r="W15" s="501">
        <f t="array" aca="1" ref="W15" ca="1">SUM(ROUNDDOWN(D37:I37*단가,0))</f>
        <v>2896886</v>
      </c>
      <c r="X15" s="502"/>
      <c r="Y15" s="170" t="str">
        <f>IF(A37&gt;0, "제 " &amp;A37&amp; " 호표","")</f>
        <v>제 1 호표</v>
      </c>
      <c r="Z15" s="150"/>
    </row>
    <row r="16" spans="1:27" ht="18" customHeight="1">
      <c r="A16" s="355"/>
      <c r="B16" s="409" t="s">
        <v>1339</v>
      </c>
      <c r="C16" s="237"/>
      <c r="D16" s="488">
        <v>0.4</v>
      </c>
      <c r="E16" s="489">
        <v>0.8</v>
      </c>
      <c r="F16" s="489">
        <v>1.3</v>
      </c>
      <c r="G16" s="489">
        <v>3.2</v>
      </c>
      <c r="H16" s="489">
        <v>4.3</v>
      </c>
      <c r="I16" s="490">
        <v>7.4</v>
      </c>
      <c r="J16" s="389" t="s">
        <v>1090</v>
      </c>
      <c r="L16" s="494">
        <v>1</v>
      </c>
      <c r="N16" s="292" t="str">
        <f t="shared" si="1"/>
        <v>1.2 스마트도시 기반시설 조사 분석</v>
      </c>
      <c r="O16" s="37"/>
      <c r="P16" s="37"/>
      <c r="Q16" s="37"/>
      <c r="R16" s="37"/>
      <c r="S16" s="37"/>
      <c r="T16" s="37"/>
      <c r="U16" s="562"/>
      <c r="V16" s="500"/>
      <c r="W16" s="501">
        <f t="array" aca="1" ref="W16" ca="1">SUM(ROUNDDOWN(D38:I38*단가,0))</f>
        <v>4697274</v>
      </c>
      <c r="X16" s="502"/>
      <c r="Y16" s="170" t="str">
        <f t="shared" ref="Y16:Y34" si="2">IF(A38&gt;0, "제 " &amp;A38&amp; " 호표","")</f>
        <v>제 2 호표</v>
      </c>
      <c r="Z16" s="150"/>
    </row>
    <row r="17" spans="1:26" ht="18" customHeight="1">
      <c r="A17" s="355"/>
      <c r="B17" s="223" t="s">
        <v>1340</v>
      </c>
      <c r="C17" s="237"/>
      <c r="D17" s="488">
        <v>1.5</v>
      </c>
      <c r="E17" s="489">
        <v>3</v>
      </c>
      <c r="F17" s="489">
        <v>9</v>
      </c>
      <c r="G17" s="489">
        <v>15</v>
      </c>
      <c r="H17" s="489">
        <v>24</v>
      </c>
      <c r="I17" s="490">
        <v>37</v>
      </c>
      <c r="J17" s="389" t="s">
        <v>1090</v>
      </c>
      <c r="L17" s="494">
        <v>1</v>
      </c>
      <c r="N17" s="292" t="str">
        <f t="shared" si="1"/>
        <v>1.3 스마트도시 서비스 현황 분석</v>
      </c>
      <c r="O17" s="37"/>
      <c r="P17" s="37"/>
      <c r="Q17" s="37"/>
      <c r="R17" s="37"/>
      <c r="S17" s="37"/>
      <c r="T17" s="37"/>
      <c r="U17" s="562"/>
      <c r="V17" s="500"/>
      <c r="W17" s="501">
        <f t="array" aca="1" ref="W17" ca="1">SUM(ROUNDDOWN(D39:I39*단가,0))</f>
        <v>23950145</v>
      </c>
      <c r="X17" s="502"/>
      <c r="Y17" s="170" t="str">
        <f t="shared" si="2"/>
        <v>제 3 호표</v>
      </c>
      <c r="Z17" s="150"/>
    </row>
    <row r="18" spans="1:26" ht="18" customHeight="1">
      <c r="A18" s="355"/>
      <c r="B18" s="409" t="s">
        <v>1341</v>
      </c>
      <c r="C18" s="237"/>
      <c r="D18" s="488">
        <v>0.3</v>
      </c>
      <c r="E18" s="489">
        <v>0.4</v>
      </c>
      <c r="F18" s="489">
        <v>0.9</v>
      </c>
      <c r="G18" s="489">
        <v>1.7</v>
      </c>
      <c r="H18" s="489">
        <v>2.6</v>
      </c>
      <c r="I18" s="490">
        <v>2.6</v>
      </c>
      <c r="J18" s="389" t="s">
        <v>1090</v>
      </c>
      <c r="L18" s="494">
        <v>1</v>
      </c>
      <c r="N18" s="292" t="str">
        <f t="shared" si="1"/>
        <v>1.4 관련 조직 및 운영 현황 분석</v>
      </c>
      <c r="O18" s="37"/>
      <c r="P18" s="37"/>
      <c r="Q18" s="37"/>
      <c r="R18" s="37"/>
      <c r="S18" s="37"/>
      <c r="T18" s="37"/>
      <c r="U18" s="562"/>
      <c r="V18" s="500"/>
      <c r="W18" s="501">
        <f t="array" aca="1" ref="W18" ca="1">SUM(ROUNDDOWN(D40:I40*단가,0))</f>
        <v>2333454</v>
      </c>
      <c r="X18" s="502"/>
      <c r="Y18" s="170" t="str">
        <f t="shared" si="2"/>
        <v>제 4 호표</v>
      </c>
      <c r="Z18" s="150"/>
    </row>
    <row r="19" spans="1:26" ht="18" customHeight="1">
      <c r="A19" s="355"/>
      <c r="B19" s="222" t="s">
        <v>716</v>
      </c>
      <c r="C19" s="47"/>
      <c r="D19" s="548">
        <f t="shared" ref="D19:I19" si="3">SUBTOTAL(9,D20:D28)</f>
        <v>6.4999999999999991</v>
      </c>
      <c r="E19" s="547">
        <f t="shared" si="3"/>
        <v>11.6</v>
      </c>
      <c r="F19" s="547">
        <f t="shared" si="3"/>
        <v>44.1</v>
      </c>
      <c r="G19" s="547">
        <f t="shared" si="3"/>
        <v>48.5</v>
      </c>
      <c r="H19" s="547">
        <f t="shared" si="3"/>
        <v>87.4</v>
      </c>
      <c r="I19" s="546">
        <f t="shared" si="3"/>
        <v>95.800000000000011</v>
      </c>
      <c r="J19" s="594"/>
      <c r="L19" s="494"/>
      <c r="N19" s="354" t="str">
        <f t="shared" si="1"/>
        <v>2. 특화단지계획</v>
      </c>
      <c r="O19" s="37"/>
      <c r="P19" s="37"/>
      <c r="Q19" s="37"/>
      <c r="R19" s="37"/>
      <c r="S19" s="37"/>
      <c r="T19" s="37"/>
      <c r="U19" s="562"/>
      <c r="V19" s="500"/>
      <c r="W19" s="486">
        <f ca="1">SUBTOTAL(9,W20:W28)</f>
        <v>79929414</v>
      </c>
      <c r="X19" s="502"/>
      <c r="Y19" s="170" t="str">
        <f t="shared" si="2"/>
        <v/>
      </c>
      <c r="Z19" s="150"/>
    </row>
    <row r="20" spans="1:26" ht="18" customHeight="1">
      <c r="A20" s="355"/>
      <c r="B20" s="223" t="s">
        <v>1342</v>
      </c>
      <c r="C20" s="237"/>
      <c r="D20" s="488">
        <v>0.7</v>
      </c>
      <c r="E20" s="489">
        <v>1.1000000000000001</v>
      </c>
      <c r="F20" s="489">
        <v>5.3</v>
      </c>
      <c r="G20" s="489">
        <v>5.3</v>
      </c>
      <c r="H20" s="489">
        <v>8.8000000000000007</v>
      </c>
      <c r="I20" s="490">
        <v>13.2</v>
      </c>
      <c r="J20" s="389" t="s">
        <v>1090</v>
      </c>
      <c r="L20" s="494">
        <v>1</v>
      </c>
      <c r="N20" s="292" t="str">
        <f t="shared" si="1"/>
        <v>2.1 스마트도시 서비스 계획</v>
      </c>
      <c r="O20" s="37"/>
      <c r="P20" s="37"/>
      <c r="Q20" s="37"/>
      <c r="R20" s="37"/>
      <c r="S20" s="37"/>
      <c r="T20" s="37"/>
      <c r="U20" s="562"/>
      <c r="V20" s="500"/>
      <c r="W20" s="501">
        <f t="array" aca="1" ref="W20" ca="1">SUM(ROUNDDOWN(D42:I42*단가,0))</f>
        <v>9322842</v>
      </c>
      <c r="X20" s="502"/>
      <c r="Y20" s="170" t="str">
        <f t="shared" si="2"/>
        <v>제 5 호표</v>
      </c>
      <c r="Z20" s="150"/>
    </row>
    <row r="21" spans="1:26" ht="18" customHeight="1">
      <c r="A21" s="355"/>
      <c r="B21" s="568" t="s">
        <v>1343</v>
      </c>
      <c r="C21" s="569"/>
      <c r="D21" s="488">
        <v>1.3</v>
      </c>
      <c r="E21" s="489">
        <v>1.6</v>
      </c>
      <c r="F21" s="489">
        <v>7.4</v>
      </c>
      <c r="G21" s="489">
        <v>7.4</v>
      </c>
      <c r="H21" s="489">
        <v>14.9</v>
      </c>
      <c r="I21" s="490">
        <v>14.9</v>
      </c>
      <c r="J21" s="389" t="s">
        <v>1090</v>
      </c>
      <c r="L21" s="494">
        <v>1</v>
      </c>
      <c r="N21" s="292" t="str">
        <f t="shared" si="1"/>
        <v>2.2 정보통신망 구축계획</v>
      </c>
      <c r="O21" s="37"/>
      <c r="P21" s="37"/>
      <c r="Q21" s="37"/>
      <c r="R21" s="37"/>
      <c r="S21" s="37"/>
      <c r="T21" s="37"/>
      <c r="U21" s="562"/>
      <c r="V21" s="500"/>
      <c r="W21" s="501">
        <f t="array" aca="1" ref="W21" ca="1">SUM(ROUNDDOWN(D43:I43*단가,0))</f>
        <v>12923943</v>
      </c>
      <c r="X21" s="502"/>
      <c r="Y21" s="170" t="str">
        <f t="shared" si="2"/>
        <v>제 6 호표</v>
      </c>
      <c r="Z21" s="150"/>
    </row>
    <row r="22" spans="1:26" ht="18" customHeight="1">
      <c r="A22" s="355"/>
      <c r="B22" s="568" t="s">
        <v>1344</v>
      </c>
      <c r="C22" s="237"/>
      <c r="D22" s="488">
        <v>1.3</v>
      </c>
      <c r="E22" s="489">
        <v>1.6</v>
      </c>
      <c r="F22" s="489">
        <v>7.4</v>
      </c>
      <c r="G22" s="489">
        <v>7.4</v>
      </c>
      <c r="H22" s="489">
        <v>14.9</v>
      </c>
      <c r="I22" s="490">
        <v>14.9</v>
      </c>
      <c r="J22" s="389" t="s">
        <v>1090</v>
      </c>
      <c r="L22" s="494">
        <v>1</v>
      </c>
      <c r="N22" s="292" t="str">
        <f t="shared" si="1"/>
        <v>2.3 스마트도시 운영센터 구축 계획</v>
      </c>
      <c r="O22" s="37"/>
      <c r="P22" s="37"/>
      <c r="Q22" s="37"/>
      <c r="R22" s="37"/>
      <c r="S22" s="37"/>
      <c r="T22" s="37"/>
      <c r="U22" s="562"/>
      <c r="V22" s="500"/>
      <c r="W22" s="501">
        <f t="array" aca="1" ref="W22" ca="1">SUM(ROUNDDOWN(D44:I44*단가,0))</f>
        <v>12923943</v>
      </c>
      <c r="X22" s="502"/>
      <c r="Y22" s="170" t="str">
        <f t="shared" si="2"/>
        <v>제 7 호표</v>
      </c>
      <c r="Z22" s="150"/>
    </row>
    <row r="23" spans="1:26" ht="18" customHeight="1">
      <c r="A23" s="355"/>
      <c r="B23" s="568" t="s">
        <v>1345</v>
      </c>
      <c r="C23" s="237"/>
      <c r="D23" s="488">
        <v>0.7</v>
      </c>
      <c r="E23" s="489">
        <v>1.1000000000000001</v>
      </c>
      <c r="F23" s="489">
        <v>5.3</v>
      </c>
      <c r="G23" s="489">
        <v>5.3</v>
      </c>
      <c r="H23" s="489">
        <v>8.8000000000000007</v>
      </c>
      <c r="I23" s="490">
        <v>13.2</v>
      </c>
      <c r="J23" s="389" t="s">
        <v>1090</v>
      </c>
      <c r="L23" s="494">
        <v>1</v>
      </c>
      <c r="N23" s="292" t="str">
        <f t="shared" si="1"/>
        <v>2.4 스마트도시 기반시설 계획</v>
      </c>
      <c r="O23" s="37"/>
      <c r="P23" s="37"/>
      <c r="Q23" s="37"/>
      <c r="R23" s="37"/>
      <c r="S23" s="37"/>
      <c r="T23" s="37"/>
      <c r="U23" s="562"/>
      <c r="V23" s="500"/>
      <c r="W23" s="501">
        <f t="array" aca="1" ref="W23" ca="1">SUM(ROUNDDOWN(D45:I45*단가,0))</f>
        <v>9322842</v>
      </c>
      <c r="X23" s="502"/>
      <c r="Y23" s="170" t="str">
        <f t="shared" si="2"/>
        <v>제 8 호표</v>
      </c>
      <c r="Z23" s="150"/>
    </row>
    <row r="24" spans="1:26" ht="18" customHeight="1">
      <c r="A24" s="326"/>
      <c r="B24" s="568" t="s">
        <v>1346</v>
      </c>
      <c r="C24" s="567"/>
      <c r="D24" s="488">
        <v>0.6</v>
      </c>
      <c r="E24" s="489">
        <v>1</v>
      </c>
      <c r="F24" s="489">
        <v>3.4</v>
      </c>
      <c r="G24" s="489">
        <v>4.5999999999999996</v>
      </c>
      <c r="H24" s="489">
        <v>6.6</v>
      </c>
      <c r="I24" s="490">
        <v>4.8</v>
      </c>
      <c r="J24" s="389" t="s">
        <v>1090</v>
      </c>
      <c r="L24" s="494">
        <v>1</v>
      </c>
      <c r="N24" s="292" t="str">
        <f t="shared" si="1"/>
        <v>2.5 단계별추진계획</v>
      </c>
      <c r="O24" s="37"/>
      <c r="P24" s="37"/>
      <c r="Q24" s="37"/>
      <c r="R24" s="37"/>
      <c r="S24" s="37"/>
      <c r="T24" s="37"/>
      <c r="U24" s="562"/>
      <c r="V24" s="500"/>
      <c r="W24" s="501">
        <f t="array" aca="1" ref="W24" ca="1">SUM(ROUNDDOWN(D46:I46*단가,0))</f>
        <v>5822768</v>
      </c>
      <c r="X24" s="502"/>
      <c r="Y24" s="170" t="str">
        <f t="shared" si="2"/>
        <v>제 9 호표</v>
      </c>
      <c r="Z24" s="150"/>
    </row>
    <row r="25" spans="1:26" ht="18" customHeight="1">
      <c r="A25" s="326"/>
      <c r="B25" s="568" t="s">
        <v>1347</v>
      </c>
      <c r="C25" s="567"/>
      <c r="D25" s="488">
        <v>0.6</v>
      </c>
      <c r="E25" s="489">
        <v>1</v>
      </c>
      <c r="F25" s="489">
        <v>3.4</v>
      </c>
      <c r="G25" s="489">
        <v>4.5999999999999996</v>
      </c>
      <c r="H25" s="489">
        <v>6.6</v>
      </c>
      <c r="I25" s="490">
        <v>4.8</v>
      </c>
      <c r="J25" s="389" t="s">
        <v>1090</v>
      </c>
      <c r="L25" s="494">
        <v>1</v>
      </c>
      <c r="N25" s="292" t="str">
        <f t="shared" si="1"/>
        <v>2.6 특화단지 추진 체계 설정</v>
      </c>
      <c r="O25" s="37"/>
      <c r="P25" s="37"/>
      <c r="Q25" s="37"/>
      <c r="R25" s="37"/>
      <c r="S25" s="37"/>
      <c r="T25" s="37"/>
      <c r="U25" s="562"/>
      <c r="V25" s="500"/>
      <c r="W25" s="501">
        <f t="array" aca="1" ref="W25" ca="1">SUM(ROUNDDOWN(D47:I47*단가,0))</f>
        <v>5822768</v>
      </c>
      <c r="X25" s="502"/>
      <c r="Y25" s="170" t="str">
        <f t="shared" si="2"/>
        <v>제 10 호표</v>
      </c>
      <c r="Z25" s="150"/>
    </row>
    <row r="26" spans="1:26" ht="18" customHeight="1">
      <c r="A26" s="326"/>
      <c r="B26" s="568" t="s">
        <v>1348</v>
      </c>
      <c r="C26" s="567"/>
      <c r="D26" s="488">
        <v>0.7</v>
      </c>
      <c r="E26" s="489">
        <v>1.2</v>
      </c>
      <c r="F26" s="489">
        <v>1.8</v>
      </c>
      <c r="G26" s="489">
        <v>2.8</v>
      </c>
      <c r="H26" s="489">
        <v>4.4000000000000004</v>
      </c>
      <c r="I26" s="490">
        <v>3.2</v>
      </c>
      <c r="J26" s="389" t="s">
        <v>1090</v>
      </c>
      <c r="L26" s="494">
        <v>1</v>
      </c>
      <c r="N26" s="292" t="str">
        <f t="shared" si="1"/>
        <v>2.7 관계기관간 역할분담 및 협력</v>
      </c>
      <c r="O26" s="37"/>
      <c r="P26" s="37"/>
      <c r="Q26" s="37"/>
      <c r="R26" s="37"/>
      <c r="S26" s="37"/>
      <c r="T26" s="37"/>
      <c r="U26" s="562"/>
      <c r="V26" s="500"/>
      <c r="W26" s="501">
        <f t="array" aca="1" ref="W26" ca="1">SUM(ROUNDDOWN(D48:I48*단가,0))</f>
        <v>3997348</v>
      </c>
      <c r="X26" s="502"/>
      <c r="Y26" s="170" t="str">
        <f t="shared" si="2"/>
        <v>제 11 호표</v>
      </c>
      <c r="Z26" s="150"/>
    </row>
    <row r="27" spans="1:26" ht="18" customHeight="1">
      <c r="A27" s="326"/>
      <c r="B27" s="568" t="s">
        <v>1349</v>
      </c>
      <c r="C27" s="567"/>
      <c r="D27" s="488">
        <v>0.3</v>
      </c>
      <c r="E27" s="489">
        <v>2</v>
      </c>
      <c r="F27" s="489">
        <v>7.5</v>
      </c>
      <c r="G27" s="489">
        <v>7.1</v>
      </c>
      <c r="H27" s="489">
        <v>15.8</v>
      </c>
      <c r="I27" s="490">
        <v>16.899999999999999</v>
      </c>
      <c r="J27" s="389" t="s">
        <v>1090</v>
      </c>
      <c r="L27" s="494">
        <v>1</v>
      </c>
      <c r="N27" s="292" t="str">
        <f t="shared" si="1"/>
        <v>2.8 재원조달 및 자금투자계획</v>
      </c>
      <c r="O27" s="37"/>
      <c r="P27" s="37"/>
      <c r="Q27" s="37"/>
      <c r="R27" s="37"/>
      <c r="S27" s="37"/>
      <c r="T27" s="37"/>
      <c r="U27" s="562"/>
      <c r="V27" s="500"/>
      <c r="W27" s="501">
        <f t="array" aca="1" ref="W27" ca="1">SUM(ROUNDDOWN(D49:I49*단가,0))</f>
        <v>13260702</v>
      </c>
      <c r="X27" s="502"/>
      <c r="Y27" s="170" t="str">
        <f t="shared" si="2"/>
        <v>제 12 호표</v>
      </c>
      <c r="Z27" s="150"/>
    </row>
    <row r="28" spans="1:26" ht="18" customHeight="1">
      <c r="A28" s="355"/>
      <c r="B28" s="568" t="s">
        <v>1350</v>
      </c>
      <c r="C28" s="567"/>
      <c r="D28" s="488">
        <v>0.3</v>
      </c>
      <c r="E28" s="489">
        <v>1</v>
      </c>
      <c r="F28" s="489">
        <v>2.6</v>
      </c>
      <c r="G28" s="489">
        <v>4</v>
      </c>
      <c r="H28" s="489">
        <v>6.6</v>
      </c>
      <c r="I28" s="490">
        <v>9.9</v>
      </c>
      <c r="J28" s="389" t="s">
        <v>1090</v>
      </c>
      <c r="L28" s="494">
        <v>1</v>
      </c>
      <c r="N28" s="292" t="str">
        <f t="shared" si="1"/>
        <v>2.9 스마트도시 운영관리계획</v>
      </c>
      <c r="O28" s="37"/>
      <c r="P28" s="37"/>
      <c r="Q28" s="37"/>
      <c r="R28" s="37"/>
      <c r="S28" s="37"/>
      <c r="T28" s="37"/>
      <c r="U28" s="562"/>
      <c r="V28" s="500"/>
      <c r="W28" s="501">
        <f t="array" aca="1" ref="W28" ca="1">SUM(ROUNDDOWN(D50:I50*단가,0))</f>
        <v>6532258</v>
      </c>
      <c r="X28" s="502"/>
      <c r="Y28" s="170" t="str">
        <f t="shared" si="2"/>
        <v>제 13 호표</v>
      </c>
      <c r="Z28" s="150"/>
    </row>
    <row r="29" spans="1:26" ht="18" customHeight="1">
      <c r="A29" s="326"/>
      <c r="B29" s="222" t="s">
        <v>715</v>
      </c>
      <c r="C29" s="47"/>
      <c r="D29" s="548">
        <f t="shared" ref="D29:I29" si="4">SUBTOTAL(9,D30:D31)</f>
        <v>1</v>
      </c>
      <c r="E29" s="547">
        <f t="shared" si="4"/>
        <v>3.4</v>
      </c>
      <c r="F29" s="547">
        <f t="shared" si="4"/>
        <v>7.6999999999999993</v>
      </c>
      <c r="G29" s="547">
        <f t="shared" si="4"/>
        <v>7.1999999999999993</v>
      </c>
      <c r="H29" s="547">
        <f t="shared" si="4"/>
        <v>17.7</v>
      </c>
      <c r="I29" s="546">
        <f t="shared" si="4"/>
        <v>19.5</v>
      </c>
      <c r="J29" s="594"/>
      <c r="L29" s="494"/>
      <c r="N29" s="354" t="str">
        <f t="shared" si="1"/>
        <v>3. 성과품작성</v>
      </c>
      <c r="O29" s="37"/>
      <c r="P29" s="37"/>
      <c r="Q29" s="37"/>
      <c r="R29" s="37"/>
      <c r="S29" s="37"/>
      <c r="T29" s="37"/>
      <c r="U29" s="562"/>
      <c r="V29" s="500"/>
      <c r="W29" s="486">
        <f ca="1">SUBTOTAL(9,W30:W31)</f>
        <v>15299734</v>
      </c>
      <c r="X29" s="502"/>
      <c r="Y29" s="170" t="str">
        <f t="shared" si="2"/>
        <v/>
      </c>
      <c r="Z29" s="150"/>
    </row>
    <row r="30" spans="1:26" ht="18" customHeight="1">
      <c r="A30" s="326"/>
      <c r="B30" s="223" t="s">
        <v>1351</v>
      </c>
      <c r="C30" s="237"/>
      <c r="D30" s="488">
        <v>0.7</v>
      </c>
      <c r="E30" s="489">
        <v>2.2999999999999998</v>
      </c>
      <c r="F30" s="489">
        <v>5.0999999999999996</v>
      </c>
      <c r="G30" s="489">
        <v>4.3</v>
      </c>
      <c r="H30" s="489">
        <v>7.7</v>
      </c>
      <c r="I30" s="490">
        <v>5.6</v>
      </c>
      <c r="J30" s="400" t="s">
        <v>1090</v>
      </c>
      <c r="L30" s="494">
        <v>1</v>
      </c>
      <c r="N30" s="292" t="str">
        <f t="shared" si="1"/>
        <v>3.1 보고서 작성 및 편집</v>
      </c>
      <c r="O30" s="37"/>
      <c r="P30" s="37"/>
      <c r="Q30" s="37"/>
      <c r="R30" s="37"/>
      <c r="S30" s="37"/>
      <c r="T30" s="37"/>
      <c r="U30" s="562"/>
      <c r="V30" s="500"/>
      <c r="W30" s="501">
        <f t="array" aca="1" ref="W30" ca="1">SUM(ROUNDDOWN(D52:I52*단가,0))</f>
        <v>7253884</v>
      </c>
      <c r="X30" s="502"/>
      <c r="Y30" s="170" t="str">
        <f t="shared" si="2"/>
        <v>제 14 호표</v>
      </c>
      <c r="Z30" s="150"/>
    </row>
    <row r="31" spans="1:26" ht="17.25" customHeight="1">
      <c r="A31" s="326"/>
      <c r="B31" s="223" t="s">
        <v>1352</v>
      </c>
      <c r="C31" s="237"/>
      <c r="D31" s="488">
        <v>0.3</v>
      </c>
      <c r="E31" s="489">
        <v>1.1000000000000001</v>
      </c>
      <c r="F31" s="489">
        <v>2.6</v>
      </c>
      <c r="G31" s="489">
        <v>2.9</v>
      </c>
      <c r="H31" s="489">
        <v>10</v>
      </c>
      <c r="I31" s="490">
        <v>13.9</v>
      </c>
      <c r="J31" s="400" t="s">
        <v>1090</v>
      </c>
      <c r="L31" s="494">
        <v>1</v>
      </c>
      <c r="N31" s="292" t="str">
        <f t="shared" si="1"/>
        <v>3.2 관련도서 작성</v>
      </c>
      <c r="O31" s="37"/>
      <c r="P31" s="37"/>
      <c r="Q31" s="37"/>
      <c r="R31" s="37"/>
      <c r="S31" s="37"/>
      <c r="T31" s="37"/>
      <c r="U31" s="562"/>
      <c r="V31" s="500"/>
      <c r="W31" s="501">
        <f t="array" aca="1" ref="W31" ca="1">SUM(ROUNDDOWN(D53:I53*단가,0))</f>
        <v>8045850</v>
      </c>
      <c r="X31" s="502"/>
      <c r="Y31" s="170" t="str">
        <f t="shared" si="2"/>
        <v>제 15 호표</v>
      </c>
      <c r="Z31" s="150"/>
    </row>
    <row r="32" spans="1:26" ht="18" customHeight="1">
      <c r="A32" s="326"/>
      <c r="B32" s="252" t="s">
        <v>650</v>
      </c>
      <c r="C32" s="47"/>
      <c r="D32" s="509">
        <f t="shared" ref="D32:I32" si="5">SUBTOTAL(9,D33:D34)</f>
        <v>12</v>
      </c>
      <c r="E32" s="510">
        <f t="shared" si="5"/>
        <v>12</v>
      </c>
      <c r="F32" s="510">
        <f t="shared" si="5"/>
        <v>12</v>
      </c>
      <c r="G32" s="510">
        <f t="shared" si="5"/>
        <v>24</v>
      </c>
      <c r="H32" s="510">
        <f t="shared" si="5"/>
        <v>24</v>
      </c>
      <c r="I32" s="511">
        <f t="shared" si="5"/>
        <v>24</v>
      </c>
      <c r="J32" s="389"/>
      <c r="L32" s="494"/>
      <c r="N32" s="79" t="str">
        <f>B32</f>
        <v>4. 기술협의</v>
      </c>
      <c r="O32" s="37"/>
      <c r="P32" s="39"/>
      <c r="Q32" s="37"/>
      <c r="R32" s="117"/>
      <c r="S32" s="37"/>
      <c r="T32" s="37"/>
      <c r="U32" s="556"/>
      <c r="V32" s="500"/>
      <c r="W32" s="486">
        <f ca="1">SUBTOTAL(9,W33:W34)</f>
        <v>32553864</v>
      </c>
      <c r="X32" s="502"/>
      <c r="Y32" s="170" t="str">
        <f t="shared" si="2"/>
        <v/>
      </c>
      <c r="Z32" s="150"/>
    </row>
    <row r="33" spans="1:26" ht="18" customHeight="1">
      <c r="A33" s="326"/>
      <c r="B33" s="223" t="s">
        <v>1353</v>
      </c>
      <c r="C33" s="237"/>
      <c r="D33" s="488">
        <v>6</v>
      </c>
      <c r="E33" s="489">
        <v>6</v>
      </c>
      <c r="F33" s="489">
        <v>6</v>
      </c>
      <c r="G33" s="489">
        <v>12</v>
      </c>
      <c r="H33" s="489">
        <v>12</v>
      </c>
      <c r="I33" s="490">
        <v>12</v>
      </c>
      <c r="J33" s="389" t="s">
        <v>1356</v>
      </c>
      <c r="L33" s="494">
        <v>1</v>
      </c>
      <c r="N33" s="292" t="str">
        <f>B33</f>
        <v>4.1 전문가 자문</v>
      </c>
      <c r="O33" s="37"/>
      <c r="P33" s="39"/>
      <c r="Q33" s="37"/>
      <c r="R33" s="117"/>
      <c r="S33" s="37"/>
      <c r="T33" s="37"/>
      <c r="U33" s="556"/>
      <c r="V33" s="500"/>
      <c r="W33" s="501">
        <f t="array" aca="1" ref="W33" ca="1">SUM(ROUNDDOWN(D55:I55*단가,0))</f>
        <v>16276932</v>
      </c>
      <c r="X33" s="502"/>
      <c r="Y33" s="170" t="str">
        <f t="shared" si="2"/>
        <v>제 16 호표</v>
      </c>
      <c r="Z33" s="150"/>
    </row>
    <row r="34" spans="1:26" ht="18" customHeight="1" thickBot="1">
      <c r="A34" s="326"/>
      <c r="B34" s="223" t="s">
        <v>1354</v>
      </c>
      <c r="C34" s="237"/>
      <c r="D34" s="488">
        <v>6</v>
      </c>
      <c r="E34" s="489">
        <v>6</v>
      </c>
      <c r="F34" s="489">
        <v>6</v>
      </c>
      <c r="G34" s="489">
        <v>12</v>
      </c>
      <c r="H34" s="489">
        <v>12</v>
      </c>
      <c r="I34" s="490">
        <v>12</v>
      </c>
      <c r="J34" s="612" t="s">
        <v>1357</v>
      </c>
      <c r="L34" s="494">
        <v>1</v>
      </c>
      <c r="N34" s="292" t="str">
        <f>B34</f>
        <v>4.2 관계기관 협의</v>
      </c>
      <c r="O34" s="37"/>
      <c r="P34" s="39"/>
      <c r="Q34" s="37"/>
      <c r="R34" s="117"/>
      <c r="S34" s="37"/>
      <c r="T34" s="37"/>
      <c r="U34" s="556"/>
      <c r="V34" s="500"/>
      <c r="W34" s="501">
        <f t="array" aca="1" ref="W34" ca="1">SUM(ROUNDDOWN(D56:I56*단가,0))</f>
        <v>16276932</v>
      </c>
      <c r="X34" s="502"/>
      <c r="Y34" s="170" t="str">
        <f t="shared" si="2"/>
        <v>제 17 호표</v>
      </c>
      <c r="Z34" s="150"/>
    </row>
    <row r="35" spans="1:26" ht="18" customHeight="1" thickBot="1">
      <c r="A35" s="326"/>
      <c r="B35" s="14" t="s">
        <v>30</v>
      </c>
      <c r="C35" s="250"/>
      <c r="D35" s="249" t="s">
        <v>714</v>
      </c>
      <c r="E35" s="251"/>
      <c r="F35" s="251"/>
      <c r="G35" s="251"/>
      <c r="H35" s="251"/>
      <c r="I35" s="250"/>
      <c r="J35" s="175" t="s">
        <v>31</v>
      </c>
      <c r="N35" s="377"/>
      <c r="P35" s="371"/>
      <c r="R35" s="357"/>
      <c r="S35" s="1"/>
      <c r="T35" s="1"/>
      <c r="U35" s="554"/>
      <c r="V35" s="553"/>
      <c r="W35" s="552"/>
      <c r="X35" s="551"/>
      <c r="Y35" s="375"/>
      <c r="Z35" s="378"/>
    </row>
    <row r="36" spans="1:26" ht="18" customHeight="1">
      <c r="A36" s="326"/>
      <c r="B36" s="73" t="s">
        <v>1337</v>
      </c>
      <c r="C36" s="72"/>
      <c r="D36" s="479">
        <f t="shared" ref="D36:I36" si="6">SUBTOTAL(9,D37:D40)</f>
        <v>2.5999999999999996</v>
      </c>
      <c r="E36" s="480">
        <f t="shared" si="6"/>
        <v>4.8000000000000007</v>
      </c>
      <c r="F36" s="480">
        <f t="shared" si="6"/>
        <v>12.4</v>
      </c>
      <c r="G36" s="480">
        <f t="shared" si="6"/>
        <v>21.7</v>
      </c>
      <c r="H36" s="480">
        <f t="shared" si="6"/>
        <v>33.9</v>
      </c>
      <c r="I36" s="481">
        <f t="shared" si="6"/>
        <v>50.5</v>
      </c>
      <c r="J36" s="73"/>
      <c r="N36" s="290" t="s">
        <v>713</v>
      </c>
      <c r="O36" s="129"/>
      <c r="P36" s="130"/>
      <c r="Q36" s="124"/>
      <c r="R36" s="131"/>
      <c r="S36" s="124"/>
      <c r="T36" s="124"/>
      <c r="U36" s="476"/>
      <c r="V36" s="476"/>
      <c r="W36" s="517">
        <f>SUBTOTAL(9,W37:W39)</f>
        <v>4500000</v>
      </c>
      <c r="X36" s="478"/>
      <c r="Y36" s="124"/>
      <c r="Z36" s="124"/>
    </row>
    <row r="37" spans="1:26" ht="18" customHeight="1">
      <c r="A37" s="326">
        <v>1</v>
      </c>
      <c r="B37" s="409" t="s">
        <v>1338</v>
      </c>
      <c r="C37" s="237"/>
      <c r="D37" s="488">
        <f t="array" ref="D37:I40">ROUND(D15:I18*L15:L18*D5,1)</f>
        <v>0.4</v>
      </c>
      <c r="E37" s="489">
        <v>0.6</v>
      </c>
      <c r="F37" s="489">
        <v>1.2</v>
      </c>
      <c r="G37" s="489">
        <v>1.8</v>
      </c>
      <c r="H37" s="489">
        <v>3</v>
      </c>
      <c r="I37" s="490">
        <v>3.5</v>
      </c>
      <c r="J37" s="74"/>
      <c r="N37" s="128" t="str">
        <f>"여비("&amp;TEXT(R37,"#인 ×")&amp;TEXT(S37,"#일 ×")&amp;TEXT(T37,"###,###원)")</f>
        <v>여비(3인 ×5일 ×100,000원)</v>
      </c>
      <c r="O37" s="78"/>
      <c r="P37" s="52"/>
      <c r="Q37" s="51"/>
      <c r="R37" s="146">
        <v>3</v>
      </c>
      <c r="S37" s="146">
        <v>5</v>
      </c>
      <c r="T37" s="519">
        <v>100000</v>
      </c>
      <c r="U37" s="550"/>
      <c r="V37" s="550"/>
      <c r="W37" s="520">
        <f>R37*S37*T37</f>
        <v>1500000</v>
      </c>
      <c r="X37" s="521"/>
      <c r="Y37" s="51"/>
      <c r="Z37" s="51"/>
    </row>
    <row r="38" spans="1:26" ht="18" customHeight="1">
      <c r="A38" s="326">
        <v>2</v>
      </c>
      <c r="B38" s="409" t="s">
        <v>1339</v>
      </c>
      <c r="C38" s="237"/>
      <c r="D38" s="488">
        <v>0.4</v>
      </c>
      <c r="E38" s="489">
        <v>0.8</v>
      </c>
      <c r="F38" s="489">
        <v>1.3</v>
      </c>
      <c r="G38" s="489">
        <v>3.2</v>
      </c>
      <c r="H38" s="489">
        <v>4.3</v>
      </c>
      <c r="I38" s="490">
        <v>7.4</v>
      </c>
      <c r="J38" s="74"/>
      <c r="N38" s="79" t="s">
        <v>46</v>
      </c>
      <c r="O38" s="79"/>
      <c r="P38" s="39"/>
      <c r="Q38" s="37"/>
      <c r="R38" s="117"/>
      <c r="S38" s="37"/>
      <c r="T38" s="37"/>
      <c r="U38" s="523"/>
      <c r="V38" s="523"/>
      <c r="W38" s="524">
        <v>2000000</v>
      </c>
      <c r="X38" s="525"/>
      <c r="Y38" s="37"/>
      <c r="Z38" s="37"/>
    </row>
    <row r="39" spans="1:26" ht="18" customHeight="1">
      <c r="A39" s="326">
        <v>3</v>
      </c>
      <c r="B39" s="223" t="s">
        <v>1340</v>
      </c>
      <c r="C39" s="237"/>
      <c r="D39" s="488">
        <v>1.5</v>
      </c>
      <c r="E39" s="489">
        <v>3</v>
      </c>
      <c r="F39" s="489">
        <v>9</v>
      </c>
      <c r="G39" s="489">
        <v>15</v>
      </c>
      <c r="H39" s="489">
        <v>24</v>
      </c>
      <c r="I39" s="490">
        <v>37</v>
      </c>
      <c r="J39" s="74"/>
      <c r="N39" s="132" t="s">
        <v>712</v>
      </c>
      <c r="O39" s="132"/>
      <c r="P39" s="38"/>
      <c r="Q39" s="38"/>
      <c r="R39" s="116"/>
      <c r="S39" s="38"/>
      <c r="T39" s="38"/>
      <c r="U39" s="526"/>
      <c r="V39" s="526"/>
      <c r="W39" s="527">
        <v>1000000</v>
      </c>
      <c r="X39" s="528"/>
      <c r="Y39" s="38"/>
      <c r="Z39" s="38"/>
    </row>
    <row r="40" spans="1:26" ht="18" customHeight="1">
      <c r="A40" s="326">
        <v>4</v>
      </c>
      <c r="B40" s="409" t="s">
        <v>1341</v>
      </c>
      <c r="C40" s="237"/>
      <c r="D40" s="488">
        <v>0.3</v>
      </c>
      <c r="E40" s="489">
        <v>0.4</v>
      </c>
      <c r="F40" s="489">
        <v>0.9</v>
      </c>
      <c r="G40" s="489">
        <v>1.7</v>
      </c>
      <c r="H40" s="489">
        <v>2.6</v>
      </c>
      <c r="I40" s="490">
        <v>2.6</v>
      </c>
      <c r="J40" s="74"/>
      <c r="N40" s="127" t="s">
        <v>47</v>
      </c>
      <c r="O40" s="123"/>
      <c r="P40" s="123"/>
      <c r="Q40" s="123"/>
      <c r="R40" s="123"/>
      <c r="S40" s="123"/>
      <c r="T40" s="123"/>
      <c r="U40" s="473"/>
      <c r="V40" s="473"/>
      <c r="W40" s="474">
        <f ca="1">SUBTOTAL(9,W41:W42)</f>
        <v>290181083</v>
      </c>
      <c r="X40" s="475"/>
      <c r="Y40" s="123"/>
      <c r="Z40" s="123"/>
    </row>
    <row r="41" spans="1:26" ht="18" customHeight="1">
      <c r="A41" s="326"/>
      <c r="B41" s="222" t="s">
        <v>716</v>
      </c>
      <c r="C41" s="47"/>
      <c r="D41" s="548">
        <f t="shared" ref="D41:I41" si="7">SUBTOTAL(9,D42:D50)</f>
        <v>6.4999999999999991</v>
      </c>
      <c r="E41" s="547">
        <f t="shared" si="7"/>
        <v>11.6</v>
      </c>
      <c r="F41" s="547">
        <f t="shared" si="7"/>
        <v>44.1</v>
      </c>
      <c r="G41" s="547">
        <f t="shared" si="7"/>
        <v>48.5</v>
      </c>
      <c r="H41" s="547">
        <f t="shared" si="7"/>
        <v>87.4</v>
      </c>
      <c r="I41" s="546">
        <f t="shared" si="7"/>
        <v>95.800000000000011</v>
      </c>
      <c r="J41" s="13"/>
      <c r="L41" s="171"/>
      <c r="N41" s="133" t="s">
        <v>861</v>
      </c>
      <c r="O41" s="124"/>
      <c r="P41" s="134"/>
      <c r="Q41" s="124"/>
      <c r="R41" s="131"/>
      <c r="S41" s="124"/>
      <c r="T41" s="476"/>
      <c r="U41" s="476"/>
      <c r="V41" s="190">
        <v>1.1499999999999999</v>
      </c>
      <c r="W41" s="517">
        <f ca="1">ROUNDDOWN(W13*V41,0)</f>
        <v>185909886</v>
      </c>
      <c r="X41" s="478"/>
      <c r="Y41" s="124"/>
      <c r="Z41" s="124"/>
    </row>
    <row r="42" spans="1:26" ht="18" customHeight="1" thickBot="1">
      <c r="A42" s="326">
        <v>5</v>
      </c>
      <c r="B42" s="223" t="s">
        <v>1342</v>
      </c>
      <c r="C42" s="237"/>
      <c r="D42" s="488">
        <f t="array" ref="D42:I50">ROUND(D20:I28*L20:L28*D5,1)</f>
        <v>0.7</v>
      </c>
      <c r="E42" s="489">
        <v>1.1000000000000001</v>
      </c>
      <c r="F42" s="489">
        <v>5.3</v>
      </c>
      <c r="G42" s="489">
        <v>5.3</v>
      </c>
      <c r="H42" s="489">
        <v>8.8000000000000007</v>
      </c>
      <c r="I42" s="490">
        <v>13.2</v>
      </c>
      <c r="J42" s="74"/>
      <c r="M42" s="171"/>
      <c r="N42" s="135" t="s">
        <v>862</v>
      </c>
      <c r="O42" s="136"/>
      <c r="P42" s="137"/>
      <c r="Q42" s="136"/>
      <c r="R42" s="138"/>
      <c r="S42" s="136"/>
      <c r="T42" s="529"/>
      <c r="U42" s="529"/>
      <c r="V42" s="191">
        <v>0.3</v>
      </c>
      <c r="W42" s="549">
        <f ca="1">ROUNDDOWN((W13+W41)*V42,0)</f>
        <v>104271197</v>
      </c>
      <c r="X42" s="530"/>
      <c r="Y42" s="136"/>
      <c r="Z42" s="136"/>
    </row>
    <row r="43" spans="1:26" ht="18" customHeight="1">
      <c r="A43" s="326">
        <v>6</v>
      </c>
      <c r="B43" s="568" t="s">
        <v>1343</v>
      </c>
      <c r="C43" s="569"/>
      <c r="D43" s="488">
        <v>1.3</v>
      </c>
      <c r="E43" s="489">
        <v>1.6</v>
      </c>
      <c r="F43" s="489">
        <v>7.4</v>
      </c>
      <c r="G43" s="489">
        <v>7.4</v>
      </c>
      <c r="H43" s="489">
        <v>14.9</v>
      </c>
      <c r="I43" s="490">
        <v>14.9</v>
      </c>
      <c r="J43" s="74"/>
    </row>
    <row r="44" spans="1:26" ht="18" customHeight="1">
      <c r="A44" s="326">
        <v>7</v>
      </c>
      <c r="B44" s="568" t="s">
        <v>1344</v>
      </c>
      <c r="C44" s="237"/>
      <c r="D44" s="488">
        <v>1.3</v>
      </c>
      <c r="E44" s="489">
        <v>1.6</v>
      </c>
      <c r="F44" s="489">
        <v>7.4</v>
      </c>
      <c r="G44" s="489">
        <v>7.4</v>
      </c>
      <c r="H44" s="489">
        <v>14.9</v>
      </c>
      <c r="I44" s="490">
        <v>14.9</v>
      </c>
      <c r="J44" s="74"/>
    </row>
    <row r="45" spans="1:26" ht="18" customHeight="1" thickBot="1">
      <c r="A45" s="326">
        <v>8</v>
      </c>
      <c r="B45" s="568" t="s">
        <v>1345</v>
      </c>
      <c r="C45" s="237"/>
      <c r="D45" s="488">
        <v>0.7</v>
      </c>
      <c r="E45" s="489">
        <v>1.1000000000000001</v>
      </c>
      <c r="F45" s="489">
        <v>5.3</v>
      </c>
      <c r="G45" s="489">
        <v>5.3</v>
      </c>
      <c r="H45" s="489">
        <v>8.8000000000000007</v>
      </c>
      <c r="I45" s="490">
        <v>13.2</v>
      </c>
      <c r="J45" s="74"/>
      <c r="N45" s="66" t="s">
        <v>18</v>
      </c>
      <c r="O45" s="2"/>
      <c r="P45" s="2"/>
      <c r="Q45" s="2"/>
      <c r="R45" s="3"/>
      <c r="S45" s="4"/>
      <c r="T45" s="3"/>
      <c r="U45" s="4"/>
      <c r="V45" s="3"/>
      <c r="W45" s="4"/>
      <c r="X45" s="3"/>
      <c r="Y45" s="4"/>
      <c r="Z45" s="2"/>
    </row>
    <row r="46" spans="1:26" ht="18" customHeight="1">
      <c r="A46" s="326">
        <v>9</v>
      </c>
      <c r="B46" s="568" t="s">
        <v>1346</v>
      </c>
      <c r="C46" s="567"/>
      <c r="D46" s="488">
        <v>0.6</v>
      </c>
      <c r="E46" s="489">
        <v>1</v>
      </c>
      <c r="F46" s="489">
        <v>3.4</v>
      </c>
      <c r="G46" s="489">
        <v>4.5999999999999996</v>
      </c>
      <c r="H46" s="489">
        <v>6.6</v>
      </c>
      <c r="I46" s="490">
        <v>4.8</v>
      </c>
      <c r="J46" s="74"/>
      <c r="N46" s="765" t="s">
        <v>19</v>
      </c>
      <c r="O46" s="755" t="s">
        <v>20</v>
      </c>
      <c r="P46" s="755" t="s">
        <v>21</v>
      </c>
      <c r="Q46" s="755" t="s">
        <v>711</v>
      </c>
      <c r="R46" s="5" t="s">
        <v>22</v>
      </c>
      <c r="S46" s="5"/>
      <c r="T46" s="5" t="s">
        <v>23</v>
      </c>
      <c r="U46" s="5"/>
      <c r="V46" s="5" t="s">
        <v>24</v>
      </c>
      <c r="W46" s="5"/>
      <c r="X46" s="5" t="s">
        <v>25</v>
      </c>
      <c r="Y46" s="5"/>
      <c r="Z46" s="755" t="s">
        <v>26</v>
      </c>
    </row>
    <row r="47" spans="1:26" ht="18" customHeight="1" thickBot="1">
      <c r="A47" s="326">
        <v>10</v>
      </c>
      <c r="B47" s="568" t="s">
        <v>1347</v>
      </c>
      <c r="C47" s="567"/>
      <c r="D47" s="488">
        <v>0.6</v>
      </c>
      <c r="E47" s="489">
        <v>1</v>
      </c>
      <c r="F47" s="489">
        <v>3.4</v>
      </c>
      <c r="G47" s="489">
        <v>4.5999999999999996</v>
      </c>
      <c r="H47" s="489">
        <v>6.6</v>
      </c>
      <c r="I47" s="490">
        <v>4.8</v>
      </c>
      <c r="J47" s="74"/>
      <c r="N47" s="766"/>
      <c r="O47" s="756"/>
      <c r="P47" s="756"/>
      <c r="Q47" s="756"/>
      <c r="R47" s="67" t="s">
        <v>27</v>
      </c>
      <c r="S47" s="67" t="s">
        <v>28</v>
      </c>
      <c r="T47" s="67" t="s">
        <v>27</v>
      </c>
      <c r="U47" s="67" t="s">
        <v>28</v>
      </c>
      <c r="V47" s="67" t="s">
        <v>27</v>
      </c>
      <c r="W47" s="67" t="s">
        <v>28</v>
      </c>
      <c r="X47" s="67" t="s">
        <v>27</v>
      </c>
      <c r="Y47" s="67" t="s">
        <v>28</v>
      </c>
      <c r="Z47" s="756"/>
    </row>
    <row r="48" spans="1:26" ht="18" customHeight="1" thickTop="1">
      <c r="A48" s="326">
        <v>11</v>
      </c>
      <c r="B48" s="568" t="s">
        <v>1348</v>
      </c>
      <c r="C48" s="567"/>
      <c r="D48" s="488">
        <v>0.7</v>
      </c>
      <c r="E48" s="489">
        <v>1.2</v>
      </c>
      <c r="F48" s="489">
        <v>1.8</v>
      </c>
      <c r="G48" s="489">
        <v>2.8</v>
      </c>
      <c r="H48" s="489">
        <v>4.4000000000000004</v>
      </c>
      <c r="I48" s="490">
        <v>3.2</v>
      </c>
      <c r="J48" s="74"/>
      <c r="N48" s="532" t="str">
        <f ca="1">"제 " &amp; Z48 &amp; " 호표  "&amp; OFFSET($A$1,MATCH(Z48,$A:$A,0)-1,1)</f>
        <v>제 1 호표  1.1 관련 정책 및 계획 분석</v>
      </c>
      <c r="O48" s="533"/>
      <c r="P48" s="148"/>
      <c r="Q48" s="148"/>
      <c r="R48" s="149"/>
      <c r="S48" s="149"/>
      <c r="T48" s="149"/>
      <c r="U48" s="149"/>
      <c r="V48" s="149"/>
      <c r="W48" s="149"/>
      <c r="X48" s="149"/>
      <c r="Y48" s="149"/>
      <c r="Z48" s="325">
        <v>1</v>
      </c>
    </row>
    <row r="49" spans="1:27" ht="18" customHeight="1">
      <c r="A49" s="326">
        <v>12</v>
      </c>
      <c r="B49" s="568" t="s">
        <v>1349</v>
      </c>
      <c r="C49" s="567"/>
      <c r="D49" s="488">
        <v>0.3</v>
      </c>
      <c r="E49" s="489">
        <v>2</v>
      </c>
      <c r="F49" s="489">
        <v>7.5</v>
      </c>
      <c r="G49" s="489">
        <v>7.1</v>
      </c>
      <c r="H49" s="489">
        <v>15.8</v>
      </c>
      <c r="I49" s="490">
        <v>16.899999999999999</v>
      </c>
      <c r="J49" s="74"/>
      <c r="N49" s="140" t="s">
        <v>43</v>
      </c>
      <c r="O49" s="172">
        <v>3</v>
      </c>
      <c r="P49" s="534">
        <f ca="1">OFFSET($A$1,MATCH(Z48,$A:$A,0)-1,O49)</f>
        <v>0.4</v>
      </c>
      <c r="Q49" s="141" t="s">
        <v>29</v>
      </c>
      <c r="R49" s="142">
        <f t="shared" ref="R49:S54" ca="1" si="8">T49</f>
        <v>467217</v>
      </c>
      <c r="S49" s="142">
        <f t="shared" ca="1" si="8"/>
        <v>186886</v>
      </c>
      <c r="T49" s="142">
        <f ca="1">기술사</f>
        <v>467217</v>
      </c>
      <c r="U49" s="142">
        <f t="shared" ref="U49:U54" ca="1" si="9">ROUNDDOWN(P49*R49,0)</f>
        <v>186886</v>
      </c>
      <c r="V49" s="142"/>
      <c r="W49" s="142"/>
      <c r="X49" s="142"/>
      <c r="Y49" s="142"/>
      <c r="Z49" s="114"/>
    </row>
    <row r="50" spans="1:27" ht="18" customHeight="1">
      <c r="A50" s="326">
        <v>13</v>
      </c>
      <c r="B50" s="568" t="s">
        <v>1350</v>
      </c>
      <c r="C50" s="567"/>
      <c r="D50" s="488">
        <v>0.3</v>
      </c>
      <c r="E50" s="489">
        <v>1</v>
      </c>
      <c r="F50" s="489">
        <v>2.6</v>
      </c>
      <c r="G50" s="489">
        <v>4</v>
      </c>
      <c r="H50" s="489">
        <v>6.6</v>
      </c>
      <c r="I50" s="490">
        <v>9.9</v>
      </c>
      <c r="J50" s="74"/>
      <c r="N50" s="143" t="s">
        <v>32</v>
      </c>
      <c r="O50" s="173">
        <v>4</v>
      </c>
      <c r="P50" s="234">
        <f ca="1">OFFSET($A$1,MATCH(Z48,$A:$A,0)-1,O50)</f>
        <v>0.6</v>
      </c>
      <c r="Q50" s="144" t="s">
        <v>29</v>
      </c>
      <c r="R50" s="118">
        <f t="shared" ca="1" si="8"/>
        <v>373353</v>
      </c>
      <c r="S50" s="118">
        <f t="shared" ca="1" si="8"/>
        <v>224011</v>
      </c>
      <c r="T50" s="118">
        <f ca="1">특급</f>
        <v>373353</v>
      </c>
      <c r="U50" s="118">
        <f t="shared" ca="1" si="9"/>
        <v>224011</v>
      </c>
      <c r="V50" s="118"/>
      <c r="W50" s="118"/>
      <c r="X50" s="118"/>
      <c r="Y50" s="118"/>
      <c r="Z50" s="115"/>
    </row>
    <row r="51" spans="1:27" ht="18" customHeight="1">
      <c r="A51" s="326"/>
      <c r="B51" s="222" t="s">
        <v>715</v>
      </c>
      <c r="C51" s="47"/>
      <c r="D51" s="548">
        <f t="shared" ref="D51:I51" si="10">SUBTOTAL(9,D52:D53)</f>
        <v>1</v>
      </c>
      <c r="E51" s="547">
        <f t="shared" si="10"/>
        <v>3.4</v>
      </c>
      <c r="F51" s="547">
        <f t="shared" si="10"/>
        <v>7.6999999999999993</v>
      </c>
      <c r="G51" s="547">
        <f t="shared" si="10"/>
        <v>7.1999999999999993</v>
      </c>
      <c r="H51" s="547">
        <f t="shared" si="10"/>
        <v>17.7</v>
      </c>
      <c r="I51" s="546">
        <f t="shared" si="10"/>
        <v>19.5</v>
      </c>
      <c r="J51" s="13"/>
      <c r="N51" s="145" t="s">
        <v>39</v>
      </c>
      <c r="O51" s="173">
        <v>5</v>
      </c>
      <c r="P51" s="234">
        <f ca="1">OFFSET($A$1,MATCH(Z48,$A:$A,0)-1,O51)</f>
        <v>1.2</v>
      </c>
      <c r="Q51" s="144" t="s">
        <v>29</v>
      </c>
      <c r="R51" s="118">
        <f t="shared" ca="1" si="8"/>
        <v>310884</v>
      </c>
      <c r="S51" s="118">
        <f t="shared" ca="1" si="8"/>
        <v>373060</v>
      </c>
      <c r="T51" s="118">
        <f ca="1">고급</f>
        <v>310884</v>
      </c>
      <c r="U51" s="118">
        <f t="shared" ca="1" si="9"/>
        <v>373060</v>
      </c>
      <c r="V51" s="118"/>
      <c r="W51" s="118"/>
      <c r="X51" s="118"/>
      <c r="Y51" s="118"/>
      <c r="Z51" s="115"/>
    </row>
    <row r="52" spans="1:27" ht="18" customHeight="1">
      <c r="A52" s="326">
        <v>14</v>
      </c>
      <c r="B52" s="223" t="s">
        <v>1351</v>
      </c>
      <c r="C52" s="237"/>
      <c r="D52" s="488">
        <f t="array" ref="D52:I53">ROUND(D30:I31*L30:L31*D5,1)</f>
        <v>0.7</v>
      </c>
      <c r="E52" s="489">
        <v>2.2999999999999998</v>
      </c>
      <c r="F52" s="489">
        <v>5.0999999999999996</v>
      </c>
      <c r="G52" s="489">
        <v>4.3</v>
      </c>
      <c r="H52" s="489">
        <v>7.7</v>
      </c>
      <c r="I52" s="490">
        <v>5.6</v>
      </c>
      <c r="J52" s="23"/>
      <c r="N52" s="145" t="s">
        <v>40</v>
      </c>
      <c r="O52" s="173">
        <v>6</v>
      </c>
      <c r="P52" s="234">
        <f ca="1">OFFSET($A$1,MATCH(Z48,$A:$A,0)-1,O52)</f>
        <v>1.8</v>
      </c>
      <c r="Q52" s="144" t="s">
        <v>29</v>
      </c>
      <c r="R52" s="118">
        <f t="shared" ca="1" si="8"/>
        <v>295138</v>
      </c>
      <c r="S52" s="118">
        <f t="shared" ca="1" si="8"/>
        <v>531248</v>
      </c>
      <c r="T52" s="118">
        <f ca="1">중급</f>
        <v>295138</v>
      </c>
      <c r="U52" s="118">
        <f t="shared" ca="1" si="9"/>
        <v>531248</v>
      </c>
      <c r="V52" s="118"/>
      <c r="W52" s="118"/>
      <c r="X52" s="118"/>
      <c r="Y52" s="118"/>
      <c r="Z52" s="115"/>
    </row>
    <row r="53" spans="1:27" ht="18" customHeight="1">
      <c r="A53" s="326">
        <v>15</v>
      </c>
      <c r="B53" s="259" t="s">
        <v>1352</v>
      </c>
      <c r="C53" s="264"/>
      <c r="D53" s="491">
        <v>0.3</v>
      </c>
      <c r="E53" s="492">
        <v>1.1000000000000001</v>
      </c>
      <c r="F53" s="492">
        <v>2.6</v>
      </c>
      <c r="G53" s="492">
        <v>2.9</v>
      </c>
      <c r="H53" s="492">
        <v>10</v>
      </c>
      <c r="I53" s="493">
        <v>13.9</v>
      </c>
      <c r="J53" s="43"/>
      <c r="N53" s="145" t="s">
        <v>41</v>
      </c>
      <c r="O53" s="173">
        <v>7</v>
      </c>
      <c r="P53" s="234">
        <f ca="1">OFFSET($A$1,MATCH(Z48,$A:$A,0)-1,O53)</f>
        <v>3</v>
      </c>
      <c r="Q53" s="144" t="s">
        <v>29</v>
      </c>
      <c r="R53" s="118">
        <f t="shared" ca="1" si="8"/>
        <v>235459</v>
      </c>
      <c r="S53" s="118">
        <f t="shared" ca="1" si="8"/>
        <v>706377</v>
      </c>
      <c r="T53" s="118">
        <f ca="1">초급</f>
        <v>235459</v>
      </c>
      <c r="U53" s="118">
        <f t="shared" ca="1" si="9"/>
        <v>706377</v>
      </c>
      <c r="V53" s="118"/>
      <c r="W53" s="118"/>
      <c r="X53" s="118"/>
      <c r="Y53" s="118"/>
      <c r="Z53" s="115"/>
    </row>
    <row r="54" spans="1:27" ht="18" customHeight="1">
      <c r="A54" s="326"/>
      <c r="B54" s="222" t="s">
        <v>650</v>
      </c>
      <c r="C54" s="47"/>
      <c r="D54" s="503">
        <f t="shared" ref="D54:I54" si="11">SUBTOTAL(9,D55:D56)</f>
        <v>12</v>
      </c>
      <c r="E54" s="504">
        <f t="shared" si="11"/>
        <v>12</v>
      </c>
      <c r="F54" s="504">
        <f t="shared" si="11"/>
        <v>12</v>
      </c>
      <c r="G54" s="504">
        <f t="shared" si="11"/>
        <v>24</v>
      </c>
      <c r="H54" s="504">
        <f t="shared" si="11"/>
        <v>24</v>
      </c>
      <c r="I54" s="505">
        <f t="shared" si="11"/>
        <v>24</v>
      </c>
      <c r="J54" s="287"/>
      <c r="L54" s="171"/>
      <c r="N54" s="319" t="s">
        <v>42</v>
      </c>
      <c r="O54" s="174">
        <v>8</v>
      </c>
      <c r="P54" s="235">
        <f ca="1">OFFSET($A$1,MATCH(Z48,$A:$A,0)-1,O54)</f>
        <v>3.5</v>
      </c>
      <c r="Q54" s="322" t="s">
        <v>29</v>
      </c>
      <c r="R54" s="323">
        <f t="shared" ca="1" si="8"/>
        <v>250087</v>
      </c>
      <c r="S54" s="323">
        <f t="shared" ca="1" si="8"/>
        <v>875304</v>
      </c>
      <c r="T54" s="323">
        <f ca="1">보조원</f>
        <v>250087</v>
      </c>
      <c r="U54" s="323">
        <f t="shared" ca="1" si="9"/>
        <v>875304</v>
      </c>
      <c r="V54" s="323"/>
      <c r="W54" s="323"/>
      <c r="X54" s="323"/>
      <c r="Y54" s="323"/>
      <c r="Z54" s="324"/>
    </row>
    <row r="55" spans="1:27" ht="18" customHeight="1">
      <c r="A55" s="326">
        <v>16</v>
      </c>
      <c r="B55" s="223" t="s">
        <v>1353</v>
      </c>
      <c r="C55" s="237"/>
      <c r="D55" s="488">
        <f t="array" ref="D55:I56">ROUND(D33:I34*L33:L34*I5,1)</f>
        <v>6</v>
      </c>
      <c r="E55" s="489">
        <v>6</v>
      </c>
      <c r="F55" s="489">
        <v>6</v>
      </c>
      <c r="G55" s="489">
        <v>12</v>
      </c>
      <c r="H55" s="489">
        <v>12</v>
      </c>
      <c r="I55" s="490">
        <v>12</v>
      </c>
      <c r="J55" s="74"/>
      <c r="L55" s="171"/>
      <c r="M55" s="171"/>
      <c r="N55" s="139" t="s">
        <v>700</v>
      </c>
      <c r="O55" s="68"/>
      <c r="P55" s="69"/>
      <c r="Q55" s="70"/>
      <c r="R55" s="71"/>
      <c r="S55" s="71">
        <f ca="1">SUBTOTAL(9,S49:S54)</f>
        <v>2896886</v>
      </c>
      <c r="T55" s="71"/>
      <c r="U55" s="71">
        <f ca="1">SUBTOTAL(9,U49:U54)</f>
        <v>2896886</v>
      </c>
      <c r="V55" s="71"/>
      <c r="W55" s="71"/>
      <c r="X55" s="71"/>
      <c r="Y55" s="71"/>
      <c r="Z55" s="68"/>
    </row>
    <row r="56" spans="1:27" ht="18" customHeight="1" thickBot="1">
      <c r="A56" s="326">
        <v>17</v>
      </c>
      <c r="B56" s="388" t="s">
        <v>1354</v>
      </c>
      <c r="C56" s="401"/>
      <c r="D56" s="535">
        <v>6</v>
      </c>
      <c r="E56" s="536">
        <v>6</v>
      </c>
      <c r="F56" s="536">
        <v>6</v>
      </c>
      <c r="G56" s="536">
        <v>12</v>
      </c>
      <c r="H56" s="536">
        <v>12</v>
      </c>
      <c r="I56" s="537">
        <v>12</v>
      </c>
      <c r="J56" s="176"/>
      <c r="L56" s="171"/>
      <c r="M56" s="171"/>
      <c r="N56" s="532" t="str">
        <f ca="1">"제 " &amp; Z56 &amp; " 호표  "&amp; OFFSET($A$1,MATCH(Z56,$A:$A,0)-1,1)</f>
        <v>제 2 호표  1.2 스마트도시 기반시설 조사 분석</v>
      </c>
      <c r="O56" s="533"/>
      <c r="P56" s="148"/>
      <c r="Q56" s="148"/>
      <c r="R56" s="149"/>
      <c r="S56" s="149"/>
      <c r="T56" s="149"/>
      <c r="U56" s="149"/>
      <c r="V56" s="149"/>
      <c r="W56" s="149"/>
      <c r="X56" s="149"/>
      <c r="Y56" s="149"/>
      <c r="Z56" s="325">
        <f>Z48+1</f>
        <v>2</v>
      </c>
    </row>
    <row r="57" spans="1:27" ht="18" customHeight="1">
      <c r="A57" s="326"/>
      <c r="B57" s="80" t="s">
        <v>15</v>
      </c>
      <c r="C57" s="9" t="s">
        <v>1327</v>
      </c>
      <c r="L57" s="171"/>
      <c r="M57" s="171"/>
      <c r="N57" s="140" t="s">
        <v>43</v>
      </c>
      <c r="O57" s="172">
        <v>3</v>
      </c>
      <c r="P57" s="534">
        <f ca="1">OFFSET($A$1,MATCH(Z56,$A:$A,0)-1,O57)</f>
        <v>0.4</v>
      </c>
      <c r="Q57" s="141" t="s">
        <v>29</v>
      </c>
      <c r="R57" s="142">
        <f t="shared" ref="R57:S62" ca="1" si="12">T57</f>
        <v>467217</v>
      </c>
      <c r="S57" s="142">
        <f t="shared" ca="1" si="12"/>
        <v>186886</v>
      </c>
      <c r="T57" s="142">
        <f ca="1">기술사</f>
        <v>467217</v>
      </c>
      <c r="U57" s="142">
        <f t="shared" ref="U57:U62" ca="1" si="13">ROUNDDOWN(P57*R57,0)</f>
        <v>186886</v>
      </c>
      <c r="V57" s="142"/>
      <c r="W57" s="142"/>
      <c r="X57" s="142"/>
      <c r="Y57" s="142"/>
      <c r="Z57" s="114"/>
    </row>
    <row r="58" spans="1:27" ht="18" customHeight="1">
      <c r="A58" s="326"/>
      <c r="C58" s="1" t="s">
        <v>1217</v>
      </c>
      <c r="L58" s="171"/>
      <c r="M58" s="171"/>
      <c r="N58" s="143" t="s">
        <v>32</v>
      </c>
      <c r="O58" s="173">
        <v>4</v>
      </c>
      <c r="P58" s="234">
        <f ca="1">OFFSET($A$1,MATCH(Z56,$A:$A,0)-1,O58)</f>
        <v>0.8</v>
      </c>
      <c r="Q58" s="144" t="s">
        <v>29</v>
      </c>
      <c r="R58" s="118">
        <f t="shared" ca="1" si="12"/>
        <v>373353</v>
      </c>
      <c r="S58" s="118">
        <f t="shared" ca="1" si="12"/>
        <v>298682</v>
      </c>
      <c r="T58" s="118">
        <f ca="1">특급</f>
        <v>373353</v>
      </c>
      <c r="U58" s="118">
        <f t="shared" ca="1" si="13"/>
        <v>298682</v>
      </c>
      <c r="V58" s="118"/>
      <c r="W58" s="118"/>
      <c r="X58" s="118"/>
      <c r="Y58" s="118"/>
      <c r="Z58" s="115"/>
    </row>
    <row r="59" spans="1:27" ht="18" customHeight="1">
      <c r="A59" s="326"/>
      <c r="C59" s="9" t="s">
        <v>1358</v>
      </c>
      <c r="K59" s="171" t="s">
        <v>708</v>
      </c>
      <c r="L59" s="171"/>
      <c r="M59" s="171"/>
      <c r="N59" s="145" t="s">
        <v>39</v>
      </c>
      <c r="O59" s="173">
        <v>5</v>
      </c>
      <c r="P59" s="234">
        <f ca="1">OFFSET($A$1,MATCH(Z56,$A:$A,0)-1,O59)</f>
        <v>1.3</v>
      </c>
      <c r="Q59" s="144" t="s">
        <v>29</v>
      </c>
      <c r="R59" s="118">
        <f t="shared" ca="1" si="12"/>
        <v>310884</v>
      </c>
      <c r="S59" s="118">
        <f t="shared" ca="1" si="12"/>
        <v>404149</v>
      </c>
      <c r="T59" s="118">
        <f ca="1">고급</f>
        <v>310884</v>
      </c>
      <c r="U59" s="118">
        <f t="shared" ca="1" si="13"/>
        <v>404149</v>
      </c>
      <c r="V59" s="118"/>
      <c r="W59" s="118"/>
      <c r="X59" s="118"/>
      <c r="Y59" s="118"/>
      <c r="Z59" s="115"/>
      <c r="AA59" s="171"/>
    </row>
    <row r="60" spans="1:27" ht="18" customHeight="1">
      <c r="A60" s="326"/>
      <c r="C60" s="9"/>
      <c r="K60" s="171" t="s">
        <v>708</v>
      </c>
      <c r="L60" s="171"/>
      <c r="M60" s="171"/>
      <c r="N60" s="145" t="s">
        <v>40</v>
      </c>
      <c r="O60" s="173">
        <v>6</v>
      </c>
      <c r="P60" s="234">
        <f ca="1">OFFSET($A$1,MATCH(Z56,$A:$A,0)-1,O60)</f>
        <v>3.2</v>
      </c>
      <c r="Q60" s="144" t="s">
        <v>29</v>
      </c>
      <c r="R60" s="118">
        <f t="shared" ca="1" si="12"/>
        <v>295138</v>
      </c>
      <c r="S60" s="118">
        <f t="shared" ca="1" si="12"/>
        <v>944441</v>
      </c>
      <c r="T60" s="118">
        <f ca="1">중급</f>
        <v>295138</v>
      </c>
      <c r="U60" s="118">
        <f t="shared" ca="1" si="13"/>
        <v>944441</v>
      </c>
      <c r="V60" s="118"/>
      <c r="W60" s="118"/>
      <c r="X60" s="118"/>
      <c r="Y60" s="118"/>
      <c r="Z60" s="115"/>
      <c r="AA60" s="171"/>
    </row>
    <row r="61" spans="1:27" ht="18" customHeight="1">
      <c r="A61" s="326"/>
      <c r="B61" s="8"/>
      <c r="C61" s="9"/>
      <c r="K61" s="171" t="s">
        <v>708</v>
      </c>
      <c r="L61" s="171"/>
      <c r="M61" s="171"/>
      <c r="N61" s="145" t="s">
        <v>41</v>
      </c>
      <c r="O61" s="173">
        <v>7</v>
      </c>
      <c r="P61" s="234">
        <f ca="1">OFFSET($A$1,MATCH(Z56,$A:$A,0)-1,O61)</f>
        <v>4.3</v>
      </c>
      <c r="Q61" s="144" t="s">
        <v>29</v>
      </c>
      <c r="R61" s="118">
        <f t="shared" ca="1" si="12"/>
        <v>235459</v>
      </c>
      <c r="S61" s="118">
        <f t="shared" ca="1" si="12"/>
        <v>1012473</v>
      </c>
      <c r="T61" s="118">
        <f ca="1">초급</f>
        <v>235459</v>
      </c>
      <c r="U61" s="118">
        <f t="shared" ca="1" si="13"/>
        <v>1012473</v>
      </c>
      <c r="V61" s="118"/>
      <c r="W61" s="118"/>
      <c r="X61" s="118"/>
      <c r="Y61" s="118"/>
      <c r="Z61" s="115"/>
      <c r="AA61" s="171"/>
    </row>
    <row r="62" spans="1:27" ht="18" customHeight="1">
      <c r="A62" s="326"/>
      <c r="B62" s="80"/>
      <c r="C62" s="9"/>
      <c r="K62" s="171" t="s">
        <v>708</v>
      </c>
      <c r="L62" s="171"/>
      <c r="M62" s="171"/>
      <c r="N62" s="319" t="s">
        <v>42</v>
      </c>
      <c r="O62" s="174">
        <v>8</v>
      </c>
      <c r="P62" s="235">
        <f ca="1">OFFSET($A$1,MATCH(Z56,$A:$A,0)-1,O62)</f>
        <v>7.4</v>
      </c>
      <c r="Q62" s="322" t="s">
        <v>29</v>
      </c>
      <c r="R62" s="323">
        <f t="shared" ca="1" si="12"/>
        <v>250087</v>
      </c>
      <c r="S62" s="323">
        <f t="shared" ca="1" si="12"/>
        <v>1850643</v>
      </c>
      <c r="T62" s="323">
        <f ca="1">보조원</f>
        <v>250087</v>
      </c>
      <c r="U62" s="323">
        <f t="shared" ca="1" si="13"/>
        <v>1850643</v>
      </c>
      <c r="V62" s="323"/>
      <c r="W62" s="323"/>
      <c r="X62" s="323"/>
      <c r="Y62" s="323"/>
      <c r="Z62" s="324"/>
      <c r="AA62" s="171"/>
    </row>
    <row r="63" spans="1:27" ht="18" customHeight="1">
      <c r="A63" s="326"/>
      <c r="C63" s="9"/>
      <c r="K63" s="171" t="s">
        <v>709</v>
      </c>
      <c r="L63" s="171"/>
      <c r="M63" s="171"/>
      <c r="N63" s="139" t="s">
        <v>710</v>
      </c>
      <c r="O63" s="68"/>
      <c r="P63" s="69"/>
      <c r="Q63" s="70"/>
      <c r="R63" s="71"/>
      <c r="S63" s="71">
        <f ca="1">SUBTOTAL(9,S57:S62)</f>
        <v>4697274</v>
      </c>
      <c r="T63" s="71"/>
      <c r="U63" s="71">
        <f ca="1">SUBTOTAL(9,U57:U62)</f>
        <v>4697274</v>
      </c>
      <c r="V63" s="71"/>
      <c r="W63" s="71"/>
      <c r="X63" s="71"/>
      <c r="Y63" s="71"/>
      <c r="Z63" s="68"/>
      <c r="AA63" s="171"/>
    </row>
    <row r="64" spans="1:27" ht="18" customHeight="1">
      <c r="A64" s="326"/>
      <c r="K64" s="171" t="s">
        <v>709</v>
      </c>
      <c r="L64" s="171"/>
      <c r="M64" s="171"/>
      <c r="N64" s="532" t="str">
        <f ca="1">"제 " &amp; Z64 &amp; " 호표  "&amp; OFFSET($A$1,MATCH(Z64,$A:$A,0)-1,1)</f>
        <v>제 3 호표  1.3 스마트도시 서비스 현황 분석</v>
      </c>
      <c r="O64" s="533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f>Z56+1</f>
        <v>3</v>
      </c>
      <c r="AA64" s="171"/>
    </row>
    <row r="65" spans="1:27" ht="18" customHeight="1">
      <c r="A65" s="326"/>
      <c r="K65" s="171" t="s">
        <v>709</v>
      </c>
      <c r="L65" s="171"/>
      <c r="M65" s="171"/>
      <c r="N65" s="140" t="s">
        <v>43</v>
      </c>
      <c r="O65" s="172">
        <v>3</v>
      </c>
      <c r="P65" s="534">
        <f ca="1">OFFSET($A$1,MATCH(Z64,$A:$A,0)-1,O65)</f>
        <v>1.5</v>
      </c>
      <c r="Q65" s="141" t="s">
        <v>29</v>
      </c>
      <c r="R65" s="142">
        <f t="shared" ref="R65:S70" ca="1" si="14">T65</f>
        <v>467217</v>
      </c>
      <c r="S65" s="142">
        <f t="shared" ca="1" si="14"/>
        <v>700825</v>
      </c>
      <c r="T65" s="142">
        <f ca="1">기술사</f>
        <v>467217</v>
      </c>
      <c r="U65" s="142">
        <f t="shared" ref="U65:U70" ca="1" si="15">ROUNDDOWN(P65*R65,0)</f>
        <v>700825</v>
      </c>
      <c r="V65" s="142"/>
      <c r="W65" s="142"/>
      <c r="X65" s="142"/>
      <c r="Y65" s="142"/>
      <c r="Z65" s="114"/>
      <c r="AA65" s="171"/>
    </row>
    <row r="66" spans="1:27" ht="18" customHeight="1">
      <c r="A66" s="326"/>
      <c r="K66" s="171" t="s">
        <v>709</v>
      </c>
      <c r="L66" s="171"/>
      <c r="M66" s="171"/>
      <c r="N66" s="143" t="s">
        <v>32</v>
      </c>
      <c r="O66" s="173">
        <v>4</v>
      </c>
      <c r="P66" s="234">
        <f ca="1">OFFSET($A$1,MATCH(Z64,$A:$A,0)-1,O66)</f>
        <v>3</v>
      </c>
      <c r="Q66" s="144" t="s">
        <v>29</v>
      </c>
      <c r="R66" s="118">
        <f t="shared" ca="1" si="14"/>
        <v>373353</v>
      </c>
      <c r="S66" s="118">
        <f t="shared" ca="1" si="14"/>
        <v>1120059</v>
      </c>
      <c r="T66" s="118">
        <f ca="1">특급</f>
        <v>373353</v>
      </c>
      <c r="U66" s="118">
        <f t="shared" ca="1" si="15"/>
        <v>1120059</v>
      </c>
      <c r="V66" s="118"/>
      <c r="W66" s="118"/>
      <c r="X66" s="118"/>
      <c r="Y66" s="118"/>
      <c r="Z66" s="115"/>
      <c r="AA66" s="171"/>
    </row>
    <row r="67" spans="1:27" ht="18" customHeight="1">
      <c r="A67" s="326"/>
      <c r="K67" s="171" t="s">
        <v>709</v>
      </c>
      <c r="L67" s="171"/>
      <c r="M67" s="171"/>
      <c r="N67" s="145" t="s">
        <v>39</v>
      </c>
      <c r="O67" s="173">
        <v>5</v>
      </c>
      <c r="P67" s="234">
        <f ca="1">OFFSET($A$1,MATCH(Z64,$A:$A,0)-1,O67)</f>
        <v>9</v>
      </c>
      <c r="Q67" s="144" t="s">
        <v>29</v>
      </c>
      <c r="R67" s="118">
        <f t="shared" ca="1" si="14"/>
        <v>310884</v>
      </c>
      <c r="S67" s="118">
        <f t="shared" ca="1" si="14"/>
        <v>2797956</v>
      </c>
      <c r="T67" s="118">
        <f ca="1">고급</f>
        <v>310884</v>
      </c>
      <c r="U67" s="118">
        <f t="shared" ca="1" si="15"/>
        <v>2797956</v>
      </c>
      <c r="V67" s="118"/>
      <c r="W67" s="118"/>
      <c r="X67" s="118"/>
      <c r="Y67" s="118"/>
      <c r="Z67" s="115"/>
      <c r="AA67" s="171"/>
    </row>
    <row r="68" spans="1:27" ht="18" customHeight="1">
      <c r="A68" s="326"/>
      <c r="K68" s="171" t="s">
        <v>709</v>
      </c>
      <c r="L68" s="171"/>
      <c r="M68" s="171"/>
      <c r="N68" s="145" t="s">
        <v>40</v>
      </c>
      <c r="O68" s="173">
        <v>6</v>
      </c>
      <c r="P68" s="234">
        <f ca="1">OFFSET($A$1,MATCH(Z64,$A:$A,0)-1,O68)</f>
        <v>15</v>
      </c>
      <c r="Q68" s="144" t="s">
        <v>29</v>
      </c>
      <c r="R68" s="118">
        <f t="shared" ca="1" si="14"/>
        <v>295138</v>
      </c>
      <c r="S68" s="118">
        <f t="shared" ca="1" si="14"/>
        <v>4427070</v>
      </c>
      <c r="T68" s="118">
        <f ca="1">중급</f>
        <v>295138</v>
      </c>
      <c r="U68" s="118">
        <f t="shared" ca="1" si="15"/>
        <v>4427070</v>
      </c>
      <c r="V68" s="118"/>
      <c r="W68" s="118"/>
      <c r="X68" s="118"/>
      <c r="Y68" s="118"/>
      <c r="Z68" s="115"/>
      <c r="AA68" s="171"/>
    </row>
    <row r="69" spans="1:27" ht="18" customHeight="1">
      <c r="A69" s="326"/>
      <c r="K69" s="171" t="s">
        <v>709</v>
      </c>
      <c r="L69" s="171"/>
      <c r="M69" s="171"/>
      <c r="N69" s="145" t="s">
        <v>41</v>
      </c>
      <c r="O69" s="173">
        <v>7</v>
      </c>
      <c r="P69" s="234">
        <f ca="1">OFFSET($A$1,MATCH(Z64,$A:$A,0)-1,O69)</f>
        <v>24</v>
      </c>
      <c r="Q69" s="144" t="s">
        <v>29</v>
      </c>
      <c r="R69" s="118">
        <f t="shared" ca="1" si="14"/>
        <v>235459</v>
      </c>
      <c r="S69" s="118">
        <f t="shared" ca="1" si="14"/>
        <v>5651016</v>
      </c>
      <c r="T69" s="118">
        <f ca="1">초급</f>
        <v>235459</v>
      </c>
      <c r="U69" s="118">
        <f t="shared" ca="1" si="15"/>
        <v>5651016</v>
      </c>
      <c r="V69" s="118"/>
      <c r="W69" s="118"/>
      <c r="X69" s="118"/>
      <c r="Y69" s="118"/>
      <c r="Z69" s="115"/>
      <c r="AA69" s="171"/>
    </row>
    <row r="70" spans="1:27" ht="18" customHeight="1">
      <c r="A70" s="326"/>
      <c r="K70" s="171" t="s">
        <v>709</v>
      </c>
      <c r="L70" s="171"/>
      <c r="M70" s="171"/>
      <c r="N70" s="319" t="s">
        <v>42</v>
      </c>
      <c r="O70" s="174">
        <v>8</v>
      </c>
      <c r="P70" s="235">
        <f ca="1">OFFSET($A$1,MATCH(Z64,$A:$A,0)-1,O70)</f>
        <v>37</v>
      </c>
      <c r="Q70" s="322" t="s">
        <v>29</v>
      </c>
      <c r="R70" s="323">
        <f t="shared" ca="1" si="14"/>
        <v>250087</v>
      </c>
      <c r="S70" s="323">
        <f t="shared" ca="1" si="14"/>
        <v>9253219</v>
      </c>
      <c r="T70" s="323">
        <f ca="1">보조원</f>
        <v>250087</v>
      </c>
      <c r="U70" s="323">
        <f t="shared" ca="1" si="15"/>
        <v>9253219</v>
      </c>
      <c r="V70" s="323"/>
      <c r="W70" s="323"/>
      <c r="X70" s="323"/>
      <c r="Y70" s="323"/>
      <c r="Z70" s="324"/>
      <c r="AA70" s="171"/>
    </row>
    <row r="71" spans="1:27" ht="18" customHeight="1">
      <c r="A71" s="326"/>
      <c r="K71" s="171" t="s">
        <v>709</v>
      </c>
      <c r="L71" s="171"/>
      <c r="M71" s="171"/>
      <c r="N71" s="139" t="s">
        <v>700</v>
      </c>
      <c r="O71" s="68"/>
      <c r="P71" s="69"/>
      <c r="Q71" s="70"/>
      <c r="R71" s="71"/>
      <c r="S71" s="71">
        <f ca="1">SUBTOTAL(9,S65:S70)</f>
        <v>23950145</v>
      </c>
      <c r="T71" s="71"/>
      <c r="U71" s="71">
        <f ca="1">SUBTOTAL(9,U65:U70)</f>
        <v>23950145</v>
      </c>
      <c r="V71" s="71"/>
      <c r="W71" s="71"/>
      <c r="X71" s="71"/>
      <c r="Y71" s="71"/>
      <c r="Z71" s="68"/>
    </row>
    <row r="72" spans="1:27" ht="18" customHeight="1">
      <c r="K72" s="171" t="s">
        <v>702</v>
      </c>
      <c r="L72" s="171"/>
      <c r="M72" s="171"/>
      <c r="N72" s="532" t="str">
        <f ca="1">"제 " &amp; Z72 &amp; " 호표  "&amp; OFFSET($A$1,MATCH(Z72,$A:$A,0)-1,1)</f>
        <v>제 4 호표  1.4 관련 조직 및 운영 현황 분석</v>
      </c>
      <c r="O72" s="533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4</v>
      </c>
    </row>
    <row r="73" spans="1:27" ht="18" customHeight="1">
      <c r="K73" s="171" t="s">
        <v>14</v>
      </c>
      <c r="L73" s="171"/>
      <c r="M73" s="171"/>
      <c r="N73" s="140" t="s">
        <v>43</v>
      </c>
      <c r="O73" s="172">
        <v>3</v>
      </c>
      <c r="P73" s="534">
        <f ca="1">OFFSET($A$1,MATCH(Z72,$A:$A,0)-1,O73)</f>
        <v>0.3</v>
      </c>
      <c r="Q73" s="141" t="s">
        <v>29</v>
      </c>
      <c r="R73" s="142">
        <f t="shared" ref="R73:S78" ca="1" si="16">T73</f>
        <v>467217</v>
      </c>
      <c r="S73" s="142">
        <f t="shared" ca="1" si="16"/>
        <v>140165</v>
      </c>
      <c r="T73" s="142">
        <f ca="1">기술사</f>
        <v>467217</v>
      </c>
      <c r="U73" s="142">
        <f t="shared" ref="U73:U78" ca="1" si="17">ROUNDDOWN(P73*R73,0)</f>
        <v>140165</v>
      </c>
      <c r="V73" s="142"/>
      <c r="W73" s="142"/>
      <c r="X73" s="142"/>
      <c r="Y73" s="142"/>
      <c r="Z73" s="114"/>
    </row>
    <row r="74" spans="1:27" ht="18" customHeight="1">
      <c r="K74" s="171" t="s">
        <v>14</v>
      </c>
      <c r="L74" s="171"/>
      <c r="M74" s="171"/>
      <c r="N74" s="143" t="s">
        <v>32</v>
      </c>
      <c r="O74" s="173">
        <v>4</v>
      </c>
      <c r="P74" s="234">
        <f ca="1">OFFSET($A$1,MATCH(Z72,$A:$A,0)-1,O74)</f>
        <v>0.4</v>
      </c>
      <c r="Q74" s="144" t="s">
        <v>29</v>
      </c>
      <c r="R74" s="118">
        <f t="shared" ca="1" si="16"/>
        <v>373353</v>
      </c>
      <c r="S74" s="118">
        <f t="shared" ca="1" si="16"/>
        <v>149341</v>
      </c>
      <c r="T74" s="118">
        <f ca="1">특급</f>
        <v>373353</v>
      </c>
      <c r="U74" s="118">
        <f t="shared" ca="1" si="17"/>
        <v>149341</v>
      </c>
      <c r="V74" s="118"/>
      <c r="W74" s="118"/>
      <c r="X74" s="118"/>
      <c r="Y74" s="118"/>
      <c r="Z74" s="115"/>
    </row>
    <row r="75" spans="1:27" ht="18" customHeight="1">
      <c r="K75" s="171" t="s">
        <v>14</v>
      </c>
      <c r="L75" s="171"/>
      <c r="M75" s="171"/>
      <c r="N75" s="145" t="s">
        <v>39</v>
      </c>
      <c r="O75" s="173">
        <v>5</v>
      </c>
      <c r="P75" s="234">
        <f ca="1">OFFSET($A$1,MATCH(Z72,$A:$A,0)-1,O75)</f>
        <v>0.9</v>
      </c>
      <c r="Q75" s="144" t="s">
        <v>29</v>
      </c>
      <c r="R75" s="118">
        <f t="shared" ca="1" si="16"/>
        <v>310884</v>
      </c>
      <c r="S75" s="118">
        <f t="shared" ca="1" si="16"/>
        <v>279795</v>
      </c>
      <c r="T75" s="118">
        <f ca="1">고급</f>
        <v>310884</v>
      </c>
      <c r="U75" s="118">
        <f t="shared" ca="1" si="17"/>
        <v>279795</v>
      </c>
      <c r="V75" s="118"/>
      <c r="W75" s="118"/>
      <c r="X75" s="118"/>
      <c r="Y75" s="118"/>
      <c r="Z75" s="115"/>
    </row>
    <row r="76" spans="1:27" ht="18" customHeight="1">
      <c r="K76" s="171" t="s">
        <v>14</v>
      </c>
      <c r="L76" s="171"/>
      <c r="M76" s="171"/>
      <c r="N76" s="145" t="s">
        <v>40</v>
      </c>
      <c r="O76" s="173">
        <v>6</v>
      </c>
      <c r="P76" s="234">
        <f ca="1">OFFSET($A$1,MATCH(Z72,$A:$A,0)-1,O76)</f>
        <v>1.7</v>
      </c>
      <c r="Q76" s="144" t="s">
        <v>29</v>
      </c>
      <c r="R76" s="118">
        <f t="shared" ca="1" si="16"/>
        <v>295138</v>
      </c>
      <c r="S76" s="118">
        <f t="shared" ca="1" si="16"/>
        <v>501734</v>
      </c>
      <c r="T76" s="118">
        <f ca="1">중급</f>
        <v>295138</v>
      </c>
      <c r="U76" s="118">
        <f t="shared" ca="1" si="17"/>
        <v>501734</v>
      </c>
      <c r="V76" s="118"/>
      <c r="W76" s="118"/>
      <c r="X76" s="118"/>
      <c r="Y76" s="118"/>
      <c r="Z76" s="115"/>
    </row>
    <row r="77" spans="1:27" ht="18" customHeight="1">
      <c r="K77" s="171" t="s">
        <v>14</v>
      </c>
      <c r="L77" s="171"/>
      <c r="M77" s="171"/>
      <c r="N77" s="145" t="s">
        <v>41</v>
      </c>
      <c r="O77" s="173">
        <v>7</v>
      </c>
      <c r="P77" s="234">
        <f ca="1">OFFSET($A$1,MATCH(Z72,$A:$A,0)-1,O77)</f>
        <v>2.6</v>
      </c>
      <c r="Q77" s="144" t="s">
        <v>29</v>
      </c>
      <c r="R77" s="118">
        <f t="shared" ca="1" si="16"/>
        <v>235459</v>
      </c>
      <c r="S77" s="118">
        <f t="shared" ca="1" si="16"/>
        <v>612193</v>
      </c>
      <c r="T77" s="118">
        <f ca="1">초급</f>
        <v>235459</v>
      </c>
      <c r="U77" s="118">
        <f t="shared" ca="1" si="17"/>
        <v>612193</v>
      </c>
      <c r="V77" s="118"/>
      <c r="W77" s="118"/>
      <c r="X77" s="118"/>
      <c r="Y77" s="118"/>
      <c r="Z77" s="115"/>
    </row>
    <row r="78" spans="1:27" ht="18" customHeight="1">
      <c r="K78" s="171" t="s">
        <v>702</v>
      </c>
      <c r="L78" s="171"/>
      <c r="M78" s="171"/>
      <c r="N78" s="319" t="s">
        <v>42</v>
      </c>
      <c r="O78" s="174">
        <v>8</v>
      </c>
      <c r="P78" s="235">
        <f ca="1">OFFSET($A$1,MATCH(Z72,$A:$A,0)-1,O78)</f>
        <v>2.6</v>
      </c>
      <c r="Q78" s="322" t="s">
        <v>29</v>
      </c>
      <c r="R78" s="323">
        <f t="shared" ca="1" si="16"/>
        <v>250087</v>
      </c>
      <c r="S78" s="323">
        <f t="shared" ca="1" si="16"/>
        <v>650226</v>
      </c>
      <c r="T78" s="323">
        <f ca="1">보조원</f>
        <v>250087</v>
      </c>
      <c r="U78" s="323">
        <f t="shared" ca="1" si="17"/>
        <v>650226</v>
      </c>
      <c r="V78" s="323"/>
      <c r="W78" s="323"/>
      <c r="X78" s="323"/>
      <c r="Y78" s="323"/>
      <c r="Z78" s="324"/>
    </row>
    <row r="79" spans="1:27" ht="18" customHeight="1">
      <c r="K79" s="171" t="s">
        <v>709</v>
      </c>
      <c r="L79" s="171"/>
      <c r="M79" s="171"/>
      <c r="N79" s="139" t="s">
        <v>17</v>
      </c>
      <c r="O79" s="68"/>
      <c r="P79" s="69"/>
      <c r="Q79" s="70"/>
      <c r="R79" s="71"/>
      <c r="S79" s="71">
        <f ca="1">SUBTOTAL(9,S73:S78)</f>
        <v>2333454</v>
      </c>
      <c r="T79" s="71"/>
      <c r="U79" s="71">
        <f ca="1">SUBTOTAL(9,U73:U78)</f>
        <v>2333454</v>
      </c>
      <c r="V79" s="71"/>
      <c r="W79" s="71"/>
      <c r="X79" s="71"/>
      <c r="Y79" s="71"/>
      <c r="Z79" s="68"/>
    </row>
    <row r="80" spans="1:27" ht="18" customHeight="1">
      <c r="K80" s="171" t="s">
        <v>709</v>
      </c>
      <c r="L80" s="171"/>
      <c r="M80" s="171"/>
      <c r="N80" s="532" t="str">
        <f ca="1">"제 " &amp; Z80 &amp; " 호표  "&amp; OFFSET($A$1,MATCH(Z80,$A:$A,0)-1,1)</f>
        <v>제 5 호표  2.1 스마트도시 서비스 계획</v>
      </c>
      <c r="O80" s="533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5</v>
      </c>
    </row>
    <row r="81" spans="11:26" ht="18" customHeight="1">
      <c r="K81" s="171" t="s">
        <v>14</v>
      </c>
      <c r="L81" s="171"/>
      <c r="M81" s="171"/>
      <c r="N81" s="140" t="s">
        <v>43</v>
      </c>
      <c r="O81" s="172">
        <v>3</v>
      </c>
      <c r="P81" s="534">
        <f ca="1">OFFSET($A$1,MATCH(Z80,$A:$A,0)-1,O81)</f>
        <v>0.7</v>
      </c>
      <c r="Q81" s="141" t="s">
        <v>29</v>
      </c>
      <c r="R81" s="142">
        <f t="shared" ref="R81:S86" ca="1" si="18">T81</f>
        <v>467217</v>
      </c>
      <c r="S81" s="142">
        <f t="shared" ca="1" si="18"/>
        <v>327051</v>
      </c>
      <c r="T81" s="142">
        <f ca="1">기술사</f>
        <v>467217</v>
      </c>
      <c r="U81" s="142">
        <f t="shared" ref="U81:U86" ca="1" si="19">ROUNDDOWN(P81*R81,0)</f>
        <v>327051</v>
      </c>
      <c r="V81" s="142"/>
      <c r="W81" s="142"/>
      <c r="X81" s="142"/>
      <c r="Y81" s="142"/>
      <c r="Z81" s="114"/>
    </row>
    <row r="82" spans="11:26" ht="18" customHeight="1">
      <c r="K82" s="171" t="s">
        <v>14</v>
      </c>
      <c r="L82" s="171"/>
      <c r="M82" s="171"/>
      <c r="N82" s="143" t="s">
        <v>32</v>
      </c>
      <c r="O82" s="173">
        <v>4</v>
      </c>
      <c r="P82" s="234">
        <f ca="1">OFFSET($A$1,MATCH(Z80,$A:$A,0)-1,O82)</f>
        <v>1.1000000000000001</v>
      </c>
      <c r="Q82" s="144" t="s">
        <v>29</v>
      </c>
      <c r="R82" s="118">
        <f t="shared" ca="1" si="18"/>
        <v>373353</v>
      </c>
      <c r="S82" s="118">
        <f t="shared" ca="1" si="18"/>
        <v>410688</v>
      </c>
      <c r="T82" s="118">
        <f ca="1">특급</f>
        <v>373353</v>
      </c>
      <c r="U82" s="118">
        <f t="shared" ca="1" si="19"/>
        <v>410688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39</v>
      </c>
      <c r="O83" s="173">
        <v>5</v>
      </c>
      <c r="P83" s="234">
        <f ca="1">OFFSET($A$1,MATCH(Z80,$A:$A,0)-1,O83)</f>
        <v>5.3</v>
      </c>
      <c r="Q83" s="144" t="s">
        <v>29</v>
      </c>
      <c r="R83" s="118">
        <f t="shared" ca="1" si="18"/>
        <v>310884</v>
      </c>
      <c r="S83" s="118">
        <f t="shared" ca="1" si="18"/>
        <v>1647685</v>
      </c>
      <c r="T83" s="118">
        <f ca="1">고급</f>
        <v>310884</v>
      </c>
      <c r="U83" s="118">
        <f t="shared" ca="1" si="19"/>
        <v>1647685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40</v>
      </c>
      <c r="O84" s="173">
        <v>6</v>
      </c>
      <c r="P84" s="234">
        <f ca="1">OFFSET($A$1,MATCH(Z80,$A:$A,0)-1,O84)</f>
        <v>5.3</v>
      </c>
      <c r="Q84" s="144" t="s">
        <v>29</v>
      </c>
      <c r="R84" s="118">
        <f t="shared" ca="1" si="18"/>
        <v>295138</v>
      </c>
      <c r="S84" s="118">
        <f t="shared" ca="1" si="18"/>
        <v>1564231</v>
      </c>
      <c r="T84" s="118">
        <f ca="1">중급</f>
        <v>295138</v>
      </c>
      <c r="U84" s="118">
        <f t="shared" ca="1" si="19"/>
        <v>1564231</v>
      </c>
      <c r="V84" s="118"/>
      <c r="W84" s="118"/>
      <c r="X84" s="118"/>
      <c r="Y84" s="118"/>
      <c r="Z84" s="115"/>
    </row>
    <row r="85" spans="11:26" ht="18" customHeight="1">
      <c r="K85" s="171" t="s">
        <v>702</v>
      </c>
      <c r="L85" s="171"/>
      <c r="M85" s="171"/>
      <c r="N85" s="145" t="s">
        <v>41</v>
      </c>
      <c r="O85" s="173">
        <v>7</v>
      </c>
      <c r="P85" s="234">
        <f ca="1">OFFSET($A$1,MATCH(Z80,$A:$A,0)-1,O85)</f>
        <v>8.8000000000000007</v>
      </c>
      <c r="Q85" s="144" t="s">
        <v>29</v>
      </c>
      <c r="R85" s="118">
        <f t="shared" ca="1" si="18"/>
        <v>235459</v>
      </c>
      <c r="S85" s="118">
        <f t="shared" ca="1" si="18"/>
        <v>2072039</v>
      </c>
      <c r="T85" s="118">
        <f ca="1">초급</f>
        <v>235459</v>
      </c>
      <c r="U85" s="118">
        <f t="shared" ca="1" si="19"/>
        <v>2072039</v>
      </c>
      <c r="V85" s="118"/>
      <c r="W85" s="118"/>
      <c r="X85" s="118"/>
      <c r="Y85" s="118"/>
      <c r="Z85" s="115"/>
    </row>
    <row r="86" spans="11:26" ht="18" customHeight="1">
      <c r="K86" s="171" t="s">
        <v>702</v>
      </c>
      <c r="L86" s="171"/>
      <c r="M86" s="171"/>
      <c r="N86" s="319" t="s">
        <v>42</v>
      </c>
      <c r="O86" s="174">
        <v>8</v>
      </c>
      <c r="P86" s="235">
        <f ca="1">OFFSET($A$1,MATCH(Z80,$A:$A,0)-1,O86)</f>
        <v>13.2</v>
      </c>
      <c r="Q86" s="322" t="s">
        <v>29</v>
      </c>
      <c r="R86" s="323">
        <f t="shared" ca="1" si="18"/>
        <v>250087</v>
      </c>
      <c r="S86" s="323">
        <f t="shared" ca="1" si="18"/>
        <v>3301148</v>
      </c>
      <c r="T86" s="323">
        <f ca="1">보조원</f>
        <v>250087</v>
      </c>
      <c r="U86" s="323">
        <f t="shared" ca="1" si="19"/>
        <v>3301148</v>
      </c>
      <c r="V86" s="323"/>
      <c r="W86" s="323"/>
      <c r="X86" s="323"/>
      <c r="Y86" s="323"/>
      <c r="Z86" s="324"/>
    </row>
    <row r="87" spans="11:26" ht="18" customHeight="1">
      <c r="K87" s="171" t="s">
        <v>702</v>
      </c>
      <c r="L87" s="171"/>
      <c r="M87" s="171"/>
      <c r="N87" s="139" t="s">
        <v>700</v>
      </c>
      <c r="O87" s="68"/>
      <c r="P87" s="69"/>
      <c r="Q87" s="70"/>
      <c r="R87" s="71"/>
      <c r="S87" s="71">
        <f ca="1">SUBTOTAL(9,S81:S86)</f>
        <v>9322842</v>
      </c>
      <c r="T87" s="71"/>
      <c r="U87" s="71">
        <f ca="1">SUBTOTAL(9,U81:U86)</f>
        <v>9322842</v>
      </c>
      <c r="V87" s="71"/>
      <c r="W87" s="71"/>
      <c r="X87" s="71"/>
      <c r="Y87" s="71"/>
      <c r="Z87" s="68"/>
    </row>
    <row r="88" spans="11:26" ht="18" customHeight="1">
      <c r="K88" s="171" t="s">
        <v>14</v>
      </c>
      <c r="L88" s="171"/>
      <c r="M88" s="171"/>
      <c r="N88" s="532" t="str">
        <f ca="1">"제 " &amp; Z88 &amp; " 호표  "&amp; OFFSET($A$1,MATCH(Z88,$A:$A,0)-1,1)</f>
        <v>제 6 호표  2.2 정보통신망 구축계획</v>
      </c>
      <c r="O88" s="533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6</v>
      </c>
    </row>
    <row r="89" spans="11:26" ht="18" customHeight="1">
      <c r="K89" s="171" t="s">
        <v>702</v>
      </c>
      <c r="L89" s="171"/>
      <c r="M89" s="171"/>
      <c r="N89" s="140" t="s">
        <v>43</v>
      </c>
      <c r="O89" s="172">
        <v>3</v>
      </c>
      <c r="P89" s="534">
        <f ca="1">OFFSET($A$1,MATCH(Z88,$A:$A,0)-1,O89)</f>
        <v>1.3</v>
      </c>
      <c r="Q89" s="141" t="s">
        <v>29</v>
      </c>
      <c r="R89" s="142">
        <f t="shared" ref="R89:S94" ca="1" si="20">T89</f>
        <v>467217</v>
      </c>
      <c r="S89" s="142">
        <f t="shared" ca="1" si="20"/>
        <v>607382</v>
      </c>
      <c r="T89" s="142">
        <f ca="1">기술사</f>
        <v>467217</v>
      </c>
      <c r="U89" s="142">
        <f t="shared" ref="U89:U94" ca="1" si="21">ROUNDDOWN(P89*R89,0)</f>
        <v>607382</v>
      </c>
      <c r="V89" s="142"/>
      <c r="W89" s="142"/>
      <c r="X89" s="142"/>
      <c r="Y89" s="142"/>
      <c r="Z89" s="114"/>
    </row>
    <row r="90" spans="11:26" ht="18" customHeight="1">
      <c r="K90" s="171" t="s">
        <v>14</v>
      </c>
      <c r="L90" s="171"/>
      <c r="M90" s="171"/>
      <c r="N90" s="143" t="s">
        <v>32</v>
      </c>
      <c r="O90" s="173">
        <v>4</v>
      </c>
      <c r="P90" s="234">
        <f ca="1">OFFSET($A$1,MATCH(Z88,$A:$A,0)-1,O90)</f>
        <v>1.6</v>
      </c>
      <c r="Q90" s="144" t="s">
        <v>29</v>
      </c>
      <c r="R90" s="118">
        <f t="shared" ca="1" si="20"/>
        <v>373353</v>
      </c>
      <c r="S90" s="118">
        <f t="shared" ca="1" si="20"/>
        <v>597364</v>
      </c>
      <c r="T90" s="118">
        <f ca="1">특급</f>
        <v>373353</v>
      </c>
      <c r="U90" s="118">
        <f t="shared" ca="1" si="21"/>
        <v>597364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39</v>
      </c>
      <c r="O91" s="173">
        <v>5</v>
      </c>
      <c r="P91" s="234">
        <f ca="1">OFFSET($A$1,MATCH(Z88,$A:$A,0)-1,O91)</f>
        <v>7.4</v>
      </c>
      <c r="Q91" s="144" t="s">
        <v>29</v>
      </c>
      <c r="R91" s="118">
        <f t="shared" ca="1" si="20"/>
        <v>310884</v>
      </c>
      <c r="S91" s="118">
        <f t="shared" ca="1" si="20"/>
        <v>2300541</v>
      </c>
      <c r="T91" s="118">
        <f ca="1">고급</f>
        <v>310884</v>
      </c>
      <c r="U91" s="118">
        <f t="shared" ca="1" si="21"/>
        <v>2300541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40</v>
      </c>
      <c r="O92" s="173">
        <v>6</v>
      </c>
      <c r="P92" s="234">
        <f ca="1">OFFSET($A$1,MATCH(Z88,$A:$A,0)-1,O92)</f>
        <v>7.4</v>
      </c>
      <c r="Q92" s="144" t="s">
        <v>29</v>
      </c>
      <c r="R92" s="118">
        <f t="shared" ca="1" si="20"/>
        <v>295138</v>
      </c>
      <c r="S92" s="118">
        <f t="shared" ca="1" si="20"/>
        <v>2184021</v>
      </c>
      <c r="T92" s="118">
        <f ca="1">중급</f>
        <v>295138</v>
      </c>
      <c r="U92" s="118">
        <f t="shared" ca="1" si="21"/>
        <v>2184021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145" t="s">
        <v>41</v>
      </c>
      <c r="O93" s="173">
        <v>7</v>
      </c>
      <c r="P93" s="234">
        <f ca="1">OFFSET($A$1,MATCH(Z88,$A:$A,0)-1,O93)</f>
        <v>14.9</v>
      </c>
      <c r="Q93" s="144" t="s">
        <v>29</v>
      </c>
      <c r="R93" s="118">
        <f t="shared" ca="1" si="20"/>
        <v>235459</v>
      </c>
      <c r="S93" s="118">
        <f t="shared" ca="1" si="20"/>
        <v>3508339</v>
      </c>
      <c r="T93" s="118">
        <f ca="1">초급</f>
        <v>235459</v>
      </c>
      <c r="U93" s="118">
        <f t="shared" ca="1" si="21"/>
        <v>3508339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319" t="s">
        <v>42</v>
      </c>
      <c r="O94" s="174">
        <v>8</v>
      </c>
      <c r="P94" s="235">
        <f ca="1">OFFSET($A$1,MATCH(Z88,$A:$A,0)-1,O94)</f>
        <v>14.9</v>
      </c>
      <c r="Q94" s="322" t="s">
        <v>29</v>
      </c>
      <c r="R94" s="323">
        <f t="shared" ca="1" si="20"/>
        <v>250087</v>
      </c>
      <c r="S94" s="323">
        <f t="shared" ca="1" si="20"/>
        <v>3726296</v>
      </c>
      <c r="T94" s="323">
        <f ca="1">보조원</f>
        <v>250087</v>
      </c>
      <c r="U94" s="323">
        <f t="shared" ca="1" si="21"/>
        <v>3726296</v>
      </c>
      <c r="V94" s="323"/>
      <c r="W94" s="323"/>
      <c r="X94" s="323"/>
      <c r="Y94" s="323"/>
      <c r="Z94" s="324"/>
    </row>
    <row r="95" spans="11:26" ht="18" customHeight="1">
      <c r="K95" s="171" t="s">
        <v>14</v>
      </c>
      <c r="L95" s="171"/>
      <c r="M95" s="171"/>
      <c r="N95" s="139" t="s">
        <v>700</v>
      </c>
      <c r="O95" s="68"/>
      <c r="P95" s="69"/>
      <c r="Q95" s="70"/>
      <c r="R95" s="71"/>
      <c r="S95" s="71">
        <f ca="1">SUBTOTAL(9,S89:S94)</f>
        <v>12923943</v>
      </c>
      <c r="T95" s="71"/>
      <c r="U95" s="71">
        <f ca="1">SUBTOTAL(9,U89:U94)</f>
        <v>12923943</v>
      </c>
      <c r="V95" s="71"/>
      <c r="W95" s="71"/>
      <c r="X95" s="71"/>
      <c r="Y95" s="71"/>
      <c r="Z95" s="68"/>
    </row>
    <row r="96" spans="11:26" ht="18" customHeight="1">
      <c r="K96" s="171" t="s">
        <v>708</v>
      </c>
      <c r="L96" s="171"/>
      <c r="M96" s="171"/>
      <c r="N96" s="532" t="str">
        <f ca="1">"제 " &amp; Z96 &amp; " 호표  "&amp; OFFSET($A$1,MATCH(Z96,$A:$A,0)-1,1)</f>
        <v>제 7 호표  2.3 스마트도시 운영센터 구축 계획</v>
      </c>
      <c r="O96" s="533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7</v>
      </c>
    </row>
    <row r="97" spans="11:26" ht="18" customHeight="1">
      <c r="K97" s="171" t="s">
        <v>14</v>
      </c>
      <c r="L97" s="171"/>
      <c r="M97" s="171"/>
      <c r="N97" s="140" t="s">
        <v>43</v>
      </c>
      <c r="O97" s="172">
        <v>3</v>
      </c>
      <c r="P97" s="534">
        <f ca="1">OFFSET($A$1,MATCH(Z96,$A:$A,0)-1,O97)</f>
        <v>1.3</v>
      </c>
      <c r="Q97" s="141" t="s">
        <v>29</v>
      </c>
      <c r="R97" s="142">
        <f t="shared" ref="R97:S102" ca="1" si="22">T97</f>
        <v>467217</v>
      </c>
      <c r="S97" s="142">
        <f t="shared" ca="1" si="22"/>
        <v>607382</v>
      </c>
      <c r="T97" s="142">
        <f ca="1">기술사</f>
        <v>467217</v>
      </c>
      <c r="U97" s="142">
        <f t="shared" ref="U97:U102" ca="1" si="23">ROUNDDOWN(P97*R97,0)</f>
        <v>607382</v>
      </c>
      <c r="V97" s="142"/>
      <c r="W97" s="142"/>
      <c r="X97" s="142"/>
      <c r="Y97" s="142"/>
      <c r="Z97" s="114"/>
    </row>
    <row r="98" spans="11:26" ht="18" customHeight="1">
      <c r="K98" s="171" t="s">
        <v>702</v>
      </c>
      <c r="L98" s="171"/>
      <c r="M98" s="171"/>
      <c r="N98" s="143" t="s">
        <v>32</v>
      </c>
      <c r="O98" s="173">
        <v>4</v>
      </c>
      <c r="P98" s="234">
        <f ca="1">OFFSET($A$1,MATCH(Z96,$A:$A,0)-1,O98)</f>
        <v>1.6</v>
      </c>
      <c r="Q98" s="144" t="s">
        <v>29</v>
      </c>
      <c r="R98" s="118">
        <f t="shared" ca="1" si="22"/>
        <v>373353</v>
      </c>
      <c r="S98" s="118">
        <f t="shared" ca="1" si="22"/>
        <v>597364</v>
      </c>
      <c r="T98" s="118">
        <f ca="1">특급</f>
        <v>373353</v>
      </c>
      <c r="U98" s="118">
        <f t="shared" ca="1" si="23"/>
        <v>597364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39</v>
      </c>
      <c r="O99" s="173">
        <v>5</v>
      </c>
      <c r="P99" s="234">
        <f ca="1">OFFSET($A$1,MATCH(Z96,$A:$A,0)-1,O99)</f>
        <v>7.4</v>
      </c>
      <c r="Q99" s="144" t="s">
        <v>29</v>
      </c>
      <c r="R99" s="118">
        <f t="shared" ca="1" si="22"/>
        <v>310884</v>
      </c>
      <c r="S99" s="118">
        <f t="shared" ca="1" si="22"/>
        <v>2300541</v>
      </c>
      <c r="T99" s="118">
        <f ca="1">고급</f>
        <v>310884</v>
      </c>
      <c r="U99" s="118">
        <f t="shared" ca="1" si="23"/>
        <v>2300541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40</v>
      </c>
      <c r="O100" s="173">
        <v>6</v>
      </c>
      <c r="P100" s="234">
        <f ca="1">OFFSET($A$1,MATCH(Z96,$A:$A,0)-1,O100)</f>
        <v>7.4</v>
      </c>
      <c r="Q100" s="144" t="s">
        <v>29</v>
      </c>
      <c r="R100" s="118">
        <f t="shared" ca="1" si="22"/>
        <v>295138</v>
      </c>
      <c r="S100" s="118">
        <f t="shared" ca="1" si="22"/>
        <v>2184021</v>
      </c>
      <c r="T100" s="118">
        <f ca="1">중급</f>
        <v>295138</v>
      </c>
      <c r="U100" s="118">
        <f t="shared" ca="1" si="23"/>
        <v>2184021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41</v>
      </c>
      <c r="O101" s="173">
        <v>7</v>
      </c>
      <c r="P101" s="234">
        <f ca="1">OFFSET($A$1,MATCH(Z96,$A:$A,0)-1,O101)</f>
        <v>14.9</v>
      </c>
      <c r="Q101" s="144" t="s">
        <v>29</v>
      </c>
      <c r="R101" s="118">
        <f t="shared" ca="1" si="22"/>
        <v>235459</v>
      </c>
      <c r="S101" s="118">
        <f t="shared" ca="1" si="22"/>
        <v>3508339</v>
      </c>
      <c r="T101" s="118">
        <f ca="1">초급</f>
        <v>235459</v>
      </c>
      <c r="U101" s="118">
        <f t="shared" ca="1" si="23"/>
        <v>3508339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319" t="s">
        <v>42</v>
      </c>
      <c r="O102" s="174">
        <v>8</v>
      </c>
      <c r="P102" s="235">
        <f ca="1">OFFSET($A$1,MATCH(Z96,$A:$A,0)-1,O102)</f>
        <v>14.9</v>
      </c>
      <c r="Q102" s="322" t="s">
        <v>29</v>
      </c>
      <c r="R102" s="323">
        <f t="shared" ca="1" si="22"/>
        <v>250087</v>
      </c>
      <c r="S102" s="323">
        <f t="shared" ca="1" si="22"/>
        <v>3726296</v>
      </c>
      <c r="T102" s="323">
        <f ca="1">보조원</f>
        <v>250087</v>
      </c>
      <c r="U102" s="323">
        <f t="shared" ca="1" si="23"/>
        <v>3726296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M103" s="171"/>
      <c r="N103" s="139" t="s">
        <v>17</v>
      </c>
      <c r="O103" s="68"/>
      <c r="P103" s="69"/>
      <c r="Q103" s="70"/>
      <c r="R103" s="71"/>
      <c r="S103" s="71">
        <f ca="1">SUBTOTAL(9,S97:S102)</f>
        <v>12923943</v>
      </c>
      <c r="T103" s="71"/>
      <c r="U103" s="71">
        <f ca="1">SUBTOTAL(9,U97:U102)</f>
        <v>12923943</v>
      </c>
      <c r="V103" s="71"/>
      <c r="W103" s="71"/>
      <c r="X103" s="71"/>
      <c r="Y103" s="71"/>
      <c r="Z103" s="68"/>
    </row>
    <row r="104" spans="11:26" ht="18" customHeight="1">
      <c r="K104" s="171" t="s">
        <v>702</v>
      </c>
      <c r="L104" s="171"/>
      <c r="M104" s="171"/>
      <c r="N104" s="532" t="str">
        <f ca="1">"제 " &amp; Z104 &amp; " 호표  "&amp; OFFSET($A$1,MATCH(Z104,$A:$A,0)-1,1)</f>
        <v>제 8 호표  2.4 스마트도시 기반시설 계획</v>
      </c>
      <c r="O104" s="533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8</v>
      </c>
    </row>
    <row r="105" spans="11:26" ht="18" customHeight="1">
      <c r="K105" s="171" t="s">
        <v>14</v>
      </c>
      <c r="L105" s="171"/>
      <c r="M105" s="171"/>
      <c r="N105" s="140" t="s">
        <v>43</v>
      </c>
      <c r="O105" s="172">
        <v>3</v>
      </c>
      <c r="P105" s="534">
        <f ca="1">OFFSET($A$1,MATCH(Z104,$A:$A,0)-1,O105)</f>
        <v>0.7</v>
      </c>
      <c r="Q105" s="141" t="s">
        <v>29</v>
      </c>
      <c r="R105" s="142">
        <f t="shared" ref="R105:S110" ca="1" si="24">T105</f>
        <v>467217</v>
      </c>
      <c r="S105" s="142">
        <f t="shared" ca="1" si="24"/>
        <v>327051</v>
      </c>
      <c r="T105" s="142">
        <f ca="1">기술사</f>
        <v>467217</v>
      </c>
      <c r="U105" s="142">
        <f t="shared" ref="U105:U110" ca="1" si="25">ROUNDDOWN(P105*R105,0)</f>
        <v>327051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M106" s="171"/>
      <c r="N106" s="143" t="s">
        <v>32</v>
      </c>
      <c r="O106" s="173">
        <v>4</v>
      </c>
      <c r="P106" s="234">
        <f ca="1">OFFSET($A$1,MATCH(Z104,$A:$A,0)-1,O106)</f>
        <v>1.1000000000000001</v>
      </c>
      <c r="Q106" s="144" t="s">
        <v>29</v>
      </c>
      <c r="R106" s="118">
        <f t="shared" ca="1" si="24"/>
        <v>373353</v>
      </c>
      <c r="S106" s="118">
        <f t="shared" ca="1" si="24"/>
        <v>410688</v>
      </c>
      <c r="T106" s="118">
        <f ca="1">특급</f>
        <v>373353</v>
      </c>
      <c r="U106" s="118">
        <f t="shared" ca="1" si="25"/>
        <v>410688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39</v>
      </c>
      <c r="O107" s="173">
        <v>5</v>
      </c>
      <c r="P107" s="234">
        <f ca="1">OFFSET($A$1,MATCH(Z104,$A:$A,0)-1,O107)</f>
        <v>5.3</v>
      </c>
      <c r="Q107" s="144" t="s">
        <v>29</v>
      </c>
      <c r="R107" s="118">
        <f t="shared" ca="1" si="24"/>
        <v>310884</v>
      </c>
      <c r="S107" s="118">
        <f t="shared" ca="1" si="24"/>
        <v>1647685</v>
      </c>
      <c r="T107" s="118">
        <f ca="1">고급</f>
        <v>310884</v>
      </c>
      <c r="U107" s="118">
        <f t="shared" ca="1" si="25"/>
        <v>1647685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40</v>
      </c>
      <c r="O108" s="173">
        <v>6</v>
      </c>
      <c r="P108" s="234">
        <f ca="1">OFFSET($A$1,MATCH(Z104,$A:$A,0)-1,O108)</f>
        <v>5.3</v>
      </c>
      <c r="Q108" s="144" t="s">
        <v>29</v>
      </c>
      <c r="R108" s="118">
        <f t="shared" ca="1" si="24"/>
        <v>295138</v>
      </c>
      <c r="S108" s="118">
        <f t="shared" ca="1" si="24"/>
        <v>1564231</v>
      </c>
      <c r="T108" s="118">
        <f ca="1">중급</f>
        <v>295138</v>
      </c>
      <c r="U108" s="118">
        <f t="shared" ca="1" si="25"/>
        <v>1564231</v>
      </c>
      <c r="V108" s="118"/>
      <c r="W108" s="118"/>
      <c r="X108" s="118"/>
      <c r="Y108" s="118"/>
      <c r="Z108" s="115"/>
    </row>
    <row r="109" spans="11:26" ht="18" customHeight="1">
      <c r="K109" s="171" t="s">
        <v>702</v>
      </c>
      <c r="L109" s="171"/>
      <c r="M109" s="171"/>
      <c r="N109" s="145" t="s">
        <v>41</v>
      </c>
      <c r="O109" s="173">
        <v>7</v>
      </c>
      <c r="P109" s="234">
        <f ca="1">OFFSET($A$1,MATCH(Z104,$A:$A,0)-1,O109)</f>
        <v>8.8000000000000007</v>
      </c>
      <c r="Q109" s="144" t="s">
        <v>29</v>
      </c>
      <c r="R109" s="118">
        <f t="shared" ca="1" si="24"/>
        <v>235459</v>
      </c>
      <c r="S109" s="118">
        <f t="shared" ca="1" si="24"/>
        <v>2072039</v>
      </c>
      <c r="T109" s="118">
        <f ca="1">초급</f>
        <v>235459</v>
      </c>
      <c r="U109" s="118">
        <f t="shared" ca="1" si="25"/>
        <v>2072039</v>
      </c>
      <c r="V109" s="118"/>
      <c r="W109" s="118"/>
      <c r="X109" s="118"/>
      <c r="Y109" s="118"/>
      <c r="Z109" s="115"/>
    </row>
    <row r="110" spans="11:26" ht="18" customHeight="1">
      <c r="K110" s="171" t="s">
        <v>699</v>
      </c>
      <c r="L110" s="171"/>
      <c r="M110" s="171"/>
      <c r="N110" s="319" t="s">
        <v>42</v>
      </c>
      <c r="O110" s="174">
        <v>8</v>
      </c>
      <c r="P110" s="235">
        <f ca="1">OFFSET($A$1,MATCH(Z104,$A:$A,0)-1,O110)</f>
        <v>13.2</v>
      </c>
      <c r="Q110" s="322" t="s">
        <v>29</v>
      </c>
      <c r="R110" s="323">
        <f t="shared" ca="1" si="24"/>
        <v>250087</v>
      </c>
      <c r="S110" s="323">
        <f t="shared" ca="1" si="24"/>
        <v>3301148</v>
      </c>
      <c r="T110" s="323">
        <f ca="1">보조원</f>
        <v>250087</v>
      </c>
      <c r="U110" s="323">
        <f t="shared" ca="1" si="25"/>
        <v>3301148</v>
      </c>
      <c r="V110" s="323"/>
      <c r="W110" s="323"/>
      <c r="X110" s="323"/>
      <c r="Y110" s="323"/>
      <c r="Z110" s="324"/>
    </row>
    <row r="111" spans="11:26" ht="18" customHeight="1">
      <c r="K111" s="171" t="s">
        <v>702</v>
      </c>
      <c r="L111" s="171"/>
      <c r="M111" s="171"/>
      <c r="N111" s="139" t="s">
        <v>698</v>
      </c>
      <c r="O111" s="68"/>
      <c r="P111" s="69"/>
      <c r="Q111" s="70"/>
      <c r="R111" s="71"/>
      <c r="S111" s="71">
        <f ca="1">SUBTOTAL(9,S105:S110)</f>
        <v>9322842</v>
      </c>
      <c r="T111" s="71"/>
      <c r="U111" s="71">
        <f ca="1">SUBTOTAL(9,U105:U110)</f>
        <v>9322842</v>
      </c>
      <c r="V111" s="71"/>
      <c r="W111" s="71"/>
      <c r="X111" s="71"/>
      <c r="Y111" s="71"/>
      <c r="Z111" s="68"/>
    </row>
    <row r="112" spans="11:26" ht="18" customHeight="1">
      <c r="K112" s="171" t="s">
        <v>699</v>
      </c>
      <c r="L112" s="171"/>
      <c r="M112" s="171"/>
      <c r="N112" s="532" t="str">
        <f ca="1">"제 " &amp; Z112 &amp; " 호표  "&amp; OFFSET($A$1,MATCH(Z112,$A:$A,0)-1,1)</f>
        <v>제 9 호표  2.5 단계별추진계획</v>
      </c>
      <c r="O112" s="533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9</v>
      </c>
    </row>
    <row r="113" spans="11:26" ht="18" customHeight="1">
      <c r="K113" s="171" t="s">
        <v>699</v>
      </c>
      <c r="L113" s="171"/>
      <c r="M113" s="171"/>
      <c r="N113" s="140" t="s">
        <v>43</v>
      </c>
      <c r="O113" s="172">
        <v>3</v>
      </c>
      <c r="P113" s="534">
        <f ca="1">OFFSET($A$1,MATCH(Z112,$A:$A,0)-1,O113)</f>
        <v>0.6</v>
      </c>
      <c r="Q113" s="141" t="s">
        <v>29</v>
      </c>
      <c r="R113" s="142">
        <f t="shared" ref="R113:S118" ca="1" si="26">T113</f>
        <v>467217</v>
      </c>
      <c r="S113" s="142">
        <f t="shared" ca="1" si="26"/>
        <v>280330</v>
      </c>
      <c r="T113" s="142">
        <f ca="1">기술사</f>
        <v>467217</v>
      </c>
      <c r="U113" s="142">
        <f t="shared" ref="U113:U118" ca="1" si="27">ROUNDDOWN(P113*R113,0)</f>
        <v>280330</v>
      </c>
      <c r="V113" s="142"/>
      <c r="W113" s="142"/>
      <c r="X113" s="142"/>
      <c r="Y113" s="142"/>
      <c r="Z113" s="114"/>
    </row>
    <row r="114" spans="11:26" ht="18" customHeight="1">
      <c r="K114" s="171" t="s">
        <v>699</v>
      </c>
      <c r="L114" s="171"/>
      <c r="M114" s="171"/>
      <c r="N114" s="143" t="s">
        <v>32</v>
      </c>
      <c r="O114" s="173">
        <v>4</v>
      </c>
      <c r="P114" s="234">
        <f ca="1">OFFSET($A$1,MATCH(Z112,$A:$A,0)-1,O114)</f>
        <v>1</v>
      </c>
      <c r="Q114" s="144" t="s">
        <v>29</v>
      </c>
      <c r="R114" s="118">
        <f t="shared" ca="1" si="26"/>
        <v>373353</v>
      </c>
      <c r="S114" s="118">
        <f t="shared" ca="1" si="26"/>
        <v>373353</v>
      </c>
      <c r="T114" s="118">
        <f ca="1">특급</f>
        <v>373353</v>
      </c>
      <c r="U114" s="118">
        <f t="shared" ca="1" si="27"/>
        <v>373353</v>
      </c>
      <c r="V114" s="118"/>
      <c r="W114" s="118"/>
      <c r="X114" s="118"/>
      <c r="Y114" s="118"/>
      <c r="Z114" s="115"/>
    </row>
    <row r="115" spans="11:26" ht="18" customHeight="1">
      <c r="K115" s="171" t="s">
        <v>699</v>
      </c>
      <c r="L115" s="171"/>
      <c r="M115" s="171"/>
      <c r="N115" s="145" t="s">
        <v>39</v>
      </c>
      <c r="O115" s="173">
        <v>5</v>
      </c>
      <c r="P115" s="234">
        <f ca="1">OFFSET($A$1,MATCH(Z112,$A:$A,0)-1,O115)</f>
        <v>3.4</v>
      </c>
      <c r="Q115" s="144" t="s">
        <v>29</v>
      </c>
      <c r="R115" s="118">
        <f t="shared" ca="1" si="26"/>
        <v>310884</v>
      </c>
      <c r="S115" s="118">
        <f t="shared" ca="1" si="26"/>
        <v>1057005</v>
      </c>
      <c r="T115" s="118">
        <f ca="1">고급</f>
        <v>310884</v>
      </c>
      <c r="U115" s="118">
        <f t="shared" ca="1" si="27"/>
        <v>1057005</v>
      </c>
      <c r="V115" s="118"/>
      <c r="W115" s="118"/>
      <c r="X115" s="118"/>
      <c r="Y115" s="118"/>
      <c r="Z115" s="115"/>
    </row>
    <row r="116" spans="11:26" ht="18" customHeight="1">
      <c r="K116" s="171" t="s">
        <v>699</v>
      </c>
      <c r="L116" s="171"/>
      <c r="M116" s="171"/>
      <c r="N116" s="145" t="s">
        <v>40</v>
      </c>
      <c r="O116" s="173">
        <v>6</v>
      </c>
      <c r="P116" s="234">
        <f ca="1">OFFSET($A$1,MATCH(Z112,$A:$A,0)-1,O116)</f>
        <v>4.5999999999999996</v>
      </c>
      <c r="Q116" s="144" t="s">
        <v>29</v>
      </c>
      <c r="R116" s="118">
        <f t="shared" ca="1" si="26"/>
        <v>295138</v>
      </c>
      <c r="S116" s="118">
        <f t="shared" ca="1" si="26"/>
        <v>1357634</v>
      </c>
      <c r="T116" s="118">
        <f ca="1">중급</f>
        <v>295138</v>
      </c>
      <c r="U116" s="118">
        <f t="shared" ca="1" si="27"/>
        <v>1357634</v>
      </c>
      <c r="V116" s="118"/>
      <c r="W116" s="118"/>
      <c r="X116" s="118"/>
      <c r="Y116" s="118"/>
      <c r="Z116" s="115"/>
    </row>
    <row r="117" spans="11:26" ht="18" customHeight="1">
      <c r="K117" s="171" t="s">
        <v>702</v>
      </c>
      <c r="L117" s="171"/>
      <c r="M117" s="171"/>
      <c r="N117" s="145" t="s">
        <v>41</v>
      </c>
      <c r="O117" s="173">
        <v>7</v>
      </c>
      <c r="P117" s="234">
        <f ca="1">OFFSET($A$1,MATCH(Z112,$A:$A,0)-1,O117)</f>
        <v>6.6</v>
      </c>
      <c r="Q117" s="144" t="s">
        <v>29</v>
      </c>
      <c r="R117" s="118">
        <f t="shared" ca="1" si="26"/>
        <v>235459</v>
      </c>
      <c r="S117" s="118">
        <f t="shared" ca="1" si="26"/>
        <v>1554029</v>
      </c>
      <c r="T117" s="118">
        <f ca="1">초급</f>
        <v>235459</v>
      </c>
      <c r="U117" s="118">
        <f t="shared" ca="1" si="27"/>
        <v>1554029</v>
      </c>
      <c r="V117" s="118"/>
      <c r="W117" s="118"/>
      <c r="X117" s="118"/>
      <c r="Y117" s="118"/>
      <c r="Z117" s="115"/>
    </row>
    <row r="118" spans="11:26" ht="18" customHeight="1">
      <c r="K118" s="171" t="s">
        <v>699</v>
      </c>
      <c r="L118" s="171"/>
      <c r="M118" s="171"/>
      <c r="N118" s="319" t="s">
        <v>42</v>
      </c>
      <c r="O118" s="174">
        <v>8</v>
      </c>
      <c r="P118" s="235">
        <f ca="1">OFFSET($A$1,MATCH(Z112,$A:$A,0)-1,O118)</f>
        <v>4.8</v>
      </c>
      <c r="Q118" s="322" t="s">
        <v>29</v>
      </c>
      <c r="R118" s="323">
        <f t="shared" ca="1" si="26"/>
        <v>250087</v>
      </c>
      <c r="S118" s="323">
        <f t="shared" ca="1" si="26"/>
        <v>1200417</v>
      </c>
      <c r="T118" s="323">
        <f ca="1">보조원</f>
        <v>250087</v>
      </c>
      <c r="U118" s="323">
        <f t="shared" ca="1" si="27"/>
        <v>1200417</v>
      </c>
      <c r="V118" s="323"/>
      <c r="W118" s="323"/>
      <c r="X118" s="323"/>
      <c r="Y118" s="323"/>
      <c r="Z118" s="324"/>
    </row>
    <row r="119" spans="11:26" ht="18" customHeight="1">
      <c r="K119" s="171" t="s">
        <v>702</v>
      </c>
      <c r="L119" s="171"/>
      <c r="M119" s="171"/>
      <c r="N119" s="139" t="s">
        <v>698</v>
      </c>
      <c r="O119" s="68"/>
      <c r="P119" s="69"/>
      <c r="Q119" s="70"/>
      <c r="R119" s="71"/>
      <c r="S119" s="71">
        <f ca="1">SUBTOTAL(9,S113:S118)</f>
        <v>5822768</v>
      </c>
      <c r="T119" s="71"/>
      <c r="U119" s="71">
        <f ca="1">SUBTOTAL(9,U113:U118)</f>
        <v>5822768</v>
      </c>
      <c r="V119" s="71"/>
      <c r="W119" s="71"/>
      <c r="X119" s="71"/>
      <c r="Y119" s="71"/>
      <c r="Z119" s="68"/>
    </row>
    <row r="120" spans="11:26" ht="18" customHeight="1">
      <c r="K120" s="171" t="s">
        <v>699</v>
      </c>
      <c r="L120" s="171"/>
      <c r="M120" s="171"/>
      <c r="N120" s="532" t="str">
        <f ca="1">"제 " &amp; Z120 &amp; " 호표  "&amp; OFFSET($A$1,MATCH(Z120,$A:$A,0)-1,1)</f>
        <v>제 10 호표  2.6 특화단지 추진 체계 설정</v>
      </c>
      <c r="O120" s="533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10</v>
      </c>
    </row>
    <row r="121" spans="11:26" ht="18" customHeight="1">
      <c r="K121" s="171" t="s">
        <v>699</v>
      </c>
      <c r="L121" s="171"/>
      <c r="M121" s="171"/>
      <c r="N121" s="140" t="s">
        <v>43</v>
      </c>
      <c r="O121" s="172">
        <v>3</v>
      </c>
      <c r="P121" s="534">
        <f ca="1">OFFSET($A$1,MATCH(Z120,$A:$A,0)-1,O121)</f>
        <v>0.6</v>
      </c>
      <c r="Q121" s="141" t="s">
        <v>29</v>
      </c>
      <c r="R121" s="142">
        <f t="shared" ref="R121:S126" ca="1" si="28">T121</f>
        <v>467217</v>
      </c>
      <c r="S121" s="142">
        <f t="shared" ca="1" si="28"/>
        <v>280330</v>
      </c>
      <c r="T121" s="142">
        <f ca="1">기술사</f>
        <v>467217</v>
      </c>
      <c r="U121" s="142">
        <f t="shared" ref="U121:U126" ca="1" si="29">ROUNDDOWN(P121*R121,0)</f>
        <v>280330</v>
      </c>
      <c r="V121" s="142"/>
      <c r="W121" s="142"/>
      <c r="X121" s="142"/>
      <c r="Y121" s="142"/>
      <c r="Z121" s="114"/>
    </row>
    <row r="122" spans="11:26" ht="18" customHeight="1">
      <c r="K122" s="171" t="s">
        <v>699</v>
      </c>
      <c r="L122" s="171"/>
      <c r="M122" s="171"/>
      <c r="N122" s="143" t="s">
        <v>32</v>
      </c>
      <c r="O122" s="173">
        <v>4</v>
      </c>
      <c r="P122" s="234">
        <f ca="1">OFFSET($A$1,MATCH(Z120,$A:$A,0)-1,O122)</f>
        <v>1</v>
      </c>
      <c r="Q122" s="144" t="s">
        <v>29</v>
      </c>
      <c r="R122" s="118">
        <f t="shared" ca="1" si="28"/>
        <v>373353</v>
      </c>
      <c r="S122" s="118">
        <f t="shared" ca="1" si="28"/>
        <v>373353</v>
      </c>
      <c r="T122" s="118">
        <f ca="1">특급</f>
        <v>373353</v>
      </c>
      <c r="U122" s="118">
        <f t="shared" ca="1" si="29"/>
        <v>373353</v>
      </c>
      <c r="V122" s="118"/>
      <c r="W122" s="118"/>
      <c r="X122" s="118"/>
      <c r="Y122" s="118"/>
      <c r="Z122" s="115"/>
    </row>
    <row r="123" spans="11:26" ht="18" customHeight="1">
      <c r="K123" s="171" t="s">
        <v>699</v>
      </c>
      <c r="L123" s="171"/>
      <c r="M123" s="171"/>
      <c r="N123" s="145" t="s">
        <v>39</v>
      </c>
      <c r="O123" s="173">
        <v>5</v>
      </c>
      <c r="P123" s="234">
        <f ca="1">OFFSET($A$1,MATCH(Z120,$A:$A,0)-1,O123)</f>
        <v>3.4</v>
      </c>
      <c r="Q123" s="144" t="s">
        <v>29</v>
      </c>
      <c r="R123" s="118">
        <f t="shared" ca="1" si="28"/>
        <v>310884</v>
      </c>
      <c r="S123" s="118">
        <f t="shared" ca="1" si="28"/>
        <v>1057005</v>
      </c>
      <c r="T123" s="118">
        <f ca="1">고급</f>
        <v>310884</v>
      </c>
      <c r="U123" s="118">
        <f t="shared" ca="1" si="29"/>
        <v>1057005</v>
      </c>
      <c r="V123" s="118"/>
      <c r="W123" s="118"/>
      <c r="X123" s="118"/>
      <c r="Y123" s="118"/>
      <c r="Z123" s="115"/>
    </row>
    <row r="124" spans="11:26" ht="18" customHeight="1">
      <c r="K124" s="171" t="s">
        <v>699</v>
      </c>
      <c r="L124" s="171"/>
      <c r="M124" s="171"/>
      <c r="N124" s="145" t="s">
        <v>40</v>
      </c>
      <c r="O124" s="173">
        <v>6</v>
      </c>
      <c r="P124" s="234">
        <f ca="1">OFFSET($A$1,MATCH(Z120,$A:$A,0)-1,O124)</f>
        <v>4.5999999999999996</v>
      </c>
      <c r="Q124" s="144" t="s">
        <v>29</v>
      </c>
      <c r="R124" s="118">
        <f t="shared" ca="1" si="28"/>
        <v>295138</v>
      </c>
      <c r="S124" s="118">
        <f t="shared" ca="1" si="28"/>
        <v>1357634</v>
      </c>
      <c r="T124" s="118">
        <f ca="1">중급</f>
        <v>295138</v>
      </c>
      <c r="U124" s="118">
        <f t="shared" ca="1" si="29"/>
        <v>1357634</v>
      </c>
      <c r="V124" s="118"/>
      <c r="W124" s="118"/>
      <c r="X124" s="118"/>
      <c r="Y124" s="118"/>
      <c r="Z124" s="115"/>
    </row>
    <row r="125" spans="11:26" ht="18" customHeight="1">
      <c r="K125" s="171" t="s">
        <v>699</v>
      </c>
      <c r="L125" s="171"/>
      <c r="M125" s="171"/>
      <c r="N125" s="145" t="s">
        <v>41</v>
      </c>
      <c r="O125" s="173">
        <v>7</v>
      </c>
      <c r="P125" s="234">
        <f ca="1">OFFSET($A$1,MATCH(Z120,$A:$A,0)-1,O125)</f>
        <v>6.6</v>
      </c>
      <c r="Q125" s="144" t="s">
        <v>29</v>
      </c>
      <c r="R125" s="118">
        <f t="shared" ca="1" si="28"/>
        <v>235459</v>
      </c>
      <c r="S125" s="118">
        <f t="shared" ca="1" si="28"/>
        <v>1554029</v>
      </c>
      <c r="T125" s="118">
        <f ca="1">초급</f>
        <v>235459</v>
      </c>
      <c r="U125" s="118">
        <f t="shared" ca="1" si="29"/>
        <v>1554029</v>
      </c>
      <c r="V125" s="118"/>
      <c r="W125" s="118"/>
      <c r="X125" s="118"/>
      <c r="Y125" s="118"/>
      <c r="Z125" s="115"/>
    </row>
    <row r="126" spans="11:26" ht="18" customHeight="1">
      <c r="K126" s="171" t="s">
        <v>699</v>
      </c>
      <c r="L126" s="171"/>
      <c r="M126" s="171"/>
      <c r="N126" s="319" t="s">
        <v>42</v>
      </c>
      <c r="O126" s="174">
        <v>8</v>
      </c>
      <c r="P126" s="235">
        <f ca="1">OFFSET($A$1,MATCH(Z120,$A:$A,0)-1,O126)</f>
        <v>4.8</v>
      </c>
      <c r="Q126" s="322" t="s">
        <v>29</v>
      </c>
      <c r="R126" s="323">
        <f t="shared" ca="1" si="28"/>
        <v>250087</v>
      </c>
      <c r="S126" s="323">
        <f t="shared" ca="1" si="28"/>
        <v>1200417</v>
      </c>
      <c r="T126" s="323">
        <f ca="1">보조원</f>
        <v>250087</v>
      </c>
      <c r="U126" s="323">
        <f t="shared" ca="1" si="29"/>
        <v>1200417</v>
      </c>
      <c r="V126" s="323"/>
      <c r="W126" s="323"/>
      <c r="X126" s="323"/>
      <c r="Y126" s="323"/>
      <c r="Z126" s="324"/>
    </row>
    <row r="127" spans="11:26" ht="18" customHeight="1">
      <c r="K127" s="171" t="s">
        <v>699</v>
      </c>
      <c r="L127" s="171"/>
      <c r="M127" s="171"/>
      <c r="N127" s="139" t="s">
        <v>698</v>
      </c>
      <c r="O127" s="68"/>
      <c r="P127" s="69"/>
      <c r="Q127" s="70"/>
      <c r="R127" s="71"/>
      <c r="S127" s="71">
        <f ca="1">SUBTOTAL(9,S121:S126)</f>
        <v>5822768</v>
      </c>
      <c r="T127" s="71"/>
      <c r="U127" s="71">
        <f ca="1">SUBTOTAL(9,U121:U126)</f>
        <v>5822768</v>
      </c>
      <c r="V127" s="71"/>
      <c r="W127" s="71"/>
      <c r="X127" s="71"/>
      <c r="Y127" s="71"/>
      <c r="Z127" s="68"/>
    </row>
    <row r="128" spans="11:26" ht="18" customHeight="1">
      <c r="K128" s="171" t="s">
        <v>699</v>
      </c>
      <c r="L128" s="171"/>
      <c r="M128" s="171"/>
      <c r="N128" s="532" t="str">
        <f ca="1">"제 " &amp; Z128 &amp; " 호표  "&amp; OFFSET($A$1,MATCH(Z128,$A:$A,0)-1,1)</f>
        <v>제 11 호표  2.7 관계기관간 역할분담 및 협력</v>
      </c>
      <c r="O128" s="533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11</v>
      </c>
    </row>
    <row r="129" spans="11:26" ht="18" customHeight="1">
      <c r="K129" s="171" t="s">
        <v>702</v>
      </c>
      <c r="L129" s="171"/>
      <c r="M129" s="171"/>
      <c r="N129" s="140" t="s">
        <v>43</v>
      </c>
      <c r="O129" s="172">
        <v>3</v>
      </c>
      <c r="P129" s="534">
        <f ca="1">OFFSET($A$1,MATCH(Z128,$A:$A,0)-1,O129)</f>
        <v>0.7</v>
      </c>
      <c r="Q129" s="141" t="s">
        <v>29</v>
      </c>
      <c r="R129" s="142">
        <f t="shared" ref="R129:S134" ca="1" si="30">T129</f>
        <v>467217</v>
      </c>
      <c r="S129" s="142">
        <f t="shared" ca="1" si="30"/>
        <v>327051</v>
      </c>
      <c r="T129" s="142">
        <f ca="1">기술사</f>
        <v>467217</v>
      </c>
      <c r="U129" s="142">
        <f t="shared" ref="U129:U134" ca="1" si="31">ROUNDDOWN(P129*R129,0)</f>
        <v>327051</v>
      </c>
      <c r="V129" s="142"/>
      <c r="W129" s="142"/>
      <c r="X129" s="142"/>
      <c r="Y129" s="142"/>
      <c r="Z129" s="114"/>
    </row>
    <row r="130" spans="11:26" ht="18" customHeight="1">
      <c r="K130" s="171" t="s">
        <v>699</v>
      </c>
      <c r="L130" s="171"/>
      <c r="M130" s="171"/>
      <c r="N130" s="143" t="s">
        <v>32</v>
      </c>
      <c r="O130" s="173">
        <v>4</v>
      </c>
      <c r="P130" s="234">
        <f ca="1">OFFSET($A$1,MATCH(Z128,$A:$A,0)-1,O130)</f>
        <v>1.2</v>
      </c>
      <c r="Q130" s="144" t="s">
        <v>29</v>
      </c>
      <c r="R130" s="118">
        <f t="shared" ca="1" si="30"/>
        <v>373353</v>
      </c>
      <c r="S130" s="118">
        <f t="shared" ca="1" si="30"/>
        <v>448023</v>
      </c>
      <c r="T130" s="118">
        <f ca="1">특급</f>
        <v>373353</v>
      </c>
      <c r="U130" s="118">
        <f t="shared" ca="1" si="31"/>
        <v>448023</v>
      </c>
      <c r="V130" s="118"/>
      <c r="W130" s="118"/>
      <c r="X130" s="118"/>
      <c r="Y130" s="118"/>
      <c r="Z130" s="115"/>
    </row>
    <row r="131" spans="11:26" ht="18" customHeight="1">
      <c r="K131" s="171" t="s">
        <v>699</v>
      </c>
      <c r="L131" s="171"/>
      <c r="M131" s="171"/>
      <c r="N131" s="145" t="s">
        <v>39</v>
      </c>
      <c r="O131" s="173">
        <v>5</v>
      </c>
      <c r="P131" s="234">
        <f ca="1">OFFSET($A$1,MATCH(Z128,$A:$A,0)-1,O131)</f>
        <v>1.8</v>
      </c>
      <c r="Q131" s="144" t="s">
        <v>29</v>
      </c>
      <c r="R131" s="118">
        <f t="shared" ca="1" si="30"/>
        <v>310884</v>
      </c>
      <c r="S131" s="118">
        <f t="shared" ca="1" si="30"/>
        <v>559591</v>
      </c>
      <c r="T131" s="118">
        <f ca="1">고급</f>
        <v>310884</v>
      </c>
      <c r="U131" s="118">
        <f t="shared" ca="1" si="31"/>
        <v>559591</v>
      </c>
      <c r="V131" s="118"/>
      <c r="W131" s="118"/>
      <c r="X131" s="118"/>
      <c r="Y131" s="118"/>
      <c r="Z131" s="115"/>
    </row>
    <row r="132" spans="11:26" ht="18" customHeight="1">
      <c r="K132" s="171" t="s">
        <v>699</v>
      </c>
      <c r="L132" s="171"/>
      <c r="M132" s="171"/>
      <c r="N132" s="145" t="s">
        <v>40</v>
      </c>
      <c r="O132" s="173">
        <v>6</v>
      </c>
      <c r="P132" s="234">
        <f ca="1">OFFSET($A$1,MATCH(Z128,$A:$A,0)-1,O132)</f>
        <v>2.8</v>
      </c>
      <c r="Q132" s="144" t="s">
        <v>29</v>
      </c>
      <c r="R132" s="118">
        <f t="shared" ca="1" si="30"/>
        <v>295138</v>
      </c>
      <c r="S132" s="118">
        <f t="shared" ca="1" si="30"/>
        <v>826386</v>
      </c>
      <c r="T132" s="118">
        <f ca="1">중급</f>
        <v>295138</v>
      </c>
      <c r="U132" s="118">
        <f t="shared" ca="1" si="31"/>
        <v>826386</v>
      </c>
      <c r="V132" s="118"/>
      <c r="W132" s="118"/>
      <c r="X132" s="118"/>
      <c r="Y132" s="118"/>
      <c r="Z132" s="115"/>
    </row>
    <row r="133" spans="11:26" ht="18" customHeight="1">
      <c r="K133" s="171" t="s">
        <v>699</v>
      </c>
      <c r="L133" s="171"/>
      <c r="M133" s="171"/>
      <c r="N133" s="145" t="s">
        <v>41</v>
      </c>
      <c r="O133" s="173">
        <v>7</v>
      </c>
      <c r="P133" s="234">
        <f ca="1">OFFSET($A$1,MATCH(Z128,$A:$A,0)-1,O133)</f>
        <v>4.4000000000000004</v>
      </c>
      <c r="Q133" s="144" t="s">
        <v>29</v>
      </c>
      <c r="R133" s="118">
        <f t="shared" ca="1" si="30"/>
        <v>235459</v>
      </c>
      <c r="S133" s="118">
        <f t="shared" ca="1" si="30"/>
        <v>1036019</v>
      </c>
      <c r="T133" s="118">
        <f ca="1">초급</f>
        <v>235459</v>
      </c>
      <c r="U133" s="118">
        <f t="shared" ca="1" si="31"/>
        <v>1036019</v>
      </c>
      <c r="V133" s="118"/>
      <c r="W133" s="118"/>
      <c r="X133" s="118"/>
      <c r="Y133" s="118"/>
      <c r="Z133" s="115"/>
    </row>
    <row r="134" spans="11:26" ht="18" customHeight="1">
      <c r="K134" s="171" t="s">
        <v>699</v>
      </c>
      <c r="L134" s="171"/>
      <c r="M134" s="171"/>
      <c r="N134" s="319" t="s">
        <v>42</v>
      </c>
      <c r="O134" s="174">
        <v>8</v>
      </c>
      <c r="P134" s="235">
        <f ca="1">OFFSET($A$1,MATCH(Z128,$A:$A,0)-1,O134)</f>
        <v>3.2</v>
      </c>
      <c r="Q134" s="322" t="s">
        <v>29</v>
      </c>
      <c r="R134" s="323">
        <f t="shared" ca="1" si="30"/>
        <v>250087</v>
      </c>
      <c r="S134" s="323">
        <f t="shared" ca="1" si="30"/>
        <v>800278</v>
      </c>
      <c r="T134" s="323">
        <f ca="1">보조원</f>
        <v>250087</v>
      </c>
      <c r="U134" s="323">
        <f t="shared" ca="1" si="31"/>
        <v>800278</v>
      </c>
      <c r="V134" s="323"/>
      <c r="W134" s="323"/>
      <c r="X134" s="323"/>
      <c r="Y134" s="323"/>
      <c r="Z134" s="324"/>
    </row>
    <row r="135" spans="11:26" ht="18" customHeight="1">
      <c r="K135" s="171" t="s">
        <v>699</v>
      </c>
      <c r="L135" s="171"/>
      <c r="M135" s="171"/>
      <c r="N135" s="139" t="s">
        <v>700</v>
      </c>
      <c r="O135" s="68"/>
      <c r="P135" s="69"/>
      <c r="Q135" s="70"/>
      <c r="R135" s="71"/>
      <c r="S135" s="71">
        <f ca="1">SUBTOTAL(9,S129:S134)</f>
        <v>3997348</v>
      </c>
      <c r="T135" s="71"/>
      <c r="U135" s="71">
        <f ca="1">SUBTOTAL(9,U129:U134)</f>
        <v>3997348</v>
      </c>
      <c r="V135" s="71"/>
      <c r="W135" s="71"/>
      <c r="X135" s="71"/>
      <c r="Y135" s="71"/>
      <c r="Z135" s="68"/>
    </row>
    <row r="136" spans="11:26" ht="18" customHeight="1">
      <c r="K136" s="171" t="s">
        <v>702</v>
      </c>
      <c r="L136" s="171"/>
      <c r="M136" s="171"/>
      <c r="N136" s="532" t="str">
        <f ca="1">"제 " &amp; Z136 &amp; " 호표  "&amp; OFFSET($A$1,MATCH(Z136,$A:$A,0)-1,1)</f>
        <v>제 12 호표  2.8 재원조달 및 자금투자계획</v>
      </c>
      <c r="O136" s="533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12</v>
      </c>
    </row>
    <row r="137" spans="11:26" ht="18" customHeight="1">
      <c r="K137" s="171" t="s">
        <v>699</v>
      </c>
      <c r="L137" s="171"/>
      <c r="M137" s="171"/>
      <c r="N137" s="140" t="s">
        <v>43</v>
      </c>
      <c r="O137" s="172">
        <v>3</v>
      </c>
      <c r="P137" s="534">
        <f ca="1">OFFSET($A$1,MATCH(Z136,$A:$A,0)-1,O137)</f>
        <v>0.3</v>
      </c>
      <c r="Q137" s="141" t="s">
        <v>29</v>
      </c>
      <c r="R137" s="142">
        <f t="shared" ref="R137:S142" ca="1" si="32">T137</f>
        <v>467217</v>
      </c>
      <c r="S137" s="142">
        <f t="shared" ca="1" si="32"/>
        <v>140165</v>
      </c>
      <c r="T137" s="142">
        <f ca="1">기술사</f>
        <v>467217</v>
      </c>
      <c r="U137" s="142">
        <f t="shared" ref="U137:U142" ca="1" si="33">ROUNDDOWN(P137*R137,0)</f>
        <v>140165</v>
      </c>
      <c r="V137" s="142"/>
      <c r="W137" s="142"/>
      <c r="X137" s="142"/>
      <c r="Y137" s="142"/>
      <c r="Z137" s="114"/>
    </row>
    <row r="138" spans="11:26" ht="18" customHeight="1">
      <c r="K138" s="171" t="s">
        <v>699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2</v>
      </c>
      <c r="Q138" s="144" t="s">
        <v>29</v>
      </c>
      <c r="R138" s="118">
        <f t="shared" ca="1" si="32"/>
        <v>373353</v>
      </c>
      <c r="S138" s="118">
        <f t="shared" ca="1" si="32"/>
        <v>746706</v>
      </c>
      <c r="T138" s="118">
        <f ca="1">특급</f>
        <v>373353</v>
      </c>
      <c r="U138" s="118">
        <f t="shared" ca="1" si="33"/>
        <v>746706</v>
      </c>
      <c r="V138" s="118"/>
      <c r="W138" s="118"/>
      <c r="X138" s="118"/>
      <c r="Y138" s="118"/>
      <c r="Z138" s="115"/>
    </row>
    <row r="139" spans="11:26" ht="18" customHeight="1">
      <c r="K139" s="171" t="s">
        <v>702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7.5</v>
      </c>
      <c r="Q139" s="144" t="s">
        <v>29</v>
      </c>
      <c r="R139" s="118">
        <f t="shared" ca="1" si="32"/>
        <v>310884</v>
      </c>
      <c r="S139" s="118">
        <f t="shared" ca="1" si="32"/>
        <v>2331630</v>
      </c>
      <c r="T139" s="118">
        <f ca="1">고급</f>
        <v>310884</v>
      </c>
      <c r="U139" s="118">
        <f t="shared" ca="1" si="33"/>
        <v>2331630</v>
      </c>
      <c r="V139" s="118"/>
      <c r="W139" s="118"/>
      <c r="X139" s="118"/>
      <c r="Y139" s="118"/>
      <c r="Z139" s="115"/>
    </row>
    <row r="140" spans="11:26" ht="18" customHeight="1">
      <c r="K140" s="171" t="s">
        <v>699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7.1</v>
      </c>
      <c r="Q140" s="144" t="s">
        <v>29</v>
      </c>
      <c r="R140" s="118">
        <f t="shared" ca="1" si="32"/>
        <v>295138</v>
      </c>
      <c r="S140" s="118">
        <f t="shared" ca="1" si="32"/>
        <v>2095479</v>
      </c>
      <c r="T140" s="118">
        <f ca="1">중급</f>
        <v>295138</v>
      </c>
      <c r="U140" s="118">
        <f t="shared" ca="1" si="33"/>
        <v>2095479</v>
      </c>
      <c r="V140" s="118"/>
      <c r="W140" s="118"/>
      <c r="X140" s="118"/>
      <c r="Y140" s="118"/>
      <c r="Z140" s="115"/>
    </row>
    <row r="141" spans="11:26" ht="18" customHeight="1">
      <c r="K141" s="171" t="s">
        <v>699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15.8</v>
      </c>
      <c r="Q141" s="144" t="s">
        <v>29</v>
      </c>
      <c r="R141" s="118">
        <f t="shared" ca="1" si="32"/>
        <v>235459</v>
      </c>
      <c r="S141" s="118">
        <f t="shared" ca="1" si="32"/>
        <v>3720252</v>
      </c>
      <c r="T141" s="118">
        <f ca="1">초급</f>
        <v>235459</v>
      </c>
      <c r="U141" s="118">
        <f t="shared" ca="1" si="33"/>
        <v>3720252</v>
      </c>
      <c r="V141" s="118"/>
      <c r="W141" s="118"/>
      <c r="X141" s="118"/>
      <c r="Y141" s="118"/>
      <c r="Z141" s="115"/>
    </row>
    <row r="142" spans="11:26" ht="18" customHeight="1">
      <c r="K142" s="171" t="s">
        <v>699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16.899999999999999</v>
      </c>
      <c r="Q142" s="322" t="s">
        <v>29</v>
      </c>
      <c r="R142" s="323">
        <f t="shared" ca="1" si="32"/>
        <v>250087</v>
      </c>
      <c r="S142" s="323">
        <f t="shared" ca="1" si="32"/>
        <v>4226470</v>
      </c>
      <c r="T142" s="323">
        <f ca="1">보조원</f>
        <v>250087</v>
      </c>
      <c r="U142" s="323">
        <f t="shared" ca="1" si="33"/>
        <v>4226470</v>
      </c>
      <c r="V142" s="323"/>
      <c r="W142" s="323"/>
      <c r="X142" s="323"/>
      <c r="Y142" s="323"/>
      <c r="Z142" s="324"/>
    </row>
    <row r="143" spans="11:26" ht="18" customHeight="1">
      <c r="K143" s="171" t="s">
        <v>699</v>
      </c>
      <c r="L143" s="171"/>
      <c r="M143" s="171"/>
      <c r="N143" s="139" t="s">
        <v>698</v>
      </c>
      <c r="O143" s="68"/>
      <c r="P143" s="69"/>
      <c r="Q143" s="70"/>
      <c r="R143" s="71"/>
      <c r="S143" s="71">
        <f ca="1">SUBTOTAL(9,S137:S142)</f>
        <v>13260702</v>
      </c>
      <c r="T143" s="71"/>
      <c r="U143" s="71">
        <f ca="1">SUBTOTAL(9,U137:U142)</f>
        <v>13260702</v>
      </c>
      <c r="V143" s="71"/>
      <c r="W143" s="71"/>
      <c r="X143" s="71"/>
      <c r="Y143" s="71"/>
      <c r="Z143" s="68"/>
    </row>
    <row r="144" spans="11:26" ht="18" customHeight="1">
      <c r="K144" s="171" t="s">
        <v>699</v>
      </c>
      <c r="L144" s="171"/>
      <c r="M144" s="171"/>
      <c r="N144" s="532" t="str">
        <f ca="1">"제 " &amp; Z144 &amp; " 호표  "&amp; OFFSET($A$1,MATCH(Z144,$A:$A,0)-1,1)</f>
        <v>제 13 호표  2.9 스마트도시 운영관리계획</v>
      </c>
      <c r="O144" s="533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13</v>
      </c>
    </row>
    <row r="145" spans="11:26" ht="18" customHeight="1">
      <c r="K145" s="171" t="s">
        <v>699</v>
      </c>
      <c r="L145" s="171"/>
      <c r="M145" s="171"/>
      <c r="N145" s="140" t="s">
        <v>43</v>
      </c>
      <c r="O145" s="172">
        <v>3</v>
      </c>
      <c r="P145" s="534">
        <f ca="1">OFFSET($A$1,MATCH(Z144,$A:$A,0)-1,O145)</f>
        <v>0.3</v>
      </c>
      <c r="Q145" s="141" t="s">
        <v>29</v>
      </c>
      <c r="R145" s="142">
        <f t="shared" ref="R145:S150" ca="1" si="34">T145</f>
        <v>467217</v>
      </c>
      <c r="S145" s="142">
        <f t="shared" ca="1" si="34"/>
        <v>140165</v>
      </c>
      <c r="T145" s="142">
        <f ca="1">기술사</f>
        <v>467217</v>
      </c>
      <c r="U145" s="142">
        <f t="shared" ref="U145:U150" ca="1" si="35">ROUNDDOWN(P145*R145,0)</f>
        <v>140165</v>
      </c>
      <c r="V145" s="142"/>
      <c r="W145" s="142"/>
      <c r="X145" s="142"/>
      <c r="Y145" s="142"/>
      <c r="Z145" s="114"/>
    </row>
    <row r="146" spans="11:26" ht="18" customHeight="1">
      <c r="K146" s="171" t="s">
        <v>699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1</v>
      </c>
      <c r="Q146" s="144" t="s">
        <v>29</v>
      </c>
      <c r="R146" s="118">
        <f t="shared" ca="1" si="34"/>
        <v>373353</v>
      </c>
      <c r="S146" s="118">
        <f t="shared" ca="1" si="34"/>
        <v>373353</v>
      </c>
      <c r="T146" s="118">
        <f ca="1">특급</f>
        <v>373353</v>
      </c>
      <c r="U146" s="118">
        <f t="shared" ca="1" si="35"/>
        <v>373353</v>
      </c>
      <c r="V146" s="118"/>
      <c r="W146" s="118"/>
      <c r="X146" s="118"/>
      <c r="Y146" s="118"/>
      <c r="Z146" s="115"/>
    </row>
    <row r="147" spans="11:26" ht="18" customHeight="1">
      <c r="K147" s="171" t="s">
        <v>699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2.6</v>
      </c>
      <c r="Q147" s="144" t="s">
        <v>29</v>
      </c>
      <c r="R147" s="118">
        <f t="shared" ca="1" si="34"/>
        <v>310884</v>
      </c>
      <c r="S147" s="118">
        <f t="shared" ca="1" si="34"/>
        <v>808298</v>
      </c>
      <c r="T147" s="118">
        <f ca="1">고급</f>
        <v>310884</v>
      </c>
      <c r="U147" s="118">
        <f t="shared" ca="1" si="35"/>
        <v>808298</v>
      </c>
      <c r="V147" s="118"/>
      <c r="W147" s="118"/>
      <c r="X147" s="118"/>
      <c r="Y147" s="118"/>
      <c r="Z147" s="115"/>
    </row>
    <row r="148" spans="11:26" ht="18" customHeight="1">
      <c r="K148" s="171" t="s">
        <v>699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4</v>
      </c>
      <c r="Q148" s="144" t="s">
        <v>29</v>
      </c>
      <c r="R148" s="118">
        <f t="shared" ca="1" si="34"/>
        <v>295138</v>
      </c>
      <c r="S148" s="118">
        <f t="shared" ca="1" si="34"/>
        <v>1180552</v>
      </c>
      <c r="T148" s="118">
        <f ca="1">중급</f>
        <v>295138</v>
      </c>
      <c r="U148" s="118">
        <f t="shared" ca="1" si="35"/>
        <v>1180552</v>
      </c>
      <c r="V148" s="118"/>
      <c r="W148" s="118"/>
      <c r="X148" s="118"/>
      <c r="Y148" s="118"/>
      <c r="Z148" s="115"/>
    </row>
    <row r="149" spans="11:26" ht="18" customHeight="1">
      <c r="K149" s="171" t="s">
        <v>699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6.6</v>
      </c>
      <c r="Q149" s="144" t="s">
        <v>29</v>
      </c>
      <c r="R149" s="118">
        <f t="shared" ca="1" si="34"/>
        <v>235459</v>
      </c>
      <c r="S149" s="118">
        <f t="shared" ca="1" si="34"/>
        <v>1554029</v>
      </c>
      <c r="T149" s="118">
        <f ca="1">초급</f>
        <v>235459</v>
      </c>
      <c r="U149" s="118">
        <f t="shared" ca="1" si="35"/>
        <v>1554029</v>
      </c>
      <c r="V149" s="118"/>
      <c r="W149" s="118"/>
      <c r="X149" s="118"/>
      <c r="Y149" s="118"/>
      <c r="Z149" s="115"/>
    </row>
    <row r="150" spans="11:26" ht="18" customHeight="1">
      <c r="K150" s="171" t="s">
        <v>699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9.9</v>
      </c>
      <c r="Q150" s="322" t="s">
        <v>29</v>
      </c>
      <c r="R150" s="323">
        <f t="shared" ca="1" si="34"/>
        <v>250087</v>
      </c>
      <c r="S150" s="323">
        <f t="shared" ca="1" si="34"/>
        <v>2475861</v>
      </c>
      <c r="T150" s="323">
        <f ca="1">보조원</f>
        <v>250087</v>
      </c>
      <c r="U150" s="323">
        <f t="shared" ca="1" si="35"/>
        <v>2475861</v>
      </c>
      <c r="V150" s="323"/>
      <c r="W150" s="323"/>
      <c r="X150" s="323"/>
      <c r="Y150" s="323"/>
      <c r="Z150" s="324"/>
    </row>
    <row r="151" spans="11:26" ht="18" customHeight="1">
      <c r="K151" s="171" t="s">
        <v>699</v>
      </c>
      <c r="L151" s="171"/>
      <c r="M151" s="171"/>
      <c r="N151" s="139" t="s">
        <v>700</v>
      </c>
      <c r="O151" s="68"/>
      <c r="P151" s="69"/>
      <c r="Q151" s="70"/>
      <c r="R151" s="71"/>
      <c r="S151" s="71">
        <f ca="1">SUBTOTAL(9,S145:S150)</f>
        <v>6532258</v>
      </c>
      <c r="T151" s="71"/>
      <c r="U151" s="71">
        <f ca="1">SUBTOTAL(9,U145:U150)</f>
        <v>6532258</v>
      </c>
      <c r="V151" s="71"/>
      <c r="W151" s="71"/>
      <c r="X151" s="71"/>
      <c r="Y151" s="71"/>
      <c r="Z151" s="68"/>
    </row>
    <row r="152" spans="11:26" ht="18" customHeight="1">
      <c r="K152" s="171" t="s">
        <v>702</v>
      </c>
      <c r="L152" s="171"/>
      <c r="M152" s="171"/>
      <c r="N152" s="532" t="str">
        <f ca="1">"제 " &amp; Z152 &amp; " 호표  "&amp; OFFSET($A$1,MATCH(Z152,$A:$A,0)-1,1)</f>
        <v>제 14 호표  3.1 보고서 작성 및 편집</v>
      </c>
      <c r="O152" s="533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14</v>
      </c>
    </row>
    <row r="153" spans="11:26" ht="18" customHeight="1">
      <c r="K153" s="171" t="s">
        <v>699</v>
      </c>
      <c r="L153" s="171"/>
      <c r="M153" s="171"/>
      <c r="N153" s="140" t="s">
        <v>43</v>
      </c>
      <c r="O153" s="172">
        <v>3</v>
      </c>
      <c r="P153" s="534">
        <f ca="1">OFFSET($A$1,MATCH(Z152,$A:$A,0)-1,O153)</f>
        <v>0.7</v>
      </c>
      <c r="Q153" s="141" t="s">
        <v>29</v>
      </c>
      <c r="R153" s="142">
        <f t="shared" ref="R153:S158" ca="1" si="36">T153</f>
        <v>467217</v>
      </c>
      <c r="S153" s="142">
        <f t="shared" ca="1" si="36"/>
        <v>327051</v>
      </c>
      <c r="T153" s="142">
        <f ca="1">기술사</f>
        <v>467217</v>
      </c>
      <c r="U153" s="142">
        <f t="shared" ref="U153:U158" ca="1" si="37">ROUNDDOWN(P153*R153,0)</f>
        <v>327051</v>
      </c>
      <c r="V153" s="142"/>
      <c r="W153" s="142"/>
      <c r="X153" s="142"/>
      <c r="Y153" s="142"/>
      <c r="Z153" s="114"/>
    </row>
    <row r="154" spans="11:26" ht="18" customHeight="1">
      <c r="K154" s="171" t="s">
        <v>702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2.2999999999999998</v>
      </c>
      <c r="Q154" s="144" t="s">
        <v>29</v>
      </c>
      <c r="R154" s="118">
        <f t="shared" ca="1" si="36"/>
        <v>373353</v>
      </c>
      <c r="S154" s="118">
        <f t="shared" ca="1" si="36"/>
        <v>858711</v>
      </c>
      <c r="T154" s="118">
        <f ca="1">특급</f>
        <v>373353</v>
      </c>
      <c r="U154" s="118">
        <f t="shared" ca="1" si="37"/>
        <v>858711</v>
      </c>
      <c r="V154" s="118"/>
      <c r="W154" s="118"/>
      <c r="X154" s="118"/>
      <c r="Y154" s="118"/>
      <c r="Z154" s="115"/>
    </row>
    <row r="155" spans="11:26" ht="18" customHeight="1">
      <c r="K155" s="171" t="s">
        <v>702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5.0999999999999996</v>
      </c>
      <c r="Q155" s="144" t="s">
        <v>29</v>
      </c>
      <c r="R155" s="118">
        <f t="shared" ca="1" si="36"/>
        <v>310884</v>
      </c>
      <c r="S155" s="118">
        <f t="shared" ca="1" si="36"/>
        <v>1585508</v>
      </c>
      <c r="T155" s="118">
        <f ca="1">고급</f>
        <v>310884</v>
      </c>
      <c r="U155" s="118">
        <f t="shared" ca="1" si="37"/>
        <v>1585508</v>
      </c>
      <c r="V155" s="118"/>
      <c r="W155" s="118"/>
      <c r="X155" s="118"/>
      <c r="Y155" s="118"/>
      <c r="Z155" s="115"/>
    </row>
    <row r="156" spans="11:26" ht="18" customHeight="1">
      <c r="K156" s="171" t="s">
        <v>699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4.3</v>
      </c>
      <c r="Q156" s="144" t="s">
        <v>29</v>
      </c>
      <c r="R156" s="118">
        <f t="shared" ca="1" si="36"/>
        <v>295138</v>
      </c>
      <c r="S156" s="118">
        <f t="shared" ca="1" si="36"/>
        <v>1269093</v>
      </c>
      <c r="T156" s="118">
        <f ca="1">중급</f>
        <v>295138</v>
      </c>
      <c r="U156" s="118">
        <f t="shared" ca="1" si="37"/>
        <v>1269093</v>
      </c>
      <c r="V156" s="118"/>
      <c r="W156" s="118"/>
      <c r="X156" s="118"/>
      <c r="Y156" s="118"/>
      <c r="Z156" s="115"/>
    </row>
    <row r="157" spans="11:26" ht="18" customHeight="1">
      <c r="K157" s="171" t="s">
        <v>702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7.7</v>
      </c>
      <c r="Q157" s="144" t="s">
        <v>29</v>
      </c>
      <c r="R157" s="118">
        <f t="shared" ca="1" si="36"/>
        <v>235459</v>
      </c>
      <c r="S157" s="118">
        <f t="shared" ca="1" si="36"/>
        <v>1813034</v>
      </c>
      <c r="T157" s="118">
        <f ca="1">초급</f>
        <v>235459</v>
      </c>
      <c r="U157" s="118">
        <f t="shared" ca="1" si="37"/>
        <v>1813034</v>
      </c>
      <c r="V157" s="118"/>
      <c r="W157" s="118"/>
      <c r="X157" s="118"/>
      <c r="Y157" s="118"/>
      <c r="Z157" s="115"/>
    </row>
    <row r="158" spans="11:26" ht="18" customHeight="1">
      <c r="K158" s="171" t="s">
        <v>699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5.6</v>
      </c>
      <c r="Q158" s="322" t="s">
        <v>29</v>
      </c>
      <c r="R158" s="323">
        <f t="shared" ca="1" si="36"/>
        <v>250087</v>
      </c>
      <c r="S158" s="323">
        <f t="shared" ca="1" si="36"/>
        <v>1400487</v>
      </c>
      <c r="T158" s="323">
        <f ca="1">보조원</f>
        <v>250087</v>
      </c>
      <c r="U158" s="323">
        <f t="shared" ca="1" si="37"/>
        <v>1400487</v>
      </c>
      <c r="V158" s="323"/>
      <c r="W158" s="323"/>
      <c r="X158" s="323"/>
      <c r="Y158" s="323"/>
      <c r="Z158" s="324"/>
    </row>
    <row r="159" spans="11:26" ht="18" customHeight="1">
      <c r="K159" s="171" t="s">
        <v>699</v>
      </c>
      <c r="L159" s="171"/>
      <c r="M159" s="171"/>
      <c r="N159" s="139" t="s">
        <v>698</v>
      </c>
      <c r="O159" s="68"/>
      <c r="P159" s="69"/>
      <c r="Q159" s="70"/>
      <c r="R159" s="71"/>
      <c r="S159" s="71">
        <f ca="1">SUBTOTAL(9,S153:S158)</f>
        <v>7253884</v>
      </c>
      <c r="T159" s="71"/>
      <c r="U159" s="71">
        <f ca="1">SUBTOTAL(9,U153:U158)</f>
        <v>7253884</v>
      </c>
      <c r="V159" s="71"/>
      <c r="W159" s="71"/>
      <c r="X159" s="71"/>
      <c r="Y159" s="71"/>
      <c r="Z159" s="68"/>
    </row>
    <row r="160" spans="11:26" ht="18" customHeight="1">
      <c r="K160" s="171" t="s">
        <v>699</v>
      </c>
      <c r="L160" s="171"/>
      <c r="M160" s="171"/>
      <c r="N160" s="532" t="str">
        <f ca="1">"제 " &amp; Z160 &amp; " 호표  "&amp; OFFSET($A$1,MATCH(Z160,$A:$A,0)-1,1)</f>
        <v>제 15 호표  3.2 관련도서 작성</v>
      </c>
      <c r="O160" s="533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15</v>
      </c>
    </row>
    <row r="161" spans="11:26" ht="18" customHeight="1">
      <c r="K161" s="171" t="s">
        <v>699</v>
      </c>
      <c r="L161" s="171"/>
      <c r="M161" s="171"/>
      <c r="N161" s="140" t="s">
        <v>43</v>
      </c>
      <c r="O161" s="172">
        <v>3</v>
      </c>
      <c r="P161" s="534">
        <f ca="1">OFFSET($A$1,MATCH(Z160,$A:$A,0)-1,O161)</f>
        <v>0.3</v>
      </c>
      <c r="Q161" s="141" t="s">
        <v>29</v>
      </c>
      <c r="R161" s="142">
        <f t="shared" ref="R161:S166" ca="1" si="38">T161</f>
        <v>467217</v>
      </c>
      <c r="S161" s="142">
        <f t="shared" ca="1" si="38"/>
        <v>140165</v>
      </c>
      <c r="T161" s="142">
        <f ca="1">기술사</f>
        <v>467217</v>
      </c>
      <c r="U161" s="142">
        <f t="shared" ref="U161:U166" ca="1" si="39">ROUNDDOWN(P161*R161,0)</f>
        <v>140165</v>
      </c>
      <c r="V161" s="142"/>
      <c r="W161" s="142"/>
      <c r="X161" s="142"/>
      <c r="Y161" s="142"/>
      <c r="Z161" s="114"/>
    </row>
    <row r="162" spans="11:26" ht="18" customHeight="1">
      <c r="K162" s="171" t="s">
        <v>699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1.1000000000000001</v>
      </c>
      <c r="Q162" s="144" t="s">
        <v>29</v>
      </c>
      <c r="R162" s="118">
        <f t="shared" ca="1" si="38"/>
        <v>373353</v>
      </c>
      <c r="S162" s="118">
        <f t="shared" ca="1" si="38"/>
        <v>410688</v>
      </c>
      <c r="T162" s="118">
        <f ca="1">특급</f>
        <v>373353</v>
      </c>
      <c r="U162" s="118">
        <f t="shared" ca="1" si="39"/>
        <v>410688</v>
      </c>
      <c r="V162" s="118"/>
      <c r="W162" s="118"/>
      <c r="X162" s="118"/>
      <c r="Y162" s="118"/>
      <c r="Z162" s="115"/>
    </row>
    <row r="163" spans="11:26" ht="18" customHeight="1">
      <c r="K163" s="171" t="s">
        <v>699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2.6</v>
      </c>
      <c r="Q163" s="144" t="s">
        <v>29</v>
      </c>
      <c r="R163" s="118">
        <f t="shared" ca="1" si="38"/>
        <v>310884</v>
      </c>
      <c r="S163" s="118">
        <f t="shared" ca="1" si="38"/>
        <v>808298</v>
      </c>
      <c r="T163" s="118">
        <f ca="1">고급</f>
        <v>310884</v>
      </c>
      <c r="U163" s="118">
        <f t="shared" ca="1" si="39"/>
        <v>808298</v>
      </c>
      <c r="V163" s="118"/>
      <c r="W163" s="118"/>
      <c r="X163" s="118"/>
      <c r="Y163" s="118"/>
      <c r="Z163" s="115"/>
    </row>
    <row r="164" spans="11:26" ht="18" customHeight="1">
      <c r="K164" s="171" t="s">
        <v>699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2.9</v>
      </c>
      <c r="Q164" s="144" t="s">
        <v>29</v>
      </c>
      <c r="R164" s="118">
        <f t="shared" ca="1" si="38"/>
        <v>295138</v>
      </c>
      <c r="S164" s="118">
        <f t="shared" ca="1" si="38"/>
        <v>855900</v>
      </c>
      <c r="T164" s="118">
        <f ca="1">중급</f>
        <v>295138</v>
      </c>
      <c r="U164" s="118">
        <f t="shared" ca="1" si="39"/>
        <v>855900</v>
      </c>
      <c r="V164" s="118"/>
      <c r="W164" s="118"/>
      <c r="X164" s="118"/>
      <c r="Y164" s="118"/>
      <c r="Z164" s="115"/>
    </row>
    <row r="165" spans="11:26" ht="18" customHeight="1">
      <c r="K165" s="171" t="s">
        <v>699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10</v>
      </c>
      <c r="Q165" s="144" t="s">
        <v>29</v>
      </c>
      <c r="R165" s="118">
        <f t="shared" ca="1" si="38"/>
        <v>235459</v>
      </c>
      <c r="S165" s="118">
        <f t="shared" ca="1" si="38"/>
        <v>2354590</v>
      </c>
      <c r="T165" s="118">
        <f ca="1">초급</f>
        <v>235459</v>
      </c>
      <c r="U165" s="118">
        <f t="shared" ca="1" si="39"/>
        <v>2354590</v>
      </c>
      <c r="V165" s="118"/>
      <c r="W165" s="118"/>
      <c r="X165" s="118"/>
      <c r="Y165" s="118"/>
      <c r="Z165" s="115"/>
    </row>
    <row r="166" spans="11:26" ht="18" customHeight="1">
      <c r="K166" s="171" t="s">
        <v>699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13.9</v>
      </c>
      <c r="Q166" s="322" t="s">
        <v>29</v>
      </c>
      <c r="R166" s="323">
        <f t="shared" ca="1" si="38"/>
        <v>250087</v>
      </c>
      <c r="S166" s="323">
        <f t="shared" ca="1" si="38"/>
        <v>3476209</v>
      </c>
      <c r="T166" s="323">
        <f ca="1">보조원</f>
        <v>250087</v>
      </c>
      <c r="U166" s="323">
        <f t="shared" ca="1" si="39"/>
        <v>3476209</v>
      </c>
      <c r="V166" s="323"/>
      <c r="W166" s="323"/>
      <c r="X166" s="323"/>
      <c r="Y166" s="323"/>
      <c r="Z166" s="324"/>
    </row>
    <row r="167" spans="11:26" ht="18" customHeight="1">
      <c r="K167" s="171" t="s">
        <v>699</v>
      </c>
      <c r="L167" s="171"/>
      <c r="M167" s="171"/>
      <c r="N167" s="139" t="s">
        <v>698</v>
      </c>
      <c r="O167" s="68"/>
      <c r="P167" s="69"/>
      <c r="Q167" s="70"/>
      <c r="R167" s="71"/>
      <c r="S167" s="71">
        <f ca="1">SUBTOTAL(9,S161:S166)</f>
        <v>8045850</v>
      </c>
      <c r="T167" s="71"/>
      <c r="U167" s="71">
        <f ca="1">SUBTOTAL(9,U161:U166)</f>
        <v>8045850</v>
      </c>
      <c r="V167" s="71"/>
      <c r="W167" s="71"/>
      <c r="X167" s="71"/>
      <c r="Y167" s="71"/>
      <c r="Z167" s="68"/>
    </row>
    <row r="168" spans="11:26" ht="18" customHeight="1">
      <c r="K168" s="171" t="s">
        <v>699</v>
      </c>
      <c r="L168" s="171"/>
      <c r="M168" s="171"/>
      <c r="N168" s="532" t="str">
        <f ca="1">"제 " &amp; Z168 &amp; " 호표  "&amp; OFFSET($A$1,MATCH(Z168,$A:$A,0)-1,1)</f>
        <v>제 16 호표  4.1 전문가 자문</v>
      </c>
      <c r="O168" s="533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16</v>
      </c>
    </row>
    <row r="169" spans="11:26" ht="18" customHeight="1">
      <c r="K169" s="171" t="s">
        <v>699</v>
      </c>
      <c r="L169" s="171"/>
      <c r="M169" s="171"/>
      <c r="N169" s="140" t="s">
        <v>43</v>
      </c>
      <c r="O169" s="172">
        <v>3</v>
      </c>
      <c r="P169" s="534">
        <f ca="1">OFFSET($A$1,MATCH(Z168,$A:$A,0)-1,O169)</f>
        <v>6</v>
      </c>
      <c r="Q169" s="141" t="s">
        <v>29</v>
      </c>
      <c r="R169" s="142">
        <f t="shared" ref="R169:S174" ca="1" si="40">T169</f>
        <v>467217</v>
      </c>
      <c r="S169" s="142">
        <f t="shared" ca="1" si="40"/>
        <v>2803302</v>
      </c>
      <c r="T169" s="142">
        <f ca="1">기술사</f>
        <v>467217</v>
      </c>
      <c r="U169" s="142">
        <f t="shared" ref="U169:U174" ca="1" si="41">ROUNDDOWN(P169*R169,0)</f>
        <v>2803302</v>
      </c>
      <c r="V169" s="142"/>
      <c r="W169" s="142"/>
      <c r="X169" s="142"/>
      <c r="Y169" s="142"/>
      <c r="Z169" s="114"/>
    </row>
    <row r="170" spans="11:26" ht="18" customHeight="1">
      <c r="K170" s="171" t="s">
        <v>699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6</v>
      </c>
      <c r="Q170" s="144" t="s">
        <v>29</v>
      </c>
      <c r="R170" s="118">
        <f t="shared" ca="1" si="40"/>
        <v>373353</v>
      </c>
      <c r="S170" s="118">
        <f t="shared" ca="1" si="40"/>
        <v>2240118</v>
      </c>
      <c r="T170" s="118">
        <f ca="1">특급</f>
        <v>373353</v>
      </c>
      <c r="U170" s="118">
        <f t="shared" ca="1" si="41"/>
        <v>2240118</v>
      </c>
      <c r="V170" s="118"/>
      <c r="W170" s="118"/>
      <c r="X170" s="118"/>
      <c r="Y170" s="118"/>
      <c r="Z170" s="115"/>
    </row>
    <row r="171" spans="11:26" ht="18" customHeight="1">
      <c r="K171" s="171" t="s">
        <v>699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6</v>
      </c>
      <c r="Q171" s="144" t="s">
        <v>29</v>
      </c>
      <c r="R171" s="118">
        <f t="shared" ca="1" si="40"/>
        <v>310884</v>
      </c>
      <c r="S171" s="118">
        <f t="shared" ca="1" si="40"/>
        <v>1865304</v>
      </c>
      <c r="T171" s="118">
        <f ca="1">고급</f>
        <v>310884</v>
      </c>
      <c r="U171" s="118">
        <f t="shared" ca="1" si="41"/>
        <v>1865304</v>
      </c>
      <c r="V171" s="118"/>
      <c r="W171" s="118"/>
      <c r="X171" s="118"/>
      <c r="Y171" s="118"/>
      <c r="Z171" s="115"/>
    </row>
    <row r="172" spans="11:26" ht="18" customHeight="1">
      <c r="K172" s="171" t="s">
        <v>699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12</v>
      </c>
      <c r="Q172" s="144" t="s">
        <v>29</v>
      </c>
      <c r="R172" s="118">
        <f t="shared" ca="1" si="40"/>
        <v>295138</v>
      </c>
      <c r="S172" s="118">
        <f t="shared" ca="1" si="40"/>
        <v>3541656</v>
      </c>
      <c r="T172" s="118">
        <f ca="1">중급</f>
        <v>295138</v>
      </c>
      <c r="U172" s="118">
        <f t="shared" ca="1" si="41"/>
        <v>3541656</v>
      </c>
      <c r="V172" s="118"/>
      <c r="W172" s="118"/>
      <c r="X172" s="118"/>
      <c r="Y172" s="118"/>
      <c r="Z172" s="115"/>
    </row>
    <row r="173" spans="11:26" ht="18" customHeight="1">
      <c r="K173" s="171" t="s">
        <v>699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12</v>
      </c>
      <c r="Q173" s="144" t="s">
        <v>29</v>
      </c>
      <c r="R173" s="118">
        <f t="shared" ca="1" si="40"/>
        <v>235459</v>
      </c>
      <c r="S173" s="118">
        <f t="shared" ca="1" si="40"/>
        <v>2825508</v>
      </c>
      <c r="T173" s="118">
        <f ca="1">초급</f>
        <v>235459</v>
      </c>
      <c r="U173" s="118">
        <f t="shared" ca="1" si="41"/>
        <v>2825508</v>
      </c>
      <c r="V173" s="118"/>
      <c r="W173" s="118"/>
      <c r="X173" s="118"/>
      <c r="Y173" s="118"/>
      <c r="Z173" s="115"/>
    </row>
    <row r="174" spans="11:26" ht="18" customHeight="1">
      <c r="K174" s="171" t="s">
        <v>699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12</v>
      </c>
      <c r="Q174" s="322" t="s">
        <v>29</v>
      </c>
      <c r="R174" s="323">
        <f t="shared" ca="1" si="40"/>
        <v>250087</v>
      </c>
      <c r="S174" s="323">
        <f t="shared" ca="1" si="40"/>
        <v>3001044</v>
      </c>
      <c r="T174" s="323">
        <f ca="1">보조원</f>
        <v>250087</v>
      </c>
      <c r="U174" s="323">
        <f t="shared" ca="1" si="41"/>
        <v>3001044</v>
      </c>
      <c r="V174" s="323"/>
      <c r="W174" s="323"/>
      <c r="X174" s="323"/>
      <c r="Y174" s="323"/>
      <c r="Z174" s="324"/>
    </row>
    <row r="175" spans="11:26" ht="18" customHeight="1">
      <c r="K175" s="171" t="s">
        <v>699</v>
      </c>
      <c r="L175" s="171"/>
      <c r="M175" s="171"/>
      <c r="N175" s="139" t="s">
        <v>700</v>
      </c>
      <c r="O175" s="68"/>
      <c r="P175" s="69"/>
      <c r="Q175" s="70"/>
      <c r="R175" s="71"/>
      <c r="S175" s="71">
        <f ca="1">SUBTOTAL(9,S169:S174)</f>
        <v>16276932</v>
      </c>
      <c r="T175" s="71"/>
      <c r="U175" s="71">
        <f ca="1">SUBTOTAL(9,U169:U174)</f>
        <v>16276932</v>
      </c>
      <c r="V175" s="71"/>
      <c r="W175" s="71"/>
      <c r="X175" s="71"/>
      <c r="Y175" s="71"/>
      <c r="Z175" s="68"/>
    </row>
    <row r="176" spans="11:26" ht="18" customHeight="1">
      <c r="K176" s="171" t="s">
        <v>699</v>
      </c>
      <c r="L176" s="171"/>
      <c r="M176" s="171"/>
      <c r="N176" s="532" t="str">
        <f ca="1">"제 " &amp; Z176 &amp; " 호표  "&amp; OFFSET($A$1,MATCH(Z176,$A:$A,0)-1,1)</f>
        <v>제 17 호표  4.2 관계기관 협의</v>
      </c>
      <c r="O176" s="533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17</v>
      </c>
    </row>
    <row r="177" spans="11:26" ht="18" customHeight="1">
      <c r="K177" s="171" t="s">
        <v>699</v>
      </c>
      <c r="L177" s="171"/>
      <c r="M177" s="171"/>
      <c r="N177" s="140" t="s">
        <v>43</v>
      </c>
      <c r="O177" s="172">
        <v>3</v>
      </c>
      <c r="P177" s="534">
        <f ca="1">OFFSET($A$1,MATCH(Z176,$A:$A,0)-1,O177)</f>
        <v>6</v>
      </c>
      <c r="Q177" s="141" t="s">
        <v>29</v>
      </c>
      <c r="R177" s="142">
        <f t="shared" ref="R177:S182" ca="1" si="42">T177</f>
        <v>467217</v>
      </c>
      <c r="S177" s="142">
        <f t="shared" ca="1" si="42"/>
        <v>2803302</v>
      </c>
      <c r="T177" s="142">
        <f ca="1">기술사</f>
        <v>467217</v>
      </c>
      <c r="U177" s="142">
        <f t="shared" ref="U177:U182" ca="1" si="43">ROUNDDOWN(P177*R177,0)</f>
        <v>2803302</v>
      </c>
      <c r="V177" s="142"/>
      <c r="W177" s="142"/>
      <c r="X177" s="142"/>
      <c r="Y177" s="142"/>
      <c r="Z177" s="114"/>
    </row>
    <row r="178" spans="11:26" ht="18" customHeight="1">
      <c r="K178" s="171" t="s">
        <v>699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6</v>
      </c>
      <c r="Q178" s="144" t="s">
        <v>29</v>
      </c>
      <c r="R178" s="118">
        <f t="shared" ca="1" si="42"/>
        <v>373353</v>
      </c>
      <c r="S178" s="118">
        <f t="shared" ca="1" si="42"/>
        <v>2240118</v>
      </c>
      <c r="T178" s="118">
        <f ca="1">특급</f>
        <v>373353</v>
      </c>
      <c r="U178" s="118">
        <f t="shared" ca="1" si="43"/>
        <v>2240118</v>
      </c>
      <c r="V178" s="118"/>
      <c r="W178" s="118"/>
      <c r="X178" s="118"/>
      <c r="Y178" s="118"/>
      <c r="Z178" s="115"/>
    </row>
    <row r="179" spans="11:26" ht="18" customHeight="1">
      <c r="K179" s="171" t="s">
        <v>699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6</v>
      </c>
      <c r="Q179" s="144" t="s">
        <v>29</v>
      </c>
      <c r="R179" s="118">
        <f t="shared" ca="1" si="42"/>
        <v>310884</v>
      </c>
      <c r="S179" s="118">
        <f t="shared" ca="1" si="42"/>
        <v>1865304</v>
      </c>
      <c r="T179" s="118">
        <f ca="1">고급</f>
        <v>310884</v>
      </c>
      <c r="U179" s="118">
        <f t="shared" ca="1" si="43"/>
        <v>1865304</v>
      </c>
      <c r="V179" s="118"/>
      <c r="W179" s="118"/>
      <c r="X179" s="118"/>
      <c r="Y179" s="118"/>
      <c r="Z179" s="115"/>
    </row>
    <row r="180" spans="11:26" ht="18" customHeight="1">
      <c r="K180" s="171" t="s">
        <v>699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12</v>
      </c>
      <c r="Q180" s="144" t="s">
        <v>29</v>
      </c>
      <c r="R180" s="118">
        <f t="shared" ca="1" si="42"/>
        <v>295138</v>
      </c>
      <c r="S180" s="118">
        <f t="shared" ca="1" si="42"/>
        <v>3541656</v>
      </c>
      <c r="T180" s="118">
        <f ca="1">중급</f>
        <v>295138</v>
      </c>
      <c r="U180" s="118">
        <f t="shared" ca="1" si="43"/>
        <v>3541656</v>
      </c>
      <c r="V180" s="118"/>
      <c r="W180" s="118"/>
      <c r="X180" s="118"/>
      <c r="Y180" s="118"/>
      <c r="Z180" s="115"/>
    </row>
    <row r="181" spans="11:26" ht="18" customHeight="1">
      <c r="K181" s="171" t="s">
        <v>702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12</v>
      </c>
      <c r="Q181" s="144" t="s">
        <v>29</v>
      </c>
      <c r="R181" s="118">
        <f t="shared" ca="1" si="42"/>
        <v>235459</v>
      </c>
      <c r="S181" s="118">
        <f t="shared" ca="1" si="42"/>
        <v>2825508</v>
      </c>
      <c r="T181" s="118">
        <f ca="1">초급</f>
        <v>235459</v>
      </c>
      <c r="U181" s="118">
        <f t="shared" ca="1" si="43"/>
        <v>2825508</v>
      </c>
      <c r="V181" s="118"/>
      <c r="W181" s="118"/>
      <c r="X181" s="118"/>
      <c r="Y181" s="118"/>
      <c r="Z181" s="115"/>
    </row>
    <row r="182" spans="11:26" ht="18" customHeight="1">
      <c r="K182" s="171" t="s">
        <v>702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12</v>
      </c>
      <c r="Q182" s="322" t="s">
        <v>29</v>
      </c>
      <c r="R182" s="323">
        <f t="shared" ca="1" si="42"/>
        <v>250087</v>
      </c>
      <c r="S182" s="323">
        <f t="shared" ca="1" si="42"/>
        <v>3001044</v>
      </c>
      <c r="T182" s="323">
        <f ca="1">보조원</f>
        <v>250087</v>
      </c>
      <c r="U182" s="323">
        <f t="shared" ca="1" si="43"/>
        <v>3001044</v>
      </c>
      <c r="V182" s="323"/>
      <c r="W182" s="323"/>
      <c r="X182" s="323"/>
      <c r="Y182" s="323"/>
      <c r="Z182" s="324"/>
    </row>
    <row r="183" spans="11:26" ht="18" customHeight="1">
      <c r="K183" s="171" t="s">
        <v>699</v>
      </c>
      <c r="L183" s="171"/>
      <c r="M183" s="171"/>
      <c r="N183" s="139" t="s">
        <v>700</v>
      </c>
      <c r="O183" s="68"/>
      <c r="P183" s="69"/>
      <c r="Q183" s="70"/>
      <c r="R183" s="71"/>
      <c r="S183" s="71">
        <f ca="1">SUBTOTAL(9,S177:S182)</f>
        <v>16276932</v>
      </c>
      <c r="T183" s="71"/>
      <c r="U183" s="71">
        <f ca="1">SUBTOTAL(9,U177:U182)</f>
        <v>16276932</v>
      </c>
      <c r="V183" s="71"/>
      <c r="W183" s="71"/>
      <c r="X183" s="71"/>
      <c r="Y183" s="71"/>
      <c r="Z183" s="68"/>
    </row>
    <row r="184" spans="11:26" ht="18" customHeight="1">
      <c r="K184" s="171" t="s">
        <v>699</v>
      </c>
      <c r="L184" s="171"/>
      <c r="M184" s="171"/>
      <c r="P184" s="236"/>
    </row>
    <row r="185" spans="11:26" ht="18" customHeight="1">
      <c r="K185" s="171" t="s">
        <v>702</v>
      </c>
      <c r="L185" s="171"/>
      <c r="M185" s="171"/>
      <c r="P185" s="236"/>
    </row>
    <row r="186" spans="11:26" ht="18" customHeight="1">
      <c r="K186" s="171" t="s">
        <v>14</v>
      </c>
      <c r="L186" s="171"/>
      <c r="M186" s="171"/>
      <c r="P186" s="236"/>
    </row>
    <row r="187" spans="11:26" ht="18" customHeight="1">
      <c r="K187" s="171" t="s">
        <v>707</v>
      </c>
      <c r="L187" s="171"/>
      <c r="M187" s="171"/>
      <c r="P187" s="236"/>
    </row>
    <row r="188" spans="11:26" ht="18" customHeight="1">
      <c r="K188" s="171" t="s">
        <v>707</v>
      </c>
      <c r="L188" s="171"/>
      <c r="M188" s="171"/>
      <c r="P188" s="236"/>
    </row>
    <row r="189" spans="11:26" ht="18" customHeight="1">
      <c r="K189" s="171" t="s">
        <v>699</v>
      </c>
      <c r="L189" s="171"/>
      <c r="M189" s="171"/>
      <c r="P189" s="236"/>
    </row>
    <row r="190" spans="11:26" ht="18" customHeight="1">
      <c r="K190" s="171" t="s">
        <v>14</v>
      </c>
      <c r="L190" s="171"/>
      <c r="M190" s="171"/>
      <c r="P190" s="236"/>
    </row>
    <row r="191" spans="11:26" ht="18" customHeight="1">
      <c r="K191" s="171" t="s">
        <v>699</v>
      </c>
      <c r="L191" s="171"/>
      <c r="M191" s="171"/>
      <c r="P191" s="236"/>
    </row>
    <row r="192" spans="11:26" ht="18" customHeight="1">
      <c r="K192" s="171" t="s">
        <v>706</v>
      </c>
      <c r="L192" s="171"/>
      <c r="M192" s="171"/>
      <c r="P192" s="236"/>
    </row>
    <row r="193" spans="11:16" ht="18" customHeight="1">
      <c r="K193" s="171" t="s">
        <v>702</v>
      </c>
      <c r="L193" s="171"/>
      <c r="M193" s="171"/>
      <c r="P193" s="236"/>
    </row>
    <row r="194" spans="11:16" ht="18" customHeight="1">
      <c r="K194" s="171" t="s">
        <v>702</v>
      </c>
      <c r="L194" s="171"/>
      <c r="M194" s="171"/>
      <c r="P194" s="236"/>
    </row>
    <row r="195" spans="11:16" ht="18" customHeight="1">
      <c r="K195" s="171" t="s">
        <v>704</v>
      </c>
      <c r="L195" s="171"/>
      <c r="M195" s="171"/>
      <c r="P195" s="236"/>
    </row>
    <row r="196" spans="11:16" ht="18" customHeight="1">
      <c r="K196" s="171" t="s">
        <v>704</v>
      </c>
      <c r="L196" s="171"/>
      <c r="M196" s="171"/>
      <c r="P196" s="236"/>
    </row>
    <row r="197" spans="11:16" ht="18" customHeight="1">
      <c r="K197" s="171" t="s">
        <v>704</v>
      </c>
      <c r="L197" s="171"/>
      <c r="M197" s="171"/>
      <c r="P197" s="236"/>
    </row>
    <row r="198" spans="11:16" ht="18" customHeight="1">
      <c r="K198" s="171" t="s">
        <v>702</v>
      </c>
      <c r="L198" s="171"/>
      <c r="M198" s="171"/>
      <c r="P198" s="236"/>
    </row>
    <row r="199" spans="11:16" ht="18" customHeight="1">
      <c r="K199" s="171" t="s">
        <v>704</v>
      </c>
      <c r="L199" s="171"/>
      <c r="M199" s="171"/>
      <c r="P199" s="236"/>
    </row>
    <row r="200" spans="11:16" ht="18" customHeight="1">
      <c r="K200" s="171" t="s">
        <v>704</v>
      </c>
      <c r="L200" s="171"/>
      <c r="M200" s="171"/>
      <c r="P200" s="236"/>
    </row>
    <row r="201" spans="11:16" ht="18" customHeight="1">
      <c r="K201" s="171" t="s">
        <v>704</v>
      </c>
      <c r="L201" s="171"/>
      <c r="M201" s="171"/>
      <c r="P201" s="236"/>
    </row>
    <row r="202" spans="11:16" ht="18" customHeight="1">
      <c r="K202" s="171" t="s">
        <v>702</v>
      </c>
      <c r="L202" s="171"/>
      <c r="M202" s="171"/>
      <c r="P202" s="236"/>
    </row>
    <row r="203" spans="11:16" ht="18" customHeight="1">
      <c r="K203" s="171" t="s">
        <v>704</v>
      </c>
      <c r="L203" s="171"/>
      <c r="M203" s="171"/>
      <c r="P203" s="236"/>
    </row>
    <row r="204" spans="11:16" ht="18" customHeight="1">
      <c r="K204" s="171" t="s">
        <v>704</v>
      </c>
      <c r="L204" s="171"/>
      <c r="M204" s="171"/>
      <c r="P204" s="236"/>
    </row>
    <row r="205" spans="11:16" ht="18" customHeight="1">
      <c r="K205" s="171" t="s">
        <v>704</v>
      </c>
      <c r="L205" s="171"/>
      <c r="M205" s="171"/>
      <c r="P205" s="236"/>
    </row>
    <row r="206" spans="11:16" ht="18" customHeight="1">
      <c r="K206" s="171" t="s">
        <v>704</v>
      </c>
      <c r="L206" s="171"/>
      <c r="M206" s="171"/>
      <c r="P206" s="236"/>
    </row>
    <row r="207" spans="11:16" ht="18" customHeight="1">
      <c r="K207" s="171" t="s">
        <v>704</v>
      </c>
      <c r="L207" s="171"/>
      <c r="M207" s="171"/>
      <c r="P207" s="236"/>
    </row>
    <row r="208" spans="11:16" ht="18" customHeight="1">
      <c r="K208" s="171" t="s">
        <v>14</v>
      </c>
      <c r="L208" s="171"/>
      <c r="M208" s="171"/>
      <c r="P208" s="236"/>
    </row>
    <row r="209" spans="11:28" ht="18" customHeight="1">
      <c r="K209" s="171" t="s">
        <v>14</v>
      </c>
      <c r="L209" s="171"/>
      <c r="M209" s="171"/>
      <c r="P209" s="236"/>
    </row>
    <row r="210" spans="11:28" ht="18" customHeight="1">
      <c r="K210" s="171" t="s">
        <v>705</v>
      </c>
      <c r="L210" s="171"/>
      <c r="M210" s="171"/>
      <c r="P210" s="236"/>
    </row>
    <row r="211" spans="11:28" ht="18" customHeight="1">
      <c r="K211" s="171" t="s">
        <v>702</v>
      </c>
      <c r="L211" s="171"/>
      <c r="M211" s="171"/>
      <c r="P211" s="236"/>
    </row>
    <row r="212" spans="11:28" ht="18" customHeight="1">
      <c r="K212" s="171" t="s">
        <v>14</v>
      </c>
      <c r="L212" s="171"/>
      <c r="M212" s="171"/>
      <c r="P212" s="236"/>
    </row>
    <row r="213" spans="11:28" ht="18" customHeight="1">
      <c r="K213" s="171" t="s">
        <v>704</v>
      </c>
      <c r="L213" s="171"/>
      <c r="M213" s="171"/>
      <c r="P213" s="236"/>
    </row>
    <row r="214" spans="11:28" ht="18" customHeight="1">
      <c r="K214" s="171" t="s">
        <v>704</v>
      </c>
      <c r="L214" s="171"/>
      <c r="M214" s="171"/>
      <c r="P214" s="236"/>
    </row>
    <row r="215" spans="11:28" ht="18" customHeight="1">
      <c r="K215" s="171" t="s">
        <v>14</v>
      </c>
      <c r="L215" s="171"/>
      <c r="M215" s="171"/>
      <c r="P215" s="236"/>
      <c r="AB215" s="171"/>
    </row>
    <row r="216" spans="11:28" ht="18" customHeight="1">
      <c r="K216" s="171" t="s">
        <v>704</v>
      </c>
      <c r="L216" s="171"/>
      <c r="M216" s="171"/>
      <c r="P216" s="236"/>
    </row>
    <row r="217" spans="11:28" ht="18" customHeight="1">
      <c r="K217" s="171" t="s">
        <v>704</v>
      </c>
      <c r="L217" s="171"/>
      <c r="M217" s="171"/>
      <c r="P217" s="236"/>
    </row>
    <row r="218" spans="11:28" ht="18" customHeight="1">
      <c r="K218" s="171" t="s">
        <v>702</v>
      </c>
      <c r="L218" s="171"/>
      <c r="M218" s="171"/>
      <c r="P218" s="236"/>
    </row>
    <row r="219" spans="11:28" ht="18" customHeight="1">
      <c r="K219" s="171" t="s">
        <v>14</v>
      </c>
      <c r="L219" s="171"/>
      <c r="M219" s="171"/>
      <c r="P219" s="236"/>
    </row>
    <row r="220" spans="11:28" ht="18" customHeight="1">
      <c r="K220" s="171" t="s">
        <v>702</v>
      </c>
      <c r="L220" s="171"/>
      <c r="M220" s="171"/>
      <c r="P220" s="236"/>
    </row>
    <row r="221" spans="11:28" ht="18" customHeight="1">
      <c r="K221" s="171" t="s">
        <v>702</v>
      </c>
      <c r="L221" s="171"/>
      <c r="M221" s="171"/>
      <c r="P221" s="236"/>
    </row>
    <row r="222" spans="11:28" ht="18" customHeight="1">
      <c r="K222" s="171" t="s">
        <v>702</v>
      </c>
      <c r="L222" s="171"/>
      <c r="M222" s="171"/>
      <c r="P222" s="236"/>
    </row>
    <row r="223" spans="11:28" ht="18" customHeight="1">
      <c r="K223" s="171" t="s">
        <v>702</v>
      </c>
      <c r="L223" s="171"/>
      <c r="M223" s="171"/>
      <c r="P223" s="236"/>
    </row>
    <row r="224" spans="11:28" ht="18" customHeight="1">
      <c r="K224" s="171" t="s">
        <v>702</v>
      </c>
      <c r="L224" s="171"/>
      <c r="M224" s="171"/>
      <c r="P224" s="236"/>
    </row>
    <row r="225" spans="11:28" ht="18" customHeight="1">
      <c r="K225" s="171" t="s">
        <v>704</v>
      </c>
      <c r="L225" s="171"/>
      <c r="M225" s="171"/>
      <c r="P225" s="236"/>
    </row>
    <row r="226" spans="11:28" ht="18" customHeight="1">
      <c r="K226" s="171" t="s">
        <v>704</v>
      </c>
      <c r="L226" s="171"/>
      <c r="M226" s="171"/>
      <c r="P226" s="236"/>
    </row>
    <row r="227" spans="11:28" ht="18" customHeight="1">
      <c r="K227" s="171" t="s">
        <v>704</v>
      </c>
      <c r="L227" s="171"/>
      <c r="M227" s="171"/>
      <c r="P227" s="236"/>
    </row>
    <row r="228" spans="11:28" ht="18" customHeight="1">
      <c r="K228" s="171" t="s">
        <v>702</v>
      </c>
      <c r="L228" s="171"/>
      <c r="M228" s="171"/>
      <c r="P228" s="236"/>
      <c r="AB228" s="171"/>
    </row>
    <row r="229" spans="11:28" ht="18" customHeight="1">
      <c r="K229" s="171" t="s">
        <v>702</v>
      </c>
      <c r="L229" s="171"/>
      <c r="M229" s="171"/>
      <c r="P229" s="236"/>
      <c r="AB229" s="171"/>
    </row>
    <row r="230" spans="11:28" ht="18" customHeight="1">
      <c r="K230" s="171" t="s">
        <v>702</v>
      </c>
      <c r="L230" s="171"/>
      <c r="M230" s="171"/>
      <c r="P230" s="236"/>
      <c r="AB230" s="171"/>
    </row>
    <row r="231" spans="11:28" ht="18" customHeight="1">
      <c r="K231" s="171" t="s">
        <v>14</v>
      </c>
      <c r="L231" s="171"/>
      <c r="M231" s="171"/>
      <c r="P231" s="236"/>
      <c r="AB231" s="171"/>
    </row>
    <row r="232" spans="11:28" ht="18" customHeight="1">
      <c r="K232" s="171" t="s">
        <v>702</v>
      </c>
      <c r="L232" s="171"/>
      <c r="M232" s="171"/>
      <c r="P232" s="236"/>
      <c r="AB232" s="171"/>
    </row>
    <row r="233" spans="11:28" ht="18" customHeight="1">
      <c r="K233" s="171" t="s">
        <v>704</v>
      </c>
      <c r="L233" s="171"/>
      <c r="M233" s="171"/>
      <c r="P233" s="236"/>
      <c r="AB233" s="171"/>
    </row>
    <row r="234" spans="11:28" ht="18" customHeight="1">
      <c r="K234" s="171" t="s">
        <v>704</v>
      </c>
      <c r="L234" s="171"/>
      <c r="M234" s="171"/>
      <c r="P234" s="236"/>
      <c r="AB234" s="171"/>
    </row>
    <row r="235" spans="11:28" ht="18" customHeight="1">
      <c r="K235" s="171" t="s">
        <v>704</v>
      </c>
      <c r="L235" s="171"/>
      <c r="M235" s="171"/>
      <c r="P235" s="236"/>
      <c r="AB235" s="171"/>
    </row>
    <row r="236" spans="11:28" ht="18" customHeight="1">
      <c r="K236" s="171" t="s">
        <v>704</v>
      </c>
      <c r="L236" s="171"/>
      <c r="M236" s="171"/>
      <c r="P236" s="236"/>
      <c r="AB236" s="171"/>
    </row>
    <row r="237" spans="11:28" ht="18" customHeight="1">
      <c r="K237" s="171" t="s">
        <v>704</v>
      </c>
      <c r="L237" s="171"/>
      <c r="M237" s="171"/>
      <c r="P237" s="236"/>
      <c r="AB237" s="171"/>
    </row>
    <row r="238" spans="11:28" ht="18" customHeight="1">
      <c r="K238" s="171" t="s">
        <v>704</v>
      </c>
      <c r="L238" s="171"/>
      <c r="M238" s="171"/>
      <c r="P238" s="236"/>
      <c r="AB238" s="171"/>
    </row>
    <row r="239" spans="11:28" ht="18" customHeight="1">
      <c r="K239" s="171" t="s">
        <v>702</v>
      </c>
      <c r="L239" s="171"/>
      <c r="M239" s="171"/>
      <c r="P239" s="236"/>
      <c r="AB239" s="171"/>
    </row>
    <row r="240" spans="11:28" ht="18" customHeight="1">
      <c r="K240" s="171" t="s">
        <v>704</v>
      </c>
      <c r="L240" s="171"/>
      <c r="M240" s="171"/>
      <c r="P240" s="236"/>
      <c r="AB240" s="171"/>
    </row>
    <row r="241" spans="11:28" ht="18" customHeight="1">
      <c r="K241" s="171" t="s">
        <v>704</v>
      </c>
      <c r="L241" s="171"/>
      <c r="M241" s="171"/>
      <c r="P241" s="236"/>
      <c r="AB241" s="171"/>
    </row>
    <row r="242" spans="11:28" ht="18" customHeight="1">
      <c r="K242" s="171" t="s">
        <v>704</v>
      </c>
      <c r="L242" s="171"/>
      <c r="M242" s="171"/>
      <c r="P242" s="236"/>
      <c r="AB242" s="171"/>
    </row>
    <row r="243" spans="11:28" ht="18" customHeight="1">
      <c r="K243" s="171" t="s">
        <v>704</v>
      </c>
      <c r="L243" s="171"/>
      <c r="M243" s="171"/>
      <c r="P243" s="236"/>
    </row>
    <row r="244" spans="11:28" ht="18" customHeight="1">
      <c r="K244" s="171" t="s">
        <v>702</v>
      </c>
      <c r="L244" s="171"/>
      <c r="M244" s="171"/>
      <c r="P244" s="236"/>
    </row>
    <row r="245" spans="11:28" ht="18" customHeight="1">
      <c r="K245" s="171" t="s">
        <v>702</v>
      </c>
      <c r="L245" s="171"/>
      <c r="M245" s="171"/>
      <c r="P245" s="236"/>
    </row>
    <row r="246" spans="11:28" ht="18" customHeight="1">
      <c r="K246" s="171" t="s">
        <v>702</v>
      </c>
      <c r="L246" s="171"/>
      <c r="M246" s="171"/>
      <c r="P246" s="236"/>
    </row>
    <row r="247" spans="11:28" ht="18" customHeight="1">
      <c r="K247" s="171" t="s">
        <v>702</v>
      </c>
      <c r="L247" s="171"/>
      <c r="M247" s="171"/>
      <c r="P247" s="236"/>
    </row>
    <row r="248" spans="11:28" ht="18" customHeight="1">
      <c r="K248" s="171" t="s">
        <v>702</v>
      </c>
      <c r="L248" s="171"/>
      <c r="M248" s="171"/>
      <c r="P248" s="236"/>
    </row>
    <row r="249" spans="11:28" ht="18" customHeight="1">
      <c r="K249" s="171" t="s">
        <v>702</v>
      </c>
      <c r="L249" s="171"/>
      <c r="M249" s="171"/>
      <c r="P249" s="236"/>
    </row>
    <row r="250" spans="11:28" ht="18" customHeight="1">
      <c r="K250" s="171" t="s">
        <v>702</v>
      </c>
      <c r="L250" s="171"/>
      <c r="M250" s="171"/>
      <c r="P250" s="236"/>
    </row>
    <row r="251" spans="11:28" ht="18" customHeight="1">
      <c r="K251" s="171" t="s">
        <v>702</v>
      </c>
      <c r="L251" s="171"/>
      <c r="M251" s="171"/>
      <c r="P251" s="236"/>
    </row>
    <row r="252" spans="11:28" ht="18" customHeight="1">
      <c r="K252" s="171" t="s">
        <v>702</v>
      </c>
      <c r="L252" s="171"/>
      <c r="M252" s="171"/>
      <c r="P252" s="236"/>
    </row>
    <row r="253" spans="11:28" ht="18" customHeight="1">
      <c r="K253" s="171" t="s">
        <v>702</v>
      </c>
      <c r="L253" s="171"/>
      <c r="M253" s="171"/>
      <c r="P253" s="236"/>
    </row>
    <row r="254" spans="11:28" ht="18" customHeight="1">
      <c r="K254" s="171" t="s">
        <v>702</v>
      </c>
      <c r="L254" s="171"/>
      <c r="M254" s="171"/>
      <c r="P254" s="236"/>
    </row>
    <row r="255" spans="11:28" ht="18" customHeight="1">
      <c r="K255" s="171" t="s">
        <v>702</v>
      </c>
      <c r="L255" s="171"/>
      <c r="M255" s="171"/>
      <c r="P255" s="236"/>
    </row>
    <row r="256" spans="11:28" ht="18" customHeight="1">
      <c r="K256" s="171" t="s">
        <v>702</v>
      </c>
      <c r="L256" s="171"/>
      <c r="M256" s="171"/>
      <c r="P256" s="236"/>
    </row>
    <row r="257" spans="11:16" ht="18" customHeight="1">
      <c r="K257" s="171" t="s">
        <v>702</v>
      </c>
      <c r="L257" s="171"/>
      <c r="M257" s="171"/>
      <c r="P257" s="236"/>
    </row>
    <row r="258" spans="11:16" ht="18" customHeight="1">
      <c r="K258" s="171" t="s">
        <v>702</v>
      </c>
      <c r="L258" s="171"/>
      <c r="M258" s="171"/>
      <c r="P258" s="236"/>
    </row>
    <row r="259" spans="11:16" ht="18" customHeight="1">
      <c r="K259" s="171" t="s">
        <v>702</v>
      </c>
      <c r="L259" s="171"/>
      <c r="M259" s="171"/>
      <c r="P259" s="236"/>
    </row>
    <row r="260" spans="11:16" ht="18" customHeight="1">
      <c r="K260" s="171" t="s">
        <v>702</v>
      </c>
      <c r="L260" s="171"/>
      <c r="M260" s="171"/>
      <c r="P260" s="236"/>
    </row>
    <row r="261" spans="11:16" ht="18" customHeight="1">
      <c r="K261" s="171" t="s">
        <v>702</v>
      </c>
      <c r="L261" s="171"/>
      <c r="M261" s="171"/>
      <c r="P261" s="236"/>
    </row>
    <row r="262" spans="11:16" ht="18" customHeight="1">
      <c r="K262" s="171" t="s">
        <v>702</v>
      </c>
      <c r="L262" s="171"/>
      <c r="M262" s="171"/>
      <c r="P262" s="236"/>
    </row>
    <row r="263" spans="11:16" ht="18" customHeight="1">
      <c r="K263" s="171" t="s">
        <v>702</v>
      </c>
      <c r="L263" s="171"/>
      <c r="M263" s="171"/>
      <c r="P263" s="236"/>
    </row>
    <row r="264" spans="11:16" ht="18" customHeight="1">
      <c r="K264" s="171" t="s">
        <v>702</v>
      </c>
      <c r="L264" s="171"/>
      <c r="M264" s="171"/>
      <c r="P264" s="236"/>
    </row>
    <row r="265" spans="11:16" ht="18" customHeight="1">
      <c r="K265" s="171" t="s">
        <v>702</v>
      </c>
      <c r="L265" s="171"/>
      <c r="M265" s="171"/>
      <c r="P265" s="236"/>
    </row>
    <row r="266" spans="11:16" ht="18" customHeight="1">
      <c r="K266" s="171" t="s">
        <v>702</v>
      </c>
      <c r="L266" s="171"/>
      <c r="M266" s="171"/>
      <c r="P266" s="236"/>
    </row>
    <row r="267" spans="11:16" ht="18" customHeight="1">
      <c r="K267" s="171" t="s">
        <v>702</v>
      </c>
      <c r="L267" s="171"/>
      <c r="M267" s="171"/>
      <c r="P267" s="236"/>
    </row>
    <row r="268" spans="11:16" ht="18" customHeight="1">
      <c r="K268" s="171" t="s">
        <v>702</v>
      </c>
      <c r="L268" s="171"/>
      <c r="M268" s="171"/>
      <c r="P268" s="236"/>
    </row>
    <row r="269" spans="11:16" ht="18" customHeight="1">
      <c r="K269" s="171" t="s">
        <v>702</v>
      </c>
      <c r="L269" s="171"/>
      <c r="M269" s="171"/>
      <c r="P269" s="236"/>
    </row>
    <row r="270" spans="11:16" ht="18" customHeight="1">
      <c r="K270" s="171" t="s">
        <v>702</v>
      </c>
      <c r="L270" s="171"/>
      <c r="M270" s="171"/>
      <c r="P270" s="236"/>
    </row>
    <row r="271" spans="11:16" ht="18" customHeight="1">
      <c r="K271" s="171" t="s">
        <v>702</v>
      </c>
      <c r="L271" s="171"/>
      <c r="M271" s="171"/>
      <c r="P271" s="236"/>
    </row>
    <row r="272" spans="11:16" ht="18" customHeight="1">
      <c r="K272" s="171" t="s">
        <v>702</v>
      </c>
      <c r="L272" s="171"/>
      <c r="M272" s="171"/>
      <c r="P272" s="236"/>
    </row>
    <row r="273" spans="11:16" ht="18" customHeight="1">
      <c r="K273" s="171" t="s">
        <v>702</v>
      </c>
      <c r="L273" s="171"/>
      <c r="M273" s="171"/>
      <c r="P273" s="236"/>
    </row>
    <row r="274" spans="11:16" ht="18" customHeight="1">
      <c r="K274" s="171" t="s">
        <v>702</v>
      </c>
      <c r="L274" s="171"/>
      <c r="M274" s="171"/>
      <c r="P274" s="236"/>
    </row>
    <row r="275" spans="11:16" ht="18" customHeight="1">
      <c r="K275" s="171" t="s">
        <v>702</v>
      </c>
      <c r="L275" s="171"/>
      <c r="M275" s="171"/>
      <c r="P275" s="236"/>
    </row>
    <row r="276" spans="11:16" ht="18" customHeight="1">
      <c r="K276" s="171" t="s">
        <v>702</v>
      </c>
      <c r="L276" s="171"/>
      <c r="M276" s="171"/>
      <c r="P276" s="236"/>
    </row>
    <row r="277" spans="11:16" ht="18" customHeight="1">
      <c r="K277" s="171" t="s">
        <v>702</v>
      </c>
      <c r="L277" s="171"/>
      <c r="M277" s="171"/>
      <c r="P277" s="236"/>
    </row>
    <row r="278" spans="11:16" ht="18" customHeight="1">
      <c r="K278" s="171" t="s">
        <v>702</v>
      </c>
      <c r="L278" s="171"/>
      <c r="M278" s="171"/>
      <c r="P278" s="236"/>
    </row>
    <row r="279" spans="11:16" ht="18" customHeight="1">
      <c r="K279" s="171" t="s">
        <v>702</v>
      </c>
      <c r="L279" s="171"/>
      <c r="M279" s="171"/>
      <c r="P279" s="236"/>
    </row>
    <row r="280" spans="11:16" ht="18" customHeight="1">
      <c r="K280" s="171" t="s">
        <v>702</v>
      </c>
      <c r="L280" s="171"/>
      <c r="M280" s="171"/>
      <c r="P280" s="236"/>
    </row>
    <row r="281" spans="11:16" ht="18" customHeight="1">
      <c r="K281" s="171" t="s">
        <v>702</v>
      </c>
      <c r="L281" s="171"/>
      <c r="M281" s="171"/>
      <c r="P281" s="236"/>
    </row>
    <row r="282" spans="11:16" ht="18" customHeight="1">
      <c r="K282" s="171" t="s">
        <v>702</v>
      </c>
      <c r="L282" s="171"/>
      <c r="M282" s="171"/>
      <c r="P282" s="236"/>
    </row>
    <row r="283" spans="11:16" ht="18" customHeight="1">
      <c r="K283" s="171" t="s">
        <v>702</v>
      </c>
      <c r="L283" s="171"/>
      <c r="M283" s="171"/>
      <c r="P283" s="236"/>
    </row>
    <row r="284" spans="11:16" ht="18" customHeight="1">
      <c r="K284" s="171" t="s">
        <v>702</v>
      </c>
      <c r="L284" s="171"/>
      <c r="M284" s="171"/>
      <c r="P284" s="236"/>
    </row>
    <row r="285" spans="11:16" ht="18" customHeight="1">
      <c r="K285" s="171" t="s">
        <v>702</v>
      </c>
      <c r="L285" s="171"/>
      <c r="M285" s="171"/>
      <c r="P285" s="236"/>
    </row>
    <row r="286" spans="11:16" ht="18" customHeight="1">
      <c r="K286" s="171" t="s">
        <v>702</v>
      </c>
      <c r="L286" s="171"/>
      <c r="M286" s="171"/>
      <c r="P286" s="236"/>
    </row>
    <row r="287" spans="11:16" ht="18" customHeight="1">
      <c r="K287" s="171" t="s">
        <v>702</v>
      </c>
      <c r="L287" s="171"/>
      <c r="M287" s="171"/>
      <c r="P287" s="236"/>
    </row>
    <row r="288" spans="11:16" ht="18" customHeight="1">
      <c r="K288" s="171" t="s">
        <v>702</v>
      </c>
      <c r="L288" s="171"/>
      <c r="M288" s="171"/>
      <c r="P288" s="236"/>
    </row>
    <row r="289" spans="11:16" ht="18" customHeight="1">
      <c r="K289" s="171" t="s">
        <v>702</v>
      </c>
      <c r="L289" s="171"/>
      <c r="M289" s="171"/>
      <c r="P289" s="236"/>
    </row>
    <row r="290" spans="11:16" ht="18" customHeight="1">
      <c r="K290" s="171" t="s">
        <v>702</v>
      </c>
      <c r="L290" s="171"/>
      <c r="M290" s="171"/>
      <c r="P290" s="236"/>
    </row>
    <row r="291" spans="11:16" ht="18" customHeight="1">
      <c r="K291" s="171" t="s">
        <v>702</v>
      </c>
      <c r="L291" s="171"/>
      <c r="M291" s="171"/>
      <c r="P291" s="236"/>
    </row>
    <row r="292" spans="11:16" ht="18" customHeight="1">
      <c r="K292" s="171" t="s">
        <v>702</v>
      </c>
      <c r="L292" s="171"/>
      <c r="M292" s="171"/>
      <c r="P292" s="236"/>
    </row>
    <row r="293" spans="11:16" ht="18" customHeight="1">
      <c r="K293" s="171" t="s">
        <v>702</v>
      </c>
      <c r="L293" s="171"/>
      <c r="M293" s="171"/>
      <c r="P293" s="236"/>
    </row>
    <row r="294" spans="11:16" ht="18" customHeight="1">
      <c r="K294" s="171" t="s">
        <v>702</v>
      </c>
      <c r="L294" s="171"/>
      <c r="M294" s="171"/>
      <c r="P294" s="236"/>
    </row>
    <row r="295" spans="11:16" ht="18" customHeight="1">
      <c r="K295" s="171" t="s">
        <v>702</v>
      </c>
      <c r="L295" s="171"/>
      <c r="M295" s="171"/>
      <c r="P295" s="236"/>
    </row>
    <row r="296" spans="11:16" ht="18" customHeight="1">
      <c r="K296" s="171" t="s">
        <v>702</v>
      </c>
      <c r="L296" s="171"/>
      <c r="M296" s="171"/>
      <c r="P296" s="236"/>
    </row>
    <row r="297" spans="11:16" ht="18" customHeight="1">
      <c r="K297" s="171" t="s">
        <v>702</v>
      </c>
      <c r="L297" s="171"/>
      <c r="M297" s="171"/>
      <c r="P297" s="236"/>
    </row>
    <row r="298" spans="11:16" ht="18" customHeight="1">
      <c r="K298" s="171" t="s">
        <v>702</v>
      </c>
      <c r="L298" s="171"/>
      <c r="M298" s="171"/>
      <c r="P298" s="236"/>
    </row>
    <row r="299" spans="11:16" ht="18" customHeight="1">
      <c r="K299" s="171" t="s">
        <v>702</v>
      </c>
      <c r="L299" s="171"/>
      <c r="M299" s="171"/>
      <c r="P299" s="236"/>
    </row>
    <row r="300" spans="11:16" ht="18" customHeight="1">
      <c r="K300" s="171" t="s">
        <v>702</v>
      </c>
      <c r="L300" s="171"/>
      <c r="M300" s="171"/>
      <c r="P300" s="236"/>
    </row>
    <row r="301" spans="11:16" ht="18" customHeight="1">
      <c r="K301" s="171" t="s">
        <v>702</v>
      </c>
      <c r="L301" s="171"/>
      <c r="M301" s="171"/>
      <c r="P301" s="236"/>
    </row>
    <row r="302" spans="11:16" ht="18" customHeight="1">
      <c r="K302" s="171" t="s">
        <v>702</v>
      </c>
      <c r="L302" s="171"/>
      <c r="M302" s="171"/>
      <c r="P302" s="236"/>
    </row>
    <row r="303" spans="11:16" ht="18" customHeight="1">
      <c r="K303" s="171" t="s">
        <v>702</v>
      </c>
      <c r="L303" s="171"/>
      <c r="M303" s="171"/>
      <c r="P303" s="236"/>
    </row>
    <row r="304" spans="11:16" ht="18" customHeight="1">
      <c r="K304" s="171" t="s">
        <v>702</v>
      </c>
      <c r="L304" s="171"/>
      <c r="M304" s="171"/>
      <c r="P304" s="236"/>
    </row>
    <row r="305" spans="11:16" ht="18" customHeight="1">
      <c r="K305" s="171" t="s">
        <v>702</v>
      </c>
      <c r="L305" s="171"/>
      <c r="M305" s="171"/>
      <c r="P305" s="236"/>
    </row>
    <row r="306" spans="11:16" ht="18" customHeight="1">
      <c r="K306" s="171" t="s">
        <v>702</v>
      </c>
      <c r="L306" s="171"/>
      <c r="M306" s="171"/>
      <c r="P306" s="236"/>
    </row>
    <row r="307" spans="11:16" ht="18" customHeight="1">
      <c r="K307" s="171" t="s">
        <v>702</v>
      </c>
      <c r="L307" s="171"/>
      <c r="M307" s="171"/>
      <c r="P307" s="236"/>
    </row>
    <row r="308" spans="11:16" ht="18" customHeight="1">
      <c r="K308" s="171" t="s">
        <v>702</v>
      </c>
      <c r="L308" s="171"/>
      <c r="M308" s="171"/>
      <c r="P308" s="236"/>
    </row>
    <row r="309" spans="11:16" ht="18" customHeight="1">
      <c r="K309" s="171" t="s">
        <v>702</v>
      </c>
      <c r="L309" s="171"/>
      <c r="M309" s="171"/>
      <c r="P309" s="236"/>
    </row>
    <row r="310" spans="11:16" ht="18" customHeight="1">
      <c r="K310" s="171" t="s">
        <v>702</v>
      </c>
      <c r="L310" s="171"/>
      <c r="M310" s="171"/>
      <c r="P310" s="236"/>
    </row>
    <row r="311" spans="11:16" ht="18" customHeight="1">
      <c r="K311" s="171" t="s">
        <v>702</v>
      </c>
      <c r="L311" s="171"/>
      <c r="M311" s="171"/>
      <c r="P311" s="236"/>
    </row>
    <row r="312" spans="11:16" ht="18" customHeight="1">
      <c r="K312" s="171" t="s">
        <v>702</v>
      </c>
      <c r="L312" s="171"/>
      <c r="M312" s="171"/>
      <c r="P312" s="236"/>
    </row>
    <row r="313" spans="11:16" ht="18" customHeight="1">
      <c r="K313" s="171" t="s">
        <v>702</v>
      </c>
      <c r="L313" s="171"/>
      <c r="M313" s="171"/>
      <c r="P313" s="236"/>
    </row>
    <row r="314" spans="11:16" ht="18" customHeight="1">
      <c r="K314" s="171" t="s">
        <v>702</v>
      </c>
      <c r="L314" s="171"/>
      <c r="M314" s="171"/>
      <c r="P314" s="236"/>
    </row>
    <row r="315" spans="11:16" ht="18" customHeight="1">
      <c r="K315" s="171" t="s">
        <v>702</v>
      </c>
      <c r="L315" s="171"/>
      <c r="M315" s="171"/>
      <c r="P315" s="236"/>
    </row>
    <row r="316" spans="11:16" ht="18" customHeight="1">
      <c r="K316" s="171" t="s">
        <v>702</v>
      </c>
      <c r="L316" s="171"/>
      <c r="M316" s="171"/>
      <c r="P316" s="236"/>
    </row>
    <row r="317" spans="11:16" ht="18" customHeight="1">
      <c r="K317" s="171" t="s">
        <v>702</v>
      </c>
      <c r="L317" s="171"/>
      <c r="M317" s="171"/>
      <c r="P317" s="236"/>
    </row>
    <row r="318" spans="11:16" ht="18" customHeight="1">
      <c r="K318" s="171" t="s">
        <v>702</v>
      </c>
      <c r="L318" s="171"/>
      <c r="M318" s="171"/>
      <c r="P318" s="236"/>
    </row>
    <row r="319" spans="11:16" ht="18" customHeight="1">
      <c r="K319" s="171" t="s">
        <v>702</v>
      </c>
      <c r="L319" s="171"/>
      <c r="M319" s="171"/>
      <c r="P319" s="236"/>
    </row>
    <row r="320" spans="11:16" ht="18" customHeight="1">
      <c r="K320" s="171" t="s">
        <v>702</v>
      </c>
      <c r="L320" s="171"/>
      <c r="M320" s="171"/>
      <c r="P320" s="236"/>
    </row>
    <row r="321" spans="11:16" ht="18" customHeight="1">
      <c r="K321" s="171" t="s">
        <v>702</v>
      </c>
      <c r="L321" s="171"/>
      <c r="M321" s="171"/>
      <c r="P321" s="236"/>
    </row>
    <row r="322" spans="11:16" ht="18" customHeight="1">
      <c r="K322" s="171" t="s">
        <v>702</v>
      </c>
      <c r="L322" s="171"/>
      <c r="M322" s="171"/>
      <c r="P322" s="236"/>
    </row>
    <row r="323" spans="11:16" ht="18" customHeight="1">
      <c r="K323" s="171" t="s">
        <v>702</v>
      </c>
      <c r="L323" s="171"/>
      <c r="M323" s="171"/>
      <c r="P323" s="236"/>
    </row>
    <row r="324" spans="11:16" ht="18" customHeight="1">
      <c r="K324" s="171" t="s">
        <v>702</v>
      </c>
      <c r="L324" s="171"/>
      <c r="M324" s="171"/>
      <c r="P324" s="236"/>
    </row>
    <row r="325" spans="11:16" ht="18" customHeight="1">
      <c r="K325" s="171" t="s">
        <v>702</v>
      </c>
      <c r="L325" s="171"/>
      <c r="M325" s="171"/>
      <c r="P325" s="236"/>
    </row>
    <row r="326" spans="11:16" ht="18" customHeight="1">
      <c r="K326" s="171" t="s">
        <v>702</v>
      </c>
      <c r="L326" s="171"/>
      <c r="M326" s="171"/>
      <c r="P326" s="236"/>
    </row>
    <row r="327" spans="11:16" ht="18" customHeight="1">
      <c r="K327" s="171" t="s">
        <v>702</v>
      </c>
      <c r="L327" s="171"/>
      <c r="M327" s="171"/>
      <c r="P327" s="236"/>
    </row>
    <row r="328" spans="11:16" ht="18" customHeight="1">
      <c r="K328" s="171" t="s">
        <v>702</v>
      </c>
      <c r="L328" s="171"/>
      <c r="M328" s="171"/>
      <c r="P328" s="236"/>
    </row>
    <row r="329" spans="11:16" ht="18" customHeight="1">
      <c r="K329" s="171" t="s">
        <v>702</v>
      </c>
      <c r="L329" s="171"/>
      <c r="M329" s="171"/>
      <c r="P329" s="236"/>
    </row>
    <row r="330" spans="11:16" ht="18" customHeight="1">
      <c r="K330" s="171" t="s">
        <v>702</v>
      </c>
      <c r="L330" s="171"/>
      <c r="M330" s="171"/>
      <c r="P330" s="236"/>
    </row>
    <row r="331" spans="11:16" ht="18" customHeight="1">
      <c r="K331" s="171" t="s">
        <v>702</v>
      </c>
      <c r="L331" s="171"/>
      <c r="M331" s="171"/>
      <c r="P331" s="236"/>
    </row>
    <row r="332" spans="11:16" ht="18" customHeight="1">
      <c r="K332" s="171" t="s">
        <v>702</v>
      </c>
      <c r="L332" s="171"/>
      <c r="M332" s="171"/>
      <c r="P332" s="236"/>
    </row>
    <row r="333" spans="11:16" ht="18" customHeight="1">
      <c r="K333" s="171" t="s">
        <v>702</v>
      </c>
      <c r="L333" s="171"/>
      <c r="M333" s="171"/>
      <c r="P333" s="236"/>
    </row>
    <row r="334" spans="11:16" ht="18" customHeight="1">
      <c r="K334" s="171" t="s">
        <v>702</v>
      </c>
      <c r="L334" s="171"/>
      <c r="M334" s="171"/>
      <c r="P334" s="236"/>
    </row>
    <row r="335" spans="11:16" ht="18" customHeight="1">
      <c r="K335" s="171" t="s">
        <v>702</v>
      </c>
      <c r="L335" s="171"/>
      <c r="M335" s="171"/>
      <c r="P335" s="236"/>
    </row>
    <row r="336" spans="11:16" ht="18" customHeight="1">
      <c r="K336" s="171" t="s">
        <v>702</v>
      </c>
      <c r="L336" s="171"/>
      <c r="M336" s="171"/>
      <c r="P336" s="236"/>
    </row>
    <row r="337" spans="11:16" ht="18" customHeight="1">
      <c r="K337" s="171" t="s">
        <v>702</v>
      </c>
      <c r="L337" s="171"/>
      <c r="M337" s="171"/>
      <c r="P337" s="236"/>
    </row>
    <row r="338" spans="11:16" ht="18" customHeight="1">
      <c r="K338" s="171" t="s">
        <v>702</v>
      </c>
      <c r="L338" s="171"/>
      <c r="M338" s="171"/>
      <c r="P338" s="236"/>
    </row>
    <row r="339" spans="11:16" ht="18" customHeight="1">
      <c r="K339" s="171" t="s">
        <v>702</v>
      </c>
      <c r="L339" s="171"/>
      <c r="M339" s="171"/>
      <c r="P339" s="236"/>
    </row>
    <row r="340" spans="11:16" ht="18" customHeight="1">
      <c r="K340" s="171" t="s">
        <v>702</v>
      </c>
      <c r="L340" s="171"/>
      <c r="M340" s="171"/>
      <c r="P340" s="236"/>
    </row>
    <row r="341" spans="11:16" ht="18" customHeight="1">
      <c r="K341" s="171" t="s">
        <v>702</v>
      </c>
      <c r="L341" s="171"/>
      <c r="M341" s="171"/>
      <c r="P341" s="236"/>
    </row>
    <row r="342" spans="11:16" ht="18" customHeight="1">
      <c r="K342" s="171" t="s">
        <v>702</v>
      </c>
      <c r="L342" s="171"/>
      <c r="M342" s="171"/>
      <c r="P342" s="236"/>
    </row>
    <row r="343" spans="11:16" ht="18" customHeight="1">
      <c r="K343" s="171" t="s">
        <v>702</v>
      </c>
      <c r="L343" s="171"/>
      <c r="M343" s="171"/>
      <c r="P343" s="236"/>
    </row>
    <row r="344" spans="11:16" ht="18" customHeight="1">
      <c r="K344" s="171" t="s">
        <v>702</v>
      </c>
      <c r="L344" s="171"/>
      <c r="M344" s="171"/>
      <c r="P344" s="236"/>
    </row>
    <row r="345" spans="11:16" ht="18" customHeight="1">
      <c r="K345" s="171" t="s">
        <v>702</v>
      </c>
      <c r="L345" s="171"/>
      <c r="M345" s="171"/>
      <c r="P345" s="236"/>
    </row>
    <row r="346" spans="11:16" ht="18" customHeight="1">
      <c r="K346" s="171" t="s">
        <v>702</v>
      </c>
      <c r="L346" s="171"/>
      <c r="M346" s="171"/>
      <c r="P346" s="236"/>
    </row>
    <row r="347" spans="11:16" ht="18" customHeight="1">
      <c r="K347" s="171" t="s">
        <v>702</v>
      </c>
      <c r="L347" s="171"/>
      <c r="M347" s="171"/>
      <c r="P347" s="236"/>
    </row>
    <row r="348" spans="11:16" ht="18" customHeight="1">
      <c r="K348" s="171" t="s">
        <v>702</v>
      </c>
      <c r="L348" s="171"/>
      <c r="M348" s="171"/>
      <c r="P348" s="236"/>
    </row>
    <row r="349" spans="11:16" ht="18" customHeight="1">
      <c r="K349" s="171" t="s">
        <v>702</v>
      </c>
      <c r="L349" s="171"/>
      <c r="M349" s="171"/>
      <c r="P349" s="236"/>
    </row>
    <row r="350" spans="11:16" ht="18" customHeight="1">
      <c r="K350" s="171" t="s">
        <v>702</v>
      </c>
      <c r="L350" s="171"/>
      <c r="M350" s="171"/>
      <c r="P350" s="236"/>
    </row>
    <row r="351" spans="11:16" ht="18" customHeight="1">
      <c r="K351" s="171" t="s">
        <v>702</v>
      </c>
      <c r="L351" s="171"/>
      <c r="M351" s="171"/>
      <c r="P351" s="236"/>
    </row>
    <row r="352" spans="11:16" ht="18" customHeight="1">
      <c r="K352" s="171" t="s">
        <v>702</v>
      </c>
      <c r="L352" s="171"/>
      <c r="M352" s="171"/>
      <c r="P352" s="236"/>
    </row>
    <row r="353" spans="11:16" ht="18" customHeight="1">
      <c r="K353" s="171" t="s">
        <v>702</v>
      </c>
      <c r="L353" s="171"/>
      <c r="M353" s="171"/>
      <c r="P353" s="236"/>
    </row>
    <row r="354" spans="11:16" ht="18" customHeight="1">
      <c r="K354" s="171" t="s">
        <v>702</v>
      </c>
      <c r="L354" s="171"/>
      <c r="M354" s="171"/>
      <c r="P354" s="236"/>
    </row>
    <row r="355" spans="11:16" ht="18" customHeight="1">
      <c r="K355" s="171" t="s">
        <v>702</v>
      </c>
      <c r="L355" s="171"/>
      <c r="M355" s="171"/>
      <c r="P355" s="236"/>
    </row>
    <row r="356" spans="11:16" ht="18" customHeight="1">
      <c r="K356" s="171" t="s">
        <v>702</v>
      </c>
      <c r="L356" s="171"/>
      <c r="M356" s="171"/>
      <c r="P356" s="236"/>
    </row>
    <row r="357" spans="11:16" ht="18" customHeight="1">
      <c r="K357" s="171" t="s">
        <v>702</v>
      </c>
      <c r="L357" s="171"/>
      <c r="M357" s="171"/>
      <c r="P357" s="236"/>
    </row>
    <row r="358" spans="11:16" ht="18" customHeight="1">
      <c r="K358" s="171" t="s">
        <v>702</v>
      </c>
      <c r="L358" s="171"/>
      <c r="M358" s="171"/>
      <c r="P358" s="236"/>
    </row>
    <row r="359" spans="11:16" ht="18" customHeight="1">
      <c r="K359" s="171" t="s">
        <v>702</v>
      </c>
      <c r="L359" s="171"/>
      <c r="M359" s="171"/>
      <c r="P359" s="236"/>
    </row>
    <row r="360" spans="11:16" ht="18" customHeight="1">
      <c r="K360" s="171" t="s">
        <v>702</v>
      </c>
      <c r="L360" s="171"/>
      <c r="M360" s="171"/>
      <c r="P360" s="236"/>
    </row>
    <row r="361" spans="11:16" ht="18" customHeight="1">
      <c r="K361" s="171" t="s">
        <v>702</v>
      </c>
      <c r="L361" s="171"/>
      <c r="M361" s="171"/>
      <c r="P361" s="236"/>
    </row>
    <row r="362" spans="11:16" ht="18" customHeight="1">
      <c r="K362" s="171" t="s">
        <v>702</v>
      </c>
      <c r="L362" s="171"/>
      <c r="M362" s="171"/>
      <c r="P362" s="236"/>
    </row>
    <row r="363" spans="11:16" ht="18" customHeight="1">
      <c r="K363" s="171" t="s">
        <v>702</v>
      </c>
      <c r="L363" s="171"/>
      <c r="M363" s="171"/>
      <c r="P363" s="236"/>
    </row>
    <row r="364" spans="11:16" ht="18" customHeight="1">
      <c r="K364" s="171" t="s">
        <v>702</v>
      </c>
      <c r="L364" s="171"/>
      <c r="M364" s="171"/>
      <c r="P364" s="236"/>
    </row>
    <row r="365" spans="11:16" ht="18" customHeight="1">
      <c r="K365" s="171" t="s">
        <v>702</v>
      </c>
      <c r="L365" s="171"/>
      <c r="M365" s="171"/>
      <c r="P365" s="236"/>
    </row>
    <row r="366" spans="11:16" ht="18" customHeight="1">
      <c r="K366" s="171" t="s">
        <v>702</v>
      </c>
      <c r="L366" s="171"/>
      <c r="M366" s="171"/>
      <c r="P366" s="236"/>
    </row>
    <row r="367" spans="11:16" ht="18" customHeight="1">
      <c r="K367" s="171" t="s">
        <v>702</v>
      </c>
      <c r="L367" s="171"/>
      <c r="M367" s="171"/>
      <c r="P367" s="236"/>
    </row>
    <row r="368" spans="11:16" ht="18" customHeight="1">
      <c r="K368" s="171" t="s">
        <v>702</v>
      </c>
      <c r="L368" s="171"/>
      <c r="M368" s="171"/>
      <c r="P368" s="236"/>
    </row>
    <row r="369" spans="11:16" ht="18" customHeight="1">
      <c r="K369" s="171" t="s">
        <v>702</v>
      </c>
      <c r="L369" s="171"/>
      <c r="M369" s="171"/>
      <c r="P369" s="236"/>
    </row>
    <row r="370" spans="11:16" ht="18" customHeight="1">
      <c r="K370" s="171" t="s">
        <v>702</v>
      </c>
      <c r="L370" s="171"/>
      <c r="M370" s="171"/>
      <c r="P370" s="236"/>
    </row>
    <row r="371" spans="11:16" ht="18" customHeight="1">
      <c r="K371" s="171" t="s">
        <v>702</v>
      </c>
      <c r="L371" s="171"/>
      <c r="M371" s="171"/>
      <c r="P371" s="236"/>
    </row>
    <row r="372" spans="11:16" ht="18" customHeight="1">
      <c r="K372" s="171" t="s">
        <v>702</v>
      </c>
      <c r="L372" s="171"/>
      <c r="M372" s="171"/>
      <c r="P372" s="236"/>
    </row>
    <row r="373" spans="11:16" ht="18" customHeight="1">
      <c r="K373" s="171" t="s">
        <v>702</v>
      </c>
      <c r="L373" s="171"/>
      <c r="M373" s="171"/>
      <c r="P373" s="236"/>
    </row>
    <row r="374" spans="11:16" ht="18" customHeight="1">
      <c r="K374" s="171" t="s">
        <v>702</v>
      </c>
      <c r="L374" s="171"/>
      <c r="M374" s="171"/>
      <c r="P374" s="236"/>
    </row>
    <row r="375" spans="11:16" ht="18" customHeight="1">
      <c r="K375" s="171" t="s">
        <v>702</v>
      </c>
      <c r="L375" s="171"/>
      <c r="M375" s="171"/>
      <c r="P375" s="236"/>
    </row>
    <row r="376" spans="11:16" ht="18" customHeight="1">
      <c r="K376" s="171" t="s">
        <v>702</v>
      </c>
      <c r="L376" s="171"/>
      <c r="M376" s="171"/>
      <c r="P376" s="236"/>
    </row>
    <row r="377" spans="11:16" ht="18" customHeight="1">
      <c r="K377" s="171" t="s">
        <v>702</v>
      </c>
      <c r="L377" s="171"/>
      <c r="M377" s="171"/>
      <c r="P377" s="236"/>
    </row>
    <row r="378" spans="11:16" ht="18" customHeight="1">
      <c r="K378" s="171" t="s">
        <v>702</v>
      </c>
      <c r="L378" s="171"/>
      <c r="M378" s="171"/>
      <c r="P378" s="236"/>
    </row>
    <row r="379" spans="11:16" ht="18" customHeight="1">
      <c r="K379" s="171" t="s">
        <v>702</v>
      </c>
      <c r="L379" s="171"/>
      <c r="M379" s="171"/>
      <c r="P379" s="236"/>
    </row>
    <row r="380" spans="11:16" ht="18" customHeight="1">
      <c r="K380" s="171" t="s">
        <v>702</v>
      </c>
      <c r="L380" s="171"/>
      <c r="M380" s="171"/>
      <c r="P380" s="236"/>
    </row>
    <row r="381" spans="11:16" ht="18" customHeight="1">
      <c r="K381" s="171" t="s">
        <v>702</v>
      </c>
      <c r="L381" s="171"/>
      <c r="M381" s="171"/>
      <c r="P381" s="236"/>
    </row>
    <row r="382" spans="11:16" ht="18" customHeight="1">
      <c r="K382" s="171" t="s">
        <v>702</v>
      </c>
      <c r="L382" s="171"/>
      <c r="M382" s="171"/>
      <c r="P382" s="236"/>
    </row>
    <row r="383" spans="11:16" ht="18" customHeight="1">
      <c r="K383" s="171" t="s">
        <v>702</v>
      </c>
      <c r="L383" s="171"/>
      <c r="M383" s="171"/>
      <c r="P383" s="236"/>
    </row>
    <row r="384" spans="11:16" ht="18" customHeight="1">
      <c r="K384" s="171" t="s">
        <v>702</v>
      </c>
      <c r="L384" s="171"/>
      <c r="M384" s="171"/>
      <c r="P384" s="236"/>
    </row>
    <row r="385" spans="11:16" ht="18" customHeight="1">
      <c r="K385" s="171" t="s">
        <v>702</v>
      </c>
      <c r="L385" s="171"/>
      <c r="M385" s="171"/>
      <c r="P385" s="236"/>
    </row>
    <row r="386" spans="11:16" ht="18" customHeight="1">
      <c r="K386" s="171" t="s">
        <v>702</v>
      </c>
      <c r="L386" s="171"/>
      <c r="M386" s="171"/>
      <c r="P386" s="236"/>
    </row>
    <row r="387" spans="11:16" ht="18" customHeight="1">
      <c r="K387" s="171" t="s">
        <v>702</v>
      </c>
      <c r="L387" s="171"/>
      <c r="M387" s="171"/>
      <c r="P387" s="236"/>
    </row>
    <row r="388" spans="11:16" ht="18" customHeight="1">
      <c r="K388" s="171" t="s">
        <v>702</v>
      </c>
      <c r="L388" s="171"/>
      <c r="M388" s="171"/>
      <c r="P388" s="236"/>
    </row>
    <row r="389" spans="11:16" ht="18" customHeight="1">
      <c r="K389" s="171" t="s">
        <v>702</v>
      </c>
      <c r="L389" s="171"/>
      <c r="M389" s="171"/>
      <c r="P389" s="236"/>
    </row>
    <row r="390" spans="11:16" ht="18" customHeight="1">
      <c r="K390" s="171" t="s">
        <v>702</v>
      </c>
      <c r="L390" s="171"/>
      <c r="M390" s="171"/>
      <c r="P390" s="236"/>
    </row>
    <row r="391" spans="11:16" ht="18" customHeight="1">
      <c r="K391" s="171" t="s">
        <v>702</v>
      </c>
      <c r="L391" s="171"/>
      <c r="M391" s="171"/>
      <c r="P391" s="236"/>
    </row>
    <row r="392" spans="11:16" ht="18" customHeight="1">
      <c r="K392" s="171" t="s">
        <v>702</v>
      </c>
      <c r="L392" s="171"/>
      <c r="M392" s="171"/>
      <c r="P392" s="236"/>
    </row>
    <row r="393" spans="11:16" ht="18" customHeight="1">
      <c r="K393" s="171" t="s">
        <v>702</v>
      </c>
      <c r="L393" s="171"/>
      <c r="M393" s="171"/>
      <c r="P393" s="236"/>
    </row>
    <row r="394" spans="11:16" ht="18" customHeight="1">
      <c r="K394" s="171" t="s">
        <v>702</v>
      </c>
      <c r="L394" s="171"/>
      <c r="M394" s="171"/>
      <c r="P394" s="236"/>
    </row>
    <row r="395" spans="11:16" ht="18" customHeight="1">
      <c r="K395" s="171" t="s">
        <v>702</v>
      </c>
      <c r="L395" s="171"/>
      <c r="M395" s="171"/>
      <c r="P395" s="236"/>
    </row>
    <row r="396" spans="11:16" ht="18" customHeight="1">
      <c r="K396" s="171" t="s">
        <v>702</v>
      </c>
      <c r="L396" s="171"/>
      <c r="M396" s="171"/>
      <c r="P396" s="236"/>
    </row>
    <row r="397" spans="11:16" ht="18" customHeight="1">
      <c r="K397" s="171" t="s">
        <v>702</v>
      </c>
      <c r="L397" s="171"/>
      <c r="M397" s="171"/>
      <c r="P397" s="236"/>
    </row>
    <row r="398" spans="11:16" ht="18" customHeight="1">
      <c r="K398" s="171" t="s">
        <v>702</v>
      </c>
      <c r="L398" s="171"/>
      <c r="M398" s="171"/>
      <c r="P398" s="236"/>
    </row>
    <row r="399" spans="11:16" ht="18" customHeight="1">
      <c r="K399" s="171" t="s">
        <v>702</v>
      </c>
      <c r="L399" s="171"/>
      <c r="M399" s="171"/>
      <c r="P399" s="236"/>
    </row>
    <row r="400" spans="11:16" ht="18" customHeight="1">
      <c r="K400" s="171" t="s">
        <v>702</v>
      </c>
      <c r="L400" s="171"/>
      <c r="M400" s="171"/>
      <c r="P400" s="236"/>
    </row>
    <row r="401" spans="11:16" ht="18" customHeight="1">
      <c r="K401" s="171" t="s">
        <v>702</v>
      </c>
      <c r="L401" s="171"/>
      <c r="M401" s="171"/>
      <c r="P401" s="236"/>
    </row>
    <row r="402" spans="11:16" ht="18" customHeight="1">
      <c r="K402" s="171" t="s">
        <v>702</v>
      </c>
      <c r="L402" s="171"/>
      <c r="M402" s="171"/>
      <c r="P402" s="236"/>
    </row>
    <row r="403" spans="11:16" ht="18" customHeight="1">
      <c r="K403" s="171" t="s">
        <v>702</v>
      </c>
      <c r="L403" s="171"/>
      <c r="M403" s="171"/>
      <c r="P403" s="236"/>
    </row>
    <row r="404" spans="11:16" ht="18" customHeight="1">
      <c r="K404" s="171" t="s">
        <v>702</v>
      </c>
      <c r="L404" s="171"/>
      <c r="M404" s="171"/>
      <c r="P404" s="236"/>
    </row>
    <row r="405" spans="11:16" ht="18" customHeight="1">
      <c r="K405" s="171" t="s">
        <v>702</v>
      </c>
      <c r="L405" s="171"/>
      <c r="M405" s="171"/>
      <c r="P405" s="236"/>
    </row>
    <row r="406" spans="11:16" ht="18" customHeight="1">
      <c r="K406" s="171" t="s">
        <v>702</v>
      </c>
      <c r="L406" s="171"/>
      <c r="M406" s="171"/>
      <c r="P406" s="236"/>
    </row>
    <row r="407" spans="11:16" ht="18" customHeight="1">
      <c r="K407" s="171" t="s">
        <v>702</v>
      </c>
      <c r="L407" s="171"/>
      <c r="M407" s="171"/>
      <c r="P407" s="236"/>
    </row>
    <row r="408" spans="11:16" ht="18" customHeight="1">
      <c r="K408" s="171" t="s">
        <v>702</v>
      </c>
      <c r="L408" s="171"/>
      <c r="M408" s="171"/>
      <c r="P408" s="236"/>
    </row>
    <row r="409" spans="11:16" ht="18" customHeight="1">
      <c r="K409" s="171" t="s">
        <v>702</v>
      </c>
      <c r="L409" s="171"/>
      <c r="M409" s="171"/>
      <c r="P409" s="236"/>
    </row>
    <row r="410" spans="11:16" ht="18" customHeight="1">
      <c r="K410" s="171" t="s">
        <v>702</v>
      </c>
      <c r="L410" s="171"/>
      <c r="M410" s="171"/>
      <c r="P410" s="236"/>
    </row>
    <row r="411" spans="11:16" ht="18" customHeight="1">
      <c r="K411" s="171" t="s">
        <v>702</v>
      </c>
      <c r="L411" s="171"/>
      <c r="M411" s="171"/>
      <c r="P411" s="236"/>
    </row>
    <row r="412" spans="11:16" ht="18" customHeight="1">
      <c r="K412" s="171" t="s">
        <v>702</v>
      </c>
      <c r="L412" s="171"/>
      <c r="M412" s="171"/>
      <c r="P412" s="236"/>
    </row>
    <row r="413" spans="11:16" ht="18" customHeight="1">
      <c r="K413" s="171" t="s">
        <v>702</v>
      </c>
      <c r="L413" s="171"/>
      <c r="M413" s="171"/>
      <c r="P413" s="236"/>
    </row>
    <row r="414" spans="11:16" ht="18" customHeight="1">
      <c r="K414" s="171" t="s">
        <v>702</v>
      </c>
      <c r="L414" s="171"/>
      <c r="M414" s="171"/>
      <c r="P414" s="236"/>
    </row>
    <row r="415" spans="11:16" ht="18" customHeight="1">
      <c r="K415" s="171" t="s">
        <v>702</v>
      </c>
      <c r="L415" s="171"/>
      <c r="M415" s="171"/>
      <c r="P415" s="236"/>
    </row>
    <row r="416" spans="11:16" ht="18" customHeight="1">
      <c r="K416" s="171" t="s">
        <v>702</v>
      </c>
      <c r="L416" s="171"/>
      <c r="M416" s="171"/>
      <c r="P416" s="236"/>
    </row>
    <row r="417" spans="11:16" ht="18" customHeight="1">
      <c r="K417" s="171" t="s">
        <v>702</v>
      </c>
      <c r="L417" s="171"/>
      <c r="M417" s="171"/>
      <c r="P417" s="236"/>
    </row>
    <row r="418" spans="11:16" ht="18" customHeight="1">
      <c r="K418" s="171" t="s">
        <v>702</v>
      </c>
      <c r="L418" s="171"/>
      <c r="M418" s="171"/>
      <c r="P418" s="236"/>
    </row>
    <row r="419" spans="11:16" ht="18" customHeight="1">
      <c r="K419" s="171" t="s">
        <v>702</v>
      </c>
      <c r="L419" s="171"/>
      <c r="M419" s="171"/>
      <c r="P419" s="236"/>
    </row>
    <row r="420" spans="11:16" ht="18" customHeight="1">
      <c r="K420" s="171" t="s">
        <v>702</v>
      </c>
      <c r="L420" s="171"/>
      <c r="M420" s="171"/>
      <c r="P420" s="236"/>
    </row>
    <row r="421" spans="11:16" ht="18" customHeight="1">
      <c r="K421" s="171" t="s">
        <v>702</v>
      </c>
      <c r="L421" s="171"/>
      <c r="M421" s="171"/>
      <c r="P421" s="236"/>
    </row>
    <row r="422" spans="11:16" ht="18" customHeight="1">
      <c r="K422" s="171" t="s">
        <v>702</v>
      </c>
      <c r="L422" s="171"/>
      <c r="M422" s="171"/>
      <c r="P422" s="236"/>
    </row>
    <row r="423" spans="11:16" ht="18" customHeight="1">
      <c r="K423" s="171" t="s">
        <v>702</v>
      </c>
      <c r="L423" s="171"/>
      <c r="M423" s="171"/>
      <c r="P423" s="236"/>
    </row>
    <row r="424" spans="11:16" ht="18" customHeight="1">
      <c r="K424" s="171" t="s">
        <v>702</v>
      </c>
      <c r="L424" s="171"/>
      <c r="M424" s="171"/>
      <c r="P424" s="236"/>
    </row>
    <row r="425" spans="11:16" ht="18" customHeight="1">
      <c r="K425" s="171" t="s">
        <v>702</v>
      </c>
      <c r="L425" s="171"/>
      <c r="M425" s="171"/>
      <c r="P425" s="236"/>
    </row>
    <row r="426" spans="11:16" ht="18" customHeight="1">
      <c r="K426" s="171" t="s">
        <v>702</v>
      </c>
      <c r="L426" s="171"/>
      <c r="M426" s="171"/>
      <c r="P426" s="236"/>
    </row>
    <row r="427" spans="11:16" ht="18" customHeight="1">
      <c r="K427" s="171" t="s">
        <v>702</v>
      </c>
      <c r="L427" s="171"/>
      <c r="M427" s="171"/>
      <c r="P427" s="236"/>
    </row>
    <row r="428" spans="11:16" ht="18" customHeight="1">
      <c r="K428" s="171" t="s">
        <v>702</v>
      </c>
      <c r="L428" s="171"/>
      <c r="M428" s="171"/>
      <c r="P428" s="236"/>
    </row>
    <row r="429" spans="11:16" ht="18" customHeight="1">
      <c r="K429" s="171" t="s">
        <v>702</v>
      </c>
      <c r="L429" s="171"/>
      <c r="M429" s="171"/>
      <c r="P429" s="236"/>
    </row>
    <row r="430" spans="11:16" ht="18" customHeight="1">
      <c r="K430" s="171" t="s">
        <v>702</v>
      </c>
      <c r="L430" s="171"/>
      <c r="M430" s="171"/>
      <c r="P430" s="236"/>
    </row>
    <row r="431" spans="11:16" ht="18" customHeight="1">
      <c r="K431" s="171" t="s">
        <v>702</v>
      </c>
      <c r="L431" s="171"/>
      <c r="M431" s="171"/>
      <c r="P431" s="236"/>
    </row>
    <row r="432" spans="11:16" ht="18" customHeight="1">
      <c r="K432" s="171" t="s">
        <v>702</v>
      </c>
      <c r="L432" s="171"/>
      <c r="M432" s="171"/>
      <c r="P432" s="236"/>
    </row>
    <row r="433" spans="11:16" ht="18" customHeight="1">
      <c r="K433" s="171" t="s">
        <v>702</v>
      </c>
      <c r="L433" s="171"/>
      <c r="M433" s="171"/>
      <c r="P433" s="236"/>
    </row>
    <row r="434" spans="11:16" ht="18" customHeight="1">
      <c r="K434" s="171" t="s">
        <v>702</v>
      </c>
      <c r="L434" s="171"/>
      <c r="M434" s="171"/>
      <c r="P434" s="236"/>
    </row>
    <row r="435" spans="11:16" ht="18" customHeight="1">
      <c r="K435" s="171" t="s">
        <v>702</v>
      </c>
      <c r="L435" s="171"/>
      <c r="M435" s="171"/>
      <c r="P435" s="236"/>
    </row>
    <row r="436" spans="11:16" ht="18" customHeight="1">
      <c r="K436" s="171" t="s">
        <v>702</v>
      </c>
      <c r="L436" s="171"/>
      <c r="M436" s="171"/>
      <c r="P436" s="236"/>
    </row>
    <row r="437" spans="11:16" ht="18" customHeight="1">
      <c r="K437" s="171" t="s">
        <v>702</v>
      </c>
      <c r="L437" s="171"/>
      <c r="M437" s="171"/>
      <c r="P437" s="236"/>
    </row>
    <row r="438" spans="11:16" ht="18" customHeight="1">
      <c r="K438" s="171" t="s">
        <v>702</v>
      </c>
      <c r="L438" s="171"/>
      <c r="M438" s="171"/>
      <c r="P438" s="236"/>
    </row>
    <row r="439" spans="11:16" ht="18" customHeight="1">
      <c r="K439" s="171" t="s">
        <v>702</v>
      </c>
      <c r="L439" s="171"/>
      <c r="M439" s="171"/>
      <c r="P439" s="236"/>
    </row>
    <row r="440" spans="11:16" ht="18" customHeight="1">
      <c r="K440" s="171" t="s">
        <v>702</v>
      </c>
      <c r="L440" s="171"/>
      <c r="M440" s="171"/>
      <c r="P440" s="236"/>
    </row>
    <row r="441" spans="11:16" ht="18" customHeight="1">
      <c r="K441" s="171" t="s">
        <v>702</v>
      </c>
      <c r="L441" s="171"/>
      <c r="M441" s="171"/>
      <c r="P441" s="236"/>
    </row>
    <row r="442" spans="11:16" ht="18" customHeight="1">
      <c r="K442" s="171" t="s">
        <v>702</v>
      </c>
      <c r="L442" s="171"/>
      <c r="M442" s="171"/>
      <c r="P442" s="236"/>
    </row>
    <row r="443" spans="11:16" ht="18" customHeight="1">
      <c r="K443" s="171" t="s">
        <v>702</v>
      </c>
      <c r="L443" s="171"/>
      <c r="M443" s="171"/>
      <c r="P443" s="236"/>
    </row>
    <row r="444" spans="11:16" ht="18" customHeight="1">
      <c r="K444" s="171" t="s">
        <v>702</v>
      </c>
      <c r="L444" s="171"/>
      <c r="M444" s="171"/>
      <c r="P444" s="236"/>
    </row>
    <row r="445" spans="11:16" ht="18" customHeight="1">
      <c r="K445" s="171" t="s">
        <v>702</v>
      </c>
      <c r="L445" s="171"/>
      <c r="M445" s="171"/>
      <c r="P445" s="236"/>
    </row>
    <row r="446" spans="11:16" ht="18" customHeight="1">
      <c r="K446" s="171" t="s">
        <v>702</v>
      </c>
      <c r="L446" s="171"/>
      <c r="M446" s="171"/>
      <c r="P446" s="236"/>
    </row>
    <row r="447" spans="11:16" ht="18" customHeight="1">
      <c r="K447" s="171" t="s">
        <v>702</v>
      </c>
      <c r="L447" s="171"/>
      <c r="M447" s="171"/>
      <c r="P447" s="236"/>
    </row>
    <row r="448" spans="11:16" ht="18" customHeight="1">
      <c r="K448" s="171" t="s">
        <v>702</v>
      </c>
      <c r="L448" s="171"/>
      <c r="M448" s="171"/>
      <c r="P448" s="236"/>
    </row>
    <row r="449" spans="11:16" ht="18" customHeight="1">
      <c r="K449" s="171" t="s">
        <v>702</v>
      </c>
      <c r="L449" s="171"/>
      <c r="M449" s="171"/>
      <c r="P449" s="236"/>
    </row>
    <row r="450" spans="11:16" ht="18" customHeight="1">
      <c r="K450" s="171" t="s">
        <v>702</v>
      </c>
      <c r="L450" s="171"/>
      <c r="M450" s="171"/>
      <c r="P450" s="236"/>
    </row>
    <row r="451" spans="11:16" ht="18" customHeight="1">
      <c r="K451" s="171" t="s">
        <v>702</v>
      </c>
      <c r="L451" s="171"/>
      <c r="M451" s="171"/>
      <c r="P451" s="236"/>
    </row>
    <row r="452" spans="11:16" ht="18" customHeight="1">
      <c r="K452" s="171" t="s">
        <v>702</v>
      </c>
      <c r="L452" s="171"/>
      <c r="M452" s="171"/>
      <c r="P452" s="236"/>
    </row>
    <row r="453" spans="11:16" ht="18" customHeight="1">
      <c r="K453" s="171" t="s">
        <v>702</v>
      </c>
      <c r="L453" s="171"/>
      <c r="M453" s="171"/>
      <c r="P453" s="236"/>
    </row>
    <row r="454" spans="11:16" ht="18" customHeight="1">
      <c r="K454" s="171" t="s">
        <v>702</v>
      </c>
      <c r="L454" s="171"/>
      <c r="M454" s="171"/>
      <c r="P454" s="236"/>
    </row>
    <row r="455" spans="11:16" ht="18" customHeight="1">
      <c r="K455" s="171" t="s">
        <v>702</v>
      </c>
      <c r="L455" s="171"/>
      <c r="M455" s="171"/>
      <c r="P455" s="236"/>
    </row>
    <row r="456" spans="11:16" ht="18" customHeight="1">
      <c r="K456" s="171" t="s">
        <v>702</v>
      </c>
      <c r="L456" s="171"/>
      <c r="M456" s="171"/>
      <c r="P456" s="236"/>
    </row>
    <row r="457" spans="11:16" ht="18" customHeight="1">
      <c r="K457" s="171" t="s">
        <v>702</v>
      </c>
      <c r="L457" s="171"/>
      <c r="M457" s="171"/>
      <c r="P457" s="236"/>
    </row>
    <row r="458" spans="11:16" ht="18" customHeight="1">
      <c r="K458" s="171" t="s">
        <v>702</v>
      </c>
      <c r="L458" s="171"/>
      <c r="M458" s="171"/>
      <c r="P458" s="236"/>
    </row>
    <row r="459" spans="11:16" ht="18" customHeight="1">
      <c r="K459" s="171" t="s">
        <v>702</v>
      </c>
      <c r="L459" s="171"/>
      <c r="M459" s="171"/>
      <c r="P459" s="236"/>
    </row>
    <row r="460" spans="11:16" ht="18" customHeight="1">
      <c r="K460" s="171" t="s">
        <v>702</v>
      </c>
      <c r="L460" s="171"/>
      <c r="M460" s="171"/>
      <c r="P460" s="236"/>
    </row>
    <row r="461" spans="11:16" ht="18" customHeight="1">
      <c r="K461" s="171" t="s">
        <v>702</v>
      </c>
      <c r="L461" s="171"/>
      <c r="M461" s="171"/>
      <c r="P461" s="236"/>
    </row>
    <row r="462" spans="11:16" ht="18" customHeight="1">
      <c r="K462" s="171" t="s">
        <v>702</v>
      </c>
      <c r="L462" s="171"/>
      <c r="M462" s="171"/>
      <c r="P462" s="236"/>
    </row>
    <row r="463" spans="11:16" ht="18" customHeight="1">
      <c r="K463" s="171" t="s">
        <v>702</v>
      </c>
      <c r="L463" s="171"/>
      <c r="M463" s="171"/>
      <c r="P463" s="236"/>
    </row>
    <row r="464" spans="11:16" ht="18" customHeight="1">
      <c r="K464" s="171" t="s">
        <v>702</v>
      </c>
      <c r="L464" s="171"/>
      <c r="M464" s="171"/>
      <c r="P464" s="236"/>
    </row>
    <row r="465" spans="11:16" ht="18" customHeight="1">
      <c r="K465" s="171" t="s">
        <v>702</v>
      </c>
      <c r="L465" s="171"/>
      <c r="M465" s="171"/>
      <c r="P465" s="236"/>
    </row>
    <row r="466" spans="11:16" ht="18" customHeight="1">
      <c r="K466" s="171" t="s">
        <v>702</v>
      </c>
      <c r="L466" s="171"/>
      <c r="M466" s="171"/>
      <c r="P466" s="236"/>
    </row>
    <row r="467" spans="11:16" ht="18" customHeight="1">
      <c r="K467" s="171" t="s">
        <v>702</v>
      </c>
      <c r="L467" s="171"/>
      <c r="M467" s="171"/>
      <c r="P467" s="236"/>
    </row>
    <row r="468" spans="11:16" ht="18" customHeight="1">
      <c r="K468" s="171" t="s">
        <v>702</v>
      </c>
      <c r="L468" s="171"/>
      <c r="M468" s="171"/>
      <c r="P468" s="236"/>
    </row>
    <row r="469" spans="11:16" ht="18" customHeight="1">
      <c r="K469" s="171" t="s">
        <v>702</v>
      </c>
      <c r="L469" s="171"/>
      <c r="M469" s="171"/>
    </row>
    <row r="470" spans="11:16" ht="18" customHeight="1">
      <c r="K470" s="171" t="s">
        <v>702</v>
      </c>
      <c r="L470" s="171"/>
      <c r="M470" s="171"/>
    </row>
    <row r="471" spans="11:16" ht="18" customHeight="1">
      <c r="K471" s="171" t="s">
        <v>702</v>
      </c>
      <c r="L471" s="171"/>
      <c r="M471" s="171"/>
    </row>
    <row r="472" spans="11:16" ht="18" customHeight="1">
      <c r="K472" s="171" t="s">
        <v>702</v>
      </c>
      <c r="L472" s="171"/>
      <c r="M472" s="171"/>
    </row>
    <row r="473" spans="11:16" ht="18" customHeight="1">
      <c r="K473" s="171" t="s">
        <v>702</v>
      </c>
      <c r="L473" s="171"/>
      <c r="M473" s="171"/>
    </row>
    <row r="474" spans="11:16" ht="18" customHeight="1">
      <c r="K474" s="171" t="s">
        <v>702</v>
      </c>
      <c r="L474" s="171"/>
      <c r="M474" s="171"/>
    </row>
    <row r="475" spans="11:16" ht="18" customHeight="1">
      <c r="K475" s="171" t="s">
        <v>702</v>
      </c>
      <c r="L475" s="171"/>
      <c r="M475" s="171"/>
    </row>
    <row r="476" spans="11:16" ht="18" customHeight="1">
      <c r="K476" s="171" t="s">
        <v>702</v>
      </c>
      <c r="L476" s="171"/>
      <c r="M476" s="171"/>
    </row>
    <row r="477" spans="11:16" ht="18" customHeight="1">
      <c r="K477" s="171" t="s">
        <v>702</v>
      </c>
      <c r="L477" s="171"/>
      <c r="M477" s="171"/>
    </row>
    <row r="478" spans="11:16" ht="18" customHeight="1">
      <c r="K478" s="171" t="s">
        <v>702</v>
      </c>
      <c r="L478" s="171"/>
      <c r="M478" s="171"/>
    </row>
    <row r="479" spans="11:16" ht="18" customHeight="1">
      <c r="K479" s="171" t="s">
        <v>702</v>
      </c>
      <c r="L479" s="171"/>
      <c r="M479" s="171"/>
    </row>
    <row r="480" spans="11:16" ht="18" customHeight="1">
      <c r="K480" s="171" t="s">
        <v>702</v>
      </c>
      <c r="L480" s="171"/>
      <c r="M480" s="171"/>
    </row>
    <row r="481" spans="11:13" ht="18" customHeight="1">
      <c r="K481" s="171" t="s">
        <v>702</v>
      </c>
      <c r="L481" s="171"/>
      <c r="M481" s="171"/>
    </row>
    <row r="482" spans="11:13" ht="18" customHeight="1">
      <c r="K482" s="171" t="s">
        <v>702</v>
      </c>
      <c r="L482" s="171"/>
      <c r="M482" s="171"/>
    </row>
    <row r="483" spans="11:13" ht="18" customHeight="1">
      <c r="K483" s="171" t="s">
        <v>702</v>
      </c>
      <c r="L483" s="171"/>
      <c r="M483" s="171"/>
    </row>
    <row r="484" spans="11:13" ht="18" customHeight="1">
      <c r="K484" s="171" t="s">
        <v>702</v>
      </c>
      <c r="L484" s="171"/>
      <c r="M484" s="171"/>
    </row>
    <row r="485" spans="11:13" ht="18" customHeight="1">
      <c r="K485" s="171" t="s">
        <v>702</v>
      </c>
      <c r="L485" s="171"/>
      <c r="M485" s="171"/>
    </row>
    <row r="486" spans="11:13" ht="18" customHeight="1">
      <c r="K486" s="171" t="s">
        <v>702</v>
      </c>
      <c r="L486" s="171"/>
      <c r="M486" s="171"/>
    </row>
    <row r="487" spans="11:13" ht="18" customHeight="1">
      <c r="K487" s="171" t="s">
        <v>702</v>
      </c>
      <c r="L487" s="171"/>
      <c r="M487" s="171"/>
    </row>
    <row r="488" spans="11:13" ht="18" customHeight="1">
      <c r="K488" s="171" t="s">
        <v>702</v>
      </c>
      <c r="L488" s="171"/>
      <c r="M488" s="171"/>
    </row>
    <row r="489" spans="11:13" ht="18" customHeight="1">
      <c r="K489" s="171" t="s">
        <v>702</v>
      </c>
      <c r="L489" s="171"/>
      <c r="M489" s="171"/>
    </row>
    <row r="490" spans="11:13" ht="18" customHeight="1">
      <c r="K490" s="171" t="s">
        <v>702</v>
      </c>
      <c r="L490" s="171"/>
      <c r="M490" s="171"/>
    </row>
    <row r="491" spans="11:13" ht="18" customHeight="1">
      <c r="K491" s="171" t="s">
        <v>702</v>
      </c>
      <c r="L491" s="171"/>
      <c r="M491" s="171"/>
    </row>
    <row r="492" spans="11:13" ht="18" customHeight="1">
      <c r="K492" s="171" t="s">
        <v>702</v>
      </c>
      <c r="L492" s="171"/>
      <c r="M492" s="171"/>
    </row>
    <row r="493" spans="11:13" ht="18" customHeight="1">
      <c r="K493" s="171" t="s">
        <v>702</v>
      </c>
      <c r="L493" s="171"/>
      <c r="M493" s="171"/>
    </row>
    <row r="494" spans="11:13" ht="18" customHeight="1">
      <c r="K494" s="171" t="s">
        <v>702</v>
      </c>
      <c r="L494" s="171"/>
      <c r="M494" s="171"/>
    </row>
    <row r="495" spans="11:13" ht="18" customHeight="1">
      <c r="K495" s="171" t="s">
        <v>702</v>
      </c>
      <c r="L495" s="171"/>
      <c r="M495" s="171"/>
    </row>
    <row r="496" spans="11:13" ht="18" customHeight="1">
      <c r="K496" s="171" t="s">
        <v>702</v>
      </c>
      <c r="L496" s="171"/>
      <c r="M496" s="171"/>
    </row>
    <row r="497" spans="11:13" ht="18" customHeight="1">
      <c r="K497" s="171" t="s">
        <v>702</v>
      </c>
      <c r="L497" s="171"/>
      <c r="M497" s="171"/>
    </row>
    <row r="498" spans="11:13" ht="18" customHeight="1">
      <c r="K498" s="171" t="s">
        <v>702</v>
      </c>
      <c r="L498" s="171"/>
      <c r="M498" s="171"/>
    </row>
    <row r="499" spans="11:13" ht="18" customHeight="1">
      <c r="K499" s="171" t="s">
        <v>702</v>
      </c>
      <c r="L499" s="171"/>
      <c r="M499" s="171"/>
    </row>
    <row r="500" spans="11:13" ht="18" customHeight="1">
      <c r="K500" s="171" t="s">
        <v>702</v>
      </c>
      <c r="L500" s="171"/>
      <c r="M500" s="171"/>
    </row>
    <row r="501" spans="11:13" ht="18" customHeight="1">
      <c r="K501" s="171" t="s">
        <v>702</v>
      </c>
      <c r="L501" s="171"/>
      <c r="M501" s="171"/>
    </row>
    <row r="502" spans="11:13" ht="18" customHeight="1">
      <c r="K502" s="171" t="s">
        <v>702</v>
      </c>
      <c r="L502" s="171"/>
      <c r="M502" s="171"/>
    </row>
    <row r="503" spans="11:13" ht="18" customHeight="1">
      <c r="K503" s="171" t="s">
        <v>702</v>
      </c>
      <c r="L503" s="171"/>
      <c r="M503" s="171"/>
    </row>
    <row r="504" spans="11:13" ht="18" customHeight="1">
      <c r="K504" s="171" t="s">
        <v>702</v>
      </c>
      <c r="L504" s="171"/>
      <c r="M504" s="171"/>
    </row>
    <row r="505" spans="11:13" ht="18" customHeight="1">
      <c r="K505" s="171" t="s">
        <v>702</v>
      </c>
      <c r="L505" s="171"/>
      <c r="M505" s="171"/>
    </row>
    <row r="506" spans="11:13" ht="18" customHeight="1">
      <c r="K506" s="171" t="s">
        <v>702</v>
      </c>
      <c r="L506" s="171"/>
      <c r="M506" s="171"/>
    </row>
    <row r="507" spans="11:13" ht="18" customHeight="1">
      <c r="K507" s="171" t="s">
        <v>702</v>
      </c>
      <c r="L507" s="171"/>
      <c r="M507" s="171"/>
    </row>
    <row r="508" spans="11:13" ht="18" customHeight="1">
      <c r="K508" s="171" t="s">
        <v>702</v>
      </c>
      <c r="L508" s="171"/>
      <c r="M508" s="171"/>
    </row>
    <row r="509" spans="11:13" ht="18" customHeight="1">
      <c r="K509" s="171" t="s">
        <v>702</v>
      </c>
      <c r="L509" s="171"/>
      <c r="M509" s="171"/>
    </row>
    <row r="510" spans="11:13" ht="18" customHeight="1">
      <c r="K510" s="171" t="s">
        <v>702</v>
      </c>
      <c r="L510" s="171"/>
      <c r="M510" s="171"/>
    </row>
    <row r="511" spans="11:13" ht="18" customHeight="1">
      <c r="K511" s="171" t="s">
        <v>702</v>
      </c>
      <c r="L511" s="171"/>
      <c r="M511" s="171"/>
    </row>
    <row r="512" spans="11:13" ht="18" customHeight="1">
      <c r="K512" s="171" t="s">
        <v>702</v>
      </c>
      <c r="L512" s="171"/>
      <c r="M512" s="171"/>
    </row>
    <row r="513" spans="11:13" ht="18" customHeight="1">
      <c r="K513" s="171" t="s">
        <v>702</v>
      </c>
      <c r="L513" s="171"/>
      <c r="M513" s="171"/>
    </row>
    <row r="514" spans="11:13" ht="18" customHeight="1">
      <c r="K514" s="171" t="s">
        <v>702</v>
      </c>
      <c r="L514" s="171"/>
      <c r="M514" s="171"/>
    </row>
    <row r="515" spans="11:13" ht="18" customHeight="1">
      <c r="K515" s="171" t="s">
        <v>702</v>
      </c>
      <c r="L515" s="171"/>
      <c r="M515" s="171"/>
    </row>
    <row r="516" spans="11:13" ht="18" customHeight="1">
      <c r="K516" s="171" t="s">
        <v>702</v>
      </c>
      <c r="L516" s="171"/>
      <c r="M516" s="171"/>
    </row>
    <row r="517" spans="11:13" ht="18" customHeight="1">
      <c r="K517" s="171" t="s">
        <v>702</v>
      </c>
      <c r="L517" s="171"/>
      <c r="M517" s="171"/>
    </row>
    <row r="518" spans="11:13" ht="18" customHeight="1">
      <c r="K518" s="171" t="s">
        <v>702</v>
      </c>
      <c r="L518" s="171"/>
      <c r="M518" s="171"/>
    </row>
    <row r="519" spans="11:13" ht="18" customHeight="1">
      <c r="K519" s="171" t="s">
        <v>702</v>
      </c>
      <c r="L519" s="171"/>
      <c r="M519" s="171"/>
    </row>
    <row r="520" spans="11:13" ht="18" customHeight="1">
      <c r="K520" s="171" t="s">
        <v>702</v>
      </c>
      <c r="L520" s="171"/>
      <c r="M520" s="171"/>
    </row>
    <row r="521" spans="11:13" ht="18" customHeight="1">
      <c r="K521" s="171" t="s">
        <v>702</v>
      </c>
      <c r="L521" s="171"/>
      <c r="M521" s="171"/>
    </row>
    <row r="522" spans="11:13" ht="18" customHeight="1">
      <c r="K522" s="171" t="s">
        <v>702</v>
      </c>
      <c r="L522" s="171"/>
      <c r="M522" s="171"/>
    </row>
    <row r="523" spans="11:13" ht="18" customHeight="1">
      <c r="K523" s="171" t="s">
        <v>702</v>
      </c>
      <c r="L523" s="171"/>
      <c r="M523" s="171"/>
    </row>
    <row r="524" spans="11:13" ht="18" customHeight="1">
      <c r="K524" s="171" t="s">
        <v>702</v>
      </c>
      <c r="L524" s="171"/>
      <c r="M524" s="171"/>
    </row>
    <row r="525" spans="11:13" ht="18" customHeight="1">
      <c r="K525" s="171" t="s">
        <v>702</v>
      </c>
      <c r="L525" s="171"/>
      <c r="M525" s="171"/>
    </row>
    <row r="526" spans="11:13" ht="18" customHeight="1">
      <c r="K526" s="171" t="s">
        <v>702</v>
      </c>
      <c r="L526" s="171"/>
      <c r="M526" s="171"/>
    </row>
    <row r="527" spans="11:13" ht="18" customHeight="1">
      <c r="K527" s="171" t="s">
        <v>702</v>
      </c>
      <c r="L527" s="171"/>
      <c r="M527" s="171"/>
    </row>
    <row r="528" spans="11:13" ht="18" customHeight="1">
      <c r="K528" s="171" t="s">
        <v>702</v>
      </c>
      <c r="L528" s="171"/>
      <c r="M528" s="171"/>
    </row>
    <row r="529" spans="11:13" ht="18" customHeight="1">
      <c r="K529" s="171" t="s">
        <v>702</v>
      </c>
      <c r="L529" s="171"/>
      <c r="M529" s="171"/>
    </row>
    <row r="530" spans="11:13" ht="18" customHeight="1">
      <c r="K530" s="171" t="s">
        <v>702</v>
      </c>
      <c r="L530" s="171"/>
      <c r="M530" s="171"/>
    </row>
    <row r="531" spans="11:13" ht="18" customHeight="1">
      <c r="K531" s="171" t="s">
        <v>702</v>
      </c>
      <c r="L531" s="171"/>
      <c r="M531" s="171"/>
    </row>
    <row r="532" spans="11:13" ht="18" customHeight="1">
      <c r="K532" s="171" t="s">
        <v>702</v>
      </c>
      <c r="L532" s="171"/>
      <c r="M532" s="171"/>
    </row>
    <row r="533" spans="11:13" ht="18" customHeight="1">
      <c r="K533" s="171" t="s">
        <v>702</v>
      </c>
      <c r="L533" s="171"/>
      <c r="M533" s="171"/>
    </row>
    <row r="534" spans="11:13" ht="18" customHeight="1">
      <c r="K534" s="171" t="s">
        <v>702</v>
      </c>
      <c r="L534" s="171"/>
      <c r="M534" s="171"/>
    </row>
    <row r="535" spans="11:13" ht="18" customHeight="1">
      <c r="K535" s="171" t="s">
        <v>702</v>
      </c>
      <c r="L535" s="171"/>
      <c r="M535" s="171"/>
    </row>
    <row r="536" spans="11:13" ht="18" customHeight="1">
      <c r="K536" s="171" t="s">
        <v>702</v>
      </c>
      <c r="L536" s="171"/>
      <c r="M536" s="171"/>
    </row>
    <row r="537" spans="11:13" ht="18" customHeight="1">
      <c r="K537" s="171" t="s">
        <v>702</v>
      </c>
      <c r="L537" s="171"/>
      <c r="M537" s="171"/>
    </row>
    <row r="538" spans="11:13" ht="18" customHeight="1">
      <c r="K538" s="171" t="s">
        <v>702</v>
      </c>
      <c r="L538" s="171"/>
      <c r="M538" s="171"/>
    </row>
    <row r="539" spans="11:13" ht="18" customHeight="1">
      <c r="K539" s="171" t="s">
        <v>702</v>
      </c>
      <c r="L539" s="171"/>
      <c r="M539" s="171"/>
    </row>
    <row r="540" spans="11:13" ht="18" customHeight="1">
      <c r="K540" s="171" t="s">
        <v>702</v>
      </c>
      <c r="L540" s="171"/>
      <c r="M540" s="171"/>
    </row>
    <row r="541" spans="11:13" ht="18" customHeight="1">
      <c r="K541" s="171" t="s">
        <v>702</v>
      </c>
      <c r="L541" s="171"/>
      <c r="M541" s="171"/>
    </row>
    <row r="542" spans="11:13" ht="18" customHeight="1">
      <c r="K542" s="171" t="s">
        <v>702</v>
      </c>
      <c r="L542" s="171"/>
      <c r="M542" s="171"/>
    </row>
    <row r="543" spans="11:13" ht="18" customHeight="1">
      <c r="K543" s="171" t="s">
        <v>702</v>
      </c>
      <c r="L543" s="171"/>
      <c r="M543" s="171"/>
    </row>
    <row r="544" spans="11:13" ht="18" customHeight="1">
      <c r="K544" s="171" t="s">
        <v>702</v>
      </c>
      <c r="L544" s="171"/>
      <c r="M544" s="171"/>
    </row>
    <row r="545" spans="11:13" ht="18" customHeight="1">
      <c r="K545" s="171" t="s">
        <v>702</v>
      </c>
      <c r="L545" s="171"/>
      <c r="M545" s="171"/>
    </row>
    <row r="546" spans="11:13" ht="18" customHeight="1">
      <c r="K546" s="171" t="s">
        <v>702</v>
      </c>
      <c r="L546" s="171"/>
      <c r="M546" s="171"/>
    </row>
    <row r="547" spans="11:13" ht="18" customHeight="1">
      <c r="K547" s="171" t="s">
        <v>702</v>
      </c>
      <c r="L547" s="171"/>
      <c r="M547" s="171"/>
    </row>
    <row r="548" spans="11:13" ht="18" customHeight="1">
      <c r="K548" s="171" t="s">
        <v>702</v>
      </c>
      <c r="L548" s="171"/>
      <c r="M548" s="171"/>
    </row>
    <row r="549" spans="11:13" ht="18" customHeight="1">
      <c r="K549" s="171" t="s">
        <v>702</v>
      </c>
      <c r="L549" s="171"/>
      <c r="M549" s="171"/>
    </row>
    <row r="550" spans="11:13" ht="18" customHeight="1">
      <c r="K550" s="171" t="s">
        <v>702</v>
      </c>
      <c r="L550" s="171"/>
      <c r="M550" s="171"/>
    </row>
    <row r="551" spans="11:13" ht="18" customHeight="1">
      <c r="K551" s="171" t="s">
        <v>702</v>
      </c>
      <c r="L551" s="171"/>
      <c r="M551" s="171"/>
    </row>
    <row r="552" spans="11:13" ht="18" customHeight="1">
      <c r="K552" s="171" t="s">
        <v>702</v>
      </c>
      <c r="L552" s="171"/>
      <c r="M552" s="171"/>
    </row>
    <row r="553" spans="11:13" ht="18" customHeight="1">
      <c r="K553" s="171" t="s">
        <v>702</v>
      </c>
      <c r="L553" s="171"/>
      <c r="M553" s="171"/>
    </row>
    <row r="554" spans="11:13" ht="18" customHeight="1">
      <c r="K554" s="171" t="s">
        <v>702</v>
      </c>
      <c r="L554" s="171"/>
      <c r="M554" s="171"/>
    </row>
    <row r="555" spans="11:13" ht="18" customHeight="1">
      <c r="K555" s="171" t="s">
        <v>702</v>
      </c>
      <c r="L555" s="171"/>
      <c r="M555" s="171"/>
    </row>
    <row r="556" spans="11:13" ht="18" customHeight="1">
      <c r="K556" s="171" t="s">
        <v>702</v>
      </c>
      <c r="L556" s="171"/>
      <c r="M556" s="171"/>
    </row>
    <row r="557" spans="11:13" ht="18" customHeight="1">
      <c r="K557" s="171" t="s">
        <v>702</v>
      </c>
      <c r="L557" s="171"/>
      <c r="M557" s="171"/>
    </row>
    <row r="558" spans="11:13" ht="18" customHeight="1">
      <c r="K558" s="171" t="s">
        <v>702</v>
      </c>
      <c r="L558" s="171"/>
      <c r="M558" s="171"/>
    </row>
    <row r="559" spans="11:13" ht="18" customHeight="1">
      <c r="K559" s="171" t="s">
        <v>702</v>
      </c>
      <c r="L559" s="171"/>
      <c r="M559" s="171"/>
    </row>
    <row r="560" spans="11:13" ht="18" customHeight="1">
      <c r="K560" s="171" t="s">
        <v>702</v>
      </c>
      <c r="L560" s="171"/>
      <c r="M560" s="171"/>
    </row>
    <row r="561" spans="11:13" ht="18" customHeight="1">
      <c r="K561" s="171" t="s">
        <v>702</v>
      </c>
      <c r="L561" s="171"/>
      <c r="M561" s="171"/>
    </row>
    <row r="562" spans="11:13" ht="18" customHeight="1">
      <c r="K562" s="171" t="s">
        <v>702</v>
      </c>
      <c r="L562" s="171"/>
      <c r="M562" s="171"/>
    </row>
    <row r="563" spans="11:13" ht="18" customHeight="1">
      <c r="K563" s="171" t="s">
        <v>702</v>
      </c>
      <c r="L563" s="171"/>
      <c r="M563" s="171"/>
    </row>
    <row r="564" spans="11:13" ht="18" customHeight="1">
      <c r="K564" s="171" t="s">
        <v>702</v>
      </c>
      <c r="L564" s="171"/>
      <c r="M564" s="171"/>
    </row>
    <row r="565" spans="11:13" ht="18" customHeight="1">
      <c r="K565" s="171" t="s">
        <v>702</v>
      </c>
      <c r="L565" s="171"/>
      <c r="M565" s="171"/>
    </row>
    <row r="566" spans="11:13" ht="18" customHeight="1">
      <c r="K566" s="171" t="s">
        <v>702</v>
      </c>
      <c r="L566" s="171"/>
      <c r="M566" s="171"/>
    </row>
    <row r="567" spans="11:13" ht="18" customHeight="1">
      <c r="K567" s="171" t="s">
        <v>702</v>
      </c>
      <c r="L567" s="171"/>
      <c r="M567" s="171"/>
    </row>
    <row r="568" spans="11:13" ht="18" customHeight="1">
      <c r="K568" s="171" t="s">
        <v>702</v>
      </c>
      <c r="L568" s="171"/>
      <c r="M568" s="171"/>
    </row>
    <row r="569" spans="11:13" ht="18" customHeight="1">
      <c r="K569" s="171" t="s">
        <v>702</v>
      </c>
      <c r="L569" s="171"/>
      <c r="M569" s="171"/>
    </row>
    <row r="570" spans="11:13" ht="18" customHeight="1">
      <c r="K570" s="171" t="s">
        <v>702</v>
      </c>
      <c r="L570" s="171"/>
      <c r="M570" s="171"/>
    </row>
    <row r="571" spans="11:13" ht="18" customHeight="1">
      <c r="K571" s="171" t="s">
        <v>702</v>
      </c>
      <c r="L571" s="171"/>
      <c r="M571" s="171"/>
    </row>
    <row r="572" spans="11:13" ht="18" customHeight="1">
      <c r="K572" s="171" t="s">
        <v>702</v>
      </c>
      <c r="L572" s="171"/>
      <c r="M572" s="171"/>
    </row>
    <row r="573" spans="11:13" ht="18" customHeight="1">
      <c r="K573" s="171" t="s">
        <v>702</v>
      </c>
      <c r="L573" s="171"/>
      <c r="M573" s="171"/>
    </row>
    <row r="574" spans="11:13" ht="18" customHeight="1">
      <c r="K574" s="171" t="s">
        <v>702</v>
      </c>
      <c r="L574" s="171"/>
      <c r="M574" s="171"/>
    </row>
    <row r="575" spans="11:13" ht="18" customHeight="1">
      <c r="K575" s="171" t="s">
        <v>702</v>
      </c>
      <c r="L575" s="171"/>
      <c r="M575" s="171"/>
    </row>
    <row r="576" spans="11:13" ht="18" customHeight="1">
      <c r="K576" s="171" t="s">
        <v>702</v>
      </c>
      <c r="L576" s="171"/>
      <c r="M576" s="171"/>
    </row>
    <row r="577" spans="11:13" ht="18" customHeight="1">
      <c r="K577" s="171" t="s">
        <v>702</v>
      </c>
      <c r="L577" s="171"/>
      <c r="M577" s="171"/>
    </row>
    <row r="578" spans="11:13" ht="18" customHeight="1">
      <c r="K578" s="171" t="s">
        <v>702</v>
      </c>
      <c r="L578" s="171"/>
      <c r="M578" s="171"/>
    </row>
    <row r="579" spans="11:13" ht="18" customHeight="1">
      <c r="K579" s="171" t="s">
        <v>702</v>
      </c>
      <c r="L579" s="171"/>
      <c r="M579" s="171"/>
    </row>
    <row r="580" spans="11:13" ht="18" customHeight="1">
      <c r="K580" s="171" t="s">
        <v>702</v>
      </c>
      <c r="L580" s="171"/>
      <c r="M580" s="171"/>
    </row>
    <row r="581" spans="11:13" ht="18" customHeight="1">
      <c r="K581" s="171" t="s">
        <v>702</v>
      </c>
      <c r="L581" s="171"/>
      <c r="M581" s="171"/>
    </row>
    <row r="582" spans="11:13" ht="18" customHeight="1">
      <c r="K582" s="171" t="s">
        <v>702</v>
      </c>
      <c r="L582" s="171"/>
      <c r="M582" s="171"/>
    </row>
    <row r="583" spans="11:13" ht="18" customHeight="1">
      <c r="K583" s="171" t="s">
        <v>702</v>
      </c>
      <c r="L583" s="171"/>
      <c r="M583" s="171"/>
    </row>
    <row r="584" spans="11:13" ht="18" customHeight="1">
      <c r="K584" s="171" t="s">
        <v>702</v>
      </c>
      <c r="L584" s="171"/>
      <c r="M584" s="171"/>
    </row>
    <row r="585" spans="11:13" ht="18" customHeight="1">
      <c r="K585" s="171" t="s">
        <v>702</v>
      </c>
      <c r="L585" s="171"/>
      <c r="M585" s="171"/>
    </row>
    <row r="586" spans="11:13" ht="18" customHeight="1">
      <c r="K586" s="171" t="s">
        <v>702</v>
      </c>
      <c r="L586" s="171"/>
      <c r="M586" s="171"/>
    </row>
    <row r="587" spans="11:13" ht="18" customHeight="1">
      <c r="K587" s="171" t="s">
        <v>702</v>
      </c>
      <c r="L587" s="171"/>
      <c r="M587" s="171"/>
    </row>
    <row r="588" spans="11:13" ht="18" customHeight="1">
      <c r="K588" s="171" t="s">
        <v>702</v>
      </c>
      <c r="L588" s="171"/>
      <c r="M588" s="171"/>
    </row>
    <row r="589" spans="11:13" ht="18" customHeight="1">
      <c r="K589" s="171" t="s">
        <v>702</v>
      </c>
      <c r="L589" s="171"/>
      <c r="M589" s="171"/>
    </row>
    <row r="590" spans="11:13" ht="18" customHeight="1">
      <c r="K590" s="171" t="s">
        <v>702</v>
      </c>
      <c r="L590" s="171"/>
      <c r="M590" s="171"/>
    </row>
    <row r="591" spans="11:13" ht="18" customHeight="1">
      <c r="K591" s="171" t="s">
        <v>702</v>
      </c>
      <c r="L591" s="171"/>
      <c r="M591" s="171"/>
    </row>
    <row r="592" spans="11:13" ht="18" customHeight="1">
      <c r="K592" s="171" t="s">
        <v>702</v>
      </c>
      <c r="L592" s="171"/>
      <c r="M592" s="171"/>
    </row>
    <row r="593" spans="11:13" ht="18" customHeight="1">
      <c r="K593" s="171" t="s">
        <v>702</v>
      </c>
      <c r="L593" s="171"/>
      <c r="M593" s="171"/>
    </row>
    <row r="594" spans="11:13" ht="18" customHeight="1">
      <c r="K594" s="171" t="s">
        <v>702</v>
      </c>
      <c r="L594" s="171"/>
      <c r="M594" s="171"/>
    </row>
    <row r="595" spans="11:13" ht="18" customHeight="1">
      <c r="K595" s="171" t="s">
        <v>702</v>
      </c>
      <c r="L595" s="171"/>
      <c r="M595" s="171"/>
    </row>
    <row r="596" spans="11:13" ht="18" customHeight="1">
      <c r="K596" s="171" t="s">
        <v>702</v>
      </c>
      <c r="L596" s="171"/>
      <c r="M596" s="171"/>
    </row>
    <row r="597" spans="11:13" ht="18" customHeight="1">
      <c r="K597" s="171" t="s">
        <v>702</v>
      </c>
      <c r="L597" s="171"/>
      <c r="M597" s="171"/>
    </row>
    <row r="598" spans="11:13" ht="18" customHeight="1">
      <c r="K598" s="171" t="s">
        <v>702</v>
      </c>
      <c r="L598" s="171"/>
      <c r="M598" s="171"/>
    </row>
    <row r="599" spans="11:13" ht="18" customHeight="1">
      <c r="K599" s="171" t="s">
        <v>702</v>
      </c>
      <c r="L599" s="171"/>
    </row>
    <row r="600" spans="11:13" ht="18" customHeight="1">
      <c r="K600" s="171" t="s">
        <v>702</v>
      </c>
      <c r="L600" s="171"/>
    </row>
    <row r="601" spans="11:13" ht="18" customHeight="1">
      <c r="K601" s="171" t="s">
        <v>702</v>
      </c>
      <c r="L601" s="171"/>
    </row>
    <row r="602" spans="11:13" ht="18" customHeight="1">
      <c r="K602" s="171" t="s">
        <v>702</v>
      </c>
      <c r="L602" s="171"/>
    </row>
    <row r="603" spans="11:13" ht="18" customHeight="1">
      <c r="K603" s="171" t="s">
        <v>702</v>
      </c>
      <c r="L603" s="171"/>
    </row>
    <row r="604" spans="11:13" ht="18" customHeight="1">
      <c r="K604" s="171" t="s">
        <v>702</v>
      </c>
      <c r="L604" s="171"/>
    </row>
    <row r="605" spans="11:13" ht="18" customHeight="1">
      <c r="K605" s="171" t="s">
        <v>702</v>
      </c>
      <c r="L605" s="171"/>
    </row>
    <row r="606" spans="11:13" ht="18" customHeight="1">
      <c r="K606" s="171" t="s">
        <v>702</v>
      </c>
      <c r="L606" s="171"/>
    </row>
    <row r="607" spans="11:13" ht="18" customHeight="1">
      <c r="K607" s="171" t="s">
        <v>702</v>
      </c>
      <c r="L607" s="171"/>
    </row>
    <row r="608" spans="11:13" ht="18" customHeight="1">
      <c r="K608" s="171" t="s">
        <v>702</v>
      </c>
      <c r="L608" s="171"/>
    </row>
    <row r="609" spans="11:12" ht="18" customHeight="1">
      <c r="K609" s="171" t="s">
        <v>702</v>
      </c>
      <c r="L609" s="171"/>
    </row>
    <row r="610" spans="11:12" ht="18" customHeight="1">
      <c r="K610" s="171" t="s">
        <v>702</v>
      </c>
      <c r="L610" s="171"/>
    </row>
    <row r="611" spans="11:12" ht="18" customHeight="1">
      <c r="K611" s="171" t="s">
        <v>702</v>
      </c>
      <c r="L611" s="171"/>
    </row>
    <row r="612" spans="11:12" ht="18" customHeight="1">
      <c r="K612" s="171" t="s">
        <v>702</v>
      </c>
      <c r="L612" s="171"/>
    </row>
    <row r="613" spans="11:12" ht="18" customHeight="1">
      <c r="K613" s="171" t="s">
        <v>702</v>
      </c>
      <c r="L613" s="171"/>
    </row>
    <row r="614" spans="11:12" ht="18" customHeight="1">
      <c r="K614" s="171" t="s">
        <v>702</v>
      </c>
      <c r="L614" s="171"/>
    </row>
    <row r="615" spans="11:12" ht="18" customHeight="1">
      <c r="K615" s="171" t="s">
        <v>702</v>
      </c>
      <c r="L615" s="171"/>
    </row>
    <row r="616" spans="11:12" ht="18" customHeight="1">
      <c r="K616" s="171" t="s">
        <v>702</v>
      </c>
      <c r="L616" s="171"/>
    </row>
    <row r="617" spans="11:12" ht="18" customHeight="1">
      <c r="K617" s="171" t="s">
        <v>702</v>
      </c>
      <c r="L617" s="171"/>
    </row>
    <row r="618" spans="11:12" ht="18" customHeight="1">
      <c r="K618" s="171" t="s">
        <v>702</v>
      </c>
      <c r="L618" s="171"/>
    </row>
    <row r="619" spans="11:12" ht="18" customHeight="1">
      <c r="K619" s="171" t="s">
        <v>702</v>
      </c>
      <c r="L619" s="171"/>
    </row>
    <row r="620" spans="11:12" ht="18" customHeight="1">
      <c r="K620" s="171" t="s">
        <v>702</v>
      </c>
      <c r="L620" s="171"/>
    </row>
    <row r="621" spans="11:12" ht="18" customHeight="1">
      <c r="K621" s="171" t="s">
        <v>702</v>
      </c>
      <c r="L621" s="171"/>
    </row>
    <row r="622" spans="11:12" ht="18" customHeight="1">
      <c r="K622" s="171" t="s">
        <v>702</v>
      </c>
      <c r="L622" s="171"/>
    </row>
    <row r="623" spans="11:12" ht="18" customHeight="1">
      <c r="K623" s="171" t="s">
        <v>702</v>
      </c>
      <c r="L623" s="171"/>
    </row>
    <row r="624" spans="11:12" ht="18" customHeight="1">
      <c r="K624" s="171" t="s">
        <v>702</v>
      </c>
      <c r="L624" s="171"/>
    </row>
    <row r="625" spans="11:12" ht="18" customHeight="1">
      <c r="K625" s="171" t="s">
        <v>702</v>
      </c>
      <c r="L625" s="171"/>
    </row>
    <row r="626" spans="11:12" ht="18" customHeight="1">
      <c r="K626" s="171" t="s">
        <v>702</v>
      </c>
      <c r="L626" s="171"/>
    </row>
    <row r="627" spans="11:12" ht="18" customHeight="1">
      <c r="K627" s="171" t="s">
        <v>702</v>
      </c>
      <c r="L627" s="171"/>
    </row>
    <row r="628" spans="11:12" ht="18" customHeight="1">
      <c r="K628" s="171" t="s">
        <v>702</v>
      </c>
      <c r="L628" s="171"/>
    </row>
    <row r="629" spans="11:12" ht="18" customHeight="1">
      <c r="K629" s="171" t="s">
        <v>702</v>
      </c>
      <c r="L629" s="171"/>
    </row>
    <row r="630" spans="11:12" ht="18" customHeight="1">
      <c r="K630" s="171" t="s">
        <v>702</v>
      </c>
      <c r="L630" s="171"/>
    </row>
    <row r="631" spans="11:12" ht="18" customHeight="1">
      <c r="K631" s="171" t="s">
        <v>702</v>
      </c>
      <c r="L631" s="171"/>
    </row>
    <row r="632" spans="11:12" ht="18" customHeight="1">
      <c r="K632" s="171" t="s">
        <v>702</v>
      </c>
      <c r="L632" s="171"/>
    </row>
    <row r="633" spans="11:12" ht="18" customHeight="1">
      <c r="K633" s="171" t="s">
        <v>702</v>
      </c>
      <c r="L633" s="171"/>
    </row>
    <row r="634" spans="11:12" ht="18" customHeight="1">
      <c r="K634" s="171" t="s">
        <v>702</v>
      </c>
      <c r="L634" s="171"/>
    </row>
    <row r="635" spans="11:12" ht="18" customHeight="1">
      <c r="K635" s="171" t="s">
        <v>702</v>
      </c>
      <c r="L635" s="171"/>
    </row>
    <row r="636" spans="11:12" ht="18" customHeight="1">
      <c r="K636" s="171" t="s">
        <v>702</v>
      </c>
      <c r="L636" s="171"/>
    </row>
    <row r="637" spans="11:12" ht="18" customHeight="1">
      <c r="K637" s="171" t="s">
        <v>702</v>
      </c>
      <c r="L637" s="171"/>
    </row>
    <row r="638" spans="11:12" ht="18" customHeight="1">
      <c r="K638" s="171" t="s">
        <v>702</v>
      </c>
      <c r="L638" s="171"/>
    </row>
    <row r="639" spans="11:12" ht="18" customHeight="1">
      <c r="K639" s="171" t="s">
        <v>702</v>
      </c>
      <c r="L639" s="171"/>
    </row>
    <row r="640" spans="11:12" ht="18" customHeight="1">
      <c r="K640" s="171" t="s">
        <v>702</v>
      </c>
      <c r="L640" s="171"/>
    </row>
    <row r="641" spans="11:12" ht="18" customHeight="1">
      <c r="K641" s="171" t="s">
        <v>702</v>
      </c>
      <c r="L641" s="171"/>
    </row>
    <row r="642" spans="11:12" ht="18" customHeight="1">
      <c r="K642" s="171" t="s">
        <v>702</v>
      </c>
      <c r="L642" s="171"/>
    </row>
    <row r="643" spans="11:12" ht="18" customHeight="1">
      <c r="K643" s="171" t="s">
        <v>702</v>
      </c>
      <c r="L643" s="171"/>
    </row>
    <row r="644" spans="11:12" ht="18" customHeight="1">
      <c r="K644" s="171" t="s">
        <v>702</v>
      </c>
      <c r="L644" s="171"/>
    </row>
    <row r="645" spans="11:12" ht="18" customHeight="1">
      <c r="K645" s="171" t="s">
        <v>702</v>
      </c>
      <c r="L645" s="171"/>
    </row>
    <row r="646" spans="11:12" ht="18" customHeight="1">
      <c r="K646" s="171" t="s">
        <v>702</v>
      </c>
      <c r="L646" s="171"/>
    </row>
    <row r="647" spans="11:12" ht="18" customHeight="1">
      <c r="K647" s="171" t="s">
        <v>702</v>
      </c>
      <c r="L647" s="171"/>
    </row>
    <row r="648" spans="11:12" ht="18" customHeight="1">
      <c r="K648" s="171" t="s">
        <v>702</v>
      </c>
      <c r="L648" s="171"/>
    </row>
    <row r="649" spans="11:12" ht="18" customHeight="1">
      <c r="K649" s="171" t="s">
        <v>702</v>
      </c>
      <c r="L649" s="171"/>
    </row>
    <row r="650" spans="11:12" ht="18" customHeight="1">
      <c r="K650" s="171" t="s">
        <v>702</v>
      </c>
      <c r="L650" s="171"/>
    </row>
    <row r="651" spans="11:12" ht="18" customHeight="1">
      <c r="K651" s="171" t="s">
        <v>702</v>
      </c>
      <c r="L651" s="171"/>
    </row>
    <row r="652" spans="11:12" ht="18" customHeight="1">
      <c r="K652" s="171" t="s">
        <v>702</v>
      </c>
      <c r="L652" s="171"/>
    </row>
    <row r="653" spans="11:12" ht="18" customHeight="1">
      <c r="K653" s="171" t="s">
        <v>702</v>
      </c>
      <c r="L653" s="171"/>
    </row>
    <row r="654" spans="11:12" ht="18" customHeight="1">
      <c r="K654" s="171" t="s">
        <v>702</v>
      </c>
      <c r="L654" s="171"/>
    </row>
    <row r="655" spans="11:12" ht="18" customHeight="1">
      <c r="K655" s="171" t="s">
        <v>702</v>
      </c>
      <c r="L655" s="171"/>
    </row>
    <row r="656" spans="11:12" ht="18" customHeight="1">
      <c r="K656" s="171" t="s">
        <v>702</v>
      </c>
      <c r="L656" s="171"/>
    </row>
    <row r="657" spans="11:12" ht="18" customHeight="1">
      <c r="K657" s="171" t="s">
        <v>702</v>
      </c>
      <c r="L657" s="171"/>
    </row>
    <row r="658" spans="11:12" ht="18" customHeight="1">
      <c r="K658" s="171" t="s">
        <v>702</v>
      </c>
      <c r="L658" s="171"/>
    </row>
    <row r="659" spans="11:12" ht="18" customHeight="1">
      <c r="K659" s="171" t="s">
        <v>702</v>
      </c>
      <c r="L659" s="171"/>
    </row>
    <row r="660" spans="11:12" ht="18" customHeight="1">
      <c r="K660" s="171" t="s">
        <v>702</v>
      </c>
      <c r="L660" s="171"/>
    </row>
    <row r="661" spans="11:12" ht="18" customHeight="1">
      <c r="K661" s="171" t="s">
        <v>702</v>
      </c>
      <c r="L661" s="171"/>
    </row>
    <row r="662" spans="11:12" ht="18" customHeight="1">
      <c r="K662" s="171" t="s">
        <v>702</v>
      </c>
      <c r="L662" s="171"/>
    </row>
    <row r="663" spans="11:12" ht="18" customHeight="1">
      <c r="K663" s="171" t="s">
        <v>702</v>
      </c>
      <c r="L663" s="171"/>
    </row>
    <row r="664" spans="11:12" ht="18" customHeight="1">
      <c r="K664" s="171" t="s">
        <v>702</v>
      </c>
      <c r="L664" s="171"/>
    </row>
    <row r="665" spans="11:12" ht="18" customHeight="1">
      <c r="K665" s="171" t="s">
        <v>702</v>
      </c>
      <c r="L665" s="171"/>
    </row>
    <row r="666" spans="11:12" ht="18" customHeight="1">
      <c r="K666" s="171" t="s">
        <v>702</v>
      </c>
      <c r="L666" s="171"/>
    </row>
    <row r="667" spans="11:12" ht="18" customHeight="1">
      <c r="K667" s="171" t="s">
        <v>702</v>
      </c>
      <c r="L667" s="171"/>
    </row>
    <row r="668" spans="11:12" ht="18" customHeight="1">
      <c r="K668" s="171" t="s">
        <v>702</v>
      </c>
      <c r="L668" s="171"/>
    </row>
    <row r="669" spans="11:12" ht="18" customHeight="1">
      <c r="K669" s="171" t="s">
        <v>702</v>
      </c>
      <c r="L669" s="171"/>
    </row>
    <row r="670" spans="11:12" ht="18" customHeight="1">
      <c r="K670" s="171" t="s">
        <v>702</v>
      </c>
      <c r="L670" s="171"/>
    </row>
    <row r="671" spans="11:12" ht="18" customHeight="1">
      <c r="K671" s="171" t="s">
        <v>702</v>
      </c>
      <c r="L671" s="171"/>
    </row>
    <row r="672" spans="11:12" ht="18" customHeight="1">
      <c r="K672" s="171" t="s">
        <v>702</v>
      </c>
      <c r="L672" s="171"/>
    </row>
    <row r="673" spans="11:12" ht="18" customHeight="1">
      <c r="K673" s="171" t="s">
        <v>702</v>
      </c>
      <c r="L673" s="171"/>
    </row>
    <row r="674" spans="11:12" ht="18" customHeight="1">
      <c r="K674" s="171" t="s">
        <v>702</v>
      </c>
      <c r="L674" s="171"/>
    </row>
    <row r="675" spans="11:12" ht="18" customHeight="1">
      <c r="K675" s="171" t="s">
        <v>702</v>
      </c>
      <c r="L675" s="171"/>
    </row>
    <row r="676" spans="11:12" ht="18" customHeight="1">
      <c r="K676" s="171" t="s">
        <v>702</v>
      </c>
      <c r="L676" s="171"/>
    </row>
    <row r="677" spans="11:12" ht="18" customHeight="1">
      <c r="K677" s="171" t="s">
        <v>702</v>
      </c>
      <c r="L677" s="171"/>
    </row>
    <row r="678" spans="11:12" ht="18" customHeight="1">
      <c r="K678" s="171" t="s">
        <v>702</v>
      </c>
      <c r="L678" s="171"/>
    </row>
    <row r="679" spans="11:12" ht="18" customHeight="1">
      <c r="K679" s="171" t="s">
        <v>702</v>
      </c>
      <c r="L679" s="171"/>
    </row>
    <row r="680" spans="11:12" ht="18" customHeight="1">
      <c r="K680" s="171" t="s">
        <v>702</v>
      </c>
      <c r="L680" s="171"/>
    </row>
    <row r="681" spans="11:12" ht="18" customHeight="1">
      <c r="K681" s="171" t="s">
        <v>702</v>
      </c>
      <c r="L681" s="171"/>
    </row>
    <row r="682" spans="11:12" ht="18" customHeight="1">
      <c r="K682" s="171" t="s">
        <v>702</v>
      </c>
      <c r="L682" s="171"/>
    </row>
    <row r="683" spans="11:12" ht="18" customHeight="1">
      <c r="K683" s="171" t="s">
        <v>702</v>
      </c>
      <c r="L683" s="171"/>
    </row>
    <row r="684" spans="11:12" ht="18" customHeight="1">
      <c r="K684" s="171" t="s">
        <v>702</v>
      </c>
      <c r="L684" s="171"/>
    </row>
    <row r="685" spans="11:12" ht="18" customHeight="1">
      <c r="K685" s="171" t="s">
        <v>702</v>
      </c>
      <c r="L685" s="171"/>
    </row>
    <row r="686" spans="11:12" ht="18" customHeight="1">
      <c r="K686" s="171" t="s">
        <v>702</v>
      </c>
      <c r="L686" s="171"/>
    </row>
    <row r="687" spans="11:12" ht="18" customHeight="1">
      <c r="K687" s="171" t="s">
        <v>702</v>
      </c>
      <c r="L687" s="171"/>
    </row>
    <row r="688" spans="11:12" ht="18" customHeight="1">
      <c r="K688" s="171" t="s">
        <v>702</v>
      </c>
      <c r="L688" s="171"/>
    </row>
    <row r="689" spans="11:12" ht="18" customHeight="1">
      <c r="K689" s="171" t="s">
        <v>702</v>
      </c>
      <c r="L689" s="171"/>
    </row>
    <row r="690" spans="11:12" ht="18" customHeight="1">
      <c r="K690" s="171" t="s">
        <v>702</v>
      </c>
      <c r="L690" s="171"/>
    </row>
    <row r="691" spans="11:12" ht="18" customHeight="1">
      <c r="K691" s="171" t="s">
        <v>702</v>
      </c>
      <c r="L691" s="171"/>
    </row>
    <row r="692" spans="11:12" ht="18" customHeight="1">
      <c r="K692" s="171" t="s">
        <v>702</v>
      </c>
      <c r="L692" s="171"/>
    </row>
    <row r="693" spans="11:12" ht="18" customHeight="1">
      <c r="K693" s="171" t="s">
        <v>702</v>
      </c>
      <c r="L693" s="171"/>
    </row>
    <row r="694" spans="11:12" ht="18" customHeight="1">
      <c r="K694" s="171" t="s">
        <v>702</v>
      </c>
      <c r="L694" s="171"/>
    </row>
    <row r="695" spans="11:12" ht="18" customHeight="1">
      <c r="K695" s="171" t="s">
        <v>702</v>
      </c>
      <c r="L695" s="171"/>
    </row>
    <row r="696" spans="11:12" ht="18" customHeight="1">
      <c r="K696" s="171" t="s">
        <v>702</v>
      </c>
      <c r="L696" s="171"/>
    </row>
    <row r="697" spans="11:12" ht="18" customHeight="1">
      <c r="K697" s="171" t="s">
        <v>702</v>
      </c>
      <c r="L697" s="171"/>
    </row>
    <row r="698" spans="11:12" ht="18" customHeight="1">
      <c r="K698" s="171" t="s">
        <v>702</v>
      </c>
      <c r="L698" s="171"/>
    </row>
    <row r="699" spans="11:12" ht="18" customHeight="1">
      <c r="K699" s="171" t="s">
        <v>702</v>
      </c>
      <c r="L699" s="171"/>
    </row>
    <row r="700" spans="11:12" ht="18" customHeight="1">
      <c r="K700" s="171" t="s">
        <v>702</v>
      </c>
      <c r="L700" s="171"/>
    </row>
    <row r="701" spans="11:12" ht="18" customHeight="1">
      <c r="K701" s="171" t="s">
        <v>702</v>
      </c>
      <c r="L701" s="171"/>
    </row>
    <row r="702" spans="11:12" ht="18" customHeight="1">
      <c r="K702" s="171" t="s">
        <v>702</v>
      </c>
      <c r="L702" s="171"/>
    </row>
    <row r="703" spans="11:12" ht="18" customHeight="1">
      <c r="K703" s="171" t="s">
        <v>702</v>
      </c>
      <c r="L703" s="171"/>
    </row>
    <row r="704" spans="11:12" ht="18" customHeight="1">
      <c r="K704" s="171" t="s">
        <v>702</v>
      </c>
      <c r="L704" s="171"/>
    </row>
    <row r="705" spans="11:12" ht="18" customHeight="1">
      <c r="K705" s="171" t="s">
        <v>702</v>
      </c>
      <c r="L705" s="171"/>
    </row>
    <row r="706" spans="11:12" ht="18" customHeight="1">
      <c r="K706" s="171" t="s">
        <v>702</v>
      </c>
      <c r="L706" s="171"/>
    </row>
    <row r="707" spans="11:12" ht="18" customHeight="1">
      <c r="K707" s="171" t="s">
        <v>702</v>
      </c>
      <c r="L707" s="171"/>
    </row>
    <row r="708" spans="11:12" ht="18" customHeight="1">
      <c r="K708" s="171" t="s">
        <v>702</v>
      </c>
      <c r="L708" s="171"/>
    </row>
    <row r="709" spans="11:12" ht="18" customHeight="1">
      <c r="K709" s="171" t="s">
        <v>702</v>
      </c>
      <c r="L709" s="171"/>
    </row>
    <row r="710" spans="11:12" ht="18" customHeight="1">
      <c r="K710" s="171" t="s">
        <v>702</v>
      </c>
      <c r="L710" s="171"/>
    </row>
    <row r="711" spans="11:12" ht="18" customHeight="1">
      <c r="K711" s="171" t="s">
        <v>702</v>
      </c>
      <c r="L711" s="171"/>
    </row>
    <row r="712" spans="11:12" ht="18" customHeight="1">
      <c r="K712" s="171" t="s">
        <v>702</v>
      </c>
      <c r="L712" s="171"/>
    </row>
    <row r="713" spans="11:12" ht="18" customHeight="1">
      <c r="K713" s="171" t="s">
        <v>702</v>
      </c>
      <c r="L713" s="171"/>
    </row>
    <row r="714" spans="11:12" ht="18" customHeight="1">
      <c r="K714" s="171" t="s">
        <v>702</v>
      </c>
      <c r="L714" s="171"/>
    </row>
    <row r="715" spans="11:12" ht="18" customHeight="1">
      <c r="K715" s="171" t="s">
        <v>702</v>
      </c>
      <c r="L715" s="171"/>
    </row>
    <row r="716" spans="11:12" ht="18" customHeight="1">
      <c r="K716" s="171" t="s">
        <v>702</v>
      </c>
      <c r="L716" s="171"/>
    </row>
    <row r="717" spans="11:12" ht="18" customHeight="1">
      <c r="K717" s="171" t="s">
        <v>702</v>
      </c>
      <c r="L717" s="171"/>
    </row>
    <row r="718" spans="11:12" ht="18" customHeight="1">
      <c r="K718" s="171" t="s">
        <v>702</v>
      </c>
      <c r="L718" s="171"/>
    </row>
    <row r="719" spans="11:12" ht="18" customHeight="1">
      <c r="K719" s="171" t="s">
        <v>702</v>
      </c>
      <c r="L719" s="171"/>
    </row>
    <row r="720" spans="11:12" ht="18" customHeight="1">
      <c r="K720" s="171" t="s">
        <v>702</v>
      </c>
      <c r="L720" s="171"/>
    </row>
    <row r="721" spans="11:12" ht="18" customHeight="1">
      <c r="K721" s="171" t="s">
        <v>702</v>
      </c>
      <c r="L721" s="171"/>
    </row>
    <row r="722" spans="11:12" ht="18" customHeight="1">
      <c r="K722" s="171" t="s">
        <v>702</v>
      </c>
      <c r="L722" s="171"/>
    </row>
    <row r="723" spans="11:12" ht="18" customHeight="1">
      <c r="K723" s="171" t="s">
        <v>702</v>
      </c>
      <c r="L723" s="171"/>
    </row>
    <row r="724" spans="11:12" ht="18" customHeight="1">
      <c r="K724" s="171" t="s">
        <v>702</v>
      </c>
      <c r="L724" s="171"/>
    </row>
    <row r="725" spans="11:12" ht="18" customHeight="1">
      <c r="K725" s="171" t="s">
        <v>702</v>
      </c>
      <c r="L725" s="171"/>
    </row>
    <row r="726" spans="11:12" ht="18" customHeight="1">
      <c r="K726" s="171" t="s">
        <v>702</v>
      </c>
      <c r="L726" s="171"/>
    </row>
    <row r="727" spans="11:12" ht="18" customHeight="1">
      <c r="K727" s="171" t="s">
        <v>702</v>
      </c>
      <c r="L727" s="171"/>
    </row>
    <row r="728" spans="11:12" ht="18" customHeight="1">
      <c r="K728" s="171" t="s">
        <v>702</v>
      </c>
      <c r="L728" s="171"/>
    </row>
    <row r="729" spans="11:12" ht="18" customHeight="1">
      <c r="K729" s="171" t="s">
        <v>702</v>
      </c>
      <c r="L729" s="171"/>
    </row>
    <row r="730" spans="11:12" ht="18" customHeight="1">
      <c r="K730" s="171" t="s">
        <v>702</v>
      </c>
      <c r="L730" s="171"/>
    </row>
    <row r="731" spans="11:12" ht="18" customHeight="1">
      <c r="K731" s="171" t="s">
        <v>702</v>
      </c>
      <c r="L731" s="171"/>
    </row>
    <row r="732" spans="11:12" ht="18" customHeight="1">
      <c r="K732" s="171" t="s">
        <v>702</v>
      </c>
      <c r="L732" s="171"/>
    </row>
    <row r="733" spans="11:12" ht="18" customHeight="1">
      <c r="K733" s="171" t="s">
        <v>702</v>
      </c>
      <c r="L733" s="171"/>
    </row>
    <row r="734" spans="11:12" ht="18" customHeight="1">
      <c r="K734" s="171" t="s">
        <v>702</v>
      </c>
      <c r="L734" s="171"/>
    </row>
    <row r="735" spans="11:12" ht="18" customHeight="1">
      <c r="K735" s="171" t="s">
        <v>702</v>
      </c>
      <c r="L735" s="171"/>
    </row>
    <row r="736" spans="11:12" ht="18" customHeight="1">
      <c r="K736" s="171" t="s">
        <v>702</v>
      </c>
      <c r="L736" s="171"/>
    </row>
    <row r="737" spans="11:12" ht="18" customHeight="1">
      <c r="K737" s="171" t="s">
        <v>702</v>
      </c>
      <c r="L737" s="171"/>
    </row>
    <row r="738" spans="11:12" ht="18" customHeight="1">
      <c r="K738" s="171" t="s">
        <v>702</v>
      </c>
      <c r="L738" s="171"/>
    </row>
    <row r="739" spans="11:12" ht="18" customHeight="1">
      <c r="K739" s="171" t="s">
        <v>702</v>
      </c>
      <c r="L739" s="171"/>
    </row>
    <row r="740" spans="11:12" ht="18" customHeight="1">
      <c r="K740" s="171" t="s">
        <v>702</v>
      </c>
      <c r="L740" s="171"/>
    </row>
    <row r="741" spans="11:12" ht="18" customHeight="1">
      <c r="K741" s="171" t="s">
        <v>702</v>
      </c>
      <c r="L741" s="171"/>
    </row>
    <row r="742" spans="11:12" ht="18" customHeight="1">
      <c r="K742" s="171" t="s">
        <v>702</v>
      </c>
      <c r="L742" s="171"/>
    </row>
    <row r="743" spans="11:12" ht="18" customHeight="1">
      <c r="K743" s="171" t="s">
        <v>702</v>
      </c>
      <c r="L743" s="171"/>
    </row>
    <row r="744" spans="11:12" ht="18" customHeight="1">
      <c r="K744" s="171" t="s">
        <v>702</v>
      </c>
      <c r="L744" s="171"/>
    </row>
    <row r="745" spans="11:12" ht="18" customHeight="1">
      <c r="K745" s="171" t="s">
        <v>702</v>
      </c>
      <c r="L745" s="171"/>
    </row>
    <row r="746" spans="11:12" ht="18" customHeight="1">
      <c r="K746" s="171" t="s">
        <v>702</v>
      </c>
      <c r="L746" s="171"/>
    </row>
    <row r="747" spans="11:12" ht="18" customHeight="1">
      <c r="K747" s="171" t="s">
        <v>702</v>
      </c>
      <c r="L747" s="171"/>
    </row>
    <row r="748" spans="11:12" ht="18" customHeight="1">
      <c r="K748" s="171" t="s">
        <v>702</v>
      </c>
      <c r="L748" s="171"/>
    </row>
    <row r="749" spans="11:12" ht="18" customHeight="1">
      <c r="K749" s="171" t="s">
        <v>702</v>
      </c>
      <c r="L749" s="171"/>
    </row>
    <row r="750" spans="11:12" ht="18" customHeight="1">
      <c r="K750" s="171" t="s">
        <v>702</v>
      </c>
      <c r="L750" s="171"/>
    </row>
    <row r="751" spans="11:12" ht="18" customHeight="1">
      <c r="K751" s="171" t="s">
        <v>702</v>
      </c>
      <c r="L751" s="171"/>
    </row>
    <row r="752" spans="11:12" ht="18" customHeight="1">
      <c r="K752" s="171" t="s">
        <v>702</v>
      </c>
      <c r="L752" s="171"/>
    </row>
    <row r="753" spans="11:12" ht="18" customHeight="1">
      <c r="K753" s="171" t="s">
        <v>702</v>
      </c>
      <c r="L753" s="171"/>
    </row>
    <row r="754" spans="11:12" ht="18" customHeight="1">
      <c r="K754" s="171" t="s">
        <v>702</v>
      </c>
      <c r="L754" s="171"/>
    </row>
    <row r="755" spans="11:12" ht="18" customHeight="1">
      <c r="K755" s="171" t="s">
        <v>702</v>
      </c>
      <c r="L755" s="171"/>
    </row>
    <row r="756" spans="11:12" ht="18" customHeight="1">
      <c r="K756" s="171" t="s">
        <v>702</v>
      </c>
      <c r="L756" s="171"/>
    </row>
    <row r="757" spans="11:12" ht="18" customHeight="1">
      <c r="K757" s="171" t="s">
        <v>702</v>
      </c>
      <c r="L757" s="171"/>
    </row>
    <row r="758" spans="11:12" ht="18" customHeight="1">
      <c r="K758" s="171" t="s">
        <v>702</v>
      </c>
      <c r="L758" s="171"/>
    </row>
    <row r="759" spans="11:12" ht="18" customHeight="1">
      <c r="K759" s="171" t="s">
        <v>702</v>
      </c>
      <c r="L759" s="171"/>
    </row>
    <row r="760" spans="11:12" ht="18" customHeight="1">
      <c r="K760" s="171" t="s">
        <v>702</v>
      </c>
      <c r="L760" s="171"/>
    </row>
    <row r="761" spans="11:12" ht="18" customHeight="1">
      <c r="K761" s="171" t="s">
        <v>702</v>
      </c>
      <c r="L761" s="171"/>
    </row>
    <row r="762" spans="11:12" ht="18" customHeight="1">
      <c r="K762" s="171" t="s">
        <v>702</v>
      </c>
      <c r="L762" s="171"/>
    </row>
    <row r="763" spans="11:12" ht="18" customHeight="1">
      <c r="K763" s="171" t="s">
        <v>702</v>
      </c>
      <c r="L763" s="171"/>
    </row>
    <row r="764" spans="11:12" ht="18" customHeight="1">
      <c r="K764" s="171" t="s">
        <v>702</v>
      </c>
      <c r="L764" s="171"/>
    </row>
    <row r="765" spans="11:12" ht="18" customHeight="1">
      <c r="K765" s="171" t="s">
        <v>702</v>
      </c>
      <c r="L765" s="171"/>
    </row>
    <row r="766" spans="11:12" ht="18" customHeight="1">
      <c r="K766" s="171" t="s">
        <v>702</v>
      </c>
      <c r="L766" s="171"/>
    </row>
    <row r="767" spans="11:12" ht="18" customHeight="1">
      <c r="K767" s="171" t="s">
        <v>702</v>
      </c>
      <c r="L767" s="171"/>
    </row>
    <row r="768" spans="11:12" ht="18" customHeight="1">
      <c r="K768" s="171" t="s">
        <v>702</v>
      </c>
      <c r="L768" s="171"/>
    </row>
    <row r="769" spans="11:12" ht="18" customHeight="1">
      <c r="K769" s="171" t="s">
        <v>702</v>
      </c>
      <c r="L769" s="171"/>
    </row>
    <row r="770" spans="11:12" ht="18" customHeight="1">
      <c r="K770" s="171" t="s">
        <v>702</v>
      </c>
      <c r="L770" s="171"/>
    </row>
    <row r="771" spans="11:12" ht="18" customHeight="1">
      <c r="K771" s="171" t="s">
        <v>702</v>
      </c>
      <c r="L771" s="171"/>
    </row>
    <row r="772" spans="11:12" ht="18" customHeight="1">
      <c r="K772" s="171" t="s">
        <v>702</v>
      </c>
      <c r="L772" s="171"/>
    </row>
    <row r="773" spans="11:12" ht="18" customHeight="1">
      <c r="K773" s="171" t="s">
        <v>702</v>
      </c>
      <c r="L773" s="171"/>
    </row>
    <row r="774" spans="11:12" ht="18" customHeight="1">
      <c r="K774" s="171" t="s">
        <v>702</v>
      </c>
      <c r="L774" s="171"/>
    </row>
    <row r="775" spans="11:12" ht="18" customHeight="1">
      <c r="K775" s="171" t="s">
        <v>702</v>
      </c>
      <c r="L775" s="171"/>
    </row>
    <row r="776" spans="11:12" ht="18" customHeight="1">
      <c r="K776" s="171" t="s">
        <v>14</v>
      </c>
      <c r="L776" s="171"/>
    </row>
    <row r="777" spans="11:12" ht="18" customHeight="1">
      <c r="K777" s="171" t="s">
        <v>702</v>
      </c>
      <c r="L777" s="171"/>
    </row>
    <row r="778" spans="11:12" ht="18" customHeight="1">
      <c r="K778" s="171" t="s">
        <v>702</v>
      </c>
      <c r="L778" s="171"/>
    </row>
    <row r="779" spans="11:12" ht="18" customHeight="1">
      <c r="K779" s="171" t="s">
        <v>702</v>
      </c>
      <c r="L779" s="171"/>
    </row>
    <row r="780" spans="11:12" ht="18" customHeight="1">
      <c r="K780" s="171" t="s">
        <v>702</v>
      </c>
      <c r="L780" s="171"/>
    </row>
    <row r="781" spans="11:12" ht="18" customHeight="1">
      <c r="K781" s="171" t="s">
        <v>702</v>
      </c>
      <c r="L781" s="171"/>
    </row>
    <row r="782" spans="11:12" ht="18" customHeight="1">
      <c r="K782" s="171" t="s">
        <v>702</v>
      </c>
      <c r="L782" s="171"/>
    </row>
    <row r="783" spans="11:12" ht="18" customHeight="1">
      <c r="K783" s="171" t="s">
        <v>14</v>
      </c>
      <c r="L783" s="171"/>
    </row>
    <row r="784" spans="11:12" ht="18" customHeight="1">
      <c r="K784" s="171" t="s">
        <v>702</v>
      </c>
      <c r="L784" s="171"/>
    </row>
    <row r="785" spans="11:12" ht="18" customHeight="1">
      <c r="K785" s="171" t="s">
        <v>14</v>
      </c>
      <c r="L785" s="171"/>
    </row>
    <row r="786" spans="11:12" ht="18" customHeight="1">
      <c r="K786" s="171" t="s">
        <v>702</v>
      </c>
    </row>
    <row r="787" spans="11:12" ht="18" customHeight="1">
      <c r="K787" s="171" t="s">
        <v>704</v>
      </c>
    </row>
    <row r="788" spans="11:12" ht="18" customHeight="1">
      <c r="K788" s="171" t="s">
        <v>702</v>
      </c>
    </row>
    <row r="789" spans="11:12" ht="18" customHeight="1">
      <c r="K789" s="171" t="s">
        <v>14</v>
      </c>
    </row>
    <row r="790" spans="11:12" ht="18" customHeight="1">
      <c r="K790" s="171" t="s">
        <v>14</v>
      </c>
    </row>
    <row r="791" spans="11:12" ht="18" customHeight="1">
      <c r="K791" s="171" t="s">
        <v>14</v>
      </c>
    </row>
    <row r="792" spans="11:12" ht="18" customHeight="1">
      <c r="K792" s="171" t="s">
        <v>704</v>
      </c>
    </row>
    <row r="793" spans="11:12" ht="18" customHeight="1">
      <c r="K793" s="171" t="s">
        <v>704</v>
      </c>
    </row>
  </sheetData>
  <mergeCells count="14">
    <mergeCell ref="D3:E3"/>
    <mergeCell ref="D4:E4"/>
    <mergeCell ref="D5:E5"/>
    <mergeCell ref="G3:H3"/>
    <mergeCell ref="G4:H4"/>
    <mergeCell ref="G5:H5"/>
    <mergeCell ref="P46:P47"/>
    <mergeCell ref="Q46:Q47"/>
    <mergeCell ref="Z46:Z47"/>
    <mergeCell ref="O46:O47"/>
    <mergeCell ref="B12:C13"/>
    <mergeCell ref="J12:J13"/>
    <mergeCell ref="L12:L13"/>
    <mergeCell ref="N46:N47"/>
  </mergeCells>
  <phoneticPr fontId="14" type="noConversion"/>
  <conditionalFormatting sqref="V14:V35">
    <cfRule type="cellIs" dxfId="66" priority="3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1" manualBreakCount="1">
    <brk id="45" min="13" max="28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9">
    <tabColor rgb="FFFFC000"/>
    <pageSetUpPr fitToPage="1"/>
  </sheetPr>
  <dimension ref="A1:AB817"/>
  <sheetViews>
    <sheetView showGridLines="0" zoomScale="85" zoomScaleNormal="85" zoomScaleSheetLayoutView="75" workbookViewId="0">
      <selection activeCell="B5" sqref="B5:C5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381</v>
      </c>
    </row>
    <row r="2" spans="1:27" ht="19.5" thickBot="1">
      <c r="B2" s="66" t="s">
        <v>69</v>
      </c>
    </row>
    <row r="3" spans="1:27" ht="18" customHeight="1" thickBot="1">
      <c r="B3" s="773" t="s">
        <v>70</v>
      </c>
      <c r="C3" s="774"/>
      <c r="D3" s="803">
        <v>300</v>
      </c>
      <c r="E3" s="803"/>
      <c r="F3" s="44" t="s">
        <v>55</v>
      </c>
      <c r="G3" s="767" t="s">
        <v>1104</v>
      </c>
      <c r="H3" s="768"/>
      <c r="I3" s="656">
        <v>2</v>
      </c>
      <c r="J3" s="669" t="s">
        <v>1105</v>
      </c>
    </row>
    <row r="4" spans="1:27" ht="18" customHeight="1" thickBot="1">
      <c r="B4" s="777" t="s">
        <v>1442</v>
      </c>
      <c r="C4" s="778"/>
      <c r="D4" s="804">
        <v>300</v>
      </c>
      <c r="E4" s="805"/>
      <c r="F4" s="65" t="s">
        <v>55</v>
      </c>
      <c r="G4" s="769" t="s">
        <v>1109</v>
      </c>
      <c r="H4" s="770"/>
      <c r="I4" s="298">
        <v>2</v>
      </c>
      <c r="J4" s="670" t="s">
        <v>794</v>
      </c>
    </row>
    <row r="5" spans="1:27" ht="18" customHeight="1" thickBot="1">
      <c r="B5" s="781" t="s">
        <v>81</v>
      </c>
      <c r="C5" s="782"/>
      <c r="D5" s="802">
        <f>ROUND((IF(D4&lt;=30,30,D4)/D3)^0.5,3)</f>
        <v>1</v>
      </c>
      <c r="E5" s="802"/>
      <c r="F5" s="681"/>
      <c r="G5" s="771" t="s">
        <v>1102</v>
      </c>
      <c r="H5" s="772"/>
      <c r="I5" s="646">
        <f>ROUND(I4/I3,3)</f>
        <v>1</v>
      </c>
      <c r="J5" s="671"/>
      <c r="U5" s="6">
        <f t="array" aca="1" ref="U5" ca="1">SUM((N74:N241=N81)*S74:S241)</f>
        <v>238335586</v>
      </c>
    </row>
    <row r="6" spans="1:27" ht="18" customHeight="1">
      <c r="B6" s="9" t="s">
        <v>1388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B7" s="9"/>
      <c r="C7" s="9" t="s">
        <v>1389</v>
      </c>
      <c r="D7" s="64"/>
      <c r="E7" s="64"/>
      <c r="G7" s="36"/>
      <c r="I7" s="9"/>
      <c r="J7" s="36"/>
      <c r="R7" s="1"/>
      <c r="S7" s="1"/>
      <c r="T7" s="1"/>
    </row>
    <row r="8" spans="1:27" ht="18" customHeight="1">
      <c r="G8" s="36"/>
      <c r="W8" s="188" t="s">
        <v>84</v>
      </c>
      <c r="X8" s="189"/>
    </row>
    <row r="9" spans="1:27" ht="18" customHeight="1" thickBot="1">
      <c r="B9" s="66" t="s">
        <v>72</v>
      </c>
      <c r="C9" s="9"/>
      <c r="D9" s="64"/>
      <c r="E9" s="64"/>
      <c r="G9" s="36"/>
      <c r="N9" s="66" t="s">
        <v>73</v>
      </c>
    </row>
    <row r="10" spans="1:27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SUBTOTAL(9,W11:W48)</f>
        <v>716141986</v>
      </c>
      <c r="X10" s="187"/>
      <c r="Y10" s="177"/>
      <c r="Z10" s="167"/>
    </row>
    <row r="11" spans="1:27" ht="18" customHeight="1">
      <c r="A11" s="326"/>
      <c r="B11" s="757" t="s">
        <v>30</v>
      </c>
      <c r="C11" s="758"/>
      <c r="D11" s="14" t="s">
        <v>74</v>
      </c>
      <c r="E11" s="15"/>
      <c r="F11" s="15"/>
      <c r="G11" s="15"/>
      <c r="H11" s="15"/>
      <c r="I11" s="16"/>
      <c r="J11" s="761" t="s">
        <v>31</v>
      </c>
      <c r="L11" s="763" t="s">
        <v>97</v>
      </c>
      <c r="N11" s="127" t="s">
        <v>75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SUBTOTAL(9,W12:W45)</f>
        <v>259112518</v>
      </c>
      <c r="X11" s="164"/>
      <c r="Y11" s="178" t="s">
        <v>85</v>
      </c>
      <c r="Z11" s="179"/>
    </row>
    <row r="12" spans="1:27" ht="18" customHeight="1" thickBot="1">
      <c r="A12" s="326"/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SUBTOTAL(9,W13:W41)</f>
        <v>254612518</v>
      </c>
      <c r="X12" s="160"/>
      <c r="Y12" s="168"/>
      <c r="Z12" s="168"/>
    </row>
    <row r="13" spans="1:27" ht="18" customHeight="1">
      <c r="A13" s="355"/>
      <c r="B13" s="225"/>
      <c r="C13" s="72" t="s">
        <v>135</v>
      </c>
      <c r="D13" s="30">
        <f t="shared" ref="D13:I13" si="0">SUBTOTAL(9,D14:D16)</f>
        <v>4</v>
      </c>
      <c r="E13" s="31">
        <f t="shared" si="0"/>
        <v>7</v>
      </c>
      <c r="F13" s="31">
        <f t="shared" si="0"/>
        <v>12</v>
      </c>
      <c r="G13" s="31">
        <f t="shared" si="0"/>
        <v>15</v>
      </c>
      <c r="H13" s="31">
        <f t="shared" si="0"/>
        <v>17</v>
      </c>
      <c r="I13" s="32">
        <f t="shared" si="0"/>
        <v>22</v>
      </c>
      <c r="J13" s="678"/>
      <c r="L13" s="232"/>
      <c r="N13" s="354" t="str">
        <f t="shared" ref="N13:N21" si="1">C13</f>
        <v>1. 관련사항 검토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SUBTOTAL(9,W14:W16)</f>
        <v>22144734</v>
      </c>
      <c r="X13" s="194"/>
      <c r="Y13" s="170" t="str">
        <f>IF(A43&gt;0, "제 " &amp;A43&amp; " 호표","")</f>
        <v/>
      </c>
      <c r="Z13" s="170"/>
      <c r="AA13" s="229"/>
    </row>
    <row r="14" spans="1:27" ht="18" customHeight="1">
      <c r="A14" s="355"/>
      <c r="B14" s="223"/>
      <c r="C14" s="237" t="s">
        <v>1359</v>
      </c>
      <c r="D14" s="20">
        <v>1</v>
      </c>
      <c r="E14" s="21">
        <v>2</v>
      </c>
      <c r="F14" s="21">
        <v>4</v>
      </c>
      <c r="G14" s="21">
        <v>5</v>
      </c>
      <c r="H14" s="21">
        <v>5</v>
      </c>
      <c r="I14" s="22">
        <v>7</v>
      </c>
      <c r="J14" s="400" t="s">
        <v>1386</v>
      </c>
      <c r="L14" s="233">
        <v>1</v>
      </c>
      <c r="N14" s="292" t="str">
        <f t="shared" si="1"/>
        <v>1.1 관련법규검토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SUM((ROUNDDOWN((D44:I44)*단가,0)))</f>
        <v>6861053</v>
      </c>
      <c r="X14" s="154"/>
      <c r="Y14" s="170" t="str">
        <f>IF(A44&gt;0, "제 " &amp;A44&amp; " 호표","")</f>
        <v>제 1 호표</v>
      </c>
      <c r="Z14" s="150"/>
    </row>
    <row r="15" spans="1:27" ht="18" customHeight="1">
      <c r="A15" s="355"/>
      <c r="B15" s="223"/>
      <c r="C15" s="237" t="s">
        <v>1360</v>
      </c>
      <c r="D15" s="20">
        <v>1</v>
      </c>
      <c r="E15" s="21">
        <v>2</v>
      </c>
      <c r="F15" s="21">
        <v>4</v>
      </c>
      <c r="G15" s="21">
        <v>5</v>
      </c>
      <c r="H15" s="21">
        <v>5</v>
      </c>
      <c r="I15" s="22">
        <v>7</v>
      </c>
      <c r="J15" s="400" t="s">
        <v>1090</v>
      </c>
      <c r="L15" s="233">
        <v>1</v>
      </c>
      <c r="N15" s="292" t="str">
        <f t="shared" si="1"/>
        <v>1.2 관련계획검토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SUM((ROUNDDOWN((D45:I45)*단가,0)))</f>
        <v>6861053</v>
      </c>
      <c r="X15" s="154"/>
      <c r="Y15" s="170" t="str">
        <f t="shared" ref="Y15:Y41" si="2">IF(A45&gt;0, "제 " &amp;A45&amp; " 호표","")</f>
        <v>제 2 호표</v>
      </c>
      <c r="Z15" s="150"/>
    </row>
    <row r="16" spans="1:27" ht="18" customHeight="1">
      <c r="A16" s="355"/>
      <c r="B16" s="224"/>
      <c r="C16" s="237" t="s">
        <v>1361</v>
      </c>
      <c r="D16" s="24">
        <v>2</v>
      </c>
      <c r="E16" s="25">
        <v>3</v>
      </c>
      <c r="F16" s="25">
        <v>4</v>
      </c>
      <c r="G16" s="25">
        <v>5</v>
      </c>
      <c r="H16" s="25">
        <v>7</v>
      </c>
      <c r="I16" s="26">
        <v>8</v>
      </c>
      <c r="J16" s="679" t="s">
        <v>1090</v>
      </c>
      <c r="L16" s="233">
        <v>1</v>
      </c>
      <c r="N16" s="292" t="str">
        <f t="shared" si="1"/>
        <v>1.3 주변지역과의 상관성 검토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SUM((ROUNDDOWN((D46:I46)*단가,0)))</f>
        <v>8422628</v>
      </c>
      <c r="X16" s="154"/>
      <c r="Y16" s="170" t="str">
        <f t="shared" si="2"/>
        <v>제 3 호표</v>
      </c>
      <c r="Z16" s="150"/>
    </row>
    <row r="17" spans="1:26" ht="18" customHeight="1">
      <c r="A17" s="355"/>
      <c r="B17" s="222"/>
      <c r="C17" s="47" t="s">
        <v>1362</v>
      </c>
      <c r="D17" s="33">
        <f t="shared" ref="D17:I17" si="3">SUBTOTAL(9,D18:D33)</f>
        <v>17</v>
      </c>
      <c r="E17" s="34">
        <f t="shared" si="3"/>
        <v>49</v>
      </c>
      <c r="F17" s="34">
        <f t="shared" si="3"/>
        <v>79</v>
      </c>
      <c r="G17" s="34">
        <f t="shared" si="3"/>
        <v>125</v>
      </c>
      <c r="H17" s="34">
        <f t="shared" si="3"/>
        <v>179</v>
      </c>
      <c r="I17" s="35">
        <f t="shared" si="3"/>
        <v>227</v>
      </c>
      <c r="J17" s="594"/>
      <c r="L17" s="233"/>
      <c r="N17" s="79" t="str">
        <f t="shared" si="1"/>
        <v>2. 개발제한구역 현황 및 실태조사</v>
      </c>
      <c r="O17" s="37"/>
      <c r="P17" s="37"/>
      <c r="Q17" s="37"/>
      <c r="R17" s="37"/>
      <c r="S17" s="37"/>
      <c r="T17" s="37"/>
      <c r="U17" s="227"/>
      <c r="V17" s="231"/>
      <c r="W17" s="193">
        <f ca="1">SUBTOTAL(9,W18:W19)</f>
        <v>25718831</v>
      </c>
      <c r="X17" s="154"/>
      <c r="Y17" s="170" t="str">
        <f t="shared" si="2"/>
        <v/>
      </c>
      <c r="Z17" s="150"/>
    </row>
    <row r="18" spans="1:26" ht="18" customHeight="1">
      <c r="A18" s="355"/>
      <c r="B18" s="223"/>
      <c r="C18" s="237" t="s">
        <v>1363</v>
      </c>
      <c r="D18" s="20">
        <v>1</v>
      </c>
      <c r="E18" s="21">
        <v>2</v>
      </c>
      <c r="F18" s="21">
        <v>3</v>
      </c>
      <c r="G18" s="21">
        <v>5</v>
      </c>
      <c r="H18" s="21">
        <v>3</v>
      </c>
      <c r="I18" s="22">
        <v>2</v>
      </c>
      <c r="J18" s="400" t="s">
        <v>1090</v>
      </c>
      <c r="L18" s="233">
        <v>1</v>
      </c>
      <c r="N18" s="292" t="str">
        <f t="shared" si="1"/>
        <v>2.1 관리목표와 기본방향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SUM((ROUNDDOWN((D48:I48)*단가,0)))</f>
        <v>4828816</v>
      </c>
      <c r="X18" s="154"/>
      <c r="Y18" s="170" t="str">
        <f t="shared" si="2"/>
        <v>제 4 호표</v>
      </c>
      <c r="Z18" s="150"/>
    </row>
    <row r="19" spans="1:26" ht="18" customHeight="1">
      <c r="A19" s="355"/>
      <c r="B19" s="223"/>
      <c r="C19" s="237" t="s">
        <v>1364</v>
      </c>
      <c r="D19" s="20">
        <v>2</v>
      </c>
      <c r="E19" s="21">
        <v>6</v>
      </c>
      <c r="F19" s="21">
        <v>9</v>
      </c>
      <c r="G19" s="21">
        <v>15</v>
      </c>
      <c r="H19" s="21">
        <v>18</v>
      </c>
      <c r="I19" s="22">
        <v>25</v>
      </c>
      <c r="J19" s="400" t="s">
        <v>1090</v>
      </c>
      <c r="L19" s="233">
        <v>1</v>
      </c>
      <c r="N19" s="292" t="str">
        <f t="shared" si="1"/>
        <v>2.2 현황 및 실태조사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SUM((ROUNDDOWN((D49:I49)*단가,0)))</f>
        <v>20890015</v>
      </c>
      <c r="X19" s="154"/>
      <c r="Y19" s="170" t="str">
        <f t="shared" si="2"/>
        <v>제 5 호표</v>
      </c>
      <c r="Z19" s="150"/>
    </row>
    <row r="20" spans="1:26" ht="18" customHeight="1">
      <c r="A20" s="355"/>
      <c r="B20" s="222"/>
      <c r="C20" s="47" t="s">
        <v>1365</v>
      </c>
      <c r="D20" s="33">
        <f t="shared" ref="D20:I20" si="4">SUBTOTAL(9,D21:D36)</f>
        <v>16</v>
      </c>
      <c r="E20" s="34">
        <f t="shared" si="4"/>
        <v>47</v>
      </c>
      <c r="F20" s="34">
        <f t="shared" si="4"/>
        <v>77</v>
      </c>
      <c r="G20" s="34">
        <f t="shared" si="4"/>
        <v>121</v>
      </c>
      <c r="H20" s="34">
        <f t="shared" si="4"/>
        <v>182</v>
      </c>
      <c r="I20" s="35">
        <f t="shared" si="4"/>
        <v>230</v>
      </c>
      <c r="J20" s="594"/>
      <c r="L20" s="233"/>
      <c r="N20" s="79" t="str">
        <f t="shared" si="1"/>
        <v>3. 개발제한구역 관리계획 수립</v>
      </c>
      <c r="O20" s="37"/>
      <c r="P20" s="37"/>
      <c r="Q20" s="37"/>
      <c r="R20" s="37"/>
      <c r="S20" s="37"/>
      <c r="T20" s="37"/>
      <c r="U20" s="227"/>
      <c r="V20" s="231"/>
      <c r="W20" s="193">
        <f ca="1">SUBTOTAL(9,W21:W33)</f>
        <v>160887151</v>
      </c>
      <c r="X20" s="154"/>
      <c r="Y20" s="170" t="str">
        <f t="shared" si="2"/>
        <v/>
      </c>
      <c r="Z20" s="150"/>
    </row>
    <row r="21" spans="1:26" ht="18" customHeight="1">
      <c r="A21" s="355"/>
      <c r="B21" s="223"/>
      <c r="C21" s="237" t="s">
        <v>1366</v>
      </c>
      <c r="D21" s="20">
        <v>1</v>
      </c>
      <c r="E21" s="21">
        <v>3</v>
      </c>
      <c r="F21" s="21">
        <v>5</v>
      </c>
      <c r="G21" s="21">
        <v>8</v>
      </c>
      <c r="H21" s="21">
        <v>12</v>
      </c>
      <c r="I21" s="22">
        <v>15</v>
      </c>
      <c r="J21" s="400" t="s">
        <v>1090</v>
      </c>
      <c r="L21" s="233">
        <v>1</v>
      </c>
      <c r="N21" s="292" t="str">
        <f t="shared" si="1"/>
        <v>3.1 토지이용 및 보전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SUM((ROUNDDOWN((D51:I51)*단가,0)))</f>
        <v>12079613</v>
      </c>
      <c r="X21" s="154"/>
      <c r="Y21" s="170" t="str">
        <f t="shared" si="2"/>
        <v>제 6 호표</v>
      </c>
      <c r="Z21" s="150"/>
    </row>
    <row r="22" spans="1:26" ht="18" customHeight="1">
      <c r="A22" s="355"/>
      <c r="B22" s="223"/>
      <c r="C22" s="237" t="s">
        <v>1367</v>
      </c>
      <c r="D22" s="20">
        <v>1</v>
      </c>
      <c r="E22" s="21">
        <v>3</v>
      </c>
      <c r="F22" s="21">
        <v>5</v>
      </c>
      <c r="G22" s="21">
        <v>8</v>
      </c>
      <c r="H22" s="21">
        <v>12</v>
      </c>
      <c r="I22" s="22">
        <v>15</v>
      </c>
      <c r="J22" s="400" t="s">
        <v>1090</v>
      </c>
      <c r="L22" s="233">
        <v>1</v>
      </c>
      <c r="N22" s="292" t="s">
        <v>380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SUM((ROUNDDOWN((D52:I52)*단가,0)))</f>
        <v>12079613</v>
      </c>
      <c r="X22" s="154"/>
      <c r="Y22" s="170" t="str">
        <f t="shared" si="2"/>
        <v>제 7 호표</v>
      </c>
      <c r="Z22" s="150"/>
    </row>
    <row r="23" spans="1:26" ht="18" customHeight="1">
      <c r="A23" s="355"/>
      <c r="B23" s="223"/>
      <c r="C23" s="237" t="s">
        <v>1368</v>
      </c>
      <c r="D23" s="20">
        <v>1</v>
      </c>
      <c r="E23" s="21">
        <v>3</v>
      </c>
      <c r="F23" s="21">
        <v>5</v>
      </c>
      <c r="G23" s="21">
        <v>8</v>
      </c>
      <c r="H23" s="21">
        <v>12</v>
      </c>
      <c r="I23" s="22">
        <v>15</v>
      </c>
      <c r="J23" s="400" t="s">
        <v>1090</v>
      </c>
      <c r="L23" s="233">
        <v>1</v>
      </c>
      <c r="N23" s="292" t="s">
        <v>122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SUM((ROUNDDOWN((D53:I53)*단가,0)))</f>
        <v>12079613</v>
      </c>
      <c r="X23" s="154"/>
      <c r="Y23" s="170" t="str">
        <f t="shared" si="2"/>
        <v>제 8 호표</v>
      </c>
      <c r="Z23" s="150"/>
    </row>
    <row r="24" spans="1:26" ht="18" customHeight="1">
      <c r="A24" s="355"/>
      <c r="B24" s="223"/>
      <c r="C24" s="237" t="s">
        <v>1369</v>
      </c>
      <c r="D24" s="20">
        <v>1</v>
      </c>
      <c r="E24" s="21">
        <v>3</v>
      </c>
      <c r="F24" s="21">
        <v>5</v>
      </c>
      <c r="G24" s="21">
        <v>8</v>
      </c>
      <c r="H24" s="21">
        <v>12</v>
      </c>
      <c r="I24" s="22">
        <v>15</v>
      </c>
      <c r="J24" s="400" t="s">
        <v>1090</v>
      </c>
      <c r="L24" s="233">
        <v>1</v>
      </c>
      <c r="N24" s="292" t="s">
        <v>124</v>
      </c>
      <c r="O24" s="37"/>
      <c r="P24" s="39"/>
      <c r="Q24" s="37"/>
      <c r="R24" s="117"/>
      <c r="S24" s="37"/>
      <c r="T24" s="37"/>
      <c r="U24" s="228"/>
      <c r="V24" s="231"/>
      <c r="W24" s="153">
        <f t="array" aca="1" ref="W24" ca="1">SUM((ROUNDDOWN((D54:I54)*단가,0)))</f>
        <v>12079613</v>
      </c>
      <c r="X24" s="196"/>
      <c r="Y24" s="170" t="str">
        <f t="shared" si="2"/>
        <v>제 9 호표</v>
      </c>
      <c r="Z24" s="150"/>
    </row>
    <row r="25" spans="1:26" ht="18" customHeight="1">
      <c r="A25" s="355"/>
      <c r="B25" s="223"/>
      <c r="C25" s="237" t="s">
        <v>1370</v>
      </c>
      <c r="D25" s="20">
        <v>1</v>
      </c>
      <c r="E25" s="21">
        <v>3</v>
      </c>
      <c r="F25" s="21">
        <v>5</v>
      </c>
      <c r="G25" s="21">
        <v>8</v>
      </c>
      <c r="H25" s="21">
        <v>12</v>
      </c>
      <c r="I25" s="22">
        <v>15</v>
      </c>
      <c r="J25" s="400" t="s">
        <v>1090</v>
      </c>
      <c r="L25" s="233">
        <v>1</v>
      </c>
      <c r="N25" s="292" t="s">
        <v>123</v>
      </c>
      <c r="O25" s="37"/>
      <c r="P25" s="39"/>
      <c r="Q25" s="37"/>
      <c r="R25" s="117"/>
      <c r="S25" s="37"/>
      <c r="T25" s="37"/>
      <c r="U25" s="228"/>
      <c r="V25" s="231"/>
      <c r="W25" s="153">
        <f t="array" aca="1" ref="W25" ca="1">SUM((ROUNDDOWN((D55:I55)*단가,0)))</f>
        <v>12079613</v>
      </c>
      <c r="X25" s="154"/>
      <c r="Y25" s="170" t="str">
        <f t="shared" si="2"/>
        <v>제 10 호표</v>
      </c>
      <c r="Z25" s="150"/>
    </row>
    <row r="26" spans="1:26" ht="18" customHeight="1">
      <c r="A26" s="355"/>
      <c r="B26" s="223"/>
      <c r="C26" s="237" t="s">
        <v>1371</v>
      </c>
      <c r="D26" s="20">
        <v>1</v>
      </c>
      <c r="E26" s="21">
        <v>2</v>
      </c>
      <c r="F26" s="21">
        <v>3</v>
      </c>
      <c r="G26" s="21">
        <v>5</v>
      </c>
      <c r="H26" s="21">
        <v>8</v>
      </c>
      <c r="I26" s="22">
        <v>10</v>
      </c>
      <c r="J26" s="400" t="s">
        <v>1090</v>
      </c>
      <c r="L26" s="233">
        <v>1</v>
      </c>
      <c r="N26" s="292" t="s">
        <v>125</v>
      </c>
      <c r="O26" s="37"/>
      <c r="P26" s="39"/>
      <c r="Q26" s="37"/>
      <c r="R26" s="117"/>
      <c r="S26" s="37"/>
      <c r="T26" s="37"/>
      <c r="U26" s="228"/>
      <c r="V26" s="231"/>
      <c r="W26" s="153">
        <f t="array" aca="1" ref="W26" ca="1">SUM((ROUNDDOWN((D56:I56)*단가,0)))</f>
        <v>8006807</v>
      </c>
      <c r="X26" s="154"/>
      <c r="Y26" s="170" t="str">
        <f t="shared" si="2"/>
        <v>제 11 호표</v>
      </c>
      <c r="Z26" s="150"/>
    </row>
    <row r="27" spans="1:26" ht="18" customHeight="1">
      <c r="A27" s="355"/>
      <c r="B27" s="223"/>
      <c r="C27" s="237" t="s">
        <v>1372</v>
      </c>
      <c r="D27" s="20">
        <v>1</v>
      </c>
      <c r="E27" s="21">
        <v>3</v>
      </c>
      <c r="F27" s="21">
        <v>5</v>
      </c>
      <c r="G27" s="21">
        <v>8</v>
      </c>
      <c r="H27" s="21">
        <v>12</v>
      </c>
      <c r="I27" s="22">
        <v>15</v>
      </c>
      <c r="J27" s="400" t="s">
        <v>1090</v>
      </c>
      <c r="L27" s="233">
        <v>1</v>
      </c>
      <c r="N27" s="292" t="s">
        <v>126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SUM((ROUNDDOWN((D57:I57)*단가,0)))</f>
        <v>12079613</v>
      </c>
      <c r="X27" s="154"/>
      <c r="Y27" s="170" t="str">
        <f t="shared" si="2"/>
        <v>제 12 호표</v>
      </c>
      <c r="Z27" s="150"/>
    </row>
    <row r="28" spans="1:26" ht="18" customHeight="1">
      <c r="A28" s="355"/>
      <c r="B28" s="223"/>
      <c r="C28" s="237" t="s">
        <v>1373</v>
      </c>
      <c r="D28" s="20">
        <v>1</v>
      </c>
      <c r="E28" s="21">
        <v>3</v>
      </c>
      <c r="F28" s="21">
        <v>5</v>
      </c>
      <c r="G28" s="21">
        <v>8</v>
      </c>
      <c r="H28" s="21">
        <v>12</v>
      </c>
      <c r="I28" s="22">
        <v>15</v>
      </c>
      <c r="J28" s="400" t="s">
        <v>1090</v>
      </c>
      <c r="L28" s="233">
        <v>1</v>
      </c>
      <c r="N28" s="292" t="s">
        <v>127</v>
      </c>
      <c r="O28" s="37"/>
      <c r="P28" s="39"/>
      <c r="Q28" s="37"/>
      <c r="R28" s="117"/>
      <c r="S28" s="37"/>
      <c r="T28" s="37"/>
      <c r="U28" s="228"/>
      <c r="V28" s="231"/>
      <c r="W28" s="153">
        <f t="array" aca="1" ref="W28" ca="1">SUM((ROUNDDOWN((D58:I58)*단가,0)))</f>
        <v>12079613</v>
      </c>
      <c r="X28" s="154"/>
      <c r="Y28" s="170" t="str">
        <f t="shared" si="2"/>
        <v>제 13 호표</v>
      </c>
      <c r="Z28" s="150"/>
    </row>
    <row r="29" spans="1:26" ht="18" customHeight="1">
      <c r="A29" s="355"/>
      <c r="B29" s="223"/>
      <c r="C29" s="237" t="s">
        <v>1374</v>
      </c>
      <c r="D29" s="20">
        <v>1</v>
      </c>
      <c r="E29" s="21">
        <v>3</v>
      </c>
      <c r="F29" s="21">
        <v>5</v>
      </c>
      <c r="G29" s="21">
        <v>8</v>
      </c>
      <c r="H29" s="21">
        <v>12</v>
      </c>
      <c r="I29" s="22">
        <v>15</v>
      </c>
      <c r="J29" s="400" t="s">
        <v>1090</v>
      </c>
      <c r="L29" s="233">
        <v>1</v>
      </c>
      <c r="N29" s="292" t="s">
        <v>128</v>
      </c>
      <c r="O29" s="37"/>
      <c r="P29" s="39"/>
      <c r="Q29" s="37"/>
      <c r="R29" s="117"/>
      <c r="S29" s="37"/>
      <c r="T29" s="37"/>
      <c r="U29" s="228"/>
      <c r="V29" s="231"/>
      <c r="W29" s="153">
        <f t="array" aca="1" ref="W29" ca="1">SUM((ROUNDDOWN((D59:I59)*단가,0)))</f>
        <v>12079613</v>
      </c>
      <c r="X29" s="154"/>
      <c r="Y29" s="170" t="str">
        <f t="shared" si="2"/>
        <v>제 14 호표</v>
      </c>
      <c r="Z29" s="150"/>
    </row>
    <row r="30" spans="1:26" ht="18" customHeight="1">
      <c r="A30" s="355"/>
      <c r="B30" s="223"/>
      <c r="C30" s="237" t="s">
        <v>1375</v>
      </c>
      <c r="D30" s="20">
        <v>1</v>
      </c>
      <c r="E30" s="21">
        <v>3</v>
      </c>
      <c r="F30" s="21">
        <v>5</v>
      </c>
      <c r="G30" s="21">
        <v>8</v>
      </c>
      <c r="H30" s="21">
        <v>12</v>
      </c>
      <c r="I30" s="22">
        <v>15</v>
      </c>
      <c r="J30" s="400" t="s">
        <v>1090</v>
      </c>
      <c r="L30" s="233">
        <v>1</v>
      </c>
      <c r="N30" s="292" t="s">
        <v>129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SUM((ROUNDDOWN((D60:I60)*단가,0)))</f>
        <v>12079613</v>
      </c>
      <c r="X30" s="196"/>
      <c r="Y30" s="170" t="str">
        <f t="shared" si="2"/>
        <v>제 15 호표</v>
      </c>
      <c r="Z30" s="150"/>
    </row>
    <row r="31" spans="1:26" ht="18" customHeight="1">
      <c r="A31" s="355"/>
      <c r="B31" s="223"/>
      <c r="C31" s="237" t="s">
        <v>1376</v>
      </c>
      <c r="D31" s="20">
        <v>1</v>
      </c>
      <c r="E31" s="21">
        <v>3</v>
      </c>
      <c r="F31" s="21">
        <v>5</v>
      </c>
      <c r="G31" s="21">
        <v>8</v>
      </c>
      <c r="H31" s="21">
        <v>12</v>
      </c>
      <c r="I31" s="22">
        <v>15</v>
      </c>
      <c r="J31" s="400" t="s">
        <v>1090</v>
      </c>
      <c r="L31" s="233">
        <v>1</v>
      </c>
      <c r="N31" s="292" t="s">
        <v>132</v>
      </c>
      <c r="O31" s="37"/>
      <c r="P31" s="39"/>
      <c r="Q31" s="37"/>
      <c r="R31" s="117"/>
      <c r="S31" s="37"/>
      <c r="T31" s="37"/>
      <c r="U31" s="228"/>
      <c r="V31" s="231"/>
      <c r="W31" s="153">
        <f t="array" aca="1" ref="W31" ca="1">SUM((ROUNDDOWN((D61:I61)*단가,0)))</f>
        <v>12079613</v>
      </c>
      <c r="X31" s="154"/>
      <c r="Y31" s="170" t="str">
        <f t="shared" si="2"/>
        <v>제 16 호표</v>
      </c>
      <c r="Z31" s="150"/>
    </row>
    <row r="32" spans="1:26" ht="18" customHeight="1">
      <c r="A32" s="355"/>
      <c r="B32" s="223"/>
      <c r="C32" s="237" t="s">
        <v>1377</v>
      </c>
      <c r="D32" s="20">
        <v>1</v>
      </c>
      <c r="E32" s="21">
        <v>3</v>
      </c>
      <c r="F32" s="21">
        <v>5</v>
      </c>
      <c r="G32" s="21">
        <v>8</v>
      </c>
      <c r="H32" s="21">
        <v>12</v>
      </c>
      <c r="I32" s="22">
        <v>15</v>
      </c>
      <c r="J32" s="400" t="s">
        <v>1090</v>
      </c>
      <c r="L32" s="233">
        <v>1</v>
      </c>
      <c r="N32" s="292" t="s">
        <v>130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SUM((ROUNDDOWN((D62:I62)*단가,0)))</f>
        <v>12079613</v>
      </c>
      <c r="X32" s="154"/>
      <c r="Y32" s="170" t="str">
        <f t="shared" si="2"/>
        <v>제 17 호표</v>
      </c>
      <c r="Z32" s="150"/>
    </row>
    <row r="33" spans="1:26" ht="18" customHeight="1">
      <c r="A33" s="355"/>
      <c r="B33" s="224"/>
      <c r="C33" s="238" t="s">
        <v>1378</v>
      </c>
      <c r="D33" s="24">
        <v>2</v>
      </c>
      <c r="E33" s="25">
        <v>6</v>
      </c>
      <c r="F33" s="25">
        <v>9</v>
      </c>
      <c r="G33" s="25">
        <v>12</v>
      </c>
      <c r="H33" s="25">
        <v>18</v>
      </c>
      <c r="I33" s="26">
        <v>25</v>
      </c>
      <c r="J33" s="679" t="s">
        <v>1090</v>
      </c>
      <c r="L33" s="233">
        <v>1</v>
      </c>
      <c r="N33" s="292" t="s">
        <v>131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SUM((ROUNDDOWN((D63:I63)*단가,0)))</f>
        <v>20004601</v>
      </c>
      <c r="X33" s="154"/>
      <c r="Y33" s="170" t="str">
        <f t="shared" si="2"/>
        <v>제 18 호표</v>
      </c>
      <c r="Z33" s="150"/>
    </row>
    <row r="34" spans="1:26" ht="18" customHeight="1">
      <c r="A34" s="355"/>
      <c r="B34" s="222"/>
      <c r="C34" s="47" t="s">
        <v>1379</v>
      </c>
      <c r="D34" s="33">
        <f t="shared" ref="D34:I34" si="5">SUBTOTAL(9,D35:D36)</f>
        <v>2</v>
      </c>
      <c r="E34" s="34">
        <f t="shared" si="5"/>
        <v>6</v>
      </c>
      <c r="F34" s="34">
        <f t="shared" si="5"/>
        <v>10</v>
      </c>
      <c r="G34" s="34">
        <f t="shared" si="5"/>
        <v>16</v>
      </c>
      <c r="H34" s="34">
        <f t="shared" si="5"/>
        <v>24</v>
      </c>
      <c r="I34" s="35">
        <f t="shared" si="5"/>
        <v>30</v>
      </c>
      <c r="J34" s="594"/>
      <c r="L34" s="233"/>
      <c r="N34" s="79" t="s">
        <v>136</v>
      </c>
      <c r="O34" s="37"/>
      <c r="P34" s="39"/>
      <c r="Q34" s="37"/>
      <c r="R34" s="117"/>
      <c r="S34" s="37"/>
      <c r="T34" s="37"/>
      <c r="U34" s="228"/>
      <c r="V34" s="231"/>
      <c r="W34" s="193">
        <f ca="1">SUBTOTAL(9,W35:W36)</f>
        <v>24159226</v>
      </c>
      <c r="X34" s="154"/>
      <c r="Y34" s="170" t="str">
        <f t="shared" si="2"/>
        <v/>
      </c>
      <c r="Z34" s="150"/>
    </row>
    <row r="35" spans="1:26" ht="18" customHeight="1">
      <c r="A35" s="355"/>
      <c r="B35" s="223"/>
      <c r="C35" s="237" t="s">
        <v>1380</v>
      </c>
      <c r="D35" s="20">
        <v>1</v>
      </c>
      <c r="E35" s="21">
        <v>3</v>
      </c>
      <c r="F35" s="21">
        <v>5</v>
      </c>
      <c r="G35" s="21">
        <v>8</v>
      </c>
      <c r="H35" s="21">
        <v>12</v>
      </c>
      <c r="I35" s="22">
        <v>15</v>
      </c>
      <c r="J35" s="400" t="s">
        <v>1090</v>
      </c>
      <c r="L35" s="233">
        <v>1</v>
      </c>
      <c r="N35" s="292" t="s">
        <v>133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SUM((ROUNDDOWN((D65:I65)*단가,0)))</f>
        <v>12079613</v>
      </c>
      <c r="X35" s="154"/>
      <c r="Y35" s="170" t="str">
        <f t="shared" si="2"/>
        <v>제 19 호표</v>
      </c>
      <c r="Z35" s="150"/>
    </row>
    <row r="36" spans="1:26" ht="18" customHeight="1">
      <c r="A36" s="355"/>
      <c r="B36" s="224"/>
      <c r="C36" s="237" t="s">
        <v>1381</v>
      </c>
      <c r="D36" s="24">
        <v>1</v>
      </c>
      <c r="E36" s="25">
        <v>3</v>
      </c>
      <c r="F36" s="25">
        <v>5</v>
      </c>
      <c r="G36" s="25">
        <v>8</v>
      </c>
      <c r="H36" s="25">
        <v>12</v>
      </c>
      <c r="I36" s="26">
        <v>15</v>
      </c>
      <c r="J36" s="679" t="s">
        <v>1090</v>
      </c>
      <c r="L36" s="233">
        <v>1</v>
      </c>
      <c r="N36" s="292" t="s">
        <v>134</v>
      </c>
      <c r="O36" s="37"/>
      <c r="P36" s="39"/>
      <c r="Q36" s="37"/>
      <c r="R36" s="117"/>
      <c r="S36" s="37"/>
      <c r="T36" s="37"/>
      <c r="U36" s="228"/>
      <c r="V36" s="231"/>
      <c r="W36" s="153">
        <f t="array" aca="1" ref="W36" ca="1">SUM((ROUNDDOWN((D66:I66)*단가,0)))</f>
        <v>12079613</v>
      </c>
      <c r="X36" s="154"/>
      <c r="Y36" s="170" t="str">
        <f t="shared" si="2"/>
        <v>제 20 호표</v>
      </c>
      <c r="Z36" s="150"/>
    </row>
    <row r="37" spans="1:26" ht="18" customHeight="1">
      <c r="A37" s="326"/>
      <c r="B37" s="252"/>
      <c r="C37" s="47" t="s">
        <v>1382</v>
      </c>
      <c r="D37" s="81">
        <f t="shared" ref="D37:I37" si="6">SUBTOTAL(9,D38:D41)</f>
        <v>8</v>
      </c>
      <c r="E37" s="82">
        <f t="shared" si="6"/>
        <v>8</v>
      </c>
      <c r="F37" s="82">
        <f t="shared" si="6"/>
        <v>8</v>
      </c>
      <c r="G37" s="82">
        <f t="shared" si="6"/>
        <v>16</v>
      </c>
      <c r="H37" s="82">
        <f t="shared" si="6"/>
        <v>16</v>
      </c>
      <c r="I37" s="83">
        <f t="shared" si="6"/>
        <v>16</v>
      </c>
      <c r="J37" s="620"/>
      <c r="L37" s="233"/>
      <c r="N37" s="79" t="s">
        <v>268</v>
      </c>
      <c r="O37" s="37"/>
      <c r="P37" s="39"/>
      <c r="Q37" s="37"/>
      <c r="R37" s="117"/>
      <c r="S37" s="37"/>
      <c r="T37" s="37"/>
      <c r="U37" s="228"/>
      <c r="V37" s="231"/>
      <c r="W37" s="193">
        <f ca="1">SUBTOTAL(9,W38:W41)</f>
        <v>21702576</v>
      </c>
      <c r="X37" s="154"/>
      <c r="Y37" s="170" t="str">
        <f t="shared" si="2"/>
        <v/>
      </c>
      <c r="Z37" s="150"/>
    </row>
    <row r="38" spans="1:26" ht="18" customHeight="1">
      <c r="A38" s="326"/>
      <c r="B38" s="223"/>
      <c r="C38" s="237" t="s">
        <v>1383</v>
      </c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389" t="s">
        <v>1387</v>
      </c>
      <c r="L38" s="233">
        <v>1</v>
      </c>
      <c r="N38" s="292" t="s">
        <v>270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SUM((ROUNDDOWN((D68:I68)*단가,0)))</f>
        <v>5425644</v>
      </c>
      <c r="X38" s="154"/>
      <c r="Y38" s="170" t="str">
        <f t="shared" si="2"/>
        <v>제 21 호표</v>
      </c>
      <c r="Z38" s="150"/>
    </row>
    <row r="39" spans="1:26" ht="18" customHeight="1">
      <c r="A39" s="326"/>
      <c r="B39" s="223"/>
      <c r="C39" s="237" t="s">
        <v>1384</v>
      </c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389" t="s">
        <v>1094</v>
      </c>
      <c r="L39" s="233">
        <v>1</v>
      </c>
      <c r="N39" s="292" t="s">
        <v>272</v>
      </c>
      <c r="O39" s="37"/>
      <c r="P39" s="39"/>
      <c r="Q39" s="37"/>
      <c r="R39" s="117"/>
      <c r="S39" s="37"/>
      <c r="T39" s="37"/>
      <c r="U39" s="228"/>
      <c r="V39" s="231"/>
      <c r="W39" s="153">
        <f t="array" aca="1" ref="W39" ca="1">SUM((ROUNDDOWN((D69:I69)*단가,0)))</f>
        <v>5425644</v>
      </c>
      <c r="X39" s="154"/>
      <c r="Y39" s="170" t="str">
        <f t="shared" si="2"/>
        <v>제 22 호표</v>
      </c>
      <c r="Z39" s="150"/>
    </row>
    <row r="40" spans="1:26" ht="18" customHeight="1">
      <c r="A40" s="326"/>
      <c r="B40" s="223"/>
      <c r="C40" s="237" t="s">
        <v>1205</v>
      </c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389" t="s">
        <v>1094</v>
      </c>
      <c r="L40" s="233">
        <v>1</v>
      </c>
      <c r="N40" s="292" t="s">
        <v>274</v>
      </c>
      <c r="O40" s="37"/>
      <c r="P40" s="39"/>
      <c r="Q40" s="37"/>
      <c r="R40" s="117"/>
      <c r="S40" s="37"/>
      <c r="T40" s="37"/>
      <c r="U40" s="228"/>
      <c r="V40" s="231"/>
      <c r="W40" s="153">
        <f t="array" aca="1" ref="W40" ca="1">SUM((ROUNDDOWN((D70:I70)*단가,0)))</f>
        <v>5425644</v>
      </c>
      <c r="X40" s="154"/>
      <c r="Y40" s="170" t="str">
        <f t="shared" si="2"/>
        <v>제 23 호표</v>
      </c>
      <c r="Z40" s="150"/>
    </row>
    <row r="41" spans="1:26" ht="18" customHeight="1" thickBot="1">
      <c r="A41" s="326"/>
      <c r="B41" s="223"/>
      <c r="C41" s="237" t="s">
        <v>1385</v>
      </c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612" t="s">
        <v>1094</v>
      </c>
      <c r="L41" s="233">
        <v>1</v>
      </c>
      <c r="N41" s="292" t="s">
        <v>276</v>
      </c>
      <c r="O41" s="37"/>
      <c r="P41" s="39"/>
      <c r="Q41" s="37"/>
      <c r="R41" s="117"/>
      <c r="S41" s="37"/>
      <c r="T41" s="37"/>
      <c r="U41" s="228"/>
      <c r="V41" s="231"/>
      <c r="W41" s="153">
        <f t="array" aca="1" ref="W41" ca="1">SUM((ROUNDDOWN((D71:I71)*단가,0)))</f>
        <v>5425644</v>
      </c>
      <c r="X41" s="154"/>
      <c r="Y41" s="170" t="str">
        <f t="shared" si="2"/>
        <v>제 24 호표</v>
      </c>
      <c r="Z41" s="150"/>
    </row>
    <row r="42" spans="1:26" ht="18" customHeight="1" thickBot="1">
      <c r="A42" s="355"/>
      <c r="B42" s="14" t="s">
        <v>30</v>
      </c>
      <c r="C42" s="16"/>
      <c r="D42" s="241" t="s">
        <v>86</v>
      </c>
      <c r="E42" s="242"/>
      <c r="F42" s="242"/>
      <c r="G42" s="242"/>
      <c r="H42" s="242"/>
      <c r="I42" s="243"/>
      <c r="J42" s="175" t="s">
        <v>31</v>
      </c>
      <c r="N42" s="290" t="s">
        <v>76</v>
      </c>
      <c r="O42" s="129"/>
      <c r="P42" s="130"/>
      <c r="Q42" s="124"/>
      <c r="R42" s="131"/>
      <c r="S42" s="124"/>
      <c r="T42" s="124"/>
      <c r="U42" s="181"/>
      <c r="V42" s="181"/>
      <c r="W42" s="159">
        <f>SUBTOTAL(9,W43:W45)</f>
        <v>4500000</v>
      </c>
      <c r="X42" s="160"/>
      <c r="Y42" s="124"/>
      <c r="Z42" s="124"/>
    </row>
    <row r="43" spans="1:26" ht="18" customHeight="1">
      <c r="A43" s="326"/>
      <c r="B43" s="225"/>
      <c r="C43" s="72" t="s">
        <v>135</v>
      </c>
      <c r="D43" s="245">
        <f t="shared" ref="D43:I43" si="7">SUBTOTAL(9,D44:D46)</f>
        <v>4</v>
      </c>
      <c r="E43" s="246">
        <f t="shared" si="7"/>
        <v>7</v>
      </c>
      <c r="F43" s="246">
        <f t="shared" si="7"/>
        <v>12</v>
      </c>
      <c r="G43" s="246">
        <f t="shared" si="7"/>
        <v>15</v>
      </c>
      <c r="H43" s="246">
        <f t="shared" si="7"/>
        <v>17</v>
      </c>
      <c r="I43" s="247">
        <f t="shared" si="7"/>
        <v>22</v>
      </c>
      <c r="J43" s="73"/>
      <c r="N43" s="128" t="str">
        <f>"여비("&amp;TEXT(R43,"#인 ×")&amp;TEXT(S43,"#일 ×")&amp;TEXT(T43,"###,###원)")</f>
        <v>여비(3인 ×5일 ×100,000원)</v>
      </c>
      <c r="O43" s="78"/>
      <c r="P43" s="52"/>
      <c r="Q43" s="51"/>
      <c r="R43" s="146">
        <v>3</v>
      </c>
      <c r="S43" s="146">
        <v>5</v>
      </c>
      <c r="T43" s="147">
        <v>100000</v>
      </c>
      <c r="U43" s="182"/>
      <c r="V43" s="182"/>
      <c r="W43" s="161">
        <f>R43*S43*T43</f>
        <v>1500000</v>
      </c>
      <c r="X43" s="162"/>
      <c r="Y43" s="51"/>
      <c r="Z43" s="51"/>
    </row>
    <row r="44" spans="1:26" ht="18" customHeight="1">
      <c r="A44" s="326">
        <v>1</v>
      </c>
      <c r="B44" s="223"/>
      <c r="C44" s="237" t="s">
        <v>1359</v>
      </c>
      <c r="D44" s="197">
        <f t="array" ref="D44:I46">ROUNDDOWN(D14:I16*L14:L16*D5,3)</f>
        <v>1</v>
      </c>
      <c r="E44" s="21">
        <v>2</v>
      </c>
      <c r="F44" s="21">
        <v>4</v>
      </c>
      <c r="G44" s="21">
        <v>5</v>
      </c>
      <c r="H44" s="21">
        <v>5</v>
      </c>
      <c r="I44" s="22">
        <v>7</v>
      </c>
      <c r="J44" s="74"/>
      <c r="N44" s="79" t="s">
        <v>46</v>
      </c>
      <c r="O44" s="79"/>
      <c r="P44" s="39"/>
      <c r="Q44" s="37"/>
      <c r="R44" s="117"/>
      <c r="S44" s="37"/>
      <c r="T44" s="37"/>
      <c r="U44" s="180"/>
      <c r="V44" s="180"/>
      <c r="W44" s="157">
        <v>2000000</v>
      </c>
      <c r="X44" s="158"/>
      <c r="Y44" s="37"/>
      <c r="Z44" s="37"/>
    </row>
    <row r="45" spans="1:26" ht="18" customHeight="1">
      <c r="A45" s="326">
        <v>2</v>
      </c>
      <c r="B45" s="223"/>
      <c r="C45" s="237" t="s">
        <v>1360</v>
      </c>
      <c r="D45" s="20">
        <v>1</v>
      </c>
      <c r="E45" s="21">
        <v>2</v>
      </c>
      <c r="F45" s="21">
        <v>4</v>
      </c>
      <c r="G45" s="21">
        <v>5</v>
      </c>
      <c r="H45" s="21">
        <v>5</v>
      </c>
      <c r="I45" s="22">
        <v>7</v>
      </c>
      <c r="J45" s="74"/>
      <c r="N45" s="132" t="s">
        <v>79</v>
      </c>
      <c r="O45" s="132"/>
      <c r="P45" s="38"/>
      <c r="Q45" s="38"/>
      <c r="R45" s="116"/>
      <c r="S45" s="38"/>
      <c r="T45" s="38"/>
      <c r="U45" s="183"/>
      <c r="V45" s="183"/>
      <c r="W45" s="155">
        <v>1000000</v>
      </c>
      <c r="X45" s="156"/>
      <c r="Y45" s="38"/>
      <c r="Z45" s="38"/>
    </row>
    <row r="46" spans="1:26" ht="18" customHeight="1">
      <c r="A46" s="326">
        <v>3</v>
      </c>
      <c r="B46" s="224"/>
      <c r="C46" s="237" t="s">
        <v>1361</v>
      </c>
      <c r="D46" s="24">
        <v>2</v>
      </c>
      <c r="E46" s="25">
        <v>3</v>
      </c>
      <c r="F46" s="25">
        <v>4</v>
      </c>
      <c r="G46" s="25">
        <v>5</v>
      </c>
      <c r="H46" s="25">
        <v>7</v>
      </c>
      <c r="I46" s="26">
        <v>8</v>
      </c>
      <c r="J46" s="74"/>
      <c r="N46" s="127" t="s">
        <v>47</v>
      </c>
      <c r="O46" s="123"/>
      <c r="P46" s="123"/>
      <c r="Q46" s="123"/>
      <c r="R46" s="123"/>
      <c r="S46" s="123"/>
      <c r="T46" s="123"/>
      <c r="U46" s="184"/>
      <c r="V46" s="184"/>
      <c r="W46" s="163">
        <f ca="1">SUBTOTAL(9,W47:W48)</f>
        <v>457029468</v>
      </c>
      <c r="X46" s="164"/>
      <c r="Y46" s="123"/>
      <c r="Z46" s="123"/>
    </row>
    <row r="47" spans="1:26" ht="18" customHeight="1">
      <c r="A47" s="326"/>
      <c r="B47" s="222"/>
      <c r="C47" s="47" t="s">
        <v>1362</v>
      </c>
      <c r="D47" s="211">
        <f t="shared" ref="D47:I47" si="8">SUBTOTAL(9,D48:D49)</f>
        <v>3</v>
      </c>
      <c r="E47" s="212">
        <f t="shared" si="8"/>
        <v>8</v>
      </c>
      <c r="F47" s="212">
        <f t="shared" si="8"/>
        <v>12</v>
      </c>
      <c r="G47" s="212">
        <f t="shared" si="8"/>
        <v>20</v>
      </c>
      <c r="H47" s="212">
        <f t="shared" si="8"/>
        <v>21</v>
      </c>
      <c r="I47" s="213">
        <f t="shared" si="8"/>
        <v>27</v>
      </c>
      <c r="J47" s="74"/>
      <c r="N47" s="133" t="s">
        <v>861</v>
      </c>
      <c r="O47" s="124"/>
      <c r="P47" s="134"/>
      <c r="Q47" s="124"/>
      <c r="R47" s="131"/>
      <c r="S47" s="124"/>
      <c r="T47" s="181"/>
      <c r="U47" s="181"/>
      <c r="V47" s="190">
        <v>1.1499999999999999</v>
      </c>
      <c r="W47" s="159">
        <f ca="1">ROUNDDOWN(W12*V47,0)</f>
        <v>292804395</v>
      </c>
      <c r="X47" s="160"/>
      <c r="Y47" s="124"/>
      <c r="Z47" s="124"/>
    </row>
    <row r="48" spans="1:26" ht="18" customHeight="1" thickBot="1">
      <c r="A48" s="326">
        <v>4</v>
      </c>
      <c r="B48" s="223"/>
      <c r="C48" s="237" t="s">
        <v>1363</v>
      </c>
      <c r="D48" s="197">
        <f t="array" ref="D48:I49">ROUNDDOWN(D18:I19*L18:L19*D5,3)</f>
        <v>1</v>
      </c>
      <c r="E48" s="21">
        <v>2</v>
      </c>
      <c r="F48" s="21">
        <v>3</v>
      </c>
      <c r="G48" s="21">
        <v>5</v>
      </c>
      <c r="H48" s="21">
        <v>3</v>
      </c>
      <c r="I48" s="22">
        <v>2</v>
      </c>
      <c r="J48" s="74"/>
      <c r="N48" s="135" t="s">
        <v>862</v>
      </c>
      <c r="O48" s="136"/>
      <c r="P48" s="137"/>
      <c r="Q48" s="136"/>
      <c r="R48" s="138"/>
      <c r="S48" s="136"/>
      <c r="T48" s="185"/>
      <c r="U48" s="185"/>
      <c r="V48" s="191">
        <v>0.3</v>
      </c>
      <c r="W48" s="165">
        <f ca="1">ROUNDDOWN((W12+W47)*V48,0)</f>
        <v>164225073</v>
      </c>
      <c r="X48" s="166"/>
      <c r="Y48" s="136"/>
      <c r="Z48" s="136"/>
    </row>
    <row r="49" spans="1:13" ht="18" customHeight="1">
      <c r="A49" s="326">
        <v>5</v>
      </c>
      <c r="B49" s="223"/>
      <c r="C49" s="237" t="s">
        <v>1364</v>
      </c>
      <c r="D49" s="20">
        <v>2</v>
      </c>
      <c r="E49" s="21">
        <v>6</v>
      </c>
      <c r="F49" s="21">
        <v>9</v>
      </c>
      <c r="G49" s="21">
        <v>15</v>
      </c>
      <c r="H49" s="21">
        <v>18</v>
      </c>
      <c r="I49" s="22">
        <v>25</v>
      </c>
      <c r="J49" s="74"/>
    </row>
    <row r="50" spans="1:13" ht="18" customHeight="1">
      <c r="A50" s="326"/>
      <c r="B50" s="222"/>
      <c r="C50" s="47" t="s">
        <v>1365</v>
      </c>
      <c r="D50" s="211">
        <f t="shared" ref="D50:I50" si="9">SUBTOTAL(9,D51:D63)</f>
        <v>14</v>
      </c>
      <c r="E50" s="212">
        <f t="shared" si="9"/>
        <v>41</v>
      </c>
      <c r="F50" s="212">
        <f t="shared" si="9"/>
        <v>67</v>
      </c>
      <c r="G50" s="212">
        <f t="shared" si="9"/>
        <v>105</v>
      </c>
      <c r="H50" s="212">
        <f t="shared" si="9"/>
        <v>158</v>
      </c>
      <c r="I50" s="213">
        <f t="shared" si="9"/>
        <v>200</v>
      </c>
      <c r="J50" s="74"/>
    </row>
    <row r="51" spans="1:13" ht="18" customHeight="1">
      <c r="A51" s="326">
        <v>6</v>
      </c>
      <c r="B51" s="223"/>
      <c r="C51" s="237" t="s">
        <v>1366</v>
      </c>
      <c r="D51" s="197">
        <f t="array" ref="D51:I63">ROUNDDOWN(D21:I33*L21:L33*D5,3)</f>
        <v>1</v>
      </c>
      <c r="E51" s="21">
        <v>3</v>
      </c>
      <c r="F51" s="21">
        <v>5</v>
      </c>
      <c r="G51" s="21">
        <v>8</v>
      </c>
      <c r="H51" s="21">
        <v>12</v>
      </c>
      <c r="I51" s="22">
        <v>15</v>
      </c>
      <c r="J51" s="74"/>
    </row>
    <row r="52" spans="1:13" ht="18" customHeight="1">
      <c r="A52" s="326">
        <v>7</v>
      </c>
      <c r="B52" s="223"/>
      <c r="C52" s="237" t="s">
        <v>1367</v>
      </c>
      <c r="D52" s="20">
        <v>1</v>
      </c>
      <c r="E52" s="21">
        <v>3</v>
      </c>
      <c r="F52" s="21">
        <v>5</v>
      </c>
      <c r="G52" s="21">
        <v>8</v>
      </c>
      <c r="H52" s="21">
        <v>12</v>
      </c>
      <c r="I52" s="22">
        <v>15</v>
      </c>
      <c r="J52" s="74"/>
    </row>
    <row r="53" spans="1:13" ht="18" customHeight="1">
      <c r="A53" s="326">
        <v>8</v>
      </c>
      <c r="B53" s="223"/>
      <c r="C53" s="237" t="s">
        <v>1368</v>
      </c>
      <c r="D53" s="20">
        <v>1</v>
      </c>
      <c r="E53" s="21">
        <v>3</v>
      </c>
      <c r="F53" s="21">
        <v>5</v>
      </c>
      <c r="G53" s="21">
        <v>8</v>
      </c>
      <c r="H53" s="21">
        <v>12</v>
      </c>
      <c r="I53" s="22">
        <v>15</v>
      </c>
      <c r="J53" s="74"/>
    </row>
    <row r="54" spans="1:13" ht="18" customHeight="1">
      <c r="A54" s="326">
        <v>9</v>
      </c>
      <c r="B54" s="223"/>
      <c r="C54" s="237" t="s">
        <v>1369</v>
      </c>
      <c r="D54" s="20">
        <v>1</v>
      </c>
      <c r="E54" s="21">
        <v>3</v>
      </c>
      <c r="F54" s="21">
        <v>5</v>
      </c>
      <c r="G54" s="21">
        <v>8</v>
      </c>
      <c r="H54" s="21">
        <v>12</v>
      </c>
      <c r="I54" s="22">
        <v>15</v>
      </c>
      <c r="J54" s="74"/>
    </row>
    <row r="55" spans="1:13" ht="18" customHeight="1">
      <c r="A55" s="326">
        <v>10</v>
      </c>
      <c r="B55" s="223"/>
      <c r="C55" s="237" t="s">
        <v>1370</v>
      </c>
      <c r="D55" s="20">
        <v>1</v>
      </c>
      <c r="E55" s="21">
        <v>3</v>
      </c>
      <c r="F55" s="21">
        <v>5</v>
      </c>
      <c r="G55" s="21">
        <v>8</v>
      </c>
      <c r="H55" s="21">
        <v>12</v>
      </c>
      <c r="I55" s="22">
        <v>15</v>
      </c>
      <c r="J55" s="74"/>
    </row>
    <row r="56" spans="1:13" ht="18" customHeight="1">
      <c r="A56" s="326">
        <v>11</v>
      </c>
      <c r="B56" s="223"/>
      <c r="C56" s="237" t="s">
        <v>1371</v>
      </c>
      <c r="D56" s="20">
        <v>1</v>
      </c>
      <c r="E56" s="21">
        <v>2</v>
      </c>
      <c r="F56" s="21">
        <v>3</v>
      </c>
      <c r="G56" s="21">
        <v>5</v>
      </c>
      <c r="H56" s="21">
        <v>8</v>
      </c>
      <c r="I56" s="22">
        <v>10</v>
      </c>
      <c r="J56" s="74"/>
    </row>
    <row r="57" spans="1:13" ht="18" customHeight="1">
      <c r="A57" s="326">
        <v>12</v>
      </c>
      <c r="B57" s="223"/>
      <c r="C57" s="237" t="s">
        <v>1372</v>
      </c>
      <c r="D57" s="20">
        <v>1</v>
      </c>
      <c r="E57" s="21">
        <v>3</v>
      </c>
      <c r="F57" s="21">
        <v>5</v>
      </c>
      <c r="G57" s="21">
        <v>8</v>
      </c>
      <c r="H57" s="21">
        <v>12</v>
      </c>
      <c r="I57" s="22">
        <v>15</v>
      </c>
      <c r="J57" s="74"/>
    </row>
    <row r="58" spans="1:13" ht="18" customHeight="1">
      <c r="A58" s="326">
        <v>13</v>
      </c>
      <c r="B58" s="223"/>
      <c r="C58" s="237" t="s">
        <v>1373</v>
      </c>
      <c r="D58" s="20">
        <v>1</v>
      </c>
      <c r="E58" s="21">
        <v>3</v>
      </c>
      <c r="F58" s="21">
        <v>5</v>
      </c>
      <c r="G58" s="21">
        <v>8</v>
      </c>
      <c r="H58" s="21">
        <v>12</v>
      </c>
      <c r="I58" s="22">
        <v>15</v>
      </c>
      <c r="J58" s="74"/>
    </row>
    <row r="59" spans="1:13" ht="18" customHeight="1">
      <c r="A59" s="326">
        <v>14</v>
      </c>
      <c r="B59" s="223"/>
      <c r="C59" s="237" t="s">
        <v>1374</v>
      </c>
      <c r="D59" s="20">
        <v>1</v>
      </c>
      <c r="E59" s="21">
        <v>3</v>
      </c>
      <c r="F59" s="21">
        <v>5</v>
      </c>
      <c r="G59" s="21">
        <v>8</v>
      </c>
      <c r="H59" s="21">
        <v>12</v>
      </c>
      <c r="I59" s="22">
        <v>15</v>
      </c>
      <c r="J59" s="74"/>
    </row>
    <row r="60" spans="1:13" ht="18" customHeight="1">
      <c r="A60" s="326">
        <v>15</v>
      </c>
      <c r="B60" s="223"/>
      <c r="C60" s="237" t="s">
        <v>1375</v>
      </c>
      <c r="D60" s="20">
        <v>1</v>
      </c>
      <c r="E60" s="21">
        <v>3</v>
      </c>
      <c r="F60" s="21">
        <v>5</v>
      </c>
      <c r="G60" s="21">
        <v>8</v>
      </c>
      <c r="H60" s="21">
        <v>12</v>
      </c>
      <c r="I60" s="22">
        <v>15</v>
      </c>
      <c r="J60" s="74"/>
    </row>
    <row r="61" spans="1:13" ht="18" customHeight="1">
      <c r="A61" s="326">
        <v>16</v>
      </c>
      <c r="B61" s="223"/>
      <c r="C61" s="237" t="s">
        <v>1376</v>
      </c>
      <c r="D61" s="20">
        <v>1</v>
      </c>
      <c r="E61" s="21">
        <v>3</v>
      </c>
      <c r="F61" s="21">
        <v>5</v>
      </c>
      <c r="G61" s="21">
        <v>8</v>
      </c>
      <c r="H61" s="21">
        <v>12</v>
      </c>
      <c r="I61" s="22">
        <v>15</v>
      </c>
      <c r="J61" s="400"/>
      <c r="L61" s="171"/>
    </row>
    <row r="62" spans="1:13" ht="18" customHeight="1">
      <c r="A62" s="326">
        <v>17</v>
      </c>
      <c r="B62" s="223"/>
      <c r="C62" s="237" t="s">
        <v>1377</v>
      </c>
      <c r="D62" s="20">
        <v>1</v>
      </c>
      <c r="E62" s="21">
        <v>3</v>
      </c>
      <c r="F62" s="21">
        <v>5</v>
      </c>
      <c r="G62" s="21">
        <v>8</v>
      </c>
      <c r="H62" s="21">
        <v>12</v>
      </c>
      <c r="I62" s="22">
        <v>15</v>
      </c>
      <c r="J62" s="23"/>
      <c r="L62" s="171"/>
      <c r="M62" s="171"/>
    </row>
    <row r="63" spans="1:13" ht="18" customHeight="1">
      <c r="A63" s="326">
        <v>18</v>
      </c>
      <c r="B63" s="224"/>
      <c r="C63" s="238" t="s">
        <v>1378</v>
      </c>
      <c r="D63" s="24">
        <v>2</v>
      </c>
      <c r="E63" s="25">
        <v>6</v>
      </c>
      <c r="F63" s="25">
        <v>9</v>
      </c>
      <c r="G63" s="25">
        <v>12</v>
      </c>
      <c r="H63" s="25">
        <v>18</v>
      </c>
      <c r="I63" s="26">
        <v>25</v>
      </c>
      <c r="J63" s="27"/>
      <c r="L63" s="171"/>
      <c r="M63" s="171"/>
    </row>
    <row r="64" spans="1:13" ht="18" customHeight="1">
      <c r="A64" s="326"/>
      <c r="B64" s="222"/>
      <c r="C64" s="47" t="s">
        <v>1379</v>
      </c>
      <c r="D64" s="33">
        <f t="shared" ref="D64:I64" si="10">SUBTOTAL(9,D65:D66)</f>
        <v>2</v>
      </c>
      <c r="E64" s="34">
        <f t="shared" si="10"/>
        <v>6</v>
      </c>
      <c r="F64" s="34">
        <f t="shared" si="10"/>
        <v>10</v>
      </c>
      <c r="G64" s="34">
        <f t="shared" si="10"/>
        <v>16</v>
      </c>
      <c r="H64" s="34">
        <f t="shared" si="10"/>
        <v>24</v>
      </c>
      <c r="I64" s="35">
        <f t="shared" si="10"/>
        <v>30</v>
      </c>
      <c r="J64" s="13"/>
      <c r="L64" s="171"/>
      <c r="M64" s="171"/>
    </row>
    <row r="65" spans="1:26" ht="18" customHeight="1">
      <c r="A65" s="326">
        <v>19</v>
      </c>
      <c r="B65" s="223"/>
      <c r="C65" s="237" t="s">
        <v>1380</v>
      </c>
      <c r="D65" s="20">
        <f t="array" ref="D65:I66">ROUNDDOWN(D35:I36*L35:L36*D5,3)</f>
        <v>1</v>
      </c>
      <c r="E65" s="21">
        <v>3</v>
      </c>
      <c r="F65" s="21">
        <v>5</v>
      </c>
      <c r="G65" s="21">
        <v>8</v>
      </c>
      <c r="H65" s="21">
        <v>12</v>
      </c>
      <c r="I65" s="22">
        <v>15</v>
      </c>
      <c r="J65" s="23"/>
      <c r="L65" s="171"/>
      <c r="M65" s="171"/>
    </row>
    <row r="66" spans="1:26" ht="18" customHeight="1">
      <c r="A66" s="326">
        <v>20</v>
      </c>
      <c r="B66" s="224"/>
      <c r="C66" s="237" t="s">
        <v>1381</v>
      </c>
      <c r="D66" s="24">
        <v>1</v>
      </c>
      <c r="E66" s="25">
        <v>3</v>
      </c>
      <c r="F66" s="25">
        <v>5</v>
      </c>
      <c r="G66" s="25">
        <v>8</v>
      </c>
      <c r="H66" s="25">
        <v>12</v>
      </c>
      <c r="I66" s="26">
        <v>15</v>
      </c>
      <c r="J66" s="27"/>
      <c r="L66" s="171"/>
      <c r="M66" s="171"/>
    </row>
    <row r="67" spans="1:26" ht="18" customHeight="1">
      <c r="A67" s="326"/>
      <c r="B67" s="252"/>
      <c r="C67" s="47" t="s">
        <v>1382</v>
      </c>
      <c r="D67" s="48">
        <f t="shared" ref="D67:I67" si="11">SUBTOTAL(9,D68:D71)</f>
        <v>8</v>
      </c>
      <c r="E67" s="49">
        <f t="shared" si="11"/>
        <v>8</v>
      </c>
      <c r="F67" s="49">
        <f t="shared" si="11"/>
        <v>8</v>
      </c>
      <c r="G67" s="49">
        <f t="shared" si="11"/>
        <v>16</v>
      </c>
      <c r="H67" s="49">
        <f t="shared" si="11"/>
        <v>16</v>
      </c>
      <c r="I67" s="50">
        <f t="shared" si="11"/>
        <v>16</v>
      </c>
      <c r="J67" s="287"/>
      <c r="K67" s="171" t="s">
        <v>78</v>
      </c>
      <c r="L67" s="171"/>
      <c r="M67" s="171"/>
    </row>
    <row r="68" spans="1:26" ht="18" customHeight="1">
      <c r="A68" s="326">
        <v>21</v>
      </c>
      <c r="B68" s="223"/>
      <c r="C68" s="237" t="s">
        <v>1383</v>
      </c>
      <c r="D68" s="20">
        <f t="array" ref="D68:I71">ROUNDDOWN(D38:I41*L38:L41*I5,3)</f>
        <v>2</v>
      </c>
      <c r="E68" s="198">
        <v>2</v>
      </c>
      <c r="F68" s="198">
        <v>2</v>
      </c>
      <c r="G68" s="198">
        <v>4</v>
      </c>
      <c r="H68" s="198">
        <v>4</v>
      </c>
      <c r="I68" s="199">
        <v>4</v>
      </c>
      <c r="J68" s="74"/>
      <c r="K68" s="171" t="s">
        <v>78</v>
      </c>
      <c r="L68" s="171"/>
      <c r="M68" s="171"/>
    </row>
    <row r="69" spans="1:26" ht="18" customHeight="1">
      <c r="A69" s="326">
        <v>22</v>
      </c>
      <c r="B69" s="223"/>
      <c r="C69" s="237" t="s">
        <v>1384</v>
      </c>
      <c r="D69" s="197">
        <v>2</v>
      </c>
      <c r="E69" s="198">
        <v>2</v>
      </c>
      <c r="F69" s="198">
        <v>2</v>
      </c>
      <c r="G69" s="198">
        <v>4</v>
      </c>
      <c r="H69" s="198">
        <v>4</v>
      </c>
      <c r="I69" s="199">
        <v>4</v>
      </c>
      <c r="J69" s="74"/>
      <c r="K69" s="171" t="s">
        <v>78</v>
      </c>
      <c r="L69" s="171"/>
      <c r="M69" s="171"/>
    </row>
    <row r="70" spans="1:26" ht="18" customHeight="1">
      <c r="A70" s="326">
        <v>23</v>
      </c>
      <c r="B70" s="223"/>
      <c r="C70" s="237" t="s">
        <v>1205</v>
      </c>
      <c r="D70" s="197">
        <v>2</v>
      </c>
      <c r="E70" s="198">
        <v>2</v>
      </c>
      <c r="F70" s="198">
        <v>2</v>
      </c>
      <c r="G70" s="198">
        <v>4</v>
      </c>
      <c r="H70" s="198">
        <v>4</v>
      </c>
      <c r="I70" s="199">
        <v>4</v>
      </c>
      <c r="J70" s="74"/>
      <c r="K70" s="171" t="s">
        <v>78</v>
      </c>
      <c r="L70" s="171"/>
      <c r="M70" s="171"/>
    </row>
    <row r="71" spans="1:26" ht="18" customHeight="1" thickBot="1">
      <c r="A71" s="326">
        <v>24</v>
      </c>
      <c r="B71" s="388"/>
      <c r="C71" s="401" t="s">
        <v>1385</v>
      </c>
      <c r="D71" s="343">
        <v>2</v>
      </c>
      <c r="E71" s="344">
        <v>2</v>
      </c>
      <c r="F71" s="344">
        <v>2</v>
      </c>
      <c r="G71" s="344">
        <v>4</v>
      </c>
      <c r="H71" s="344">
        <v>4</v>
      </c>
      <c r="I71" s="345">
        <v>4</v>
      </c>
      <c r="J71" s="176"/>
      <c r="K71" s="171" t="s">
        <v>78</v>
      </c>
      <c r="L71" s="171"/>
      <c r="M71" s="171"/>
      <c r="N71" s="66" t="s">
        <v>18</v>
      </c>
      <c r="O71" s="2"/>
      <c r="P71" s="2"/>
      <c r="Q71" s="2"/>
      <c r="R71" s="3"/>
      <c r="S71" s="4"/>
      <c r="T71" s="3"/>
      <c r="U71" s="4"/>
      <c r="V71" s="3"/>
      <c r="W71" s="4"/>
      <c r="X71" s="3"/>
      <c r="Y71" s="4"/>
      <c r="Z71" s="2"/>
    </row>
    <row r="72" spans="1:26" ht="18" customHeight="1">
      <c r="A72" s="355"/>
      <c r="B72" s="80" t="s">
        <v>15</v>
      </c>
      <c r="C72" s="9" t="s">
        <v>1390</v>
      </c>
      <c r="K72" s="171" t="s">
        <v>78</v>
      </c>
      <c r="L72" s="171"/>
      <c r="M72" s="171"/>
      <c r="N72" s="765" t="s">
        <v>19</v>
      </c>
      <c r="O72" s="755" t="s">
        <v>20</v>
      </c>
      <c r="P72" s="755" t="s">
        <v>21</v>
      </c>
      <c r="Q72" s="755" t="s">
        <v>80</v>
      </c>
      <c r="R72" s="5" t="s">
        <v>22</v>
      </c>
      <c r="S72" s="5"/>
      <c r="T72" s="5" t="s">
        <v>23</v>
      </c>
      <c r="U72" s="5"/>
      <c r="V72" s="5" t="s">
        <v>24</v>
      </c>
      <c r="W72" s="5"/>
      <c r="X72" s="5" t="s">
        <v>25</v>
      </c>
      <c r="Y72" s="5"/>
      <c r="Z72" s="755" t="s">
        <v>26</v>
      </c>
    </row>
    <row r="73" spans="1:26" ht="18" customHeight="1" thickBot="1">
      <c r="A73" s="355"/>
      <c r="C73" s="1" t="s">
        <v>1391</v>
      </c>
      <c r="K73" s="171" t="s">
        <v>78</v>
      </c>
      <c r="L73" s="171"/>
      <c r="M73" s="171"/>
      <c r="N73" s="766"/>
      <c r="O73" s="756"/>
      <c r="P73" s="756"/>
      <c r="Q73" s="756"/>
      <c r="R73" s="67" t="s">
        <v>27</v>
      </c>
      <c r="S73" s="67" t="s">
        <v>28</v>
      </c>
      <c r="T73" s="67" t="s">
        <v>27</v>
      </c>
      <c r="U73" s="67" t="s">
        <v>28</v>
      </c>
      <c r="V73" s="67" t="s">
        <v>27</v>
      </c>
      <c r="W73" s="67" t="s">
        <v>28</v>
      </c>
      <c r="X73" s="67" t="s">
        <v>27</v>
      </c>
      <c r="Y73" s="67" t="s">
        <v>28</v>
      </c>
      <c r="Z73" s="756"/>
    </row>
    <row r="74" spans="1:26" ht="18" customHeight="1" thickTop="1">
      <c r="A74" s="355"/>
      <c r="C74" s="9" t="s">
        <v>1392</v>
      </c>
      <c r="K74" s="171" t="s">
        <v>78</v>
      </c>
      <c r="L74" s="171"/>
      <c r="M74" s="171"/>
      <c r="N74" s="318" t="str">
        <f ca="1">"제 " &amp; Z74 &amp; " 호표  "&amp; OFFSET($A$1,MATCH(Z74,$A:$A,0)-1,2)</f>
        <v>제 1 호표  1.1 관련법규검토</v>
      </c>
      <c r="O74" s="221"/>
      <c r="P74" s="148"/>
      <c r="Q74" s="148"/>
      <c r="R74" s="149"/>
      <c r="S74" s="149"/>
      <c r="T74" s="149"/>
      <c r="U74" s="149"/>
      <c r="V74" s="149"/>
      <c r="W74" s="149"/>
      <c r="X74" s="149"/>
      <c r="Y74" s="149"/>
      <c r="Z74" s="325">
        <v>1</v>
      </c>
    </row>
    <row r="75" spans="1:26" ht="18" customHeight="1">
      <c r="A75" s="326"/>
      <c r="C75" s="9"/>
      <c r="K75" s="171" t="s">
        <v>78</v>
      </c>
      <c r="L75" s="171"/>
      <c r="M75" s="171"/>
      <c r="N75" s="140" t="s">
        <v>43</v>
      </c>
      <c r="O75" s="172">
        <v>3</v>
      </c>
      <c r="P75" s="219">
        <f ca="1">OFFSET($A$1,MATCH(Z74,$A:$A,0)-1,O75)</f>
        <v>1</v>
      </c>
      <c r="Q75" s="141" t="s">
        <v>29</v>
      </c>
      <c r="R75" s="142">
        <f t="shared" ref="R75:S80" ca="1" si="12">T75</f>
        <v>467217</v>
      </c>
      <c r="S75" s="142">
        <f t="shared" ca="1" si="12"/>
        <v>467217</v>
      </c>
      <c r="T75" s="142">
        <f ca="1">기술사</f>
        <v>467217</v>
      </c>
      <c r="U75" s="142">
        <f t="shared" ref="U75:U80" ca="1" si="13">ROUNDDOWN(P75*R75,0)</f>
        <v>467217</v>
      </c>
      <c r="V75" s="142"/>
      <c r="W75" s="142"/>
      <c r="X75" s="142"/>
      <c r="Y75" s="142"/>
      <c r="Z75" s="114"/>
    </row>
    <row r="76" spans="1:26" ht="18" customHeight="1">
      <c r="A76" s="326"/>
      <c r="C76" s="9"/>
      <c r="K76" s="171" t="s">
        <v>78</v>
      </c>
      <c r="L76" s="171"/>
      <c r="M76" s="171"/>
      <c r="N76" s="143" t="s">
        <v>32</v>
      </c>
      <c r="O76" s="173">
        <v>4</v>
      </c>
      <c r="P76" s="234">
        <f ca="1">OFFSET($A$1,MATCH(Z74,$A:$A,0)-1,O76)</f>
        <v>2</v>
      </c>
      <c r="Q76" s="144" t="s">
        <v>29</v>
      </c>
      <c r="R76" s="118">
        <f t="shared" ca="1" si="12"/>
        <v>373353</v>
      </c>
      <c r="S76" s="118">
        <f t="shared" ca="1" si="12"/>
        <v>746706</v>
      </c>
      <c r="T76" s="118">
        <f ca="1">특급</f>
        <v>373353</v>
      </c>
      <c r="U76" s="118">
        <f t="shared" ca="1" si="13"/>
        <v>746706</v>
      </c>
      <c r="V76" s="118"/>
      <c r="W76" s="118"/>
      <c r="X76" s="118"/>
      <c r="Y76" s="118"/>
      <c r="Z76" s="115"/>
    </row>
    <row r="77" spans="1:26" ht="18" customHeight="1">
      <c r="A77" s="326"/>
      <c r="C77" s="9"/>
      <c r="K77" s="171" t="s">
        <v>78</v>
      </c>
      <c r="L77" s="171"/>
      <c r="M77" s="171"/>
      <c r="N77" s="145" t="s">
        <v>39</v>
      </c>
      <c r="O77" s="173">
        <v>5</v>
      </c>
      <c r="P77" s="234">
        <f ca="1">OFFSET($A$1,MATCH(Z74,$A:$A,0)-1,O77)</f>
        <v>4</v>
      </c>
      <c r="Q77" s="144" t="s">
        <v>29</v>
      </c>
      <c r="R77" s="118">
        <f t="shared" ca="1" si="12"/>
        <v>310884</v>
      </c>
      <c r="S77" s="118">
        <f t="shared" ca="1" si="12"/>
        <v>1243536</v>
      </c>
      <c r="T77" s="118">
        <f ca="1">고급</f>
        <v>310884</v>
      </c>
      <c r="U77" s="118">
        <f t="shared" ca="1" si="13"/>
        <v>1243536</v>
      </c>
      <c r="V77" s="118"/>
      <c r="W77" s="118"/>
      <c r="X77" s="118"/>
      <c r="Y77" s="118"/>
      <c r="Z77" s="115"/>
    </row>
    <row r="78" spans="1:26" ht="18" customHeight="1">
      <c r="A78" s="326"/>
      <c r="C78" s="9"/>
      <c r="K78" s="171" t="s">
        <v>78</v>
      </c>
      <c r="L78" s="171"/>
      <c r="M78" s="171"/>
      <c r="N78" s="145" t="s">
        <v>40</v>
      </c>
      <c r="O78" s="173">
        <v>6</v>
      </c>
      <c r="P78" s="234">
        <f ca="1">OFFSET($A$1,MATCH(Z74,$A:$A,0)-1,O78)</f>
        <v>5</v>
      </c>
      <c r="Q78" s="144" t="s">
        <v>29</v>
      </c>
      <c r="R78" s="118">
        <f t="shared" ca="1" si="12"/>
        <v>295138</v>
      </c>
      <c r="S78" s="118">
        <f t="shared" ca="1" si="12"/>
        <v>1475690</v>
      </c>
      <c r="T78" s="118">
        <f ca="1">중급</f>
        <v>295138</v>
      </c>
      <c r="U78" s="118">
        <f t="shared" ca="1" si="13"/>
        <v>1475690</v>
      </c>
      <c r="V78" s="118"/>
      <c r="W78" s="118"/>
      <c r="X78" s="118"/>
      <c r="Y78" s="118"/>
      <c r="Z78" s="115"/>
    </row>
    <row r="79" spans="1:26" ht="18" customHeight="1">
      <c r="A79" s="326"/>
      <c r="C79" s="9"/>
      <c r="K79" s="171" t="s">
        <v>78</v>
      </c>
      <c r="L79" s="171"/>
      <c r="M79" s="171"/>
      <c r="N79" s="145" t="s">
        <v>41</v>
      </c>
      <c r="O79" s="173">
        <v>7</v>
      </c>
      <c r="P79" s="234">
        <f ca="1">OFFSET($A$1,MATCH(Z74,$A:$A,0)-1,O79)</f>
        <v>5</v>
      </c>
      <c r="Q79" s="144" t="s">
        <v>29</v>
      </c>
      <c r="R79" s="118">
        <f t="shared" ca="1" si="12"/>
        <v>235459</v>
      </c>
      <c r="S79" s="118">
        <f t="shared" ca="1" si="12"/>
        <v>1177295</v>
      </c>
      <c r="T79" s="118">
        <f ca="1">초급</f>
        <v>235459</v>
      </c>
      <c r="U79" s="118">
        <f t="shared" ca="1" si="13"/>
        <v>1177295</v>
      </c>
      <c r="V79" s="118"/>
      <c r="W79" s="118"/>
      <c r="X79" s="118"/>
      <c r="Y79" s="118"/>
      <c r="Z79" s="115"/>
    </row>
    <row r="80" spans="1:26" ht="18" customHeight="1">
      <c r="A80" s="326"/>
      <c r="C80" s="9"/>
      <c r="K80" s="171" t="s">
        <v>78</v>
      </c>
      <c r="L80" s="171"/>
      <c r="M80" s="171"/>
      <c r="N80" s="319" t="s">
        <v>42</v>
      </c>
      <c r="O80" s="174">
        <v>8</v>
      </c>
      <c r="P80" s="235">
        <f ca="1">OFFSET($A$1,MATCH(Z74,$A:$A,0)-1,O80)</f>
        <v>7</v>
      </c>
      <c r="Q80" s="322" t="s">
        <v>29</v>
      </c>
      <c r="R80" s="323">
        <f t="shared" ca="1" si="12"/>
        <v>250087</v>
      </c>
      <c r="S80" s="323">
        <f t="shared" ca="1" si="12"/>
        <v>1750609</v>
      </c>
      <c r="T80" s="323">
        <f ca="1">보조원</f>
        <v>250087</v>
      </c>
      <c r="U80" s="323">
        <f t="shared" ca="1" si="13"/>
        <v>1750609</v>
      </c>
      <c r="V80" s="323"/>
      <c r="W80" s="323"/>
      <c r="X80" s="323"/>
      <c r="Y80" s="323"/>
      <c r="Z80" s="324"/>
    </row>
    <row r="81" spans="1:26" ht="18" customHeight="1">
      <c r="A81" s="326"/>
      <c r="K81" s="171" t="s">
        <v>78</v>
      </c>
      <c r="L81" s="171"/>
      <c r="M81" s="171"/>
      <c r="N81" s="139" t="s">
        <v>106</v>
      </c>
      <c r="O81" s="68"/>
      <c r="P81" s="69"/>
      <c r="Q81" s="70"/>
      <c r="R81" s="71"/>
      <c r="S81" s="71">
        <f ca="1">SUBTOTAL(9,S75:S80)</f>
        <v>6861053</v>
      </c>
      <c r="T81" s="71"/>
      <c r="U81" s="71">
        <f ca="1">SUBTOTAL(9,U75:U80)</f>
        <v>6861053</v>
      </c>
      <c r="V81" s="71"/>
      <c r="W81" s="71"/>
      <c r="X81" s="71"/>
      <c r="Y81" s="71"/>
      <c r="Z81" s="68"/>
    </row>
    <row r="82" spans="1:26" ht="18" customHeight="1">
      <c r="A82" s="326"/>
      <c r="K82" s="171" t="s">
        <v>78</v>
      </c>
      <c r="L82" s="171"/>
      <c r="M82" s="171"/>
      <c r="N82" s="318" t="str">
        <f ca="1">"제 " &amp; Z82 &amp; " 호표  "&amp; OFFSET($A$1,MATCH(Z82,$A:$A,0)-1,2)</f>
        <v>제 2 호표  1.2 관련계획검토</v>
      </c>
      <c r="O82" s="221"/>
      <c r="P82" s="148"/>
      <c r="Q82" s="148"/>
      <c r="R82" s="149"/>
      <c r="S82" s="149"/>
      <c r="T82" s="149"/>
      <c r="U82" s="149"/>
      <c r="V82" s="149"/>
      <c r="W82" s="149"/>
      <c r="X82" s="149"/>
      <c r="Y82" s="149"/>
      <c r="Z82" s="325">
        <f>Z74+1</f>
        <v>2</v>
      </c>
    </row>
    <row r="83" spans="1:26" ht="18" customHeight="1">
      <c r="A83" s="326"/>
      <c r="K83" s="171" t="s">
        <v>78</v>
      </c>
      <c r="L83" s="171"/>
      <c r="M83" s="171"/>
      <c r="N83" s="140" t="s">
        <v>43</v>
      </c>
      <c r="O83" s="172">
        <v>3</v>
      </c>
      <c r="P83" s="219">
        <f ca="1">OFFSET($A$1,MATCH(Z82,$A:$A,0)-1,O83)</f>
        <v>1</v>
      </c>
      <c r="Q83" s="141" t="s">
        <v>29</v>
      </c>
      <c r="R83" s="142">
        <f t="shared" ref="R83:S88" ca="1" si="14">T83</f>
        <v>467217</v>
      </c>
      <c r="S83" s="142">
        <f t="shared" ca="1" si="14"/>
        <v>467217</v>
      </c>
      <c r="T83" s="142">
        <f ca="1">기술사</f>
        <v>467217</v>
      </c>
      <c r="U83" s="142">
        <f t="shared" ref="U83:U88" ca="1" si="15">ROUNDDOWN(P83*R83,0)</f>
        <v>467217</v>
      </c>
      <c r="V83" s="142"/>
      <c r="W83" s="142"/>
      <c r="X83" s="142"/>
      <c r="Y83" s="142"/>
      <c r="Z83" s="114"/>
    </row>
    <row r="84" spans="1:26" ht="18" customHeight="1">
      <c r="A84" s="326"/>
      <c r="K84" s="171" t="s">
        <v>78</v>
      </c>
      <c r="L84" s="171"/>
      <c r="M84" s="171"/>
      <c r="N84" s="143" t="s">
        <v>32</v>
      </c>
      <c r="O84" s="173">
        <v>4</v>
      </c>
      <c r="P84" s="234">
        <f ca="1">OFFSET($A$1,MATCH(Z82,$A:$A,0)-1,O84)</f>
        <v>2</v>
      </c>
      <c r="Q84" s="144" t="s">
        <v>29</v>
      </c>
      <c r="R84" s="118">
        <f t="shared" ca="1" si="14"/>
        <v>373353</v>
      </c>
      <c r="S84" s="118">
        <f t="shared" ca="1" si="14"/>
        <v>746706</v>
      </c>
      <c r="T84" s="118">
        <f ca="1">특급</f>
        <v>373353</v>
      </c>
      <c r="U84" s="118">
        <f t="shared" ca="1" si="15"/>
        <v>746706</v>
      </c>
      <c r="V84" s="118"/>
      <c r="W84" s="118"/>
      <c r="X84" s="118"/>
      <c r="Y84" s="118"/>
      <c r="Z84" s="115"/>
    </row>
    <row r="85" spans="1:26" ht="18" customHeight="1">
      <c r="A85" s="326"/>
      <c r="K85" s="171" t="s">
        <v>78</v>
      </c>
      <c r="L85" s="171"/>
      <c r="M85" s="171"/>
      <c r="N85" s="145" t="s">
        <v>39</v>
      </c>
      <c r="O85" s="173">
        <v>5</v>
      </c>
      <c r="P85" s="234">
        <f ca="1">OFFSET($A$1,MATCH(Z82,$A:$A,0)-1,O85)</f>
        <v>4</v>
      </c>
      <c r="Q85" s="144" t="s">
        <v>29</v>
      </c>
      <c r="R85" s="118">
        <f t="shared" ca="1" si="14"/>
        <v>310884</v>
      </c>
      <c r="S85" s="118">
        <f t="shared" ca="1" si="14"/>
        <v>1243536</v>
      </c>
      <c r="T85" s="118">
        <f ca="1">고급</f>
        <v>310884</v>
      </c>
      <c r="U85" s="118">
        <f t="shared" ca="1" si="15"/>
        <v>1243536</v>
      </c>
      <c r="V85" s="118"/>
      <c r="W85" s="118"/>
      <c r="X85" s="118"/>
      <c r="Y85" s="118"/>
      <c r="Z85" s="115"/>
    </row>
    <row r="86" spans="1:26" ht="18" customHeight="1">
      <c r="A86" s="326"/>
      <c r="K86" s="171" t="s">
        <v>78</v>
      </c>
      <c r="L86" s="171"/>
      <c r="M86" s="171"/>
      <c r="N86" s="145" t="s">
        <v>40</v>
      </c>
      <c r="O86" s="173">
        <v>6</v>
      </c>
      <c r="P86" s="234">
        <f ca="1">OFFSET($A$1,MATCH(Z82,$A:$A,0)-1,O86)</f>
        <v>5</v>
      </c>
      <c r="Q86" s="144" t="s">
        <v>29</v>
      </c>
      <c r="R86" s="118">
        <f t="shared" ca="1" si="14"/>
        <v>295138</v>
      </c>
      <c r="S86" s="118">
        <f t="shared" ca="1" si="14"/>
        <v>1475690</v>
      </c>
      <c r="T86" s="118">
        <f ca="1">중급</f>
        <v>295138</v>
      </c>
      <c r="U86" s="118">
        <f t="shared" ca="1" si="15"/>
        <v>1475690</v>
      </c>
      <c r="V86" s="118"/>
      <c r="W86" s="118"/>
      <c r="X86" s="118"/>
      <c r="Y86" s="118"/>
      <c r="Z86" s="115"/>
    </row>
    <row r="87" spans="1:26" ht="18" customHeight="1">
      <c r="A87" s="326"/>
      <c r="K87" s="171" t="s">
        <v>78</v>
      </c>
      <c r="L87" s="171"/>
      <c r="M87" s="171"/>
      <c r="N87" s="145" t="s">
        <v>41</v>
      </c>
      <c r="O87" s="173">
        <v>7</v>
      </c>
      <c r="P87" s="234">
        <f ca="1">OFFSET($A$1,MATCH(Z82,$A:$A,0)-1,O87)</f>
        <v>5</v>
      </c>
      <c r="Q87" s="144" t="s">
        <v>29</v>
      </c>
      <c r="R87" s="118">
        <f t="shared" ca="1" si="14"/>
        <v>235459</v>
      </c>
      <c r="S87" s="118">
        <f t="shared" ca="1" si="14"/>
        <v>1177295</v>
      </c>
      <c r="T87" s="118">
        <f ca="1">초급</f>
        <v>235459</v>
      </c>
      <c r="U87" s="118">
        <f t="shared" ca="1" si="15"/>
        <v>1177295</v>
      </c>
      <c r="V87" s="118"/>
      <c r="W87" s="118"/>
      <c r="X87" s="118"/>
      <c r="Y87" s="118"/>
      <c r="Z87" s="115"/>
    </row>
    <row r="88" spans="1:26" ht="18" customHeight="1">
      <c r="A88" s="326"/>
      <c r="K88" s="171" t="s">
        <v>78</v>
      </c>
      <c r="L88" s="171"/>
      <c r="M88" s="171"/>
      <c r="N88" s="319" t="s">
        <v>42</v>
      </c>
      <c r="O88" s="174">
        <v>8</v>
      </c>
      <c r="P88" s="235">
        <f ca="1">OFFSET($A$1,MATCH(Z82,$A:$A,0)-1,O88)</f>
        <v>7</v>
      </c>
      <c r="Q88" s="322" t="s">
        <v>29</v>
      </c>
      <c r="R88" s="323">
        <f t="shared" ca="1" si="14"/>
        <v>250087</v>
      </c>
      <c r="S88" s="323">
        <f t="shared" ca="1" si="14"/>
        <v>1750609</v>
      </c>
      <c r="T88" s="323">
        <f ca="1">보조원</f>
        <v>250087</v>
      </c>
      <c r="U88" s="323">
        <f t="shared" ca="1" si="15"/>
        <v>1750609</v>
      </c>
      <c r="V88" s="323"/>
      <c r="W88" s="323"/>
      <c r="X88" s="323"/>
      <c r="Y88" s="323"/>
      <c r="Z88" s="324"/>
    </row>
    <row r="89" spans="1:26" ht="18" customHeight="1">
      <c r="A89" s="326"/>
      <c r="K89" s="171" t="s">
        <v>78</v>
      </c>
      <c r="L89" s="171"/>
      <c r="M89" s="171"/>
      <c r="N89" s="139" t="s">
        <v>106</v>
      </c>
      <c r="O89" s="68"/>
      <c r="P89" s="69"/>
      <c r="Q89" s="70"/>
      <c r="R89" s="71"/>
      <c r="S89" s="71">
        <f ca="1">SUBTOTAL(9,S83:S88)</f>
        <v>6861053</v>
      </c>
      <c r="T89" s="71"/>
      <c r="U89" s="71">
        <f ca="1">SUBTOTAL(9,U83:U88)</f>
        <v>6861053</v>
      </c>
      <c r="V89" s="71"/>
      <c r="W89" s="71"/>
      <c r="X89" s="71"/>
      <c r="Y89" s="71"/>
      <c r="Z89" s="68"/>
    </row>
    <row r="90" spans="1:26" ht="18" customHeight="1">
      <c r="A90" s="326"/>
      <c r="K90" s="171" t="s">
        <v>78</v>
      </c>
      <c r="L90" s="171"/>
      <c r="M90" s="171"/>
      <c r="N90" s="318" t="str">
        <f ca="1">"제 " &amp; Z90 &amp; " 호표  "&amp; OFFSET($A$1,MATCH(Z90,$A:$A,0)-1,2)</f>
        <v>제 3 호표  1.3 주변지역과의 상관성 검토</v>
      </c>
      <c r="O90" s="221"/>
      <c r="P90" s="148"/>
      <c r="Q90" s="148"/>
      <c r="R90" s="149"/>
      <c r="S90" s="149"/>
      <c r="T90" s="149"/>
      <c r="U90" s="149"/>
      <c r="V90" s="149"/>
      <c r="W90" s="149"/>
      <c r="X90" s="149"/>
      <c r="Y90" s="149"/>
      <c r="Z90" s="325">
        <f>Z82+1</f>
        <v>3</v>
      </c>
    </row>
    <row r="91" spans="1:26" ht="18" customHeight="1">
      <c r="A91" s="326"/>
      <c r="K91" s="171" t="s">
        <v>78</v>
      </c>
      <c r="L91" s="171"/>
      <c r="M91" s="171"/>
      <c r="N91" s="140" t="s">
        <v>43</v>
      </c>
      <c r="O91" s="172">
        <v>3</v>
      </c>
      <c r="P91" s="219">
        <f ca="1">OFFSET($A$1,MATCH(Z90,$A:$A,0)-1,O91)</f>
        <v>2</v>
      </c>
      <c r="Q91" s="141" t="s">
        <v>29</v>
      </c>
      <c r="R91" s="142">
        <f t="shared" ref="R91:R96" ca="1" si="16">T91</f>
        <v>467217</v>
      </c>
      <c r="S91" s="142">
        <f t="shared" ref="S91:S96" ca="1" si="17">U91</f>
        <v>934434</v>
      </c>
      <c r="T91" s="142">
        <f ca="1">기술사</f>
        <v>467217</v>
      </c>
      <c r="U91" s="142">
        <f t="shared" ref="U91:U96" ca="1" si="18">ROUNDDOWN(P91*R91,0)</f>
        <v>934434</v>
      </c>
      <c r="V91" s="142"/>
      <c r="W91" s="142"/>
      <c r="X91" s="142"/>
      <c r="Y91" s="142"/>
      <c r="Z91" s="114"/>
    </row>
    <row r="92" spans="1:26" ht="18" customHeight="1">
      <c r="A92" s="326"/>
      <c r="K92" s="171" t="s">
        <v>78</v>
      </c>
      <c r="L92" s="171"/>
      <c r="M92" s="171"/>
      <c r="N92" s="143" t="s">
        <v>32</v>
      </c>
      <c r="O92" s="173">
        <v>4</v>
      </c>
      <c r="P92" s="234">
        <f ca="1">OFFSET($A$1,MATCH(Z90,$A:$A,0)-1,O92)</f>
        <v>3</v>
      </c>
      <c r="Q92" s="144" t="s">
        <v>29</v>
      </c>
      <c r="R92" s="118">
        <f t="shared" ca="1" si="16"/>
        <v>373353</v>
      </c>
      <c r="S92" s="118">
        <f t="shared" ca="1" si="17"/>
        <v>1120059</v>
      </c>
      <c r="T92" s="118">
        <f ca="1">특급</f>
        <v>373353</v>
      </c>
      <c r="U92" s="118">
        <f t="shared" ca="1" si="18"/>
        <v>1120059</v>
      </c>
      <c r="V92" s="118"/>
      <c r="W92" s="118"/>
      <c r="X92" s="118"/>
      <c r="Y92" s="118"/>
      <c r="Z92" s="115"/>
    </row>
    <row r="93" spans="1:26" ht="18" customHeight="1">
      <c r="K93" s="171" t="s">
        <v>78</v>
      </c>
      <c r="L93" s="171"/>
      <c r="M93" s="171"/>
      <c r="N93" s="145" t="s">
        <v>39</v>
      </c>
      <c r="O93" s="173">
        <v>5</v>
      </c>
      <c r="P93" s="234">
        <f ca="1">OFFSET($A$1,MATCH(Z90,$A:$A,0)-1,O93)</f>
        <v>4</v>
      </c>
      <c r="Q93" s="144" t="s">
        <v>29</v>
      </c>
      <c r="R93" s="118">
        <f t="shared" ca="1" si="16"/>
        <v>310884</v>
      </c>
      <c r="S93" s="118">
        <f t="shared" ca="1" si="17"/>
        <v>1243536</v>
      </c>
      <c r="T93" s="118">
        <f ca="1">고급</f>
        <v>310884</v>
      </c>
      <c r="U93" s="118">
        <f t="shared" ca="1" si="18"/>
        <v>1243536</v>
      </c>
      <c r="V93" s="118"/>
      <c r="W93" s="118"/>
      <c r="X93" s="118"/>
      <c r="Y93" s="118"/>
      <c r="Z93" s="115"/>
    </row>
    <row r="94" spans="1:26" ht="18" customHeight="1">
      <c r="K94" s="171" t="s">
        <v>78</v>
      </c>
      <c r="L94" s="171"/>
      <c r="M94" s="171"/>
      <c r="N94" s="145" t="s">
        <v>40</v>
      </c>
      <c r="O94" s="173">
        <v>6</v>
      </c>
      <c r="P94" s="234">
        <f ca="1">OFFSET($A$1,MATCH(Z90,$A:$A,0)-1,O94)</f>
        <v>5</v>
      </c>
      <c r="Q94" s="144" t="s">
        <v>29</v>
      </c>
      <c r="R94" s="118">
        <f t="shared" ca="1" si="16"/>
        <v>295138</v>
      </c>
      <c r="S94" s="118">
        <f t="shared" ca="1" si="17"/>
        <v>1475690</v>
      </c>
      <c r="T94" s="118">
        <f ca="1">중급</f>
        <v>295138</v>
      </c>
      <c r="U94" s="118">
        <f t="shared" ca="1" si="18"/>
        <v>1475690</v>
      </c>
      <c r="V94" s="118"/>
      <c r="W94" s="118"/>
      <c r="X94" s="118"/>
      <c r="Y94" s="118"/>
      <c r="Z94" s="115"/>
    </row>
    <row r="95" spans="1:26" ht="18" customHeight="1">
      <c r="K95" s="171" t="s">
        <v>78</v>
      </c>
      <c r="L95" s="171"/>
      <c r="M95" s="171"/>
      <c r="N95" s="145" t="s">
        <v>41</v>
      </c>
      <c r="O95" s="173">
        <v>7</v>
      </c>
      <c r="P95" s="234">
        <f ca="1">OFFSET($A$1,MATCH(Z90,$A:$A,0)-1,O95)</f>
        <v>7</v>
      </c>
      <c r="Q95" s="144" t="s">
        <v>29</v>
      </c>
      <c r="R95" s="118">
        <f t="shared" ca="1" si="16"/>
        <v>235459</v>
      </c>
      <c r="S95" s="118">
        <f t="shared" ca="1" si="17"/>
        <v>1648213</v>
      </c>
      <c r="T95" s="118">
        <f ca="1">초급</f>
        <v>235459</v>
      </c>
      <c r="U95" s="118">
        <f t="shared" ca="1" si="18"/>
        <v>1648213</v>
      </c>
      <c r="V95" s="118"/>
      <c r="W95" s="118"/>
      <c r="X95" s="118"/>
      <c r="Y95" s="118"/>
      <c r="Z95" s="115"/>
    </row>
    <row r="96" spans="1:26" ht="18" customHeight="1">
      <c r="K96" s="171" t="s">
        <v>78</v>
      </c>
      <c r="L96" s="171"/>
      <c r="M96" s="171"/>
      <c r="N96" s="319" t="s">
        <v>42</v>
      </c>
      <c r="O96" s="174">
        <v>8</v>
      </c>
      <c r="P96" s="235">
        <f ca="1">OFFSET($A$1,MATCH(Z90,$A:$A,0)-1,O96)</f>
        <v>8</v>
      </c>
      <c r="Q96" s="322" t="s">
        <v>29</v>
      </c>
      <c r="R96" s="323">
        <f t="shared" ca="1" si="16"/>
        <v>250087</v>
      </c>
      <c r="S96" s="323">
        <f t="shared" ca="1" si="17"/>
        <v>2000696</v>
      </c>
      <c r="T96" s="323">
        <f ca="1">보조원</f>
        <v>250087</v>
      </c>
      <c r="U96" s="323">
        <f t="shared" ca="1" si="18"/>
        <v>2000696</v>
      </c>
      <c r="V96" s="323"/>
      <c r="W96" s="323"/>
      <c r="X96" s="323"/>
      <c r="Y96" s="323"/>
      <c r="Z96" s="324"/>
    </row>
    <row r="97" spans="11:26" ht="18" customHeight="1">
      <c r="K97" s="171" t="s">
        <v>78</v>
      </c>
      <c r="L97" s="171"/>
      <c r="M97" s="171"/>
      <c r="N97" s="139" t="s">
        <v>106</v>
      </c>
      <c r="O97" s="68"/>
      <c r="P97" s="69"/>
      <c r="Q97" s="70"/>
      <c r="R97" s="71"/>
      <c r="S97" s="71">
        <f ca="1">SUBTOTAL(9,S91:S96)</f>
        <v>8422628</v>
      </c>
      <c r="T97" s="71"/>
      <c r="U97" s="71">
        <f ca="1">SUBTOTAL(9,U91:U96)</f>
        <v>8422628</v>
      </c>
      <c r="V97" s="71"/>
      <c r="W97" s="71"/>
      <c r="X97" s="71"/>
      <c r="Y97" s="71"/>
      <c r="Z97" s="68"/>
    </row>
    <row r="98" spans="11:26" ht="18" customHeight="1">
      <c r="K98" s="171" t="s">
        <v>78</v>
      </c>
      <c r="L98" s="171"/>
      <c r="M98" s="171"/>
      <c r="N98" s="318" t="str">
        <f ca="1">"제 " &amp; Z98 &amp; " 호표  "&amp; OFFSET($A$1,MATCH(Z98,$A:$A,0)-1,2)</f>
        <v>제 4 호표  2.1 관리목표와 기본방향</v>
      </c>
      <c r="O98" s="221"/>
      <c r="P98" s="148"/>
      <c r="Q98" s="148"/>
      <c r="R98" s="149"/>
      <c r="S98" s="149"/>
      <c r="T98" s="149"/>
      <c r="U98" s="149"/>
      <c r="V98" s="149"/>
      <c r="W98" s="149"/>
      <c r="X98" s="149"/>
      <c r="Y98" s="149"/>
      <c r="Z98" s="325">
        <f>Z90+1</f>
        <v>4</v>
      </c>
    </row>
    <row r="99" spans="11:26" ht="18" customHeight="1">
      <c r="K99" s="171" t="s">
        <v>78</v>
      </c>
      <c r="L99" s="171"/>
      <c r="M99" s="171"/>
      <c r="N99" s="140" t="s">
        <v>43</v>
      </c>
      <c r="O99" s="172">
        <v>3</v>
      </c>
      <c r="P99" s="219">
        <f ca="1">OFFSET($A$1,MATCH(Z98,$A:$A,0)-1,O99)</f>
        <v>1</v>
      </c>
      <c r="Q99" s="141" t="s">
        <v>29</v>
      </c>
      <c r="R99" s="142">
        <f t="shared" ref="R99:R104" ca="1" si="19">T99</f>
        <v>467217</v>
      </c>
      <c r="S99" s="142">
        <f t="shared" ref="S99:S104" ca="1" si="20">U99</f>
        <v>467217</v>
      </c>
      <c r="T99" s="142">
        <f ca="1">기술사</f>
        <v>467217</v>
      </c>
      <c r="U99" s="142">
        <f t="shared" ref="U99:U104" ca="1" si="21">ROUNDDOWN(P99*R99,0)</f>
        <v>467217</v>
      </c>
      <c r="V99" s="142"/>
      <c r="W99" s="142"/>
      <c r="X99" s="142"/>
      <c r="Y99" s="142"/>
      <c r="Z99" s="114"/>
    </row>
    <row r="100" spans="11:26" ht="18" customHeight="1">
      <c r="K100" s="171" t="s">
        <v>78</v>
      </c>
      <c r="L100" s="171"/>
      <c r="M100" s="171"/>
      <c r="N100" s="143" t="s">
        <v>32</v>
      </c>
      <c r="O100" s="173">
        <v>4</v>
      </c>
      <c r="P100" s="234">
        <f ca="1">OFFSET($A$1,MATCH(Z98,$A:$A,0)-1,O100)</f>
        <v>2</v>
      </c>
      <c r="Q100" s="144" t="s">
        <v>29</v>
      </c>
      <c r="R100" s="118">
        <f t="shared" ca="1" si="19"/>
        <v>373353</v>
      </c>
      <c r="S100" s="118">
        <f t="shared" ca="1" si="20"/>
        <v>746706</v>
      </c>
      <c r="T100" s="118">
        <f ca="1">특급</f>
        <v>373353</v>
      </c>
      <c r="U100" s="118">
        <f t="shared" ca="1" si="21"/>
        <v>746706</v>
      </c>
      <c r="V100" s="118"/>
      <c r="W100" s="118"/>
      <c r="X100" s="118"/>
      <c r="Y100" s="118"/>
      <c r="Z100" s="115"/>
    </row>
    <row r="101" spans="11:26" ht="18" customHeight="1">
      <c r="K101" s="171" t="s">
        <v>78</v>
      </c>
      <c r="L101" s="171"/>
      <c r="M101" s="171"/>
      <c r="N101" s="145" t="s">
        <v>39</v>
      </c>
      <c r="O101" s="173">
        <v>5</v>
      </c>
      <c r="P101" s="234">
        <f ca="1">OFFSET($A$1,MATCH(Z98,$A:$A,0)-1,O101)</f>
        <v>3</v>
      </c>
      <c r="Q101" s="144" t="s">
        <v>29</v>
      </c>
      <c r="R101" s="118">
        <f t="shared" ca="1" si="19"/>
        <v>310884</v>
      </c>
      <c r="S101" s="118">
        <f t="shared" ca="1" si="20"/>
        <v>932652</v>
      </c>
      <c r="T101" s="118">
        <f ca="1">고급</f>
        <v>310884</v>
      </c>
      <c r="U101" s="118">
        <f t="shared" ca="1" si="21"/>
        <v>932652</v>
      </c>
      <c r="V101" s="118"/>
      <c r="W101" s="118"/>
      <c r="X101" s="118"/>
      <c r="Y101" s="118"/>
      <c r="Z101" s="115"/>
    </row>
    <row r="102" spans="11:26" ht="18" customHeight="1">
      <c r="K102" s="171" t="s">
        <v>78</v>
      </c>
      <c r="L102" s="171"/>
      <c r="M102" s="171"/>
      <c r="N102" s="145" t="s">
        <v>40</v>
      </c>
      <c r="O102" s="173">
        <v>6</v>
      </c>
      <c r="P102" s="234">
        <f ca="1">OFFSET($A$1,MATCH(Z98,$A:$A,0)-1,O102)</f>
        <v>5</v>
      </c>
      <c r="Q102" s="144" t="s">
        <v>29</v>
      </c>
      <c r="R102" s="118">
        <f t="shared" ca="1" si="19"/>
        <v>295138</v>
      </c>
      <c r="S102" s="118">
        <f t="shared" ca="1" si="20"/>
        <v>1475690</v>
      </c>
      <c r="T102" s="118">
        <f ca="1">중급</f>
        <v>295138</v>
      </c>
      <c r="U102" s="118">
        <f t="shared" ca="1" si="21"/>
        <v>1475690</v>
      </c>
      <c r="V102" s="118"/>
      <c r="W102" s="118"/>
      <c r="X102" s="118"/>
      <c r="Y102" s="118"/>
      <c r="Z102" s="115"/>
    </row>
    <row r="103" spans="11:26" ht="18" customHeight="1">
      <c r="K103" s="171" t="s">
        <v>78</v>
      </c>
      <c r="L103" s="171"/>
      <c r="M103" s="171"/>
      <c r="N103" s="145" t="s">
        <v>41</v>
      </c>
      <c r="O103" s="173">
        <v>7</v>
      </c>
      <c r="P103" s="234">
        <f ca="1">OFFSET($A$1,MATCH(Z98,$A:$A,0)-1,O103)</f>
        <v>3</v>
      </c>
      <c r="Q103" s="144" t="s">
        <v>29</v>
      </c>
      <c r="R103" s="118">
        <f t="shared" ca="1" si="19"/>
        <v>235459</v>
      </c>
      <c r="S103" s="118">
        <f t="shared" ca="1" si="20"/>
        <v>706377</v>
      </c>
      <c r="T103" s="118">
        <f ca="1">초급</f>
        <v>235459</v>
      </c>
      <c r="U103" s="118">
        <f t="shared" ca="1" si="21"/>
        <v>706377</v>
      </c>
      <c r="V103" s="118"/>
      <c r="W103" s="118"/>
      <c r="X103" s="118"/>
      <c r="Y103" s="118"/>
      <c r="Z103" s="115"/>
    </row>
    <row r="104" spans="11:26" ht="18" customHeight="1">
      <c r="K104" s="171" t="s">
        <v>78</v>
      </c>
      <c r="L104" s="171"/>
      <c r="M104" s="171"/>
      <c r="N104" s="319" t="s">
        <v>42</v>
      </c>
      <c r="O104" s="174">
        <v>8</v>
      </c>
      <c r="P104" s="235">
        <f ca="1">OFFSET($A$1,MATCH(Z98,$A:$A,0)-1,O104)</f>
        <v>2</v>
      </c>
      <c r="Q104" s="322" t="s">
        <v>29</v>
      </c>
      <c r="R104" s="323">
        <f t="shared" ca="1" si="19"/>
        <v>250087</v>
      </c>
      <c r="S104" s="323">
        <f t="shared" ca="1" si="20"/>
        <v>500174</v>
      </c>
      <c r="T104" s="323">
        <f ca="1">보조원</f>
        <v>250087</v>
      </c>
      <c r="U104" s="323">
        <f t="shared" ca="1" si="21"/>
        <v>500174</v>
      </c>
      <c r="V104" s="323"/>
      <c r="W104" s="323"/>
      <c r="X104" s="323"/>
      <c r="Y104" s="323"/>
      <c r="Z104" s="324"/>
    </row>
    <row r="105" spans="11:26" ht="18" customHeight="1">
      <c r="K105" s="171" t="s">
        <v>78</v>
      </c>
      <c r="L105" s="171"/>
      <c r="M105" s="171"/>
      <c r="N105" s="139" t="s">
        <v>106</v>
      </c>
      <c r="O105" s="68"/>
      <c r="P105" s="69"/>
      <c r="Q105" s="70"/>
      <c r="R105" s="71"/>
      <c r="S105" s="71">
        <f ca="1">SUBTOTAL(9,S99:S104)</f>
        <v>4828816</v>
      </c>
      <c r="T105" s="71"/>
      <c r="U105" s="71">
        <f ca="1">SUBTOTAL(9,U99:U104)</f>
        <v>4828816</v>
      </c>
      <c r="V105" s="71"/>
      <c r="W105" s="71"/>
      <c r="X105" s="71"/>
      <c r="Y105" s="71"/>
      <c r="Z105" s="68"/>
    </row>
    <row r="106" spans="11:26" ht="18" customHeight="1">
      <c r="K106" s="171" t="s">
        <v>78</v>
      </c>
      <c r="L106" s="171"/>
      <c r="M106" s="171"/>
      <c r="N106" s="318" t="str">
        <f ca="1">"제 " &amp; Z106 &amp; " 호표  "&amp; OFFSET($A$1,MATCH(Z106,$A:$A,0)-1,2)</f>
        <v>제 5 호표  2.2 현황 및 실태조사</v>
      </c>
      <c r="O106" s="221"/>
      <c r="P106" s="148"/>
      <c r="Q106" s="148"/>
      <c r="R106" s="149"/>
      <c r="S106" s="149"/>
      <c r="T106" s="149"/>
      <c r="U106" s="149"/>
      <c r="V106" s="149"/>
      <c r="W106" s="149"/>
      <c r="X106" s="149"/>
      <c r="Y106" s="149"/>
      <c r="Z106" s="325">
        <f>Z98+1</f>
        <v>5</v>
      </c>
    </row>
    <row r="107" spans="11:26" ht="18" customHeight="1">
      <c r="K107" s="171" t="s">
        <v>78</v>
      </c>
      <c r="L107" s="171"/>
      <c r="M107" s="171"/>
      <c r="N107" s="140" t="s">
        <v>43</v>
      </c>
      <c r="O107" s="172">
        <v>3</v>
      </c>
      <c r="P107" s="219">
        <f ca="1">OFFSET($A$1,MATCH(Z106,$A:$A,0)-1,O107)</f>
        <v>2</v>
      </c>
      <c r="Q107" s="141" t="s">
        <v>29</v>
      </c>
      <c r="R107" s="142">
        <f t="shared" ref="R107:R112" ca="1" si="22">T107</f>
        <v>467217</v>
      </c>
      <c r="S107" s="142">
        <f t="shared" ref="S107:S112" ca="1" si="23">U107</f>
        <v>934434</v>
      </c>
      <c r="T107" s="142">
        <f ca="1">기술사</f>
        <v>467217</v>
      </c>
      <c r="U107" s="142">
        <f t="shared" ref="U107:U112" ca="1" si="24">ROUNDDOWN(P107*R107,0)</f>
        <v>934434</v>
      </c>
      <c r="V107" s="142"/>
      <c r="W107" s="142"/>
      <c r="X107" s="142"/>
      <c r="Y107" s="142"/>
      <c r="Z107" s="114"/>
    </row>
    <row r="108" spans="11:26" ht="18" customHeight="1">
      <c r="K108" s="171" t="s">
        <v>78</v>
      </c>
      <c r="L108" s="171"/>
      <c r="M108" s="171"/>
      <c r="N108" s="143" t="s">
        <v>32</v>
      </c>
      <c r="O108" s="173">
        <v>4</v>
      </c>
      <c r="P108" s="234">
        <f ca="1">OFFSET($A$1,MATCH(Z106,$A:$A,0)-1,O108)</f>
        <v>6</v>
      </c>
      <c r="Q108" s="144" t="s">
        <v>29</v>
      </c>
      <c r="R108" s="118">
        <f t="shared" ca="1" si="22"/>
        <v>373353</v>
      </c>
      <c r="S108" s="118">
        <f t="shared" ca="1" si="23"/>
        <v>2240118</v>
      </c>
      <c r="T108" s="118">
        <f ca="1">특급</f>
        <v>373353</v>
      </c>
      <c r="U108" s="118">
        <f t="shared" ca="1" si="24"/>
        <v>2240118</v>
      </c>
      <c r="V108" s="118"/>
      <c r="W108" s="118"/>
      <c r="X108" s="118"/>
      <c r="Y108" s="118"/>
      <c r="Z108" s="115"/>
    </row>
    <row r="109" spans="11:26" ht="18" customHeight="1">
      <c r="K109" s="171" t="s">
        <v>78</v>
      </c>
      <c r="L109" s="171"/>
      <c r="M109" s="171"/>
      <c r="N109" s="145" t="s">
        <v>39</v>
      </c>
      <c r="O109" s="173">
        <v>5</v>
      </c>
      <c r="P109" s="234">
        <f ca="1">OFFSET($A$1,MATCH(Z106,$A:$A,0)-1,O109)</f>
        <v>9</v>
      </c>
      <c r="Q109" s="144" t="s">
        <v>29</v>
      </c>
      <c r="R109" s="118">
        <f t="shared" ca="1" si="22"/>
        <v>310884</v>
      </c>
      <c r="S109" s="118">
        <f t="shared" ca="1" si="23"/>
        <v>2797956</v>
      </c>
      <c r="T109" s="118">
        <f ca="1">고급</f>
        <v>310884</v>
      </c>
      <c r="U109" s="118">
        <f t="shared" ca="1" si="24"/>
        <v>2797956</v>
      </c>
      <c r="V109" s="118"/>
      <c r="W109" s="118"/>
      <c r="X109" s="118"/>
      <c r="Y109" s="118"/>
      <c r="Z109" s="115"/>
    </row>
    <row r="110" spans="11:26" ht="18" customHeight="1">
      <c r="K110" s="171" t="s">
        <v>78</v>
      </c>
      <c r="L110" s="171"/>
      <c r="M110" s="171"/>
      <c r="N110" s="145" t="s">
        <v>40</v>
      </c>
      <c r="O110" s="173">
        <v>6</v>
      </c>
      <c r="P110" s="234">
        <f ca="1">OFFSET($A$1,MATCH(Z106,$A:$A,0)-1,O110)</f>
        <v>15</v>
      </c>
      <c r="Q110" s="144" t="s">
        <v>29</v>
      </c>
      <c r="R110" s="118">
        <f t="shared" ca="1" si="22"/>
        <v>295138</v>
      </c>
      <c r="S110" s="118">
        <f t="shared" ca="1" si="23"/>
        <v>4427070</v>
      </c>
      <c r="T110" s="118">
        <f ca="1">중급</f>
        <v>295138</v>
      </c>
      <c r="U110" s="118">
        <f t="shared" ca="1" si="24"/>
        <v>4427070</v>
      </c>
      <c r="V110" s="118"/>
      <c r="W110" s="118"/>
      <c r="X110" s="118"/>
      <c r="Y110" s="118"/>
      <c r="Z110" s="115"/>
    </row>
    <row r="111" spans="11:26" ht="18" customHeight="1">
      <c r="K111" s="171" t="s">
        <v>78</v>
      </c>
      <c r="L111" s="171"/>
      <c r="M111" s="171"/>
      <c r="N111" s="145" t="s">
        <v>41</v>
      </c>
      <c r="O111" s="173">
        <v>7</v>
      </c>
      <c r="P111" s="234">
        <f ca="1">OFFSET($A$1,MATCH(Z106,$A:$A,0)-1,O111)</f>
        <v>18</v>
      </c>
      <c r="Q111" s="144" t="s">
        <v>29</v>
      </c>
      <c r="R111" s="118">
        <f t="shared" ca="1" si="22"/>
        <v>235459</v>
      </c>
      <c r="S111" s="118">
        <f t="shared" ca="1" si="23"/>
        <v>4238262</v>
      </c>
      <c r="T111" s="118">
        <f ca="1">초급</f>
        <v>235459</v>
      </c>
      <c r="U111" s="118">
        <f t="shared" ca="1" si="24"/>
        <v>4238262</v>
      </c>
      <c r="V111" s="118"/>
      <c r="W111" s="118"/>
      <c r="X111" s="118"/>
      <c r="Y111" s="118"/>
      <c r="Z111" s="115"/>
    </row>
    <row r="112" spans="11:26" ht="18" customHeight="1">
      <c r="K112" s="171" t="s">
        <v>78</v>
      </c>
      <c r="L112" s="171"/>
      <c r="M112" s="171"/>
      <c r="N112" s="319" t="s">
        <v>42</v>
      </c>
      <c r="O112" s="174">
        <v>8</v>
      </c>
      <c r="P112" s="235">
        <f ca="1">OFFSET($A$1,MATCH(Z106,$A:$A,0)-1,O112)</f>
        <v>25</v>
      </c>
      <c r="Q112" s="322" t="s">
        <v>29</v>
      </c>
      <c r="R112" s="323">
        <f t="shared" ca="1" si="22"/>
        <v>250087</v>
      </c>
      <c r="S112" s="323">
        <f t="shared" ca="1" si="23"/>
        <v>6252175</v>
      </c>
      <c r="T112" s="323">
        <f ca="1">보조원</f>
        <v>250087</v>
      </c>
      <c r="U112" s="323">
        <f t="shared" ca="1" si="24"/>
        <v>6252175</v>
      </c>
      <c r="V112" s="323"/>
      <c r="W112" s="323"/>
      <c r="X112" s="323"/>
      <c r="Y112" s="323"/>
      <c r="Z112" s="324"/>
    </row>
    <row r="113" spans="11:26" ht="18" customHeight="1">
      <c r="K113" s="171" t="s">
        <v>78</v>
      </c>
      <c r="L113" s="171"/>
      <c r="M113" s="171"/>
      <c r="N113" s="139" t="s">
        <v>106</v>
      </c>
      <c r="O113" s="68"/>
      <c r="P113" s="69"/>
      <c r="Q113" s="70"/>
      <c r="R113" s="71"/>
      <c r="S113" s="71">
        <f ca="1">SUBTOTAL(9,S107:S112)</f>
        <v>20890015</v>
      </c>
      <c r="T113" s="71"/>
      <c r="U113" s="71">
        <f ca="1">SUBTOTAL(9,U107:U112)</f>
        <v>20890015</v>
      </c>
      <c r="V113" s="71"/>
      <c r="W113" s="71"/>
      <c r="X113" s="71"/>
      <c r="Y113" s="71"/>
      <c r="Z113" s="68"/>
    </row>
    <row r="114" spans="11:26" ht="18" customHeight="1">
      <c r="K114" s="171" t="s">
        <v>78</v>
      </c>
      <c r="L114" s="171"/>
      <c r="M114" s="171"/>
      <c r="N114" s="318" t="str">
        <f ca="1">"제 " &amp; Z114 &amp; " 호표  "&amp; OFFSET($A$1,MATCH(Z114,$A:$A,0)-1,2)</f>
        <v>제 6 호표  3.1 토지이용 및 보전</v>
      </c>
      <c r="O114" s="221"/>
      <c r="P114" s="148"/>
      <c r="Q114" s="148"/>
      <c r="R114" s="149"/>
      <c r="S114" s="149"/>
      <c r="T114" s="149"/>
      <c r="U114" s="149"/>
      <c r="V114" s="149"/>
      <c r="W114" s="149"/>
      <c r="X114" s="149"/>
      <c r="Y114" s="149"/>
      <c r="Z114" s="325">
        <f>Z106+1</f>
        <v>6</v>
      </c>
    </row>
    <row r="115" spans="11:26" ht="18" customHeight="1">
      <c r="K115" s="171" t="s">
        <v>78</v>
      </c>
      <c r="L115" s="171"/>
      <c r="M115" s="171"/>
      <c r="N115" s="140" t="s">
        <v>43</v>
      </c>
      <c r="O115" s="172">
        <v>3</v>
      </c>
      <c r="P115" s="219">
        <f ca="1">OFFSET($A$1,MATCH(Z114,$A:$A,0)-1,O115)</f>
        <v>1</v>
      </c>
      <c r="Q115" s="141" t="s">
        <v>29</v>
      </c>
      <c r="R115" s="142">
        <f t="shared" ref="R115:R120" ca="1" si="25">T115</f>
        <v>467217</v>
      </c>
      <c r="S115" s="142">
        <f t="shared" ref="S115:S120" ca="1" si="26">U115</f>
        <v>467217</v>
      </c>
      <c r="T115" s="142">
        <f ca="1">기술사</f>
        <v>467217</v>
      </c>
      <c r="U115" s="142">
        <f t="shared" ref="U115:U120" ca="1" si="27">ROUNDDOWN(P115*R115,0)</f>
        <v>467217</v>
      </c>
      <c r="V115" s="142"/>
      <c r="W115" s="142"/>
      <c r="X115" s="142"/>
      <c r="Y115" s="142"/>
      <c r="Z115" s="114"/>
    </row>
    <row r="116" spans="11:26" ht="18" customHeight="1">
      <c r="K116" s="171" t="s">
        <v>78</v>
      </c>
      <c r="L116" s="171"/>
      <c r="M116" s="171"/>
      <c r="N116" s="143" t="s">
        <v>32</v>
      </c>
      <c r="O116" s="173">
        <v>4</v>
      </c>
      <c r="P116" s="234">
        <f ca="1">OFFSET($A$1,MATCH(Z114,$A:$A,0)-1,O116)</f>
        <v>3</v>
      </c>
      <c r="Q116" s="144" t="s">
        <v>29</v>
      </c>
      <c r="R116" s="118">
        <f t="shared" ca="1" si="25"/>
        <v>373353</v>
      </c>
      <c r="S116" s="118">
        <f t="shared" ca="1" si="26"/>
        <v>1120059</v>
      </c>
      <c r="T116" s="118">
        <f ca="1">특급</f>
        <v>373353</v>
      </c>
      <c r="U116" s="118">
        <f t="shared" ca="1" si="27"/>
        <v>1120059</v>
      </c>
      <c r="V116" s="118"/>
      <c r="W116" s="118"/>
      <c r="X116" s="118"/>
      <c r="Y116" s="118"/>
      <c r="Z116" s="115"/>
    </row>
    <row r="117" spans="11:26" ht="18" customHeight="1">
      <c r="K117" s="171" t="s">
        <v>78</v>
      </c>
      <c r="L117" s="171"/>
      <c r="M117" s="171"/>
      <c r="N117" s="145" t="s">
        <v>39</v>
      </c>
      <c r="O117" s="173">
        <v>5</v>
      </c>
      <c r="P117" s="234">
        <f ca="1">OFFSET($A$1,MATCH(Z114,$A:$A,0)-1,O117)</f>
        <v>5</v>
      </c>
      <c r="Q117" s="144" t="s">
        <v>29</v>
      </c>
      <c r="R117" s="118">
        <f t="shared" ca="1" si="25"/>
        <v>310884</v>
      </c>
      <c r="S117" s="118">
        <f t="shared" ca="1" si="26"/>
        <v>1554420</v>
      </c>
      <c r="T117" s="118">
        <f ca="1">고급</f>
        <v>310884</v>
      </c>
      <c r="U117" s="118">
        <f t="shared" ca="1" si="27"/>
        <v>1554420</v>
      </c>
      <c r="V117" s="118"/>
      <c r="W117" s="118"/>
      <c r="X117" s="118"/>
      <c r="Y117" s="118"/>
      <c r="Z117" s="115"/>
    </row>
    <row r="118" spans="11:26" ht="18" customHeight="1">
      <c r="K118" s="171" t="s">
        <v>78</v>
      </c>
      <c r="L118" s="171"/>
      <c r="M118" s="171"/>
      <c r="N118" s="145" t="s">
        <v>40</v>
      </c>
      <c r="O118" s="173">
        <v>6</v>
      </c>
      <c r="P118" s="234">
        <f ca="1">OFFSET($A$1,MATCH(Z114,$A:$A,0)-1,O118)</f>
        <v>8</v>
      </c>
      <c r="Q118" s="144" t="s">
        <v>29</v>
      </c>
      <c r="R118" s="118">
        <f t="shared" ca="1" si="25"/>
        <v>295138</v>
      </c>
      <c r="S118" s="118">
        <f t="shared" ca="1" si="26"/>
        <v>2361104</v>
      </c>
      <c r="T118" s="118">
        <f ca="1">중급</f>
        <v>295138</v>
      </c>
      <c r="U118" s="118">
        <f t="shared" ca="1" si="27"/>
        <v>2361104</v>
      </c>
      <c r="V118" s="118"/>
      <c r="W118" s="118"/>
      <c r="X118" s="118"/>
      <c r="Y118" s="118"/>
      <c r="Z118" s="115"/>
    </row>
    <row r="119" spans="11:26" ht="18" customHeight="1">
      <c r="K119" s="171" t="s">
        <v>78</v>
      </c>
      <c r="L119" s="171"/>
      <c r="M119" s="171"/>
      <c r="N119" s="145" t="s">
        <v>41</v>
      </c>
      <c r="O119" s="173">
        <v>7</v>
      </c>
      <c r="P119" s="234">
        <f ca="1">OFFSET($A$1,MATCH(Z114,$A:$A,0)-1,O119)</f>
        <v>12</v>
      </c>
      <c r="Q119" s="144" t="s">
        <v>29</v>
      </c>
      <c r="R119" s="118">
        <f t="shared" ca="1" si="25"/>
        <v>235459</v>
      </c>
      <c r="S119" s="118">
        <f t="shared" ca="1" si="26"/>
        <v>2825508</v>
      </c>
      <c r="T119" s="118">
        <f ca="1">초급</f>
        <v>235459</v>
      </c>
      <c r="U119" s="118">
        <f t="shared" ca="1" si="27"/>
        <v>2825508</v>
      </c>
      <c r="V119" s="118"/>
      <c r="W119" s="118"/>
      <c r="X119" s="118"/>
      <c r="Y119" s="118"/>
      <c r="Z119" s="115"/>
    </row>
    <row r="120" spans="11:26" ht="18" customHeight="1">
      <c r="K120" s="171" t="s">
        <v>78</v>
      </c>
      <c r="L120" s="171"/>
      <c r="M120" s="171"/>
      <c r="N120" s="319" t="s">
        <v>42</v>
      </c>
      <c r="O120" s="174">
        <v>8</v>
      </c>
      <c r="P120" s="235">
        <f ca="1">OFFSET($A$1,MATCH(Z114,$A:$A,0)-1,O120)</f>
        <v>15</v>
      </c>
      <c r="Q120" s="322" t="s">
        <v>29</v>
      </c>
      <c r="R120" s="323">
        <f t="shared" ca="1" si="25"/>
        <v>250087</v>
      </c>
      <c r="S120" s="323">
        <f t="shared" ca="1" si="26"/>
        <v>3751305</v>
      </c>
      <c r="T120" s="323">
        <f ca="1">보조원</f>
        <v>250087</v>
      </c>
      <c r="U120" s="323">
        <f t="shared" ca="1" si="27"/>
        <v>3751305</v>
      </c>
      <c r="V120" s="323"/>
      <c r="W120" s="323"/>
      <c r="X120" s="323"/>
      <c r="Y120" s="323"/>
      <c r="Z120" s="324"/>
    </row>
    <row r="121" spans="11:26" ht="18" customHeight="1">
      <c r="K121" s="171" t="s">
        <v>78</v>
      </c>
      <c r="L121" s="171"/>
      <c r="M121" s="171"/>
      <c r="N121" s="139" t="s">
        <v>106</v>
      </c>
      <c r="O121" s="68"/>
      <c r="P121" s="69"/>
      <c r="Q121" s="70"/>
      <c r="R121" s="71"/>
      <c r="S121" s="71">
        <f ca="1">SUBTOTAL(9,S115:S120)</f>
        <v>12079613</v>
      </c>
      <c r="T121" s="71"/>
      <c r="U121" s="71">
        <f ca="1">SUBTOTAL(9,U115:U120)</f>
        <v>12079613</v>
      </c>
      <c r="V121" s="71"/>
      <c r="W121" s="71"/>
      <c r="X121" s="71"/>
      <c r="Y121" s="71"/>
      <c r="Z121" s="68"/>
    </row>
    <row r="122" spans="11:26" ht="18" customHeight="1">
      <c r="K122" s="171" t="s">
        <v>78</v>
      </c>
      <c r="L122" s="171"/>
      <c r="M122" s="171"/>
      <c r="N122" s="318" t="str">
        <f ca="1">"제 " &amp; Z122 &amp; " 호표  "&amp; OFFSET($A$1,MATCH(Z122,$A:$A,0)-1,2)</f>
        <v>제 7 호표  3.2 도시·군계획시설 설치</v>
      </c>
      <c r="O122" s="221"/>
      <c r="P122" s="148"/>
      <c r="Q122" s="148"/>
      <c r="R122" s="149"/>
      <c r="S122" s="149"/>
      <c r="T122" s="149"/>
      <c r="U122" s="149"/>
      <c r="V122" s="149"/>
      <c r="W122" s="149"/>
      <c r="X122" s="149"/>
      <c r="Y122" s="149"/>
      <c r="Z122" s="325">
        <f>Z114+1</f>
        <v>7</v>
      </c>
    </row>
    <row r="123" spans="11:26" ht="18" customHeight="1">
      <c r="K123" s="171" t="s">
        <v>78</v>
      </c>
      <c r="L123" s="171"/>
      <c r="M123" s="171"/>
      <c r="N123" s="140" t="s">
        <v>43</v>
      </c>
      <c r="O123" s="172">
        <v>3</v>
      </c>
      <c r="P123" s="219">
        <f ca="1">OFFSET($A$1,MATCH(Z122,$A:$A,0)-1,O123)</f>
        <v>1</v>
      </c>
      <c r="Q123" s="141" t="s">
        <v>29</v>
      </c>
      <c r="R123" s="142">
        <f t="shared" ref="R123:R128" ca="1" si="28">T123</f>
        <v>467217</v>
      </c>
      <c r="S123" s="142">
        <f t="shared" ref="S123:S128" ca="1" si="29">U123</f>
        <v>467217</v>
      </c>
      <c r="T123" s="142">
        <f ca="1">기술사</f>
        <v>467217</v>
      </c>
      <c r="U123" s="142">
        <f t="shared" ref="U123:U128" ca="1" si="30">ROUNDDOWN(P123*R123,0)</f>
        <v>467217</v>
      </c>
      <c r="V123" s="142"/>
      <c r="W123" s="142"/>
      <c r="X123" s="142"/>
      <c r="Y123" s="142"/>
      <c r="Z123" s="114"/>
    </row>
    <row r="124" spans="11:26" ht="18" customHeight="1">
      <c r="K124" s="171" t="s">
        <v>78</v>
      </c>
      <c r="L124" s="171"/>
      <c r="M124" s="171"/>
      <c r="N124" s="143" t="s">
        <v>32</v>
      </c>
      <c r="O124" s="173">
        <v>4</v>
      </c>
      <c r="P124" s="234">
        <f ca="1">OFFSET($A$1,MATCH(Z122,$A:$A,0)-1,O124)</f>
        <v>3</v>
      </c>
      <c r="Q124" s="144" t="s">
        <v>29</v>
      </c>
      <c r="R124" s="118">
        <f t="shared" ca="1" si="28"/>
        <v>373353</v>
      </c>
      <c r="S124" s="118">
        <f t="shared" ca="1" si="29"/>
        <v>1120059</v>
      </c>
      <c r="T124" s="118">
        <f ca="1">특급</f>
        <v>373353</v>
      </c>
      <c r="U124" s="118">
        <f t="shared" ca="1" si="30"/>
        <v>1120059</v>
      </c>
      <c r="V124" s="118"/>
      <c r="W124" s="118"/>
      <c r="X124" s="118"/>
      <c r="Y124" s="118"/>
      <c r="Z124" s="115"/>
    </row>
    <row r="125" spans="11:26" ht="18" customHeight="1">
      <c r="K125" s="171" t="s">
        <v>78</v>
      </c>
      <c r="L125" s="171"/>
      <c r="M125" s="171"/>
      <c r="N125" s="145" t="s">
        <v>39</v>
      </c>
      <c r="O125" s="173">
        <v>5</v>
      </c>
      <c r="P125" s="234">
        <f ca="1">OFFSET($A$1,MATCH(Z122,$A:$A,0)-1,O125)</f>
        <v>5</v>
      </c>
      <c r="Q125" s="144" t="s">
        <v>29</v>
      </c>
      <c r="R125" s="118">
        <f t="shared" ca="1" si="28"/>
        <v>310884</v>
      </c>
      <c r="S125" s="118">
        <f t="shared" ca="1" si="29"/>
        <v>1554420</v>
      </c>
      <c r="T125" s="118">
        <f ca="1">고급</f>
        <v>310884</v>
      </c>
      <c r="U125" s="118">
        <f t="shared" ca="1" si="30"/>
        <v>1554420</v>
      </c>
      <c r="V125" s="118"/>
      <c r="W125" s="118"/>
      <c r="X125" s="118"/>
      <c r="Y125" s="118"/>
      <c r="Z125" s="115"/>
    </row>
    <row r="126" spans="11:26" ht="18" customHeight="1">
      <c r="K126" s="171" t="s">
        <v>78</v>
      </c>
      <c r="L126" s="171"/>
      <c r="M126" s="171"/>
      <c r="N126" s="145" t="s">
        <v>40</v>
      </c>
      <c r="O126" s="173">
        <v>6</v>
      </c>
      <c r="P126" s="234">
        <f ca="1">OFFSET($A$1,MATCH(Z122,$A:$A,0)-1,O126)</f>
        <v>8</v>
      </c>
      <c r="Q126" s="144" t="s">
        <v>29</v>
      </c>
      <c r="R126" s="118">
        <f t="shared" ca="1" si="28"/>
        <v>295138</v>
      </c>
      <c r="S126" s="118">
        <f t="shared" ca="1" si="29"/>
        <v>2361104</v>
      </c>
      <c r="T126" s="118">
        <f ca="1">중급</f>
        <v>295138</v>
      </c>
      <c r="U126" s="118">
        <f t="shared" ca="1" si="30"/>
        <v>2361104</v>
      </c>
      <c r="V126" s="118"/>
      <c r="W126" s="118"/>
      <c r="X126" s="118"/>
      <c r="Y126" s="118"/>
      <c r="Z126" s="115"/>
    </row>
    <row r="127" spans="11:26" ht="18" customHeight="1">
      <c r="K127" s="171" t="s">
        <v>78</v>
      </c>
      <c r="L127" s="171"/>
      <c r="M127" s="171"/>
      <c r="N127" s="145" t="s">
        <v>41</v>
      </c>
      <c r="O127" s="173">
        <v>7</v>
      </c>
      <c r="P127" s="234">
        <f ca="1">OFFSET($A$1,MATCH(Z122,$A:$A,0)-1,O127)</f>
        <v>12</v>
      </c>
      <c r="Q127" s="144" t="s">
        <v>29</v>
      </c>
      <c r="R127" s="118">
        <f t="shared" ca="1" si="28"/>
        <v>235459</v>
      </c>
      <c r="S127" s="118">
        <f t="shared" ca="1" si="29"/>
        <v>2825508</v>
      </c>
      <c r="T127" s="118">
        <f ca="1">초급</f>
        <v>235459</v>
      </c>
      <c r="U127" s="118">
        <f t="shared" ca="1" si="30"/>
        <v>2825508</v>
      </c>
      <c r="V127" s="118"/>
      <c r="W127" s="118"/>
      <c r="X127" s="118"/>
      <c r="Y127" s="118"/>
      <c r="Z127" s="115"/>
    </row>
    <row r="128" spans="11:26" ht="18" customHeight="1">
      <c r="K128" s="171" t="s">
        <v>78</v>
      </c>
      <c r="L128" s="171"/>
      <c r="M128" s="171"/>
      <c r="N128" s="319" t="s">
        <v>42</v>
      </c>
      <c r="O128" s="174">
        <v>8</v>
      </c>
      <c r="P128" s="235">
        <f ca="1">OFFSET($A$1,MATCH(Z122,$A:$A,0)-1,O128)</f>
        <v>15</v>
      </c>
      <c r="Q128" s="322" t="s">
        <v>29</v>
      </c>
      <c r="R128" s="323">
        <f t="shared" ca="1" si="28"/>
        <v>250087</v>
      </c>
      <c r="S128" s="323">
        <f t="shared" ca="1" si="29"/>
        <v>3751305</v>
      </c>
      <c r="T128" s="323">
        <f ca="1">보조원</f>
        <v>250087</v>
      </c>
      <c r="U128" s="323">
        <f t="shared" ca="1" si="30"/>
        <v>3751305</v>
      </c>
      <c r="V128" s="323"/>
      <c r="W128" s="323"/>
      <c r="X128" s="323"/>
      <c r="Y128" s="323"/>
      <c r="Z128" s="324"/>
    </row>
    <row r="129" spans="11:26" ht="18" customHeight="1">
      <c r="K129" s="171" t="s">
        <v>78</v>
      </c>
      <c r="L129" s="171"/>
      <c r="M129" s="171"/>
      <c r="N129" s="139" t="s">
        <v>106</v>
      </c>
      <c r="O129" s="68"/>
      <c r="P129" s="69"/>
      <c r="Q129" s="70"/>
      <c r="R129" s="71"/>
      <c r="S129" s="71">
        <f ca="1">SUBTOTAL(9,S123:S128)</f>
        <v>12079613</v>
      </c>
      <c r="T129" s="71"/>
      <c r="U129" s="71">
        <f ca="1">SUBTOTAL(9,U123:U128)</f>
        <v>12079613</v>
      </c>
      <c r="V129" s="71"/>
      <c r="W129" s="71"/>
      <c r="X129" s="71"/>
      <c r="Y129" s="71"/>
      <c r="Z129" s="68"/>
    </row>
    <row r="130" spans="11:26" ht="18" customHeight="1">
      <c r="K130" s="171" t="s">
        <v>78</v>
      </c>
      <c r="L130" s="171"/>
      <c r="M130" s="171"/>
      <c r="N130" s="318" t="str">
        <f ca="1">"제 " &amp; Z130 &amp; " 호표  "&amp; OFFSET($A$1,MATCH(Z130,$A:$A,0)-1,2)</f>
        <v>제 8 호표  3.3 대규모의 건축 및 토지형질변경</v>
      </c>
      <c r="O130" s="221"/>
      <c r="P130" s="148"/>
      <c r="Q130" s="148"/>
      <c r="R130" s="149"/>
      <c r="S130" s="149"/>
      <c r="T130" s="149"/>
      <c r="U130" s="149"/>
      <c r="V130" s="149"/>
      <c r="W130" s="149"/>
      <c r="X130" s="149"/>
      <c r="Y130" s="149"/>
      <c r="Z130" s="325">
        <f>Z122+1</f>
        <v>8</v>
      </c>
    </row>
    <row r="131" spans="11:26" ht="18" customHeight="1">
      <c r="K131" s="171" t="s">
        <v>78</v>
      </c>
      <c r="L131" s="171"/>
      <c r="M131" s="171"/>
      <c r="N131" s="140" t="s">
        <v>43</v>
      </c>
      <c r="O131" s="172">
        <v>3</v>
      </c>
      <c r="P131" s="219">
        <f ca="1">OFFSET($A$1,MATCH(Z130,$A:$A,0)-1,O131)</f>
        <v>1</v>
      </c>
      <c r="Q131" s="141" t="s">
        <v>29</v>
      </c>
      <c r="R131" s="142">
        <f t="shared" ref="R131:R136" ca="1" si="31">T131</f>
        <v>467217</v>
      </c>
      <c r="S131" s="142">
        <f t="shared" ref="S131:S136" ca="1" si="32">U131</f>
        <v>467217</v>
      </c>
      <c r="T131" s="142">
        <f ca="1">기술사</f>
        <v>467217</v>
      </c>
      <c r="U131" s="142">
        <f t="shared" ref="U131:U136" ca="1" si="33">ROUNDDOWN(P131*R131,0)</f>
        <v>467217</v>
      </c>
      <c r="V131" s="142"/>
      <c r="W131" s="142"/>
      <c r="X131" s="142"/>
      <c r="Y131" s="142"/>
      <c r="Z131" s="114"/>
    </row>
    <row r="132" spans="11:26" ht="18" customHeight="1">
      <c r="K132" s="171" t="s">
        <v>78</v>
      </c>
      <c r="L132" s="171"/>
      <c r="M132" s="171"/>
      <c r="N132" s="143" t="s">
        <v>32</v>
      </c>
      <c r="O132" s="173">
        <v>4</v>
      </c>
      <c r="P132" s="234">
        <f ca="1">OFFSET($A$1,MATCH(Z130,$A:$A,0)-1,O132)</f>
        <v>3</v>
      </c>
      <c r="Q132" s="144" t="s">
        <v>29</v>
      </c>
      <c r="R132" s="118">
        <f t="shared" ca="1" si="31"/>
        <v>373353</v>
      </c>
      <c r="S132" s="118">
        <f t="shared" ca="1" si="32"/>
        <v>1120059</v>
      </c>
      <c r="T132" s="118">
        <f ca="1">특급</f>
        <v>373353</v>
      </c>
      <c r="U132" s="118">
        <f t="shared" ca="1" si="33"/>
        <v>1120059</v>
      </c>
      <c r="V132" s="118"/>
      <c r="W132" s="118"/>
      <c r="X132" s="118"/>
      <c r="Y132" s="118"/>
      <c r="Z132" s="115"/>
    </row>
    <row r="133" spans="11:26" ht="18" customHeight="1">
      <c r="K133" s="171" t="s">
        <v>78</v>
      </c>
      <c r="L133" s="171"/>
      <c r="M133" s="171"/>
      <c r="N133" s="145" t="s">
        <v>39</v>
      </c>
      <c r="O133" s="173">
        <v>5</v>
      </c>
      <c r="P133" s="234">
        <f ca="1">OFFSET($A$1,MATCH(Z130,$A:$A,0)-1,O133)</f>
        <v>5</v>
      </c>
      <c r="Q133" s="144" t="s">
        <v>29</v>
      </c>
      <c r="R133" s="118">
        <f t="shared" ca="1" si="31"/>
        <v>310884</v>
      </c>
      <c r="S133" s="118">
        <f t="shared" ca="1" si="32"/>
        <v>1554420</v>
      </c>
      <c r="T133" s="118">
        <f ca="1">고급</f>
        <v>310884</v>
      </c>
      <c r="U133" s="118">
        <f t="shared" ca="1" si="33"/>
        <v>1554420</v>
      </c>
      <c r="V133" s="118"/>
      <c r="W133" s="118"/>
      <c r="X133" s="118"/>
      <c r="Y133" s="118"/>
      <c r="Z133" s="115"/>
    </row>
    <row r="134" spans="11:26" ht="18" customHeight="1">
      <c r="K134" s="171" t="s">
        <v>78</v>
      </c>
      <c r="L134" s="171"/>
      <c r="M134" s="171"/>
      <c r="N134" s="145" t="s">
        <v>40</v>
      </c>
      <c r="O134" s="173">
        <v>6</v>
      </c>
      <c r="P134" s="234">
        <f ca="1">OFFSET($A$1,MATCH(Z130,$A:$A,0)-1,O134)</f>
        <v>8</v>
      </c>
      <c r="Q134" s="144" t="s">
        <v>29</v>
      </c>
      <c r="R134" s="118">
        <f t="shared" ca="1" si="31"/>
        <v>295138</v>
      </c>
      <c r="S134" s="118">
        <f t="shared" ca="1" si="32"/>
        <v>2361104</v>
      </c>
      <c r="T134" s="118">
        <f ca="1">중급</f>
        <v>295138</v>
      </c>
      <c r="U134" s="118">
        <f t="shared" ca="1" si="33"/>
        <v>2361104</v>
      </c>
      <c r="V134" s="118"/>
      <c r="W134" s="118"/>
      <c r="X134" s="118"/>
      <c r="Y134" s="118"/>
      <c r="Z134" s="115"/>
    </row>
    <row r="135" spans="11:26" ht="18" customHeight="1">
      <c r="K135" s="171" t="s">
        <v>78</v>
      </c>
      <c r="L135" s="171"/>
      <c r="M135" s="171"/>
      <c r="N135" s="145" t="s">
        <v>41</v>
      </c>
      <c r="O135" s="173">
        <v>7</v>
      </c>
      <c r="P135" s="234">
        <f ca="1">OFFSET($A$1,MATCH(Z130,$A:$A,0)-1,O135)</f>
        <v>12</v>
      </c>
      <c r="Q135" s="144" t="s">
        <v>29</v>
      </c>
      <c r="R135" s="118">
        <f t="shared" ca="1" si="31"/>
        <v>235459</v>
      </c>
      <c r="S135" s="118">
        <f t="shared" ca="1" si="32"/>
        <v>2825508</v>
      </c>
      <c r="T135" s="118">
        <f ca="1">초급</f>
        <v>235459</v>
      </c>
      <c r="U135" s="118">
        <f t="shared" ca="1" si="33"/>
        <v>2825508</v>
      </c>
      <c r="V135" s="118"/>
      <c r="W135" s="118"/>
      <c r="X135" s="118"/>
      <c r="Y135" s="118"/>
      <c r="Z135" s="115"/>
    </row>
    <row r="136" spans="11:26" ht="18" customHeight="1">
      <c r="K136" s="171" t="s">
        <v>78</v>
      </c>
      <c r="L136" s="171"/>
      <c r="M136" s="171"/>
      <c r="N136" s="319" t="s">
        <v>42</v>
      </c>
      <c r="O136" s="174">
        <v>8</v>
      </c>
      <c r="P136" s="235">
        <f ca="1">OFFSET($A$1,MATCH(Z130,$A:$A,0)-1,O136)</f>
        <v>15</v>
      </c>
      <c r="Q136" s="322" t="s">
        <v>29</v>
      </c>
      <c r="R136" s="323">
        <f t="shared" ca="1" si="31"/>
        <v>250087</v>
      </c>
      <c r="S136" s="323">
        <f t="shared" ca="1" si="32"/>
        <v>3751305</v>
      </c>
      <c r="T136" s="323">
        <f ca="1">보조원</f>
        <v>250087</v>
      </c>
      <c r="U136" s="323">
        <f t="shared" ca="1" si="33"/>
        <v>3751305</v>
      </c>
      <c r="V136" s="323"/>
      <c r="W136" s="323"/>
      <c r="X136" s="323"/>
      <c r="Y136" s="323"/>
      <c r="Z136" s="324"/>
    </row>
    <row r="137" spans="11:26" ht="18" customHeight="1">
      <c r="K137" s="171" t="s">
        <v>78</v>
      </c>
      <c r="L137" s="171"/>
      <c r="M137" s="171"/>
      <c r="N137" s="139" t="s">
        <v>106</v>
      </c>
      <c r="O137" s="68"/>
      <c r="P137" s="69"/>
      <c r="Q137" s="70"/>
      <c r="R137" s="71"/>
      <c r="S137" s="71">
        <f ca="1">SUBTOTAL(9,S131:S136)</f>
        <v>12079613</v>
      </c>
      <c r="T137" s="71"/>
      <c r="U137" s="71">
        <f ca="1">SUBTOTAL(9,U131:U136)</f>
        <v>12079613</v>
      </c>
      <c r="V137" s="71"/>
      <c r="W137" s="71"/>
      <c r="X137" s="71"/>
      <c r="Y137" s="71"/>
      <c r="Z137" s="68"/>
    </row>
    <row r="138" spans="11:26" ht="18" customHeight="1">
      <c r="K138" s="171" t="s">
        <v>78</v>
      </c>
      <c r="L138" s="171"/>
      <c r="M138" s="171"/>
      <c r="N138" s="318" t="str">
        <f ca="1">"제 " &amp; Z138 &amp; " 호표  "&amp; OFFSET($A$1,MATCH(Z138,$A:$A,0)-1,2)</f>
        <v>제 9 호표  3.4 취락지구 정비</v>
      </c>
      <c r="O138" s="221"/>
      <c r="P138" s="148"/>
      <c r="Q138" s="148"/>
      <c r="R138" s="149"/>
      <c r="S138" s="149"/>
      <c r="T138" s="149"/>
      <c r="U138" s="149"/>
      <c r="V138" s="149"/>
      <c r="W138" s="149"/>
      <c r="X138" s="149"/>
      <c r="Y138" s="149"/>
      <c r="Z138" s="325">
        <f>Z130+1</f>
        <v>9</v>
      </c>
    </row>
    <row r="139" spans="11:26" ht="18" customHeight="1">
      <c r="K139" s="171" t="s">
        <v>78</v>
      </c>
      <c r="L139" s="171"/>
      <c r="M139" s="171"/>
      <c r="N139" s="140" t="s">
        <v>43</v>
      </c>
      <c r="O139" s="172">
        <v>3</v>
      </c>
      <c r="P139" s="219">
        <f ca="1">OFFSET($A$1,MATCH(Z138,$A:$A,0)-1,O139)</f>
        <v>1</v>
      </c>
      <c r="Q139" s="141" t="s">
        <v>29</v>
      </c>
      <c r="R139" s="142">
        <f t="shared" ref="R139:R144" ca="1" si="34">T139</f>
        <v>467217</v>
      </c>
      <c r="S139" s="142">
        <f t="shared" ref="S139:S144" ca="1" si="35">U139</f>
        <v>467217</v>
      </c>
      <c r="T139" s="142">
        <f ca="1">기술사</f>
        <v>467217</v>
      </c>
      <c r="U139" s="142">
        <f t="shared" ref="U139:U144" ca="1" si="36">ROUNDDOWN(P139*R139,0)</f>
        <v>467217</v>
      </c>
      <c r="V139" s="142"/>
      <c r="W139" s="142"/>
      <c r="X139" s="142"/>
      <c r="Y139" s="142"/>
      <c r="Z139" s="114"/>
    </row>
    <row r="140" spans="11:26" ht="18" customHeight="1">
      <c r="K140" s="171" t="s">
        <v>78</v>
      </c>
      <c r="L140" s="171"/>
      <c r="M140" s="171"/>
      <c r="N140" s="143" t="s">
        <v>32</v>
      </c>
      <c r="O140" s="173">
        <v>4</v>
      </c>
      <c r="P140" s="234">
        <f ca="1">OFFSET($A$1,MATCH(Z138,$A:$A,0)-1,O140)</f>
        <v>3</v>
      </c>
      <c r="Q140" s="144" t="s">
        <v>29</v>
      </c>
      <c r="R140" s="118">
        <f t="shared" ca="1" si="34"/>
        <v>373353</v>
      </c>
      <c r="S140" s="118">
        <f t="shared" ca="1" si="35"/>
        <v>1120059</v>
      </c>
      <c r="T140" s="118">
        <f ca="1">특급</f>
        <v>373353</v>
      </c>
      <c r="U140" s="118">
        <f t="shared" ca="1" si="36"/>
        <v>1120059</v>
      </c>
      <c r="V140" s="118"/>
      <c r="W140" s="118"/>
      <c r="X140" s="118"/>
      <c r="Y140" s="118"/>
      <c r="Z140" s="115"/>
    </row>
    <row r="141" spans="11:26" ht="18" customHeight="1">
      <c r="K141" s="171" t="s">
        <v>78</v>
      </c>
      <c r="L141" s="171"/>
      <c r="M141" s="171"/>
      <c r="N141" s="145" t="s">
        <v>39</v>
      </c>
      <c r="O141" s="173">
        <v>5</v>
      </c>
      <c r="P141" s="234">
        <f ca="1">OFFSET($A$1,MATCH(Z138,$A:$A,0)-1,O141)</f>
        <v>5</v>
      </c>
      <c r="Q141" s="144" t="s">
        <v>29</v>
      </c>
      <c r="R141" s="118">
        <f t="shared" ca="1" si="34"/>
        <v>310884</v>
      </c>
      <c r="S141" s="118">
        <f t="shared" ca="1" si="35"/>
        <v>1554420</v>
      </c>
      <c r="T141" s="118">
        <f ca="1">고급</f>
        <v>310884</v>
      </c>
      <c r="U141" s="118">
        <f t="shared" ca="1" si="36"/>
        <v>1554420</v>
      </c>
      <c r="V141" s="118"/>
      <c r="W141" s="118"/>
      <c r="X141" s="118"/>
      <c r="Y141" s="118"/>
      <c r="Z141" s="115"/>
    </row>
    <row r="142" spans="11:26" ht="18" customHeight="1">
      <c r="K142" s="171" t="s">
        <v>78</v>
      </c>
      <c r="L142" s="171"/>
      <c r="M142" s="171"/>
      <c r="N142" s="145" t="s">
        <v>40</v>
      </c>
      <c r="O142" s="173">
        <v>6</v>
      </c>
      <c r="P142" s="234">
        <f ca="1">OFFSET($A$1,MATCH(Z138,$A:$A,0)-1,O142)</f>
        <v>8</v>
      </c>
      <c r="Q142" s="144" t="s">
        <v>29</v>
      </c>
      <c r="R142" s="118">
        <f t="shared" ca="1" si="34"/>
        <v>295138</v>
      </c>
      <c r="S142" s="118">
        <f t="shared" ca="1" si="35"/>
        <v>2361104</v>
      </c>
      <c r="T142" s="118">
        <f ca="1">중급</f>
        <v>295138</v>
      </c>
      <c r="U142" s="118">
        <f t="shared" ca="1" si="36"/>
        <v>2361104</v>
      </c>
      <c r="V142" s="118"/>
      <c r="W142" s="118"/>
      <c r="X142" s="118"/>
      <c r="Y142" s="118"/>
      <c r="Z142" s="115"/>
    </row>
    <row r="143" spans="11:26" ht="18" customHeight="1">
      <c r="K143" s="171" t="s">
        <v>78</v>
      </c>
      <c r="L143" s="171"/>
      <c r="M143" s="171"/>
      <c r="N143" s="145" t="s">
        <v>41</v>
      </c>
      <c r="O143" s="173">
        <v>7</v>
      </c>
      <c r="P143" s="234">
        <f ca="1">OFFSET($A$1,MATCH(Z138,$A:$A,0)-1,O143)</f>
        <v>12</v>
      </c>
      <c r="Q143" s="144" t="s">
        <v>29</v>
      </c>
      <c r="R143" s="118">
        <f t="shared" ca="1" si="34"/>
        <v>235459</v>
      </c>
      <c r="S143" s="118">
        <f t="shared" ca="1" si="35"/>
        <v>2825508</v>
      </c>
      <c r="T143" s="118">
        <f ca="1">초급</f>
        <v>235459</v>
      </c>
      <c r="U143" s="118">
        <f t="shared" ca="1" si="36"/>
        <v>2825508</v>
      </c>
      <c r="V143" s="118"/>
      <c r="W143" s="118"/>
      <c r="X143" s="118"/>
      <c r="Y143" s="118"/>
      <c r="Z143" s="115"/>
    </row>
    <row r="144" spans="11:26" ht="18" customHeight="1">
      <c r="K144" s="171" t="s">
        <v>78</v>
      </c>
      <c r="L144" s="171"/>
      <c r="M144" s="171"/>
      <c r="N144" s="319" t="s">
        <v>42</v>
      </c>
      <c r="O144" s="174">
        <v>8</v>
      </c>
      <c r="P144" s="235">
        <f ca="1">OFFSET($A$1,MATCH(Z138,$A:$A,0)-1,O144)</f>
        <v>15</v>
      </c>
      <c r="Q144" s="322" t="s">
        <v>29</v>
      </c>
      <c r="R144" s="323">
        <f t="shared" ca="1" si="34"/>
        <v>250087</v>
      </c>
      <c r="S144" s="323">
        <f t="shared" ca="1" si="35"/>
        <v>3751305</v>
      </c>
      <c r="T144" s="323">
        <f ca="1">보조원</f>
        <v>250087</v>
      </c>
      <c r="U144" s="323">
        <f t="shared" ca="1" si="36"/>
        <v>3751305</v>
      </c>
      <c r="V144" s="323"/>
      <c r="W144" s="323"/>
      <c r="X144" s="323"/>
      <c r="Y144" s="323"/>
      <c r="Z144" s="324"/>
    </row>
    <row r="145" spans="11:26" ht="18" customHeight="1">
      <c r="K145" s="171" t="s">
        <v>78</v>
      </c>
      <c r="L145" s="171"/>
      <c r="M145" s="171"/>
      <c r="N145" s="139" t="s">
        <v>106</v>
      </c>
      <c r="O145" s="68"/>
      <c r="P145" s="69"/>
      <c r="Q145" s="70"/>
      <c r="R145" s="71"/>
      <c r="S145" s="71">
        <f ca="1">SUBTOTAL(9,S139:S144)</f>
        <v>12079613</v>
      </c>
      <c r="T145" s="71"/>
      <c r="U145" s="71">
        <f ca="1">SUBTOTAL(9,U139:U144)</f>
        <v>12079613</v>
      </c>
      <c r="V145" s="71"/>
      <c r="W145" s="71"/>
      <c r="X145" s="71"/>
      <c r="Y145" s="71"/>
      <c r="Z145" s="68"/>
    </row>
    <row r="146" spans="11:26" ht="18" customHeight="1">
      <c r="K146" s="171" t="s">
        <v>78</v>
      </c>
      <c r="L146" s="171"/>
      <c r="M146" s="171"/>
      <c r="N146" s="318" t="str">
        <f ca="1">"제 " &amp; Z146 &amp; " 호표  "&amp; OFFSET($A$1,MATCH(Z146,$A:$A,0)-1,2)</f>
        <v>제 10 호표  3.5 주민지원사업</v>
      </c>
      <c r="O146" s="221"/>
      <c r="P146" s="148"/>
      <c r="Q146" s="148"/>
      <c r="R146" s="149"/>
      <c r="S146" s="149"/>
      <c r="T146" s="149"/>
      <c r="U146" s="149"/>
      <c r="V146" s="149"/>
      <c r="W146" s="149"/>
      <c r="X146" s="149"/>
      <c r="Y146" s="149"/>
      <c r="Z146" s="325">
        <f>Z138+1</f>
        <v>10</v>
      </c>
    </row>
    <row r="147" spans="11:26" ht="18" customHeight="1">
      <c r="K147" s="171" t="s">
        <v>78</v>
      </c>
      <c r="L147" s="171"/>
      <c r="M147" s="171"/>
      <c r="N147" s="140" t="s">
        <v>43</v>
      </c>
      <c r="O147" s="172">
        <v>3</v>
      </c>
      <c r="P147" s="219">
        <f ca="1">OFFSET($A$1,MATCH(Z146,$A:$A,0)-1,O147)</f>
        <v>1</v>
      </c>
      <c r="Q147" s="141" t="s">
        <v>29</v>
      </c>
      <c r="R147" s="142">
        <f t="shared" ref="R147:R152" ca="1" si="37">T147</f>
        <v>467217</v>
      </c>
      <c r="S147" s="142">
        <f t="shared" ref="S147:S152" ca="1" si="38">U147</f>
        <v>467217</v>
      </c>
      <c r="T147" s="142">
        <f ca="1">기술사</f>
        <v>467217</v>
      </c>
      <c r="U147" s="142">
        <f t="shared" ref="U147:U152" ca="1" si="39">ROUNDDOWN(P147*R147,0)</f>
        <v>467217</v>
      </c>
      <c r="V147" s="142"/>
      <c r="W147" s="142"/>
      <c r="X147" s="142"/>
      <c r="Y147" s="142"/>
      <c r="Z147" s="114"/>
    </row>
    <row r="148" spans="11:26" ht="18" customHeight="1">
      <c r="K148" s="171" t="s">
        <v>78</v>
      </c>
      <c r="L148" s="171"/>
      <c r="M148" s="171"/>
      <c r="N148" s="143" t="s">
        <v>32</v>
      </c>
      <c r="O148" s="173">
        <v>4</v>
      </c>
      <c r="P148" s="234">
        <f ca="1">OFFSET($A$1,MATCH(Z146,$A:$A,0)-1,O148)</f>
        <v>3</v>
      </c>
      <c r="Q148" s="144" t="s">
        <v>29</v>
      </c>
      <c r="R148" s="118">
        <f t="shared" ca="1" si="37"/>
        <v>373353</v>
      </c>
      <c r="S148" s="118">
        <f t="shared" ca="1" si="38"/>
        <v>1120059</v>
      </c>
      <c r="T148" s="118">
        <f ca="1">특급</f>
        <v>373353</v>
      </c>
      <c r="U148" s="118">
        <f t="shared" ca="1" si="39"/>
        <v>1120059</v>
      </c>
      <c r="V148" s="118"/>
      <c r="W148" s="118"/>
      <c r="X148" s="118"/>
      <c r="Y148" s="118"/>
      <c r="Z148" s="115"/>
    </row>
    <row r="149" spans="11:26" ht="18" customHeight="1">
      <c r="K149" s="171" t="s">
        <v>78</v>
      </c>
      <c r="L149" s="171"/>
      <c r="M149" s="171"/>
      <c r="N149" s="145" t="s">
        <v>39</v>
      </c>
      <c r="O149" s="173">
        <v>5</v>
      </c>
      <c r="P149" s="234">
        <f ca="1">OFFSET($A$1,MATCH(Z146,$A:$A,0)-1,O149)</f>
        <v>5</v>
      </c>
      <c r="Q149" s="144" t="s">
        <v>29</v>
      </c>
      <c r="R149" s="118">
        <f t="shared" ca="1" si="37"/>
        <v>310884</v>
      </c>
      <c r="S149" s="118">
        <f t="shared" ca="1" si="38"/>
        <v>1554420</v>
      </c>
      <c r="T149" s="118">
        <f ca="1">고급</f>
        <v>310884</v>
      </c>
      <c r="U149" s="118">
        <f t="shared" ca="1" si="39"/>
        <v>1554420</v>
      </c>
      <c r="V149" s="118"/>
      <c r="W149" s="118"/>
      <c r="X149" s="118"/>
      <c r="Y149" s="118"/>
      <c r="Z149" s="115"/>
    </row>
    <row r="150" spans="11:26" ht="18" customHeight="1">
      <c r="K150" s="171" t="s">
        <v>78</v>
      </c>
      <c r="L150" s="171"/>
      <c r="M150" s="171"/>
      <c r="N150" s="145" t="s">
        <v>40</v>
      </c>
      <c r="O150" s="173">
        <v>6</v>
      </c>
      <c r="P150" s="234">
        <f ca="1">OFFSET($A$1,MATCH(Z146,$A:$A,0)-1,O150)</f>
        <v>8</v>
      </c>
      <c r="Q150" s="144" t="s">
        <v>29</v>
      </c>
      <c r="R150" s="118">
        <f t="shared" ca="1" si="37"/>
        <v>295138</v>
      </c>
      <c r="S150" s="118">
        <f t="shared" ca="1" si="38"/>
        <v>2361104</v>
      </c>
      <c r="T150" s="118">
        <f ca="1">중급</f>
        <v>295138</v>
      </c>
      <c r="U150" s="118">
        <f t="shared" ca="1" si="39"/>
        <v>2361104</v>
      </c>
      <c r="V150" s="118"/>
      <c r="W150" s="118"/>
      <c r="X150" s="118"/>
      <c r="Y150" s="118"/>
      <c r="Z150" s="115"/>
    </row>
    <row r="151" spans="11:26" ht="18" customHeight="1">
      <c r="K151" s="171" t="s">
        <v>78</v>
      </c>
      <c r="L151" s="171"/>
      <c r="M151" s="171"/>
      <c r="N151" s="145" t="s">
        <v>41</v>
      </c>
      <c r="O151" s="173">
        <v>7</v>
      </c>
      <c r="P151" s="234">
        <f ca="1">OFFSET($A$1,MATCH(Z146,$A:$A,0)-1,O151)</f>
        <v>12</v>
      </c>
      <c r="Q151" s="144" t="s">
        <v>29</v>
      </c>
      <c r="R151" s="118">
        <f t="shared" ca="1" si="37"/>
        <v>235459</v>
      </c>
      <c r="S151" s="118">
        <f t="shared" ca="1" si="38"/>
        <v>2825508</v>
      </c>
      <c r="T151" s="118">
        <f ca="1">초급</f>
        <v>235459</v>
      </c>
      <c r="U151" s="118">
        <f t="shared" ca="1" si="39"/>
        <v>2825508</v>
      </c>
      <c r="V151" s="118"/>
      <c r="W151" s="118"/>
      <c r="X151" s="118"/>
      <c r="Y151" s="118"/>
      <c r="Z151" s="115"/>
    </row>
    <row r="152" spans="11:26" ht="18" customHeight="1">
      <c r="K152" s="171" t="s">
        <v>78</v>
      </c>
      <c r="L152" s="171"/>
      <c r="M152" s="171"/>
      <c r="N152" s="319" t="s">
        <v>42</v>
      </c>
      <c r="O152" s="174">
        <v>8</v>
      </c>
      <c r="P152" s="235">
        <f ca="1">OFFSET($A$1,MATCH(Z146,$A:$A,0)-1,O152)</f>
        <v>15</v>
      </c>
      <c r="Q152" s="322" t="s">
        <v>29</v>
      </c>
      <c r="R152" s="323">
        <f t="shared" ca="1" si="37"/>
        <v>250087</v>
      </c>
      <c r="S152" s="323">
        <f t="shared" ca="1" si="38"/>
        <v>3751305</v>
      </c>
      <c r="T152" s="323">
        <f ca="1">보조원</f>
        <v>250087</v>
      </c>
      <c r="U152" s="323">
        <f t="shared" ca="1" si="39"/>
        <v>3751305</v>
      </c>
      <c r="V152" s="323"/>
      <c r="W152" s="323"/>
      <c r="X152" s="323"/>
      <c r="Y152" s="323"/>
      <c r="Z152" s="324"/>
    </row>
    <row r="153" spans="11:26" ht="18" customHeight="1">
      <c r="K153" s="171" t="s">
        <v>78</v>
      </c>
      <c r="L153" s="171"/>
      <c r="M153" s="171"/>
      <c r="N153" s="139" t="s">
        <v>106</v>
      </c>
      <c r="O153" s="68"/>
      <c r="P153" s="69"/>
      <c r="Q153" s="70"/>
      <c r="R153" s="71"/>
      <c r="S153" s="71">
        <f ca="1">SUBTOTAL(9,S147:S152)</f>
        <v>12079613</v>
      </c>
      <c r="T153" s="71"/>
      <c r="U153" s="71">
        <f ca="1">SUBTOTAL(9,U147:U152)</f>
        <v>12079613</v>
      </c>
      <c r="V153" s="71"/>
      <c r="W153" s="71"/>
      <c r="X153" s="71"/>
      <c r="Y153" s="71"/>
      <c r="Z153" s="68"/>
    </row>
    <row r="154" spans="11:26" ht="18" customHeight="1">
      <c r="K154" s="171" t="s">
        <v>78</v>
      </c>
      <c r="L154" s="171"/>
      <c r="M154" s="171"/>
      <c r="N154" s="318" t="str">
        <f ca="1">"제 " &amp; Z154 &amp; " 호표  "&amp; OFFSET($A$1,MATCH(Z154,$A:$A,0)-1,2)</f>
        <v>제 11 호표  3.6 재원조달 및 운용</v>
      </c>
      <c r="O154" s="221"/>
      <c r="P154" s="148"/>
      <c r="Q154" s="148"/>
      <c r="R154" s="149"/>
      <c r="S154" s="149"/>
      <c r="T154" s="149"/>
      <c r="U154" s="149"/>
      <c r="V154" s="149"/>
      <c r="W154" s="149"/>
      <c r="X154" s="149"/>
      <c r="Y154" s="149"/>
      <c r="Z154" s="325">
        <f>Z146+1</f>
        <v>11</v>
      </c>
    </row>
    <row r="155" spans="11:26" ht="18" customHeight="1">
      <c r="K155" s="171" t="s">
        <v>78</v>
      </c>
      <c r="L155" s="171"/>
      <c r="M155" s="171"/>
      <c r="N155" s="140" t="s">
        <v>43</v>
      </c>
      <c r="O155" s="172">
        <v>3</v>
      </c>
      <c r="P155" s="219">
        <f ca="1">OFFSET($A$1,MATCH(Z154,$A:$A,0)-1,O155)</f>
        <v>1</v>
      </c>
      <c r="Q155" s="141" t="s">
        <v>29</v>
      </c>
      <c r="R155" s="142">
        <f t="shared" ref="R155:R160" ca="1" si="40">T155</f>
        <v>467217</v>
      </c>
      <c r="S155" s="142">
        <f t="shared" ref="S155:S160" ca="1" si="41">U155</f>
        <v>467217</v>
      </c>
      <c r="T155" s="142">
        <f ca="1">기술사</f>
        <v>467217</v>
      </c>
      <c r="U155" s="142">
        <f t="shared" ref="U155:U160" ca="1" si="42">ROUNDDOWN(P155*R155,0)</f>
        <v>467217</v>
      </c>
      <c r="V155" s="142"/>
      <c r="W155" s="142"/>
      <c r="X155" s="142"/>
      <c r="Y155" s="142"/>
      <c r="Z155" s="114"/>
    </row>
    <row r="156" spans="11:26" ht="18" customHeight="1">
      <c r="K156" s="171" t="s">
        <v>78</v>
      </c>
      <c r="L156" s="171"/>
      <c r="M156" s="171"/>
      <c r="N156" s="143" t="s">
        <v>32</v>
      </c>
      <c r="O156" s="173">
        <v>4</v>
      </c>
      <c r="P156" s="234">
        <f ca="1">OFFSET($A$1,MATCH(Z154,$A:$A,0)-1,O156)</f>
        <v>2</v>
      </c>
      <c r="Q156" s="144" t="s">
        <v>29</v>
      </c>
      <c r="R156" s="118">
        <f t="shared" ca="1" si="40"/>
        <v>373353</v>
      </c>
      <c r="S156" s="118">
        <f t="shared" ca="1" si="41"/>
        <v>746706</v>
      </c>
      <c r="T156" s="118">
        <f ca="1">특급</f>
        <v>373353</v>
      </c>
      <c r="U156" s="118">
        <f t="shared" ca="1" si="42"/>
        <v>746706</v>
      </c>
      <c r="V156" s="118"/>
      <c r="W156" s="118"/>
      <c r="X156" s="118"/>
      <c r="Y156" s="118"/>
      <c r="Z156" s="115"/>
    </row>
    <row r="157" spans="11:26" ht="18" customHeight="1">
      <c r="K157" s="171" t="s">
        <v>78</v>
      </c>
      <c r="L157" s="171"/>
      <c r="M157" s="171"/>
      <c r="N157" s="145" t="s">
        <v>39</v>
      </c>
      <c r="O157" s="173">
        <v>5</v>
      </c>
      <c r="P157" s="234">
        <f ca="1">OFFSET($A$1,MATCH(Z154,$A:$A,0)-1,O157)</f>
        <v>3</v>
      </c>
      <c r="Q157" s="144" t="s">
        <v>29</v>
      </c>
      <c r="R157" s="118">
        <f t="shared" ca="1" si="40"/>
        <v>310884</v>
      </c>
      <c r="S157" s="118">
        <f t="shared" ca="1" si="41"/>
        <v>932652</v>
      </c>
      <c r="T157" s="118">
        <f ca="1">고급</f>
        <v>310884</v>
      </c>
      <c r="U157" s="118">
        <f t="shared" ca="1" si="42"/>
        <v>932652</v>
      </c>
      <c r="V157" s="118"/>
      <c r="W157" s="118"/>
      <c r="X157" s="118"/>
      <c r="Y157" s="118"/>
      <c r="Z157" s="115"/>
    </row>
    <row r="158" spans="11:26" ht="18" customHeight="1">
      <c r="K158" s="171" t="s">
        <v>78</v>
      </c>
      <c r="L158" s="171"/>
      <c r="M158" s="171"/>
      <c r="N158" s="145" t="s">
        <v>40</v>
      </c>
      <c r="O158" s="173">
        <v>6</v>
      </c>
      <c r="P158" s="234">
        <f ca="1">OFFSET($A$1,MATCH(Z154,$A:$A,0)-1,O158)</f>
        <v>5</v>
      </c>
      <c r="Q158" s="144" t="s">
        <v>29</v>
      </c>
      <c r="R158" s="118">
        <f t="shared" ca="1" si="40"/>
        <v>295138</v>
      </c>
      <c r="S158" s="118">
        <f t="shared" ca="1" si="41"/>
        <v>1475690</v>
      </c>
      <c r="T158" s="118">
        <f ca="1">중급</f>
        <v>295138</v>
      </c>
      <c r="U158" s="118">
        <f t="shared" ca="1" si="42"/>
        <v>1475690</v>
      </c>
      <c r="V158" s="118"/>
      <c r="W158" s="118"/>
      <c r="X158" s="118"/>
      <c r="Y158" s="118"/>
      <c r="Z158" s="115"/>
    </row>
    <row r="159" spans="11:26" ht="18" customHeight="1">
      <c r="K159" s="171" t="s">
        <v>78</v>
      </c>
      <c r="L159" s="171"/>
      <c r="M159" s="171"/>
      <c r="N159" s="145" t="s">
        <v>41</v>
      </c>
      <c r="O159" s="173">
        <v>7</v>
      </c>
      <c r="P159" s="234">
        <f ca="1">OFFSET($A$1,MATCH(Z154,$A:$A,0)-1,O159)</f>
        <v>8</v>
      </c>
      <c r="Q159" s="144" t="s">
        <v>29</v>
      </c>
      <c r="R159" s="118">
        <f t="shared" ca="1" si="40"/>
        <v>235459</v>
      </c>
      <c r="S159" s="118">
        <f t="shared" ca="1" si="41"/>
        <v>1883672</v>
      </c>
      <c r="T159" s="118">
        <f ca="1">초급</f>
        <v>235459</v>
      </c>
      <c r="U159" s="118">
        <f t="shared" ca="1" si="42"/>
        <v>1883672</v>
      </c>
      <c r="V159" s="118"/>
      <c r="W159" s="118"/>
      <c r="X159" s="118"/>
      <c r="Y159" s="118"/>
      <c r="Z159" s="115"/>
    </row>
    <row r="160" spans="11:26" ht="18" customHeight="1">
      <c r="K160" s="171" t="s">
        <v>78</v>
      </c>
      <c r="L160" s="171"/>
      <c r="M160" s="171"/>
      <c r="N160" s="319" t="s">
        <v>42</v>
      </c>
      <c r="O160" s="174">
        <v>8</v>
      </c>
      <c r="P160" s="235">
        <f ca="1">OFFSET($A$1,MATCH(Z154,$A:$A,0)-1,O160)</f>
        <v>10</v>
      </c>
      <c r="Q160" s="322" t="s">
        <v>29</v>
      </c>
      <c r="R160" s="323">
        <f t="shared" ca="1" si="40"/>
        <v>250087</v>
      </c>
      <c r="S160" s="323">
        <f t="shared" ca="1" si="41"/>
        <v>2500870</v>
      </c>
      <c r="T160" s="323">
        <f ca="1">보조원</f>
        <v>250087</v>
      </c>
      <c r="U160" s="323">
        <f t="shared" ca="1" si="42"/>
        <v>2500870</v>
      </c>
      <c r="V160" s="323"/>
      <c r="W160" s="323"/>
      <c r="X160" s="323"/>
      <c r="Y160" s="323"/>
      <c r="Z160" s="324"/>
    </row>
    <row r="161" spans="11:26" ht="18" customHeight="1">
      <c r="K161" s="171" t="s">
        <v>78</v>
      </c>
      <c r="L161" s="171"/>
      <c r="M161" s="171"/>
      <c r="N161" s="139" t="s">
        <v>106</v>
      </c>
      <c r="O161" s="68"/>
      <c r="P161" s="69"/>
      <c r="Q161" s="70"/>
      <c r="R161" s="71"/>
      <c r="S161" s="71">
        <f ca="1">SUBTOTAL(9,S155:S160)</f>
        <v>8006807</v>
      </c>
      <c r="T161" s="71"/>
      <c r="U161" s="71">
        <f ca="1">SUBTOTAL(9,U155:U160)</f>
        <v>8006807</v>
      </c>
      <c r="V161" s="71"/>
      <c r="W161" s="71"/>
      <c r="X161" s="71"/>
      <c r="Y161" s="71"/>
      <c r="Z161" s="68"/>
    </row>
    <row r="162" spans="11:26" ht="18" customHeight="1">
      <c r="K162" s="171" t="s">
        <v>78</v>
      </c>
      <c r="L162" s="171"/>
      <c r="M162" s="171"/>
      <c r="N162" s="318" t="str">
        <f ca="1">"제 " &amp; Z162 &amp; " 호표  "&amp; OFFSET($A$1,MATCH(Z162,$A:$A,0)-1,2)</f>
        <v>제 12 호표  3.7 개발제한구역 해제 대상지역의 관리</v>
      </c>
      <c r="O162" s="221"/>
      <c r="P162" s="148"/>
      <c r="Q162" s="148"/>
      <c r="R162" s="149"/>
      <c r="S162" s="149"/>
      <c r="T162" s="149"/>
      <c r="U162" s="149"/>
      <c r="V162" s="149"/>
      <c r="W162" s="149"/>
      <c r="X162" s="149"/>
      <c r="Y162" s="149"/>
      <c r="Z162" s="325">
        <f>Z154+1</f>
        <v>12</v>
      </c>
    </row>
    <row r="163" spans="11:26" ht="18" customHeight="1">
      <c r="K163" s="171" t="s">
        <v>78</v>
      </c>
      <c r="L163" s="171"/>
      <c r="M163" s="171"/>
      <c r="N163" s="140" t="s">
        <v>43</v>
      </c>
      <c r="O163" s="172">
        <v>3</v>
      </c>
      <c r="P163" s="219">
        <f ca="1">OFFSET($A$1,MATCH(Z162,$A:$A,0)-1,O163)</f>
        <v>1</v>
      </c>
      <c r="Q163" s="141" t="s">
        <v>29</v>
      </c>
      <c r="R163" s="142">
        <f t="shared" ref="R163:R168" ca="1" si="43">T163</f>
        <v>467217</v>
      </c>
      <c r="S163" s="142">
        <f t="shared" ref="S163:S168" ca="1" si="44">U163</f>
        <v>467217</v>
      </c>
      <c r="T163" s="142">
        <f ca="1">기술사</f>
        <v>467217</v>
      </c>
      <c r="U163" s="142">
        <f t="shared" ref="U163:U168" ca="1" si="45">ROUNDDOWN(P163*R163,0)</f>
        <v>467217</v>
      </c>
      <c r="V163" s="142"/>
      <c r="W163" s="142"/>
      <c r="X163" s="142"/>
      <c r="Y163" s="142"/>
      <c r="Z163" s="114"/>
    </row>
    <row r="164" spans="11:26" ht="18" customHeight="1">
      <c r="K164" s="171" t="s">
        <v>78</v>
      </c>
      <c r="L164" s="171"/>
      <c r="M164" s="171"/>
      <c r="N164" s="143" t="s">
        <v>32</v>
      </c>
      <c r="O164" s="173">
        <v>4</v>
      </c>
      <c r="P164" s="234">
        <f ca="1">OFFSET($A$1,MATCH(Z162,$A:$A,0)-1,O164)</f>
        <v>3</v>
      </c>
      <c r="Q164" s="144" t="s">
        <v>29</v>
      </c>
      <c r="R164" s="118">
        <f t="shared" ca="1" si="43"/>
        <v>373353</v>
      </c>
      <c r="S164" s="118">
        <f t="shared" ca="1" si="44"/>
        <v>1120059</v>
      </c>
      <c r="T164" s="118">
        <f ca="1">특급</f>
        <v>373353</v>
      </c>
      <c r="U164" s="118">
        <f t="shared" ca="1" si="45"/>
        <v>1120059</v>
      </c>
      <c r="V164" s="118"/>
      <c r="W164" s="118"/>
      <c r="X164" s="118"/>
      <c r="Y164" s="118"/>
      <c r="Z164" s="115"/>
    </row>
    <row r="165" spans="11:26" ht="18" customHeight="1">
      <c r="K165" s="171" t="s">
        <v>78</v>
      </c>
      <c r="L165" s="171"/>
      <c r="M165" s="171"/>
      <c r="N165" s="145" t="s">
        <v>39</v>
      </c>
      <c r="O165" s="173">
        <v>5</v>
      </c>
      <c r="P165" s="234">
        <f ca="1">OFFSET($A$1,MATCH(Z162,$A:$A,0)-1,O165)</f>
        <v>5</v>
      </c>
      <c r="Q165" s="144" t="s">
        <v>29</v>
      </c>
      <c r="R165" s="118">
        <f t="shared" ca="1" si="43"/>
        <v>310884</v>
      </c>
      <c r="S165" s="118">
        <f t="shared" ca="1" si="44"/>
        <v>1554420</v>
      </c>
      <c r="T165" s="118">
        <f ca="1">고급</f>
        <v>310884</v>
      </c>
      <c r="U165" s="118">
        <f t="shared" ca="1" si="45"/>
        <v>1554420</v>
      </c>
      <c r="V165" s="118"/>
      <c r="W165" s="118"/>
      <c r="X165" s="118"/>
      <c r="Y165" s="118"/>
      <c r="Z165" s="115"/>
    </row>
    <row r="166" spans="11:26" ht="18" customHeight="1">
      <c r="K166" s="171" t="s">
        <v>78</v>
      </c>
      <c r="L166" s="171"/>
      <c r="M166" s="171"/>
      <c r="N166" s="145" t="s">
        <v>40</v>
      </c>
      <c r="O166" s="173">
        <v>6</v>
      </c>
      <c r="P166" s="234">
        <f ca="1">OFFSET($A$1,MATCH(Z162,$A:$A,0)-1,O166)</f>
        <v>8</v>
      </c>
      <c r="Q166" s="144" t="s">
        <v>29</v>
      </c>
      <c r="R166" s="118">
        <f t="shared" ca="1" si="43"/>
        <v>295138</v>
      </c>
      <c r="S166" s="118">
        <f t="shared" ca="1" si="44"/>
        <v>2361104</v>
      </c>
      <c r="T166" s="118">
        <f ca="1">중급</f>
        <v>295138</v>
      </c>
      <c r="U166" s="118">
        <f t="shared" ca="1" si="45"/>
        <v>2361104</v>
      </c>
      <c r="V166" s="118"/>
      <c r="W166" s="118"/>
      <c r="X166" s="118"/>
      <c r="Y166" s="118"/>
      <c r="Z166" s="115"/>
    </row>
    <row r="167" spans="11:26" ht="18" customHeight="1">
      <c r="K167" s="171" t="s">
        <v>78</v>
      </c>
      <c r="L167" s="171"/>
      <c r="M167" s="171"/>
      <c r="N167" s="145" t="s">
        <v>41</v>
      </c>
      <c r="O167" s="173">
        <v>7</v>
      </c>
      <c r="P167" s="234">
        <f ca="1">OFFSET($A$1,MATCH(Z162,$A:$A,0)-1,O167)</f>
        <v>12</v>
      </c>
      <c r="Q167" s="144" t="s">
        <v>29</v>
      </c>
      <c r="R167" s="118">
        <f t="shared" ca="1" si="43"/>
        <v>235459</v>
      </c>
      <c r="S167" s="118">
        <f t="shared" ca="1" si="44"/>
        <v>2825508</v>
      </c>
      <c r="T167" s="118">
        <f ca="1">초급</f>
        <v>235459</v>
      </c>
      <c r="U167" s="118">
        <f t="shared" ca="1" si="45"/>
        <v>2825508</v>
      </c>
      <c r="V167" s="118"/>
      <c r="W167" s="118"/>
      <c r="X167" s="118"/>
      <c r="Y167" s="118"/>
      <c r="Z167" s="115"/>
    </row>
    <row r="168" spans="11:26" ht="18" customHeight="1">
      <c r="K168" s="171" t="s">
        <v>78</v>
      </c>
      <c r="L168" s="171"/>
      <c r="M168" s="171"/>
      <c r="N168" s="319" t="s">
        <v>42</v>
      </c>
      <c r="O168" s="174">
        <v>8</v>
      </c>
      <c r="P168" s="235">
        <f ca="1">OFFSET($A$1,MATCH(Z162,$A:$A,0)-1,O168)</f>
        <v>15</v>
      </c>
      <c r="Q168" s="322" t="s">
        <v>29</v>
      </c>
      <c r="R168" s="323">
        <f t="shared" ca="1" si="43"/>
        <v>250087</v>
      </c>
      <c r="S168" s="323">
        <f t="shared" ca="1" si="44"/>
        <v>3751305</v>
      </c>
      <c r="T168" s="323">
        <f ca="1">보조원</f>
        <v>250087</v>
      </c>
      <c r="U168" s="323">
        <f t="shared" ca="1" si="45"/>
        <v>3751305</v>
      </c>
      <c r="V168" s="323"/>
      <c r="W168" s="323"/>
      <c r="X168" s="323"/>
      <c r="Y168" s="323"/>
      <c r="Z168" s="324"/>
    </row>
    <row r="169" spans="11:26" ht="18" customHeight="1">
      <c r="K169" s="171" t="s">
        <v>78</v>
      </c>
      <c r="L169" s="171"/>
      <c r="M169" s="171"/>
      <c r="N169" s="139" t="s">
        <v>106</v>
      </c>
      <c r="O169" s="68"/>
      <c r="P169" s="69"/>
      <c r="Q169" s="70"/>
      <c r="R169" s="71"/>
      <c r="S169" s="71">
        <f ca="1">SUBTOTAL(9,S163:S168)</f>
        <v>12079613</v>
      </c>
      <c r="T169" s="71"/>
      <c r="U169" s="71">
        <f ca="1">SUBTOTAL(9,U163:U168)</f>
        <v>12079613</v>
      </c>
      <c r="V169" s="71"/>
      <c r="W169" s="71"/>
      <c r="X169" s="71"/>
      <c r="Y169" s="71"/>
      <c r="Z169" s="68"/>
    </row>
    <row r="170" spans="11:26" ht="18" customHeight="1">
      <c r="K170" s="171" t="s">
        <v>78</v>
      </c>
      <c r="L170" s="171"/>
      <c r="M170" s="171"/>
      <c r="N170" s="318" t="str">
        <f ca="1">"제 " &amp; Z170 &amp; " 호표  "&amp; OFFSET($A$1,MATCH(Z170,$A:$A,0)-1,2)</f>
        <v>제 13 호표  3.8 환경정비</v>
      </c>
      <c r="O170" s="221"/>
      <c r="P170" s="148"/>
      <c r="Q170" s="148"/>
      <c r="R170" s="149"/>
      <c r="S170" s="149"/>
      <c r="T170" s="149"/>
      <c r="U170" s="149"/>
      <c r="V170" s="149"/>
      <c r="W170" s="149"/>
      <c r="X170" s="149"/>
      <c r="Y170" s="149"/>
      <c r="Z170" s="325">
        <f>Z162+1</f>
        <v>13</v>
      </c>
    </row>
    <row r="171" spans="11:26" ht="18" customHeight="1">
      <c r="K171" s="171" t="s">
        <v>78</v>
      </c>
      <c r="L171" s="171"/>
      <c r="M171" s="171"/>
      <c r="N171" s="140" t="s">
        <v>43</v>
      </c>
      <c r="O171" s="172">
        <v>3</v>
      </c>
      <c r="P171" s="219">
        <f ca="1">OFFSET($A$1,MATCH(Z170,$A:$A,0)-1,O171)</f>
        <v>1</v>
      </c>
      <c r="Q171" s="141" t="s">
        <v>29</v>
      </c>
      <c r="R171" s="142">
        <f t="shared" ref="R171:R176" ca="1" si="46">T171</f>
        <v>467217</v>
      </c>
      <c r="S171" s="142">
        <f t="shared" ref="S171:S176" ca="1" si="47">U171</f>
        <v>467217</v>
      </c>
      <c r="T171" s="142">
        <f ca="1">기술사</f>
        <v>467217</v>
      </c>
      <c r="U171" s="142">
        <f t="shared" ref="U171:U176" ca="1" si="48">ROUNDDOWN(P171*R171,0)</f>
        <v>467217</v>
      </c>
      <c r="V171" s="142"/>
      <c r="W171" s="142"/>
      <c r="X171" s="142"/>
      <c r="Y171" s="142"/>
      <c r="Z171" s="114"/>
    </row>
    <row r="172" spans="11:26" ht="18" customHeight="1">
      <c r="K172" s="171" t="s">
        <v>78</v>
      </c>
      <c r="L172" s="171"/>
      <c r="M172" s="171"/>
      <c r="N172" s="143" t="s">
        <v>32</v>
      </c>
      <c r="O172" s="173">
        <v>4</v>
      </c>
      <c r="P172" s="234">
        <f ca="1">OFFSET($A$1,MATCH(Z170,$A:$A,0)-1,O172)</f>
        <v>3</v>
      </c>
      <c r="Q172" s="144" t="s">
        <v>29</v>
      </c>
      <c r="R172" s="118">
        <f t="shared" ca="1" si="46"/>
        <v>373353</v>
      </c>
      <c r="S172" s="118">
        <f t="shared" ca="1" si="47"/>
        <v>1120059</v>
      </c>
      <c r="T172" s="118">
        <f ca="1">특급</f>
        <v>373353</v>
      </c>
      <c r="U172" s="118">
        <f t="shared" ca="1" si="48"/>
        <v>1120059</v>
      </c>
      <c r="V172" s="118"/>
      <c r="W172" s="118"/>
      <c r="X172" s="118"/>
      <c r="Y172" s="118"/>
      <c r="Z172" s="115"/>
    </row>
    <row r="173" spans="11:26" ht="18" customHeight="1">
      <c r="K173" s="171" t="s">
        <v>78</v>
      </c>
      <c r="L173" s="171"/>
      <c r="M173" s="171"/>
      <c r="N173" s="145" t="s">
        <v>39</v>
      </c>
      <c r="O173" s="173">
        <v>5</v>
      </c>
      <c r="P173" s="234">
        <f ca="1">OFFSET($A$1,MATCH(Z170,$A:$A,0)-1,O173)</f>
        <v>5</v>
      </c>
      <c r="Q173" s="144" t="s">
        <v>29</v>
      </c>
      <c r="R173" s="118">
        <f t="shared" ca="1" si="46"/>
        <v>310884</v>
      </c>
      <c r="S173" s="118">
        <f t="shared" ca="1" si="47"/>
        <v>1554420</v>
      </c>
      <c r="T173" s="118">
        <f ca="1">고급</f>
        <v>310884</v>
      </c>
      <c r="U173" s="118">
        <f t="shared" ca="1" si="48"/>
        <v>1554420</v>
      </c>
      <c r="V173" s="118"/>
      <c r="W173" s="118"/>
      <c r="X173" s="118"/>
      <c r="Y173" s="118"/>
      <c r="Z173" s="115"/>
    </row>
    <row r="174" spans="11:26" ht="18" customHeight="1">
      <c r="K174" s="171" t="s">
        <v>78</v>
      </c>
      <c r="L174" s="171"/>
      <c r="M174" s="171"/>
      <c r="N174" s="145" t="s">
        <v>40</v>
      </c>
      <c r="O174" s="173">
        <v>6</v>
      </c>
      <c r="P174" s="234">
        <f ca="1">OFFSET($A$1,MATCH(Z170,$A:$A,0)-1,O174)</f>
        <v>8</v>
      </c>
      <c r="Q174" s="144" t="s">
        <v>29</v>
      </c>
      <c r="R174" s="118">
        <f t="shared" ca="1" si="46"/>
        <v>295138</v>
      </c>
      <c r="S174" s="118">
        <f t="shared" ca="1" si="47"/>
        <v>2361104</v>
      </c>
      <c r="T174" s="118">
        <f ca="1">중급</f>
        <v>295138</v>
      </c>
      <c r="U174" s="118">
        <f t="shared" ca="1" si="48"/>
        <v>2361104</v>
      </c>
      <c r="V174" s="118"/>
      <c r="W174" s="118"/>
      <c r="X174" s="118"/>
      <c r="Y174" s="118"/>
      <c r="Z174" s="115"/>
    </row>
    <row r="175" spans="11:26" ht="18" customHeight="1">
      <c r="K175" s="171" t="s">
        <v>78</v>
      </c>
      <c r="L175" s="171"/>
      <c r="M175" s="171"/>
      <c r="N175" s="145" t="s">
        <v>41</v>
      </c>
      <c r="O175" s="173">
        <v>7</v>
      </c>
      <c r="P175" s="234">
        <f ca="1">OFFSET($A$1,MATCH(Z170,$A:$A,0)-1,O175)</f>
        <v>12</v>
      </c>
      <c r="Q175" s="144" t="s">
        <v>29</v>
      </c>
      <c r="R175" s="118">
        <f t="shared" ca="1" si="46"/>
        <v>235459</v>
      </c>
      <c r="S175" s="118">
        <f t="shared" ca="1" si="47"/>
        <v>2825508</v>
      </c>
      <c r="T175" s="118">
        <f ca="1">초급</f>
        <v>235459</v>
      </c>
      <c r="U175" s="118">
        <f t="shared" ca="1" si="48"/>
        <v>2825508</v>
      </c>
      <c r="V175" s="118"/>
      <c r="W175" s="118"/>
      <c r="X175" s="118"/>
      <c r="Y175" s="118"/>
      <c r="Z175" s="115"/>
    </row>
    <row r="176" spans="11:26" ht="18" customHeight="1">
      <c r="K176" s="171" t="s">
        <v>78</v>
      </c>
      <c r="L176" s="171"/>
      <c r="M176" s="171"/>
      <c r="N176" s="319" t="s">
        <v>42</v>
      </c>
      <c r="O176" s="174">
        <v>8</v>
      </c>
      <c r="P176" s="235">
        <f ca="1">OFFSET($A$1,MATCH(Z170,$A:$A,0)-1,O176)</f>
        <v>15</v>
      </c>
      <c r="Q176" s="322" t="s">
        <v>29</v>
      </c>
      <c r="R176" s="323">
        <f t="shared" ca="1" si="46"/>
        <v>250087</v>
      </c>
      <c r="S176" s="323">
        <f t="shared" ca="1" si="47"/>
        <v>3751305</v>
      </c>
      <c r="T176" s="323">
        <f ca="1">보조원</f>
        <v>250087</v>
      </c>
      <c r="U176" s="323">
        <f t="shared" ca="1" si="48"/>
        <v>3751305</v>
      </c>
      <c r="V176" s="323"/>
      <c r="W176" s="323"/>
      <c r="X176" s="323"/>
      <c r="Y176" s="323"/>
      <c r="Z176" s="324"/>
    </row>
    <row r="177" spans="11:26" ht="18" customHeight="1">
      <c r="K177" s="171" t="s">
        <v>78</v>
      </c>
      <c r="L177" s="171"/>
      <c r="M177" s="171"/>
      <c r="N177" s="139" t="s">
        <v>106</v>
      </c>
      <c r="O177" s="68"/>
      <c r="P177" s="69"/>
      <c r="Q177" s="70"/>
      <c r="R177" s="71"/>
      <c r="S177" s="71">
        <f ca="1">SUBTOTAL(9,S171:S176)</f>
        <v>12079613</v>
      </c>
      <c r="T177" s="71"/>
      <c r="U177" s="71">
        <f ca="1">SUBTOTAL(9,U171:U176)</f>
        <v>12079613</v>
      </c>
      <c r="V177" s="71"/>
      <c r="W177" s="71"/>
      <c r="X177" s="71"/>
      <c r="Y177" s="71"/>
      <c r="Z177" s="68"/>
    </row>
    <row r="178" spans="11:26" ht="18" customHeight="1">
      <c r="K178" s="171" t="s">
        <v>78</v>
      </c>
      <c r="L178" s="171"/>
      <c r="M178" s="171"/>
      <c r="N178" s="318" t="str">
        <f ca="1">"제 " &amp; Z178 &amp; " 호표  "&amp; OFFSET($A$1,MATCH(Z178,$A:$A,0)-1,2)</f>
        <v>제 14 호표  3.9 축산단지 배치</v>
      </c>
      <c r="O178" s="221"/>
      <c r="P178" s="148"/>
      <c r="Q178" s="148"/>
      <c r="R178" s="149"/>
      <c r="S178" s="149"/>
      <c r="T178" s="149"/>
      <c r="U178" s="149"/>
      <c r="V178" s="149"/>
      <c r="W178" s="149"/>
      <c r="X178" s="149"/>
      <c r="Y178" s="149"/>
      <c r="Z178" s="325">
        <f>Z170+1</f>
        <v>14</v>
      </c>
    </row>
    <row r="179" spans="11:26" ht="18" customHeight="1">
      <c r="K179" s="171" t="s">
        <v>78</v>
      </c>
      <c r="L179" s="171"/>
      <c r="M179" s="171"/>
      <c r="N179" s="140" t="s">
        <v>43</v>
      </c>
      <c r="O179" s="172">
        <v>3</v>
      </c>
      <c r="P179" s="219">
        <f ca="1">OFFSET($A$1,MATCH(Z178,$A:$A,0)-1,O179)</f>
        <v>1</v>
      </c>
      <c r="Q179" s="141" t="s">
        <v>29</v>
      </c>
      <c r="R179" s="142">
        <f t="shared" ref="R179:R184" ca="1" si="49">T179</f>
        <v>467217</v>
      </c>
      <c r="S179" s="142">
        <f t="shared" ref="S179:S184" ca="1" si="50">U179</f>
        <v>467217</v>
      </c>
      <c r="T179" s="142">
        <f ca="1">기술사</f>
        <v>467217</v>
      </c>
      <c r="U179" s="142">
        <f t="shared" ref="U179:U184" ca="1" si="51">ROUNDDOWN(P179*R179,0)</f>
        <v>467217</v>
      </c>
      <c r="V179" s="142"/>
      <c r="W179" s="142"/>
      <c r="X179" s="142"/>
      <c r="Y179" s="142"/>
      <c r="Z179" s="114"/>
    </row>
    <row r="180" spans="11:26" ht="18" customHeight="1">
      <c r="K180" s="171" t="s">
        <v>78</v>
      </c>
      <c r="L180" s="171"/>
      <c r="M180" s="171"/>
      <c r="N180" s="143" t="s">
        <v>32</v>
      </c>
      <c r="O180" s="173">
        <v>4</v>
      </c>
      <c r="P180" s="234">
        <f ca="1">OFFSET($A$1,MATCH(Z178,$A:$A,0)-1,O180)</f>
        <v>3</v>
      </c>
      <c r="Q180" s="144" t="s">
        <v>29</v>
      </c>
      <c r="R180" s="118">
        <f t="shared" ca="1" si="49"/>
        <v>373353</v>
      </c>
      <c r="S180" s="118">
        <f t="shared" ca="1" si="50"/>
        <v>1120059</v>
      </c>
      <c r="T180" s="118">
        <f ca="1">특급</f>
        <v>373353</v>
      </c>
      <c r="U180" s="118">
        <f t="shared" ca="1" si="51"/>
        <v>1120059</v>
      </c>
      <c r="V180" s="118"/>
      <c r="W180" s="118"/>
      <c r="X180" s="118"/>
      <c r="Y180" s="118"/>
      <c r="Z180" s="115"/>
    </row>
    <row r="181" spans="11:26" ht="18" customHeight="1">
      <c r="K181" s="171" t="s">
        <v>78</v>
      </c>
      <c r="L181" s="171"/>
      <c r="M181" s="171"/>
      <c r="N181" s="145" t="s">
        <v>39</v>
      </c>
      <c r="O181" s="173">
        <v>5</v>
      </c>
      <c r="P181" s="234">
        <f ca="1">OFFSET($A$1,MATCH(Z178,$A:$A,0)-1,O181)</f>
        <v>5</v>
      </c>
      <c r="Q181" s="144" t="s">
        <v>29</v>
      </c>
      <c r="R181" s="118">
        <f t="shared" ca="1" si="49"/>
        <v>310884</v>
      </c>
      <c r="S181" s="118">
        <f t="shared" ca="1" si="50"/>
        <v>1554420</v>
      </c>
      <c r="T181" s="118">
        <f ca="1">고급</f>
        <v>310884</v>
      </c>
      <c r="U181" s="118">
        <f t="shared" ca="1" si="51"/>
        <v>1554420</v>
      </c>
      <c r="V181" s="118"/>
      <c r="W181" s="118"/>
      <c r="X181" s="118"/>
      <c r="Y181" s="118"/>
      <c r="Z181" s="115"/>
    </row>
    <row r="182" spans="11:26" ht="18" customHeight="1">
      <c r="K182" s="171" t="s">
        <v>78</v>
      </c>
      <c r="L182" s="171"/>
      <c r="M182" s="171"/>
      <c r="N182" s="145" t="s">
        <v>40</v>
      </c>
      <c r="O182" s="173">
        <v>6</v>
      </c>
      <c r="P182" s="234">
        <f ca="1">OFFSET($A$1,MATCH(Z178,$A:$A,0)-1,O182)</f>
        <v>8</v>
      </c>
      <c r="Q182" s="144" t="s">
        <v>29</v>
      </c>
      <c r="R182" s="118">
        <f t="shared" ca="1" si="49"/>
        <v>295138</v>
      </c>
      <c r="S182" s="118">
        <f t="shared" ca="1" si="50"/>
        <v>2361104</v>
      </c>
      <c r="T182" s="118">
        <f ca="1">중급</f>
        <v>295138</v>
      </c>
      <c r="U182" s="118">
        <f t="shared" ca="1" si="51"/>
        <v>2361104</v>
      </c>
      <c r="V182" s="118"/>
      <c r="W182" s="118"/>
      <c r="X182" s="118"/>
      <c r="Y182" s="118"/>
      <c r="Z182" s="115"/>
    </row>
    <row r="183" spans="11:26" ht="18" customHeight="1">
      <c r="K183" s="171" t="s">
        <v>78</v>
      </c>
      <c r="L183" s="171"/>
      <c r="M183" s="171"/>
      <c r="N183" s="145" t="s">
        <v>41</v>
      </c>
      <c r="O183" s="173">
        <v>7</v>
      </c>
      <c r="P183" s="234">
        <f ca="1">OFFSET($A$1,MATCH(Z178,$A:$A,0)-1,O183)</f>
        <v>12</v>
      </c>
      <c r="Q183" s="144" t="s">
        <v>29</v>
      </c>
      <c r="R183" s="118">
        <f t="shared" ca="1" si="49"/>
        <v>235459</v>
      </c>
      <c r="S183" s="118">
        <f t="shared" ca="1" si="50"/>
        <v>2825508</v>
      </c>
      <c r="T183" s="118">
        <f ca="1">초급</f>
        <v>235459</v>
      </c>
      <c r="U183" s="118">
        <f t="shared" ca="1" si="51"/>
        <v>2825508</v>
      </c>
      <c r="V183" s="118"/>
      <c r="W183" s="118"/>
      <c r="X183" s="118"/>
      <c r="Y183" s="118"/>
      <c r="Z183" s="115"/>
    </row>
    <row r="184" spans="11:26" ht="18" customHeight="1">
      <c r="K184" s="171" t="s">
        <v>78</v>
      </c>
      <c r="L184" s="171"/>
      <c r="M184" s="171"/>
      <c r="N184" s="319" t="s">
        <v>42</v>
      </c>
      <c r="O184" s="174">
        <v>8</v>
      </c>
      <c r="P184" s="235">
        <f ca="1">OFFSET($A$1,MATCH(Z178,$A:$A,0)-1,O184)</f>
        <v>15</v>
      </c>
      <c r="Q184" s="322" t="s">
        <v>29</v>
      </c>
      <c r="R184" s="323">
        <f t="shared" ca="1" si="49"/>
        <v>250087</v>
      </c>
      <c r="S184" s="323">
        <f t="shared" ca="1" si="50"/>
        <v>3751305</v>
      </c>
      <c r="T184" s="323">
        <f ca="1">보조원</f>
        <v>250087</v>
      </c>
      <c r="U184" s="323">
        <f t="shared" ca="1" si="51"/>
        <v>3751305</v>
      </c>
      <c r="V184" s="323"/>
      <c r="W184" s="323"/>
      <c r="X184" s="323"/>
      <c r="Y184" s="323"/>
      <c r="Z184" s="324"/>
    </row>
    <row r="185" spans="11:26" ht="18" customHeight="1">
      <c r="K185" s="171" t="s">
        <v>78</v>
      </c>
      <c r="L185" s="171"/>
      <c r="M185" s="171"/>
      <c r="N185" s="139" t="s">
        <v>106</v>
      </c>
      <c r="O185" s="68"/>
      <c r="P185" s="69"/>
      <c r="Q185" s="70"/>
      <c r="R185" s="71"/>
      <c r="S185" s="71">
        <f ca="1">SUBTOTAL(9,S179:S184)</f>
        <v>12079613</v>
      </c>
      <c r="T185" s="71"/>
      <c r="U185" s="71">
        <f ca="1">SUBTOTAL(9,U179:U184)</f>
        <v>12079613</v>
      </c>
      <c r="V185" s="71"/>
      <c r="W185" s="71"/>
      <c r="X185" s="71"/>
      <c r="Y185" s="71"/>
      <c r="Z185" s="68"/>
    </row>
    <row r="186" spans="11:26" ht="18" customHeight="1">
      <c r="K186" s="171" t="s">
        <v>78</v>
      </c>
      <c r="L186" s="171"/>
      <c r="M186" s="171"/>
      <c r="N186" s="318" t="str">
        <f ca="1">"제 " &amp; Z186 &amp; " 호표  "&amp; OFFSET($A$1,MATCH(Z186,$A:$A,0)-1,2)</f>
        <v>제 15 호표  3.10 구역관리의 전산화</v>
      </c>
      <c r="O186" s="221"/>
      <c r="P186" s="148"/>
      <c r="Q186" s="148"/>
      <c r="R186" s="149"/>
      <c r="S186" s="149"/>
      <c r="T186" s="149"/>
      <c r="U186" s="149"/>
      <c r="V186" s="149"/>
      <c r="W186" s="149"/>
      <c r="X186" s="149"/>
      <c r="Y186" s="149"/>
      <c r="Z186" s="325">
        <f>Z178+1</f>
        <v>15</v>
      </c>
    </row>
    <row r="187" spans="11:26" ht="18" customHeight="1">
      <c r="K187" s="171" t="s">
        <v>78</v>
      </c>
      <c r="L187" s="171"/>
      <c r="M187" s="171"/>
      <c r="N187" s="140" t="s">
        <v>43</v>
      </c>
      <c r="O187" s="172">
        <v>3</v>
      </c>
      <c r="P187" s="219">
        <f ca="1">OFFSET($A$1,MATCH(Z186,$A:$A,0)-1,O187)</f>
        <v>1</v>
      </c>
      <c r="Q187" s="141" t="s">
        <v>29</v>
      </c>
      <c r="R187" s="142">
        <f t="shared" ref="R187:R192" ca="1" si="52">T187</f>
        <v>467217</v>
      </c>
      <c r="S187" s="142">
        <f t="shared" ref="S187:S192" ca="1" si="53">U187</f>
        <v>467217</v>
      </c>
      <c r="T187" s="142">
        <f ca="1">기술사</f>
        <v>467217</v>
      </c>
      <c r="U187" s="142">
        <f t="shared" ref="U187:U192" ca="1" si="54">ROUNDDOWN(P187*R187,0)</f>
        <v>467217</v>
      </c>
      <c r="V187" s="142"/>
      <c r="W187" s="142"/>
      <c r="X187" s="142"/>
      <c r="Y187" s="142"/>
      <c r="Z187" s="114"/>
    </row>
    <row r="188" spans="11:26" ht="18" customHeight="1">
      <c r="K188" s="171" t="s">
        <v>78</v>
      </c>
      <c r="L188" s="171"/>
      <c r="M188" s="171"/>
      <c r="N188" s="143" t="s">
        <v>32</v>
      </c>
      <c r="O188" s="173">
        <v>4</v>
      </c>
      <c r="P188" s="234">
        <f ca="1">OFFSET($A$1,MATCH(Z186,$A:$A,0)-1,O188)</f>
        <v>3</v>
      </c>
      <c r="Q188" s="144" t="s">
        <v>29</v>
      </c>
      <c r="R188" s="118">
        <f t="shared" ca="1" si="52"/>
        <v>373353</v>
      </c>
      <c r="S188" s="118">
        <f t="shared" ca="1" si="53"/>
        <v>1120059</v>
      </c>
      <c r="T188" s="118">
        <f ca="1">특급</f>
        <v>373353</v>
      </c>
      <c r="U188" s="118">
        <f t="shared" ca="1" si="54"/>
        <v>1120059</v>
      </c>
      <c r="V188" s="118"/>
      <c r="W188" s="118"/>
      <c r="X188" s="118"/>
      <c r="Y188" s="118"/>
      <c r="Z188" s="115"/>
    </row>
    <row r="189" spans="11:26" ht="18" customHeight="1">
      <c r="K189" s="171" t="s">
        <v>78</v>
      </c>
      <c r="L189" s="171"/>
      <c r="M189" s="171"/>
      <c r="N189" s="145" t="s">
        <v>39</v>
      </c>
      <c r="O189" s="173">
        <v>5</v>
      </c>
      <c r="P189" s="234">
        <f ca="1">OFFSET($A$1,MATCH(Z186,$A:$A,0)-1,O189)</f>
        <v>5</v>
      </c>
      <c r="Q189" s="144" t="s">
        <v>29</v>
      </c>
      <c r="R189" s="118">
        <f t="shared" ca="1" si="52"/>
        <v>310884</v>
      </c>
      <c r="S189" s="118">
        <f t="shared" ca="1" si="53"/>
        <v>1554420</v>
      </c>
      <c r="T189" s="118">
        <f ca="1">고급</f>
        <v>310884</v>
      </c>
      <c r="U189" s="118">
        <f t="shared" ca="1" si="54"/>
        <v>1554420</v>
      </c>
      <c r="V189" s="118"/>
      <c r="W189" s="118"/>
      <c r="X189" s="118"/>
      <c r="Y189" s="118"/>
      <c r="Z189" s="115"/>
    </row>
    <row r="190" spans="11:26" ht="18" customHeight="1">
      <c r="K190" s="171" t="s">
        <v>78</v>
      </c>
      <c r="L190" s="171"/>
      <c r="M190" s="171"/>
      <c r="N190" s="145" t="s">
        <v>40</v>
      </c>
      <c r="O190" s="173">
        <v>6</v>
      </c>
      <c r="P190" s="234">
        <f ca="1">OFFSET($A$1,MATCH(Z186,$A:$A,0)-1,O190)</f>
        <v>8</v>
      </c>
      <c r="Q190" s="144" t="s">
        <v>29</v>
      </c>
      <c r="R190" s="118">
        <f t="shared" ca="1" si="52"/>
        <v>295138</v>
      </c>
      <c r="S190" s="118">
        <f t="shared" ca="1" si="53"/>
        <v>2361104</v>
      </c>
      <c r="T190" s="118">
        <f ca="1">중급</f>
        <v>295138</v>
      </c>
      <c r="U190" s="118">
        <f t="shared" ca="1" si="54"/>
        <v>2361104</v>
      </c>
      <c r="V190" s="118"/>
      <c r="W190" s="118"/>
      <c r="X190" s="118"/>
      <c r="Y190" s="118"/>
      <c r="Z190" s="115"/>
    </row>
    <row r="191" spans="11:26" ht="18" customHeight="1">
      <c r="K191" s="171" t="s">
        <v>78</v>
      </c>
      <c r="L191" s="171"/>
      <c r="M191" s="171"/>
      <c r="N191" s="145" t="s">
        <v>41</v>
      </c>
      <c r="O191" s="173">
        <v>7</v>
      </c>
      <c r="P191" s="234">
        <f ca="1">OFFSET($A$1,MATCH(Z186,$A:$A,0)-1,O191)</f>
        <v>12</v>
      </c>
      <c r="Q191" s="144" t="s">
        <v>29</v>
      </c>
      <c r="R191" s="118">
        <f t="shared" ca="1" si="52"/>
        <v>235459</v>
      </c>
      <c r="S191" s="118">
        <f t="shared" ca="1" si="53"/>
        <v>2825508</v>
      </c>
      <c r="T191" s="118">
        <f ca="1">초급</f>
        <v>235459</v>
      </c>
      <c r="U191" s="118">
        <f t="shared" ca="1" si="54"/>
        <v>2825508</v>
      </c>
      <c r="V191" s="118"/>
      <c r="W191" s="118"/>
      <c r="X191" s="118"/>
      <c r="Y191" s="118"/>
      <c r="Z191" s="115"/>
    </row>
    <row r="192" spans="11:26" ht="18" customHeight="1">
      <c r="K192" s="171" t="s">
        <v>78</v>
      </c>
      <c r="L192" s="171"/>
      <c r="M192" s="171"/>
      <c r="N192" s="319" t="s">
        <v>42</v>
      </c>
      <c r="O192" s="174">
        <v>8</v>
      </c>
      <c r="P192" s="235">
        <f ca="1">OFFSET($A$1,MATCH(Z186,$A:$A,0)-1,O192)</f>
        <v>15</v>
      </c>
      <c r="Q192" s="322" t="s">
        <v>29</v>
      </c>
      <c r="R192" s="323">
        <f t="shared" ca="1" si="52"/>
        <v>250087</v>
      </c>
      <c r="S192" s="323">
        <f t="shared" ca="1" si="53"/>
        <v>3751305</v>
      </c>
      <c r="T192" s="323">
        <f ca="1">보조원</f>
        <v>250087</v>
      </c>
      <c r="U192" s="323">
        <f t="shared" ca="1" si="54"/>
        <v>3751305</v>
      </c>
      <c r="V192" s="323"/>
      <c r="W192" s="323"/>
      <c r="X192" s="323"/>
      <c r="Y192" s="323"/>
      <c r="Z192" s="324"/>
    </row>
    <row r="193" spans="11:26" ht="18" customHeight="1">
      <c r="K193" s="171" t="s">
        <v>78</v>
      </c>
      <c r="L193" s="171"/>
      <c r="M193" s="171"/>
      <c r="N193" s="139" t="s">
        <v>106</v>
      </c>
      <c r="O193" s="68"/>
      <c r="P193" s="69"/>
      <c r="Q193" s="70"/>
      <c r="R193" s="71"/>
      <c r="S193" s="71">
        <f ca="1">SUBTOTAL(9,S187:S192)</f>
        <v>12079613</v>
      </c>
      <c r="T193" s="71"/>
      <c r="U193" s="71">
        <f ca="1">SUBTOTAL(9,U187:U192)</f>
        <v>12079613</v>
      </c>
      <c r="V193" s="71"/>
      <c r="W193" s="71"/>
      <c r="X193" s="71"/>
      <c r="Y193" s="71"/>
      <c r="Z193" s="68"/>
    </row>
    <row r="194" spans="11:26" ht="18" customHeight="1">
      <c r="K194" s="171" t="s">
        <v>78</v>
      </c>
      <c r="L194" s="171"/>
      <c r="M194" s="171"/>
      <c r="N194" s="318" t="str">
        <f ca="1">"제 " &amp; Z194 &amp; " 호표  "&amp; OFFSET($A$1,MATCH(Z194,$A:$A,0)-1,2)</f>
        <v>제 16 호표  3.11 위법행위의 지도, 단속, 항공사진 촬영</v>
      </c>
      <c r="O194" s="221"/>
      <c r="P194" s="148"/>
      <c r="Q194" s="148"/>
      <c r="R194" s="149"/>
      <c r="S194" s="149"/>
      <c r="T194" s="149"/>
      <c r="U194" s="149"/>
      <c r="V194" s="149"/>
      <c r="W194" s="149"/>
      <c r="X194" s="149"/>
      <c r="Y194" s="149"/>
      <c r="Z194" s="325">
        <f>Z186+1</f>
        <v>16</v>
      </c>
    </row>
    <row r="195" spans="11:26" ht="18" customHeight="1">
      <c r="K195" s="171" t="s">
        <v>78</v>
      </c>
      <c r="L195" s="171"/>
      <c r="M195" s="171"/>
      <c r="N195" s="140" t="s">
        <v>43</v>
      </c>
      <c r="O195" s="172">
        <v>3</v>
      </c>
      <c r="P195" s="219">
        <f ca="1">OFFSET($A$1,MATCH(Z194,$A:$A,0)-1,O195)</f>
        <v>1</v>
      </c>
      <c r="Q195" s="141" t="s">
        <v>29</v>
      </c>
      <c r="R195" s="142">
        <f t="shared" ref="R195:R200" ca="1" si="55">T195</f>
        <v>467217</v>
      </c>
      <c r="S195" s="142">
        <f t="shared" ref="S195:S200" ca="1" si="56">U195</f>
        <v>467217</v>
      </c>
      <c r="T195" s="142">
        <f ca="1">기술사</f>
        <v>467217</v>
      </c>
      <c r="U195" s="142">
        <f t="shared" ref="U195:U200" ca="1" si="57">ROUNDDOWN(P195*R195,0)</f>
        <v>467217</v>
      </c>
      <c r="V195" s="142"/>
      <c r="W195" s="142"/>
      <c r="X195" s="142"/>
      <c r="Y195" s="142"/>
      <c r="Z195" s="114"/>
    </row>
    <row r="196" spans="11:26" ht="18" customHeight="1">
      <c r="K196" s="171" t="s">
        <v>78</v>
      </c>
      <c r="L196" s="171"/>
      <c r="M196" s="171"/>
      <c r="N196" s="143" t="s">
        <v>32</v>
      </c>
      <c r="O196" s="173">
        <v>4</v>
      </c>
      <c r="P196" s="234">
        <f ca="1">OFFSET($A$1,MATCH(Z194,$A:$A,0)-1,O196)</f>
        <v>3</v>
      </c>
      <c r="Q196" s="144" t="s">
        <v>29</v>
      </c>
      <c r="R196" s="118">
        <f t="shared" ca="1" si="55"/>
        <v>373353</v>
      </c>
      <c r="S196" s="118">
        <f t="shared" ca="1" si="56"/>
        <v>1120059</v>
      </c>
      <c r="T196" s="118">
        <f ca="1">특급</f>
        <v>373353</v>
      </c>
      <c r="U196" s="118">
        <f t="shared" ca="1" si="57"/>
        <v>1120059</v>
      </c>
      <c r="V196" s="118"/>
      <c r="W196" s="118"/>
      <c r="X196" s="118"/>
      <c r="Y196" s="118"/>
      <c r="Z196" s="115"/>
    </row>
    <row r="197" spans="11:26" ht="18" customHeight="1">
      <c r="K197" s="171" t="s">
        <v>78</v>
      </c>
      <c r="L197" s="171"/>
      <c r="M197" s="171"/>
      <c r="N197" s="145" t="s">
        <v>39</v>
      </c>
      <c r="O197" s="173">
        <v>5</v>
      </c>
      <c r="P197" s="234">
        <f ca="1">OFFSET($A$1,MATCH(Z194,$A:$A,0)-1,O197)</f>
        <v>5</v>
      </c>
      <c r="Q197" s="144" t="s">
        <v>29</v>
      </c>
      <c r="R197" s="118">
        <f t="shared" ca="1" si="55"/>
        <v>310884</v>
      </c>
      <c r="S197" s="118">
        <f t="shared" ca="1" si="56"/>
        <v>1554420</v>
      </c>
      <c r="T197" s="118">
        <f ca="1">고급</f>
        <v>310884</v>
      </c>
      <c r="U197" s="118">
        <f t="shared" ca="1" si="57"/>
        <v>1554420</v>
      </c>
      <c r="V197" s="118"/>
      <c r="W197" s="118"/>
      <c r="X197" s="118"/>
      <c r="Y197" s="118"/>
      <c r="Z197" s="115"/>
    </row>
    <row r="198" spans="11:26" ht="18" customHeight="1">
      <c r="K198" s="171" t="s">
        <v>78</v>
      </c>
      <c r="L198" s="171"/>
      <c r="M198" s="171"/>
      <c r="N198" s="145" t="s">
        <v>40</v>
      </c>
      <c r="O198" s="173">
        <v>6</v>
      </c>
      <c r="P198" s="234">
        <f ca="1">OFFSET($A$1,MATCH(Z194,$A:$A,0)-1,O198)</f>
        <v>8</v>
      </c>
      <c r="Q198" s="144" t="s">
        <v>29</v>
      </c>
      <c r="R198" s="118">
        <f t="shared" ca="1" si="55"/>
        <v>295138</v>
      </c>
      <c r="S198" s="118">
        <f t="shared" ca="1" si="56"/>
        <v>2361104</v>
      </c>
      <c r="T198" s="118">
        <f ca="1">중급</f>
        <v>295138</v>
      </c>
      <c r="U198" s="118">
        <f t="shared" ca="1" si="57"/>
        <v>2361104</v>
      </c>
      <c r="V198" s="118"/>
      <c r="W198" s="118"/>
      <c r="X198" s="118"/>
      <c r="Y198" s="118"/>
      <c r="Z198" s="115"/>
    </row>
    <row r="199" spans="11:26" ht="18" customHeight="1">
      <c r="K199" s="171" t="s">
        <v>78</v>
      </c>
      <c r="L199" s="171"/>
      <c r="M199" s="171"/>
      <c r="N199" s="145" t="s">
        <v>41</v>
      </c>
      <c r="O199" s="173">
        <v>7</v>
      </c>
      <c r="P199" s="234">
        <f ca="1">OFFSET($A$1,MATCH(Z194,$A:$A,0)-1,O199)</f>
        <v>12</v>
      </c>
      <c r="Q199" s="144" t="s">
        <v>29</v>
      </c>
      <c r="R199" s="118">
        <f t="shared" ca="1" si="55"/>
        <v>235459</v>
      </c>
      <c r="S199" s="118">
        <f t="shared" ca="1" si="56"/>
        <v>2825508</v>
      </c>
      <c r="T199" s="118">
        <f ca="1">초급</f>
        <v>235459</v>
      </c>
      <c r="U199" s="118">
        <f t="shared" ca="1" si="57"/>
        <v>2825508</v>
      </c>
      <c r="V199" s="118"/>
      <c r="W199" s="118"/>
      <c r="X199" s="118"/>
      <c r="Y199" s="118"/>
      <c r="Z199" s="115"/>
    </row>
    <row r="200" spans="11:26" ht="18" customHeight="1">
      <c r="K200" s="171" t="s">
        <v>78</v>
      </c>
      <c r="L200" s="171"/>
      <c r="M200" s="171"/>
      <c r="N200" s="319" t="s">
        <v>42</v>
      </c>
      <c r="O200" s="174">
        <v>8</v>
      </c>
      <c r="P200" s="235">
        <f ca="1">OFFSET($A$1,MATCH(Z194,$A:$A,0)-1,O200)</f>
        <v>15</v>
      </c>
      <c r="Q200" s="322" t="s">
        <v>29</v>
      </c>
      <c r="R200" s="323">
        <f t="shared" ca="1" si="55"/>
        <v>250087</v>
      </c>
      <c r="S200" s="323">
        <f t="shared" ca="1" si="56"/>
        <v>3751305</v>
      </c>
      <c r="T200" s="323">
        <f ca="1">보조원</f>
        <v>250087</v>
      </c>
      <c r="U200" s="323">
        <f t="shared" ca="1" si="57"/>
        <v>3751305</v>
      </c>
      <c r="V200" s="323"/>
      <c r="W200" s="323"/>
      <c r="X200" s="323"/>
      <c r="Y200" s="323"/>
      <c r="Z200" s="324"/>
    </row>
    <row r="201" spans="11:26" ht="18" customHeight="1">
      <c r="K201" s="171" t="s">
        <v>78</v>
      </c>
      <c r="L201" s="171"/>
      <c r="M201" s="171"/>
      <c r="N201" s="139" t="s">
        <v>106</v>
      </c>
      <c r="O201" s="68"/>
      <c r="P201" s="69"/>
      <c r="Q201" s="70"/>
      <c r="R201" s="71"/>
      <c r="S201" s="71">
        <f ca="1">SUBTOTAL(9,S195:S200)</f>
        <v>12079613</v>
      </c>
      <c r="T201" s="71"/>
      <c r="U201" s="71">
        <f ca="1">SUBTOTAL(9,U195:U200)</f>
        <v>12079613</v>
      </c>
      <c r="V201" s="71"/>
      <c r="W201" s="71"/>
      <c r="X201" s="71"/>
      <c r="Y201" s="71"/>
      <c r="Z201" s="68"/>
    </row>
    <row r="202" spans="11:26" ht="18" customHeight="1">
      <c r="K202" s="171" t="s">
        <v>78</v>
      </c>
      <c r="L202" s="171"/>
      <c r="M202" s="171"/>
      <c r="N202" s="318" t="str">
        <f ca="1">"제 " &amp; Z202 &amp; " 호표  "&amp; OFFSET($A$1,MATCH(Z202,$A:$A,0)-1,2)</f>
        <v>제 17 호표  3.12 경계표석의 설치 관리</v>
      </c>
      <c r="O202" s="221"/>
      <c r="P202" s="148"/>
      <c r="Q202" s="148"/>
      <c r="R202" s="149"/>
      <c r="S202" s="149"/>
      <c r="T202" s="149"/>
      <c r="U202" s="149"/>
      <c r="V202" s="149"/>
      <c r="W202" s="149"/>
      <c r="X202" s="149"/>
      <c r="Y202" s="149"/>
      <c r="Z202" s="325">
        <f>Z194+1</f>
        <v>17</v>
      </c>
    </row>
    <row r="203" spans="11:26" ht="18" customHeight="1">
      <c r="K203" s="171" t="s">
        <v>78</v>
      </c>
      <c r="L203" s="171"/>
      <c r="M203" s="171"/>
      <c r="N203" s="140" t="s">
        <v>43</v>
      </c>
      <c r="O203" s="172">
        <v>3</v>
      </c>
      <c r="P203" s="219">
        <f ca="1">OFFSET($A$1,MATCH(Z202,$A:$A,0)-1,O203)</f>
        <v>1</v>
      </c>
      <c r="Q203" s="141" t="s">
        <v>29</v>
      </c>
      <c r="R203" s="142">
        <f t="shared" ref="R203:R208" ca="1" si="58">T203</f>
        <v>467217</v>
      </c>
      <c r="S203" s="142">
        <f t="shared" ref="S203:S208" ca="1" si="59">U203</f>
        <v>467217</v>
      </c>
      <c r="T203" s="142">
        <f ca="1">기술사</f>
        <v>467217</v>
      </c>
      <c r="U203" s="142">
        <f t="shared" ref="U203:U208" ca="1" si="60">ROUNDDOWN(P203*R203,0)</f>
        <v>467217</v>
      </c>
      <c r="V203" s="142"/>
      <c r="W203" s="142"/>
      <c r="X203" s="142"/>
      <c r="Y203" s="142"/>
      <c r="Z203" s="114"/>
    </row>
    <row r="204" spans="11:26" ht="18" customHeight="1">
      <c r="K204" s="171" t="s">
        <v>78</v>
      </c>
      <c r="L204" s="171"/>
      <c r="M204" s="171"/>
      <c r="N204" s="143" t="s">
        <v>32</v>
      </c>
      <c r="O204" s="173">
        <v>4</v>
      </c>
      <c r="P204" s="234">
        <f ca="1">OFFSET($A$1,MATCH(Z202,$A:$A,0)-1,O204)</f>
        <v>3</v>
      </c>
      <c r="Q204" s="144" t="s">
        <v>29</v>
      </c>
      <c r="R204" s="118">
        <f t="shared" ca="1" si="58"/>
        <v>373353</v>
      </c>
      <c r="S204" s="118">
        <f t="shared" ca="1" si="59"/>
        <v>1120059</v>
      </c>
      <c r="T204" s="118">
        <f ca="1">특급</f>
        <v>373353</v>
      </c>
      <c r="U204" s="118">
        <f t="shared" ca="1" si="60"/>
        <v>1120059</v>
      </c>
      <c r="V204" s="118"/>
      <c r="W204" s="118"/>
      <c r="X204" s="118"/>
      <c r="Y204" s="118"/>
      <c r="Z204" s="115"/>
    </row>
    <row r="205" spans="11:26" ht="18" customHeight="1">
      <c r="K205" s="171" t="s">
        <v>78</v>
      </c>
      <c r="L205" s="171"/>
      <c r="M205" s="171"/>
      <c r="N205" s="145" t="s">
        <v>39</v>
      </c>
      <c r="O205" s="173">
        <v>5</v>
      </c>
      <c r="P205" s="234">
        <f ca="1">OFFSET($A$1,MATCH(Z202,$A:$A,0)-1,O205)</f>
        <v>5</v>
      </c>
      <c r="Q205" s="144" t="s">
        <v>29</v>
      </c>
      <c r="R205" s="118">
        <f t="shared" ca="1" si="58"/>
        <v>310884</v>
      </c>
      <c r="S205" s="118">
        <f t="shared" ca="1" si="59"/>
        <v>1554420</v>
      </c>
      <c r="T205" s="118">
        <f ca="1">고급</f>
        <v>310884</v>
      </c>
      <c r="U205" s="118">
        <f t="shared" ca="1" si="60"/>
        <v>1554420</v>
      </c>
      <c r="V205" s="118"/>
      <c r="W205" s="118"/>
      <c r="X205" s="118"/>
      <c r="Y205" s="118"/>
      <c r="Z205" s="115"/>
    </row>
    <row r="206" spans="11:26" ht="18" customHeight="1">
      <c r="K206" s="171" t="s">
        <v>78</v>
      </c>
      <c r="L206" s="171"/>
      <c r="M206" s="171"/>
      <c r="N206" s="145" t="s">
        <v>40</v>
      </c>
      <c r="O206" s="173">
        <v>6</v>
      </c>
      <c r="P206" s="234">
        <f ca="1">OFFSET($A$1,MATCH(Z202,$A:$A,0)-1,O206)</f>
        <v>8</v>
      </c>
      <c r="Q206" s="144" t="s">
        <v>29</v>
      </c>
      <c r="R206" s="118">
        <f t="shared" ca="1" si="58"/>
        <v>295138</v>
      </c>
      <c r="S206" s="118">
        <f t="shared" ca="1" si="59"/>
        <v>2361104</v>
      </c>
      <c r="T206" s="118">
        <f ca="1">중급</f>
        <v>295138</v>
      </c>
      <c r="U206" s="118">
        <f t="shared" ca="1" si="60"/>
        <v>2361104</v>
      </c>
      <c r="V206" s="118"/>
      <c r="W206" s="118"/>
      <c r="X206" s="118"/>
      <c r="Y206" s="118"/>
      <c r="Z206" s="115"/>
    </row>
    <row r="207" spans="11:26" ht="18" customHeight="1">
      <c r="K207" s="171" t="s">
        <v>78</v>
      </c>
      <c r="L207" s="171"/>
      <c r="M207" s="171"/>
      <c r="N207" s="145" t="s">
        <v>41</v>
      </c>
      <c r="O207" s="173">
        <v>7</v>
      </c>
      <c r="P207" s="234">
        <f ca="1">OFFSET($A$1,MATCH(Z202,$A:$A,0)-1,O207)</f>
        <v>12</v>
      </c>
      <c r="Q207" s="144" t="s">
        <v>29</v>
      </c>
      <c r="R207" s="118">
        <f t="shared" ca="1" si="58"/>
        <v>235459</v>
      </c>
      <c r="S207" s="118">
        <f t="shared" ca="1" si="59"/>
        <v>2825508</v>
      </c>
      <c r="T207" s="118">
        <f ca="1">초급</f>
        <v>235459</v>
      </c>
      <c r="U207" s="118">
        <f t="shared" ca="1" si="60"/>
        <v>2825508</v>
      </c>
      <c r="V207" s="118"/>
      <c r="W207" s="118"/>
      <c r="X207" s="118"/>
      <c r="Y207" s="118"/>
      <c r="Z207" s="115"/>
    </row>
    <row r="208" spans="11:26" ht="18" customHeight="1">
      <c r="K208" s="171" t="s">
        <v>78</v>
      </c>
      <c r="L208" s="171"/>
      <c r="M208" s="171"/>
      <c r="N208" s="319" t="s">
        <v>42</v>
      </c>
      <c r="O208" s="174">
        <v>8</v>
      </c>
      <c r="P208" s="235">
        <f ca="1">OFFSET($A$1,MATCH(Z202,$A:$A,0)-1,O208)</f>
        <v>15</v>
      </c>
      <c r="Q208" s="322" t="s">
        <v>29</v>
      </c>
      <c r="R208" s="323">
        <f t="shared" ca="1" si="58"/>
        <v>250087</v>
      </c>
      <c r="S208" s="323">
        <f t="shared" ca="1" si="59"/>
        <v>3751305</v>
      </c>
      <c r="T208" s="323">
        <f ca="1">보조원</f>
        <v>250087</v>
      </c>
      <c r="U208" s="323">
        <f t="shared" ca="1" si="60"/>
        <v>3751305</v>
      </c>
      <c r="V208" s="323"/>
      <c r="W208" s="323"/>
      <c r="X208" s="323"/>
      <c r="Y208" s="323"/>
      <c r="Z208" s="324"/>
    </row>
    <row r="209" spans="11:26" ht="18" customHeight="1">
      <c r="K209" s="171" t="s">
        <v>78</v>
      </c>
      <c r="L209" s="171"/>
      <c r="M209" s="171"/>
      <c r="N209" s="139" t="s">
        <v>106</v>
      </c>
      <c r="O209" s="68"/>
      <c r="P209" s="69"/>
      <c r="Q209" s="70"/>
      <c r="R209" s="71"/>
      <c r="S209" s="71">
        <f ca="1">SUBTOTAL(9,S203:S208)</f>
        <v>12079613</v>
      </c>
      <c r="T209" s="71"/>
      <c r="U209" s="71">
        <f ca="1">SUBTOTAL(9,U203:U208)</f>
        <v>12079613</v>
      </c>
      <c r="V209" s="71"/>
      <c r="W209" s="71"/>
      <c r="X209" s="71"/>
      <c r="Y209" s="71"/>
      <c r="Z209" s="68"/>
    </row>
    <row r="210" spans="11:26" ht="18" customHeight="1">
      <c r="K210" s="171" t="s">
        <v>78</v>
      </c>
      <c r="L210" s="171"/>
      <c r="M210" s="171"/>
      <c r="N210" s="318" t="str">
        <f ca="1">"제 " &amp; Z210 &amp; " 호표  "&amp; OFFSET($A$1,MATCH(Z210,$A:$A,0)-1,2)</f>
        <v>제 18 호표  3.13 기타 필요한 사항</v>
      </c>
      <c r="O210" s="221"/>
      <c r="P210" s="148"/>
      <c r="Q210" s="148"/>
      <c r="R210" s="149"/>
      <c r="S210" s="149"/>
      <c r="T210" s="149"/>
      <c r="U210" s="149"/>
      <c r="V210" s="149"/>
      <c r="W210" s="149"/>
      <c r="X210" s="149"/>
      <c r="Y210" s="149"/>
      <c r="Z210" s="325">
        <f>Z202+1</f>
        <v>18</v>
      </c>
    </row>
    <row r="211" spans="11:26" ht="18" customHeight="1">
      <c r="K211" s="171" t="s">
        <v>78</v>
      </c>
      <c r="L211" s="171"/>
      <c r="M211" s="171"/>
      <c r="N211" s="140" t="s">
        <v>43</v>
      </c>
      <c r="O211" s="172">
        <v>3</v>
      </c>
      <c r="P211" s="219">
        <f ca="1">OFFSET($A$1,MATCH(Z210,$A:$A,0)-1,O211)</f>
        <v>2</v>
      </c>
      <c r="Q211" s="141" t="s">
        <v>29</v>
      </c>
      <c r="R211" s="142">
        <f t="shared" ref="R211:R216" ca="1" si="61">T211</f>
        <v>467217</v>
      </c>
      <c r="S211" s="142">
        <f t="shared" ref="S211:S216" ca="1" si="62">U211</f>
        <v>934434</v>
      </c>
      <c r="T211" s="142">
        <f ca="1">기술사</f>
        <v>467217</v>
      </c>
      <c r="U211" s="142">
        <f t="shared" ref="U211:U216" ca="1" si="63">ROUNDDOWN(P211*R211,0)</f>
        <v>934434</v>
      </c>
      <c r="V211" s="142"/>
      <c r="W211" s="142"/>
      <c r="X211" s="142"/>
      <c r="Y211" s="142"/>
      <c r="Z211" s="114"/>
    </row>
    <row r="212" spans="11:26" ht="18" customHeight="1">
      <c r="K212" s="171" t="s">
        <v>78</v>
      </c>
      <c r="L212" s="171"/>
      <c r="M212" s="171"/>
      <c r="N212" s="143" t="s">
        <v>32</v>
      </c>
      <c r="O212" s="173">
        <v>4</v>
      </c>
      <c r="P212" s="234">
        <f ca="1">OFFSET($A$1,MATCH(Z210,$A:$A,0)-1,O212)</f>
        <v>6</v>
      </c>
      <c r="Q212" s="144" t="s">
        <v>29</v>
      </c>
      <c r="R212" s="118">
        <f t="shared" ca="1" si="61"/>
        <v>373353</v>
      </c>
      <c r="S212" s="118">
        <f t="shared" ca="1" si="62"/>
        <v>2240118</v>
      </c>
      <c r="T212" s="118">
        <f ca="1">특급</f>
        <v>373353</v>
      </c>
      <c r="U212" s="118">
        <f t="shared" ca="1" si="63"/>
        <v>2240118</v>
      </c>
      <c r="V212" s="118"/>
      <c r="W212" s="118"/>
      <c r="X212" s="118"/>
      <c r="Y212" s="118"/>
      <c r="Z212" s="115"/>
    </row>
    <row r="213" spans="11:26" ht="18" customHeight="1">
      <c r="K213" s="171" t="s">
        <v>78</v>
      </c>
      <c r="L213" s="171"/>
      <c r="M213" s="171"/>
      <c r="N213" s="145" t="s">
        <v>39</v>
      </c>
      <c r="O213" s="173">
        <v>5</v>
      </c>
      <c r="P213" s="234">
        <f ca="1">OFFSET($A$1,MATCH(Z210,$A:$A,0)-1,O213)</f>
        <v>9</v>
      </c>
      <c r="Q213" s="144" t="s">
        <v>29</v>
      </c>
      <c r="R213" s="118">
        <f t="shared" ca="1" si="61"/>
        <v>310884</v>
      </c>
      <c r="S213" s="118">
        <f t="shared" ca="1" si="62"/>
        <v>2797956</v>
      </c>
      <c r="T213" s="118">
        <f ca="1">고급</f>
        <v>310884</v>
      </c>
      <c r="U213" s="118">
        <f t="shared" ca="1" si="63"/>
        <v>2797956</v>
      </c>
      <c r="V213" s="118"/>
      <c r="W213" s="118"/>
      <c r="X213" s="118"/>
      <c r="Y213" s="118"/>
      <c r="Z213" s="115"/>
    </row>
    <row r="214" spans="11:26" ht="18" customHeight="1">
      <c r="K214" s="171" t="s">
        <v>78</v>
      </c>
      <c r="L214" s="171"/>
      <c r="M214" s="171"/>
      <c r="N214" s="145" t="s">
        <v>40</v>
      </c>
      <c r="O214" s="173">
        <v>6</v>
      </c>
      <c r="P214" s="234">
        <f ca="1">OFFSET($A$1,MATCH(Z210,$A:$A,0)-1,O214)</f>
        <v>12</v>
      </c>
      <c r="Q214" s="144" t="s">
        <v>29</v>
      </c>
      <c r="R214" s="118">
        <f t="shared" ca="1" si="61"/>
        <v>295138</v>
      </c>
      <c r="S214" s="118">
        <f t="shared" ca="1" si="62"/>
        <v>3541656</v>
      </c>
      <c r="T214" s="118">
        <f ca="1">중급</f>
        <v>295138</v>
      </c>
      <c r="U214" s="118">
        <f t="shared" ca="1" si="63"/>
        <v>3541656</v>
      </c>
      <c r="V214" s="118"/>
      <c r="W214" s="118"/>
      <c r="X214" s="118"/>
      <c r="Y214" s="118"/>
      <c r="Z214" s="115"/>
    </row>
    <row r="215" spans="11:26" ht="18" customHeight="1">
      <c r="K215" s="171" t="s">
        <v>78</v>
      </c>
      <c r="L215" s="171"/>
      <c r="M215" s="171"/>
      <c r="N215" s="145" t="s">
        <v>41</v>
      </c>
      <c r="O215" s="173">
        <v>7</v>
      </c>
      <c r="P215" s="234">
        <f ca="1">OFFSET($A$1,MATCH(Z210,$A:$A,0)-1,O215)</f>
        <v>18</v>
      </c>
      <c r="Q215" s="144" t="s">
        <v>29</v>
      </c>
      <c r="R215" s="118">
        <f t="shared" ca="1" si="61"/>
        <v>235459</v>
      </c>
      <c r="S215" s="118">
        <f t="shared" ca="1" si="62"/>
        <v>4238262</v>
      </c>
      <c r="T215" s="118">
        <f ca="1">초급</f>
        <v>235459</v>
      </c>
      <c r="U215" s="118">
        <f t="shared" ca="1" si="63"/>
        <v>4238262</v>
      </c>
      <c r="V215" s="118"/>
      <c r="W215" s="118"/>
      <c r="X215" s="118"/>
      <c r="Y215" s="118"/>
      <c r="Z215" s="115"/>
    </row>
    <row r="216" spans="11:26" ht="18" customHeight="1">
      <c r="K216" s="171" t="s">
        <v>78</v>
      </c>
      <c r="L216" s="171"/>
      <c r="M216" s="171"/>
      <c r="N216" s="319" t="s">
        <v>42</v>
      </c>
      <c r="O216" s="174">
        <v>8</v>
      </c>
      <c r="P216" s="235">
        <f ca="1">OFFSET($A$1,MATCH(Z210,$A:$A,0)-1,O216)</f>
        <v>25</v>
      </c>
      <c r="Q216" s="322" t="s">
        <v>29</v>
      </c>
      <c r="R216" s="323">
        <f t="shared" ca="1" si="61"/>
        <v>250087</v>
      </c>
      <c r="S216" s="323">
        <f t="shared" ca="1" si="62"/>
        <v>6252175</v>
      </c>
      <c r="T216" s="323">
        <f ca="1">보조원</f>
        <v>250087</v>
      </c>
      <c r="U216" s="323">
        <f t="shared" ca="1" si="63"/>
        <v>6252175</v>
      </c>
      <c r="V216" s="323"/>
      <c r="W216" s="323"/>
      <c r="X216" s="323"/>
      <c r="Y216" s="323"/>
      <c r="Z216" s="324"/>
    </row>
    <row r="217" spans="11:26" ht="18" customHeight="1">
      <c r="K217" s="171" t="s">
        <v>78</v>
      </c>
      <c r="L217" s="171"/>
      <c r="M217" s="171"/>
      <c r="N217" s="139" t="s">
        <v>106</v>
      </c>
      <c r="O217" s="68"/>
      <c r="P217" s="69"/>
      <c r="Q217" s="70"/>
      <c r="R217" s="71"/>
      <c r="S217" s="71">
        <f ca="1">SUBTOTAL(9,S211:S216)</f>
        <v>20004601</v>
      </c>
      <c r="T217" s="71"/>
      <c r="U217" s="71">
        <f ca="1">SUBTOTAL(9,U211:U216)</f>
        <v>20004601</v>
      </c>
      <c r="V217" s="71"/>
      <c r="W217" s="71"/>
      <c r="X217" s="71"/>
      <c r="Y217" s="71"/>
      <c r="Z217" s="68"/>
    </row>
    <row r="218" spans="11:26" ht="18" customHeight="1">
      <c r="K218" s="171" t="s">
        <v>78</v>
      </c>
      <c r="L218" s="171"/>
      <c r="M218" s="171"/>
      <c r="N218" s="318" t="str">
        <f ca="1">"제 " &amp; Z218 &amp; " 호표  "&amp; OFFSET($A$1,MATCH(Z218,$A:$A,0)-1,2)</f>
        <v>제 19 호표  4.1 보고서 작성</v>
      </c>
      <c r="O218" s="221"/>
      <c r="P218" s="148"/>
      <c r="Q218" s="148"/>
      <c r="R218" s="149"/>
      <c r="S218" s="149"/>
      <c r="T218" s="149"/>
      <c r="U218" s="149"/>
      <c r="V218" s="149"/>
      <c r="W218" s="149"/>
      <c r="X218" s="149"/>
      <c r="Y218" s="149"/>
      <c r="Z218" s="325">
        <f>Z210+1</f>
        <v>19</v>
      </c>
    </row>
    <row r="219" spans="11:26" ht="18" customHeight="1">
      <c r="K219" s="171" t="s">
        <v>78</v>
      </c>
      <c r="L219" s="171"/>
      <c r="M219" s="171"/>
      <c r="N219" s="140" t="s">
        <v>43</v>
      </c>
      <c r="O219" s="172">
        <v>3</v>
      </c>
      <c r="P219" s="219">
        <f ca="1">OFFSET($A$1,MATCH(Z218,$A:$A,0)-1,O219)</f>
        <v>1</v>
      </c>
      <c r="Q219" s="141" t="s">
        <v>29</v>
      </c>
      <c r="R219" s="142">
        <f t="shared" ref="R219:R224" ca="1" si="64">T219</f>
        <v>467217</v>
      </c>
      <c r="S219" s="142">
        <f t="shared" ref="S219:S224" ca="1" si="65">U219</f>
        <v>467217</v>
      </c>
      <c r="T219" s="142">
        <f ca="1">기술사</f>
        <v>467217</v>
      </c>
      <c r="U219" s="142">
        <f t="shared" ref="U219:U224" ca="1" si="66">ROUNDDOWN(P219*R219,0)</f>
        <v>467217</v>
      </c>
      <c r="V219" s="142"/>
      <c r="W219" s="142"/>
      <c r="X219" s="142"/>
      <c r="Y219" s="142"/>
      <c r="Z219" s="114"/>
    </row>
    <row r="220" spans="11:26" ht="18" customHeight="1">
      <c r="K220" s="171" t="s">
        <v>78</v>
      </c>
      <c r="L220" s="171"/>
      <c r="M220" s="171"/>
      <c r="N220" s="143" t="s">
        <v>32</v>
      </c>
      <c r="O220" s="173">
        <v>4</v>
      </c>
      <c r="P220" s="234">
        <f ca="1">OFFSET($A$1,MATCH(Z218,$A:$A,0)-1,O220)</f>
        <v>3</v>
      </c>
      <c r="Q220" s="144" t="s">
        <v>29</v>
      </c>
      <c r="R220" s="118">
        <f t="shared" ca="1" si="64"/>
        <v>373353</v>
      </c>
      <c r="S220" s="118">
        <f t="shared" ca="1" si="65"/>
        <v>1120059</v>
      </c>
      <c r="T220" s="118">
        <f ca="1">특급</f>
        <v>373353</v>
      </c>
      <c r="U220" s="118">
        <f t="shared" ca="1" si="66"/>
        <v>1120059</v>
      </c>
      <c r="V220" s="118"/>
      <c r="W220" s="118"/>
      <c r="X220" s="118"/>
      <c r="Y220" s="118"/>
      <c r="Z220" s="115"/>
    </row>
    <row r="221" spans="11:26" ht="18" customHeight="1">
      <c r="K221" s="171" t="s">
        <v>78</v>
      </c>
      <c r="L221" s="171"/>
      <c r="M221" s="171"/>
      <c r="N221" s="145" t="s">
        <v>39</v>
      </c>
      <c r="O221" s="173">
        <v>5</v>
      </c>
      <c r="P221" s="234">
        <f ca="1">OFFSET($A$1,MATCH(Z218,$A:$A,0)-1,O221)</f>
        <v>5</v>
      </c>
      <c r="Q221" s="144" t="s">
        <v>29</v>
      </c>
      <c r="R221" s="118">
        <f t="shared" ca="1" si="64"/>
        <v>310884</v>
      </c>
      <c r="S221" s="118">
        <f t="shared" ca="1" si="65"/>
        <v>1554420</v>
      </c>
      <c r="T221" s="118">
        <f ca="1">고급</f>
        <v>310884</v>
      </c>
      <c r="U221" s="118">
        <f t="shared" ca="1" si="66"/>
        <v>1554420</v>
      </c>
      <c r="V221" s="118"/>
      <c r="W221" s="118"/>
      <c r="X221" s="118"/>
      <c r="Y221" s="118"/>
      <c r="Z221" s="115"/>
    </row>
    <row r="222" spans="11:26" ht="18" customHeight="1">
      <c r="K222" s="171" t="s">
        <v>78</v>
      </c>
      <c r="L222" s="171"/>
      <c r="M222" s="171"/>
      <c r="N222" s="145" t="s">
        <v>40</v>
      </c>
      <c r="O222" s="173">
        <v>6</v>
      </c>
      <c r="P222" s="234">
        <f ca="1">OFFSET($A$1,MATCH(Z218,$A:$A,0)-1,O222)</f>
        <v>8</v>
      </c>
      <c r="Q222" s="144" t="s">
        <v>29</v>
      </c>
      <c r="R222" s="118">
        <f t="shared" ca="1" si="64"/>
        <v>295138</v>
      </c>
      <c r="S222" s="118">
        <f t="shared" ca="1" si="65"/>
        <v>2361104</v>
      </c>
      <c r="T222" s="118">
        <f ca="1">중급</f>
        <v>295138</v>
      </c>
      <c r="U222" s="118">
        <f t="shared" ca="1" si="66"/>
        <v>2361104</v>
      </c>
      <c r="V222" s="118"/>
      <c r="W222" s="118"/>
      <c r="X222" s="118"/>
      <c r="Y222" s="118"/>
      <c r="Z222" s="115"/>
    </row>
    <row r="223" spans="11:26" ht="18" customHeight="1">
      <c r="K223" s="171" t="s">
        <v>78</v>
      </c>
      <c r="L223" s="171"/>
      <c r="M223" s="171"/>
      <c r="N223" s="145" t="s">
        <v>41</v>
      </c>
      <c r="O223" s="173">
        <v>7</v>
      </c>
      <c r="P223" s="234">
        <f ca="1">OFFSET($A$1,MATCH(Z218,$A:$A,0)-1,O223)</f>
        <v>12</v>
      </c>
      <c r="Q223" s="144" t="s">
        <v>29</v>
      </c>
      <c r="R223" s="118">
        <f t="shared" ca="1" si="64"/>
        <v>235459</v>
      </c>
      <c r="S223" s="118">
        <f t="shared" ca="1" si="65"/>
        <v>2825508</v>
      </c>
      <c r="T223" s="118">
        <f ca="1">초급</f>
        <v>235459</v>
      </c>
      <c r="U223" s="118">
        <f t="shared" ca="1" si="66"/>
        <v>2825508</v>
      </c>
      <c r="V223" s="118"/>
      <c r="W223" s="118"/>
      <c r="X223" s="118"/>
      <c r="Y223" s="118"/>
      <c r="Z223" s="115"/>
    </row>
    <row r="224" spans="11:26" ht="18" customHeight="1">
      <c r="K224" s="171" t="s">
        <v>78</v>
      </c>
      <c r="L224" s="171"/>
      <c r="M224" s="171"/>
      <c r="N224" s="319" t="s">
        <v>42</v>
      </c>
      <c r="O224" s="174">
        <v>8</v>
      </c>
      <c r="P224" s="235">
        <f ca="1">OFFSET($A$1,MATCH(Z218,$A:$A,0)-1,O224)</f>
        <v>15</v>
      </c>
      <c r="Q224" s="322" t="s">
        <v>29</v>
      </c>
      <c r="R224" s="323">
        <f t="shared" ca="1" si="64"/>
        <v>250087</v>
      </c>
      <c r="S224" s="323">
        <f t="shared" ca="1" si="65"/>
        <v>3751305</v>
      </c>
      <c r="T224" s="323">
        <f ca="1">보조원</f>
        <v>250087</v>
      </c>
      <c r="U224" s="323">
        <f t="shared" ca="1" si="66"/>
        <v>3751305</v>
      </c>
      <c r="V224" s="323"/>
      <c r="W224" s="323"/>
      <c r="X224" s="323"/>
      <c r="Y224" s="323"/>
      <c r="Z224" s="324"/>
    </row>
    <row r="225" spans="11:28" ht="18" customHeight="1">
      <c r="K225" s="171" t="s">
        <v>78</v>
      </c>
      <c r="L225" s="171"/>
      <c r="M225" s="171"/>
      <c r="N225" s="139" t="s">
        <v>106</v>
      </c>
      <c r="O225" s="68"/>
      <c r="P225" s="69"/>
      <c r="Q225" s="70"/>
      <c r="R225" s="71"/>
      <c r="S225" s="71">
        <f ca="1">SUBTOTAL(9,S219:S224)</f>
        <v>12079613</v>
      </c>
      <c r="T225" s="71"/>
      <c r="U225" s="71">
        <f ca="1">SUBTOTAL(9,U219:U224)</f>
        <v>12079613</v>
      </c>
      <c r="V225" s="71"/>
      <c r="W225" s="71"/>
      <c r="X225" s="71"/>
      <c r="Y225" s="71"/>
      <c r="Z225" s="68"/>
    </row>
    <row r="226" spans="11:28" ht="18" customHeight="1">
      <c r="K226" s="171" t="s">
        <v>78</v>
      </c>
      <c r="L226" s="171"/>
      <c r="M226" s="171"/>
      <c r="N226" s="318" t="str">
        <f ca="1">"제 " &amp; Z226 &amp; " 호표  "&amp; OFFSET($A$1,MATCH(Z226,$A:$A,0)-1,2)</f>
        <v>제 20 호표  4.2 관련 도서 작성</v>
      </c>
      <c r="O226" s="221"/>
      <c r="P226" s="148"/>
      <c r="Q226" s="148"/>
      <c r="R226" s="149"/>
      <c r="S226" s="149"/>
      <c r="T226" s="149"/>
      <c r="U226" s="149"/>
      <c r="V226" s="149"/>
      <c r="W226" s="149"/>
      <c r="X226" s="149"/>
      <c r="Y226" s="149"/>
      <c r="Z226" s="325">
        <f>Z218+1</f>
        <v>20</v>
      </c>
    </row>
    <row r="227" spans="11:28" ht="18" customHeight="1">
      <c r="K227" s="171" t="s">
        <v>78</v>
      </c>
      <c r="L227" s="171"/>
      <c r="M227" s="171"/>
      <c r="N227" s="140" t="s">
        <v>43</v>
      </c>
      <c r="O227" s="172">
        <v>3</v>
      </c>
      <c r="P227" s="219">
        <f ca="1">OFFSET($A$1,MATCH(Z226,$A:$A,0)-1,O227)</f>
        <v>1</v>
      </c>
      <c r="Q227" s="141" t="s">
        <v>29</v>
      </c>
      <c r="R227" s="142">
        <f t="shared" ref="R227:R232" ca="1" si="67">T227</f>
        <v>467217</v>
      </c>
      <c r="S227" s="142">
        <f t="shared" ref="S227:S232" ca="1" si="68">U227</f>
        <v>467217</v>
      </c>
      <c r="T227" s="142">
        <f ca="1">기술사</f>
        <v>467217</v>
      </c>
      <c r="U227" s="142">
        <f t="shared" ref="U227:U232" ca="1" si="69">ROUNDDOWN(P227*R227,0)</f>
        <v>467217</v>
      </c>
      <c r="V227" s="142"/>
      <c r="W227" s="142"/>
      <c r="X227" s="142"/>
      <c r="Y227" s="142"/>
      <c r="Z227" s="114"/>
    </row>
    <row r="228" spans="11:28" ht="18" customHeight="1">
      <c r="K228" s="171" t="s">
        <v>78</v>
      </c>
      <c r="L228" s="171"/>
      <c r="M228" s="171"/>
      <c r="N228" s="143" t="s">
        <v>32</v>
      </c>
      <c r="O228" s="173">
        <v>4</v>
      </c>
      <c r="P228" s="234">
        <f ca="1">OFFSET($A$1,MATCH(Z226,$A:$A,0)-1,O228)</f>
        <v>3</v>
      </c>
      <c r="Q228" s="144" t="s">
        <v>29</v>
      </c>
      <c r="R228" s="118">
        <f t="shared" ca="1" si="67"/>
        <v>373353</v>
      </c>
      <c r="S228" s="118">
        <f t="shared" ca="1" si="68"/>
        <v>1120059</v>
      </c>
      <c r="T228" s="118">
        <f ca="1">특급</f>
        <v>373353</v>
      </c>
      <c r="U228" s="118">
        <f t="shared" ca="1" si="69"/>
        <v>1120059</v>
      </c>
      <c r="V228" s="118"/>
      <c r="W228" s="118"/>
      <c r="X228" s="118"/>
      <c r="Y228" s="118"/>
      <c r="Z228" s="115"/>
    </row>
    <row r="229" spans="11:28" ht="18" customHeight="1">
      <c r="K229" s="171" t="s">
        <v>78</v>
      </c>
      <c r="L229" s="171"/>
      <c r="M229" s="171"/>
      <c r="N229" s="145" t="s">
        <v>39</v>
      </c>
      <c r="O229" s="173">
        <v>5</v>
      </c>
      <c r="P229" s="234">
        <f ca="1">OFFSET($A$1,MATCH(Z226,$A:$A,0)-1,O229)</f>
        <v>5</v>
      </c>
      <c r="Q229" s="144" t="s">
        <v>29</v>
      </c>
      <c r="R229" s="118">
        <f t="shared" ca="1" si="67"/>
        <v>310884</v>
      </c>
      <c r="S229" s="118">
        <f t="shared" ca="1" si="68"/>
        <v>1554420</v>
      </c>
      <c r="T229" s="118">
        <f ca="1">고급</f>
        <v>310884</v>
      </c>
      <c r="U229" s="118">
        <f t="shared" ca="1" si="69"/>
        <v>1554420</v>
      </c>
      <c r="V229" s="118"/>
      <c r="W229" s="118"/>
      <c r="X229" s="118"/>
      <c r="Y229" s="118"/>
      <c r="Z229" s="115"/>
    </row>
    <row r="230" spans="11:28" ht="18" customHeight="1">
      <c r="K230" s="171" t="s">
        <v>78</v>
      </c>
      <c r="L230" s="171"/>
      <c r="M230" s="171"/>
      <c r="N230" s="145" t="s">
        <v>40</v>
      </c>
      <c r="O230" s="173">
        <v>6</v>
      </c>
      <c r="P230" s="234">
        <f ca="1">OFFSET($A$1,MATCH(Z226,$A:$A,0)-1,O230)</f>
        <v>8</v>
      </c>
      <c r="Q230" s="144" t="s">
        <v>29</v>
      </c>
      <c r="R230" s="118">
        <f t="shared" ca="1" si="67"/>
        <v>295138</v>
      </c>
      <c r="S230" s="118">
        <f t="shared" ca="1" si="68"/>
        <v>2361104</v>
      </c>
      <c r="T230" s="118">
        <f ca="1">중급</f>
        <v>295138</v>
      </c>
      <c r="U230" s="118">
        <f t="shared" ca="1" si="69"/>
        <v>2361104</v>
      </c>
      <c r="V230" s="118"/>
      <c r="W230" s="118"/>
      <c r="X230" s="118"/>
      <c r="Y230" s="118"/>
      <c r="Z230" s="115"/>
    </row>
    <row r="231" spans="11:28" ht="18" customHeight="1">
      <c r="K231" s="171" t="s">
        <v>78</v>
      </c>
      <c r="L231" s="171"/>
      <c r="M231" s="171"/>
      <c r="N231" s="145" t="s">
        <v>41</v>
      </c>
      <c r="O231" s="173">
        <v>7</v>
      </c>
      <c r="P231" s="234">
        <f ca="1">OFFSET($A$1,MATCH(Z226,$A:$A,0)-1,O231)</f>
        <v>12</v>
      </c>
      <c r="Q231" s="144" t="s">
        <v>29</v>
      </c>
      <c r="R231" s="118">
        <f t="shared" ca="1" si="67"/>
        <v>235459</v>
      </c>
      <c r="S231" s="118">
        <f t="shared" ca="1" si="68"/>
        <v>2825508</v>
      </c>
      <c r="T231" s="118">
        <f ca="1">초급</f>
        <v>235459</v>
      </c>
      <c r="U231" s="118">
        <f t="shared" ca="1" si="69"/>
        <v>2825508</v>
      </c>
      <c r="V231" s="118"/>
      <c r="W231" s="118"/>
      <c r="X231" s="118"/>
      <c r="Y231" s="118"/>
      <c r="Z231" s="115"/>
    </row>
    <row r="232" spans="11:28" ht="18" customHeight="1">
      <c r="K232" s="171" t="s">
        <v>78</v>
      </c>
      <c r="L232" s="171"/>
      <c r="M232" s="171"/>
      <c r="N232" s="319" t="s">
        <v>42</v>
      </c>
      <c r="O232" s="174">
        <v>8</v>
      </c>
      <c r="P232" s="235">
        <f ca="1">OFFSET($A$1,MATCH(Z226,$A:$A,0)-1,O232)</f>
        <v>15</v>
      </c>
      <c r="Q232" s="322" t="s">
        <v>29</v>
      </c>
      <c r="R232" s="323">
        <f t="shared" ca="1" si="67"/>
        <v>250087</v>
      </c>
      <c r="S232" s="323">
        <f t="shared" ca="1" si="68"/>
        <v>3751305</v>
      </c>
      <c r="T232" s="323">
        <f ca="1">보조원</f>
        <v>250087</v>
      </c>
      <c r="U232" s="323">
        <f t="shared" ca="1" si="69"/>
        <v>3751305</v>
      </c>
      <c r="V232" s="323"/>
      <c r="W232" s="323"/>
      <c r="X232" s="323"/>
      <c r="Y232" s="323"/>
      <c r="Z232" s="324"/>
    </row>
    <row r="233" spans="11:28" ht="18" customHeight="1">
      <c r="K233" s="171" t="s">
        <v>78</v>
      </c>
      <c r="L233" s="171"/>
      <c r="M233" s="171"/>
      <c r="N233" s="139" t="s">
        <v>106</v>
      </c>
      <c r="O233" s="68"/>
      <c r="P233" s="69"/>
      <c r="Q233" s="70"/>
      <c r="R233" s="71"/>
      <c r="S233" s="71">
        <f ca="1">SUBTOTAL(9,S227:S232)</f>
        <v>12079613</v>
      </c>
      <c r="T233" s="71"/>
      <c r="U233" s="71">
        <f ca="1">SUBTOTAL(9,U227:U232)</f>
        <v>12079613</v>
      </c>
      <c r="V233" s="71"/>
      <c r="W233" s="71"/>
      <c r="X233" s="71"/>
      <c r="Y233" s="71"/>
      <c r="Z233" s="68"/>
    </row>
    <row r="234" spans="11:28" ht="18" customHeight="1">
      <c r="K234" s="171" t="s">
        <v>78</v>
      </c>
      <c r="L234" s="171"/>
      <c r="M234" s="171"/>
      <c r="N234" s="318" t="str">
        <f ca="1">"제 " &amp; Z234 &amp; " 호표  "&amp; OFFSET($A$1,MATCH(Z234,$A:$A,0)-1,2)</f>
        <v>제 21 호표  5.1 공청회/주민설명회</v>
      </c>
      <c r="O234" s="221"/>
      <c r="P234" s="148"/>
      <c r="Q234" s="148"/>
      <c r="R234" s="149"/>
      <c r="S234" s="149"/>
      <c r="T234" s="149"/>
      <c r="U234" s="149"/>
      <c r="V234" s="149"/>
      <c r="W234" s="149"/>
      <c r="X234" s="149"/>
      <c r="Y234" s="149"/>
      <c r="Z234" s="325">
        <f>Z226+1</f>
        <v>21</v>
      </c>
    </row>
    <row r="235" spans="11:28" ht="18" customHeight="1">
      <c r="K235" s="171" t="s">
        <v>78</v>
      </c>
      <c r="L235" s="171"/>
      <c r="M235" s="171"/>
      <c r="N235" s="140" t="s">
        <v>43</v>
      </c>
      <c r="O235" s="172">
        <v>3</v>
      </c>
      <c r="P235" s="219">
        <f ca="1">OFFSET($A$1,MATCH(Z234,$A:$A,0)-1,O235)</f>
        <v>2</v>
      </c>
      <c r="Q235" s="141" t="s">
        <v>29</v>
      </c>
      <c r="R235" s="142">
        <f t="shared" ref="R235:R240" ca="1" si="70">T235</f>
        <v>467217</v>
      </c>
      <c r="S235" s="142">
        <f t="shared" ref="S235:S240" ca="1" si="71">U235</f>
        <v>934434</v>
      </c>
      <c r="T235" s="142">
        <f ca="1">기술사</f>
        <v>467217</v>
      </c>
      <c r="U235" s="142">
        <f t="shared" ref="U235:U240" ca="1" si="72">ROUNDDOWN(P235*R235,0)</f>
        <v>934434</v>
      </c>
      <c r="V235" s="142"/>
      <c r="W235" s="142"/>
      <c r="X235" s="142"/>
      <c r="Y235" s="142"/>
      <c r="Z235" s="114"/>
    </row>
    <row r="236" spans="11:28" ht="18" customHeight="1">
      <c r="K236" s="171" t="s">
        <v>78</v>
      </c>
      <c r="L236" s="171"/>
      <c r="M236" s="171"/>
      <c r="N236" s="143" t="s">
        <v>32</v>
      </c>
      <c r="O236" s="173">
        <v>4</v>
      </c>
      <c r="P236" s="234">
        <f ca="1">OFFSET($A$1,MATCH(Z234,$A:$A,0)-1,O236)</f>
        <v>2</v>
      </c>
      <c r="Q236" s="144" t="s">
        <v>29</v>
      </c>
      <c r="R236" s="118">
        <f t="shared" ca="1" si="70"/>
        <v>373353</v>
      </c>
      <c r="S236" s="118">
        <f t="shared" ca="1" si="71"/>
        <v>746706</v>
      </c>
      <c r="T236" s="118">
        <f ca="1">특급</f>
        <v>373353</v>
      </c>
      <c r="U236" s="118">
        <f t="shared" ca="1" si="72"/>
        <v>746706</v>
      </c>
      <c r="V236" s="118"/>
      <c r="W236" s="118"/>
      <c r="X236" s="118"/>
      <c r="Y236" s="118"/>
      <c r="Z236" s="115"/>
    </row>
    <row r="237" spans="11:28" ht="18" customHeight="1">
      <c r="K237" s="171" t="s">
        <v>78</v>
      </c>
      <c r="L237" s="171"/>
      <c r="M237" s="171"/>
      <c r="N237" s="145" t="s">
        <v>39</v>
      </c>
      <c r="O237" s="173">
        <v>5</v>
      </c>
      <c r="P237" s="234">
        <f ca="1">OFFSET($A$1,MATCH(Z234,$A:$A,0)-1,O237)</f>
        <v>2</v>
      </c>
      <c r="Q237" s="144" t="s">
        <v>29</v>
      </c>
      <c r="R237" s="118">
        <f t="shared" ca="1" si="70"/>
        <v>310884</v>
      </c>
      <c r="S237" s="118">
        <f t="shared" ca="1" si="71"/>
        <v>621768</v>
      </c>
      <c r="T237" s="118">
        <f ca="1">고급</f>
        <v>310884</v>
      </c>
      <c r="U237" s="118">
        <f t="shared" ca="1" si="72"/>
        <v>621768</v>
      </c>
      <c r="V237" s="118"/>
      <c r="W237" s="118"/>
      <c r="X237" s="118"/>
      <c r="Y237" s="118"/>
      <c r="Z237" s="115"/>
      <c r="AA237" s="171"/>
      <c r="AB237" s="171"/>
    </row>
    <row r="238" spans="11:28" ht="18" customHeight="1">
      <c r="K238" s="171" t="s">
        <v>78</v>
      </c>
      <c r="L238" s="171"/>
      <c r="M238" s="171"/>
      <c r="N238" s="145" t="s">
        <v>40</v>
      </c>
      <c r="O238" s="173">
        <v>6</v>
      </c>
      <c r="P238" s="234">
        <f ca="1">OFFSET($A$1,MATCH(Z234,$A:$A,0)-1,O238)</f>
        <v>4</v>
      </c>
      <c r="Q238" s="144" t="s">
        <v>29</v>
      </c>
      <c r="R238" s="118">
        <f t="shared" ca="1" si="70"/>
        <v>295138</v>
      </c>
      <c r="S238" s="118">
        <f t="shared" ca="1" si="71"/>
        <v>1180552</v>
      </c>
      <c r="T238" s="118">
        <f ca="1">중급</f>
        <v>295138</v>
      </c>
      <c r="U238" s="118">
        <f t="shared" ca="1" si="72"/>
        <v>1180552</v>
      </c>
      <c r="V238" s="118"/>
      <c r="W238" s="118"/>
      <c r="X238" s="118"/>
      <c r="Y238" s="118"/>
      <c r="Z238" s="115"/>
      <c r="AA238" s="171"/>
      <c r="AB238" s="171"/>
    </row>
    <row r="239" spans="11:28" ht="18" customHeight="1">
      <c r="K239" s="171" t="s">
        <v>78</v>
      </c>
      <c r="L239" s="171"/>
      <c r="M239" s="171"/>
      <c r="N239" s="145" t="s">
        <v>41</v>
      </c>
      <c r="O239" s="173">
        <v>7</v>
      </c>
      <c r="P239" s="234">
        <f ca="1">OFFSET($A$1,MATCH(Z234,$A:$A,0)-1,O239)</f>
        <v>4</v>
      </c>
      <c r="Q239" s="144" t="s">
        <v>29</v>
      </c>
      <c r="R239" s="118">
        <f t="shared" ca="1" si="70"/>
        <v>235459</v>
      </c>
      <c r="S239" s="118">
        <f t="shared" ca="1" si="71"/>
        <v>941836</v>
      </c>
      <c r="T239" s="118">
        <f ca="1">초급</f>
        <v>235459</v>
      </c>
      <c r="U239" s="118">
        <f t="shared" ca="1" si="72"/>
        <v>941836</v>
      </c>
      <c r="V239" s="118"/>
      <c r="W239" s="118"/>
      <c r="X239" s="118"/>
      <c r="Y239" s="118"/>
      <c r="Z239" s="115"/>
      <c r="AA239" s="171"/>
      <c r="AB239" s="171"/>
    </row>
    <row r="240" spans="11:28" ht="18" customHeight="1">
      <c r="K240" s="171" t="s">
        <v>78</v>
      </c>
      <c r="L240" s="171"/>
      <c r="M240" s="171"/>
      <c r="N240" s="319" t="s">
        <v>42</v>
      </c>
      <c r="O240" s="174">
        <v>8</v>
      </c>
      <c r="P240" s="235">
        <f ca="1">OFFSET($A$1,MATCH(Z234,$A:$A,0)-1,O240)</f>
        <v>4</v>
      </c>
      <c r="Q240" s="322" t="s">
        <v>29</v>
      </c>
      <c r="R240" s="323">
        <f t="shared" ca="1" si="70"/>
        <v>250087</v>
      </c>
      <c r="S240" s="323">
        <f t="shared" ca="1" si="71"/>
        <v>1000348</v>
      </c>
      <c r="T240" s="323">
        <f ca="1">보조원</f>
        <v>250087</v>
      </c>
      <c r="U240" s="323">
        <f t="shared" ca="1" si="72"/>
        <v>1000348</v>
      </c>
      <c r="V240" s="323"/>
      <c r="W240" s="323"/>
      <c r="X240" s="323"/>
      <c r="Y240" s="323"/>
      <c r="Z240" s="324"/>
      <c r="AA240" s="171"/>
      <c r="AB240" s="171"/>
    </row>
    <row r="241" spans="11:28" ht="18" customHeight="1">
      <c r="K241" s="171" t="s">
        <v>14</v>
      </c>
      <c r="L241" s="171"/>
      <c r="M241" s="171"/>
      <c r="N241" s="139" t="s">
        <v>106</v>
      </c>
      <c r="O241" s="68"/>
      <c r="P241" s="69"/>
      <c r="Q241" s="70"/>
      <c r="R241" s="71"/>
      <c r="S241" s="71">
        <f ca="1">SUBTOTAL(9,S235:S240)</f>
        <v>5425644</v>
      </c>
      <c r="T241" s="71"/>
      <c r="U241" s="71">
        <f ca="1">SUBTOTAL(9,U235:U240)</f>
        <v>5425644</v>
      </c>
      <c r="V241" s="71"/>
      <c r="W241" s="71"/>
      <c r="X241" s="71"/>
      <c r="Y241" s="71"/>
      <c r="Z241" s="68"/>
    </row>
    <row r="242" spans="11:28" ht="18" customHeight="1">
      <c r="K242" s="171" t="s">
        <v>14</v>
      </c>
      <c r="L242" s="171"/>
      <c r="M242" s="171"/>
      <c r="N242" s="318" t="str">
        <f ca="1">"제 " &amp; Z242 &amp; " 호표  "&amp; OFFSET($A$1,MATCH(Z242,$A:$A,0)-1,2)</f>
        <v>제 22 호표  5.2 주민간담회/시민계획단</v>
      </c>
      <c r="O242" s="221"/>
      <c r="P242" s="148"/>
      <c r="Q242" s="148"/>
      <c r="R242" s="149"/>
      <c r="S242" s="149"/>
      <c r="T242" s="149"/>
      <c r="U242" s="149"/>
      <c r="V242" s="149"/>
      <c r="W242" s="149"/>
      <c r="X242" s="149"/>
      <c r="Y242" s="149"/>
      <c r="Z242" s="325">
        <f>Z234+1</f>
        <v>22</v>
      </c>
    </row>
    <row r="243" spans="11:28" ht="18" customHeight="1">
      <c r="K243" s="171" t="s">
        <v>14</v>
      </c>
      <c r="L243" s="171"/>
      <c r="M243" s="171"/>
      <c r="N243" s="140" t="s">
        <v>43</v>
      </c>
      <c r="O243" s="172">
        <v>3</v>
      </c>
      <c r="P243" s="219">
        <f ca="1">OFFSET($A$1,MATCH(Z242,$A:$A,0)-1,O243)</f>
        <v>2</v>
      </c>
      <c r="Q243" s="141" t="s">
        <v>29</v>
      </c>
      <c r="R243" s="142">
        <f t="shared" ref="R243:R248" ca="1" si="73">T243</f>
        <v>467217</v>
      </c>
      <c r="S243" s="142">
        <f t="shared" ref="S243:S248" ca="1" si="74">U243</f>
        <v>934434</v>
      </c>
      <c r="T243" s="142">
        <f ca="1">기술사</f>
        <v>467217</v>
      </c>
      <c r="U243" s="142">
        <f t="shared" ref="U243:U248" ca="1" si="75">ROUNDDOWN(P243*R243,0)</f>
        <v>934434</v>
      </c>
      <c r="V243" s="142"/>
      <c r="W243" s="142"/>
      <c r="X243" s="142"/>
      <c r="Y243" s="142"/>
      <c r="Z243" s="114"/>
    </row>
    <row r="244" spans="11:28" ht="18" customHeight="1">
      <c r="K244" s="171" t="s">
        <v>14</v>
      </c>
      <c r="L244" s="171"/>
      <c r="M244" s="171"/>
      <c r="N244" s="143" t="s">
        <v>32</v>
      </c>
      <c r="O244" s="173">
        <v>4</v>
      </c>
      <c r="P244" s="234">
        <f ca="1">OFFSET($A$1,MATCH(Z242,$A:$A,0)-1,O244)</f>
        <v>2</v>
      </c>
      <c r="Q244" s="144" t="s">
        <v>29</v>
      </c>
      <c r="R244" s="118">
        <f t="shared" ca="1" si="73"/>
        <v>373353</v>
      </c>
      <c r="S244" s="118">
        <f t="shared" ca="1" si="74"/>
        <v>746706</v>
      </c>
      <c r="T244" s="118">
        <f ca="1">특급</f>
        <v>373353</v>
      </c>
      <c r="U244" s="118">
        <f t="shared" ca="1" si="75"/>
        <v>746706</v>
      </c>
      <c r="V244" s="118"/>
      <c r="W244" s="118"/>
      <c r="X244" s="118"/>
      <c r="Y244" s="118"/>
      <c r="Z244" s="115"/>
    </row>
    <row r="245" spans="11:28" ht="18" customHeight="1">
      <c r="K245" s="171" t="s">
        <v>14</v>
      </c>
      <c r="L245" s="171"/>
      <c r="M245" s="171"/>
      <c r="N245" s="145" t="s">
        <v>39</v>
      </c>
      <c r="O245" s="173">
        <v>5</v>
      </c>
      <c r="P245" s="234">
        <f ca="1">OFFSET($A$1,MATCH(Z242,$A:$A,0)-1,O245)</f>
        <v>2</v>
      </c>
      <c r="Q245" s="144" t="s">
        <v>29</v>
      </c>
      <c r="R245" s="118">
        <f t="shared" ca="1" si="73"/>
        <v>310884</v>
      </c>
      <c r="S245" s="118">
        <f t="shared" ca="1" si="74"/>
        <v>621768</v>
      </c>
      <c r="T245" s="118">
        <f ca="1">고급</f>
        <v>310884</v>
      </c>
      <c r="U245" s="118">
        <f t="shared" ca="1" si="75"/>
        <v>621768</v>
      </c>
      <c r="V245" s="118"/>
      <c r="W245" s="118"/>
      <c r="X245" s="118"/>
      <c r="Y245" s="118"/>
      <c r="Z245" s="115"/>
    </row>
    <row r="246" spans="11:28" ht="18" customHeight="1">
      <c r="K246" s="171" t="s">
        <v>14</v>
      </c>
      <c r="L246" s="171"/>
      <c r="M246" s="171"/>
      <c r="N246" s="145" t="s">
        <v>40</v>
      </c>
      <c r="O246" s="173">
        <v>6</v>
      </c>
      <c r="P246" s="234">
        <f ca="1">OFFSET($A$1,MATCH(Z242,$A:$A,0)-1,O246)</f>
        <v>4</v>
      </c>
      <c r="Q246" s="144" t="s">
        <v>29</v>
      </c>
      <c r="R246" s="118">
        <f t="shared" ca="1" si="73"/>
        <v>295138</v>
      </c>
      <c r="S246" s="118">
        <f t="shared" ca="1" si="74"/>
        <v>1180552</v>
      </c>
      <c r="T246" s="118">
        <f ca="1">중급</f>
        <v>295138</v>
      </c>
      <c r="U246" s="118">
        <f t="shared" ca="1" si="75"/>
        <v>1180552</v>
      </c>
      <c r="V246" s="118"/>
      <c r="W246" s="118"/>
      <c r="X246" s="118"/>
      <c r="Y246" s="118"/>
      <c r="Z246" s="115"/>
    </row>
    <row r="247" spans="11:28" ht="18" customHeight="1">
      <c r="K247" s="171" t="s">
        <v>14</v>
      </c>
      <c r="L247" s="171"/>
      <c r="M247" s="171"/>
      <c r="N247" s="145" t="s">
        <v>41</v>
      </c>
      <c r="O247" s="173">
        <v>7</v>
      </c>
      <c r="P247" s="234">
        <f ca="1">OFFSET($A$1,MATCH(Z242,$A:$A,0)-1,O247)</f>
        <v>4</v>
      </c>
      <c r="Q247" s="144" t="s">
        <v>29</v>
      </c>
      <c r="R247" s="118">
        <f t="shared" ca="1" si="73"/>
        <v>235459</v>
      </c>
      <c r="S247" s="118">
        <f t="shared" ca="1" si="74"/>
        <v>941836</v>
      </c>
      <c r="T247" s="118">
        <f ca="1">초급</f>
        <v>235459</v>
      </c>
      <c r="U247" s="118">
        <f t="shared" ca="1" si="75"/>
        <v>941836</v>
      </c>
      <c r="V247" s="118"/>
      <c r="W247" s="118"/>
      <c r="X247" s="118"/>
      <c r="Y247" s="118"/>
      <c r="Z247" s="115"/>
    </row>
    <row r="248" spans="11:28" ht="18" customHeight="1">
      <c r="K248" s="171" t="s">
        <v>14</v>
      </c>
      <c r="L248" s="171"/>
      <c r="M248" s="171"/>
      <c r="N248" s="319" t="s">
        <v>42</v>
      </c>
      <c r="O248" s="174">
        <v>8</v>
      </c>
      <c r="P248" s="235">
        <f ca="1">OFFSET($A$1,MATCH(Z242,$A:$A,0)-1,O248)</f>
        <v>4</v>
      </c>
      <c r="Q248" s="322" t="s">
        <v>29</v>
      </c>
      <c r="R248" s="323">
        <f t="shared" ca="1" si="73"/>
        <v>250087</v>
      </c>
      <c r="S248" s="323">
        <f t="shared" ca="1" si="74"/>
        <v>1000348</v>
      </c>
      <c r="T248" s="323">
        <f ca="1">보조원</f>
        <v>250087</v>
      </c>
      <c r="U248" s="323">
        <f t="shared" ca="1" si="75"/>
        <v>1000348</v>
      </c>
      <c r="V248" s="323"/>
      <c r="W248" s="323"/>
      <c r="X248" s="323"/>
      <c r="Y248" s="323"/>
      <c r="Z248" s="324"/>
    </row>
    <row r="249" spans="11:28" ht="18" customHeight="1">
      <c r="K249" s="171" t="s">
        <v>14</v>
      </c>
      <c r="L249" s="171"/>
      <c r="M249" s="171"/>
      <c r="N249" s="139" t="s">
        <v>17</v>
      </c>
      <c r="O249" s="68"/>
      <c r="P249" s="69"/>
      <c r="Q249" s="70"/>
      <c r="R249" s="71"/>
      <c r="S249" s="71">
        <f ca="1">SUBTOTAL(9,S243:S248)</f>
        <v>5425644</v>
      </c>
      <c r="T249" s="71"/>
      <c r="U249" s="71">
        <f ca="1">SUBTOTAL(9,U243:U248)</f>
        <v>5425644</v>
      </c>
      <c r="V249" s="71"/>
      <c r="W249" s="71"/>
      <c r="X249" s="71"/>
      <c r="Y249" s="71"/>
      <c r="Z249" s="68"/>
    </row>
    <row r="250" spans="11:28" ht="18" customHeight="1">
      <c r="K250" s="171" t="s">
        <v>14</v>
      </c>
      <c r="L250" s="171"/>
      <c r="M250" s="171"/>
      <c r="N250" s="318" t="str">
        <f ca="1">"제 " &amp; Z250 &amp; " 호표  "&amp; OFFSET($A$1,MATCH(Z250,$A:$A,0)-1,2)</f>
        <v>제 23 호표  5.3 위원회심의 지원</v>
      </c>
      <c r="O250" s="221"/>
      <c r="P250" s="148"/>
      <c r="Q250" s="148"/>
      <c r="R250" s="149"/>
      <c r="S250" s="149"/>
      <c r="T250" s="149"/>
      <c r="U250" s="149"/>
      <c r="V250" s="149"/>
      <c r="W250" s="149"/>
      <c r="X250" s="149"/>
      <c r="Y250" s="149"/>
      <c r="Z250" s="325">
        <f>Z242+1</f>
        <v>23</v>
      </c>
    </row>
    <row r="251" spans="11:28" ht="18" customHeight="1">
      <c r="K251" s="171" t="s">
        <v>14</v>
      </c>
      <c r="L251" s="171"/>
      <c r="M251" s="171"/>
      <c r="N251" s="140" t="s">
        <v>43</v>
      </c>
      <c r="O251" s="172">
        <v>3</v>
      </c>
      <c r="P251" s="219">
        <f ca="1">OFFSET($A$1,MATCH(Z250,$A:$A,0)-1,O251)</f>
        <v>2</v>
      </c>
      <c r="Q251" s="141" t="s">
        <v>29</v>
      </c>
      <c r="R251" s="142">
        <f t="shared" ref="R251:R256" ca="1" si="76">T251</f>
        <v>467217</v>
      </c>
      <c r="S251" s="142">
        <f t="shared" ref="S251:S256" ca="1" si="77">U251</f>
        <v>934434</v>
      </c>
      <c r="T251" s="142">
        <f ca="1">기술사</f>
        <v>467217</v>
      </c>
      <c r="U251" s="142">
        <f t="shared" ref="U251:U256" ca="1" si="78">ROUNDDOWN(P251*R251,0)</f>
        <v>934434</v>
      </c>
      <c r="V251" s="142"/>
      <c r="W251" s="142"/>
      <c r="X251" s="142"/>
      <c r="Y251" s="142"/>
      <c r="Z251" s="114"/>
    </row>
    <row r="252" spans="11:28" ht="18" customHeight="1">
      <c r="K252" s="171" t="s">
        <v>14</v>
      </c>
      <c r="L252" s="171"/>
      <c r="M252" s="171"/>
      <c r="N252" s="143" t="s">
        <v>32</v>
      </c>
      <c r="O252" s="173">
        <v>4</v>
      </c>
      <c r="P252" s="234">
        <f ca="1">OFFSET($A$1,MATCH(Z250,$A:$A,0)-1,O252)</f>
        <v>2</v>
      </c>
      <c r="Q252" s="144" t="s">
        <v>29</v>
      </c>
      <c r="R252" s="118">
        <f t="shared" ca="1" si="76"/>
        <v>373353</v>
      </c>
      <c r="S252" s="118">
        <f t="shared" ca="1" si="77"/>
        <v>746706</v>
      </c>
      <c r="T252" s="118">
        <f ca="1">특급</f>
        <v>373353</v>
      </c>
      <c r="U252" s="118">
        <f t="shared" ca="1" si="78"/>
        <v>746706</v>
      </c>
      <c r="V252" s="118"/>
      <c r="W252" s="118"/>
      <c r="X252" s="118"/>
      <c r="Y252" s="118"/>
      <c r="Z252" s="115"/>
    </row>
    <row r="253" spans="11:28" ht="18" customHeight="1">
      <c r="K253" s="171" t="s">
        <v>14</v>
      </c>
      <c r="L253" s="171"/>
      <c r="M253" s="171"/>
      <c r="N253" s="145" t="s">
        <v>39</v>
      </c>
      <c r="O253" s="173">
        <v>5</v>
      </c>
      <c r="P253" s="234">
        <f ca="1">OFFSET($A$1,MATCH(Z250,$A:$A,0)-1,O253)</f>
        <v>2</v>
      </c>
      <c r="Q253" s="144" t="s">
        <v>29</v>
      </c>
      <c r="R253" s="118">
        <f t="shared" ca="1" si="76"/>
        <v>310884</v>
      </c>
      <c r="S253" s="118">
        <f t="shared" ca="1" si="77"/>
        <v>621768</v>
      </c>
      <c r="T253" s="118">
        <f ca="1">고급</f>
        <v>310884</v>
      </c>
      <c r="U253" s="118">
        <f t="shared" ca="1" si="78"/>
        <v>621768</v>
      </c>
      <c r="V253" s="118"/>
      <c r="W253" s="118"/>
      <c r="X253" s="118"/>
      <c r="Y253" s="118"/>
      <c r="Z253" s="115"/>
      <c r="AA253" s="171"/>
      <c r="AB253" s="171"/>
    </row>
    <row r="254" spans="11:28" ht="18" customHeight="1">
      <c r="K254" s="171" t="s">
        <v>14</v>
      </c>
      <c r="L254" s="171"/>
      <c r="M254" s="171"/>
      <c r="N254" s="145" t="s">
        <v>40</v>
      </c>
      <c r="O254" s="173">
        <v>6</v>
      </c>
      <c r="P254" s="234">
        <f ca="1">OFFSET($A$1,MATCH(Z250,$A:$A,0)-1,O254)</f>
        <v>4</v>
      </c>
      <c r="Q254" s="144" t="s">
        <v>29</v>
      </c>
      <c r="R254" s="118">
        <f t="shared" ca="1" si="76"/>
        <v>295138</v>
      </c>
      <c r="S254" s="118">
        <f t="shared" ca="1" si="77"/>
        <v>1180552</v>
      </c>
      <c r="T254" s="118">
        <f ca="1">중급</f>
        <v>295138</v>
      </c>
      <c r="U254" s="118">
        <f t="shared" ca="1" si="78"/>
        <v>1180552</v>
      </c>
      <c r="V254" s="118"/>
      <c r="W254" s="118"/>
      <c r="X254" s="118"/>
      <c r="Y254" s="118"/>
      <c r="Z254" s="115"/>
      <c r="AA254" s="171"/>
      <c r="AB254" s="171"/>
    </row>
    <row r="255" spans="11:28" ht="18" customHeight="1">
      <c r="K255" s="171" t="s">
        <v>14</v>
      </c>
      <c r="L255" s="171"/>
      <c r="M255" s="171"/>
      <c r="N255" s="145" t="s">
        <v>41</v>
      </c>
      <c r="O255" s="173">
        <v>7</v>
      </c>
      <c r="P255" s="234">
        <f ca="1">OFFSET($A$1,MATCH(Z250,$A:$A,0)-1,O255)</f>
        <v>4</v>
      </c>
      <c r="Q255" s="144" t="s">
        <v>29</v>
      </c>
      <c r="R255" s="118">
        <f t="shared" ca="1" si="76"/>
        <v>235459</v>
      </c>
      <c r="S255" s="118">
        <f t="shared" ca="1" si="77"/>
        <v>941836</v>
      </c>
      <c r="T255" s="118">
        <f ca="1">초급</f>
        <v>235459</v>
      </c>
      <c r="U255" s="118">
        <f t="shared" ca="1" si="78"/>
        <v>941836</v>
      </c>
      <c r="V255" s="118"/>
      <c r="W255" s="118"/>
      <c r="X255" s="118"/>
      <c r="Y255" s="118"/>
      <c r="Z255" s="115"/>
      <c r="AA255" s="171"/>
      <c r="AB255" s="171"/>
    </row>
    <row r="256" spans="11:28" ht="18" customHeight="1">
      <c r="K256" s="171" t="s">
        <v>14</v>
      </c>
      <c r="L256" s="171"/>
      <c r="M256" s="171"/>
      <c r="N256" s="319" t="s">
        <v>42</v>
      </c>
      <c r="O256" s="174">
        <v>8</v>
      </c>
      <c r="P256" s="235">
        <f ca="1">OFFSET($A$1,MATCH(Z250,$A:$A,0)-1,O256)</f>
        <v>4</v>
      </c>
      <c r="Q256" s="322" t="s">
        <v>29</v>
      </c>
      <c r="R256" s="323">
        <f t="shared" ca="1" si="76"/>
        <v>250087</v>
      </c>
      <c r="S256" s="323">
        <f t="shared" ca="1" si="77"/>
        <v>1000348</v>
      </c>
      <c r="T256" s="323">
        <f ca="1">보조원</f>
        <v>250087</v>
      </c>
      <c r="U256" s="323">
        <f t="shared" ca="1" si="78"/>
        <v>1000348</v>
      </c>
      <c r="V256" s="323"/>
      <c r="W256" s="323"/>
      <c r="X256" s="323"/>
      <c r="Y256" s="323"/>
      <c r="Z256" s="324"/>
      <c r="AA256" s="171"/>
      <c r="AB256" s="171"/>
    </row>
    <row r="257" spans="11:28" ht="18" customHeight="1">
      <c r="K257" s="171" t="s">
        <v>78</v>
      </c>
      <c r="L257" s="171"/>
      <c r="M257" s="171"/>
      <c r="N257" s="139" t="s">
        <v>17</v>
      </c>
      <c r="O257" s="68"/>
      <c r="P257" s="69"/>
      <c r="Q257" s="70"/>
      <c r="R257" s="71"/>
      <c r="S257" s="71">
        <f ca="1">SUBTOTAL(9,S251:S256)</f>
        <v>5425644</v>
      </c>
      <c r="T257" s="71"/>
      <c r="U257" s="71">
        <f ca="1">SUBTOTAL(9,U251:U256)</f>
        <v>5425644</v>
      </c>
      <c r="V257" s="71"/>
      <c r="W257" s="71"/>
      <c r="X257" s="71"/>
      <c r="Y257" s="71"/>
      <c r="Z257" s="68"/>
      <c r="AA257" s="171"/>
      <c r="AB257" s="171"/>
    </row>
    <row r="258" spans="11:28" ht="18" customHeight="1">
      <c r="K258" s="171" t="s">
        <v>78</v>
      </c>
      <c r="L258" s="171"/>
      <c r="M258" s="171"/>
      <c r="N258" s="318" t="str">
        <f ca="1">"제 " &amp; Z258 &amp; " 호표  "&amp; OFFSET($A$1,MATCH(Z258,$A:$A,0)-1,2)</f>
        <v>제 24 호표  5.4 관계기관 협의</v>
      </c>
      <c r="O258" s="221"/>
      <c r="P258" s="148"/>
      <c r="Q258" s="148"/>
      <c r="R258" s="149"/>
      <c r="S258" s="149"/>
      <c r="T258" s="149"/>
      <c r="U258" s="149"/>
      <c r="V258" s="149"/>
      <c r="W258" s="149"/>
      <c r="X258" s="149"/>
      <c r="Y258" s="149"/>
      <c r="Z258" s="325">
        <f>Z250+1</f>
        <v>24</v>
      </c>
      <c r="AA258" s="171"/>
      <c r="AB258" s="171"/>
    </row>
    <row r="259" spans="11:28" ht="18" customHeight="1">
      <c r="K259" s="171" t="s">
        <v>78</v>
      </c>
      <c r="L259" s="171"/>
      <c r="M259" s="171"/>
      <c r="N259" s="140" t="s">
        <v>43</v>
      </c>
      <c r="O259" s="172">
        <v>3</v>
      </c>
      <c r="P259" s="219">
        <f ca="1">OFFSET($A$1,MATCH(Z258,$A:$A,0)-1,O259)</f>
        <v>2</v>
      </c>
      <c r="Q259" s="141" t="s">
        <v>29</v>
      </c>
      <c r="R259" s="142">
        <f t="shared" ref="R259:R264" ca="1" si="79">T259</f>
        <v>467217</v>
      </c>
      <c r="S259" s="142">
        <f t="shared" ref="S259:S264" ca="1" si="80">U259</f>
        <v>934434</v>
      </c>
      <c r="T259" s="142">
        <f ca="1">기술사</f>
        <v>467217</v>
      </c>
      <c r="U259" s="142">
        <f t="shared" ref="U259:U264" ca="1" si="81">ROUNDDOWN(P259*R259,0)</f>
        <v>934434</v>
      </c>
      <c r="V259" s="142"/>
      <c r="W259" s="142"/>
      <c r="X259" s="142"/>
      <c r="Y259" s="142"/>
      <c r="Z259" s="114"/>
      <c r="AA259" s="171"/>
      <c r="AB259" s="171"/>
    </row>
    <row r="260" spans="11:28" ht="18" customHeight="1">
      <c r="K260" s="171" t="s">
        <v>78</v>
      </c>
      <c r="L260" s="171"/>
      <c r="M260" s="171"/>
      <c r="N260" s="143" t="s">
        <v>32</v>
      </c>
      <c r="O260" s="173">
        <v>4</v>
      </c>
      <c r="P260" s="234">
        <f ca="1">OFFSET($A$1,MATCH(Z258,$A:$A,0)-1,O260)</f>
        <v>2</v>
      </c>
      <c r="Q260" s="144" t="s">
        <v>29</v>
      </c>
      <c r="R260" s="118">
        <f t="shared" ca="1" si="79"/>
        <v>373353</v>
      </c>
      <c r="S260" s="118">
        <f t="shared" ca="1" si="80"/>
        <v>746706</v>
      </c>
      <c r="T260" s="118">
        <f ca="1">특급</f>
        <v>373353</v>
      </c>
      <c r="U260" s="118">
        <f t="shared" ca="1" si="81"/>
        <v>746706</v>
      </c>
      <c r="V260" s="118"/>
      <c r="W260" s="118"/>
      <c r="X260" s="118"/>
      <c r="Y260" s="118"/>
      <c r="Z260" s="115"/>
      <c r="AA260" s="171"/>
      <c r="AB260" s="171"/>
    </row>
    <row r="261" spans="11:28" ht="18" customHeight="1">
      <c r="K261" s="171" t="s">
        <v>78</v>
      </c>
      <c r="L261" s="171"/>
      <c r="M261" s="171"/>
      <c r="N261" s="145" t="s">
        <v>39</v>
      </c>
      <c r="O261" s="173">
        <v>5</v>
      </c>
      <c r="P261" s="234">
        <f ca="1">OFFSET($A$1,MATCH(Z258,$A:$A,0)-1,O261)</f>
        <v>2</v>
      </c>
      <c r="Q261" s="144" t="s">
        <v>29</v>
      </c>
      <c r="R261" s="118">
        <f t="shared" ca="1" si="79"/>
        <v>310884</v>
      </c>
      <c r="S261" s="118">
        <f t="shared" ca="1" si="80"/>
        <v>621768</v>
      </c>
      <c r="T261" s="118">
        <f ca="1">고급</f>
        <v>310884</v>
      </c>
      <c r="U261" s="118">
        <f t="shared" ca="1" si="81"/>
        <v>621768</v>
      </c>
      <c r="V261" s="118"/>
      <c r="W261" s="118"/>
      <c r="X261" s="118"/>
      <c r="Y261" s="118"/>
      <c r="Z261" s="115"/>
      <c r="AA261" s="171"/>
      <c r="AB261" s="171"/>
    </row>
    <row r="262" spans="11:28" ht="18" customHeight="1">
      <c r="K262" s="171" t="s">
        <v>78</v>
      </c>
      <c r="L262" s="171"/>
      <c r="M262" s="171"/>
      <c r="N262" s="145" t="s">
        <v>40</v>
      </c>
      <c r="O262" s="173">
        <v>6</v>
      </c>
      <c r="P262" s="234">
        <f ca="1">OFFSET($A$1,MATCH(Z258,$A:$A,0)-1,O262)</f>
        <v>4</v>
      </c>
      <c r="Q262" s="144" t="s">
        <v>29</v>
      </c>
      <c r="R262" s="118">
        <f t="shared" ca="1" si="79"/>
        <v>295138</v>
      </c>
      <c r="S262" s="118">
        <f t="shared" ca="1" si="80"/>
        <v>1180552</v>
      </c>
      <c r="T262" s="118">
        <f ca="1">중급</f>
        <v>295138</v>
      </c>
      <c r="U262" s="118">
        <f t="shared" ca="1" si="81"/>
        <v>1180552</v>
      </c>
      <c r="V262" s="118"/>
      <c r="W262" s="118"/>
      <c r="X262" s="118"/>
      <c r="Y262" s="118"/>
      <c r="Z262" s="115"/>
      <c r="AA262" s="171"/>
      <c r="AB262" s="171"/>
    </row>
    <row r="263" spans="11:28" ht="18" customHeight="1">
      <c r="K263" s="171" t="s">
        <v>78</v>
      </c>
      <c r="L263" s="171"/>
      <c r="M263" s="171"/>
      <c r="N263" s="145" t="s">
        <v>41</v>
      </c>
      <c r="O263" s="173">
        <v>7</v>
      </c>
      <c r="P263" s="234">
        <f ca="1">OFFSET($A$1,MATCH(Z258,$A:$A,0)-1,O263)</f>
        <v>4</v>
      </c>
      <c r="Q263" s="144" t="s">
        <v>29</v>
      </c>
      <c r="R263" s="118">
        <f t="shared" ca="1" si="79"/>
        <v>235459</v>
      </c>
      <c r="S263" s="118">
        <f t="shared" ca="1" si="80"/>
        <v>941836</v>
      </c>
      <c r="T263" s="118">
        <f ca="1">초급</f>
        <v>235459</v>
      </c>
      <c r="U263" s="118">
        <f t="shared" ca="1" si="81"/>
        <v>941836</v>
      </c>
      <c r="V263" s="118"/>
      <c r="W263" s="118"/>
      <c r="X263" s="118"/>
      <c r="Y263" s="118"/>
      <c r="Z263" s="115"/>
      <c r="AA263" s="171"/>
      <c r="AB263" s="171"/>
    </row>
    <row r="264" spans="11:28" ht="18" customHeight="1">
      <c r="K264" s="171" t="s">
        <v>78</v>
      </c>
      <c r="L264" s="171"/>
      <c r="M264" s="171"/>
      <c r="N264" s="319" t="s">
        <v>42</v>
      </c>
      <c r="O264" s="174">
        <v>8</v>
      </c>
      <c r="P264" s="235">
        <f ca="1">OFFSET($A$1,MATCH(Z258,$A:$A,0)-1,O264)</f>
        <v>4</v>
      </c>
      <c r="Q264" s="322" t="s">
        <v>29</v>
      </c>
      <c r="R264" s="323">
        <f t="shared" ca="1" si="79"/>
        <v>250087</v>
      </c>
      <c r="S264" s="323">
        <f t="shared" ca="1" si="80"/>
        <v>1000348</v>
      </c>
      <c r="T264" s="323">
        <f ca="1">보조원</f>
        <v>250087</v>
      </c>
      <c r="U264" s="323">
        <f t="shared" ca="1" si="81"/>
        <v>1000348</v>
      </c>
      <c r="V264" s="323"/>
      <c r="W264" s="323"/>
      <c r="X264" s="323"/>
      <c r="Y264" s="323"/>
      <c r="Z264" s="324"/>
      <c r="AA264" s="171"/>
      <c r="AB264" s="171"/>
    </row>
    <row r="265" spans="11:28" ht="18" customHeight="1">
      <c r="K265" s="171" t="s">
        <v>78</v>
      </c>
      <c r="L265" s="171"/>
      <c r="M265" s="171"/>
      <c r="N265" s="139" t="s">
        <v>17</v>
      </c>
      <c r="O265" s="68"/>
      <c r="P265" s="69"/>
      <c r="Q265" s="70"/>
      <c r="R265" s="71"/>
      <c r="S265" s="71">
        <f ca="1">SUBTOTAL(9,S259:S264)</f>
        <v>5425644</v>
      </c>
      <c r="T265" s="71"/>
      <c r="U265" s="71">
        <f ca="1">SUBTOTAL(9,U259:U264)</f>
        <v>5425644</v>
      </c>
      <c r="V265" s="71"/>
      <c r="W265" s="71"/>
      <c r="X265" s="71"/>
      <c r="Y265" s="71"/>
      <c r="Z265" s="68"/>
      <c r="AA265" s="171"/>
      <c r="AB265" s="171"/>
    </row>
    <row r="266" spans="11:28" ht="18" customHeight="1">
      <c r="K266" s="171" t="s">
        <v>78</v>
      </c>
      <c r="L266" s="171"/>
      <c r="M266" s="171"/>
      <c r="P266" s="236"/>
      <c r="AA266" s="171"/>
      <c r="AB266" s="171"/>
    </row>
    <row r="267" spans="11:28" ht="18" customHeight="1">
      <c r="K267" s="171" t="s">
        <v>78</v>
      </c>
      <c r="L267" s="171"/>
      <c r="M267" s="171"/>
      <c r="P267" s="236"/>
      <c r="AA267" s="171"/>
      <c r="AB267" s="171"/>
    </row>
    <row r="268" spans="11:28" ht="18" customHeight="1">
      <c r="K268" s="171" t="s">
        <v>78</v>
      </c>
      <c r="L268" s="171"/>
      <c r="M268" s="171"/>
      <c r="P268" s="236"/>
    </row>
    <row r="269" spans="11:28" ht="18" customHeight="1">
      <c r="K269" s="171" t="s">
        <v>78</v>
      </c>
      <c r="L269" s="171"/>
      <c r="M269" s="171"/>
      <c r="P269" s="236"/>
    </row>
    <row r="270" spans="11:28" ht="18" customHeight="1">
      <c r="K270" s="171" t="s">
        <v>78</v>
      </c>
      <c r="L270" s="171"/>
      <c r="M270" s="171"/>
      <c r="P270" s="236"/>
    </row>
    <row r="271" spans="11:28" ht="18" customHeight="1">
      <c r="K271" s="171" t="s">
        <v>78</v>
      </c>
      <c r="L271" s="171"/>
      <c r="M271" s="171"/>
      <c r="P271" s="236"/>
    </row>
    <row r="272" spans="11:28" ht="18" customHeight="1">
      <c r="K272" s="171" t="s">
        <v>78</v>
      </c>
      <c r="L272" s="171"/>
      <c r="M272" s="171"/>
      <c r="P272" s="236"/>
    </row>
    <row r="273" spans="11:16" ht="18" customHeight="1">
      <c r="K273" s="171" t="s">
        <v>78</v>
      </c>
      <c r="L273" s="171"/>
      <c r="M273" s="171"/>
      <c r="P273" s="236"/>
    </row>
    <row r="274" spans="11:16" ht="18" customHeight="1">
      <c r="K274" s="171" t="s">
        <v>78</v>
      </c>
      <c r="L274" s="171"/>
      <c r="M274" s="171"/>
      <c r="P274" s="236"/>
    </row>
    <row r="275" spans="11:16" ht="18" customHeight="1">
      <c r="K275" s="171" t="s">
        <v>78</v>
      </c>
      <c r="L275" s="171"/>
      <c r="M275" s="171"/>
      <c r="P275" s="236"/>
    </row>
    <row r="276" spans="11:16" ht="18" customHeight="1">
      <c r="K276" s="171" t="s">
        <v>78</v>
      </c>
      <c r="L276" s="171"/>
      <c r="M276" s="171"/>
      <c r="P276" s="236"/>
    </row>
    <row r="277" spans="11:16" ht="18" customHeight="1">
      <c r="K277" s="171" t="s">
        <v>78</v>
      </c>
      <c r="L277" s="171"/>
      <c r="M277" s="171"/>
      <c r="P277" s="236"/>
    </row>
    <row r="278" spans="11:16" ht="18" customHeight="1">
      <c r="K278" s="171" t="s">
        <v>78</v>
      </c>
      <c r="L278" s="171"/>
      <c r="M278" s="171"/>
      <c r="P278" s="236"/>
    </row>
    <row r="279" spans="11:16" ht="18" customHeight="1">
      <c r="K279" s="171" t="s">
        <v>78</v>
      </c>
      <c r="L279" s="171"/>
      <c r="M279" s="171"/>
      <c r="P279" s="236"/>
    </row>
    <row r="280" spans="11:16" ht="18" customHeight="1">
      <c r="K280" s="171" t="s">
        <v>78</v>
      </c>
      <c r="L280" s="171"/>
      <c r="M280" s="171"/>
      <c r="P280" s="236"/>
    </row>
    <row r="281" spans="11:16" ht="18" customHeight="1">
      <c r="K281" s="171" t="s">
        <v>78</v>
      </c>
      <c r="L281" s="171"/>
      <c r="M281" s="171"/>
      <c r="P281" s="236"/>
    </row>
    <row r="282" spans="11:16" ht="18" customHeight="1">
      <c r="K282" s="171" t="s">
        <v>78</v>
      </c>
      <c r="L282" s="171"/>
      <c r="M282" s="171"/>
      <c r="P282" s="236"/>
    </row>
    <row r="283" spans="11:16" ht="18" customHeight="1">
      <c r="K283" s="171" t="s">
        <v>78</v>
      </c>
      <c r="L283" s="171"/>
      <c r="M283" s="171"/>
      <c r="P283" s="236"/>
    </row>
    <row r="284" spans="11:16" ht="18" customHeight="1">
      <c r="K284" s="171" t="s">
        <v>78</v>
      </c>
      <c r="L284" s="171"/>
      <c r="M284" s="171"/>
      <c r="P284" s="236"/>
    </row>
    <row r="285" spans="11:16" ht="18" customHeight="1">
      <c r="K285" s="171" t="s">
        <v>78</v>
      </c>
      <c r="L285" s="171"/>
      <c r="M285" s="171"/>
      <c r="P285" s="236"/>
    </row>
    <row r="286" spans="11:16" ht="18" customHeight="1">
      <c r="K286" s="171" t="s">
        <v>78</v>
      </c>
      <c r="L286" s="171"/>
      <c r="M286" s="171"/>
      <c r="P286" s="236"/>
    </row>
    <row r="287" spans="11:16" ht="18" customHeight="1">
      <c r="K287" s="171" t="s">
        <v>78</v>
      </c>
      <c r="L287" s="171"/>
      <c r="M287" s="171"/>
      <c r="P287" s="236"/>
    </row>
    <row r="288" spans="11:16" ht="18" customHeight="1">
      <c r="K288" s="171" t="s">
        <v>78</v>
      </c>
      <c r="L288" s="171"/>
      <c r="M288" s="171"/>
      <c r="P288" s="236"/>
    </row>
    <row r="289" spans="11:16" ht="18" customHeight="1">
      <c r="K289" s="171" t="s">
        <v>78</v>
      </c>
      <c r="L289" s="171"/>
      <c r="M289" s="171"/>
      <c r="P289" s="236"/>
    </row>
    <row r="290" spans="11:16" ht="18" customHeight="1">
      <c r="K290" s="171" t="s">
        <v>78</v>
      </c>
      <c r="L290" s="171"/>
      <c r="M290" s="171"/>
      <c r="P290" s="236"/>
    </row>
    <row r="291" spans="11:16" ht="18" customHeight="1">
      <c r="K291" s="171" t="s">
        <v>78</v>
      </c>
      <c r="L291" s="171"/>
      <c r="M291" s="171"/>
      <c r="P291" s="236"/>
    </row>
    <row r="292" spans="11:16" ht="18" customHeight="1">
      <c r="K292" s="171" t="s">
        <v>78</v>
      </c>
      <c r="L292" s="171"/>
      <c r="M292" s="171"/>
      <c r="P292" s="236"/>
    </row>
    <row r="293" spans="11:16" ht="18" customHeight="1">
      <c r="K293" s="171" t="s">
        <v>78</v>
      </c>
      <c r="L293" s="171"/>
      <c r="M293" s="171"/>
      <c r="P293" s="236"/>
    </row>
    <row r="294" spans="11:16" ht="18" customHeight="1">
      <c r="K294" s="171" t="s">
        <v>78</v>
      </c>
      <c r="L294" s="171"/>
      <c r="M294" s="171"/>
      <c r="P294" s="236"/>
    </row>
    <row r="295" spans="11:16" ht="18" customHeight="1">
      <c r="K295" s="171" t="s">
        <v>78</v>
      </c>
      <c r="L295" s="171"/>
      <c r="M295" s="171"/>
      <c r="P295" s="236"/>
    </row>
    <row r="296" spans="11:16" ht="18" customHeight="1">
      <c r="K296" s="171" t="s">
        <v>78</v>
      </c>
      <c r="L296" s="171"/>
      <c r="M296" s="171"/>
      <c r="P296" s="236"/>
    </row>
    <row r="297" spans="11:16" ht="18" customHeight="1">
      <c r="K297" s="171" t="s">
        <v>78</v>
      </c>
      <c r="L297" s="171"/>
      <c r="M297" s="171"/>
      <c r="P297" s="236"/>
    </row>
    <row r="298" spans="11:16" ht="18" customHeight="1">
      <c r="K298" s="171" t="s">
        <v>78</v>
      </c>
      <c r="L298" s="171"/>
      <c r="M298" s="171"/>
      <c r="P298" s="236"/>
    </row>
    <row r="299" spans="11:16" ht="18" customHeight="1">
      <c r="K299" s="171" t="s">
        <v>78</v>
      </c>
      <c r="L299" s="171"/>
      <c r="M299" s="171"/>
      <c r="P299" s="236"/>
    </row>
    <row r="300" spans="11:16" ht="18" customHeight="1">
      <c r="K300" s="171" t="s">
        <v>78</v>
      </c>
      <c r="L300" s="171"/>
      <c r="M300" s="171"/>
      <c r="P300" s="236"/>
    </row>
    <row r="301" spans="11:16" ht="18" customHeight="1">
      <c r="K301" s="171" t="s">
        <v>78</v>
      </c>
      <c r="L301" s="171"/>
      <c r="M301" s="171"/>
      <c r="P301" s="236"/>
    </row>
    <row r="302" spans="11:16" ht="18" customHeight="1">
      <c r="K302" s="171" t="s">
        <v>78</v>
      </c>
      <c r="L302" s="171"/>
      <c r="M302" s="171"/>
      <c r="P302" s="236"/>
    </row>
    <row r="303" spans="11:16" ht="18" customHeight="1">
      <c r="K303" s="171" t="s">
        <v>78</v>
      </c>
      <c r="L303" s="171"/>
      <c r="M303" s="171"/>
      <c r="P303" s="236"/>
    </row>
    <row r="304" spans="11:16" ht="18" customHeight="1">
      <c r="K304" s="171" t="s">
        <v>78</v>
      </c>
      <c r="L304" s="171"/>
      <c r="M304" s="171"/>
      <c r="P304" s="236"/>
    </row>
    <row r="305" spans="11:16" ht="18" customHeight="1">
      <c r="K305" s="171" t="s">
        <v>78</v>
      </c>
      <c r="L305" s="171"/>
      <c r="M305" s="171"/>
      <c r="P305" s="236"/>
    </row>
    <row r="306" spans="11:16" ht="18" customHeight="1">
      <c r="K306" s="171" t="s">
        <v>78</v>
      </c>
      <c r="L306" s="171"/>
      <c r="M306" s="171"/>
      <c r="P306" s="236"/>
    </row>
    <row r="307" spans="11:16" ht="18" customHeight="1">
      <c r="K307" s="171" t="s">
        <v>78</v>
      </c>
      <c r="L307" s="171"/>
      <c r="M307" s="171"/>
      <c r="P307" s="236"/>
    </row>
    <row r="308" spans="11:16" ht="18" customHeight="1">
      <c r="K308" s="171" t="s">
        <v>78</v>
      </c>
      <c r="L308" s="171"/>
      <c r="M308" s="171"/>
      <c r="P308" s="236"/>
    </row>
    <row r="309" spans="11:16" ht="18" customHeight="1">
      <c r="K309" s="171" t="s">
        <v>78</v>
      </c>
      <c r="L309" s="171"/>
      <c r="M309" s="171"/>
      <c r="P309" s="236"/>
    </row>
    <row r="310" spans="11:16" ht="18" customHeight="1">
      <c r="K310" s="171" t="s">
        <v>78</v>
      </c>
      <c r="L310" s="171"/>
      <c r="M310" s="171"/>
      <c r="P310" s="236"/>
    </row>
    <row r="311" spans="11:16" ht="18" customHeight="1">
      <c r="K311" s="171" t="s">
        <v>78</v>
      </c>
      <c r="L311" s="171"/>
      <c r="M311" s="171"/>
      <c r="P311" s="236"/>
    </row>
    <row r="312" spans="11:16" ht="18" customHeight="1">
      <c r="K312" s="171" t="s">
        <v>78</v>
      </c>
      <c r="L312" s="171"/>
      <c r="M312" s="171"/>
      <c r="P312" s="236"/>
    </row>
    <row r="313" spans="11:16" ht="18" customHeight="1">
      <c r="K313" s="171" t="s">
        <v>78</v>
      </c>
      <c r="L313" s="171"/>
      <c r="M313" s="171"/>
      <c r="P313" s="236"/>
    </row>
    <row r="314" spans="11:16" ht="18" customHeight="1">
      <c r="K314" s="171" t="s">
        <v>78</v>
      </c>
      <c r="L314" s="171"/>
      <c r="M314" s="171"/>
      <c r="P314" s="236"/>
    </row>
    <row r="315" spans="11:16" ht="18" customHeight="1">
      <c r="K315" s="171" t="s">
        <v>78</v>
      </c>
      <c r="L315" s="171"/>
      <c r="M315" s="171"/>
      <c r="P315" s="236"/>
    </row>
    <row r="316" spans="11:16" ht="18" customHeight="1">
      <c r="K316" s="171" t="s">
        <v>78</v>
      </c>
      <c r="L316" s="171"/>
      <c r="M316" s="171"/>
      <c r="P316" s="236"/>
    </row>
    <row r="317" spans="11:16" ht="18" customHeight="1">
      <c r="K317" s="171" t="s">
        <v>78</v>
      </c>
      <c r="L317" s="171"/>
      <c r="M317" s="171"/>
      <c r="P317" s="236"/>
    </row>
    <row r="318" spans="11:16" ht="18" customHeight="1">
      <c r="K318" s="171" t="s">
        <v>78</v>
      </c>
      <c r="L318" s="171"/>
      <c r="M318" s="171"/>
      <c r="P318" s="236"/>
    </row>
    <row r="319" spans="11:16" ht="18" customHeight="1">
      <c r="K319" s="171" t="s">
        <v>78</v>
      </c>
      <c r="L319" s="171"/>
      <c r="M319" s="171"/>
      <c r="P319" s="236"/>
    </row>
    <row r="320" spans="11:16" ht="18" customHeight="1">
      <c r="K320" s="171" t="s">
        <v>78</v>
      </c>
      <c r="L320" s="171"/>
      <c r="M320" s="171"/>
      <c r="P320" s="236"/>
    </row>
    <row r="321" spans="11:16" ht="18" customHeight="1">
      <c r="K321" s="171" t="s">
        <v>78</v>
      </c>
      <c r="L321" s="171"/>
      <c r="M321" s="171"/>
      <c r="P321" s="236"/>
    </row>
    <row r="322" spans="11:16" ht="18" customHeight="1">
      <c r="K322" s="171" t="s">
        <v>78</v>
      </c>
      <c r="L322" s="171"/>
      <c r="M322" s="171"/>
      <c r="P322" s="236"/>
    </row>
    <row r="323" spans="11:16" ht="18" customHeight="1">
      <c r="K323" s="171" t="s">
        <v>78</v>
      </c>
      <c r="L323" s="171"/>
      <c r="M323" s="171"/>
      <c r="P323" s="236"/>
    </row>
    <row r="324" spans="11:16" ht="18" customHeight="1">
      <c r="K324" s="171" t="s">
        <v>78</v>
      </c>
      <c r="L324" s="171"/>
      <c r="M324" s="171"/>
      <c r="P324" s="236"/>
    </row>
    <row r="325" spans="11:16" ht="18" customHeight="1">
      <c r="K325" s="171" t="s">
        <v>78</v>
      </c>
      <c r="L325" s="171"/>
      <c r="M325" s="171"/>
      <c r="P325" s="236"/>
    </row>
    <row r="326" spans="11:16" ht="18" customHeight="1">
      <c r="K326" s="171" t="s">
        <v>78</v>
      </c>
      <c r="L326" s="171"/>
      <c r="M326" s="171"/>
      <c r="P326" s="236"/>
    </row>
    <row r="327" spans="11:16" ht="18" customHeight="1">
      <c r="K327" s="171" t="s">
        <v>78</v>
      </c>
      <c r="L327" s="171"/>
      <c r="M327" s="171"/>
      <c r="P327" s="236"/>
    </row>
    <row r="328" spans="11:16" ht="18" customHeight="1">
      <c r="K328" s="171" t="s">
        <v>78</v>
      </c>
      <c r="L328" s="171"/>
      <c r="M328" s="171"/>
      <c r="P328" s="236"/>
    </row>
    <row r="329" spans="11:16" ht="18" customHeight="1">
      <c r="K329" s="171" t="s">
        <v>78</v>
      </c>
      <c r="L329" s="171"/>
      <c r="M329" s="171"/>
      <c r="P329" s="236"/>
    </row>
    <row r="330" spans="11:16" ht="18" customHeight="1">
      <c r="K330" s="171" t="s">
        <v>78</v>
      </c>
      <c r="L330" s="171"/>
      <c r="M330" s="171"/>
      <c r="P330" s="236"/>
    </row>
    <row r="331" spans="11:16" ht="18" customHeight="1">
      <c r="K331" s="171" t="s">
        <v>78</v>
      </c>
      <c r="L331" s="171"/>
      <c r="M331" s="171"/>
      <c r="P331" s="236"/>
    </row>
    <row r="332" spans="11:16" ht="18" customHeight="1">
      <c r="K332" s="171" t="s">
        <v>78</v>
      </c>
      <c r="L332" s="171"/>
      <c r="M332" s="171"/>
      <c r="P332" s="236"/>
    </row>
    <row r="333" spans="11:16" ht="18" customHeight="1">
      <c r="K333" s="171" t="s">
        <v>78</v>
      </c>
      <c r="L333" s="171"/>
      <c r="M333" s="171"/>
      <c r="P333" s="236"/>
    </row>
    <row r="334" spans="11:16" ht="18" customHeight="1">
      <c r="K334" s="171" t="s">
        <v>78</v>
      </c>
      <c r="L334" s="171"/>
      <c r="M334" s="171"/>
      <c r="P334" s="236"/>
    </row>
    <row r="335" spans="11:16" ht="18" customHeight="1">
      <c r="K335" s="171" t="s">
        <v>78</v>
      </c>
      <c r="L335" s="171"/>
      <c r="M335" s="171"/>
      <c r="P335" s="236"/>
    </row>
    <row r="336" spans="11:16" ht="18" customHeight="1">
      <c r="K336" s="171" t="s">
        <v>78</v>
      </c>
      <c r="L336" s="171"/>
      <c r="M336" s="171"/>
      <c r="P336" s="236"/>
    </row>
    <row r="337" spans="11:16" ht="18" customHeight="1">
      <c r="K337" s="171" t="s">
        <v>78</v>
      </c>
      <c r="L337" s="171"/>
      <c r="M337" s="171"/>
      <c r="P337" s="236"/>
    </row>
    <row r="338" spans="11:16" ht="18" customHeight="1">
      <c r="K338" s="171" t="s">
        <v>78</v>
      </c>
      <c r="L338" s="171"/>
      <c r="M338" s="171"/>
      <c r="P338" s="236"/>
    </row>
    <row r="339" spans="11:16" ht="18" customHeight="1">
      <c r="K339" s="171" t="s">
        <v>78</v>
      </c>
      <c r="L339" s="171"/>
      <c r="M339" s="171"/>
      <c r="P339" s="236"/>
    </row>
    <row r="340" spans="11:16" ht="18" customHeight="1">
      <c r="K340" s="171" t="s">
        <v>78</v>
      </c>
      <c r="L340" s="171"/>
      <c r="M340" s="171"/>
      <c r="P340" s="236"/>
    </row>
    <row r="341" spans="11:16" ht="18" customHeight="1">
      <c r="K341" s="171" t="s">
        <v>78</v>
      </c>
      <c r="L341" s="171"/>
      <c r="M341" s="171"/>
      <c r="P341" s="236"/>
    </row>
    <row r="342" spans="11:16" ht="18" customHeight="1">
      <c r="K342" s="171" t="s">
        <v>78</v>
      </c>
      <c r="L342" s="171"/>
      <c r="M342" s="171"/>
      <c r="P342" s="236"/>
    </row>
    <row r="343" spans="11:16" ht="18" customHeight="1">
      <c r="K343" s="171" t="s">
        <v>78</v>
      </c>
      <c r="L343" s="171"/>
      <c r="M343" s="171"/>
      <c r="P343" s="236"/>
    </row>
    <row r="344" spans="11:16" ht="18" customHeight="1">
      <c r="K344" s="171" t="s">
        <v>78</v>
      </c>
      <c r="L344" s="171"/>
      <c r="M344" s="171"/>
      <c r="P344" s="236"/>
    </row>
    <row r="345" spans="11:16" ht="18" customHeight="1">
      <c r="K345" s="171" t="s">
        <v>78</v>
      </c>
      <c r="L345" s="171"/>
      <c r="M345" s="171"/>
      <c r="P345" s="236"/>
    </row>
    <row r="346" spans="11:16" ht="18" customHeight="1">
      <c r="K346" s="171" t="s">
        <v>78</v>
      </c>
      <c r="L346" s="171"/>
      <c r="M346" s="171"/>
      <c r="P346" s="236"/>
    </row>
    <row r="347" spans="11:16" ht="18" customHeight="1">
      <c r="K347" s="171" t="s">
        <v>78</v>
      </c>
      <c r="L347" s="171"/>
      <c r="M347" s="171"/>
      <c r="P347" s="236"/>
    </row>
    <row r="348" spans="11:16" ht="18" customHeight="1">
      <c r="K348" s="171" t="s">
        <v>78</v>
      </c>
      <c r="L348" s="171"/>
      <c r="M348" s="171"/>
      <c r="P348" s="236"/>
    </row>
    <row r="349" spans="11:16" ht="18" customHeight="1">
      <c r="K349" s="171" t="s">
        <v>78</v>
      </c>
      <c r="L349" s="171"/>
      <c r="M349" s="171"/>
      <c r="P349" s="236"/>
    </row>
    <row r="350" spans="11:16" ht="18" customHeight="1">
      <c r="K350" s="171" t="s">
        <v>78</v>
      </c>
      <c r="L350" s="171"/>
      <c r="M350" s="171"/>
      <c r="P350" s="236"/>
    </row>
    <row r="351" spans="11:16" ht="18" customHeight="1">
      <c r="K351" s="171" t="s">
        <v>78</v>
      </c>
      <c r="L351" s="171"/>
      <c r="M351" s="171"/>
      <c r="P351" s="236"/>
    </row>
    <row r="352" spans="11:16" ht="18" customHeight="1">
      <c r="K352" s="171" t="s">
        <v>78</v>
      </c>
      <c r="L352" s="171"/>
      <c r="M352" s="171"/>
      <c r="P352" s="236"/>
    </row>
    <row r="353" spans="11:16" ht="18" customHeight="1">
      <c r="K353" s="171" t="s">
        <v>78</v>
      </c>
      <c r="L353" s="171"/>
      <c r="M353" s="171"/>
      <c r="P353" s="236"/>
    </row>
    <row r="354" spans="11:16" ht="18" customHeight="1">
      <c r="K354" s="171" t="s">
        <v>78</v>
      </c>
      <c r="L354" s="171"/>
      <c r="M354" s="171"/>
      <c r="P354" s="236"/>
    </row>
    <row r="355" spans="11:16" ht="18" customHeight="1">
      <c r="K355" s="171" t="s">
        <v>78</v>
      </c>
      <c r="L355" s="171"/>
      <c r="M355" s="171"/>
      <c r="P355" s="236"/>
    </row>
    <row r="356" spans="11:16" ht="18" customHeight="1">
      <c r="K356" s="171" t="s">
        <v>78</v>
      </c>
      <c r="L356" s="171"/>
      <c r="M356" s="171"/>
      <c r="P356" s="236"/>
    </row>
    <row r="357" spans="11:16" ht="18" customHeight="1">
      <c r="K357" s="171" t="s">
        <v>78</v>
      </c>
      <c r="L357" s="171"/>
      <c r="M357" s="171"/>
      <c r="P357" s="236"/>
    </row>
    <row r="358" spans="11:16" ht="18" customHeight="1">
      <c r="K358" s="171" t="s">
        <v>78</v>
      </c>
      <c r="L358" s="171"/>
      <c r="M358" s="171"/>
      <c r="P358" s="236"/>
    </row>
    <row r="359" spans="11:16" ht="18" customHeight="1">
      <c r="K359" s="171" t="s">
        <v>78</v>
      </c>
      <c r="L359" s="171"/>
      <c r="M359" s="171"/>
      <c r="P359" s="236"/>
    </row>
    <row r="360" spans="11:16" ht="18" customHeight="1">
      <c r="K360" s="171" t="s">
        <v>78</v>
      </c>
      <c r="L360" s="171"/>
      <c r="M360" s="171"/>
      <c r="P360" s="236"/>
    </row>
    <row r="361" spans="11:16" ht="18" customHeight="1">
      <c r="K361" s="171" t="s">
        <v>78</v>
      </c>
      <c r="L361" s="171"/>
      <c r="M361" s="171"/>
      <c r="P361" s="236"/>
    </row>
    <row r="362" spans="11:16" ht="18" customHeight="1">
      <c r="K362" s="171" t="s">
        <v>78</v>
      </c>
      <c r="L362" s="171"/>
      <c r="M362" s="171"/>
      <c r="P362" s="236"/>
    </row>
    <row r="363" spans="11:16" ht="18" customHeight="1">
      <c r="K363" s="171" t="s">
        <v>78</v>
      </c>
      <c r="L363" s="171"/>
      <c r="M363" s="171"/>
      <c r="P363" s="236"/>
    </row>
    <row r="364" spans="11:16" ht="18" customHeight="1">
      <c r="K364" s="171" t="s">
        <v>78</v>
      </c>
      <c r="L364" s="171"/>
      <c r="M364" s="171"/>
      <c r="P364" s="236"/>
    </row>
    <row r="365" spans="11:16" ht="18" customHeight="1">
      <c r="K365" s="171" t="s">
        <v>78</v>
      </c>
      <c r="L365" s="171"/>
      <c r="M365" s="171"/>
      <c r="P365" s="236"/>
    </row>
    <row r="366" spans="11:16" ht="18" customHeight="1">
      <c r="K366" s="171" t="s">
        <v>78</v>
      </c>
      <c r="L366" s="171"/>
      <c r="M366" s="171"/>
      <c r="P366" s="236"/>
    </row>
    <row r="367" spans="11:16" ht="18" customHeight="1">
      <c r="K367" s="171" t="s">
        <v>78</v>
      </c>
      <c r="L367" s="171"/>
      <c r="M367" s="171"/>
      <c r="P367" s="236"/>
    </row>
    <row r="368" spans="11:16" ht="18" customHeight="1">
      <c r="K368" s="171" t="s">
        <v>78</v>
      </c>
      <c r="L368" s="171"/>
      <c r="M368" s="171"/>
      <c r="P368" s="236"/>
    </row>
    <row r="369" spans="11:16" ht="18" customHeight="1">
      <c r="K369" s="171" t="s">
        <v>78</v>
      </c>
      <c r="L369" s="171"/>
      <c r="M369" s="171"/>
      <c r="P369" s="236"/>
    </row>
    <row r="370" spans="11:16" ht="18" customHeight="1">
      <c r="K370" s="171" t="s">
        <v>78</v>
      </c>
      <c r="L370" s="171"/>
      <c r="M370" s="171"/>
      <c r="P370" s="236"/>
    </row>
    <row r="371" spans="11:16" ht="18" customHeight="1">
      <c r="K371" s="171" t="s">
        <v>78</v>
      </c>
      <c r="L371" s="171"/>
      <c r="M371" s="171"/>
      <c r="P371" s="236"/>
    </row>
    <row r="372" spans="11:16" ht="18" customHeight="1">
      <c r="K372" s="171" t="s">
        <v>78</v>
      </c>
      <c r="L372" s="171"/>
      <c r="M372" s="171"/>
      <c r="P372" s="236"/>
    </row>
    <row r="373" spans="11:16" ht="18" customHeight="1">
      <c r="K373" s="171" t="s">
        <v>78</v>
      </c>
      <c r="L373" s="171"/>
      <c r="M373" s="171"/>
      <c r="P373" s="236"/>
    </row>
    <row r="374" spans="11:16" ht="18" customHeight="1">
      <c r="K374" s="171" t="s">
        <v>78</v>
      </c>
      <c r="L374" s="171"/>
      <c r="M374" s="171"/>
      <c r="P374" s="236"/>
    </row>
    <row r="375" spans="11:16" ht="18" customHeight="1">
      <c r="K375" s="171" t="s">
        <v>78</v>
      </c>
      <c r="L375" s="171"/>
      <c r="M375" s="171"/>
      <c r="P375" s="236"/>
    </row>
    <row r="376" spans="11:16" ht="18" customHeight="1">
      <c r="K376" s="171" t="s">
        <v>78</v>
      </c>
      <c r="L376" s="171"/>
      <c r="M376" s="171"/>
      <c r="P376" s="236"/>
    </row>
    <row r="377" spans="11:16" ht="18" customHeight="1">
      <c r="K377" s="171" t="s">
        <v>78</v>
      </c>
      <c r="L377" s="171"/>
      <c r="M377" s="171"/>
      <c r="P377" s="236"/>
    </row>
    <row r="378" spans="11:16" ht="18" customHeight="1">
      <c r="K378" s="171" t="s">
        <v>78</v>
      </c>
      <c r="L378" s="171"/>
      <c r="M378" s="171"/>
      <c r="P378" s="236"/>
    </row>
    <row r="379" spans="11:16" ht="18" customHeight="1">
      <c r="K379" s="171" t="s">
        <v>78</v>
      </c>
      <c r="L379" s="171"/>
      <c r="M379" s="171"/>
      <c r="P379" s="236"/>
    </row>
    <row r="380" spans="11:16" ht="18" customHeight="1">
      <c r="K380" s="171" t="s">
        <v>78</v>
      </c>
      <c r="L380" s="171"/>
      <c r="M380" s="171"/>
      <c r="P380" s="236"/>
    </row>
    <row r="381" spans="11:16" ht="18" customHeight="1">
      <c r="K381" s="171" t="s">
        <v>78</v>
      </c>
      <c r="L381" s="171"/>
      <c r="M381" s="171"/>
      <c r="P381" s="236"/>
    </row>
    <row r="382" spans="11:16" ht="18" customHeight="1">
      <c r="K382" s="171" t="s">
        <v>78</v>
      </c>
      <c r="L382" s="171"/>
      <c r="M382" s="171"/>
      <c r="P382" s="236"/>
    </row>
    <row r="383" spans="11:16" ht="18" customHeight="1">
      <c r="K383" s="171" t="s">
        <v>78</v>
      </c>
      <c r="L383" s="171"/>
      <c r="M383" s="171"/>
      <c r="P383" s="236"/>
    </row>
    <row r="384" spans="11:16" ht="18" customHeight="1">
      <c r="K384" s="171" t="s">
        <v>78</v>
      </c>
      <c r="L384" s="171"/>
      <c r="M384" s="171"/>
      <c r="P384" s="236"/>
    </row>
    <row r="385" spans="11:16" ht="18" customHeight="1">
      <c r="K385" s="171" t="s">
        <v>78</v>
      </c>
      <c r="L385" s="171"/>
      <c r="M385" s="171"/>
      <c r="P385" s="236"/>
    </row>
    <row r="386" spans="11:16" ht="18" customHeight="1">
      <c r="K386" s="171" t="s">
        <v>78</v>
      </c>
      <c r="L386" s="171"/>
      <c r="M386" s="171"/>
      <c r="P386" s="236"/>
    </row>
    <row r="387" spans="11:16" ht="18" customHeight="1">
      <c r="K387" s="171" t="s">
        <v>78</v>
      </c>
      <c r="L387" s="171"/>
      <c r="M387" s="171"/>
      <c r="P387" s="236"/>
    </row>
    <row r="388" spans="11:16" ht="18" customHeight="1">
      <c r="K388" s="171" t="s">
        <v>78</v>
      </c>
      <c r="L388" s="171"/>
      <c r="M388" s="171"/>
      <c r="P388" s="236"/>
    </row>
    <row r="389" spans="11:16" ht="18" customHeight="1">
      <c r="K389" s="171" t="s">
        <v>78</v>
      </c>
      <c r="L389" s="171"/>
      <c r="M389" s="171"/>
      <c r="P389" s="236"/>
    </row>
    <row r="390" spans="11:16" ht="18" customHeight="1">
      <c r="K390" s="171" t="s">
        <v>78</v>
      </c>
      <c r="L390" s="171"/>
      <c r="M390" s="171"/>
      <c r="P390" s="236"/>
    </row>
    <row r="391" spans="11:16" ht="18" customHeight="1">
      <c r="K391" s="171" t="s">
        <v>78</v>
      </c>
      <c r="L391" s="171"/>
      <c r="M391" s="171"/>
      <c r="P391" s="236"/>
    </row>
    <row r="392" spans="11:16" ht="18" customHeight="1">
      <c r="K392" s="171" t="s">
        <v>78</v>
      </c>
      <c r="L392" s="171"/>
      <c r="M392" s="171"/>
      <c r="P392" s="236"/>
    </row>
    <row r="393" spans="11:16" ht="18" customHeight="1">
      <c r="K393" s="171" t="s">
        <v>78</v>
      </c>
      <c r="L393" s="171"/>
      <c r="M393" s="171"/>
      <c r="P393" s="236"/>
    </row>
    <row r="394" spans="11:16" ht="18" customHeight="1">
      <c r="K394" s="171" t="s">
        <v>78</v>
      </c>
      <c r="L394" s="171"/>
      <c r="M394" s="171"/>
      <c r="P394" s="236"/>
    </row>
    <row r="395" spans="11:16" ht="18" customHeight="1">
      <c r="K395" s="171" t="s">
        <v>78</v>
      </c>
      <c r="L395" s="171"/>
      <c r="M395" s="171"/>
      <c r="P395" s="236"/>
    </row>
    <row r="396" spans="11:16" ht="18" customHeight="1">
      <c r="K396" s="171" t="s">
        <v>78</v>
      </c>
      <c r="L396" s="171"/>
      <c r="M396" s="171"/>
      <c r="P396" s="236"/>
    </row>
    <row r="397" spans="11:16" ht="18" customHeight="1">
      <c r="K397" s="171" t="s">
        <v>78</v>
      </c>
      <c r="L397" s="171"/>
      <c r="M397" s="171"/>
      <c r="P397" s="236"/>
    </row>
    <row r="398" spans="11:16" ht="18" customHeight="1">
      <c r="K398" s="171" t="s">
        <v>78</v>
      </c>
      <c r="L398" s="171"/>
      <c r="M398" s="171"/>
      <c r="P398" s="236"/>
    </row>
    <row r="399" spans="11:16" ht="18" customHeight="1">
      <c r="K399" s="171" t="s">
        <v>78</v>
      </c>
      <c r="L399" s="171"/>
      <c r="M399" s="171"/>
      <c r="P399" s="236"/>
    </row>
    <row r="400" spans="11:16" ht="18" customHeight="1">
      <c r="K400" s="171" t="s">
        <v>78</v>
      </c>
      <c r="L400" s="171"/>
      <c r="M400" s="171"/>
      <c r="P400" s="236"/>
    </row>
    <row r="401" spans="11:16" ht="18" customHeight="1">
      <c r="K401" s="171" t="s">
        <v>78</v>
      </c>
      <c r="L401" s="171"/>
      <c r="M401" s="171"/>
      <c r="P401" s="236"/>
    </row>
    <row r="402" spans="11:16" ht="18" customHeight="1">
      <c r="K402" s="171" t="s">
        <v>78</v>
      </c>
      <c r="L402" s="171"/>
      <c r="M402" s="171"/>
      <c r="P402" s="236"/>
    </row>
    <row r="403" spans="11:16" ht="18" customHeight="1">
      <c r="K403" s="171" t="s">
        <v>78</v>
      </c>
      <c r="L403" s="171"/>
      <c r="M403" s="171"/>
      <c r="P403" s="236"/>
    </row>
    <row r="404" spans="11:16" ht="18" customHeight="1">
      <c r="K404" s="171" t="s">
        <v>78</v>
      </c>
      <c r="L404" s="171"/>
      <c r="M404" s="171"/>
      <c r="P404" s="236"/>
    </row>
    <row r="405" spans="11:16" ht="18" customHeight="1">
      <c r="K405" s="171" t="s">
        <v>78</v>
      </c>
      <c r="L405" s="171"/>
      <c r="M405" s="171"/>
      <c r="P405" s="236"/>
    </row>
    <row r="406" spans="11:16" ht="18" customHeight="1">
      <c r="K406" s="171" t="s">
        <v>78</v>
      </c>
      <c r="L406" s="171"/>
      <c r="M406" s="171"/>
      <c r="P406" s="236"/>
    </row>
    <row r="407" spans="11:16" ht="18" customHeight="1">
      <c r="K407" s="171" t="s">
        <v>78</v>
      </c>
      <c r="L407" s="171"/>
      <c r="M407" s="171"/>
      <c r="P407" s="236"/>
    </row>
    <row r="408" spans="11:16" ht="18" customHeight="1">
      <c r="K408" s="171" t="s">
        <v>78</v>
      </c>
      <c r="L408" s="171"/>
      <c r="M408" s="171"/>
      <c r="P408" s="236"/>
    </row>
    <row r="409" spans="11:16" ht="18" customHeight="1">
      <c r="K409" s="171" t="s">
        <v>78</v>
      </c>
      <c r="L409" s="171"/>
      <c r="M409" s="171"/>
      <c r="P409" s="236"/>
    </row>
    <row r="410" spans="11:16" ht="18" customHeight="1">
      <c r="K410" s="171" t="s">
        <v>78</v>
      </c>
      <c r="L410" s="171"/>
      <c r="M410" s="171"/>
      <c r="P410" s="236"/>
    </row>
    <row r="411" spans="11:16" ht="18" customHeight="1">
      <c r="K411" s="171" t="s">
        <v>78</v>
      </c>
      <c r="L411" s="171"/>
      <c r="M411" s="171"/>
      <c r="P411" s="236"/>
    </row>
    <row r="412" spans="11:16" ht="18" customHeight="1">
      <c r="K412" s="171" t="s">
        <v>78</v>
      </c>
      <c r="L412" s="171"/>
      <c r="M412" s="171"/>
      <c r="P412" s="236"/>
    </row>
    <row r="413" spans="11:16" ht="18" customHeight="1">
      <c r="K413" s="171" t="s">
        <v>78</v>
      </c>
      <c r="L413" s="171"/>
      <c r="M413" s="171"/>
      <c r="P413" s="236"/>
    </row>
    <row r="414" spans="11:16" ht="18" customHeight="1">
      <c r="K414" s="171" t="s">
        <v>78</v>
      </c>
      <c r="L414" s="171"/>
      <c r="M414" s="171"/>
      <c r="P414" s="236"/>
    </row>
    <row r="415" spans="11:16" ht="18" customHeight="1">
      <c r="K415" s="171" t="s">
        <v>78</v>
      </c>
      <c r="L415" s="171"/>
      <c r="M415" s="171"/>
      <c r="P415" s="236"/>
    </row>
    <row r="416" spans="11:16" ht="18" customHeight="1">
      <c r="K416" s="171" t="s">
        <v>78</v>
      </c>
      <c r="L416" s="171"/>
      <c r="M416" s="171"/>
      <c r="P416" s="236"/>
    </row>
    <row r="417" spans="11:16" ht="18" customHeight="1">
      <c r="K417" s="171" t="s">
        <v>78</v>
      </c>
      <c r="L417" s="171"/>
      <c r="M417" s="171"/>
      <c r="P417" s="236"/>
    </row>
    <row r="418" spans="11:16" ht="18" customHeight="1">
      <c r="K418" s="171" t="s">
        <v>78</v>
      </c>
      <c r="L418" s="171"/>
      <c r="M418" s="171"/>
      <c r="P418" s="236"/>
    </row>
    <row r="419" spans="11:16" ht="18" customHeight="1">
      <c r="K419" s="171" t="s">
        <v>78</v>
      </c>
      <c r="L419" s="171"/>
      <c r="M419" s="171"/>
      <c r="P419" s="236"/>
    </row>
    <row r="420" spans="11:16" ht="18" customHeight="1">
      <c r="K420" s="171" t="s">
        <v>78</v>
      </c>
      <c r="L420" s="171"/>
      <c r="M420" s="171"/>
      <c r="P420" s="236"/>
    </row>
    <row r="421" spans="11:16" ht="18" customHeight="1">
      <c r="K421" s="171" t="s">
        <v>78</v>
      </c>
      <c r="L421" s="171"/>
      <c r="M421" s="171"/>
      <c r="P421" s="236"/>
    </row>
    <row r="422" spans="11:16" ht="18" customHeight="1">
      <c r="K422" s="171" t="s">
        <v>78</v>
      </c>
      <c r="L422" s="171"/>
      <c r="M422" s="171"/>
      <c r="P422" s="236"/>
    </row>
    <row r="423" spans="11:16" ht="18" customHeight="1">
      <c r="K423" s="171" t="s">
        <v>78</v>
      </c>
      <c r="L423" s="171"/>
      <c r="M423" s="171"/>
      <c r="P423" s="236"/>
    </row>
    <row r="424" spans="11:16" ht="18" customHeight="1">
      <c r="K424" s="171" t="s">
        <v>78</v>
      </c>
      <c r="L424" s="171"/>
      <c r="M424" s="171"/>
      <c r="P424" s="236"/>
    </row>
    <row r="425" spans="11:16" ht="18" customHeight="1">
      <c r="K425" s="171" t="s">
        <v>78</v>
      </c>
      <c r="L425" s="171"/>
      <c r="M425" s="171"/>
      <c r="P425" s="236"/>
    </row>
    <row r="426" spans="11:16" ht="18" customHeight="1">
      <c r="K426" s="171" t="s">
        <v>78</v>
      </c>
      <c r="L426" s="171"/>
      <c r="M426" s="171"/>
      <c r="P426" s="236"/>
    </row>
    <row r="427" spans="11:16" ht="18" customHeight="1">
      <c r="K427" s="171" t="s">
        <v>78</v>
      </c>
      <c r="L427" s="171"/>
      <c r="M427" s="171"/>
      <c r="P427" s="236"/>
    </row>
    <row r="428" spans="11:16" ht="18" customHeight="1">
      <c r="K428" s="171" t="s">
        <v>78</v>
      </c>
      <c r="L428" s="171"/>
      <c r="M428" s="171"/>
      <c r="P428" s="236"/>
    </row>
    <row r="429" spans="11:16" ht="18" customHeight="1">
      <c r="K429" s="171" t="s">
        <v>78</v>
      </c>
      <c r="L429" s="171"/>
      <c r="M429" s="171"/>
      <c r="P429" s="236"/>
    </row>
    <row r="430" spans="11:16" ht="18" customHeight="1">
      <c r="K430" s="171" t="s">
        <v>78</v>
      </c>
      <c r="L430" s="171"/>
      <c r="M430" s="171"/>
      <c r="P430" s="236"/>
    </row>
    <row r="431" spans="11:16" ht="18" customHeight="1">
      <c r="K431" s="171" t="s">
        <v>78</v>
      </c>
      <c r="L431" s="171"/>
      <c r="M431" s="171"/>
      <c r="P431" s="236"/>
    </row>
    <row r="432" spans="11:16" ht="18" customHeight="1">
      <c r="K432" s="171" t="s">
        <v>78</v>
      </c>
      <c r="L432" s="171"/>
      <c r="M432" s="171"/>
      <c r="P432" s="236"/>
    </row>
    <row r="433" spans="11:16" ht="18" customHeight="1">
      <c r="K433" s="171" t="s">
        <v>78</v>
      </c>
      <c r="L433" s="171"/>
      <c r="M433" s="171"/>
      <c r="P433" s="236"/>
    </row>
    <row r="434" spans="11:16" ht="18" customHeight="1">
      <c r="K434" s="171" t="s">
        <v>78</v>
      </c>
      <c r="L434" s="171"/>
      <c r="M434" s="171"/>
      <c r="P434" s="236"/>
    </row>
    <row r="435" spans="11:16" ht="18" customHeight="1">
      <c r="K435" s="171" t="s">
        <v>78</v>
      </c>
      <c r="L435" s="171"/>
      <c r="M435" s="171"/>
      <c r="P435" s="236"/>
    </row>
    <row r="436" spans="11:16" ht="18" customHeight="1">
      <c r="K436" s="171" t="s">
        <v>78</v>
      </c>
      <c r="L436" s="171"/>
      <c r="M436" s="171"/>
      <c r="P436" s="236"/>
    </row>
    <row r="437" spans="11:16" ht="18" customHeight="1">
      <c r="K437" s="171" t="s">
        <v>78</v>
      </c>
      <c r="L437" s="171"/>
      <c r="M437" s="171"/>
      <c r="P437" s="236"/>
    </row>
    <row r="438" spans="11:16" ht="18" customHeight="1">
      <c r="K438" s="171" t="s">
        <v>78</v>
      </c>
      <c r="L438" s="171"/>
      <c r="M438" s="171"/>
      <c r="P438" s="236"/>
    </row>
    <row r="439" spans="11:16" ht="18" customHeight="1">
      <c r="K439" s="171" t="s">
        <v>78</v>
      </c>
      <c r="L439" s="171"/>
      <c r="M439" s="171"/>
      <c r="P439" s="236"/>
    </row>
    <row r="440" spans="11:16" ht="18" customHeight="1">
      <c r="K440" s="171" t="s">
        <v>78</v>
      </c>
      <c r="L440" s="171"/>
      <c r="M440" s="171"/>
      <c r="P440" s="236"/>
    </row>
    <row r="441" spans="11:16" ht="18" customHeight="1">
      <c r="K441" s="171" t="s">
        <v>78</v>
      </c>
      <c r="L441" s="171"/>
      <c r="M441" s="171"/>
      <c r="P441" s="236"/>
    </row>
    <row r="442" spans="11:16" ht="18" customHeight="1">
      <c r="K442" s="171" t="s">
        <v>78</v>
      </c>
      <c r="L442" s="171"/>
      <c r="M442" s="171"/>
      <c r="P442" s="236"/>
    </row>
    <row r="443" spans="11:16" ht="18" customHeight="1">
      <c r="K443" s="171" t="s">
        <v>78</v>
      </c>
      <c r="L443" s="171"/>
      <c r="M443" s="171"/>
      <c r="P443" s="236"/>
    </row>
    <row r="444" spans="11:16" ht="18" customHeight="1">
      <c r="K444" s="171" t="s">
        <v>78</v>
      </c>
      <c r="L444" s="171"/>
      <c r="M444" s="171"/>
      <c r="P444" s="236"/>
    </row>
    <row r="445" spans="11:16" ht="18" customHeight="1">
      <c r="K445" s="171" t="s">
        <v>78</v>
      </c>
      <c r="L445" s="171"/>
      <c r="M445" s="171"/>
      <c r="P445" s="236"/>
    </row>
    <row r="446" spans="11:16" ht="18" customHeight="1">
      <c r="K446" s="171" t="s">
        <v>78</v>
      </c>
      <c r="L446" s="171"/>
      <c r="M446" s="171"/>
      <c r="P446" s="236"/>
    </row>
    <row r="447" spans="11:16" ht="18" customHeight="1">
      <c r="K447" s="171" t="s">
        <v>78</v>
      </c>
      <c r="L447" s="171"/>
      <c r="M447" s="171"/>
      <c r="P447" s="236"/>
    </row>
    <row r="448" spans="11:16" ht="18" customHeight="1">
      <c r="K448" s="171" t="s">
        <v>78</v>
      </c>
      <c r="L448" s="171"/>
      <c r="M448" s="171"/>
      <c r="P448" s="236"/>
    </row>
    <row r="449" spans="11:16" ht="18" customHeight="1">
      <c r="K449" s="171" t="s">
        <v>78</v>
      </c>
      <c r="L449" s="171"/>
      <c r="M449" s="171"/>
      <c r="P449" s="236"/>
    </row>
    <row r="450" spans="11:16" ht="18" customHeight="1">
      <c r="K450" s="171" t="s">
        <v>78</v>
      </c>
      <c r="L450" s="171"/>
      <c r="M450" s="171"/>
      <c r="P450" s="236"/>
    </row>
    <row r="451" spans="11:16" ht="18" customHeight="1">
      <c r="K451" s="171" t="s">
        <v>78</v>
      </c>
      <c r="L451" s="171"/>
      <c r="M451" s="171"/>
      <c r="P451" s="236"/>
    </row>
    <row r="452" spans="11:16" ht="18" customHeight="1">
      <c r="K452" s="171" t="s">
        <v>78</v>
      </c>
      <c r="L452" s="171"/>
      <c r="M452" s="171"/>
      <c r="P452" s="236"/>
    </row>
    <row r="453" spans="11:16" ht="18" customHeight="1">
      <c r="K453" s="171" t="s">
        <v>78</v>
      </c>
      <c r="L453" s="171"/>
      <c r="M453" s="171"/>
      <c r="P453" s="236"/>
    </row>
    <row r="454" spans="11:16" ht="18" customHeight="1">
      <c r="K454" s="171" t="s">
        <v>78</v>
      </c>
      <c r="L454" s="171"/>
      <c r="M454" s="171"/>
      <c r="P454" s="236"/>
    </row>
    <row r="455" spans="11:16" ht="18" customHeight="1">
      <c r="K455" s="171" t="s">
        <v>78</v>
      </c>
      <c r="L455" s="171"/>
      <c r="M455" s="171"/>
      <c r="P455" s="236"/>
    </row>
    <row r="456" spans="11:16" ht="18" customHeight="1">
      <c r="K456" s="171" t="s">
        <v>78</v>
      </c>
      <c r="L456" s="171"/>
      <c r="M456" s="171"/>
      <c r="P456" s="236"/>
    </row>
    <row r="457" spans="11:16" ht="18" customHeight="1">
      <c r="K457" s="171" t="s">
        <v>78</v>
      </c>
      <c r="L457" s="171"/>
      <c r="M457" s="171"/>
      <c r="P457" s="236"/>
    </row>
    <row r="458" spans="11:16" ht="18" customHeight="1">
      <c r="K458" s="171" t="s">
        <v>78</v>
      </c>
      <c r="L458" s="171"/>
      <c r="M458" s="171"/>
      <c r="P458" s="236"/>
    </row>
    <row r="459" spans="11:16" ht="18" customHeight="1">
      <c r="K459" s="171" t="s">
        <v>78</v>
      </c>
      <c r="L459" s="171"/>
      <c r="M459" s="171"/>
      <c r="P459" s="236"/>
    </row>
    <row r="460" spans="11:16" ht="18" customHeight="1">
      <c r="K460" s="171" t="s">
        <v>78</v>
      </c>
      <c r="L460" s="171"/>
      <c r="M460" s="171"/>
      <c r="P460" s="236"/>
    </row>
    <row r="461" spans="11:16" ht="18" customHeight="1">
      <c r="K461" s="171" t="s">
        <v>78</v>
      </c>
      <c r="L461" s="171"/>
      <c r="M461" s="171"/>
      <c r="P461" s="236"/>
    </row>
    <row r="462" spans="11:16" ht="18" customHeight="1">
      <c r="K462" s="171" t="s">
        <v>78</v>
      </c>
      <c r="L462" s="171"/>
      <c r="M462" s="171"/>
      <c r="P462" s="236"/>
    </row>
    <row r="463" spans="11:16" ht="18" customHeight="1">
      <c r="K463" s="171" t="s">
        <v>78</v>
      </c>
      <c r="L463" s="171"/>
      <c r="M463" s="171"/>
      <c r="P463" s="236"/>
    </row>
    <row r="464" spans="11:16" ht="18" customHeight="1">
      <c r="K464" s="171" t="s">
        <v>78</v>
      </c>
      <c r="L464" s="171"/>
      <c r="M464" s="171"/>
      <c r="P464" s="236"/>
    </row>
    <row r="465" spans="11:16" ht="18" customHeight="1">
      <c r="K465" s="171" t="s">
        <v>78</v>
      </c>
      <c r="L465" s="171"/>
      <c r="M465" s="171"/>
      <c r="P465" s="236"/>
    </row>
    <row r="466" spans="11:16" ht="18" customHeight="1">
      <c r="K466" s="171" t="s">
        <v>78</v>
      </c>
      <c r="L466" s="171"/>
      <c r="M466" s="171"/>
      <c r="P466" s="236"/>
    </row>
    <row r="467" spans="11:16" ht="18" customHeight="1">
      <c r="K467" s="171" t="s">
        <v>78</v>
      </c>
      <c r="L467" s="171"/>
      <c r="M467" s="171"/>
      <c r="P467" s="236"/>
    </row>
    <row r="468" spans="11:16" ht="18" customHeight="1">
      <c r="K468" s="171" t="s">
        <v>78</v>
      </c>
      <c r="L468" s="171"/>
      <c r="M468" s="171"/>
      <c r="P468" s="236"/>
    </row>
    <row r="469" spans="11:16" ht="18" customHeight="1">
      <c r="K469" s="171" t="s">
        <v>78</v>
      </c>
      <c r="L469" s="171"/>
      <c r="M469" s="171"/>
      <c r="P469" s="236"/>
    </row>
    <row r="470" spans="11:16" ht="18" customHeight="1">
      <c r="K470" s="171" t="s">
        <v>78</v>
      </c>
      <c r="L470" s="171"/>
      <c r="M470" s="171"/>
      <c r="P470" s="236"/>
    </row>
    <row r="471" spans="11:16" ht="18" customHeight="1">
      <c r="K471" s="171" t="s">
        <v>78</v>
      </c>
      <c r="L471" s="171"/>
      <c r="M471" s="171"/>
      <c r="P471" s="236"/>
    </row>
    <row r="472" spans="11:16" ht="18" customHeight="1">
      <c r="K472" s="171" t="s">
        <v>78</v>
      </c>
      <c r="L472" s="171"/>
      <c r="M472" s="171"/>
      <c r="P472" s="236"/>
    </row>
    <row r="473" spans="11:16" ht="18" customHeight="1">
      <c r="K473" s="171" t="s">
        <v>78</v>
      </c>
      <c r="L473" s="171"/>
      <c r="M473" s="171"/>
      <c r="P473" s="236"/>
    </row>
    <row r="474" spans="11:16" ht="18" customHeight="1">
      <c r="K474" s="171" t="s">
        <v>78</v>
      </c>
      <c r="L474" s="171"/>
      <c r="M474" s="171"/>
      <c r="P474" s="236"/>
    </row>
    <row r="475" spans="11:16" ht="18" customHeight="1">
      <c r="K475" s="171" t="s">
        <v>78</v>
      </c>
      <c r="L475" s="171"/>
      <c r="M475" s="171"/>
      <c r="P475" s="236"/>
    </row>
    <row r="476" spans="11:16" ht="18" customHeight="1">
      <c r="K476" s="171" t="s">
        <v>78</v>
      </c>
      <c r="L476" s="171"/>
      <c r="M476" s="171"/>
      <c r="P476" s="236"/>
    </row>
    <row r="477" spans="11:16" ht="18" customHeight="1">
      <c r="K477" s="171" t="s">
        <v>78</v>
      </c>
      <c r="L477" s="171"/>
      <c r="M477" s="171"/>
      <c r="P477" s="236"/>
    </row>
    <row r="478" spans="11:16" ht="18" customHeight="1">
      <c r="K478" s="171" t="s">
        <v>78</v>
      </c>
      <c r="L478" s="171"/>
      <c r="M478" s="171"/>
      <c r="P478" s="236"/>
    </row>
    <row r="479" spans="11:16" ht="18" customHeight="1">
      <c r="K479" s="171" t="s">
        <v>78</v>
      </c>
      <c r="L479" s="171"/>
      <c r="M479" s="171"/>
      <c r="P479" s="236"/>
    </row>
    <row r="480" spans="11:16" ht="18" customHeight="1">
      <c r="K480" s="171" t="s">
        <v>78</v>
      </c>
      <c r="L480" s="171"/>
      <c r="M480" s="171"/>
      <c r="P480" s="236"/>
    </row>
    <row r="481" spans="11:16" ht="18" customHeight="1">
      <c r="K481" s="171" t="s">
        <v>78</v>
      </c>
      <c r="L481" s="171"/>
      <c r="M481" s="171"/>
      <c r="P481" s="236"/>
    </row>
    <row r="482" spans="11:16" ht="18" customHeight="1">
      <c r="K482" s="171" t="s">
        <v>78</v>
      </c>
      <c r="L482" s="171"/>
      <c r="M482" s="171"/>
      <c r="P482" s="236"/>
    </row>
    <row r="483" spans="11:16" ht="18" customHeight="1">
      <c r="K483" s="171" t="s">
        <v>78</v>
      </c>
      <c r="L483" s="171"/>
      <c r="M483" s="171"/>
      <c r="P483" s="236"/>
    </row>
    <row r="484" spans="11:16" ht="18" customHeight="1">
      <c r="K484" s="171" t="s">
        <v>78</v>
      </c>
      <c r="L484" s="171"/>
      <c r="M484" s="171"/>
      <c r="P484" s="236"/>
    </row>
    <row r="485" spans="11:16" ht="18" customHeight="1">
      <c r="K485" s="171" t="s">
        <v>78</v>
      </c>
      <c r="L485" s="171"/>
      <c r="M485" s="171"/>
      <c r="P485" s="236"/>
    </row>
    <row r="486" spans="11:16" ht="18" customHeight="1">
      <c r="K486" s="171" t="s">
        <v>78</v>
      </c>
      <c r="L486" s="171"/>
      <c r="M486" s="171"/>
      <c r="P486" s="236"/>
    </row>
    <row r="487" spans="11:16" ht="18" customHeight="1">
      <c r="K487" s="171" t="s">
        <v>78</v>
      </c>
      <c r="L487" s="171"/>
      <c r="M487" s="171"/>
      <c r="P487" s="236"/>
    </row>
    <row r="488" spans="11:16" ht="18" customHeight="1">
      <c r="K488" s="171" t="s">
        <v>78</v>
      </c>
      <c r="L488" s="171"/>
      <c r="M488" s="171"/>
      <c r="P488" s="236"/>
    </row>
    <row r="489" spans="11:16" ht="18" customHeight="1">
      <c r="K489" s="171" t="s">
        <v>78</v>
      </c>
      <c r="L489" s="171"/>
      <c r="M489" s="171"/>
      <c r="P489" s="236"/>
    </row>
    <row r="490" spans="11:16" ht="18" customHeight="1">
      <c r="K490" s="171" t="s">
        <v>78</v>
      </c>
      <c r="L490" s="171"/>
      <c r="M490" s="171"/>
      <c r="P490" s="236"/>
    </row>
    <row r="491" spans="11:16" ht="18" customHeight="1">
      <c r="K491" s="171" t="s">
        <v>78</v>
      </c>
      <c r="L491" s="171"/>
      <c r="M491" s="171"/>
      <c r="P491" s="236"/>
    </row>
    <row r="492" spans="11:16" ht="18" customHeight="1">
      <c r="K492" s="171" t="s">
        <v>78</v>
      </c>
      <c r="L492" s="171"/>
      <c r="M492" s="171"/>
      <c r="P492" s="236"/>
    </row>
    <row r="493" spans="11:16" ht="18" customHeight="1">
      <c r="K493" s="171" t="s">
        <v>78</v>
      </c>
      <c r="L493" s="171"/>
      <c r="M493" s="171"/>
      <c r="P493" s="236"/>
    </row>
    <row r="494" spans="11:16" ht="18" customHeight="1">
      <c r="K494" s="171" t="s">
        <v>78</v>
      </c>
      <c r="L494" s="171"/>
      <c r="M494" s="171"/>
      <c r="P494" s="236"/>
    </row>
    <row r="495" spans="11:16" ht="18" customHeight="1">
      <c r="K495" s="171" t="s">
        <v>78</v>
      </c>
      <c r="L495" s="171"/>
      <c r="M495" s="171"/>
      <c r="P495" s="236"/>
    </row>
    <row r="496" spans="11:16" ht="18" customHeight="1">
      <c r="K496" s="171" t="s">
        <v>78</v>
      </c>
      <c r="L496" s="171"/>
      <c r="M496" s="171"/>
      <c r="P496" s="236"/>
    </row>
    <row r="497" spans="11:16" ht="18" customHeight="1">
      <c r="K497" s="171" t="s">
        <v>78</v>
      </c>
      <c r="L497" s="171"/>
      <c r="M497" s="171"/>
      <c r="P497" s="236"/>
    </row>
    <row r="498" spans="11:16" ht="18" customHeight="1">
      <c r="K498" s="171" t="s">
        <v>78</v>
      </c>
      <c r="L498" s="171"/>
      <c r="M498" s="171"/>
      <c r="P498" s="236"/>
    </row>
    <row r="499" spans="11:16" ht="18" customHeight="1">
      <c r="K499" s="171" t="s">
        <v>78</v>
      </c>
      <c r="L499" s="171"/>
      <c r="M499" s="171"/>
      <c r="P499" s="236"/>
    </row>
    <row r="500" spans="11:16" ht="18" customHeight="1">
      <c r="K500" s="171" t="s">
        <v>78</v>
      </c>
      <c r="L500" s="171"/>
      <c r="M500" s="171"/>
      <c r="P500" s="236"/>
    </row>
    <row r="501" spans="11:16" ht="18" customHeight="1">
      <c r="K501" s="171" t="s">
        <v>78</v>
      </c>
      <c r="L501" s="171"/>
      <c r="M501" s="171"/>
      <c r="P501" s="236"/>
    </row>
    <row r="502" spans="11:16" ht="18" customHeight="1">
      <c r="K502" s="171" t="s">
        <v>78</v>
      </c>
      <c r="L502" s="171"/>
      <c r="M502" s="171"/>
      <c r="P502" s="236"/>
    </row>
    <row r="503" spans="11:16" ht="18" customHeight="1">
      <c r="K503" s="171" t="s">
        <v>78</v>
      </c>
      <c r="L503" s="171"/>
      <c r="M503" s="171"/>
      <c r="P503" s="236"/>
    </row>
    <row r="504" spans="11:16" ht="18" customHeight="1">
      <c r="K504" s="171" t="s">
        <v>78</v>
      </c>
      <c r="L504" s="171"/>
      <c r="M504" s="171"/>
      <c r="P504" s="236"/>
    </row>
    <row r="505" spans="11:16" ht="18" customHeight="1">
      <c r="K505" s="171" t="s">
        <v>78</v>
      </c>
      <c r="L505" s="171"/>
      <c r="M505" s="171"/>
      <c r="P505" s="236"/>
    </row>
    <row r="506" spans="11:16" ht="18" customHeight="1">
      <c r="K506" s="171" t="s">
        <v>78</v>
      </c>
      <c r="L506" s="171"/>
      <c r="M506" s="171"/>
      <c r="P506" s="236"/>
    </row>
    <row r="507" spans="11:16" ht="18" customHeight="1">
      <c r="K507" s="171" t="s">
        <v>78</v>
      </c>
      <c r="L507" s="171"/>
      <c r="M507" s="171"/>
      <c r="P507" s="236"/>
    </row>
    <row r="508" spans="11:16" ht="18" customHeight="1">
      <c r="K508" s="171" t="s">
        <v>78</v>
      </c>
      <c r="L508" s="171"/>
      <c r="M508" s="171"/>
      <c r="P508" s="236"/>
    </row>
    <row r="509" spans="11:16" ht="18" customHeight="1">
      <c r="K509" s="171" t="s">
        <v>78</v>
      </c>
      <c r="L509" s="171"/>
      <c r="M509" s="171"/>
      <c r="P509" s="236"/>
    </row>
    <row r="510" spans="11:16" ht="18" customHeight="1">
      <c r="K510" s="171" t="s">
        <v>78</v>
      </c>
      <c r="L510" s="171"/>
      <c r="M510" s="171"/>
      <c r="P510" s="236"/>
    </row>
    <row r="511" spans="11:16" ht="18" customHeight="1">
      <c r="K511" s="171" t="s">
        <v>78</v>
      </c>
      <c r="L511" s="171"/>
      <c r="M511" s="171"/>
      <c r="P511" s="236"/>
    </row>
    <row r="512" spans="11:16" ht="18" customHeight="1">
      <c r="K512" s="171" t="s">
        <v>78</v>
      </c>
      <c r="L512" s="171"/>
      <c r="M512" s="171"/>
      <c r="P512" s="236"/>
    </row>
    <row r="513" spans="11:16" ht="18" customHeight="1">
      <c r="K513" s="171" t="s">
        <v>78</v>
      </c>
      <c r="L513" s="171"/>
      <c r="M513" s="171"/>
      <c r="P513" s="236"/>
    </row>
    <row r="514" spans="11:16" ht="18" customHeight="1">
      <c r="K514" s="171" t="s">
        <v>78</v>
      </c>
      <c r="L514" s="171"/>
      <c r="M514" s="171"/>
      <c r="P514" s="236"/>
    </row>
    <row r="515" spans="11:16" ht="18" customHeight="1">
      <c r="K515" s="171" t="s">
        <v>78</v>
      </c>
      <c r="L515" s="171"/>
      <c r="M515" s="171"/>
      <c r="P515" s="236"/>
    </row>
    <row r="516" spans="11:16" ht="18" customHeight="1">
      <c r="K516" s="171" t="s">
        <v>78</v>
      </c>
      <c r="L516" s="171"/>
      <c r="M516" s="171"/>
      <c r="P516" s="236"/>
    </row>
    <row r="517" spans="11:16" ht="18" customHeight="1">
      <c r="K517" s="171" t="s">
        <v>78</v>
      </c>
      <c r="L517" s="171"/>
      <c r="M517" s="171"/>
      <c r="P517" s="236"/>
    </row>
    <row r="518" spans="11:16" ht="18" customHeight="1">
      <c r="K518" s="171" t="s">
        <v>78</v>
      </c>
      <c r="L518" s="171"/>
      <c r="M518" s="171"/>
      <c r="P518" s="236"/>
    </row>
    <row r="519" spans="11:16" ht="18" customHeight="1">
      <c r="K519" s="171" t="s">
        <v>78</v>
      </c>
      <c r="L519" s="171"/>
      <c r="M519" s="171"/>
      <c r="P519" s="236"/>
    </row>
    <row r="520" spans="11:16" ht="18" customHeight="1">
      <c r="K520" s="171" t="s">
        <v>78</v>
      </c>
      <c r="L520" s="171"/>
      <c r="M520" s="171"/>
      <c r="P520" s="236"/>
    </row>
    <row r="521" spans="11:16" ht="18" customHeight="1">
      <c r="K521" s="171" t="s">
        <v>78</v>
      </c>
      <c r="L521" s="171"/>
      <c r="M521" s="171"/>
      <c r="P521" s="236"/>
    </row>
    <row r="522" spans="11:16" ht="18" customHeight="1">
      <c r="K522" s="171" t="s">
        <v>78</v>
      </c>
      <c r="L522" s="171"/>
      <c r="M522" s="171"/>
      <c r="P522" s="236"/>
    </row>
    <row r="523" spans="11:16" ht="18" customHeight="1">
      <c r="K523" s="171" t="s">
        <v>78</v>
      </c>
      <c r="L523" s="171"/>
      <c r="M523" s="171"/>
      <c r="P523" s="236"/>
    </row>
    <row r="524" spans="11:16" ht="18" customHeight="1">
      <c r="K524" s="171" t="s">
        <v>78</v>
      </c>
      <c r="L524" s="171"/>
      <c r="M524" s="171"/>
      <c r="P524" s="236"/>
    </row>
    <row r="525" spans="11:16" ht="18" customHeight="1">
      <c r="K525" s="171" t="s">
        <v>78</v>
      </c>
      <c r="L525" s="171"/>
      <c r="M525" s="171"/>
      <c r="P525" s="236"/>
    </row>
    <row r="526" spans="11:16" ht="18" customHeight="1">
      <c r="K526" s="171" t="s">
        <v>78</v>
      </c>
      <c r="L526" s="171"/>
      <c r="M526" s="171"/>
      <c r="P526" s="236"/>
    </row>
    <row r="527" spans="11:16" ht="18" customHeight="1">
      <c r="K527" s="171" t="s">
        <v>78</v>
      </c>
      <c r="L527" s="171"/>
      <c r="M527" s="171"/>
      <c r="P527" s="236"/>
    </row>
    <row r="528" spans="11:16" ht="18" customHeight="1">
      <c r="K528" s="171" t="s">
        <v>78</v>
      </c>
      <c r="L528" s="171"/>
      <c r="M528" s="171"/>
      <c r="P528" s="236"/>
    </row>
    <row r="529" spans="11:16" ht="18" customHeight="1">
      <c r="K529" s="171" t="s">
        <v>78</v>
      </c>
      <c r="L529" s="171"/>
      <c r="M529" s="171"/>
      <c r="P529" s="236"/>
    </row>
    <row r="530" spans="11:16" ht="18" customHeight="1">
      <c r="K530" s="171" t="s">
        <v>78</v>
      </c>
      <c r="L530" s="171"/>
      <c r="M530" s="171"/>
      <c r="P530" s="236"/>
    </row>
    <row r="531" spans="11:16" ht="18" customHeight="1">
      <c r="K531" s="171" t="s">
        <v>78</v>
      </c>
      <c r="L531" s="171"/>
      <c r="M531" s="171"/>
      <c r="P531" s="236"/>
    </row>
    <row r="532" spans="11:16" ht="18" customHeight="1">
      <c r="K532" s="171" t="s">
        <v>78</v>
      </c>
      <c r="L532" s="171"/>
      <c r="M532" s="171"/>
      <c r="P532" s="236"/>
    </row>
    <row r="533" spans="11:16" ht="18" customHeight="1">
      <c r="K533" s="171" t="s">
        <v>78</v>
      </c>
      <c r="L533" s="171"/>
      <c r="M533" s="171"/>
      <c r="P533" s="236"/>
    </row>
    <row r="534" spans="11:16" ht="18" customHeight="1">
      <c r="K534" s="171" t="s">
        <v>78</v>
      </c>
      <c r="L534" s="171"/>
      <c r="M534" s="171"/>
      <c r="P534" s="236"/>
    </row>
    <row r="535" spans="11:16" ht="18" customHeight="1">
      <c r="K535" s="171" t="s">
        <v>78</v>
      </c>
      <c r="L535" s="171"/>
      <c r="M535" s="171"/>
      <c r="P535" s="236"/>
    </row>
    <row r="536" spans="11:16" ht="18" customHeight="1">
      <c r="K536" s="171" t="s">
        <v>78</v>
      </c>
      <c r="L536" s="171"/>
      <c r="M536" s="171"/>
      <c r="P536" s="236"/>
    </row>
    <row r="537" spans="11:16" ht="18" customHeight="1">
      <c r="K537" s="171" t="s">
        <v>78</v>
      </c>
      <c r="L537" s="171"/>
      <c r="M537" s="171"/>
      <c r="P537" s="236"/>
    </row>
    <row r="538" spans="11:16" ht="18" customHeight="1">
      <c r="K538" s="171" t="s">
        <v>78</v>
      </c>
      <c r="L538" s="171"/>
      <c r="M538" s="171"/>
      <c r="P538" s="236"/>
    </row>
    <row r="539" spans="11:16" ht="18" customHeight="1">
      <c r="K539" s="171" t="s">
        <v>78</v>
      </c>
      <c r="L539" s="171"/>
      <c r="M539" s="171"/>
      <c r="P539" s="236"/>
    </row>
    <row r="540" spans="11:16" ht="18" customHeight="1">
      <c r="K540" s="171" t="s">
        <v>78</v>
      </c>
      <c r="L540" s="171"/>
      <c r="M540" s="171"/>
      <c r="P540" s="236"/>
    </row>
    <row r="541" spans="11:16" ht="18" customHeight="1">
      <c r="K541" s="171" t="s">
        <v>78</v>
      </c>
      <c r="L541" s="171"/>
      <c r="M541" s="171"/>
      <c r="P541" s="236"/>
    </row>
    <row r="542" spans="11:16" ht="18" customHeight="1">
      <c r="K542" s="171" t="s">
        <v>78</v>
      </c>
      <c r="L542" s="171"/>
      <c r="M542" s="171"/>
      <c r="P542" s="236"/>
    </row>
    <row r="543" spans="11:16" ht="18" customHeight="1">
      <c r="K543" s="171" t="s">
        <v>78</v>
      </c>
      <c r="L543" s="171"/>
      <c r="M543" s="171"/>
      <c r="P543" s="236"/>
    </row>
    <row r="544" spans="11:16" ht="18" customHeight="1">
      <c r="K544" s="171" t="s">
        <v>78</v>
      </c>
      <c r="L544" s="171"/>
      <c r="M544" s="171"/>
      <c r="P544" s="236"/>
    </row>
    <row r="545" spans="11:16" ht="18" customHeight="1">
      <c r="K545" s="171" t="s">
        <v>78</v>
      </c>
      <c r="L545" s="171"/>
      <c r="M545" s="171"/>
      <c r="P545" s="236"/>
    </row>
    <row r="546" spans="11:16" ht="18" customHeight="1">
      <c r="K546" s="171" t="s">
        <v>78</v>
      </c>
      <c r="L546" s="171"/>
      <c r="M546" s="171"/>
      <c r="P546" s="236"/>
    </row>
    <row r="547" spans="11:16" ht="18" customHeight="1">
      <c r="K547" s="171" t="s">
        <v>78</v>
      </c>
      <c r="L547" s="171"/>
      <c r="M547" s="171"/>
      <c r="P547" s="236"/>
    </row>
    <row r="548" spans="11:16" ht="18" customHeight="1">
      <c r="K548" s="171" t="s">
        <v>78</v>
      </c>
      <c r="L548" s="171"/>
      <c r="M548" s="171"/>
      <c r="P548" s="236"/>
    </row>
    <row r="549" spans="11:16" ht="18" customHeight="1">
      <c r="K549" s="171" t="s">
        <v>78</v>
      </c>
      <c r="L549" s="171"/>
      <c r="M549" s="171"/>
      <c r="P549" s="236"/>
    </row>
    <row r="550" spans="11:16" ht="18" customHeight="1">
      <c r="K550" s="171" t="s">
        <v>78</v>
      </c>
      <c r="L550" s="171"/>
      <c r="M550" s="171"/>
      <c r="P550" s="236"/>
    </row>
    <row r="551" spans="11:16" ht="18" customHeight="1">
      <c r="K551" s="171" t="s">
        <v>78</v>
      </c>
      <c r="L551" s="171"/>
      <c r="M551" s="171"/>
      <c r="P551" s="236"/>
    </row>
    <row r="552" spans="11:16" ht="18" customHeight="1">
      <c r="K552" s="171" t="s">
        <v>78</v>
      </c>
      <c r="L552" s="171"/>
      <c r="M552" s="171"/>
      <c r="P552" s="236"/>
    </row>
    <row r="553" spans="11:16" ht="18" customHeight="1">
      <c r="K553" s="171" t="s">
        <v>78</v>
      </c>
      <c r="L553" s="171"/>
      <c r="M553" s="171"/>
      <c r="P553" s="236"/>
    </row>
    <row r="554" spans="11:16" ht="18" customHeight="1">
      <c r="K554" s="171" t="s">
        <v>78</v>
      </c>
      <c r="L554" s="171"/>
      <c r="M554" s="171"/>
      <c r="P554" s="236"/>
    </row>
    <row r="555" spans="11:16" ht="18" customHeight="1">
      <c r="K555" s="171" t="s">
        <v>78</v>
      </c>
      <c r="L555" s="171"/>
      <c r="M555" s="171"/>
      <c r="P555" s="236"/>
    </row>
    <row r="556" spans="11:16" ht="18" customHeight="1">
      <c r="K556" s="171" t="s">
        <v>78</v>
      </c>
      <c r="L556" s="171"/>
      <c r="M556" s="171"/>
      <c r="P556" s="236"/>
    </row>
    <row r="557" spans="11:16" ht="18" customHeight="1">
      <c r="K557" s="171" t="s">
        <v>78</v>
      </c>
      <c r="L557" s="171"/>
      <c r="M557" s="171"/>
      <c r="P557" s="236"/>
    </row>
    <row r="558" spans="11:16" ht="18" customHeight="1">
      <c r="K558" s="171" t="s">
        <v>78</v>
      </c>
      <c r="L558" s="171"/>
      <c r="M558" s="171"/>
      <c r="P558" s="236"/>
    </row>
    <row r="559" spans="11:16" ht="18" customHeight="1">
      <c r="K559" s="171" t="s">
        <v>78</v>
      </c>
      <c r="L559" s="171"/>
      <c r="M559" s="171"/>
      <c r="P559" s="236"/>
    </row>
    <row r="560" spans="11:16" ht="18" customHeight="1">
      <c r="K560" s="171" t="s">
        <v>78</v>
      </c>
      <c r="L560" s="171"/>
      <c r="M560" s="171"/>
      <c r="P560" s="236"/>
    </row>
    <row r="561" spans="11:16" ht="18" customHeight="1">
      <c r="K561" s="171" t="s">
        <v>78</v>
      </c>
      <c r="L561" s="171"/>
      <c r="M561" s="171"/>
      <c r="P561" s="236"/>
    </row>
    <row r="562" spans="11:16" ht="18" customHeight="1">
      <c r="K562" s="171" t="s">
        <v>78</v>
      </c>
      <c r="L562" s="171"/>
      <c r="M562" s="171"/>
      <c r="P562" s="236"/>
    </row>
    <row r="563" spans="11:16" ht="18" customHeight="1">
      <c r="K563" s="171" t="s">
        <v>78</v>
      </c>
      <c r="L563" s="171"/>
      <c r="M563" s="171"/>
      <c r="P563" s="236"/>
    </row>
    <row r="564" spans="11:16" ht="18" customHeight="1">
      <c r="K564" s="171" t="s">
        <v>78</v>
      </c>
      <c r="L564" s="171"/>
      <c r="M564" s="171"/>
      <c r="P564" s="236"/>
    </row>
    <row r="565" spans="11:16" ht="18" customHeight="1">
      <c r="K565" s="171" t="s">
        <v>78</v>
      </c>
      <c r="L565" s="171"/>
      <c r="M565" s="171"/>
      <c r="P565" s="236"/>
    </row>
    <row r="566" spans="11:16" ht="18" customHeight="1">
      <c r="K566" s="171" t="s">
        <v>78</v>
      </c>
      <c r="L566" s="171"/>
      <c r="M566" s="171"/>
      <c r="P566" s="236"/>
    </row>
    <row r="567" spans="11:16" ht="18" customHeight="1">
      <c r="K567" s="171" t="s">
        <v>78</v>
      </c>
      <c r="L567" s="171"/>
      <c r="M567" s="171"/>
      <c r="P567" s="236"/>
    </row>
    <row r="568" spans="11:16" ht="18" customHeight="1">
      <c r="K568" s="171" t="s">
        <v>78</v>
      </c>
      <c r="L568" s="171"/>
      <c r="M568" s="171"/>
      <c r="P568" s="236"/>
    </row>
    <row r="569" spans="11:16" ht="18" customHeight="1">
      <c r="K569" s="171" t="s">
        <v>78</v>
      </c>
      <c r="L569" s="171"/>
      <c r="M569" s="171"/>
      <c r="P569" s="236"/>
    </row>
    <row r="570" spans="11:16" ht="18" customHeight="1">
      <c r="K570" s="171" t="s">
        <v>78</v>
      </c>
      <c r="L570" s="171"/>
      <c r="M570" s="171"/>
      <c r="P570" s="236"/>
    </row>
    <row r="571" spans="11:16" ht="18" customHeight="1">
      <c r="K571" s="171" t="s">
        <v>78</v>
      </c>
      <c r="L571" s="171"/>
      <c r="M571" s="171"/>
      <c r="P571" s="236"/>
    </row>
    <row r="572" spans="11:16" ht="18" customHeight="1">
      <c r="K572" s="171" t="s">
        <v>78</v>
      </c>
      <c r="L572" s="171"/>
      <c r="M572" s="171"/>
      <c r="P572" s="236"/>
    </row>
    <row r="573" spans="11:16" ht="18" customHeight="1">
      <c r="K573" s="171" t="s">
        <v>78</v>
      </c>
      <c r="L573" s="171"/>
      <c r="M573" s="171"/>
      <c r="P573" s="236"/>
    </row>
    <row r="574" spans="11:16" ht="18" customHeight="1">
      <c r="K574" s="171" t="s">
        <v>78</v>
      </c>
      <c r="L574" s="171"/>
      <c r="M574" s="171"/>
      <c r="P574" s="236"/>
    </row>
    <row r="575" spans="11:16" ht="18" customHeight="1">
      <c r="K575" s="171" t="s">
        <v>78</v>
      </c>
      <c r="L575" s="171"/>
      <c r="M575" s="171"/>
      <c r="P575" s="236"/>
    </row>
    <row r="576" spans="11:16" ht="18" customHeight="1">
      <c r="K576" s="171" t="s">
        <v>78</v>
      </c>
      <c r="L576" s="171"/>
      <c r="M576" s="171"/>
      <c r="P576" s="236"/>
    </row>
    <row r="577" spans="11:16" ht="18" customHeight="1">
      <c r="K577" s="171" t="s">
        <v>78</v>
      </c>
      <c r="L577" s="171"/>
      <c r="M577" s="171"/>
      <c r="P577" s="236"/>
    </row>
    <row r="578" spans="11:16" ht="18" customHeight="1">
      <c r="K578" s="171" t="s">
        <v>78</v>
      </c>
      <c r="L578" s="171"/>
      <c r="M578" s="171"/>
      <c r="P578" s="236"/>
    </row>
    <row r="579" spans="11:16" ht="18" customHeight="1">
      <c r="K579" s="171" t="s">
        <v>78</v>
      </c>
      <c r="L579" s="171"/>
      <c r="M579" s="171"/>
      <c r="P579" s="236"/>
    </row>
    <row r="580" spans="11:16" ht="18" customHeight="1">
      <c r="K580" s="171" t="s">
        <v>78</v>
      </c>
      <c r="L580" s="171"/>
      <c r="M580" s="171"/>
      <c r="P580" s="236"/>
    </row>
    <row r="581" spans="11:16" ht="18" customHeight="1">
      <c r="K581" s="171" t="s">
        <v>78</v>
      </c>
      <c r="L581" s="171"/>
      <c r="M581" s="171"/>
      <c r="P581" s="236"/>
    </row>
    <row r="582" spans="11:16" ht="18" customHeight="1">
      <c r="K582" s="171" t="s">
        <v>78</v>
      </c>
      <c r="L582" s="171"/>
      <c r="M582" s="171"/>
      <c r="P582" s="236"/>
    </row>
    <row r="583" spans="11:16" ht="18" customHeight="1">
      <c r="K583" s="171" t="s">
        <v>78</v>
      </c>
      <c r="L583" s="171"/>
      <c r="M583" s="171"/>
      <c r="P583" s="236"/>
    </row>
    <row r="584" spans="11:16" ht="18" customHeight="1">
      <c r="K584" s="171" t="s">
        <v>78</v>
      </c>
      <c r="L584" s="171"/>
      <c r="M584" s="171"/>
      <c r="P584" s="236"/>
    </row>
    <row r="585" spans="11:16" ht="18" customHeight="1">
      <c r="K585" s="171" t="s">
        <v>78</v>
      </c>
      <c r="L585" s="171"/>
      <c r="M585" s="171"/>
      <c r="P585" s="236"/>
    </row>
    <row r="586" spans="11:16" ht="18" customHeight="1">
      <c r="K586" s="171" t="s">
        <v>78</v>
      </c>
      <c r="L586" s="171"/>
      <c r="M586" s="171"/>
      <c r="P586" s="236"/>
    </row>
    <row r="587" spans="11:16" ht="18" customHeight="1">
      <c r="K587" s="171" t="s">
        <v>78</v>
      </c>
      <c r="L587" s="171"/>
      <c r="M587" s="171"/>
      <c r="P587" s="236"/>
    </row>
    <row r="588" spans="11:16" ht="18" customHeight="1">
      <c r="K588" s="171" t="s">
        <v>78</v>
      </c>
      <c r="L588" s="171"/>
      <c r="M588" s="171"/>
      <c r="P588" s="236"/>
    </row>
    <row r="589" spans="11:16" ht="18" customHeight="1">
      <c r="K589" s="171" t="s">
        <v>78</v>
      </c>
      <c r="L589" s="171"/>
      <c r="M589" s="171"/>
      <c r="P589" s="236"/>
    </row>
    <row r="590" spans="11:16" ht="18" customHeight="1">
      <c r="K590" s="171" t="s">
        <v>78</v>
      </c>
      <c r="L590" s="171"/>
      <c r="M590" s="171"/>
      <c r="P590" s="236"/>
    </row>
    <row r="591" spans="11:16" ht="18" customHeight="1">
      <c r="K591" s="171" t="s">
        <v>78</v>
      </c>
      <c r="L591" s="171"/>
      <c r="M591" s="171"/>
      <c r="P591" s="236"/>
    </row>
    <row r="592" spans="11:16" ht="18" customHeight="1">
      <c r="K592" s="171" t="s">
        <v>78</v>
      </c>
      <c r="L592" s="171"/>
      <c r="M592" s="171"/>
      <c r="P592" s="236"/>
    </row>
    <row r="593" spans="11:16" ht="18" customHeight="1">
      <c r="K593" s="171" t="s">
        <v>78</v>
      </c>
      <c r="L593" s="171"/>
      <c r="M593" s="171"/>
      <c r="P593" s="236"/>
    </row>
    <row r="594" spans="11:16" ht="18" customHeight="1">
      <c r="K594" s="171" t="s">
        <v>78</v>
      </c>
      <c r="L594" s="171"/>
      <c r="M594" s="171"/>
      <c r="P594" s="236"/>
    </row>
    <row r="595" spans="11:16" ht="18" customHeight="1">
      <c r="K595" s="171" t="s">
        <v>78</v>
      </c>
      <c r="L595" s="171"/>
      <c r="M595" s="171"/>
      <c r="P595" s="236"/>
    </row>
    <row r="596" spans="11:16" ht="18" customHeight="1">
      <c r="K596" s="171" t="s">
        <v>78</v>
      </c>
      <c r="L596" s="171"/>
      <c r="M596" s="171"/>
      <c r="P596" s="236"/>
    </row>
    <row r="597" spans="11:16" ht="18" customHeight="1">
      <c r="K597" s="171" t="s">
        <v>78</v>
      </c>
      <c r="L597" s="171"/>
      <c r="M597" s="171"/>
      <c r="P597" s="236"/>
    </row>
    <row r="598" spans="11:16" ht="18" customHeight="1">
      <c r="K598" s="171" t="s">
        <v>78</v>
      </c>
      <c r="L598" s="171"/>
      <c r="M598" s="171"/>
      <c r="P598" s="236"/>
    </row>
    <row r="599" spans="11:16" ht="18" customHeight="1">
      <c r="K599" s="171" t="s">
        <v>78</v>
      </c>
      <c r="L599" s="171"/>
      <c r="M599" s="171"/>
      <c r="P599" s="236"/>
    </row>
    <row r="600" spans="11:16" ht="18" customHeight="1">
      <c r="K600" s="171" t="s">
        <v>78</v>
      </c>
      <c r="L600" s="171"/>
      <c r="M600" s="171"/>
      <c r="P600" s="236"/>
    </row>
    <row r="601" spans="11:16" ht="18" customHeight="1">
      <c r="K601" s="171" t="s">
        <v>78</v>
      </c>
      <c r="L601" s="171"/>
      <c r="M601" s="171"/>
      <c r="P601" s="236"/>
    </row>
    <row r="602" spans="11:16" ht="18" customHeight="1">
      <c r="K602" s="171" t="s">
        <v>78</v>
      </c>
      <c r="L602" s="171"/>
      <c r="M602" s="171"/>
      <c r="P602" s="236"/>
    </row>
    <row r="603" spans="11:16" ht="18" customHeight="1">
      <c r="K603" s="171" t="s">
        <v>78</v>
      </c>
      <c r="L603" s="171"/>
      <c r="M603" s="171"/>
      <c r="P603" s="236"/>
    </row>
    <row r="604" spans="11:16" ht="18" customHeight="1">
      <c r="K604" s="171" t="s">
        <v>78</v>
      </c>
      <c r="L604" s="171"/>
      <c r="M604" s="171"/>
      <c r="P604" s="236"/>
    </row>
    <row r="605" spans="11:16" ht="18" customHeight="1">
      <c r="K605" s="171" t="s">
        <v>78</v>
      </c>
      <c r="L605" s="171"/>
      <c r="M605" s="171"/>
      <c r="P605" s="236"/>
    </row>
    <row r="606" spans="11:16" ht="18" customHeight="1">
      <c r="K606" s="171" t="s">
        <v>78</v>
      </c>
      <c r="L606" s="171"/>
      <c r="M606" s="171"/>
      <c r="P606" s="236"/>
    </row>
    <row r="607" spans="11:16" ht="18" customHeight="1">
      <c r="K607" s="171" t="s">
        <v>78</v>
      </c>
      <c r="L607" s="171"/>
      <c r="M607" s="171"/>
      <c r="P607" s="236"/>
    </row>
    <row r="608" spans="11:16" ht="18" customHeight="1">
      <c r="K608" s="171" t="s">
        <v>78</v>
      </c>
      <c r="L608" s="171"/>
      <c r="M608" s="171"/>
      <c r="P608" s="236"/>
    </row>
    <row r="609" spans="11:16" ht="18" customHeight="1">
      <c r="K609" s="171" t="s">
        <v>78</v>
      </c>
      <c r="L609" s="171"/>
      <c r="M609" s="171"/>
      <c r="P609" s="236"/>
    </row>
    <row r="610" spans="11:16" ht="18" customHeight="1">
      <c r="K610" s="171" t="s">
        <v>78</v>
      </c>
      <c r="L610" s="171"/>
      <c r="M610" s="171"/>
      <c r="P610" s="236"/>
    </row>
    <row r="611" spans="11:16" ht="18" customHeight="1">
      <c r="K611" s="171" t="s">
        <v>78</v>
      </c>
      <c r="L611" s="171"/>
      <c r="M611" s="171"/>
      <c r="P611" s="236"/>
    </row>
    <row r="612" spans="11:16" ht="18" customHeight="1">
      <c r="K612" s="171" t="s">
        <v>78</v>
      </c>
      <c r="L612" s="171"/>
      <c r="M612" s="171"/>
      <c r="P612" s="236"/>
    </row>
    <row r="613" spans="11:16" ht="18" customHeight="1">
      <c r="K613" s="171" t="s">
        <v>78</v>
      </c>
      <c r="L613" s="171"/>
      <c r="M613" s="171"/>
      <c r="P613" s="236"/>
    </row>
    <row r="614" spans="11:16" ht="18" customHeight="1">
      <c r="K614" s="171" t="s">
        <v>78</v>
      </c>
      <c r="L614" s="171"/>
      <c r="M614" s="171"/>
      <c r="P614" s="236"/>
    </row>
    <row r="615" spans="11:16" ht="18" customHeight="1">
      <c r="K615" s="171" t="s">
        <v>78</v>
      </c>
      <c r="L615" s="171"/>
      <c r="M615" s="171"/>
      <c r="P615" s="236"/>
    </row>
    <row r="616" spans="11:16" ht="18" customHeight="1">
      <c r="K616" s="171" t="s">
        <v>78</v>
      </c>
      <c r="L616" s="171"/>
      <c r="M616" s="171"/>
      <c r="P616" s="236"/>
    </row>
    <row r="617" spans="11:16" ht="18" customHeight="1">
      <c r="K617" s="171" t="s">
        <v>78</v>
      </c>
      <c r="L617" s="171"/>
      <c r="M617" s="171"/>
      <c r="P617" s="236"/>
    </row>
    <row r="618" spans="11:16" ht="18" customHeight="1">
      <c r="K618" s="171" t="s">
        <v>78</v>
      </c>
      <c r="L618" s="171"/>
      <c r="M618" s="171"/>
      <c r="P618" s="236"/>
    </row>
    <row r="619" spans="11:16" ht="18" customHeight="1">
      <c r="K619" s="171" t="s">
        <v>78</v>
      </c>
      <c r="L619" s="171"/>
      <c r="M619" s="171"/>
      <c r="P619" s="236"/>
    </row>
    <row r="620" spans="11:16" ht="18" customHeight="1">
      <c r="K620" s="171" t="s">
        <v>78</v>
      </c>
      <c r="L620" s="171"/>
      <c r="M620" s="171"/>
      <c r="P620" s="236"/>
    </row>
    <row r="621" spans="11:16" ht="18" customHeight="1">
      <c r="K621" s="171" t="s">
        <v>78</v>
      </c>
      <c r="L621" s="171"/>
      <c r="M621" s="171"/>
      <c r="P621" s="236"/>
    </row>
    <row r="622" spans="11:16" ht="18" customHeight="1">
      <c r="K622" s="171" t="s">
        <v>78</v>
      </c>
      <c r="L622" s="171"/>
      <c r="M622" s="171"/>
      <c r="P622" s="236"/>
    </row>
    <row r="623" spans="11:16" ht="18" customHeight="1">
      <c r="K623" s="171" t="s">
        <v>78</v>
      </c>
      <c r="L623" s="171"/>
      <c r="M623" s="171"/>
      <c r="P623" s="236"/>
    </row>
    <row r="624" spans="11:16" ht="18" customHeight="1">
      <c r="K624" s="171" t="s">
        <v>78</v>
      </c>
      <c r="L624" s="171"/>
      <c r="M624" s="171"/>
      <c r="P624" s="236"/>
    </row>
    <row r="625" spans="11:16" ht="18" customHeight="1">
      <c r="K625" s="171" t="s">
        <v>78</v>
      </c>
      <c r="L625" s="171"/>
      <c r="M625" s="171"/>
      <c r="P625" s="236"/>
    </row>
    <row r="626" spans="11:16" ht="18" customHeight="1">
      <c r="K626" s="171" t="s">
        <v>78</v>
      </c>
      <c r="L626" s="171"/>
      <c r="M626" s="171"/>
      <c r="P626" s="236"/>
    </row>
    <row r="627" spans="11:16" ht="18" customHeight="1">
      <c r="K627" s="171" t="s">
        <v>78</v>
      </c>
      <c r="L627" s="171"/>
      <c r="M627" s="171"/>
      <c r="P627" s="236"/>
    </row>
    <row r="628" spans="11:16" ht="18" customHeight="1">
      <c r="K628" s="171" t="s">
        <v>78</v>
      </c>
      <c r="L628" s="171"/>
      <c r="M628" s="171"/>
      <c r="P628" s="236"/>
    </row>
    <row r="629" spans="11:16" ht="18" customHeight="1">
      <c r="K629" s="171" t="s">
        <v>78</v>
      </c>
      <c r="L629" s="171"/>
      <c r="M629" s="171"/>
      <c r="P629" s="236"/>
    </row>
    <row r="630" spans="11:16" ht="18" customHeight="1">
      <c r="K630" s="171" t="s">
        <v>78</v>
      </c>
      <c r="L630" s="171"/>
      <c r="M630" s="171"/>
      <c r="P630" s="236"/>
    </row>
    <row r="631" spans="11:16" ht="18" customHeight="1">
      <c r="K631" s="171" t="s">
        <v>78</v>
      </c>
      <c r="L631" s="171"/>
      <c r="M631" s="171"/>
      <c r="P631" s="236"/>
    </row>
    <row r="632" spans="11:16" ht="18" customHeight="1">
      <c r="K632" s="171" t="s">
        <v>78</v>
      </c>
      <c r="L632" s="171"/>
      <c r="M632" s="171"/>
      <c r="P632" s="236"/>
    </row>
    <row r="633" spans="11:16" ht="18" customHeight="1">
      <c r="K633" s="171" t="s">
        <v>78</v>
      </c>
      <c r="L633" s="171"/>
      <c r="M633" s="171"/>
      <c r="P633" s="236"/>
    </row>
    <row r="634" spans="11:16" ht="18" customHeight="1">
      <c r="K634" s="171" t="s">
        <v>78</v>
      </c>
      <c r="L634" s="171"/>
      <c r="M634" s="171"/>
      <c r="P634" s="236"/>
    </row>
    <row r="635" spans="11:16" ht="18" customHeight="1">
      <c r="K635" s="171" t="s">
        <v>78</v>
      </c>
      <c r="L635" s="171"/>
      <c r="M635" s="171"/>
      <c r="P635" s="236"/>
    </row>
    <row r="636" spans="11:16" ht="18" customHeight="1">
      <c r="K636" s="171" t="s">
        <v>78</v>
      </c>
      <c r="L636" s="171"/>
      <c r="M636" s="171"/>
      <c r="P636" s="236"/>
    </row>
    <row r="637" spans="11:16" ht="18" customHeight="1">
      <c r="K637" s="171" t="s">
        <v>78</v>
      </c>
      <c r="L637" s="171"/>
      <c r="M637" s="171"/>
      <c r="P637" s="236"/>
    </row>
    <row r="638" spans="11:16" ht="18" customHeight="1">
      <c r="K638" s="171" t="s">
        <v>78</v>
      </c>
      <c r="L638" s="171"/>
      <c r="M638" s="171"/>
      <c r="P638" s="236"/>
    </row>
    <row r="639" spans="11:16" ht="18" customHeight="1">
      <c r="K639" s="171" t="s">
        <v>78</v>
      </c>
      <c r="L639" s="171"/>
      <c r="M639" s="171"/>
      <c r="P639" s="236"/>
    </row>
    <row r="640" spans="11:16" ht="18" customHeight="1">
      <c r="K640" s="171" t="s">
        <v>78</v>
      </c>
      <c r="L640" s="171"/>
      <c r="M640" s="171"/>
      <c r="P640" s="236"/>
    </row>
    <row r="641" spans="11:16" ht="18" customHeight="1">
      <c r="K641" s="171" t="s">
        <v>78</v>
      </c>
      <c r="L641" s="171"/>
      <c r="M641" s="171"/>
      <c r="P641" s="236"/>
    </row>
    <row r="642" spans="11:16" ht="18" customHeight="1">
      <c r="K642" s="171" t="s">
        <v>78</v>
      </c>
      <c r="L642" s="171"/>
      <c r="M642" s="171"/>
      <c r="P642" s="236"/>
    </row>
    <row r="643" spans="11:16" ht="18" customHeight="1">
      <c r="K643" s="171" t="s">
        <v>78</v>
      </c>
      <c r="L643" s="171"/>
      <c r="M643" s="171"/>
      <c r="P643" s="236"/>
    </row>
    <row r="644" spans="11:16" ht="18" customHeight="1">
      <c r="K644" s="171" t="s">
        <v>78</v>
      </c>
      <c r="L644" s="171"/>
      <c r="M644" s="171"/>
      <c r="P644" s="236"/>
    </row>
    <row r="645" spans="11:16" ht="18" customHeight="1">
      <c r="K645" s="171" t="s">
        <v>78</v>
      </c>
      <c r="L645" s="171"/>
      <c r="M645" s="171"/>
      <c r="P645" s="236"/>
    </row>
    <row r="646" spans="11:16" ht="18" customHeight="1">
      <c r="K646" s="171" t="s">
        <v>78</v>
      </c>
      <c r="L646" s="171"/>
      <c r="M646" s="171"/>
      <c r="P646" s="236"/>
    </row>
    <row r="647" spans="11:16" ht="18" customHeight="1">
      <c r="K647" s="171" t="s">
        <v>78</v>
      </c>
      <c r="L647" s="171"/>
      <c r="M647" s="171"/>
      <c r="P647" s="236"/>
    </row>
    <row r="648" spans="11:16" ht="18" customHeight="1">
      <c r="K648" s="171" t="s">
        <v>78</v>
      </c>
      <c r="L648" s="171"/>
      <c r="M648" s="171"/>
      <c r="P648" s="236"/>
    </row>
    <row r="649" spans="11:16" ht="18" customHeight="1">
      <c r="K649" s="171" t="s">
        <v>78</v>
      </c>
      <c r="L649" s="171"/>
      <c r="M649" s="171"/>
      <c r="P649" s="236"/>
    </row>
    <row r="650" spans="11:16" ht="18" customHeight="1">
      <c r="K650" s="171" t="s">
        <v>78</v>
      </c>
      <c r="L650" s="171"/>
      <c r="M650" s="171"/>
      <c r="P650" s="236"/>
    </row>
    <row r="651" spans="11:16" ht="18" customHeight="1">
      <c r="K651" s="171" t="s">
        <v>78</v>
      </c>
      <c r="L651" s="171"/>
      <c r="M651" s="171"/>
      <c r="P651" s="236"/>
    </row>
    <row r="652" spans="11:16" ht="18" customHeight="1">
      <c r="K652" s="171" t="s">
        <v>78</v>
      </c>
      <c r="L652" s="171"/>
      <c r="M652" s="171"/>
      <c r="P652" s="236"/>
    </row>
    <row r="653" spans="11:16" ht="18" customHeight="1">
      <c r="K653" s="171" t="s">
        <v>78</v>
      </c>
      <c r="L653" s="171"/>
      <c r="M653" s="171"/>
      <c r="P653" s="236"/>
    </row>
    <row r="654" spans="11:16" ht="18" customHeight="1">
      <c r="K654" s="171" t="s">
        <v>78</v>
      </c>
      <c r="L654" s="171"/>
      <c r="M654" s="171"/>
      <c r="P654" s="236"/>
    </row>
    <row r="655" spans="11:16" ht="18" customHeight="1">
      <c r="K655" s="171" t="s">
        <v>78</v>
      </c>
      <c r="L655" s="171"/>
      <c r="M655" s="171"/>
      <c r="P655" s="236"/>
    </row>
    <row r="656" spans="11:16" ht="18" customHeight="1">
      <c r="K656" s="171" t="s">
        <v>78</v>
      </c>
      <c r="L656" s="171"/>
      <c r="M656" s="171"/>
      <c r="P656" s="236"/>
    </row>
    <row r="657" spans="11:16" ht="18" customHeight="1">
      <c r="K657" s="171" t="s">
        <v>78</v>
      </c>
      <c r="L657" s="171"/>
      <c r="M657" s="171"/>
      <c r="P657" s="236"/>
    </row>
    <row r="658" spans="11:16" ht="18" customHeight="1">
      <c r="K658" s="171" t="s">
        <v>78</v>
      </c>
      <c r="L658" s="171"/>
      <c r="M658" s="171"/>
      <c r="P658" s="236"/>
    </row>
    <row r="659" spans="11:16" ht="18" customHeight="1">
      <c r="K659" s="171" t="s">
        <v>78</v>
      </c>
      <c r="L659" s="171"/>
      <c r="M659" s="171"/>
      <c r="P659" s="236"/>
    </row>
    <row r="660" spans="11:16" ht="18" customHeight="1">
      <c r="K660" s="171" t="s">
        <v>78</v>
      </c>
      <c r="L660" s="171"/>
      <c r="M660" s="171"/>
      <c r="P660" s="236"/>
    </row>
    <row r="661" spans="11:16" ht="18" customHeight="1">
      <c r="K661" s="171" t="s">
        <v>78</v>
      </c>
      <c r="L661" s="171"/>
      <c r="M661" s="171"/>
      <c r="P661" s="236"/>
    </row>
    <row r="662" spans="11:16" ht="18" customHeight="1">
      <c r="K662" s="171" t="s">
        <v>78</v>
      </c>
      <c r="L662" s="171"/>
      <c r="M662" s="171"/>
      <c r="P662" s="236"/>
    </row>
    <row r="663" spans="11:16" ht="18" customHeight="1">
      <c r="K663" s="171" t="s">
        <v>78</v>
      </c>
      <c r="L663" s="171"/>
      <c r="M663" s="171"/>
      <c r="P663" s="236"/>
    </row>
    <row r="664" spans="11:16" ht="18" customHeight="1">
      <c r="K664" s="171" t="s">
        <v>78</v>
      </c>
      <c r="L664" s="171"/>
      <c r="M664" s="171"/>
      <c r="P664" s="236"/>
    </row>
    <row r="665" spans="11:16" ht="18" customHeight="1">
      <c r="K665" s="171" t="s">
        <v>78</v>
      </c>
      <c r="L665" s="171"/>
      <c r="M665" s="171"/>
      <c r="P665" s="236"/>
    </row>
    <row r="666" spans="11:16" ht="18" customHeight="1">
      <c r="K666" s="171" t="s">
        <v>78</v>
      </c>
      <c r="L666" s="171"/>
      <c r="M666" s="171"/>
      <c r="P666" s="236"/>
    </row>
    <row r="667" spans="11:16" ht="18" customHeight="1">
      <c r="K667" s="171" t="s">
        <v>78</v>
      </c>
      <c r="L667" s="171"/>
      <c r="M667" s="171"/>
      <c r="P667" s="236"/>
    </row>
    <row r="668" spans="11:16" ht="18" customHeight="1">
      <c r="K668" s="171" t="s">
        <v>78</v>
      </c>
      <c r="L668" s="171"/>
      <c r="M668" s="171"/>
      <c r="P668" s="236"/>
    </row>
    <row r="669" spans="11:16" ht="18" customHeight="1">
      <c r="K669" s="171" t="s">
        <v>78</v>
      </c>
      <c r="L669" s="171"/>
      <c r="M669" s="171"/>
      <c r="P669" s="236"/>
    </row>
    <row r="670" spans="11:16" ht="18" customHeight="1">
      <c r="K670" s="171" t="s">
        <v>78</v>
      </c>
      <c r="L670" s="171"/>
      <c r="M670" s="171"/>
      <c r="P670" s="236"/>
    </row>
    <row r="671" spans="11:16" ht="18" customHeight="1">
      <c r="K671" s="171" t="s">
        <v>78</v>
      </c>
      <c r="L671" s="171"/>
      <c r="M671" s="171"/>
      <c r="P671" s="236"/>
    </row>
    <row r="672" spans="11:16" ht="18" customHeight="1">
      <c r="K672" s="171" t="s">
        <v>78</v>
      </c>
      <c r="L672" s="171"/>
      <c r="M672" s="171"/>
      <c r="P672" s="236"/>
    </row>
    <row r="673" spans="11:16" ht="18" customHeight="1">
      <c r="K673" s="171" t="s">
        <v>78</v>
      </c>
      <c r="L673" s="171"/>
      <c r="M673" s="171"/>
      <c r="P673" s="236"/>
    </row>
    <row r="674" spans="11:16" ht="18" customHeight="1">
      <c r="K674" s="171" t="s">
        <v>78</v>
      </c>
      <c r="L674" s="171"/>
      <c r="M674" s="171"/>
      <c r="P674" s="236"/>
    </row>
    <row r="675" spans="11:16" ht="18" customHeight="1">
      <c r="K675" s="171" t="s">
        <v>78</v>
      </c>
      <c r="L675" s="171"/>
      <c r="M675" s="171"/>
      <c r="P675" s="236"/>
    </row>
    <row r="676" spans="11:16" ht="18" customHeight="1">
      <c r="K676" s="171" t="s">
        <v>78</v>
      </c>
      <c r="L676" s="171"/>
      <c r="M676" s="171"/>
      <c r="P676" s="236"/>
    </row>
    <row r="677" spans="11:16" ht="18" customHeight="1">
      <c r="K677" s="171" t="s">
        <v>78</v>
      </c>
      <c r="L677" s="171"/>
      <c r="M677" s="171"/>
      <c r="P677" s="236"/>
    </row>
    <row r="678" spans="11:16" ht="18" customHeight="1">
      <c r="K678" s="171" t="s">
        <v>78</v>
      </c>
      <c r="L678" s="171"/>
      <c r="M678" s="171"/>
      <c r="P678" s="236"/>
    </row>
    <row r="679" spans="11:16" ht="18" customHeight="1">
      <c r="K679" s="171" t="s">
        <v>78</v>
      </c>
      <c r="L679" s="171"/>
      <c r="M679" s="171"/>
      <c r="P679" s="236"/>
    </row>
    <row r="680" spans="11:16" ht="18" customHeight="1">
      <c r="K680" s="171" t="s">
        <v>78</v>
      </c>
      <c r="L680" s="171"/>
      <c r="M680" s="171"/>
      <c r="P680" s="236"/>
    </row>
    <row r="681" spans="11:16" ht="18" customHeight="1">
      <c r="K681" s="171" t="s">
        <v>78</v>
      </c>
      <c r="L681" s="171"/>
      <c r="M681" s="171"/>
      <c r="P681" s="236"/>
    </row>
    <row r="682" spans="11:16" ht="18" customHeight="1">
      <c r="K682" s="171" t="s">
        <v>78</v>
      </c>
      <c r="L682" s="171"/>
      <c r="M682" s="171"/>
      <c r="P682" s="236"/>
    </row>
    <row r="683" spans="11:16" ht="18" customHeight="1">
      <c r="K683" s="171" t="s">
        <v>78</v>
      </c>
      <c r="L683" s="171"/>
      <c r="M683" s="171"/>
      <c r="P683" s="236"/>
    </row>
    <row r="684" spans="11:16" ht="18" customHeight="1">
      <c r="K684" s="171" t="s">
        <v>78</v>
      </c>
      <c r="L684" s="171"/>
      <c r="M684" s="171"/>
      <c r="P684" s="236"/>
    </row>
    <row r="685" spans="11:16" ht="18" customHeight="1">
      <c r="K685" s="171" t="s">
        <v>78</v>
      </c>
      <c r="L685" s="171"/>
      <c r="M685" s="171"/>
      <c r="P685" s="236"/>
    </row>
    <row r="686" spans="11:16" ht="18" customHeight="1">
      <c r="K686" s="171" t="s">
        <v>78</v>
      </c>
      <c r="L686" s="171"/>
      <c r="M686" s="171"/>
      <c r="P686" s="236"/>
    </row>
    <row r="687" spans="11:16" ht="18" customHeight="1">
      <c r="K687" s="171" t="s">
        <v>78</v>
      </c>
      <c r="L687" s="171"/>
      <c r="M687" s="171"/>
      <c r="P687" s="236"/>
    </row>
    <row r="688" spans="11:16" ht="18" customHeight="1">
      <c r="K688" s="171" t="s">
        <v>78</v>
      </c>
      <c r="L688" s="171"/>
      <c r="M688" s="171"/>
      <c r="P688" s="236"/>
    </row>
    <row r="689" spans="11:16" ht="18" customHeight="1">
      <c r="K689" s="171" t="s">
        <v>78</v>
      </c>
      <c r="L689" s="171"/>
      <c r="M689" s="171"/>
      <c r="P689" s="236"/>
    </row>
    <row r="690" spans="11:16" ht="18" customHeight="1">
      <c r="K690" s="171" t="s">
        <v>78</v>
      </c>
      <c r="L690" s="171"/>
      <c r="M690" s="171"/>
      <c r="P690" s="236"/>
    </row>
    <row r="691" spans="11:16" ht="18" customHeight="1">
      <c r="K691" s="171" t="s">
        <v>78</v>
      </c>
      <c r="L691" s="171"/>
      <c r="M691" s="171"/>
      <c r="P691" s="236"/>
    </row>
    <row r="692" spans="11:16" ht="18" customHeight="1">
      <c r="K692" s="171" t="s">
        <v>78</v>
      </c>
      <c r="L692" s="171"/>
      <c r="M692" s="171"/>
      <c r="P692" s="236"/>
    </row>
    <row r="693" spans="11:16" ht="18" customHeight="1">
      <c r="K693" s="171" t="s">
        <v>78</v>
      </c>
      <c r="L693" s="171"/>
      <c r="M693" s="171"/>
      <c r="P693" s="236"/>
    </row>
    <row r="694" spans="11:16" ht="18" customHeight="1">
      <c r="K694" s="171" t="s">
        <v>78</v>
      </c>
      <c r="L694" s="171"/>
      <c r="M694" s="171"/>
      <c r="P694" s="236"/>
    </row>
    <row r="695" spans="11:16" ht="18" customHeight="1">
      <c r="K695" s="171" t="s">
        <v>78</v>
      </c>
      <c r="L695" s="171"/>
      <c r="M695" s="171"/>
      <c r="P695" s="236"/>
    </row>
    <row r="696" spans="11:16" ht="18" customHeight="1">
      <c r="K696" s="171" t="s">
        <v>78</v>
      </c>
      <c r="L696" s="171"/>
      <c r="M696" s="171"/>
      <c r="P696" s="236"/>
    </row>
    <row r="697" spans="11:16" ht="18" customHeight="1">
      <c r="K697" s="171" t="s">
        <v>78</v>
      </c>
      <c r="L697" s="171"/>
      <c r="M697" s="171"/>
      <c r="P697" s="236"/>
    </row>
    <row r="698" spans="11:16" ht="18" customHeight="1">
      <c r="K698" s="171" t="s">
        <v>78</v>
      </c>
      <c r="L698" s="171"/>
      <c r="M698" s="171"/>
      <c r="P698" s="236"/>
    </row>
    <row r="699" spans="11:16" ht="18" customHeight="1">
      <c r="K699" s="171" t="s">
        <v>78</v>
      </c>
      <c r="L699" s="171"/>
      <c r="M699" s="171"/>
      <c r="P699" s="236"/>
    </row>
    <row r="700" spans="11:16" ht="18" customHeight="1">
      <c r="K700" s="171" t="s">
        <v>78</v>
      </c>
      <c r="L700" s="171"/>
      <c r="M700" s="171"/>
      <c r="P700" s="236"/>
    </row>
    <row r="701" spans="11:16" ht="18" customHeight="1">
      <c r="K701" s="171" t="s">
        <v>78</v>
      </c>
      <c r="L701" s="171"/>
      <c r="M701" s="171"/>
      <c r="P701" s="236"/>
    </row>
    <row r="702" spans="11:16" ht="18" customHeight="1">
      <c r="K702" s="171" t="s">
        <v>78</v>
      </c>
      <c r="L702" s="171"/>
      <c r="M702" s="171"/>
      <c r="P702" s="236"/>
    </row>
    <row r="703" spans="11:16" ht="18" customHeight="1">
      <c r="K703" s="171" t="s">
        <v>78</v>
      </c>
      <c r="L703" s="171"/>
      <c r="M703" s="171"/>
      <c r="P703" s="236"/>
    </row>
    <row r="704" spans="11:16" ht="18" customHeight="1">
      <c r="K704" s="171" t="s">
        <v>78</v>
      </c>
      <c r="L704" s="171"/>
      <c r="M704" s="171"/>
      <c r="P704" s="236"/>
    </row>
    <row r="705" spans="11:16" ht="18" customHeight="1">
      <c r="K705" s="171" t="s">
        <v>78</v>
      </c>
      <c r="L705" s="171"/>
      <c r="M705" s="171"/>
      <c r="P705" s="236"/>
    </row>
    <row r="706" spans="11:16" ht="18" customHeight="1">
      <c r="K706" s="171" t="s">
        <v>78</v>
      </c>
      <c r="L706" s="171"/>
      <c r="M706" s="171"/>
      <c r="P706" s="236"/>
    </row>
    <row r="707" spans="11:16" ht="18" customHeight="1">
      <c r="K707" s="171" t="s">
        <v>78</v>
      </c>
      <c r="L707" s="171"/>
      <c r="M707" s="171"/>
      <c r="P707" s="236"/>
    </row>
    <row r="708" spans="11:16" ht="18" customHeight="1">
      <c r="K708" s="171" t="s">
        <v>78</v>
      </c>
      <c r="L708" s="171"/>
      <c r="M708" s="171"/>
      <c r="P708" s="236"/>
    </row>
    <row r="709" spans="11:16" ht="18" customHeight="1">
      <c r="K709" s="171" t="s">
        <v>78</v>
      </c>
      <c r="L709" s="171"/>
      <c r="M709" s="171"/>
      <c r="P709" s="236"/>
    </row>
    <row r="710" spans="11:16" ht="18" customHeight="1">
      <c r="K710" s="171" t="s">
        <v>78</v>
      </c>
      <c r="L710" s="171"/>
      <c r="M710" s="171"/>
      <c r="P710" s="236"/>
    </row>
    <row r="711" spans="11:16" ht="18" customHeight="1">
      <c r="K711" s="171" t="s">
        <v>78</v>
      </c>
      <c r="L711" s="171"/>
      <c r="M711" s="171"/>
      <c r="P711" s="236"/>
    </row>
    <row r="712" spans="11:16" ht="18" customHeight="1">
      <c r="K712" s="171" t="s">
        <v>78</v>
      </c>
      <c r="L712" s="171"/>
      <c r="M712" s="171"/>
      <c r="P712" s="236"/>
    </row>
    <row r="713" spans="11:16" ht="18" customHeight="1">
      <c r="K713" s="171" t="s">
        <v>78</v>
      </c>
      <c r="L713" s="171"/>
      <c r="M713" s="171"/>
      <c r="P713" s="236"/>
    </row>
    <row r="714" spans="11:16" ht="18" customHeight="1">
      <c r="K714" s="171" t="s">
        <v>78</v>
      </c>
      <c r="L714" s="171"/>
      <c r="M714" s="171"/>
      <c r="P714" s="236"/>
    </row>
    <row r="715" spans="11:16" ht="18" customHeight="1">
      <c r="K715" s="171" t="s">
        <v>78</v>
      </c>
      <c r="L715" s="171"/>
      <c r="M715" s="171"/>
      <c r="P715" s="236"/>
    </row>
    <row r="716" spans="11:16" ht="18" customHeight="1">
      <c r="K716" s="171" t="s">
        <v>78</v>
      </c>
      <c r="L716" s="171"/>
      <c r="M716" s="171"/>
      <c r="P716" s="236"/>
    </row>
    <row r="717" spans="11:16" ht="18" customHeight="1">
      <c r="K717" s="171" t="s">
        <v>78</v>
      </c>
      <c r="L717" s="171"/>
      <c r="M717" s="171"/>
      <c r="P717" s="236"/>
    </row>
    <row r="718" spans="11:16" ht="18" customHeight="1">
      <c r="K718" s="171" t="s">
        <v>78</v>
      </c>
      <c r="L718" s="171"/>
      <c r="M718" s="171"/>
      <c r="P718" s="236"/>
    </row>
    <row r="719" spans="11:16" ht="18" customHeight="1">
      <c r="K719" s="171" t="s">
        <v>78</v>
      </c>
      <c r="L719" s="171"/>
      <c r="M719" s="171"/>
      <c r="P719" s="236"/>
    </row>
    <row r="720" spans="11:16" ht="18" customHeight="1">
      <c r="K720" s="171" t="s">
        <v>78</v>
      </c>
      <c r="L720" s="171"/>
      <c r="M720" s="171"/>
      <c r="P720" s="236"/>
    </row>
    <row r="721" spans="11:16" ht="18" customHeight="1">
      <c r="K721" s="171" t="s">
        <v>78</v>
      </c>
      <c r="L721" s="171"/>
      <c r="M721" s="171"/>
      <c r="P721" s="236"/>
    </row>
    <row r="722" spans="11:16" ht="18" customHeight="1">
      <c r="K722" s="171" t="s">
        <v>78</v>
      </c>
      <c r="L722" s="171"/>
      <c r="M722" s="171"/>
      <c r="P722" s="236"/>
    </row>
    <row r="723" spans="11:16" ht="18" customHeight="1">
      <c r="K723" s="171" t="s">
        <v>78</v>
      </c>
      <c r="L723" s="171"/>
      <c r="M723" s="171"/>
      <c r="P723" s="236"/>
    </row>
    <row r="724" spans="11:16" ht="18" customHeight="1">
      <c r="K724" s="171" t="s">
        <v>78</v>
      </c>
      <c r="L724" s="171"/>
      <c r="M724" s="171"/>
      <c r="P724" s="236"/>
    </row>
    <row r="725" spans="11:16" ht="18" customHeight="1">
      <c r="K725" s="171" t="s">
        <v>78</v>
      </c>
      <c r="L725" s="171"/>
      <c r="M725" s="171"/>
      <c r="P725" s="236"/>
    </row>
    <row r="726" spans="11:16" ht="18" customHeight="1">
      <c r="K726" s="171" t="s">
        <v>78</v>
      </c>
      <c r="L726" s="171"/>
      <c r="M726" s="171"/>
      <c r="P726" s="236"/>
    </row>
    <row r="727" spans="11:16" ht="18" customHeight="1">
      <c r="K727" s="171" t="s">
        <v>78</v>
      </c>
      <c r="L727" s="171"/>
      <c r="M727" s="171"/>
      <c r="P727" s="236"/>
    </row>
    <row r="728" spans="11:16" ht="18" customHeight="1">
      <c r="K728" s="171" t="s">
        <v>78</v>
      </c>
      <c r="L728" s="171"/>
      <c r="M728" s="171"/>
      <c r="P728" s="236"/>
    </row>
    <row r="729" spans="11:16" ht="18" customHeight="1">
      <c r="K729" s="171" t="s">
        <v>78</v>
      </c>
      <c r="L729" s="171"/>
      <c r="M729" s="171"/>
      <c r="P729" s="236"/>
    </row>
    <row r="730" spans="11:16" ht="18" customHeight="1">
      <c r="K730" s="171" t="s">
        <v>78</v>
      </c>
      <c r="L730" s="171"/>
      <c r="M730" s="171"/>
      <c r="P730" s="236"/>
    </row>
    <row r="731" spans="11:16" ht="18" customHeight="1">
      <c r="K731" s="171" t="s">
        <v>78</v>
      </c>
      <c r="L731" s="171"/>
      <c r="M731" s="171"/>
      <c r="P731" s="236"/>
    </row>
    <row r="732" spans="11:16" ht="18" customHeight="1">
      <c r="K732" s="171" t="s">
        <v>78</v>
      </c>
      <c r="L732" s="171"/>
      <c r="M732" s="171"/>
      <c r="P732" s="236"/>
    </row>
    <row r="733" spans="11:16" ht="18" customHeight="1">
      <c r="K733" s="171" t="s">
        <v>78</v>
      </c>
      <c r="L733" s="171"/>
      <c r="M733" s="171"/>
      <c r="P733" s="236"/>
    </row>
    <row r="734" spans="11:16" ht="18" customHeight="1">
      <c r="K734" s="171" t="s">
        <v>78</v>
      </c>
      <c r="L734" s="171"/>
      <c r="M734" s="171"/>
      <c r="P734" s="236"/>
    </row>
    <row r="735" spans="11:16" ht="18" customHeight="1">
      <c r="K735" s="171" t="s">
        <v>78</v>
      </c>
      <c r="L735" s="171"/>
      <c r="M735" s="171"/>
      <c r="P735" s="236"/>
    </row>
    <row r="736" spans="11:16" ht="18" customHeight="1">
      <c r="K736" s="171" t="s">
        <v>78</v>
      </c>
      <c r="L736" s="171"/>
      <c r="M736" s="171"/>
      <c r="P736" s="236"/>
    </row>
    <row r="737" spans="11:16" ht="18" customHeight="1">
      <c r="K737" s="171" t="s">
        <v>78</v>
      </c>
      <c r="L737" s="171"/>
      <c r="M737" s="171"/>
      <c r="P737" s="236"/>
    </row>
    <row r="738" spans="11:16" ht="18" customHeight="1">
      <c r="K738" s="171" t="s">
        <v>78</v>
      </c>
      <c r="L738" s="171"/>
      <c r="M738" s="171"/>
      <c r="P738" s="236"/>
    </row>
    <row r="739" spans="11:16" ht="18" customHeight="1">
      <c r="K739" s="171" t="s">
        <v>78</v>
      </c>
      <c r="L739" s="171"/>
      <c r="M739" s="171"/>
      <c r="P739" s="236"/>
    </row>
    <row r="740" spans="11:16" ht="18" customHeight="1">
      <c r="K740" s="171" t="s">
        <v>78</v>
      </c>
      <c r="L740" s="171"/>
      <c r="M740" s="171"/>
      <c r="P740" s="236"/>
    </row>
    <row r="741" spans="11:16" ht="18" customHeight="1">
      <c r="K741" s="171" t="s">
        <v>78</v>
      </c>
      <c r="L741" s="171"/>
      <c r="M741" s="171"/>
      <c r="P741" s="236"/>
    </row>
    <row r="742" spans="11:16" ht="18" customHeight="1">
      <c r="K742" s="171" t="s">
        <v>78</v>
      </c>
      <c r="L742" s="171"/>
      <c r="M742" s="171"/>
      <c r="P742" s="236"/>
    </row>
    <row r="743" spans="11:16" ht="18" customHeight="1">
      <c r="K743" s="171" t="s">
        <v>78</v>
      </c>
      <c r="L743" s="171"/>
      <c r="M743" s="171"/>
      <c r="P743" s="236"/>
    </row>
    <row r="744" spans="11:16" ht="18" customHeight="1">
      <c r="K744" s="171" t="s">
        <v>78</v>
      </c>
      <c r="L744" s="171"/>
      <c r="M744" s="171"/>
      <c r="P744" s="236"/>
    </row>
    <row r="745" spans="11:16" ht="18" customHeight="1">
      <c r="K745" s="171" t="s">
        <v>78</v>
      </c>
      <c r="L745" s="171"/>
      <c r="M745" s="171"/>
      <c r="P745" s="236"/>
    </row>
    <row r="746" spans="11:16" ht="18" customHeight="1">
      <c r="K746" s="171" t="s">
        <v>78</v>
      </c>
      <c r="L746" s="171"/>
      <c r="M746" s="171"/>
      <c r="P746" s="236"/>
    </row>
    <row r="747" spans="11:16" ht="18" customHeight="1">
      <c r="K747" s="171" t="s">
        <v>78</v>
      </c>
      <c r="L747" s="171"/>
      <c r="M747" s="171"/>
      <c r="P747" s="236"/>
    </row>
    <row r="748" spans="11:16" ht="18" customHeight="1">
      <c r="K748" s="171" t="s">
        <v>78</v>
      </c>
      <c r="L748" s="171"/>
      <c r="M748" s="171"/>
      <c r="P748" s="236"/>
    </row>
    <row r="749" spans="11:16" ht="18" customHeight="1">
      <c r="K749" s="171" t="s">
        <v>78</v>
      </c>
      <c r="L749" s="171"/>
      <c r="M749" s="171"/>
      <c r="P749" s="236"/>
    </row>
    <row r="750" spans="11:16" ht="18" customHeight="1">
      <c r="K750" s="171" t="s">
        <v>78</v>
      </c>
      <c r="L750" s="171"/>
      <c r="M750" s="171"/>
      <c r="P750" s="236"/>
    </row>
    <row r="751" spans="11:16" ht="18" customHeight="1">
      <c r="K751" s="171" t="s">
        <v>78</v>
      </c>
      <c r="L751" s="171"/>
      <c r="M751" s="171"/>
      <c r="P751" s="236"/>
    </row>
    <row r="752" spans="11:16" ht="18" customHeight="1">
      <c r="K752" s="171" t="s">
        <v>78</v>
      </c>
      <c r="L752" s="171"/>
      <c r="M752" s="171"/>
      <c r="P752" s="236"/>
    </row>
    <row r="753" spans="11:16" ht="18" customHeight="1">
      <c r="K753" s="171" t="s">
        <v>78</v>
      </c>
      <c r="L753" s="171"/>
      <c r="M753" s="171"/>
      <c r="P753" s="236"/>
    </row>
    <row r="754" spans="11:16" ht="18" customHeight="1">
      <c r="K754" s="171" t="s">
        <v>78</v>
      </c>
      <c r="L754" s="171"/>
      <c r="M754" s="171"/>
      <c r="P754" s="236"/>
    </row>
    <row r="755" spans="11:16" ht="18" customHeight="1">
      <c r="K755" s="171" t="s">
        <v>78</v>
      </c>
      <c r="L755" s="171"/>
      <c r="M755" s="171"/>
      <c r="P755" s="236"/>
    </row>
    <row r="756" spans="11:16" ht="18" customHeight="1">
      <c r="K756" s="171" t="s">
        <v>78</v>
      </c>
      <c r="L756" s="171"/>
      <c r="M756" s="171"/>
      <c r="P756" s="236"/>
    </row>
    <row r="757" spans="11:16" ht="18" customHeight="1">
      <c r="K757" s="171" t="s">
        <v>78</v>
      </c>
      <c r="L757" s="171"/>
      <c r="M757" s="171"/>
      <c r="P757" s="236"/>
    </row>
    <row r="758" spans="11:16" ht="18" customHeight="1">
      <c r="K758" s="171" t="s">
        <v>78</v>
      </c>
      <c r="L758" s="171"/>
      <c r="M758" s="171"/>
      <c r="P758" s="236"/>
    </row>
    <row r="759" spans="11:16" ht="18" customHeight="1">
      <c r="K759" s="171" t="s">
        <v>78</v>
      </c>
      <c r="L759" s="171"/>
      <c r="M759" s="171"/>
      <c r="P759" s="236"/>
    </row>
    <row r="760" spans="11:16" ht="18" customHeight="1">
      <c r="K760" s="171" t="s">
        <v>78</v>
      </c>
      <c r="L760" s="171"/>
      <c r="M760" s="171"/>
      <c r="P760" s="236"/>
    </row>
    <row r="761" spans="11:16" ht="18" customHeight="1">
      <c r="K761" s="171" t="s">
        <v>78</v>
      </c>
      <c r="L761" s="171"/>
      <c r="M761" s="171"/>
      <c r="P761" s="236"/>
    </row>
    <row r="762" spans="11:16" ht="18" customHeight="1">
      <c r="K762" s="171" t="s">
        <v>78</v>
      </c>
      <c r="L762" s="171"/>
      <c r="M762" s="171"/>
      <c r="P762" s="236"/>
    </row>
    <row r="763" spans="11:16" ht="18" customHeight="1">
      <c r="K763" s="171" t="s">
        <v>78</v>
      </c>
      <c r="L763" s="171"/>
      <c r="M763" s="171"/>
      <c r="P763" s="236"/>
    </row>
    <row r="764" spans="11:16" ht="18" customHeight="1">
      <c r="K764" s="171" t="s">
        <v>78</v>
      </c>
      <c r="L764" s="171"/>
      <c r="M764" s="171"/>
      <c r="P764" s="236"/>
    </row>
    <row r="765" spans="11:16" ht="18" customHeight="1">
      <c r="K765" s="171" t="s">
        <v>78</v>
      </c>
      <c r="L765" s="171"/>
      <c r="M765" s="171"/>
      <c r="P765" s="236"/>
    </row>
    <row r="766" spans="11:16" ht="18" customHeight="1">
      <c r="K766" s="171" t="s">
        <v>78</v>
      </c>
      <c r="L766" s="171"/>
      <c r="M766" s="171"/>
      <c r="P766" s="236"/>
    </row>
    <row r="767" spans="11:16" ht="18" customHeight="1">
      <c r="K767" s="171" t="s">
        <v>78</v>
      </c>
      <c r="L767" s="171"/>
      <c r="M767" s="171"/>
      <c r="P767" s="236"/>
    </row>
    <row r="768" spans="11:16" ht="18" customHeight="1">
      <c r="K768" s="171" t="s">
        <v>78</v>
      </c>
      <c r="L768" s="171"/>
      <c r="M768" s="171"/>
      <c r="P768" s="236"/>
    </row>
    <row r="769" spans="11:16" ht="18" customHeight="1">
      <c r="K769" s="171" t="s">
        <v>78</v>
      </c>
      <c r="L769" s="171"/>
      <c r="M769" s="171"/>
      <c r="P769" s="236"/>
    </row>
    <row r="770" spans="11:16" ht="18" customHeight="1">
      <c r="K770" s="171" t="s">
        <v>78</v>
      </c>
      <c r="L770" s="171"/>
      <c r="M770" s="171"/>
      <c r="P770" s="236"/>
    </row>
    <row r="771" spans="11:16" ht="18" customHeight="1">
      <c r="K771" s="171" t="s">
        <v>78</v>
      </c>
      <c r="L771" s="171"/>
      <c r="M771" s="171"/>
      <c r="P771" s="236"/>
    </row>
    <row r="772" spans="11:16" ht="18" customHeight="1">
      <c r="K772" s="171" t="s">
        <v>78</v>
      </c>
      <c r="L772" s="171"/>
      <c r="M772" s="171"/>
      <c r="P772" s="236"/>
    </row>
    <row r="773" spans="11:16" ht="18" customHeight="1">
      <c r="K773" s="171" t="s">
        <v>78</v>
      </c>
      <c r="L773" s="171"/>
      <c r="M773" s="171"/>
      <c r="P773" s="236"/>
    </row>
    <row r="774" spans="11:16" ht="18" customHeight="1">
      <c r="K774" s="171" t="s">
        <v>78</v>
      </c>
      <c r="L774" s="171"/>
      <c r="M774" s="171"/>
      <c r="P774" s="236"/>
    </row>
    <row r="775" spans="11:16" ht="18" customHeight="1">
      <c r="K775" s="171" t="s">
        <v>78</v>
      </c>
      <c r="L775" s="171"/>
      <c r="M775" s="171"/>
      <c r="P775" s="236"/>
    </row>
    <row r="776" spans="11:16" ht="18" customHeight="1">
      <c r="K776" s="171" t="s">
        <v>78</v>
      </c>
      <c r="L776" s="171"/>
      <c r="M776" s="171"/>
      <c r="P776" s="236"/>
    </row>
    <row r="777" spans="11:16" ht="18" customHeight="1">
      <c r="K777" s="171" t="s">
        <v>78</v>
      </c>
      <c r="L777" s="171"/>
      <c r="M777" s="171"/>
      <c r="P777" s="236"/>
    </row>
    <row r="778" spans="11:16" ht="18" customHeight="1">
      <c r="K778" s="171" t="s">
        <v>78</v>
      </c>
      <c r="L778" s="171"/>
      <c r="M778" s="171"/>
      <c r="P778" s="236"/>
    </row>
    <row r="779" spans="11:16" ht="18" customHeight="1">
      <c r="K779" s="171" t="s">
        <v>78</v>
      </c>
      <c r="L779" s="171"/>
      <c r="M779" s="171"/>
      <c r="P779" s="236"/>
    </row>
    <row r="780" spans="11:16" ht="18" customHeight="1">
      <c r="K780" s="171" t="s">
        <v>78</v>
      </c>
      <c r="L780" s="171"/>
      <c r="M780" s="171"/>
      <c r="P780" s="236"/>
    </row>
    <row r="781" spans="11:16" ht="18" customHeight="1">
      <c r="K781" s="171" t="s">
        <v>78</v>
      </c>
      <c r="L781" s="171"/>
      <c r="M781" s="171"/>
      <c r="P781" s="236"/>
    </row>
    <row r="782" spans="11:16" ht="18" customHeight="1">
      <c r="K782" s="171" t="s">
        <v>78</v>
      </c>
      <c r="L782" s="171"/>
      <c r="M782" s="171"/>
      <c r="P782" s="236"/>
    </row>
    <row r="783" spans="11:16" ht="18" customHeight="1">
      <c r="K783" s="171" t="s">
        <v>78</v>
      </c>
      <c r="L783" s="171"/>
      <c r="M783" s="171"/>
      <c r="P783" s="236"/>
    </row>
    <row r="784" spans="11:16" ht="18" customHeight="1">
      <c r="K784" s="171" t="s">
        <v>78</v>
      </c>
      <c r="L784" s="171"/>
      <c r="M784" s="171"/>
      <c r="P784" s="236"/>
    </row>
    <row r="785" spans="11:16" ht="18" customHeight="1">
      <c r="K785" s="171" t="s">
        <v>78</v>
      </c>
      <c r="L785" s="171"/>
      <c r="M785" s="171"/>
      <c r="P785" s="236"/>
    </row>
    <row r="786" spans="11:16" ht="18" customHeight="1">
      <c r="K786" s="171" t="s">
        <v>78</v>
      </c>
      <c r="L786" s="171"/>
      <c r="M786" s="171"/>
      <c r="P786" s="236"/>
    </row>
    <row r="787" spans="11:16" ht="18" customHeight="1">
      <c r="K787" s="171" t="s">
        <v>78</v>
      </c>
      <c r="L787" s="171"/>
      <c r="M787" s="171"/>
      <c r="P787" s="236"/>
    </row>
    <row r="788" spans="11:16" ht="18" customHeight="1">
      <c r="K788" s="171" t="s">
        <v>78</v>
      </c>
      <c r="L788" s="171"/>
      <c r="M788" s="171"/>
      <c r="P788" s="236"/>
    </row>
    <row r="789" spans="11:16" ht="18" customHeight="1">
      <c r="K789" s="171" t="s">
        <v>78</v>
      </c>
      <c r="L789" s="171"/>
      <c r="M789" s="171"/>
      <c r="P789" s="236"/>
    </row>
    <row r="790" spans="11:16" ht="18" customHeight="1">
      <c r="K790" s="171" t="s">
        <v>78</v>
      </c>
      <c r="L790" s="171"/>
      <c r="M790" s="171"/>
      <c r="P790" s="236"/>
    </row>
    <row r="791" spans="11:16" ht="18" customHeight="1">
      <c r="K791" s="171" t="s">
        <v>78</v>
      </c>
      <c r="L791" s="171"/>
      <c r="M791" s="171"/>
      <c r="P791" s="236"/>
    </row>
    <row r="792" spans="11:16" ht="18" customHeight="1">
      <c r="K792" s="171" t="s">
        <v>78</v>
      </c>
      <c r="L792" s="171"/>
      <c r="M792" s="171"/>
      <c r="P792" s="236"/>
    </row>
    <row r="793" spans="11:16" ht="18" customHeight="1">
      <c r="K793" s="171" t="s">
        <v>78</v>
      </c>
      <c r="L793" s="171"/>
      <c r="M793" s="171"/>
      <c r="P793" s="236"/>
    </row>
    <row r="794" spans="11:16" ht="18" customHeight="1">
      <c r="K794" s="171" t="s">
        <v>78</v>
      </c>
      <c r="L794" s="171"/>
      <c r="M794" s="171"/>
      <c r="P794" s="236"/>
    </row>
    <row r="795" spans="11:16" ht="18" customHeight="1">
      <c r="K795" s="171" t="s">
        <v>78</v>
      </c>
      <c r="L795" s="171"/>
      <c r="M795" s="171"/>
      <c r="P795" s="236"/>
    </row>
    <row r="796" spans="11:16" ht="18" customHeight="1">
      <c r="K796" s="171" t="s">
        <v>78</v>
      </c>
      <c r="L796" s="171"/>
      <c r="M796" s="171"/>
      <c r="P796" s="236"/>
    </row>
    <row r="797" spans="11:16" ht="18" customHeight="1">
      <c r="K797" s="171" t="s">
        <v>78</v>
      </c>
      <c r="L797" s="171"/>
      <c r="M797" s="171"/>
      <c r="P797" s="236"/>
    </row>
    <row r="798" spans="11:16" ht="18" customHeight="1">
      <c r="K798" s="171" t="s">
        <v>78</v>
      </c>
      <c r="L798" s="171"/>
      <c r="M798" s="171"/>
      <c r="P798" s="236"/>
    </row>
    <row r="799" spans="11:16" ht="18" customHeight="1">
      <c r="K799" s="171" t="s">
        <v>78</v>
      </c>
      <c r="L799" s="171"/>
      <c r="M799" s="171"/>
      <c r="P799" s="236"/>
    </row>
    <row r="800" spans="11:16" ht="18" customHeight="1">
      <c r="K800" s="171" t="s">
        <v>78</v>
      </c>
      <c r="L800" s="171"/>
      <c r="M800" s="171"/>
      <c r="P800" s="236"/>
    </row>
    <row r="801" spans="11:16" ht="18" customHeight="1">
      <c r="K801" s="171" t="s">
        <v>78</v>
      </c>
      <c r="L801" s="171"/>
      <c r="M801" s="171"/>
      <c r="P801" s="236"/>
    </row>
    <row r="802" spans="11:16" ht="18" customHeight="1">
      <c r="K802" s="171" t="s">
        <v>78</v>
      </c>
      <c r="L802" s="171"/>
      <c r="M802" s="171"/>
      <c r="P802" s="236"/>
    </row>
    <row r="803" spans="11:16" ht="18" customHeight="1">
      <c r="K803" s="171" t="s">
        <v>78</v>
      </c>
      <c r="L803" s="171"/>
      <c r="M803" s="171"/>
      <c r="P803" s="236"/>
    </row>
    <row r="804" spans="11:16" ht="18" customHeight="1">
      <c r="K804" s="171" t="s">
        <v>78</v>
      </c>
      <c r="L804" s="171"/>
      <c r="M804" s="171"/>
      <c r="P804" s="236"/>
    </row>
    <row r="805" spans="11:16" ht="18" customHeight="1">
      <c r="K805" s="171" t="s">
        <v>78</v>
      </c>
      <c r="L805" s="171"/>
      <c r="M805" s="171"/>
      <c r="P805" s="236"/>
    </row>
    <row r="806" spans="11:16" ht="18" customHeight="1">
      <c r="K806" s="171" t="s">
        <v>78</v>
      </c>
      <c r="L806" s="171"/>
      <c r="M806" s="171"/>
      <c r="P806" s="236"/>
    </row>
    <row r="807" spans="11:16" ht="18" customHeight="1">
      <c r="K807" s="171" t="s">
        <v>78</v>
      </c>
      <c r="L807" s="171"/>
      <c r="M807" s="171"/>
      <c r="P807" s="236"/>
    </row>
    <row r="808" spans="11:16" ht="18" customHeight="1">
      <c r="K808" s="171" t="s">
        <v>78</v>
      </c>
      <c r="L808" s="171"/>
      <c r="M808" s="171"/>
      <c r="P808" s="236"/>
    </row>
    <row r="809" spans="11:16" ht="18" customHeight="1">
      <c r="K809" s="171" t="s">
        <v>78</v>
      </c>
      <c r="L809" s="171"/>
      <c r="M809" s="171"/>
      <c r="P809" s="236"/>
    </row>
    <row r="810" spans="11:16" ht="18" customHeight="1">
      <c r="K810" s="171" t="s">
        <v>78</v>
      </c>
      <c r="L810" s="171"/>
      <c r="M810" s="171"/>
      <c r="P810" s="236"/>
    </row>
    <row r="811" spans="11:16" ht="18" customHeight="1">
      <c r="K811" s="171" t="s">
        <v>78</v>
      </c>
      <c r="L811" s="171"/>
      <c r="M811" s="171"/>
      <c r="P811" s="236"/>
    </row>
    <row r="812" spans="11:16" ht="18" customHeight="1">
      <c r="K812" s="171" t="s">
        <v>78</v>
      </c>
      <c r="M812" s="171"/>
      <c r="P812" s="236"/>
    </row>
    <row r="813" spans="11:16" ht="18" customHeight="1">
      <c r="K813" s="171" t="s">
        <v>78</v>
      </c>
      <c r="M813" s="171"/>
      <c r="P813" s="236"/>
    </row>
    <row r="814" spans="11:16" ht="18" customHeight="1">
      <c r="K814" s="171" t="s">
        <v>78</v>
      </c>
      <c r="P814" s="236"/>
    </row>
    <row r="815" spans="11:16" ht="18" customHeight="1">
      <c r="K815" s="171" t="s">
        <v>78</v>
      </c>
      <c r="P815" s="236"/>
    </row>
    <row r="816" spans="11:16" ht="18" customHeight="1">
      <c r="K816" s="171" t="s">
        <v>78</v>
      </c>
    </row>
    <row r="817" spans="11:11" ht="18" customHeight="1">
      <c r="K817" s="171" t="s">
        <v>78</v>
      </c>
    </row>
  </sheetData>
  <mergeCells count="17">
    <mergeCell ref="B3:C3"/>
    <mergeCell ref="B4:C4"/>
    <mergeCell ref="B5:C5"/>
    <mergeCell ref="N72:N73"/>
    <mergeCell ref="B11:C12"/>
    <mergeCell ref="J11:J12"/>
    <mergeCell ref="L11:L12"/>
    <mergeCell ref="G3:H3"/>
    <mergeCell ref="G4:H4"/>
    <mergeCell ref="G5:H5"/>
    <mergeCell ref="D3:E3"/>
    <mergeCell ref="D4:E4"/>
    <mergeCell ref="D5:E5"/>
    <mergeCell ref="Z72:Z73"/>
    <mergeCell ref="O72:O73"/>
    <mergeCell ref="P72:P73"/>
    <mergeCell ref="Q72:Q73"/>
  </mergeCells>
  <phoneticPr fontId="3" type="noConversion"/>
  <conditionalFormatting sqref="V13:V41">
    <cfRule type="cellIs" dxfId="65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3" min="13" max="28" man="1"/>
    <brk id="80" min="13" max="28" man="1"/>
    <brk id="101" min="13" max="2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>
    <tabColor rgb="FFFFC000"/>
    <pageSetUpPr fitToPage="1"/>
  </sheetPr>
  <dimension ref="A1:AB810"/>
  <sheetViews>
    <sheetView showGridLines="0" zoomScale="85" zoomScaleNormal="85" zoomScaleSheetLayoutView="75" workbookViewId="0">
      <selection activeCell="B29" sqref="B29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64.164062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1393</v>
      </c>
    </row>
    <row r="2" spans="1:27" ht="19.5" thickBot="1">
      <c r="B2" s="66" t="s">
        <v>797</v>
      </c>
    </row>
    <row r="3" spans="1:27" ht="18" customHeight="1" thickBot="1">
      <c r="B3" s="462"/>
      <c r="C3" s="466" t="s">
        <v>798</v>
      </c>
      <c r="D3" s="806">
        <v>15</v>
      </c>
      <c r="E3" s="806"/>
      <c r="F3" s="44" t="s">
        <v>799</v>
      </c>
      <c r="G3" s="767" t="s">
        <v>1104</v>
      </c>
      <c r="H3" s="768"/>
      <c r="I3" s="656">
        <v>2</v>
      </c>
      <c r="J3" s="669" t="s">
        <v>1105</v>
      </c>
      <c r="R3" s="1"/>
      <c r="Z3" s="6"/>
    </row>
    <row r="4" spans="1:27" ht="18" customHeight="1" thickBot="1">
      <c r="B4" s="463"/>
      <c r="C4" s="465" t="s">
        <v>1442</v>
      </c>
      <c r="D4" s="807">
        <v>15</v>
      </c>
      <c r="E4" s="808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  <c r="R4" s="1"/>
      <c r="Z4" s="6"/>
    </row>
    <row r="5" spans="1:27" ht="18" customHeight="1" thickBot="1">
      <c r="B5" s="464"/>
      <c r="C5" s="467" t="s">
        <v>800</v>
      </c>
      <c r="D5" s="798">
        <f>ROUND((IF(D4&lt;15,15,IF(D4&gt;=100,100,D4))/D3)^0.3,3)</f>
        <v>1</v>
      </c>
      <c r="E5" s="798"/>
      <c r="F5" s="45"/>
      <c r="G5" s="771" t="s">
        <v>1102</v>
      </c>
      <c r="H5" s="772"/>
      <c r="I5" s="646">
        <f>ROUND(I4/I3,3)</f>
        <v>1</v>
      </c>
      <c r="J5" s="671"/>
      <c r="Q5" s="6"/>
      <c r="Y5" s="1"/>
    </row>
    <row r="6" spans="1:27" ht="18" customHeight="1">
      <c r="B6" s="9" t="s">
        <v>1394</v>
      </c>
      <c r="C6" s="9"/>
      <c r="D6" s="468"/>
      <c r="E6" s="468"/>
      <c r="G6" s="9" t="s">
        <v>1107</v>
      </c>
      <c r="J6" s="36"/>
    </row>
    <row r="7" spans="1:27" ht="18" customHeight="1">
      <c r="B7" s="9"/>
      <c r="C7" s="9" t="s">
        <v>1395</v>
      </c>
      <c r="D7" s="468"/>
      <c r="E7" s="468"/>
      <c r="G7" s="36"/>
    </row>
    <row r="8" spans="1:27" ht="18" customHeight="1">
      <c r="B8" s="9"/>
      <c r="C8" s="9" t="s">
        <v>1396</v>
      </c>
      <c r="D8" s="468"/>
      <c r="E8" s="468"/>
      <c r="G8" s="36"/>
    </row>
    <row r="9" spans="1:27" ht="18" customHeight="1">
      <c r="A9" s="326"/>
      <c r="B9" s="9"/>
      <c r="C9" s="9"/>
      <c r="D9" s="468"/>
      <c r="E9" s="468"/>
      <c r="G9" s="36"/>
      <c r="W9" s="188" t="s">
        <v>801</v>
      </c>
      <c r="X9" s="189"/>
    </row>
    <row r="10" spans="1:27" ht="18" customHeight="1" thickBot="1">
      <c r="A10" s="355"/>
      <c r="B10" s="66" t="s">
        <v>802</v>
      </c>
      <c r="C10" s="9"/>
      <c r="D10" s="468"/>
      <c r="E10" s="468"/>
      <c r="G10" s="36"/>
      <c r="N10" s="66" t="s">
        <v>803</v>
      </c>
    </row>
    <row r="11" spans="1:27" ht="18" customHeight="1" thickBot="1">
      <c r="A11" s="355"/>
      <c r="B11" s="9"/>
      <c r="N11" s="151" t="s">
        <v>44</v>
      </c>
      <c r="O11" s="119"/>
      <c r="P11" s="119"/>
      <c r="Q11" s="120"/>
      <c r="R11" s="120"/>
      <c r="S11" s="120"/>
      <c r="T11" s="120"/>
      <c r="U11" s="470"/>
      <c r="V11" s="470"/>
      <c r="W11" s="471">
        <f ca="1">SUBTOTAL(9,W12:W47)</f>
        <v>434969389</v>
      </c>
      <c r="X11" s="472"/>
      <c r="Y11" s="177"/>
      <c r="Z11" s="167"/>
    </row>
    <row r="12" spans="1:27" ht="18" customHeight="1">
      <c r="A12" s="355"/>
      <c r="B12" s="757" t="s">
        <v>30</v>
      </c>
      <c r="C12" s="758"/>
      <c r="D12" s="14" t="s">
        <v>804</v>
      </c>
      <c r="E12" s="15"/>
      <c r="F12" s="15"/>
      <c r="G12" s="15"/>
      <c r="H12" s="15"/>
      <c r="I12" s="16"/>
      <c r="J12" s="761" t="s">
        <v>31</v>
      </c>
      <c r="L12" s="763" t="s">
        <v>805</v>
      </c>
      <c r="N12" s="127" t="s">
        <v>806</v>
      </c>
      <c r="O12" s="122"/>
      <c r="P12" s="122"/>
      <c r="Q12" s="123"/>
      <c r="R12" s="123"/>
      <c r="S12" s="123"/>
      <c r="T12" s="123"/>
      <c r="U12" s="473"/>
      <c r="V12" s="473"/>
      <c r="W12" s="474">
        <f ca="1">SUBTOTAL(9,W13:W44)</f>
        <v>155624111</v>
      </c>
      <c r="X12" s="475"/>
      <c r="Y12" s="178" t="s">
        <v>807</v>
      </c>
      <c r="Z12" s="179"/>
    </row>
    <row r="13" spans="1:27" ht="18" customHeight="1" thickBot="1">
      <c r="A13" s="355"/>
      <c r="B13" s="759"/>
      <c r="C13" s="760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476"/>
      <c r="V13" s="477"/>
      <c r="W13" s="517">
        <f ca="1">SUBTOTAL(9,W14:W40)</f>
        <v>155624111</v>
      </c>
      <c r="X13" s="478"/>
      <c r="Y13" s="168"/>
      <c r="Z13" s="168"/>
    </row>
    <row r="14" spans="1:27" ht="18" customHeight="1">
      <c r="A14" s="355"/>
      <c r="B14" s="73" t="s">
        <v>1110</v>
      </c>
      <c r="C14" s="72"/>
      <c r="D14" s="585">
        <f t="shared" ref="D14:I14" si="0">SUBTOTAL(9,D15:D16)</f>
        <v>1.7000000000000002</v>
      </c>
      <c r="E14" s="586">
        <f t="shared" si="0"/>
        <v>5.9</v>
      </c>
      <c r="F14" s="586">
        <f t="shared" si="0"/>
        <v>10.7</v>
      </c>
      <c r="G14" s="586">
        <f t="shared" si="0"/>
        <v>15.2</v>
      </c>
      <c r="H14" s="586">
        <f t="shared" si="0"/>
        <v>23.5</v>
      </c>
      <c r="I14" s="587">
        <f t="shared" si="0"/>
        <v>27.1</v>
      </c>
      <c r="J14" s="654"/>
      <c r="L14" s="482"/>
      <c r="N14" s="354" t="str">
        <f>B14</f>
        <v>1. 조사 및 분석</v>
      </c>
      <c r="O14" s="169"/>
      <c r="P14" s="169"/>
      <c r="Q14" s="169"/>
      <c r="R14" s="169"/>
      <c r="S14" s="169"/>
      <c r="T14" s="169"/>
      <c r="U14" s="484"/>
      <c r="V14" s="485"/>
      <c r="W14" s="486">
        <f ca="1">SUBTOTAL(9,W15:W16)</f>
        <v>23120247</v>
      </c>
      <c r="X14" s="487"/>
      <c r="Y14" s="170" t="str">
        <f>IF(A32&gt;0, "제 " &amp;A32&amp; " 호표","")</f>
        <v/>
      </c>
      <c r="Z14" s="170"/>
      <c r="AA14" s="229"/>
    </row>
    <row r="15" spans="1:27" ht="18" customHeight="1">
      <c r="A15" s="355"/>
      <c r="B15" s="409" t="s">
        <v>1397</v>
      </c>
      <c r="C15" s="237"/>
      <c r="D15" s="588">
        <v>0.8</v>
      </c>
      <c r="E15" s="589">
        <v>3.2</v>
      </c>
      <c r="F15" s="589">
        <v>5.6</v>
      </c>
      <c r="G15" s="589">
        <v>7.9</v>
      </c>
      <c r="H15" s="589">
        <v>16.2</v>
      </c>
      <c r="I15" s="590">
        <v>16.2</v>
      </c>
      <c r="J15" s="389" t="s">
        <v>1419</v>
      </c>
      <c r="L15" s="494">
        <v>1</v>
      </c>
      <c r="N15" s="292" t="str">
        <f t="shared" ref="N15:N25" si="1">B15</f>
        <v>1.1 관련법규 및 계획 검토</v>
      </c>
      <c r="O15" s="37"/>
      <c r="P15" s="37"/>
      <c r="Q15" s="37"/>
      <c r="R15" s="37"/>
      <c r="S15" s="37"/>
      <c r="T15" s="37"/>
      <c r="U15" s="562"/>
      <c r="V15" s="500"/>
      <c r="W15" s="501">
        <f t="array" aca="1" ref="W15" ca="1">SUM(ROUNDDOWN(D43:I43*단가,0))</f>
        <v>13506886</v>
      </c>
      <c r="X15" s="502"/>
      <c r="Y15" s="170" t="str">
        <f>IF(A43&gt;0, "제 " &amp;A43&amp; " 호표","")</f>
        <v>제 1 호표</v>
      </c>
      <c r="Z15" s="150"/>
    </row>
    <row r="16" spans="1:27" ht="18" customHeight="1">
      <c r="A16" s="355"/>
      <c r="B16" s="410" t="s">
        <v>1398</v>
      </c>
      <c r="C16" s="237"/>
      <c r="D16" s="588">
        <v>0.9</v>
      </c>
      <c r="E16" s="589">
        <v>2.7</v>
      </c>
      <c r="F16" s="589">
        <v>5.0999999999999996</v>
      </c>
      <c r="G16" s="589">
        <v>7.3</v>
      </c>
      <c r="H16" s="589">
        <v>7.3</v>
      </c>
      <c r="I16" s="590">
        <v>10.9</v>
      </c>
      <c r="J16" s="389" t="s">
        <v>1090</v>
      </c>
      <c r="L16" s="494">
        <v>1</v>
      </c>
      <c r="N16" s="292" t="str">
        <f t="shared" si="1"/>
        <v>1.2 주변 지역과의 상관성 검토</v>
      </c>
      <c r="O16" s="37"/>
      <c r="P16" s="37"/>
      <c r="Q16" s="37"/>
      <c r="R16" s="37"/>
      <c r="S16" s="37"/>
      <c r="T16" s="37"/>
      <c r="U16" s="562"/>
      <c r="V16" s="500"/>
      <c r="W16" s="501">
        <f t="array" aca="1" ref="W16" ca="1">SUM(ROUNDDOWN(D44:I44*단가,0))</f>
        <v>9613361</v>
      </c>
      <c r="X16" s="502"/>
      <c r="Y16" s="170" t="str">
        <f t="shared" ref="Y16:Y40" si="2">IF(A44&gt;0, "제 " &amp;A44&amp; " 호표","")</f>
        <v>제 2 호표</v>
      </c>
      <c r="Z16" s="150"/>
    </row>
    <row r="17" spans="1:26" ht="18" customHeight="1">
      <c r="A17" s="355"/>
      <c r="B17" s="222" t="s">
        <v>808</v>
      </c>
      <c r="C17" s="47"/>
      <c r="D17" s="591">
        <f t="shared" ref="D17:I17" si="3">SUBTOTAL(9,D18:D25)</f>
        <v>5.4</v>
      </c>
      <c r="E17" s="592">
        <f t="shared" si="3"/>
        <v>13</v>
      </c>
      <c r="F17" s="592">
        <f t="shared" si="3"/>
        <v>35.9</v>
      </c>
      <c r="G17" s="592">
        <f t="shared" si="3"/>
        <v>45.4</v>
      </c>
      <c r="H17" s="592">
        <f t="shared" si="3"/>
        <v>89.999999999999986</v>
      </c>
      <c r="I17" s="593">
        <f t="shared" si="3"/>
        <v>110.7</v>
      </c>
      <c r="J17" s="594"/>
      <c r="L17" s="494"/>
      <c r="N17" s="354" t="str">
        <f t="shared" si="1"/>
        <v>2. 도시관리계획 변경(개발제한구역 해제)</v>
      </c>
      <c r="O17" s="37"/>
      <c r="P17" s="37"/>
      <c r="Q17" s="37"/>
      <c r="R17" s="37"/>
      <c r="S17" s="37"/>
      <c r="T17" s="37"/>
      <c r="U17" s="562"/>
      <c r="V17" s="500"/>
      <c r="W17" s="486">
        <f ca="1">SUBTOTAL(9,W18:W25)</f>
        <v>80812484</v>
      </c>
      <c r="X17" s="502"/>
      <c r="Y17" s="170" t="str">
        <f t="shared" si="2"/>
        <v/>
      </c>
      <c r="Z17" s="150"/>
    </row>
    <row r="18" spans="1:26" ht="18" customHeight="1">
      <c r="A18" s="355"/>
      <c r="B18" s="223" t="s">
        <v>1399</v>
      </c>
      <c r="C18" s="237"/>
      <c r="D18" s="588">
        <v>0.7</v>
      </c>
      <c r="E18" s="589">
        <v>1.8</v>
      </c>
      <c r="F18" s="589">
        <v>4.3</v>
      </c>
      <c r="G18" s="589">
        <v>5.4</v>
      </c>
      <c r="H18" s="589">
        <v>10.8</v>
      </c>
      <c r="I18" s="590">
        <v>15.3</v>
      </c>
      <c r="J18" s="389" t="s">
        <v>1090</v>
      </c>
      <c r="L18" s="494">
        <v>1</v>
      </c>
      <c r="N18" s="292" t="str">
        <f t="shared" si="1"/>
        <v>2.1 도시·군관리계획(변경)결정 조서 및 도면</v>
      </c>
      <c r="O18" s="37"/>
      <c r="P18" s="37"/>
      <c r="Q18" s="37"/>
      <c r="R18" s="37"/>
      <c r="S18" s="37"/>
      <c r="T18" s="37"/>
      <c r="U18" s="562"/>
      <c r="V18" s="500"/>
      <c r="W18" s="501">
        <f t="array" aca="1" ref="W18" ca="1">SUM(ROUNDDOWN(D46:I46*단가,0))</f>
        <v>10298920</v>
      </c>
      <c r="X18" s="502"/>
      <c r="Y18" s="170" t="str">
        <f t="shared" si="2"/>
        <v>제 3 호표</v>
      </c>
      <c r="Z18" s="150"/>
    </row>
    <row r="19" spans="1:26" ht="18" customHeight="1">
      <c r="A19" s="355"/>
      <c r="B19" s="223" t="s">
        <v>1400</v>
      </c>
      <c r="C19" s="237"/>
      <c r="D19" s="588">
        <v>1.1000000000000001</v>
      </c>
      <c r="E19" s="589">
        <v>1.8</v>
      </c>
      <c r="F19" s="589">
        <v>10.8</v>
      </c>
      <c r="G19" s="589">
        <v>12.6</v>
      </c>
      <c r="H19" s="589">
        <v>27</v>
      </c>
      <c r="I19" s="590">
        <v>21.6</v>
      </c>
      <c r="J19" s="389" t="s">
        <v>1090</v>
      </c>
      <c r="L19" s="494">
        <v>1</v>
      </c>
      <c r="N19" s="292" t="str">
        <f t="shared" si="1"/>
        <v>2.2 도시·군관리계획(변경)결정사유서 및 개발(사업)계획서</v>
      </c>
      <c r="O19" s="37"/>
      <c r="P19" s="37"/>
      <c r="Q19" s="37"/>
      <c r="R19" s="37"/>
      <c r="S19" s="37"/>
      <c r="T19" s="37"/>
      <c r="U19" s="562"/>
      <c r="V19" s="500"/>
      <c r="W19" s="501">
        <f t="array" aca="1" ref="W19" ca="1">SUM(ROUNDDOWN(D47:I47*단가,0))</f>
        <v>20021530</v>
      </c>
      <c r="X19" s="502"/>
      <c r="Y19" s="170" t="str">
        <f t="shared" si="2"/>
        <v>제 4 호표</v>
      </c>
      <c r="Z19" s="150"/>
    </row>
    <row r="20" spans="1:26" ht="18" customHeight="1">
      <c r="A20" s="355"/>
      <c r="B20" s="223" t="s">
        <v>1401</v>
      </c>
      <c r="C20" s="237"/>
      <c r="D20" s="588">
        <v>0.7</v>
      </c>
      <c r="E20" s="589">
        <v>1.8</v>
      </c>
      <c r="F20" s="589">
        <v>4.3</v>
      </c>
      <c r="G20" s="589">
        <v>5.4</v>
      </c>
      <c r="H20" s="589">
        <v>10.8</v>
      </c>
      <c r="I20" s="590">
        <v>15.3</v>
      </c>
      <c r="J20" s="389" t="s">
        <v>1090</v>
      </c>
      <c r="L20" s="494">
        <v>1</v>
      </c>
      <c r="N20" s="292" t="str">
        <f t="shared" si="1"/>
        <v>2.3 각종 영향 검토</v>
      </c>
      <c r="O20" s="37"/>
      <c r="P20" s="37"/>
      <c r="Q20" s="37"/>
      <c r="R20" s="37"/>
      <c r="S20" s="37"/>
      <c r="T20" s="37"/>
      <c r="U20" s="562"/>
      <c r="V20" s="500"/>
      <c r="W20" s="501">
        <f t="array" aca="1" ref="W20" ca="1">SUM(ROUNDDOWN(D48:I48*단가,0))</f>
        <v>10298920</v>
      </c>
      <c r="X20" s="502"/>
      <c r="Y20" s="170" t="str">
        <f t="shared" si="2"/>
        <v>제 5 호표</v>
      </c>
      <c r="Z20" s="150"/>
    </row>
    <row r="21" spans="1:26" ht="18" customHeight="1">
      <c r="A21" s="355"/>
      <c r="B21" s="223" t="s">
        <v>1402</v>
      </c>
      <c r="C21" s="237"/>
      <c r="D21" s="588">
        <v>1.1000000000000001</v>
      </c>
      <c r="E21" s="589">
        <v>1.1000000000000001</v>
      </c>
      <c r="F21" s="589">
        <v>2.2000000000000002</v>
      </c>
      <c r="G21" s="589">
        <v>3.6</v>
      </c>
      <c r="H21" s="589">
        <v>5.4</v>
      </c>
      <c r="I21" s="590">
        <v>8.1</v>
      </c>
      <c r="J21" s="389" t="s">
        <v>1090</v>
      </c>
      <c r="L21" s="494">
        <v>1</v>
      </c>
      <c r="N21" s="292" t="str">
        <f t="shared" si="1"/>
        <v>2.4 공고에 따른 의견내용 및 조치결과 작성</v>
      </c>
      <c r="O21" s="37"/>
      <c r="P21" s="37"/>
      <c r="Q21" s="37"/>
      <c r="R21" s="37"/>
      <c r="S21" s="37"/>
      <c r="T21" s="37"/>
      <c r="U21" s="562"/>
      <c r="V21" s="500"/>
      <c r="W21" s="501">
        <f t="array" aca="1" ref="W21" ca="1">SUM(ROUNDDOWN(D49:I49*단가,0))</f>
        <v>5968248</v>
      </c>
      <c r="X21" s="502"/>
      <c r="Y21" s="170" t="str">
        <f t="shared" si="2"/>
        <v>제 6 호표</v>
      </c>
      <c r="Z21" s="150"/>
    </row>
    <row r="22" spans="1:26" ht="18" customHeight="1">
      <c r="A22" s="355"/>
      <c r="B22" s="223" t="s">
        <v>1404</v>
      </c>
      <c r="C22" s="237"/>
      <c r="D22" s="588">
        <v>0.7</v>
      </c>
      <c r="E22" s="589">
        <v>1.8</v>
      </c>
      <c r="F22" s="589">
        <v>4.3</v>
      </c>
      <c r="G22" s="589">
        <v>5.4</v>
      </c>
      <c r="H22" s="589">
        <v>10.8</v>
      </c>
      <c r="I22" s="590">
        <v>15.3</v>
      </c>
      <c r="J22" s="389" t="s">
        <v>1090</v>
      </c>
      <c r="L22" s="494">
        <v>1</v>
      </c>
      <c r="N22" s="292" t="str">
        <f t="shared" si="1"/>
        <v>2.5 용도지역·지구 변경에 관한 계획</v>
      </c>
      <c r="O22" s="37"/>
      <c r="P22" s="37"/>
      <c r="Q22" s="37"/>
      <c r="R22" s="37"/>
      <c r="S22" s="37"/>
      <c r="T22" s="37"/>
      <c r="U22" s="562"/>
      <c r="V22" s="500"/>
      <c r="W22" s="501">
        <f t="array" aca="1" ref="W22" ca="1">SUM(ROUNDDOWN(D50:I50*단가,0))</f>
        <v>10298920</v>
      </c>
      <c r="X22" s="502"/>
      <c r="Y22" s="170" t="str">
        <f t="shared" si="2"/>
        <v>제 7 호표</v>
      </c>
      <c r="Z22" s="150"/>
    </row>
    <row r="23" spans="1:26" ht="18" customHeight="1">
      <c r="A23" s="355"/>
      <c r="B23" s="223" t="s">
        <v>1403</v>
      </c>
      <c r="C23" s="237"/>
      <c r="D23" s="588">
        <v>0.7</v>
      </c>
      <c r="E23" s="589">
        <v>1.8</v>
      </c>
      <c r="F23" s="589">
        <v>4.3</v>
      </c>
      <c r="G23" s="589">
        <v>5.4</v>
      </c>
      <c r="H23" s="589">
        <v>10.8</v>
      </c>
      <c r="I23" s="590">
        <v>15.3</v>
      </c>
      <c r="J23" s="389" t="s">
        <v>1090</v>
      </c>
      <c r="L23" s="494">
        <v>1</v>
      </c>
      <c r="N23" s="292" t="str">
        <f t="shared" si="1"/>
        <v>2.6 개발제한구역 해제를 위한 지구단위계획</v>
      </c>
      <c r="O23" s="37"/>
      <c r="P23" s="37"/>
      <c r="Q23" s="37"/>
      <c r="R23" s="37"/>
      <c r="S23" s="37"/>
      <c r="T23" s="37"/>
      <c r="U23" s="562"/>
      <c r="V23" s="500"/>
      <c r="W23" s="501">
        <f t="array" aca="1" ref="W23" ca="1">SUM(ROUNDDOWN(D51:I51*단가,0))</f>
        <v>10298920</v>
      </c>
      <c r="X23" s="502"/>
      <c r="Y23" s="170" t="str">
        <f t="shared" si="2"/>
        <v>제 8 호표</v>
      </c>
      <c r="Z23" s="150"/>
    </row>
    <row r="24" spans="1:26" ht="18" customHeight="1">
      <c r="A24" s="355"/>
      <c r="B24" s="223" t="s">
        <v>1405</v>
      </c>
      <c r="C24" s="237"/>
      <c r="D24" s="588">
        <v>0</v>
      </c>
      <c r="E24" s="589">
        <v>2.2000000000000002</v>
      </c>
      <c r="F24" s="589">
        <v>4.3</v>
      </c>
      <c r="G24" s="589">
        <v>5.4</v>
      </c>
      <c r="H24" s="589">
        <v>10.8</v>
      </c>
      <c r="I24" s="590">
        <v>15.3</v>
      </c>
      <c r="J24" s="389" t="s">
        <v>1090</v>
      </c>
      <c r="L24" s="494">
        <v>1</v>
      </c>
      <c r="N24" s="292" t="str">
        <f t="shared" si="1"/>
        <v>2.7 지적도 및 토지조서, 권리조서 작성</v>
      </c>
      <c r="O24" s="37"/>
      <c r="P24" s="37"/>
      <c r="Q24" s="37"/>
      <c r="R24" s="37"/>
      <c r="S24" s="37"/>
      <c r="T24" s="37"/>
      <c r="U24" s="562"/>
      <c r="V24" s="500"/>
      <c r="W24" s="501">
        <f t="array" aca="1" ref="W24" ca="1">SUM(ROUNDDOWN(D52:I52*단가,0))</f>
        <v>10121210</v>
      </c>
      <c r="X24" s="502"/>
      <c r="Y24" s="170" t="str">
        <f t="shared" si="2"/>
        <v>제 9 호표</v>
      </c>
      <c r="Z24" s="150"/>
    </row>
    <row r="25" spans="1:26" ht="18" customHeight="1">
      <c r="A25" s="355"/>
      <c r="B25" s="223" t="s">
        <v>1406</v>
      </c>
      <c r="C25" s="237"/>
      <c r="D25" s="588">
        <v>0.4</v>
      </c>
      <c r="E25" s="589">
        <v>0.7</v>
      </c>
      <c r="F25" s="589">
        <v>1.4</v>
      </c>
      <c r="G25" s="589">
        <v>2.2000000000000002</v>
      </c>
      <c r="H25" s="589">
        <v>3.6</v>
      </c>
      <c r="I25" s="590">
        <v>4.5</v>
      </c>
      <c r="J25" s="389" t="s">
        <v>1090</v>
      </c>
      <c r="L25" s="494">
        <v>1</v>
      </c>
      <c r="N25" s="292" t="str">
        <f t="shared" si="1"/>
        <v>2.8 도시·군계획시설 재검토서</v>
      </c>
      <c r="O25" s="37"/>
      <c r="P25" s="37"/>
      <c r="Q25" s="37"/>
      <c r="R25" s="37"/>
      <c r="S25" s="37"/>
      <c r="T25" s="37"/>
      <c r="U25" s="562"/>
      <c r="V25" s="500"/>
      <c r="W25" s="501">
        <f t="array" aca="1" ref="W25" ca="1">SUM(ROUNDDOWN(D53:I53*단가,0))</f>
        <v>3505816</v>
      </c>
      <c r="X25" s="502"/>
      <c r="Y25" s="170" t="str">
        <f t="shared" si="2"/>
        <v>제 10 호표</v>
      </c>
      <c r="Z25" s="150"/>
    </row>
    <row r="26" spans="1:26" ht="18" customHeight="1">
      <c r="A26" s="326"/>
      <c r="B26" s="222" t="s">
        <v>809</v>
      </c>
      <c r="C26" s="47"/>
      <c r="D26" s="591">
        <f t="shared" ref="D26:I26" si="4">SUBTOTAL(9,D27:D32)</f>
        <v>2.1999999999999997</v>
      </c>
      <c r="E26" s="592">
        <f t="shared" si="4"/>
        <v>4.7</v>
      </c>
      <c r="F26" s="592">
        <f t="shared" si="4"/>
        <v>11.3</v>
      </c>
      <c r="G26" s="592">
        <f t="shared" si="4"/>
        <v>14.100000000000001</v>
      </c>
      <c r="H26" s="592">
        <f t="shared" si="4"/>
        <v>25.2</v>
      </c>
      <c r="I26" s="593">
        <f t="shared" si="4"/>
        <v>34.4</v>
      </c>
      <c r="J26" s="594"/>
      <c r="L26" s="494"/>
      <c r="N26" s="354" t="str">
        <f t="shared" ref="N26:N40" si="5">B26</f>
        <v>3. 개발제한구역 해제를 위한 검토</v>
      </c>
      <c r="O26" s="37"/>
      <c r="P26" s="37"/>
      <c r="Q26" s="37"/>
      <c r="R26" s="37"/>
      <c r="S26" s="37"/>
      <c r="T26" s="37"/>
      <c r="U26" s="562"/>
      <c r="V26" s="500"/>
      <c r="W26" s="486">
        <f ca="1">SUBTOTAL(9,W27:W32)</f>
        <v>24993620</v>
      </c>
      <c r="X26" s="502"/>
      <c r="Y26" s="170" t="str">
        <f t="shared" si="2"/>
        <v/>
      </c>
      <c r="Z26" s="150"/>
    </row>
    <row r="27" spans="1:26" ht="18" customHeight="1">
      <c r="A27" s="326"/>
      <c r="B27" s="223" t="s">
        <v>1407</v>
      </c>
      <c r="C27" s="237"/>
      <c r="D27" s="588">
        <v>0.2</v>
      </c>
      <c r="E27" s="589">
        <v>0.4</v>
      </c>
      <c r="F27" s="589">
        <v>0.8</v>
      </c>
      <c r="G27" s="589">
        <v>1.2</v>
      </c>
      <c r="H27" s="589">
        <v>2</v>
      </c>
      <c r="I27" s="590">
        <v>2.5</v>
      </c>
      <c r="J27" s="389" t="s">
        <v>1090</v>
      </c>
      <c r="L27" s="494">
        <v>1</v>
      </c>
      <c r="N27" s="292" t="str">
        <f t="shared" si="5"/>
        <v>3.1 공공기여 방안</v>
      </c>
      <c r="O27" s="37"/>
      <c r="P27" s="37"/>
      <c r="Q27" s="37"/>
      <c r="R27" s="37"/>
      <c r="S27" s="37"/>
      <c r="T27" s="37"/>
      <c r="U27" s="562"/>
      <c r="V27" s="500"/>
      <c r="W27" s="501">
        <f t="array" aca="1" ref="W27" ca="1">SUM(ROUNDDOWN(D55:I55*단가,0))</f>
        <v>1941791</v>
      </c>
      <c r="X27" s="502"/>
      <c r="Y27" s="170" t="str">
        <f t="shared" si="2"/>
        <v>제 11 호표</v>
      </c>
      <c r="Z27" s="150"/>
    </row>
    <row r="28" spans="1:26" ht="18" customHeight="1">
      <c r="A28" s="326"/>
      <c r="B28" s="223" t="s">
        <v>1408</v>
      </c>
      <c r="C28" s="237"/>
      <c r="D28" s="588">
        <v>0.2</v>
      </c>
      <c r="E28" s="589">
        <v>0.4</v>
      </c>
      <c r="F28" s="589">
        <v>0.8</v>
      </c>
      <c r="G28" s="589">
        <v>1.2</v>
      </c>
      <c r="H28" s="589">
        <v>2</v>
      </c>
      <c r="I28" s="590">
        <v>2.5</v>
      </c>
      <c r="J28" s="389" t="s">
        <v>1090</v>
      </c>
      <c r="L28" s="494">
        <v>1</v>
      </c>
      <c r="N28" s="292" t="str">
        <f t="shared" si="5"/>
        <v xml:space="preserve">3.2 난개발확산방지, 투기행위방지 </v>
      </c>
      <c r="O28" s="37"/>
      <c r="P28" s="37"/>
      <c r="Q28" s="37"/>
      <c r="R28" s="37"/>
      <c r="S28" s="37"/>
      <c r="T28" s="37"/>
      <c r="U28" s="562"/>
      <c r="V28" s="500"/>
      <c r="W28" s="501">
        <f t="array" aca="1" ref="W28" ca="1">SUM(ROUNDDOWN(D56:I56*단가,0))</f>
        <v>1941791</v>
      </c>
      <c r="X28" s="502"/>
      <c r="Y28" s="170" t="str">
        <f t="shared" si="2"/>
        <v>제 12 호표</v>
      </c>
      <c r="Z28" s="150"/>
    </row>
    <row r="29" spans="1:26" ht="18" customHeight="1">
      <c r="A29" s="326"/>
      <c r="B29" s="223" t="s">
        <v>1409</v>
      </c>
      <c r="C29" s="237"/>
      <c r="D29" s="588">
        <v>1</v>
      </c>
      <c r="E29" s="589">
        <v>1</v>
      </c>
      <c r="F29" s="589">
        <v>2</v>
      </c>
      <c r="G29" s="589">
        <v>3</v>
      </c>
      <c r="H29" s="589">
        <v>4</v>
      </c>
      <c r="I29" s="590">
        <v>8</v>
      </c>
      <c r="J29" s="389" t="s">
        <v>1090</v>
      </c>
      <c r="L29" s="494">
        <v>1</v>
      </c>
      <c r="N29" s="292" t="str">
        <f t="shared" si="5"/>
        <v>3.3 훼손지 복구계획</v>
      </c>
      <c r="O29" s="37"/>
      <c r="P29" s="37"/>
      <c r="Q29" s="37"/>
      <c r="R29" s="37"/>
      <c r="S29" s="37"/>
      <c r="T29" s="37"/>
      <c r="U29" s="562"/>
      <c r="V29" s="500"/>
      <c r="W29" s="501">
        <f t="array" aca="1" ref="W29" ca="1">SUM(ROUNDDOWN(D57:I57*단가,0))</f>
        <v>5290284</v>
      </c>
      <c r="X29" s="502"/>
      <c r="Y29" s="170" t="str">
        <f t="shared" si="2"/>
        <v>제 13 호표</v>
      </c>
      <c r="Z29" s="150"/>
    </row>
    <row r="30" spans="1:26" ht="18" customHeight="1">
      <c r="A30" s="595"/>
      <c r="B30" s="568" t="s">
        <v>1410</v>
      </c>
      <c r="C30" s="567"/>
      <c r="D30" s="596">
        <v>0</v>
      </c>
      <c r="E30" s="597">
        <v>1.2</v>
      </c>
      <c r="F30" s="597">
        <v>2.4</v>
      </c>
      <c r="G30" s="597">
        <v>3</v>
      </c>
      <c r="H30" s="597">
        <v>6</v>
      </c>
      <c r="I30" s="598">
        <v>8.5</v>
      </c>
      <c r="J30" s="389" t="s">
        <v>1090</v>
      </c>
      <c r="L30" s="494">
        <v>1</v>
      </c>
      <c r="N30" s="292" t="str">
        <f t="shared" si="5"/>
        <v>3.4 부담금 산정</v>
      </c>
      <c r="O30" s="37"/>
      <c r="P30" s="37"/>
      <c r="Q30" s="37"/>
      <c r="R30" s="37"/>
      <c r="S30" s="37"/>
      <c r="T30" s="37"/>
      <c r="U30" s="562"/>
      <c r="V30" s="500"/>
      <c r="W30" s="501">
        <f t="array" aca="1" ref="W30" ca="1">SUM(ROUNDDOWN(D58:I58*단가,0))</f>
        <v>5618051</v>
      </c>
      <c r="X30" s="502"/>
      <c r="Y30" s="170" t="str">
        <f t="shared" si="2"/>
        <v>제 14 호표</v>
      </c>
      <c r="Z30" s="150"/>
    </row>
    <row r="31" spans="1:26" ht="18" customHeight="1">
      <c r="A31" s="599"/>
      <c r="B31" s="568" t="s">
        <v>1411</v>
      </c>
      <c r="C31" s="567"/>
      <c r="D31" s="596">
        <v>0.4</v>
      </c>
      <c r="E31" s="597">
        <v>1</v>
      </c>
      <c r="F31" s="597">
        <v>2.4</v>
      </c>
      <c r="G31" s="597">
        <v>3</v>
      </c>
      <c r="H31" s="597">
        <v>6</v>
      </c>
      <c r="I31" s="598">
        <v>8.5</v>
      </c>
      <c r="J31" s="389" t="s">
        <v>1090</v>
      </c>
      <c r="L31" s="494">
        <v>1</v>
      </c>
      <c r="N31" s="292" t="str">
        <f t="shared" si="5"/>
        <v>3.5 개발수요 검토</v>
      </c>
      <c r="O31" s="37"/>
      <c r="P31" s="37"/>
      <c r="Q31" s="37"/>
      <c r="R31" s="37"/>
      <c r="S31" s="37"/>
      <c r="T31" s="37"/>
      <c r="U31" s="562"/>
      <c r="V31" s="500"/>
      <c r="W31" s="501">
        <f t="array" aca="1" ref="W31" ca="1">SUM(ROUNDDOWN(D59:I59*단가,0))</f>
        <v>5730267</v>
      </c>
      <c r="X31" s="502"/>
      <c r="Y31" s="170" t="str">
        <f t="shared" si="2"/>
        <v>제 15 호표</v>
      </c>
      <c r="Z31" s="150"/>
    </row>
    <row r="32" spans="1:26" ht="18" customHeight="1">
      <c r="A32" s="595"/>
      <c r="B32" s="568" t="s">
        <v>1412</v>
      </c>
      <c r="C32" s="567"/>
      <c r="D32" s="596">
        <v>0.4</v>
      </c>
      <c r="E32" s="597">
        <v>0.7</v>
      </c>
      <c r="F32" s="597">
        <v>2.9</v>
      </c>
      <c r="G32" s="597">
        <v>2.7</v>
      </c>
      <c r="H32" s="597">
        <v>5.2</v>
      </c>
      <c r="I32" s="598">
        <v>4.4000000000000004</v>
      </c>
      <c r="J32" s="389" t="s">
        <v>1090</v>
      </c>
      <c r="L32" s="494">
        <v>1</v>
      </c>
      <c r="N32" s="292" t="str">
        <f t="shared" si="5"/>
        <v>3.6 재원조달계획</v>
      </c>
      <c r="O32" s="37"/>
      <c r="P32" s="37"/>
      <c r="Q32" s="37"/>
      <c r="R32" s="37"/>
      <c r="S32" s="37"/>
      <c r="T32" s="37"/>
      <c r="U32" s="562"/>
      <c r="V32" s="500"/>
      <c r="W32" s="501">
        <f t="array" aca="1" ref="W32" ca="1">SUM(ROUNDDOWN(D60:I60*단가,0))</f>
        <v>4471436</v>
      </c>
      <c r="X32" s="502"/>
      <c r="Y32" s="170" t="str">
        <f t="shared" si="2"/>
        <v>제 16 호표</v>
      </c>
      <c r="Z32" s="150"/>
    </row>
    <row r="33" spans="1:26" ht="18" customHeight="1">
      <c r="A33" s="326"/>
      <c r="B33" s="222" t="s">
        <v>259</v>
      </c>
      <c r="C33" s="47"/>
      <c r="D33" s="591">
        <f t="shared" ref="D33:I33" si="6">SUBTOTAL(9,D34:D35)</f>
        <v>0.30000000000000004</v>
      </c>
      <c r="E33" s="592">
        <f t="shared" si="6"/>
        <v>0.5</v>
      </c>
      <c r="F33" s="592">
        <f t="shared" si="6"/>
        <v>1.2000000000000002</v>
      </c>
      <c r="G33" s="592">
        <f t="shared" si="6"/>
        <v>2.2000000000000002</v>
      </c>
      <c r="H33" s="592">
        <f t="shared" si="6"/>
        <v>7.1999999999999993</v>
      </c>
      <c r="I33" s="593">
        <f t="shared" si="6"/>
        <v>7.8000000000000007</v>
      </c>
      <c r="J33" s="594"/>
      <c r="L33" s="494"/>
      <c r="N33" s="79" t="str">
        <f t="shared" si="5"/>
        <v>4. 성과품작성</v>
      </c>
      <c r="O33" s="37"/>
      <c r="P33" s="37"/>
      <c r="Q33" s="37"/>
      <c r="R33" s="37"/>
      <c r="S33" s="37"/>
      <c r="T33" s="37"/>
      <c r="U33" s="562"/>
      <c r="V33" s="500"/>
      <c r="W33" s="486">
        <f ca="1">SUBTOTAL(9,W34:W35)</f>
        <v>4995184</v>
      </c>
      <c r="X33" s="502"/>
      <c r="Y33" s="170" t="str">
        <f t="shared" si="2"/>
        <v/>
      </c>
      <c r="Z33" s="150"/>
    </row>
    <row r="34" spans="1:26" ht="18" customHeight="1">
      <c r="A34" s="326"/>
      <c r="B34" s="223" t="s">
        <v>1413</v>
      </c>
      <c r="C34" s="237"/>
      <c r="D34" s="588">
        <v>0.2</v>
      </c>
      <c r="E34" s="589">
        <v>0.3</v>
      </c>
      <c r="F34" s="589">
        <v>0.8</v>
      </c>
      <c r="G34" s="589">
        <v>1.5</v>
      </c>
      <c r="H34" s="589">
        <v>4.8</v>
      </c>
      <c r="I34" s="590">
        <v>5.2</v>
      </c>
      <c r="J34" s="400" t="s">
        <v>1090</v>
      </c>
      <c r="L34" s="494">
        <v>1</v>
      </c>
      <c r="N34" s="292" t="str">
        <f t="shared" si="5"/>
        <v>4.1 보고서작성 및 편집</v>
      </c>
      <c r="O34" s="37"/>
      <c r="P34" s="37"/>
      <c r="Q34" s="37"/>
      <c r="R34" s="37"/>
      <c r="S34" s="37"/>
      <c r="T34" s="37"/>
      <c r="U34" s="562"/>
      <c r="V34" s="500"/>
      <c r="W34" s="501">
        <f t="array" aca="1" ref="W34" ca="1">SUM(ROUNDDOWN(D62:I62*단가,0))</f>
        <v>3327517</v>
      </c>
      <c r="X34" s="502"/>
      <c r="Y34" s="170" t="str">
        <f t="shared" si="2"/>
        <v>제 17 호표</v>
      </c>
      <c r="Z34" s="150"/>
    </row>
    <row r="35" spans="1:26" ht="18" customHeight="1">
      <c r="A35" s="326"/>
      <c r="B35" s="259" t="s">
        <v>1414</v>
      </c>
      <c r="C35" s="264"/>
      <c r="D35" s="682">
        <v>0.1</v>
      </c>
      <c r="E35" s="683">
        <v>0.2</v>
      </c>
      <c r="F35" s="683">
        <v>0.4</v>
      </c>
      <c r="G35" s="683">
        <v>0.7</v>
      </c>
      <c r="H35" s="683">
        <v>2.4</v>
      </c>
      <c r="I35" s="684">
        <v>2.6</v>
      </c>
      <c r="J35" s="685" t="s">
        <v>1090</v>
      </c>
      <c r="L35" s="494">
        <v>1</v>
      </c>
      <c r="N35" s="292" t="str">
        <f t="shared" si="5"/>
        <v>4.2 관련도서작성</v>
      </c>
      <c r="O35" s="37"/>
      <c r="P35" s="37"/>
      <c r="Q35" s="37"/>
      <c r="R35" s="37"/>
      <c r="S35" s="37"/>
      <c r="T35" s="37"/>
      <c r="U35" s="562"/>
      <c r="V35" s="500"/>
      <c r="W35" s="501">
        <f t="array" aca="1" ref="W35" ca="1">SUM(ROUNDDOWN(D63:I63*단가,0))</f>
        <v>1667667</v>
      </c>
      <c r="X35" s="502"/>
      <c r="Y35" s="170" t="str">
        <f t="shared" si="2"/>
        <v>제 18 호표</v>
      </c>
      <c r="Z35" s="150"/>
    </row>
    <row r="36" spans="1:26" ht="18" customHeight="1">
      <c r="A36" s="326"/>
      <c r="B36" s="222" t="s">
        <v>241</v>
      </c>
      <c r="C36" s="47"/>
      <c r="D36" s="686">
        <f t="shared" ref="D36:I36" si="7">SUBTOTAL(9,D37:D40)</f>
        <v>8</v>
      </c>
      <c r="E36" s="687">
        <f t="shared" si="7"/>
        <v>8</v>
      </c>
      <c r="F36" s="687">
        <f t="shared" si="7"/>
        <v>8</v>
      </c>
      <c r="G36" s="687">
        <f t="shared" si="7"/>
        <v>16</v>
      </c>
      <c r="H36" s="687">
        <f t="shared" si="7"/>
        <v>16</v>
      </c>
      <c r="I36" s="688">
        <f t="shared" si="7"/>
        <v>16</v>
      </c>
      <c r="J36" s="620"/>
      <c r="N36" s="79" t="str">
        <f t="shared" si="5"/>
        <v>5. 기술협의</v>
      </c>
      <c r="O36" s="37"/>
      <c r="P36" s="39"/>
      <c r="Q36" s="37"/>
      <c r="R36" s="117"/>
      <c r="S36" s="37"/>
      <c r="T36" s="37"/>
      <c r="U36" s="556"/>
      <c r="V36" s="500"/>
      <c r="W36" s="486">
        <f ca="1">SUBTOTAL(9,W37:W40)</f>
        <v>21702576</v>
      </c>
      <c r="X36" s="502"/>
      <c r="Y36" s="170" t="str">
        <f t="shared" si="2"/>
        <v/>
      </c>
      <c r="Z36" s="150"/>
    </row>
    <row r="37" spans="1:26" ht="18" customHeight="1">
      <c r="A37" s="326"/>
      <c r="B37" s="223" t="s">
        <v>1415</v>
      </c>
      <c r="C37" s="237"/>
      <c r="D37" s="488">
        <v>2</v>
      </c>
      <c r="E37" s="489">
        <v>2</v>
      </c>
      <c r="F37" s="489">
        <v>2</v>
      </c>
      <c r="G37" s="489">
        <v>4</v>
      </c>
      <c r="H37" s="489">
        <v>4</v>
      </c>
      <c r="I37" s="490">
        <v>4</v>
      </c>
      <c r="J37" s="389" t="s">
        <v>1420</v>
      </c>
      <c r="L37" s="494">
        <v>1</v>
      </c>
      <c r="N37" s="292" t="str">
        <f t="shared" si="5"/>
        <v>5.1 공청회/주민설명회</v>
      </c>
      <c r="O37" s="37"/>
      <c r="P37" s="39"/>
      <c r="Q37" s="37"/>
      <c r="R37" s="117"/>
      <c r="S37" s="37"/>
      <c r="T37" s="37"/>
      <c r="U37" s="556"/>
      <c r="V37" s="500"/>
      <c r="W37" s="501">
        <f t="array" aca="1" ref="W37" ca="1">SUM(ROUNDDOWN(D65:I65*단가,0))</f>
        <v>5425644</v>
      </c>
      <c r="X37" s="502"/>
      <c r="Y37" s="170" t="str">
        <f t="shared" si="2"/>
        <v>제 19 호표</v>
      </c>
      <c r="Z37" s="150"/>
    </row>
    <row r="38" spans="1:26" ht="18" customHeight="1">
      <c r="A38" s="326"/>
      <c r="B38" s="223" t="s">
        <v>1416</v>
      </c>
      <c r="C38" s="237"/>
      <c r="D38" s="488">
        <v>2</v>
      </c>
      <c r="E38" s="489">
        <v>2</v>
      </c>
      <c r="F38" s="489">
        <v>2</v>
      </c>
      <c r="G38" s="489">
        <v>4</v>
      </c>
      <c r="H38" s="489">
        <v>4</v>
      </c>
      <c r="I38" s="490">
        <v>4</v>
      </c>
      <c r="J38" s="389" t="s">
        <v>1094</v>
      </c>
      <c r="L38" s="494">
        <v>1</v>
      </c>
      <c r="N38" s="292" t="str">
        <f t="shared" si="5"/>
        <v>5.2 주민간담회/시민계획단</v>
      </c>
      <c r="O38" s="37"/>
      <c r="P38" s="39"/>
      <c r="Q38" s="37"/>
      <c r="R38" s="117"/>
      <c r="S38" s="37"/>
      <c r="T38" s="37"/>
      <c r="U38" s="556"/>
      <c r="V38" s="500"/>
      <c r="W38" s="501">
        <f t="array" aca="1" ref="W38" ca="1">SUM(ROUNDDOWN(D66:I66*단가,0))</f>
        <v>5425644</v>
      </c>
      <c r="X38" s="502"/>
      <c r="Y38" s="170" t="str">
        <f t="shared" si="2"/>
        <v>제 20 호표</v>
      </c>
      <c r="Z38" s="150"/>
    </row>
    <row r="39" spans="1:26" ht="18" customHeight="1">
      <c r="A39" s="326"/>
      <c r="B39" s="223" t="s">
        <v>1417</v>
      </c>
      <c r="C39" s="237"/>
      <c r="D39" s="488">
        <v>2</v>
      </c>
      <c r="E39" s="489">
        <v>2</v>
      </c>
      <c r="F39" s="489">
        <v>2</v>
      </c>
      <c r="G39" s="489">
        <v>4</v>
      </c>
      <c r="H39" s="489">
        <v>4</v>
      </c>
      <c r="I39" s="490">
        <v>4</v>
      </c>
      <c r="J39" s="389" t="s">
        <v>1094</v>
      </c>
      <c r="L39" s="494">
        <v>1</v>
      </c>
      <c r="N39" s="292" t="str">
        <f t="shared" si="5"/>
        <v>5.3 위원회심의 지원</v>
      </c>
      <c r="O39" s="37"/>
      <c r="P39" s="39"/>
      <c r="Q39" s="37"/>
      <c r="R39" s="117"/>
      <c r="S39" s="37"/>
      <c r="T39" s="37"/>
      <c r="U39" s="556"/>
      <c r="V39" s="500"/>
      <c r="W39" s="501">
        <f t="array" aca="1" ref="W39" ca="1">SUM(ROUNDDOWN(D67:I67*단가,0))</f>
        <v>5425644</v>
      </c>
      <c r="X39" s="502"/>
      <c r="Y39" s="170" t="str">
        <f t="shared" si="2"/>
        <v>제 21 호표</v>
      </c>
      <c r="Z39" s="150"/>
    </row>
    <row r="40" spans="1:26" ht="18" customHeight="1" thickBot="1">
      <c r="A40" s="326"/>
      <c r="B40" s="223" t="s">
        <v>1418</v>
      </c>
      <c r="C40" s="237"/>
      <c r="D40" s="488">
        <v>2</v>
      </c>
      <c r="E40" s="489">
        <v>2</v>
      </c>
      <c r="F40" s="489">
        <v>2</v>
      </c>
      <c r="G40" s="489">
        <v>4</v>
      </c>
      <c r="H40" s="489">
        <v>4</v>
      </c>
      <c r="I40" s="490">
        <v>4</v>
      </c>
      <c r="J40" s="612" t="s">
        <v>1094</v>
      </c>
      <c r="L40" s="494">
        <v>1</v>
      </c>
      <c r="N40" s="292" t="str">
        <f t="shared" si="5"/>
        <v>5.4 관계기관 협의</v>
      </c>
      <c r="O40" s="37"/>
      <c r="P40" s="39"/>
      <c r="Q40" s="37"/>
      <c r="R40" s="117"/>
      <c r="S40" s="37"/>
      <c r="T40" s="37"/>
      <c r="U40" s="556"/>
      <c r="V40" s="500"/>
      <c r="W40" s="501">
        <f t="array" aca="1" ref="W40" ca="1">SUM(ROUNDDOWN(D68:I68*단가,0))</f>
        <v>5425644</v>
      </c>
      <c r="X40" s="502"/>
      <c r="Y40" s="170" t="str">
        <f t="shared" si="2"/>
        <v>제 22 호표</v>
      </c>
      <c r="Z40" s="150"/>
    </row>
    <row r="41" spans="1:26" ht="18" customHeight="1" thickBot="1">
      <c r="A41" s="326"/>
      <c r="B41" s="14" t="s">
        <v>30</v>
      </c>
      <c r="C41" s="250"/>
      <c r="D41" s="249" t="s">
        <v>12</v>
      </c>
      <c r="E41" s="251"/>
      <c r="F41" s="251"/>
      <c r="G41" s="251"/>
      <c r="H41" s="251"/>
      <c r="I41" s="250"/>
      <c r="J41" s="175" t="s">
        <v>31</v>
      </c>
      <c r="N41" s="290" t="s">
        <v>10</v>
      </c>
      <c r="O41" s="129"/>
      <c r="P41" s="130"/>
      <c r="Q41" s="124"/>
      <c r="R41" s="131"/>
      <c r="S41" s="124"/>
      <c r="T41" s="124"/>
      <c r="U41" s="476"/>
      <c r="V41" s="476"/>
      <c r="W41" s="517">
        <f>SUBTOTAL(9,W42:W44)</f>
        <v>0</v>
      </c>
      <c r="X41" s="478"/>
      <c r="Y41" s="124"/>
      <c r="Z41" s="124"/>
    </row>
    <row r="42" spans="1:26" ht="18" customHeight="1">
      <c r="A42" s="326"/>
      <c r="B42" s="73" t="str">
        <f t="shared" ref="B42:B68" si="8">B14</f>
        <v>1. 조사 및 분석</v>
      </c>
      <c r="C42" s="72"/>
      <c r="D42" s="585">
        <f t="shared" ref="D42:I42" si="9">SUBTOTAL(9,D43:D44)</f>
        <v>1.7000000000000002</v>
      </c>
      <c r="E42" s="586">
        <f t="shared" si="9"/>
        <v>5.9</v>
      </c>
      <c r="F42" s="586">
        <f t="shared" si="9"/>
        <v>10.7</v>
      </c>
      <c r="G42" s="586">
        <f t="shared" si="9"/>
        <v>15.2</v>
      </c>
      <c r="H42" s="586">
        <f t="shared" si="9"/>
        <v>23.5</v>
      </c>
      <c r="I42" s="587">
        <f t="shared" si="9"/>
        <v>27.1</v>
      </c>
      <c r="J42" s="73"/>
      <c r="N42" s="128" t="str">
        <f>"여비("&amp;TEXT(R42,"#인 ×")&amp;TEXT(S42,"#일 ×")&amp;TEXT(T42,"###,###원)")</f>
        <v>여비(3인 ×5일 ×100,000원)</v>
      </c>
      <c r="O42" s="78"/>
      <c r="P42" s="52"/>
      <c r="Q42" s="51"/>
      <c r="R42" s="146">
        <v>3</v>
      </c>
      <c r="S42" s="146">
        <v>5</v>
      </c>
      <c r="T42" s="519">
        <v>100000</v>
      </c>
      <c r="U42" s="550"/>
      <c r="V42" s="550"/>
      <c r="W42" s="520">
        <v>0</v>
      </c>
      <c r="X42" s="521"/>
      <c r="Y42" s="51"/>
      <c r="Z42" s="51"/>
    </row>
    <row r="43" spans="1:26" ht="18" customHeight="1">
      <c r="A43" s="326">
        <v>1</v>
      </c>
      <c r="B43" s="409" t="str">
        <f t="shared" si="8"/>
        <v>1.1 관련법규 및 계획 검토</v>
      </c>
      <c r="C43" s="237"/>
      <c r="D43" s="588">
        <f t="array" ref="D43:I44">ROUND(D15:I16*L15:L16*$D$5,1)</f>
        <v>0.8</v>
      </c>
      <c r="E43" s="589">
        <v>3.2</v>
      </c>
      <c r="F43" s="589">
        <v>5.6</v>
      </c>
      <c r="G43" s="589">
        <v>7.9</v>
      </c>
      <c r="H43" s="589">
        <v>16.2</v>
      </c>
      <c r="I43" s="590">
        <v>16.2</v>
      </c>
      <c r="J43" s="74"/>
      <c r="N43" s="79" t="s">
        <v>46</v>
      </c>
      <c r="O43" s="79"/>
      <c r="P43" s="39"/>
      <c r="Q43" s="37"/>
      <c r="R43" s="117"/>
      <c r="S43" s="37"/>
      <c r="T43" s="37"/>
      <c r="U43" s="523"/>
      <c r="V43" s="523"/>
      <c r="W43" s="524">
        <v>0</v>
      </c>
      <c r="X43" s="525"/>
      <c r="Y43" s="37"/>
      <c r="Z43" s="37"/>
    </row>
    <row r="44" spans="1:26" ht="18" customHeight="1">
      <c r="A44" s="326">
        <v>2</v>
      </c>
      <c r="B44" s="410" t="str">
        <f t="shared" si="8"/>
        <v>1.2 주변 지역과의 상관성 검토</v>
      </c>
      <c r="C44" s="237"/>
      <c r="D44" s="588">
        <v>0.9</v>
      </c>
      <c r="E44" s="589">
        <v>2.7</v>
      </c>
      <c r="F44" s="589">
        <v>5.0999999999999996</v>
      </c>
      <c r="G44" s="589">
        <v>7.3</v>
      </c>
      <c r="H44" s="589">
        <v>7.3</v>
      </c>
      <c r="I44" s="590">
        <v>10.9</v>
      </c>
      <c r="J44" s="74"/>
      <c r="N44" s="132" t="s">
        <v>13</v>
      </c>
      <c r="O44" s="132"/>
      <c r="P44" s="38"/>
      <c r="Q44" s="38"/>
      <c r="R44" s="116"/>
      <c r="S44" s="38"/>
      <c r="T44" s="38"/>
      <c r="U44" s="526"/>
      <c r="V44" s="526"/>
      <c r="W44" s="527">
        <v>0</v>
      </c>
      <c r="X44" s="528"/>
      <c r="Y44" s="38"/>
      <c r="Z44" s="38"/>
    </row>
    <row r="45" spans="1:26" ht="18" customHeight="1">
      <c r="A45" s="326"/>
      <c r="B45" s="222" t="str">
        <f t="shared" si="8"/>
        <v>2. 도시관리계획 변경(개발제한구역 해제)</v>
      </c>
      <c r="C45" s="47"/>
      <c r="D45" s="591">
        <f t="shared" ref="D45:I45" si="10">SUBTOTAL(9,D46:D53)</f>
        <v>5.4</v>
      </c>
      <c r="E45" s="592">
        <f t="shared" si="10"/>
        <v>13</v>
      </c>
      <c r="F45" s="592">
        <f t="shared" si="10"/>
        <v>35.9</v>
      </c>
      <c r="G45" s="592">
        <f t="shared" si="10"/>
        <v>45.4</v>
      </c>
      <c r="H45" s="592">
        <f t="shared" si="10"/>
        <v>89.999999999999986</v>
      </c>
      <c r="I45" s="593">
        <f t="shared" si="10"/>
        <v>110.7</v>
      </c>
      <c r="J45" s="594"/>
      <c r="N45" s="127" t="s">
        <v>47</v>
      </c>
      <c r="O45" s="123"/>
      <c r="P45" s="123"/>
      <c r="Q45" s="123"/>
      <c r="R45" s="123"/>
      <c r="S45" s="123"/>
      <c r="T45" s="123"/>
      <c r="U45" s="473"/>
      <c r="V45" s="473"/>
      <c r="W45" s="474">
        <f ca="1">SUBTOTAL(9,W46:W47)</f>
        <v>279345278</v>
      </c>
      <c r="X45" s="475"/>
      <c r="Y45" s="123"/>
      <c r="Z45" s="123"/>
    </row>
    <row r="46" spans="1:26" ht="18" customHeight="1">
      <c r="A46" s="326">
        <v>3</v>
      </c>
      <c r="B46" s="223" t="str">
        <f t="shared" si="8"/>
        <v>2.1 도시·군관리계획(변경)결정 조서 및 도면</v>
      </c>
      <c r="C46" s="237"/>
      <c r="D46" s="588">
        <f t="array" ref="D46:I53">ROUND(D18:I25*L18:L25*$D$5,1)</f>
        <v>0.7</v>
      </c>
      <c r="E46" s="589">
        <v>1.8</v>
      </c>
      <c r="F46" s="589">
        <v>4.3</v>
      </c>
      <c r="G46" s="589">
        <v>5.4</v>
      </c>
      <c r="H46" s="589">
        <v>10.8</v>
      </c>
      <c r="I46" s="590">
        <v>15.3</v>
      </c>
      <c r="J46" s="389"/>
      <c r="N46" s="133" t="s">
        <v>861</v>
      </c>
      <c r="O46" s="124"/>
      <c r="P46" s="134"/>
      <c r="Q46" s="124"/>
      <c r="R46" s="131"/>
      <c r="S46" s="124"/>
      <c r="T46" s="476"/>
      <c r="U46" s="476"/>
      <c r="V46" s="190">
        <v>1.1499999999999999</v>
      </c>
      <c r="W46" s="517">
        <f ca="1">ROUNDDOWN(W13*V46,0)</f>
        <v>178967727</v>
      </c>
      <c r="X46" s="478"/>
      <c r="Y46" s="124"/>
      <c r="Z46" s="124"/>
    </row>
    <row r="47" spans="1:26" ht="18" customHeight="1" thickBot="1">
      <c r="A47" s="326">
        <v>4</v>
      </c>
      <c r="B47" s="223" t="str">
        <f t="shared" si="8"/>
        <v>2.2 도시·군관리계획(변경)결정사유서 및 개발(사업)계획서</v>
      </c>
      <c r="C47" s="237"/>
      <c r="D47" s="588">
        <v>1.1000000000000001</v>
      </c>
      <c r="E47" s="589">
        <v>1.8</v>
      </c>
      <c r="F47" s="589">
        <v>10.8</v>
      </c>
      <c r="G47" s="589">
        <v>12.6</v>
      </c>
      <c r="H47" s="589">
        <v>27</v>
      </c>
      <c r="I47" s="590">
        <v>21.6</v>
      </c>
      <c r="J47" s="389"/>
      <c r="N47" s="135" t="s">
        <v>862</v>
      </c>
      <c r="O47" s="136"/>
      <c r="P47" s="137"/>
      <c r="Q47" s="136"/>
      <c r="R47" s="138"/>
      <c r="S47" s="136"/>
      <c r="T47" s="529"/>
      <c r="U47" s="529"/>
      <c r="V47" s="191">
        <v>0.3</v>
      </c>
      <c r="W47" s="549">
        <f ca="1">ROUNDDOWN((W13+W46)*V47,0)</f>
        <v>100377551</v>
      </c>
      <c r="X47" s="530"/>
      <c r="Y47" s="136"/>
      <c r="Z47" s="136"/>
    </row>
    <row r="48" spans="1:26" ht="18" customHeight="1">
      <c r="A48" s="326">
        <v>5</v>
      </c>
      <c r="B48" s="223" t="str">
        <f t="shared" si="8"/>
        <v>2.3 각종 영향 검토</v>
      </c>
      <c r="C48" s="237"/>
      <c r="D48" s="588">
        <v>0.7</v>
      </c>
      <c r="E48" s="589">
        <v>1.8</v>
      </c>
      <c r="F48" s="589">
        <v>4.3</v>
      </c>
      <c r="G48" s="589">
        <v>5.4</v>
      </c>
      <c r="H48" s="589">
        <v>10.8</v>
      </c>
      <c r="I48" s="590">
        <v>15.3</v>
      </c>
      <c r="J48" s="389"/>
    </row>
    <row r="49" spans="1:26" ht="18" customHeight="1">
      <c r="A49" s="326">
        <v>6</v>
      </c>
      <c r="B49" s="223" t="str">
        <f t="shared" si="8"/>
        <v>2.4 공고에 따른 의견내용 및 조치결과 작성</v>
      </c>
      <c r="C49" s="237"/>
      <c r="D49" s="588">
        <v>1.1000000000000001</v>
      </c>
      <c r="E49" s="589">
        <v>1.1000000000000001</v>
      </c>
      <c r="F49" s="589">
        <v>2.2000000000000002</v>
      </c>
      <c r="G49" s="589">
        <v>3.6</v>
      </c>
      <c r="H49" s="589">
        <v>5.4</v>
      </c>
      <c r="I49" s="590">
        <v>8.1</v>
      </c>
      <c r="J49" s="389"/>
    </row>
    <row r="50" spans="1:26" ht="18" customHeight="1" thickBot="1">
      <c r="A50" s="326">
        <v>7</v>
      </c>
      <c r="B50" s="223" t="str">
        <f t="shared" si="8"/>
        <v>2.5 용도지역·지구 변경에 관한 계획</v>
      </c>
      <c r="C50" s="237"/>
      <c r="D50" s="588">
        <v>0.7</v>
      </c>
      <c r="E50" s="589">
        <v>1.8</v>
      </c>
      <c r="F50" s="589">
        <v>4.3</v>
      </c>
      <c r="G50" s="589">
        <v>5.4</v>
      </c>
      <c r="H50" s="589">
        <v>10.8</v>
      </c>
      <c r="I50" s="590">
        <v>15.3</v>
      </c>
      <c r="J50" s="389"/>
      <c r="N50" s="66" t="s">
        <v>18</v>
      </c>
      <c r="O50" s="2"/>
      <c r="P50" s="2"/>
      <c r="Q50" s="2"/>
      <c r="R50" s="3"/>
      <c r="S50" s="4"/>
      <c r="T50" s="3"/>
      <c r="U50" s="4"/>
      <c r="V50" s="3"/>
      <c r="W50" s="4"/>
      <c r="X50" s="3"/>
      <c r="Y50" s="4"/>
      <c r="Z50" s="2"/>
    </row>
    <row r="51" spans="1:26" ht="18" customHeight="1">
      <c r="A51" s="326">
        <v>8</v>
      </c>
      <c r="B51" s="223" t="str">
        <f t="shared" si="8"/>
        <v>2.6 개발제한구역 해제를 위한 지구단위계획</v>
      </c>
      <c r="C51" s="237"/>
      <c r="D51" s="588">
        <v>0.7</v>
      </c>
      <c r="E51" s="589">
        <v>1.8</v>
      </c>
      <c r="F51" s="589">
        <v>4.3</v>
      </c>
      <c r="G51" s="589">
        <v>5.4</v>
      </c>
      <c r="H51" s="589">
        <v>10.8</v>
      </c>
      <c r="I51" s="590">
        <v>15.3</v>
      </c>
      <c r="J51" s="389"/>
      <c r="N51" s="460" t="s">
        <v>19</v>
      </c>
      <c r="O51" s="444" t="s">
        <v>20</v>
      </c>
      <c r="P51" s="444" t="s">
        <v>21</v>
      </c>
      <c r="Q51" s="444" t="s">
        <v>16</v>
      </c>
      <c r="R51" s="446" t="s">
        <v>22</v>
      </c>
      <c r="S51" s="446"/>
      <c r="T51" s="446" t="s">
        <v>23</v>
      </c>
      <c r="U51" s="446"/>
      <c r="V51" s="446" t="s">
        <v>24</v>
      </c>
      <c r="W51" s="446"/>
      <c r="X51" s="446" t="s">
        <v>25</v>
      </c>
      <c r="Y51" s="446"/>
      <c r="Z51" s="444" t="s">
        <v>26</v>
      </c>
    </row>
    <row r="52" spans="1:26" ht="18" customHeight="1" thickBot="1">
      <c r="A52" s="326">
        <v>9</v>
      </c>
      <c r="B52" s="223" t="str">
        <f t="shared" si="8"/>
        <v>2.7 지적도 및 토지조서, 권리조서 작성</v>
      </c>
      <c r="C52" s="237"/>
      <c r="D52" s="588">
        <v>0</v>
      </c>
      <c r="E52" s="589">
        <v>2.2000000000000002</v>
      </c>
      <c r="F52" s="589">
        <v>4.3</v>
      </c>
      <c r="G52" s="589">
        <v>5.4</v>
      </c>
      <c r="H52" s="589">
        <v>10.8</v>
      </c>
      <c r="I52" s="590">
        <v>15.3</v>
      </c>
      <c r="J52" s="389"/>
      <c r="N52" s="461"/>
      <c r="O52" s="445"/>
      <c r="P52" s="445"/>
      <c r="Q52" s="445"/>
      <c r="R52" s="67" t="s">
        <v>27</v>
      </c>
      <c r="S52" s="67" t="s">
        <v>28</v>
      </c>
      <c r="T52" s="67" t="s">
        <v>27</v>
      </c>
      <c r="U52" s="67" t="s">
        <v>28</v>
      </c>
      <c r="V52" s="67" t="s">
        <v>27</v>
      </c>
      <c r="W52" s="67" t="s">
        <v>28</v>
      </c>
      <c r="X52" s="67" t="s">
        <v>27</v>
      </c>
      <c r="Y52" s="67" t="s">
        <v>28</v>
      </c>
      <c r="Z52" s="445"/>
    </row>
    <row r="53" spans="1:26" ht="18" customHeight="1" thickTop="1">
      <c r="A53" s="326">
        <v>10</v>
      </c>
      <c r="B53" s="223" t="str">
        <f t="shared" si="8"/>
        <v>2.8 도시·군계획시설 재검토서</v>
      </c>
      <c r="C53" s="237"/>
      <c r="D53" s="588">
        <v>0.4</v>
      </c>
      <c r="E53" s="589">
        <v>0.7</v>
      </c>
      <c r="F53" s="589">
        <v>1.4</v>
      </c>
      <c r="G53" s="589">
        <v>2.2000000000000002</v>
      </c>
      <c r="H53" s="589">
        <v>3.6</v>
      </c>
      <c r="I53" s="590">
        <v>4.5</v>
      </c>
      <c r="J53" s="389"/>
      <c r="N53" s="532" t="str">
        <f ca="1">"제 " &amp; Z53 &amp; " 호표  "&amp; OFFSET($A$1,MATCH(Z53,$A:$A,0)-1,1)</f>
        <v>제 1 호표  1.1 관련법규 및 계획 검토</v>
      </c>
      <c r="O53" s="533"/>
      <c r="P53" s="148"/>
      <c r="Q53" s="148"/>
      <c r="R53" s="149"/>
      <c r="S53" s="149"/>
      <c r="T53" s="149"/>
      <c r="U53" s="149"/>
      <c r="V53" s="149"/>
      <c r="W53" s="149"/>
      <c r="X53" s="149"/>
      <c r="Y53" s="149"/>
      <c r="Z53" s="325">
        <v>1</v>
      </c>
    </row>
    <row r="54" spans="1:26" ht="18" customHeight="1">
      <c r="A54" s="326"/>
      <c r="B54" s="222" t="str">
        <f t="shared" si="8"/>
        <v>3. 개발제한구역 해제를 위한 검토</v>
      </c>
      <c r="C54" s="47"/>
      <c r="D54" s="591">
        <f t="shared" ref="D54:I54" si="11">SUBTOTAL(9,D55:D60)</f>
        <v>2.1999999999999997</v>
      </c>
      <c r="E54" s="592">
        <f t="shared" si="11"/>
        <v>4.7</v>
      </c>
      <c r="F54" s="592">
        <f t="shared" si="11"/>
        <v>11.3</v>
      </c>
      <c r="G54" s="592">
        <f t="shared" si="11"/>
        <v>14.100000000000001</v>
      </c>
      <c r="H54" s="592">
        <f t="shared" si="11"/>
        <v>25.2</v>
      </c>
      <c r="I54" s="593">
        <f t="shared" si="11"/>
        <v>34.4</v>
      </c>
      <c r="J54" s="594"/>
      <c r="L54" s="171"/>
      <c r="N54" s="603" t="s">
        <v>43</v>
      </c>
      <c r="O54" s="172">
        <v>3</v>
      </c>
      <c r="P54" s="534">
        <f ca="1">OFFSET($A$1,MATCH(Z53,$A:$A,0)-1,O54)</f>
        <v>0.8</v>
      </c>
      <c r="Q54" s="141" t="s">
        <v>29</v>
      </c>
      <c r="R54" s="142">
        <f t="shared" ref="R54:S59" ca="1" si="12">T54</f>
        <v>467217</v>
      </c>
      <c r="S54" s="142">
        <f t="shared" ca="1" si="12"/>
        <v>373773</v>
      </c>
      <c r="T54" s="142">
        <f ca="1">기술사</f>
        <v>467217</v>
      </c>
      <c r="U54" s="142">
        <f t="shared" ref="U54:U59" ca="1" si="13">ROUNDDOWN(P54*R54,0)</f>
        <v>373773</v>
      </c>
      <c r="V54" s="142"/>
      <c r="W54" s="142"/>
      <c r="X54" s="142"/>
      <c r="Y54" s="142"/>
      <c r="Z54" s="114"/>
    </row>
    <row r="55" spans="1:26" ht="18" customHeight="1">
      <c r="A55" s="326">
        <v>11</v>
      </c>
      <c r="B55" s="223" t="str">
        <f t="shared" si="8"/>
        <v>3.1 공공기여 방안</v>
      </c>
      <c r="C55" s="237"/>
      <c r="D55" s="588">
        <f t="array" ref="D55:I60">ROUND(D27:I32*L27:L32*$D$5,1)</f>
        <v>0.2</v>
      </c>
      <c r="E55" s="589">
        <v>0.4</v>
      </c>
      <c r="F55" s="589">
        <v>0.8</v>
      </c>
      <c r="G55" s="589">
        <v>1.2</v>
      </c>
      <c r="H55" s="589">
        <v>2</v>
      </c>
      <c r="I55" s="590">
        <v>2.5</v>
      </c>
      <c r="J55" s="389"/>
      <c r="L55" s="171"/>
      <c r="N55" s="604" t="s">
        <v>32</v>
      </c>
      <c r="O55" s="173">
        <v>4</v>
      </c>
      <c r="P55" s="234">
        <f ca="1">OFFSET($A$1,MATCH(Z53,$A:$A,0)-1,O55)</f>
        <v>3.2</v>
      </c>
      <c r="Q55" s="144" t="s">
        <v>29</v>
      </c>
      <c r="R55" s="118">
        <f t="shared" ca="1" si="12"/>
        <v>373353</v>
      </c>
      <c r="S55" s="118">
        <f t="shared" ca="1" si="12"/>
        <v>1194729</v>
      </c>
      <c r="T55" s="118">
        <f ca="1">특급</f>
        <v>373353</v>
      </c>
      <c r="U55" s="118">
        <f t="shared" ca="1" si="13"/>
        <v>1194729</v>
      </c>
      <c r="V55" s="118"/>
      <c r="W55" s="118"/>
      <c r="X55" s="118"/>
      <c r="Y55" s="118"/>
      <c r="Z55" s="115"/>
    </row>
    <row r="56" spans="1:26" ht="18" customHeight="1">
      <c r="A56" s="326">
        <v>12</v>
      </c>
      <c r="B56" s="223" t="str">
        <f t="shared" si="8"/>
        <v xml:space="preserve">3.2 난개발확산방지, 투기행위방지 </v>
      </c>
      <c r="C56" s="237"/>
      <c r="D56" s="588">
        <v>0.2</v>
      </c>
      <c r="E56" s="589">
        <v>0.4</v>
      </c>
      <c r="F56" s="589">
        <v>0.8</v>
      </c>
      <c r="G56" s="589">
        <v>1.2</v>
      </c>
      <c r="H56" s="589">
        <v>2</v>
      </c>
      <c r="I56" s="590">
        <v>2.5</v>
      </c>
      <c r="J56" s="389"/>
      <c r="L56" s="171"/>
      <c r="N56" s="605" t="s">
        <v>39</v>
      </c>
      <c r="O56" s="173">
        <v>5</v>
      </c>
      <c r="P56" s="234">
        <f ca="1">OFFSET($A$1,MATCH(Z53,$A:$A,0)-1,O56)</f>
        <v>5.6</v>
      </c>
      <c r="Q56" s="144" t="s">
        <v>29</v>
      </c>
      <c r="R56" s="118">
        <f t="shared" ca="1" si="12"/>
        <v>310884</v>
      </c>
      <c r="S56" s="118">
        <f t="shared" ca="1" si="12"/>
        <v>1740950</v>
      </c>
      <c r="T56" s="118">
        <f ca="1">고급</f>
        <v>310884</v>
      </c>
      <c r="U56" s="118">
        <f t="shared" ca="1" si="13"/>
        <v>1740950</v>
      </c>
      <c r="V56" s="118"/>
      <c r="W56" s="118"/>
      <c r="X56" s="118"/>
      <c r="Y56" s="118"/>
      <c r="Z56" s="115"/>
    </row>
    <row r="57" spans="1:26" ht="18" customHeight="1">
      <c r="A57" s="326">
        <v>13</v>
      </c>
      <c r="B57" s="223" t="str">
        <f t="shared" si="8"/>
        <v>3.3 훼손지 복구계획</v>
      </c>
      <c r="C57" s="237"/>
      <c r="D57" s="588">
        <v>1</v>
      </c>
      <c r="E57" s="589">
        <v>1</v>
      </c>
      <c r="F57" s="589">
        <v>2</v>
      </c>
      <c r="G57" s="589">
        <v>3</v>
      </c>
      <c r="H57" s="589">
        <v>4</v>
      </c>
      <c r="I57" s="590">
        <v>8</v>
      </c>
      <c r="J57" s="389"/>
      <c r="L57" s="171"/>
      <c r="N57" s="605" t="s">
        <v>40</v>
      </c>
      <c r="O57" s="173">
        <v>6</v>
      </c>
      <c r="P57" s="234">
        <f ca="1">OFFSET($A$1,MATCH(Z53,$A:$A,0)-1,O57)</f>
        <v>7.9</v>
      </c>
      <c r="Q57" s="144" t="s">
        <v>29</v>
      </c>
      <c r="R57" s="118">
        <f t="shared" ca="1" si="12"/>
        <v>295138</v>
      </c>
      <c r="S57" s="118">
        <f t="shared" ca="1" si="12"/>
        <v>2331590</v>
      </c>
      <c r="T57" s="118">
        <f ca="1">중급</f>
        <v>295138</v>
      </c>
      <c r="U57" s="118">
        <f t="shared" ca="1" si="13"/>
        <v>2331590</v>
      </c>
      <c r="V57" s="118"/>
      <c r="W57" s="118"/>
      <c r="X57" s="118"/>
      <c r="Y57" s="118"/>
      <c r="Z57" s="115"/>
    </row>
    <row r="58" spans="1:26" ht="18" customHeight="1">
      <c r="A58" s="326">
        <v>14</v>
      </c>
      <c r="B58" s="223" t="str">
        <f t="shared" si="8"/>
        <v>3.4 부담금 산정</v>
      </c>
      <c r="C58" s="237"/>
      <c r="D58" s="588">
        <v>0</v>
      </c>
      <c r="E58" s="589">
        <v>1.2</v>
      </c>
      <c r="F58" s="589">
        <v>2.4</v>
      </c>
      <c r="G58" s="589">
        <v>3</v>
      </c>
      <c r="H58" s="589">
        <v>6</v>
      </c>
      <c r="I58" s="590">
        <v>8.5</v>
      </c>
      <c r="J58" s="389"/>
      <c r="L58" s="171"/>
      <c r="N58" s="605" t="s">
        <v>41</v>
      </c>
      <c r="O58" s="173">
        <v>7</v>
      </c>
      <c r="P58" s="234">
        <f ca="1">OFFSET($A$1,MATCH(Z53,$A:$A,0)-1,O58)</f>
        <v>16.2</v>
      </c>
      <c r="Q58" s="144" t="s">
        <v>29</v>
      </c>
      <c r="R58" s="118">
        <f t="shared" ca="1" si="12"/>
        <v>235459</v>
      </c>
      <c r="S58" s="118">
        <f t="shared" ca="1" si="12"/>
        <v>3814435</v>
      </c>
      <c r="T58" s="118">
        <f ca="1">초급</f>
        <v>235459</v>
      </c>
      <c r="U58" s="118">
        <f t="shared" ca="1" si="13"/>
        <v>3814435</v>
      </c>
      <c r="V58" s="118"/>
      <c r="W58" s="118"/>
      <c r="X58" s="118"/>
      <c r="Y58" s="118"/>
      <c r="Z58" s="115"/>
    </row>
    <row r="59" spans="1:26" ht="18" customHeight="1">
      <c r="A59" s="326">
        <v>15</v>
      </c>
      <c r="B59" s="568" t="str">
        <f t="shared" si="8"/>
        <v>3.5 개발수요 검토</v>
      </c>
      <c r="C59" s="567"/>
      <c r="D59" s="596">
        <v>0.4</v>
      </c>
      <c r="E59" s="597">
        <v>1</v>
      </c>
      <c r="F59" s="597">
        <v>2.4</v>
      </c>
      <c r="G59" s="597">
        <v>3</v>
      </c>
      <c r="H59" s="597">
        <v>6</v>
      </c>
      <c r="I59" s="598">
        <v>8.5</v>
      </c>
      <c r="J59" s="389"/>
      <c r="L59" s="171"/>
      <c r="M59" s="171"/>
      <c r="N59" s="606" t="s">
        <v>42</v>
      </c>
      <c r="O59" s="174">
        <v>8</v>
      </c>
      <c r="P59" s="235">
        <f ca="1">OFFSET($A$1,MATCH(Z53,$A:$A,0)-1,O59)</f>
        <v>16.2</v>
      </c>
      <c r="Q59" s="322" t="s">
        <v>29</v>
      </c>
      <c r="R59" s="323">
        <f t="shared" ca="1" si="12"/>
        <v>250087</v>
      </c>
      <c r="S59" s="323">
        <f t="shared" ca="1" si="12"/>
        <v>4051409</v>
      </c>
      <c r="T59" s="323">
        <f ca="1">보조원</f>
        <v>250087</v>
      </c>
      <c r="U59" s="323">
        <f t="shared" ca="1" si="13"/>
        <v>4051409</v>
      </c>
      <c r="V59" s="323"/>
      <c r="W59" s="323"/>
      <c r="X59" s="323"/>
      <c r="Y59" s="323"/>
      <c r="Z59" s="324"/>
    </row>
    <row r="60" spans="1:26" ht="18" customHeight="1">
      <c r="A60" s="326">
        <v>16</v>
      </c>
      <c r="B60" s="568" t="str">
        <f t="shared" si="8"/>
        <v>3.6 재원조달계획</v>
      </c>
      <c r="C60" s="567"/>
      <c r="D60" s="596">
        <v>0.4</v>
      </c>
      <c r="E60" s="597">
        <v>0.7</v>
      </c>
      <c r="F60" s="597">
        <v>2.9</v>
      </c>
      <c r="G60" s="597">
        <v>2.7</v>
      </c>
      <c r="H60" s="597">
        <v>5.2</v>
      </c>
      <c r="I60" s="598">
        <v>4.4000000000000004</v>
      </c>
      <c r="J60" s="389"/>
      <c r="K60" s="171" t="s">
        <v>14</v>
      </c>
      <c r="L60" s="171"/>
      <c r="M60" s="171"/>
      <c r="N60" s="607" t="s">
        <v>810</v>
      </c>
      <c r="O60" s="68"/>
      <c r="P60" s="69"/>
      <c r="Q60" s="70"/>
      <c r="R60" s="71"/>
      <c r="S60" s="71">
        <f ca="1">SUBTOTAL(9,S54:S59)</f>
        <v>13506886</v>
      </c>
      <c r="T60" s="71"/>
      <c r="U60" s="71">
        <f ca="1">SUBTOTAL(9,U54:U59)</f>
        <v>13506886</v>
      </c>
      <c r="V60" s="71"/>
      <c r="W60" s="71"/>
      <c r="X60" s="71"/>
      <c r="Y60" s="71"/>
      <c r="Z60" s="68"/>
    </row>
    <row r="61" spans="1:26" ht="18" customHeight="1">
      <c r="A61" s="355"/>
      <c r="B61" s="222" t="str">
        <f t="shared" si="8"/>
        <v>4. 성과품작성</v>
      </c>
      <c r="C61" s="47"/>
      <c r="D61" s="591">
        <f t="shared" ref="D61:I61" si="14">SUBTOTAL(9,D62:D63)</f>
        <v>0.30000000000000004</v>
      </c>
      <c r="E61" s="592">
        <f t="shared" si="14"/>
        <v>0.5</v>
      </c>
      <c r="F61" s="592">
        <f t="shared" si="14"/>
        <v>1.2000000000000002</v>
      </c>
      <c r="G61" s="592">
        <f t="shared" si="14"/>
        <v>2.2000000000000002</v>
      </c>
      <c r="H61" s="592">
        <f t="shared" si="14"/>
        <v>7.1999999999999993</v>
      </c>
      <c r="I61" s="593">
        <f t="shared" si="14"/>
        <v>7.8000000000000007</v>
      </c>
      <c r="J61" s="594"/>
      <c r="K61" s="171" t="s">
        <v>788</v>
      </c>
      <c r="L61" s="171"/>
      <c r="M61" s="171"/>
      <c r="N61" s="532" t="str">
        <f ca="1">"제 " &amp; Z61 &amp; " 호표  "&amp; OFFSET($A$1,MATCH(Z61,$A:$A,0)-1,1)</f>
        <v>제 2 호표  1.2 주변 지역과의 상관성 검토</v>
      </c>
      <c r="O61" s="533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f>Z53+1</f>
        <v>2</v>
      </c>
    </row>
    <row r="62" spans="1:26" ht="18" customHeight="1">
      <c r="A62" s="326">
        <v>17</v>
      </c>
      <c r="B62" s="223" t="str">
        <f t="shared" si="8"/>
        <v>4.1 보고서작성 및 편집</v>
      </c>
      <c r="C62" s="237"/>
      <c r="D62" s="588">
        <f t="array" ref="D62:I63">ROUND(D34:I35*L34:L35*$D$5,1)</f>
        <v>0.2</v>
      </c>
      <c r="E62" s="589">
        <v>0.3</v>
      </c>
      <c r="F62" s="589">
        <v>0.8</v>
      </c>
      <c r="G62" s="589">
        <v>1.5</v>
      </c>
      <c r="H62" s="589">
        <v>4.8</v>
      </c>
      <c r="I62" s="590">
        <v>5.2</v>
      </c>
      <c r="J62" s="400"/>
      <c r="K62" s="171" t="s">
        <v>14</v>
      </c>
      <c r="L62" s="171"/>
      <c r="M62" s="171"/>
      <c r="N62" s="603" t="s">
        <v>43</v>
      </c>
      <c r="O62" s="172">
        <v>3</v>
      </c>
      <c r="P62" s="534">
        <f ca="1">OFFSET($A$1,MATCH(Z61,$A:$A,0)-1,O62)</f>
        <v>0.9</v>
      </c>
      <c r="Q62" s="141" t="s">
        <v>29</v>
      </c>
      <c r="R62" s="142">
        <f t="shared" ref="R62:S67" ca="1" si="15">T62</f>
        <v>467217</v>
      </c>
      <c r="S62" s="142">
        <f t="shared" ca="1" si="15"/>
        <v>420495</v>
      </c>
      <c r="T62" s="142">
        <f ca="1">기술사</f>
        <v>467217</v>
      </c>
      <c r="U62" s="142">
        <f t="shared" ref="U62:U67" ca="1" si="16">ROUNDDOWN(P62*R62,0)</f>
        <v>420495</v>
      </c>
      <c r="V62" s="142"/>
      <c r="W62" s="142"/>
      <c r="X62" s="142"/>
      <c r="Y62" s="142"/>
      <c r="Z62" s="114"/>
    </row>
    <row r="63" spans="1:26" ht="18" customHeight="1">
      <c r="A63" s="326">
        <v>18</v>
      </c>
      <c r="B63" s="223" t="str">
        <f t="shared" si="8"/>
        <v>4.2 관련도서작성</v>
      </c>
      <c r="C63" s="237"/>
      <c r="D63" s="588">
        <v>0.1</v>
      </c>
      <c r="E63" s="589">
        <v>0.2</v>
      </c>
      <c r="F63" s="589">
        <v>0.4</v>
      </c>
      <c r="G63" s="589">
        <v>0.7</v>
      </c>
      <c r="H63" s="589">
        <v>2.4</v>
      </c>
      <c r="I63" s="590">
        <v>2.6</v>
      </c>
      <c r="J63" s="400"/>
      <c r="K63" s="171" t="s">
        <v>14</v>
      </c>
      <c r="L63" s="171"/>
      <c r="M63" s="171"/>
      <c r="N63" s="604" t="s">
        <v>32</v>
      </c>
      <c r="O63" s="173">
        <v>4</v>
      </c>
      <c r="P63" s="234">
        <f ca="1">OFFSET($A$1,MATCH(Z61,$A:$A,0)-1,O63)</f>
        <v>2.7</v>
      </c>
      <c r="Q63" s="144" t="s">
        <v>29</v>
      </c>
      <c r="R63" s="118">
        <f t="shared" ca="1" si="15"/>
        <v>373353</v>
      </c>
      <c r="S63" s="118">
        <f t="shared" ca="1" si="15"/>
        <v>1008053</v>
      </c>
      <c r="T63" s="118">
        <f ca="1">특급</f>
        <v>373353</v>
      </c>
      <c r="U63" s="118">
        <f t="shared" ca="1" si="16"/>
        <v>1008053</v>
      </c>
      <c r="V63" s="118"/>
      <c r="W63" s="118"/>
      <c r="X63" s="118"/>
      <c r="Y63" s="118"/>
      <c r="Z63" s="115"/>
    </row>
    <row r="64" spans="1:26" ht="18" customHeight="1">
      <c r="A64" s="326"/>
      <c r="B64" s="252" t="str">
        <f t="shared" si="8"/>
        <v>5. 기술협의</v>
      </c>
      <c r="C64" s="47"/>
      <c r="D64" s="600">
        <f t="shared" ref="D64:I64" si="17">SUBTOTAL(9,D65:D68)</f>
        <v>8</v>
      </c>
      <c r="E64" s="601">
        <f t="shared" si="17"/>
        <v>8</v>
      </c>
      <c r="F64" s="601">
        <f t="shared" si="17"/>
        <v>8</v>
      </c>
      <c r="G64" s="601">
        <f t="shared" si="17"/>
        <v>16</v>
      </c>
      <c r="H64" s="601">
        <f t="shared" si="17"/>
        <v>16</v>
      </c>
      <c r="I64" s="602">
        <f t="shared" si="17"/>
        <v>16</v>
      </c>
      <c r="J64" s="787"/>
      <c r="K64" s="171" t="s">
        <v>14</v>
      </c>
      <c r="L64" s="171"/>
      <c r="M64" s="171"/>
      <c r="N64" s="605" t="s">
        <v>39</v>
      </c>
      <c r="O64" s="173">
        <v>5</v>
      </c>
      <c r="P64" s="234">
        <f ca="1">OFFSET($A$1,MATCH(Z61,$A:$A,0)-1,O64)</f>
        <v>5.0999999999999996</v>
      </c>
      <c r="Q64" s="144" t="s">
        <v>29</v>
      </c>
      <c r="R64" s="118">
        <f t="shared" ca="1" si="15"/>
        <v>310884</v>
      </c>
      <c r="S64" s="118">
        <f t="shared" ca="1" si="15"/>
        <v>1585508</v>
      </c>
      <c r="T64" s="118">
        <f ca="1">고급</f>
        <v>310884</v>
      </c>
      <c r="U64" s="118">
        <f t="shared" ca="1" si="16"/>
        <v>1585508</v>
      </c>
      <c r="V64" s="118"/>
      <c r="W64" s="118"/>
      <c r="X64" s="118"/>
      <c r="Y64" s="118"/>
      <c r="Z64" s="115"/>
    </row>
    <row r="65" spans="1:26" ht="18" customHeight="1">
      <c r="A65" s="326">
        <v>19</v>
      </c>
      <c r="B65" s="223" t="str">
        <f t="shared" si="8"/>
        <v>5.1 공청회/주민설명회</v>
      </c>
      <c r="C65" s="237"/>
      <c r="D65" s="488">
        <f t="array" ref="D65:I68">ROUND(D37:I40*L37:L40*I5,1)</f>
        <v>2</v>
      </c>
      <c r="E65" s="489">
        <v>2</v>
      </c>
      <c r="F65" s="489">
        <v>2</v>
      </c>
      <c r="G65" s="489">
        <v>4</v>
      </c>
      <c r="H65" s="489">
        <v>4</v>
      </c>
      <c r="I65" s="490">
        <v>4</v>
      </c>
      <c r="J65" s="787"/>
      <c r="K65" s="171" t="s">
        <v>14</v>
      </c>
      <c r="L65" s="171"/>
      <c r="M65" s="171"/>
      <c r="N65" s="605" t="s">
        <v>40</v>
      </c>
      <c r="O65" s="173">
        <v>6</v>
      </c>
      <c r="P65" s="234">
        <f ca="1">OFFSET($A$1,MATCH(Z61,$A:$A,0)-1,O65)</f>
        <v>7.3</v>
      </c>
      <c r="Q65" s="144" t="s">
        <v>29</v>
      </c>
      <c r="R65" s="118">
        <f t="shared" ca="1" si="15"/>
        <v>295138</v>
      </c>
      <c r="S65" s="118">
        <f t="shared" ca="1" si="15"/>
        <v>2154507</v>
      </c>
      <c r="T65" s="118">
        <f ca="1">중급</f>
        <v>295138</v>
      </c>
      <c r="U65" s="118">
        <f t="shared" ca="1" si="16"/>
        <v>2154507</v>
      </c>
      <c r="V65" s="118"/>
      <c r="W65" s="118"/>
      <c r="X65" s="118"/>
      <c r="Y65" s="118"/>
      <c r="Z65" s="115"/>
    </row>
    <row r="66" spans="1:26" ht="18" customHeight="1">
      <c r="A66" s="326">
        <v>20</v>
      </c>
      <c r="B66" s="223" t="str">
        <f t="shared" si="8"/>
        <v>5.2 주민간담회/시민계획단</v>
      </c>
      <c r="C66" s="237"/>
      <c r="D66" s="488">
        <v>2</v>
      </c>
      <c r="E66" s="489">
        <v>2</v>
      </c>
      <c r="F66" s="489">
        <v>2</v>
      </c>
      <c r="G66" s="489">
        <v>4</v>
      </c>
      <c r="H66" s="489">
        <v>4</v>
      </c>
      <c r="I66" s="490">
        <v>4</v>
      </c>
      <c r="J66" s="787"/>
      <c r="K66" s="171" t="s">
        <v>14</v>
      </c>
      <c r="L66" s="171"/>
      <c r="M66" s="171"/>
      <c r="N66" s="605" t="s">
        <v>41</v>
      </c>
      <c r="O66" s="173">
        <v>7</v>
      </c>
      <c r="P66" s="234">
        <f ca="1">OFFSET($A$1,MATCH(Z61,$A:$A,0)-1,O66)</f>
        <v>7.3</v>
      </c>
      <c r="Q66" s="144" t="s">
        <v>29</v>
      </c>
      <c r="R66" s="118">
        <f t="shared" ca="1" si="15"/>
        <v>235459</v>
      </c>
      <c r="S66" s="118">
        <f t="shared" ca="1" si="15"/>
        <v>1718850</v>
      </c>
      <c r="T66" s="118">
        <f ca="1">초급</f>
        <v>235459</v>
      </c>
      <c r="U66" s="118">
        <f t="shared" ca="1" si="16"/>
        <v>1718850</v>
      </c>
      <c r="V66" s="118"/>
      <c r="W66" s="118"/>
      <c r="X66" s="118"/>
      <c r="Y66" s="118"/>
      <c r="Z66" s="115"/>
    </row>
    <row r="67" spans="1:26" ht="18" customHeight="1">
      <c r="A67" s="326">
        <v>21</v>
      </c>
      <c r="B67" s="223" t="str">
        <f t="shared" si="8"/>
        <v>5.3 위원회심의 지원</v>
      </c>
      <c r="C67" s="237"/>
      <c r="D67" s="488">
        <v>2</v>
      </c>
      <c r="E67" s="489">
        <v>2</v>
      </c>
      <c r="F67" s="489">
        <v>2</v>
      </c>
      <c r="G67" s="489">
        <v>4</v>
      </c>
      <c r="H67" s="489">
        <v>4</v>
      </c>
      <c r="I67" s="490">
        <v>4</v>
      </c>
      <c r="J67" s="787"/>
      <c r="K67" s="171" t="s">
        <v>702</v>
      </c>
      <c r="L67" s="171"/>
      <c r="M67" s="171"/>
      <c r="N67" s="606" t="s">
        <v>42</v>
      </c>
      <c r="O67" s="174">
        <v>8</v>
      </c>
      <c r="P67" s="235">
        <f ca="1">OFFSET($A$1,MATCH(Z61,$A:$A,0)-1,O67)</f>
        <v>10.9</v>
      </c>
      <c r="Q67" s="322" t="s">
        <v>29</v>
      </c>
      <c r="R67" s="323">
        <f t="shared" ca="1" si="15"/>
        <v>250087</v>
      </c>
      <c r="S67" s="323">
        <f t="shared" ca="1" si="15"/>
        <v>2725948</v>
      </c>
      <c r="T67" s="323">
        <f ca="1">보조원</f>
        <v>250087</v>
      </c>
      <c r="U67" s="323">
        <f t="shared" ca="1" si="16"/>
        <v>2725948</v>
      </c>
      <c r="V67" s="323"/>
      <c r="W67" s="323"/>
      <c r="X67" s="323"/>
      <c r="Y67" s="323"/>
      <c r="Z67" s="324"/>
    </row>
    <row r="68" spans="1:26" ht="18" customHeight="1" thickBot="1">
      <c r="A68" s="326">
        <v>22</v>
      </c>
      <c r="B68" s="388" t="str">
        <f t="shared" si="8"/>
        <v>5.4 관계기관 협의</v>
      </c>
      <c r="C68" s="401"/>
      <c r="D68" s="535">
        <v>2</v>
      </c>
      <c r="E68" s="536">
        <v>2</v>
      </c>
      <c r="F68" s="536">
        <v>2</v>
      </c>
      <c r="G68" s="536">
        <v>4</v>
      </c>
      <c r="H68" s="536">
        <v>4</v>
      </c>
      <c r="I68" s="537">
        <v>4</v>
      </c>
      <c r="J68" s="788"/>
      <c r="K68" s="171" t="s">
        <v>702</v>
      </c>
      <c r="L68" s="171"/>
      <c r="M68" s="171"/>
      <c r="N68" s="607" t="s">
        <v>700</v>
      </c>
      <c r="O68" s="68"/>
      <c r="P68" s="69"/>
      <c r="Q68" s="70"/>
      <c r="R68" s="71"/>
      <c r="S68" s="71">
        <f ca="1">SUBTOTAL(9,S62:S67)</f>
        <v>9613361</v>
      </c>
      <c r="T68" s="71"/>
      <c r="U68" s="71">
        <f ca="1">SUBTOTAL(9,U62:U67)</f>
        <v>9613361</v>
      </c>
      <c r="V68" s="71"/>
      <c r="W68" s="71"/>
      <c r="X68" s="71"/>
      <c r="Y68" s="71"/>
      <c r="Z68" s="68"/>
    </row>
    <row r="69" spans="1:26" ht="18" customHeight="1">
      <c r="A69" s="326"/>
      <c r="B69" s="80" t="s">
        <v>15</v>
      </c>
      <c r="C69" s="9" t="s">
        <v>1327</v>
      </c>
      <c r="K69" s="171" t="s">
        <v>702</v>
      </c>
      <c r="L69" s="171"/>
      <c r="M69" s="171"/>
      <c r="N69" s="532" t="str">
        <f ca="1">"제 " &amp; Z69 &amp; " 호표  "&amp; OFFSET($A$1,MATCH(Z69,$A:$A,0)-1,1)</f>
        <v>제 3 호표  2.1 도시·군관리계획(변경)결정 조서 및 도면</v>
      </c>
      <c r="O69" s="533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3</v>
      </c>
    </row>
    <row r="70" spans="1:26" ht="18" customHeight="1">
      <c r="A70" s="326"/>
      <c r="C70" s="1" t="s">
        <v>1217</v>
      </c>
      <c r="K70" s="171" t="s">
        <v>14</v>
      </c>
      <c r="L70" s="171"/>
      <c r="M70" s="171"/>
      <c r="N70" s="603" t="s">
        <v>43</v>
      </c>
      <c r="O70" s="172">
        <v>3</v>
      </c>
      <c r="P70" s="534">
        <f ca="1">OFFSET($A$1,MATCH(Z69,$A:$A,0)-1,O70)</f>
        <v>0.7</v>
      </c>
      <c r="Q70" s="141" t="s">
        <v>29</v>
      </c>
      <c r="R70" s="142">
        <f t="shared" ref="R70:S75" ca="1" si="18">T70</f>
        <v>467217</v>
      </c>
      <c r="S70" s="142">
        <f t="shared" ca="1" si="18"/>
        <v>327051</v>
      </c>
      <c r="T70" s="142">
        <f ca="1">기술사</f>
        <v>467217</v>
      </c>
      <c r="U70" s="142">
        <f t="shared" ref="U70:U75" ca="1" si="19">ROUNDDOWN(P70*R70,0)</f>
        <v>327051</v>
      </c>
      <c r="V70" s="142"/>
      <c r="W70" s="142"/>
      <c r="X70" s="142"/>
      <c r="Y70" s="142"/>
      <c r="Z70" s="114"/>
    </row>
    <row r="71" spans="1:26" ht="18" customHeight="1">
      <c r="A71" s="326"/>
      <c r="C71" s="9" t="s">
        <v>1218</v>
      </c>
      <c r="K71" s="171" t="s">
        <v>702</v>
      </c>
      <c r="L71" s="171"/>
      <c r="M71" s="171"/>
      <c r="N71" s="604" t="s">
        <v>32</v>
      </c>
      <c r="O71" s="173">
        <v>4</v>
      </c>
      <c r="P71" s="234">
        <f ca="1">OFFSET($A$1,MATCH(Z69,$A:$A,0)-1,O71)</f>
        <v>1.8</v>
      </c>
      <c r="Q71" s="144" t="s">
        <v>29</v>
      </c>
      <c r="R71" s="118">
        <f t="shared" ca="1" si="18"/>
        <v>373353</v>
      </c>
      <c r="S71" s="118">
        <f t="shared" ca="1" si="18"/>
        <v>672035</v>
      </c>
      <c r="T71" s="118">
        <f ca="1">특급</f>
        <v>373353</v>
      </c>
      <c r="U71" s="118">
        <f t="shared" ca="1" si="19"/>
        <v>672035</v>
      </c>
      <c r="V71" s="118"/>
      <c r="W71" s="118"/>
      <c r="X71" s="118"/>
      <c r="Y71" s="118"/>
      <c r="Z71" s="115"/>
    </row>
    <row r="72" spans="1:26" ht="18" customHeight="1">
      <c r="A72" s="326"/>
      <c r="C72" s="9" t="s">
        <v>1421</v>
      </c>
      <c r="K72" s="171" t="s">
        <v>811</v>
      </c>
      <c r="L72" s="171"/>
      <c r="M72" s="171"/>
      <c r="N72" s="605" t="s">
        <v>39</v>
      </c>
      <c r="O72" s="173">
        <v>5</v>
      </c>
      <c r="P72" s="234">
        <f ca="1">OFFSET($A$1,MATCH(Z69,$A:$A,0)-1,O72)</f>
        <v>4.3</v>
      </c>
      <c r="Q72" s="144" t="s">
        <v>29</v>
      </c>
      <c r="R72" s="118">
        <f t="shared" ca="1" si="18"/>
        <v>310884</v>
      </c>
      <c r="S72" s="118">
        <f t="shared" ca="1" si="18"/>
        <v>1336801</v>
      </c>
      <c r="T72" s="118">
        <f ca="1">고급</f>
        <v>310884</v>
      </c>
      <c r="U72" s="118">
        <f t="shared" ca="1" si="19"/>
        <v>1336801</v>
      </c>
      <c r="V72" s="118"/>
      <c r="W72" s="118"/>
      <c r="X72" s="118"/>
      <c r="Y72" s="118"/>
      <c r="Z72" s="115"/>
    </row>
    <row r="73" spans="1:26" ht="18" customHeight="1">
      <c r="A73" s="326"/>
      <c r="C73" s="9" t="s">
        <v>1422</v>
      </c>
      <c r="K73" s="171" t="s">
        <v>811</v>
      </c>
      <c r="L73" s="171"/>
      <c r="M73" s="171"/>
      <c r="N73" s="605" t="s">
        <v>40</v>
      </c>
      <c r="O73" s="173">
        <v>6</v>
      </c>
      <c r="P73" s="234">
        <f ca="1">OFFSET($A$1,MATCH(Z69,$A:$A,0)-1,O73)</f>
        <v>5.4</v>
      </c>
      <c r="Q73" s="144" t="s">
        <v>29</v>
      </c>
      <c r="R73" s="118">
        <f t="shared" ca="1" si="18"/>
        <v>295138</v>
      </c>
      <c r="S73" s="118">
        <f t="shared" ca="1" si="18"/>
        <v>1593745</v>
      </c>
      <c r="T73" s="118">
        <f ca="1">중급</f>
        <v>295138</v>
      </c>
      <c r="U73" s="118">
        <f t="shared" ca="1" si="19"/>
        <v>1593745</v>
      </c>
      <c r="V73" s="118"/>
      <c r="W73" s="118"/>
      <c r="X73" s="118"/>
      <c r="Y73" s="118"/>
      <c r="Z73" s="115"/>
    </row>
    <row r="74" spans="1:26" ht="18" customHeight="1">
      <c r="A74" s="326"/>
      <c r="C74" s="9" t="s">
        <v>1424</v>
      </c>
      <c r="K74" s="171" t="s">
        <v>811</v>
      </c>
      <c r="L74" s="171"/>
      <c r="M74" s="171"/>
      <c r="N74" s="605" t="s">
        <v>41</v>
      </c>
      <c r="O74" s="173">
        <v>7</v>
      </c>
      <c r="P74" s="234">
        <f ca="1">OFFSET($A$1,MATCH(Z69,$A:$A,0)-1,O74)</f>
        <v>10.8</v>
      </c>
      <c r="Q74" s="144" t="s">
        <v>29</v>
      </c>
      <c r="R74" s="118">
        <f t="shared" ca="1" si="18"/>
        <v>235459</v>
      </c>
      <c r="S74" s="118">
        <f t="shared" ca="1" si="18"/>
        <v>2542957</v>
      </c>
      <c r="T74" s="118">
        <f ca="1">초급</f>
        <v>235459</v>
      </c>
      <c r="U74" s="118">
        <f t="shared" ca="1" si="19"/>
        <v>2542957</v>
      </c>
      <c r="V74" s="118"/>
      <c r="W74" s="118"/>
      <c r="X74" s="118"/>
      <c r="Y74" s="118"/>
      <c r="Z74" s="115"/>
    </row>
    <row r="75" spans="1:26" ht="18" customHeight="1">
      <c r="A75" s="326"/>
      <c r="C75" s="9" t="s">
        <v>1423</v>
      </c>
      <c r="K75" s="171" t="s">
        <v>702</v>
      </c>
      <c r="L75" s="171"/>
      <c r="M75" s="171"/>
      <c r="N75" s="606" t="s">
        <v>42</v>
      </c>
      <c r="O75" s="174">
        <v>8</v>
      </c>
      <c r="P75" s="235">
        <f ca="1">OFFSET($A$1,MATCH(Z69,$A:$A,0)-1,O75)</f>
        <v>15.3</v>
      </c>
      <c r="Q75" s="322" t="s">
        <v>29</v>
      </c>
      <c r="R75" s="323">
        <f t="shared" ca="1" si="18"/>
        <v>250087</v>
      </c>
      <c r="S75" s="323">
        <f t="shared" ca="1" si="18"/>
        <v>3826331</v>
      </c>
      <c r="T75" s="323">
        <f ca="1">보조원</f>
        <v>250087</v>
      </c>
      <c r="U75" s="323">
        <f t="shared" ca="1" si="19"/>
        <v>3826331</v>
      </c>
      <c r="V75" s="323"/>
      <c r="W75" s="323"/>
      <c r="X75" s="323"/>
      <c r="Y75" s="323"/>
      <c r="Z75" s="324"/>
    </row>
    <row r="76" spans="1:26" ht="18" customHeight="1">
      <c r="A76" s="326"/>
      <c r="C76" s="9"/>
      <c r="K76" s="171" t="s">
        <v>702</v>
      </c>
      <c r="L76" s="171"/>
      <c r="M76" s="171"/>
      <c r="N76" s="607" t="s">
        <v>17</v>
      </c>
      <c r="O76" s="68"/>
      <c r="P76" s="69"/>
      <c r="Q76" s="70"/>
      <c r="R76" s="71"/>
      <c r="S76" s="71">
        <f ca="1">SUBTOTAL(9,S70:S75)</f>
        <v>10298920</v>
      </c>
      <c r="T76" s="71"/>
      <c r="U76" s="71">
        <f ca="1">SUBTOTAL(9,U70:U75)</f>
        <v>10298920</v>
      </c>
      <c r="V76" s="71"/>
      <c r="W76" s="71"/>
      <c r="X76" s="71"/>
      <c r="Y76" s="71"/>
      <c r="Z76" s="68"/>
    </row>
    <row r="77" spans="1:26" ht="18" customHeight="1">
      <c r="A77" s="326"/>
      <c r="K77" s="171" t="s">
        <v>811</v>
      </c>
      <c r="L77" s="171"/>
      <c r="M77" s="171"/>
      <c r="N77" s="532" t="str">
        <f ca="1">"제 " &amp; Z77 &amp; " 호표  "&amp; OFFSET($A$1,MATCH(Z77,$A:$A,0)-1,1)</f>
        <v>제 4 호표  2.2 도시·군관리계획(변경)결정사유서 및 개발(사업)계획서</v>
      </c>
      <c r="O77" s="533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4</v>
      </c>
    </row>
    <row r="78" spans="1:26" ht="18" customHeight="1">
      <c r="A78" s="326"/>
      <c r="K78" s="171" t="s">
        <v>702</v>
      </c>
      <c r="L78" s="171"/>
      <c r="M78" s="171"/>
      <c r="N78" s="603" t="s">
        <v>43</v>
      </c>
      <c r="O78" s="172">
        <v>3</v>
      </c>
      <c r="P78" s="534">
        <f ca="1">OFFSET($A$1,MATCH(Z77,$A:$A,0)-1,O78)</f>
        <v>1.1000000000000001</v>
      </c>
      <c r="Q78" s="141" t="s">
        <v>29</v>
      </c>
      <c r="R78" s="142">
        <f t="shared" ref="R78:S83" ca="1" si="20">T78</f>
        <v>467217</v>
      </c>
      <c r="S78" s="142">
        <f t="shared" ca="1" si="20"/>
        <v>513938</v>
      </c>
      <c r="T78" s="142">
        <f ca="1">기술사</f>
        <v>467217</v>
      </c>
      <c r="U78" s="142">
        <f t="shared" ref="U78:U83" ca="1" si="21">ROUNDDOWN(P78*R78,0)</f>
        <v>513938</v>
      </c>
      <c r="V78" s="142"/>
      <c r="W78" s="142"/>
      <c r="X78" s="142"/>
      <c r="Y78" s="142"/>
      <c r="Z78" s="114"/>
    </row>
    <row r="79" spans="1:26" ht="18" customHeight="1">
      <c r="A79" s="326"/>
      <c r="K79" s="171" t="s">
        <v>702</v>
      </c>
      <c r="L79" s="171"/>
      <c r="M79" s="171"/>
      <c r="N79" s="604" t="s">
        <v>32</v>
      </c>
      <c r="O79" s="173">
        <v>4</v>
      </c>
      <c r="P79" s="234">
        <f ca="1">OFFSET($A$1,MATCH(Z77,$A:$A,0)-1,O79)</f>
        <v>1.8</v>
      </c>
      <c r="Q79" s="144" t="s">
        <v>29</v>
      </c>
      <c r="R79" s="118">
        <f t="shared" ca="1" si="20"/>
        <v>373353</v>
      </c>
      <c r="S79" s="118">
        <f t="shared" ca="1" si="20"/>
        <v>672035</v>
      </c>
      <c r="T79" s="118">
        <f ca="1">특급</f>
        <v>373353</v>
      </c>
      <c r="U79" s="118">
        <f t="shared" ca="1" si="21"/>
        <v>672035</v>
      </c>
      <c r="V79" s="118"/>
      <c r="W79" s="118"/>
      <c r="X79" s="118"/>
      <c r="Y79" s="118"/>
      <c r="Z79" s="115"/>
    </row>
    <row r="80" spans="1:26" ht="18" customHeight="1">
      <c r="K80" s="171" t="s">
        <v>811</v>
      </c>
      <c r="L80" s="171"/>
      <c r="M80" s="171"/>
      <c r="N80" s="605" t="s">
        <v>39</v>
      </c>
      <c r="O80" s="173">
        <v>5</v>
      </c>
      <c r="P80" s="234">
        <f ca="1">OFFSET($A$1,MATCH(Z77,$A:$A,0)-1,O80)</f>
        <v>10.8</v>
      </c>
      <c r="Q80" s="144" t="s">
        <v>29</v>
      </c>
      <c r="R80" s="118">
        <f t="shared" ca="1" si="20"/>
        <v>310884</v>
      </c>
      <c r="S80" s="118">
        <f t="shared" ca="1" si="20"/>
        <v>3357547</v>
      </c>
      <c r="T80" s="118">
        <f ca="1">고급</f>
        <v>310884</v>
      </c>
      <c r="U80" s="118">
        <f t="shared" ca="1" si="21"/>
        <v>3357547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605" t="s">
        <v>40</v>
      </c>
      <c r="O81" s="173">
        <v>6</v>
      </c>
      <c r="P81" s="234">
        <f ca="1">OFFSET($A$1,MATCH(Z77,$A:$A,0)-1,O81)</f>
        <v>12.6</v>
      </c>
      <c r="Q81" s="144" t="s">
        <v>29</v>
      </c>
      <c r="R81" s="118">
        <f t="shared" ca="1" si="20"/>
        <v>295138</v>
      </c>
      <c r="S81" s="118">
        <f t="shared" ca="1" si="20"/>
        <v>3718738</v>
      </c>
      <c r="T81" s="118">
        <f ca="1">중급</f>
        <v>295138</v>
      </c>
      <c r="U81" s="118">
        <f t="shared" ca="1" si="21"/>
        <v>3718738</v>
      </c>
      <c r="V81" s="118"/>
      <c r="W81" s="118"/>
      <c r="X81" s="118"/>
      <c r="Y81" s="118"/>
      <c r="Z81" s="115"/>
    </row>
    <row r="82" spans="11:26" ht="18" customHeight="1">
      <c r="K82" s="171" t="s">
        <v>702</v>
      </c>
      <c r="L82" s="171"/>
      <c r="M82" s="171"/>
      <c r="N82" s="605" t="s">
        <v>41</v>
      </c>
      <c r="O82" s="173">
        <v>7</v>
      </c>
      <c r="P82" s="234">
        <f ca="1">OFFSET($A$1,MATCH(Z77,$A:$A,0)-1,O82)</f>
        <v>27</v>
      </c>
      <c r="Q82" s="144" t="s">
        <v>29</v>
      </c>
      <c r="R82" s="118">
        <f t="shared" ca="1" si="20"/>
        <v>235459</v>
      </c>
      <c r="S82" s="118">
        <f t="shared" ca="1" si="20"/>
        <v>6357393</v>
      </c>
      <c r="T82" s="118">
        <f ca="1">초급</f>
        <v>235459</v>
      </c>
      <c r="U82" s="118">
        <f t="shared" ca="1" si="21"/>
        <v>6357393</v>
      </c>
      <c r="V82" s="118"/>
      <c r="W82" s="118"/>
      <c r="X82" s="118"/>
      <c r="Y82" s="118"/>
      <c r="Z82" s="115"/>
    </row>
    <row r="83" spans="11:26" ht="18" customHeight="1">
      <c r="K83" s="171" t="s">
        <v>811</v>
      </c>
      <c r="L83" s="171"/>
      <c r="M83" s="171"/>
      <c r="N83" s="606" t="s">
        <v>42</v>
      </c>
      <c r="O83" s="174">
        <v>8</v>
      </c>
      <c r="P83" s="235">
        <f ca="1">OFFSET($A$1,MATCH(Z77,$A:$A,0)-1,O83)</f>
        <v>21.6</v>
      </c>
      <c r="Q83" s="322" t="s">
        <v>29</v>
      </c>
      <c r="R83" s="323">
        <f t="shared" ca="1" si="20"/>
        <v>250087</v>
      </c>
      <c r="S83" s="323">
        <f t="shared" ca="1" si="20"/>
        <v>5401879</v>
      </c>
      <c r="T83" s="323">
        <f ca="1">보조원</f>
        <v>250087</v>
      </c>
      <c r="U83" s="323">
        <f t="shared" ca="1" si="21"/>
        <v>5401879</v>
      </c>
      <c r="V83" s="323"/>
      <c r="W83" s="323"/>
      <c r="X83" s="323"/>
      <c r="Y83" s="323"/>
      <c r="Z83" s="324"/>
    </row>
    <row r="84" spans="11:26" ht="18" customHeight="1">
      <c r="K84" s="171" t="s">
        <v>811</v>
      </c>
      <c r="L84" s="171"/>
      <c r="M84" s="171"/>
      <c r="N84" s="607" t="s">
        <v>700</v>
      </c>
      <c r="O84" s="68"/>
      <c r="P84" s="69"/>
      <c r="Q84" s="70"/>
      <c r="R84" s="71"/>
      <c r="S84" s="71">
        <f ca="1">SUBTOTAL(9,S78:S83)</f>
        <v>20021530</v>
      </c>
      <c r="T84" s="71"/>
      <c r="U84" s="71">
        <f ca="1">SUBTOTAL(9,U78:U83)</f>
        <v>20021530</v>
      </c>
      <c r="V84" s="71"/>
      <c r="W84" s="71"/>
      <c r="X84" s="71"/>
      <c r="Y84" s="71"/>
      <c r="Z84" s="68"/>
    </row>
    <row r="85" spans="11:26" ht="18" customHeight="1">
      <c r="K85" s="171" t="s">
        <v>14</v>
      </c>
      <c r="L85" s="171"/>
      <c r="M85" s="171"/>
      <c r="N85" s="532" t="str">
        <f ca="1">"제 " &amp; Z85 &amp; " 호표  "&amp; OFFSET($A$1,MATCH(Z85,$A:$A,0)-1,1)</f>
        <v>제 5 호표  2.3 각종 영향 검토</v>
      </c>
      <c r="O85" s="533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5</v>
      </c>
    </row>
    <row r="86" spans="11:26" ht="18" customHeight="1">
      <c r="K86" s="171" t="s">
        <v>702</v>
      </c>
      <c r="L86" s="171"/>
      <c r="M86" s="171"/>
      <c r="N86" s="603" t="s">
        <v>43</v>
      </c>
      <c r="O86" s="172">
        <v>3</v>
      </c>
      <c r="P86" s="534">
        <f ca="1">OFFSET($A$1,MATCH(Z85,$A:$A,0)-1,O86)</f>
        <v>0.7</v>
      </c>
      <c r="Q86" s="141" t="s">
        <v>29</v>
      </c>
      <c r="R86" s="142">
        <f t="shared" ref="R86:S91" ca="1" si="22">T86</f>
        <v>467217</v>
      </c>
      <c r="S86" s="142">
        <f t="shared" ca="1" si="22"/>
        <v>327051</v>
      </c>
      <c r="T86" s="142">
        <f ca="1">기술사</f>
        <v>467217</v>
      </c>
      <c r="U86" s="142">
        <f t="shared" ref="U86:U91" ca="1" si="23">ROUNDDOWN(P86*R86,0)</f>
        <v>327051</v>
      </c>
      <c r="V86" s="142"/>
      <c r="W86" s="142"/>
      <c r="X86" s="142"/>
      <c r="Y86" s="142"/>
      <c r="Z86" s="114"/>
    </row>
    <row r="87" spans="11:26" ht="18" customHeight="1">
      <c r="K87" s="171" t="s">
        <v>14</v>
      </c>
      <c r="L87" s="171"/>
      <c r="M87" s="171"/>
      <c r="N87" s="604" t="s">
        <v>32</v>
      </c>
      <c r="O87" s="173">
        <v>4</v>
      </c>
      <c r="P87" s="234">
        <f ca="1">OFFSET($A$1,MATCH(Z85,$A:$A,0)-1,O87)</f>
        <v>1.8</v>
      </c>
      <c r="Q87" s="144" t="s">
        <v>29</v>
      </c>
      <c r="R87" s="118">
        <f t="shared" ca="1" si="22"/>
        <v>373353</v>
      </c>
      <c r="S87" s="118">
        <f t="shared" ca="1" si="22"/>
        <v>672035</v>
      </c>
      <c r="T87" s="118">
        <f ca="1">특급</f>
        <v>373353</v>
      </c>
      <c r="U87" s="118">
        <f t="shared" ca="1" si="23"/>
        <v>672035</v>
      </c>
      <c r="V87" s="118"/>
      <c r="W87" s="118"/>
      <c r="X87" s="118"/>
      <c r="Y87" s="118"/>
      <c r="Z87" s="115"/>
    </row>
    <row r="88" spans="11:26" ht="18" customHeight="1">
      <c r="K88" s="171" t="s">
        <v>702</v>
      </c>
      <c r="L88" s="171"/>
      <c r="M88" s="171"/>
      <c r="N88" s="605" t="s">
        <v>39</v>
      </c>
      <c r="O88" s="173">
        <v>5</v>
      </c>
      <c r="P88" s="234">
        <f ca="1">OFFSET($A$1,MATCH(Z85,$A:$A,0)-1,O88)</f>
        <v>4.3</v>
      </c>
      <c r="Q88" s="144" t="s">
        <v>29</v>
      </c>
      <c r="R88" s="118">
        <f t="shared" ca="1" si="22"/>
        <v>310884</v>
      </c>
      <c r="S88" s="118">
        <f t="shared" ca="1" si="22"/>
        <v>1336801</v>
      </c>
      <c r="T88" s="118">
        <f ca="1">고급</f>
        <v>310884</v>
      </c>
      <c r="U88" s="118">
        <f t="shared" ca="1" si="23"/>
        <v>1336801</v>
      </c>
      <c r="V88" s="118"/>
      <c r="W88" s="118"/>
      <c r="X88" s="118"/>
      <c r="Y88" s="118"/>
      <c r="Z88" s="115"/>
    </row>
    <row r="89" spans="11:26" ht="18" customHeight="1">
      <c r="K89" s="171" t="s">
        <v>811</v>
      </c>
      <c r="L89" s="171"/>
      <c r="M89" s="171"/>
      <c r="N89" s="605" t="s">
        <v>40</v>
      </c>
      <c r="O89" s="173">
        <v>6</v>
      </c>
      <c r="P89" s="234">
        <f ca="1">OFFSET($A$1,MATCH(Z85,$A:$A,0)-1,O89)</f>
        <v>5.4</v>
      </c>
      <c r="Q89" s="144" t="s">
        <v>29</v>
      </c>
      <c r="R89" s="118">
        <f t="shared" ca="1" si="22"/>
        <v>295138</v>
      </c>
      <c r="S89" s="118">
        <f t="shared" ca="1" si="22"/>
        <v>1593745</v>
      </c>
      <c r="T89" s="118">
        <f ca="1">중급</f>
        <v>295138</v>
      </c>
      <c r="U89" s="118">
        <f t="shared" ca="1" si="23"/>
        <v>1593745</v>
      </c>
      <c r="V89" s="118"/>
      <c r="W89" s="118"/>
      <c r="X89" s="118"/>
      <c r="Y89" s="118"/>
      <c r="Z89" s="115"/>
    </row>
    <row r="90" spans="11:26" ht="18" customHeight="1">
      <c r="K90" s="171" t="s">
        <v>811</v>
      </c>
      <c r="L90" s="171"/>
      <c r="M90" s="171"/>
      <c r="N90" s="605" t="s">
        <v>41</v>
      </c>
      <c r="O90" s="173">
        <v>7</v>
      </c>
      <c r="P90" s="234">
        <f ca="1">OFFSET($A$1,MATCH(Z85,$A:$A,0)-1,O90)</f>
        <v>10.8</v>
      </c>
      <c r="Q90" s="144" t="s">
        <v>29</v>
      </c>
      <c r="R90" s="118">
        <f t="shared" ca="1" si="22"/>
        <v>235459</v>
      </c>
      <c r="S90" s="118">
        <f t="shared" ca="1" si="22"/>
        <v>2542957</v>
      </c>
      <c r="T90" s="118">
        <f ca="1">초급</f>
        <v>235459</v>
      </c>
      <c r="U90" s="118">
        <f t="shared" ca="1" si="23"/>
        <v>2542957</v>
      </c>
      <c r="V90" s="118"/>
      <c r="W90" s="118"/>
      <c r="X90" s="118"/>
      <c r="Y90" s="118"/>
      <c r="Z90" s="115"/>
    </row>
    <row r="91" spans="11:26" ht="18" customHeight="1">
      <c r="K91" s="171" t="s">
        <v>811</v>
      </c>
      <c r="L91" s="171"/>
      <c r="M91" s="171"/>
      <c r="N91" s="606" t="s">
        <v>42</v>
      </c>
      <c r="O91" s="174">
        <v>8</v>
      </c>
      <c r="P91" s="235">
        <f ca="1">OFFSET($A$1,MATCH(Z85,$A:$A,0)-1,O91)</f>
        <v>15.3</v>
      </c>
      <c r="Q91" s="322" t="s">
        <v>29</v>
      </c>
      <c r="R91" s="323">
        <f t="shared" ca="1" si="22"/>
        <v>250087</v>
      </c>
      <c r="S91" s="323">
        <f t="shared" ca="1" si="22"/>
        <v>3826331</v>
      </c>
      <c r="T91" s="323">
        <f ca="1">보조원</f>
        <v>250087</v>
      </c>
      <c r="U91" s="323">
        <f t="shared" ca="1" si="23"/>
        <v>3826331</v>
      </c>
      <c r="V91" s="323"/>
      <c r="W91" s="323"/>
      <c r="X91" s="323"/>
      <c r="Y91" s="323"/>
      <c r="Z91" s="324"/>
    </row>
    <row r="92" spans="11:26" ht="18" customHeight="1">
      <c r="K92" s="171" t="s">
        <v>811</v>
      </c>
      <c r="L92" s="171"/>
      <c r="M92" s="171"/>
      <c r="N92" s="607" t="s">
        <v>700</v>
      </c>
      <c r="O92" s="68"/>
      <c r="P92" s="69"/>
      <c r="Q92" s="70"/>
      <c r="R92" s="71"/>
      <c r="S92" s="71">
        <f ca="1">SUBTOTAL(9,S86:S91)</f>
        <v>10298920</v>
      </c>
      <c r="T92" s="71"/>
      <c r="U92" s="71">
        <f ca="1">SUBTOTAL(9,U86:U91)</f>
        <v>10298920</v>
      </c>
      <c r="V92" s="71"/>
      <c r="W92" s="71"/>
      <c r="X92" s="71"/>
      <c r="Y92" s="71"/>
      <c r="Z92" s="68"/>
    </row>
    <row r="93" spans="11:26" ht="18" customHeight="1">
      <c r="K93" s="171" t="s">
        <v>811</v>
      </c>
      <c r="L93" s="171"/>
      <c r="M93" s="171"/>
      <c r="N93" s="532" t="str">
        <f ca="1">"제 " &amp; Z93 &amp; " 호표  "&amp; OFFSET($A$1,MATCH(Z93,$A:$A,0)-1,1)</f>
        <v>제 6 호표  2.4 공고에 따른 의견내용 및 조치결과 작성</v>
      </c>
      <c r="O93" s="533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6</v>
      </c>
    </row>
    <row r="94" spans="11:26" ht="18" customHeight="1">
      <c r="K94" s="171" t="s">
        <v>811</v>
      </c>
      <c r="L94" s="171"/>
      <c r="M94" s="171"/>
      <c r="N94" s="603" t="s">
        <v>43</v>
      </c>
      <c r="O94" s="172">
        <v>3</v>
      </c>
      <c r="P94" s="534">
        <f ca="1">OFFSET($A$1,MATCH(Z93,$A:$A,0)-1,O94)</f>
        <v>1.1000000000000001</v>
      </c>
      <c r="Q94" s="141" t="s">
        <v>29</v>
      </c>
      <c r="R94" s="142">
        <f t="shared" ref="R94:S99" ca="1" si="24">T94</f>
        <v>467217</v>
      </c>
      <c r="S94" s="142">
        <f t="shared" ca="1" si="24"/>
        <v>513938</v>
      </c>
      <c r="T94" s="142">
        <f ca="1">기술사</f>
        <v>467217</v>
      </c>
      <c r="U94" s="142">
        <f t="shared" ref="U94:U99" ca="1" si="25">ROUNDDOWN(P94*R94,0)</f>
        <v>513938</v>
      </c>
      <c r="V94" s="142"/>
      <c r="W94" s="142"/>
      <c r="X94" s="142"/>
      <c r="Y94" s="142"/>
      <c r="Z94" s="114"/>
    </row>
    <row r="95" spans="11:26" ht="18" customHeight="1">
      <c r="K95" s="171" t="s">
        <v>811</v>
      </c>
      <c r="L95" s="171"/>
      <c r="M95" s="171"/>
      <c r="N95" s="604" t="s">
        <v>32</v>
      </c>
      <c r="O95" s="173">
        <v>4</v>
      </c>
      <c r="P95" s="234">
        <f ca="1">OFFSET($A$1,MATCH(Z93,$A:$A,0)-1,O95)</f>
        <v>1.1000000000000001</v>
      </c>
      <c r="Q95" s="144" t="s">
        <v>29</v>
      </c>
      <c r="R95" s="118">
        <f t="shared" ca="1" si="24"/>
        <v>373353</v>
      </c>
      <c r="S95" s="118">
        <f t="shared" ca="1" si="24"/>
        <v>410688</v>
      </c>
      <c r="T95" s="118">
        <f ca="1">특급</f>
        <v>373353</v>
      </c>
      <c r="U95" s="118">
        <f t="shared" ca="1" si="25"/>
        <v>410688</v>
      </c>
      <c r="V95" s="118"/>
      <c r="W95" s="118"/>
      <c r="X95" s="118"/>
      <c r="Y95" s="118"/>
      <c r="Z95" s="115"/>
    </row>
    <row r="96" spans="11:26" ht="18" customHeight="1">
      <c r="K96" s="171" t="s">
        <v>702</v>
      </c>
      <c r="L96" s="171"/>
      <c r="M96" s="171"/>
      <c r="N96" s="605" t="s">
        <v>39</v>
      </c>
      <c r="O96" s="173">
        <v>5</v>
      </c>
      <c r="P96" s="234">
        <f ca="1">OFFSET($A$1,MATCH(Z93,$A:$A,0)-1,O96)</f>
        <v>2.2000000000000002</v>
      </c>
      <c r="Q96" s="144" t="s">
        <v>29</v>
      </c>
      <c r="R96" s="118">
        <f t="shared" ca="1" si="24"/>
        <v>310884</v>
      </c>
      <c r="S96" s="118">
        <f t="shared" ca="1" si="24"/>
        <v>683944</v>
      </c>
      <c r="T96" s="118">
        <f ca="1">고급</f>
        <v>310884</v>
      </c>
      <c r="U96" s="118">
        <f t="shared" ca="1" si="25"/>
        <v>683944</v>
      </c>
      <c r="V96" s="118"/>
      <c r="W96" s="118"/>
      <c r="X96" s="118"/>
      <c r="Y96" s="118"/>
      <c r="Z96" s="115"/>
    </row>
    <row r="97" spans="11:26" ht="18" customHeight="1">
      <c r="K97" s="171" t="s">
        <v>811</v>
      </c>
      <c r="L97" s="171"/>
      <c r="M97" s="171"/>
      <c r="N97" s="605" t="s">
        <v>40</v>
      </c>
      <c r="O97" s="173">
        <v>6</v>
      </c>
      <c r="P97" s="234">
        <f ca="1">OFFSET($A$1,MATCH(Z93,$A:$A,0)-1,O97)</f>
        <v>3.6</v>
      </c>
      <c r="Q97" s="144" t="s">
        <v>29</v>
      </c>
      <c r="R97" s="118">
        <f t="shared" ca="1" si="24"/>
        <v>295138</v>
      </c>
      <c r="S97" s="118">
        <f t="shared" ca="1" si="24"/>
        <v>1062496</v>
      </c>
      <c r="T97" s="118">
        <f ca="1">중급</f>
        <v>295138</v>
      </c>
      <c r="U97" s="118">
        <f t="shared" ca="1" si="25"/>
        <v>1062496</v>
      </c>
      <c r="V97" s="118"/>
      <c r="W97" s="118"/>
      <c r="X97" s="118"/>
      <c r="Y97" s="118"/>
      <c r="Z97" s="115"/>
    </row>
    <row r="98" spans="11:26" ht="18" customHeight="1">
      <c r="K98" s="171" t="s">
        <v>811</v>
      </c>
      <c r="L98" s="171"/>
      <c r="M98" s="171"/>
      <c r="N98" s="605" t="s">
        <v>41</v>
      </c>
      <c r="O98" s="173">
        <v>7</v>
      </c>
      <c r="P98" s="234">
        <f ca="1">OFFSET($A$1,MATCH(Z93,$A:$A,0)-1,O98)</f>
        <v>5.4</v>
      </c>
      <c r="Q98" s="144" t="s">
        <v>29</v>
      </c>
      <c r="R98" s="118">
        <f t="shared" ca="1" si="24"/>
        <v>235459</v>
      </c>
      <c r="S98" s="118">
        <f t="shared" ca="1" si="24"/>
        <v>1271478</v>
      </c>
      <c r="T98" s="118">
        <f ca="1">초급</f>
        <v>235459</v>
      </c>
      <c r="U98" s="118">
        <f t="shared" ca="1" si="25"/>
        <v>1271478</v>
      </c>
      <c r="V98" s="118"/>
      <c r="W98" s="118"/>
      <c r="X98" s="118"/>
      <c r="Y98" s="118"/>
      <c r="Z98" s="115"/>
    </row>
    <row r="99" spans="11:26" ht="18" customHeight="1">
      <c r="K99" s="171" t="s">
        <v>811</v>
      </c>
      <c r="L99" s="171"/>
      <c r="M99" s="171"/>
      <c r="N99" s="606" t="s">
        <v>42</v>
      </c>
      <c r="O99" s="174">
        <v>8</v>
      </c>
      <c r="P99" s="235">
        <f ca="1">OFFSET($A$1,MATCH(Z93,$A:$A,0)-1,O99)</f>
        <v>8.1</v>
      </c>
      <c r="Q99" s="322" t="s">
        <v>29</v>
      </c>
      <c r="R99" s="323">
        <f t="shared" ca="1" si="24"/>
        <v>250087</v>
      </c>
      <c r="S99" s="323">
        <f t="shared" ca="1" si="24"/>
        <v>2025704</v>
      </c>
      <c r="T99" s="323">
        <f ca="1">보조원</f>
        <v>250087</v>
      </c>
      <c r="U99" s="323">
        <f t="shared" ca="1" si="25"/>
        <v>2025704</v>
      </c>
      <c r="V99" s="323"/>
      <c r="W99" s="323"/>
      <c r="X99" s="323"/>
      <c r="Y99" s="323"/>
      <c r="Z99" s="324"/>
    </row>
    <row r="100" spans="11:26" ht="18" customHeight="1">
      <c r="K100" s="171" t="s">
        <v>811</v>
      </c>
      <c r="L100" s="171"/>
      <c r="M100" s="171"/>
      <c r="N100" s="607" t="s">
        <v>810</v>
      </c>
      <c r="O100" s="68"/>
      <c r="P100" s="69"/>
      <c r="Q100" s="70"/>
      <c r="R100" s="71"/>
      <c r="S100" s="71">
        <f ca="1">SUBTOTAL(9,S94:S99)</f>
        <v>5968248</v>
      </c>
      <c r="T100" s="71"/>
      <c r="U100" s="71">
        <f ca="1">SUBTOTAL(9,U94:U99)</f>
        <v>5968248</v>
      </c>
      <c r="V100" s="71"/>
      <c r="W100" s="71"/>
      <c r="X100" s="71"/>
      <c r="Y100" s="71"/>
      <c r="Z100" s="68"/>
    </row>
    <row r="101" spans="11:26" ht="18" customHeight="1">
      <c r="K101" s="171" t="s">
        <v>811</v>
      </c>
      <c r="L101" s="171"/>
      <c r="M101" s="171"/>
      <c r="N101" s="532" t="str">
        <f ca="1">"제 " &amp; Z101 &amp; " 호표  "&amp; OFFSET($A$1,MATCH(Z101,$A:$A,0)-1,1)</f>
        <v>제 7 호표  2.5 용도지역·지구 변경에 관한 계획</v>
      </c>
      <c r="O101" s="533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7</v>
      </c>
    </row>
    <row r="102" spans="11:26" ht="18" customHeight="1">
      <c r="K102" s="171" t="s">
        <v>702</v>
      </c>
      <c r="L102" s="171"/>
      <c r="M102" s="171"/>
      <c r="N102" s="603" t="s">
        <v>43</v>
      </c>
      <c r="O102" s="172">
        <v>3</v>
      </c>
      <c r="P102" s="534">
        <f ca="1">OFFSET($A$1,MATCH(Z101,$A:$A,0)-1,O102)</f>
        <v>0.7</v>
      </c>
      <c r="Q102" s="141" t="s">
        <v>29</v>
      </c>
      <c r="R102" s="142">
        <f t="shared" ref="R102:S107" ca="1" si="26">T102</f>
        <v>467217</v>
      </c>
      <c r="S102" s="142">
        <f t="shared" ca="1" si="26"/>
        <v>327051</v>
      </c>
      <c r="T102" s="142">
        <f ca="1">기술사</f>
        <v>467217</v>
      </c>
      <c r="U102" s="142">
        <f t="shared" ref="U102:U107" ca="1" si="27">ROUNDDOWN(P102*R102,0)</f>
        <v>327051</v>
      </c>
      <c r="V102" s="142"/>
      <c r="W102" s="142"/>
      <c r="X102" s="142"/>
      <c r="Y102" s="142"/>
      <c r="Z102" s="114"/>
    </row>
    <row r="103" spans="11:26" ht="18" customHeight="1">
      <c r="K103" s="171" t="s">
        <v>702</v>
      </c>
      <c r="L103" s="171"/>
      <c r="M103" s="171"/>
      <c r="N103" s="604" t="s">
        <v>32</v>
      </c>
      <c r="O103" s="173">
        <v>4</v>
      </c>
      <c r="P103" s="234">
        <f ca="1">OFFSET($A$1,MATCH(Z101,$A:$A,0)-1,O103)</f>
        <v>1.8</v>
      </c>
      <c r="Q103" s="144" t="s">
        <v>29</v>
      </c>
      <c r="R103" s="118">
        <f t="shared" ca="1" si="26"/>
        <v>373353</v>
      </c>
      <c r="S103" s="118">
        <f t="shared" ca="1" si="26"/>
        <v>672035</v>
      </c>
      <c r="T103" s="118">
        <f ca="1">특급</f>
        <v>373353</v>
      </c>
      <c r="U103" s="118">
        <f t="shared" ca="1" si="27"/>
        <v>672035</v>
      </c>
      <c r="V103" s="118"/>
      <c r="W103" s="118"/>
      <c r="X103" s="118"/>
      <c r="Y103" s="118"/>
      <c r="Z103" s="115"/>
    </row>
    <row r="104" spans="11:26" ht="18" customHeight="1">
      <c r="K104" s="171" t="s">
        <v>702</v>
      </c>
      <c r="L104" s="171"/>
      <c r="M104" s="171"/>
      <c r="N104" s="605" t="s">
        <v>39</v>
      </c>
      <c r="O104" s="173">
        <v>5</v>
      </c>
      <c r="P104" s="234">
        <f ca="1">OFFSET($A$1,MATCH(Z101,$A:$A,0)-1,O104)</f>
        <v>4.3</v>
      </c>
      <c r="Q104" s="144" t="s">
        <v>29</v>
      </c>
      <c r="R104" s="118">
        <f t="shared" ca="1" si="26"/>
        <v>310884</v>
      </c>
      <c r="S104" s="118">
        <f t="shared" ca="1" si="26"/>
        <v>1336801</v>
      </c>
      <c r="T104" s="118">
        <f ca="1">고급</f>
        <v>310884</v>
      </c>
      <c r="U104" s="118">
        <f t="shared" ca="1" si="27"/>
        <v>1336801</v>
      </c>
      <c r="V104" s="118"/>
      <c r="W104" s="118"/>
      <c r="X104" s="118"/>
      <c r="Y104" s="118"/>
      <c r="Z104" s="115"/>
    </row>
    <row r="105" spans="11:26" ht="18" customHeight="1">
      <c r="K105" s="171" t="s">
        <v>702</v>
      </c>
      <c r="L105" s="171"/>
      <c r="M105" s="171"/>
      <c r="N105" s="605" t="s">
        <v>40</v>
      </c>
      <c r="O105" s="173">
        <v>6</v>
      </c>
      <c r="P105" s="234">
        <f ca="1">OFFSET($A$1,MATCH(Z101,$A:$A,0)-1,O105)</f>
        <v>5.4</v>
      </c>
      <c r="Q105" s="144" t="s">
        <v>29</v>
      </c>
      <c r="R105" s="118">
        <f t="shared" ca="1" si="26"/>
        <v>295138</v>
      </c>
      <c r="S105" s="118">
        <f t="shared" ca="1" si="26"/>
        <v>1593745</v>
      </c>
      <c r="T105" s="118">
        <f ca="1">중급</f>
        <v>295138</v>
      </c>
      <c r="U105" s="118">
        <f t="shared" ca="1" si="27"/>
        <v>1593745</v>
      </c>
      <c r="V105" s="118"/>
      <c r="W105" s="118"/>
      <c r="X105" s="118"/>
      <c r="Y105" s="118"/>
      <c r="Z105" s="115"/>
    </row>
    <row r="106" spans="11:26" ht="18" customHeight="1">
      <c r="K106" s="171" t="s">
        <v>811</v>
      </c>
      <c r="L106" s="171"/>
      <c r="M106" s="171"/>
      <c r="N106" s="605" t="s">
        <v>41</v>
      </c>
      <c r="O106" s="173">
        <v>7</v>
      </c>
      <c r="P106" s="234">
        <f ca="1">OFFSET($A$1,MATCH(Z101,$A:$A,0)-1,O106)</f>
        <v>10.8</v>
      </c>
      <c r="Q106" s="144" t="s">
        <v>29</v>
      </c>
      <c r="R106" s="118">
        <f t="shared" ca="1" si="26"/>
        <v>235459</v>
      </c>
      <c r="S106" s="118">
        <f t="shared" ca="1" si="26"/>
        <v>2542957</v>
      </c>
      <c r="T106" s="118">
        <f ca="1">초급</f>
        <v>235459</v>
      </c>
      <c r="U106" s="118">
        <f t="shared" ca="1" si="27"/>
        <v>2542957</v>
      </c>
      <c r="V106" s="118"/>
      <c r="W106" s="118"/>
      <c r="X106" s="118"/>
      <c r="Y106" s="118"/>
      <c r="Z106" s="115"/>
    </row>
    <row r="107" spans="11:26" ht="18" customHeight="1">
      <c r="K107" s="171" t="s">
        <v>811</v>
      </c>
      <c r="L107" s="171"/>
      <c r="M107" s="171"/>
      <c r="N107" s="606" t="s">
        <v>42</v>
      </c>
      <c r="O107" s="174">
        <v>8</v>
      </c>
      <c r="P107" s="235">
        <f ca="1">OFFSET($A$1,MATCH(Z101,$A:$A,0)-1,O107)</f>
        <v>15.3</v>
      </c>
      <c r="Q107" s="322" t="s">
        <v>29</v>
      </c>
      <c r="R107" s="323">
        <f t="shared" ca="1" si="26"/>
        <v>250087</v>
      </c>
      <c r="S107" s="323">
        <f t="shared" ca="1" si="26"/>
        <v>3826331</v>
      </c>
      <c r="T107" s="323">
        <f ca="1">보조원</f>
        <v>250087</v>
      </c>
      <c r="U107" s="323">
        <f t="shared" ca="1" si="27"/>
        <v>3826331</v>
      </c>
      <c r="V107" s="323"/>
      <c r="W107" s="323"/>
      <c r="X107" s="323"/>
      <c r="Y107" s="323"/>
      <c r="Z107" s="324"/>
    </row>
    <row r="108" spans="11:26" ht="18" customHeight="1">
      <c r="K108" s="171" t="s">
        <v>811</v>
      </c>
      <c r="L108" s="171"/>
      <c r="M108" s="171"/>
      <c r="N108" s="607" t="s">
        <v>700</v>
      </c>
      <c r="O108" s="68"/>
      <c r="P108" s="69"/>
      <c r="Q108" s="70"/>
      <c r="R108" s="71"/>
      <c r="S108" s="71">
        <f ca="1">SUBTOTAL(9,S102:S107)</f>
        <v>10298920</v>
      </c>
      <c r="T108" s="71"/>
      <c r="U108" s="71">
        <f ca="1">SUBTOTAL(9,U102:U107)</f>
        <v>10298920</v>
      </c>
      <c r="V108" s="71"/>
      <c r="W108" s="71"/>
      <c r="X108" s="71"/>
      <c r="Y108" s="71"/>
      <c r="Z108" s="68"/>
    </row>
    <row r="109" spans="11:26" ht="18" customHeight="1">
      <c r="K109" s="171" t="s">
        <v>811</v>
      </c>
      <c r="L109" s="171"/>
      <c r="M109" s="171"/>
      <c r="N109" s="532" t="str">
        <f ca="1">"제 " &amp; Z109 &amp; " 호표  "&amp; OFFSET($A$1,MATCH(Z109,$A:$A,0)-1,1)</f>
        <v>제 8 호표  2.6 개발제한구역 해제를 위한 지구단위계획</v>
      </c>
      <c r="O109" s="533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8</v>
      </c>
    </row>
    <row r="110" spans="11:26" ht="18" customHeight="1">
      <c r="K110" s="171" t="s">
        <v>811</v>
      </c>
      <c r="L110" s="171"/>
      <c r="M110" s="171"/>
      <c r="N110" s="603" t="s">
        <v>43</v>
      </c>
      <c r="O110" s="172">
        <v>3</v>
      </c>
      <c r="P110" s="534">
        <f ca="1">OFFSET($A$1,MATCH(Z109,$A:$A,0)-1,O110)</f>
        <v>0.7</v>
      </c>
      <c r="Q110" s="141" t="s">
        <v>29</v>
      </c>
      <c r="R110" s="142">
        <f t="shared" ref="R110:S115" ca="1" si="28">T110</f>
        <v>467217</v>
      </c>
      <c r="S110" s="142">
        <f t="shared" ca="1" si="28"/>
        <v>327051</v>
      </c>
      <c r="T110" s="142">
        <f ca="1">기술사</f>
        <v>467217</v>
      </c>
      <c r="U110" s="142">
        <f t="shared" ref="U110:U115" ca="1" si="29">ROUNDDOWN(P110*R110,0)</f>
        <v>327051</v>
      </c>
      <c r="V110" s="142"/>
      <c r="W110" s="142"/>
      <c r="X110" s="142"/>
      <c r="Y110" s="142"/>
      <c r="Z110" s="114"/>
    </row>
    <row r="111" spans="11:26" ht="18" customHeight="1">
      <c r="K111" s="171" t="s">
        <v>811</v>
      </c>
      <c r="L111" s="171"/>
      <c r="M111" s="171"/>
      <c r="N111" s="604" t="s">
        <v>32</v>
      </c>
      <c r="O111" s="173">
        <v>4</v>
      </c>
      <c r="P111" s="234">
        <f ca="1">OFFSET($A$1,MATCH(Z109,$A:$A,0)-1,O111)</f>
        <v>1.8</v>
      </c>
      <c r="Q111" s="144" t="s">
        <v>29</v>
      </c>
      <c r="R111" s="118">
        <f t="shared" ca="1" si="28"/>
        <v>373353</v>
      </c>
      <c r="S111" s="118">
        <f t="shared" ca="1" si="28"/>
        <v>672035</v>
      </c>
      <c r="T111" s="118">
        <f ca="1">특급</f>
        <v>373353</v>
      </c>
      <c r="U111" s="118">
        <f t="shared" ca="1" si="29"/>
        <v>672035</v>
      </c>
      <c r="V111" s="118"/>
      <c r="W111" s="118"/>
      <c r="X111" s="118"/>
      <c r="Y111" s="118"/>
      <c r="Z111" s="115"/>
    </row>
    <row r="112" spans="11:26" ht="18" customHeight="1">
      <c r="K112" s="171" t="s">
        <v>811</v>
      </c>
      <c r="L112" s="171"/>
      <c r="M112" s="171"/>
      <c r="N112" s="605" t="s">
        <v>39</v>
      </c>
      <c r="O112" s="173">
        <v>5</v>
      </c>
      <c r="P112" s="234">
        <f ca="1">OFFSET($A$1,MATCH(Z109,$A:$A,0)-1,O112)</f>
        <v>4.3</v>
      </c>
      <c r="Q112" s="144" t="s">
        <v>29</v>
      </c>
      <c r="R112" s="118">
        <f t="shared" ca="1" si="28"/>
        <v>310884</v>
      </c>
      <c r="S112" s="118">
        <f t="shared" ca="1" si="28"/>
        <v>1336801</v>
      </c>
      <c r="T112" s="118">
        <f ca="1">고급</f>
        <v>310884</v>
      </c>
      <c r="U112" s="118">
        <f t="shared" ca="1" si="29"/>
        <v>1336801</v>
      </c>
      <c r="V112" s="118"/>
      <c r="W112" s="118"/>
      <c r="X112" s="118"/>
      <c r="Y112" s="118"/>
      <c r="Z112" s="115"/>
    </row>
    <row r="113" spans="11:26" ht="18" customHeight="1">
      <c r="K113" s="171" t="s">
        <v>702</v>
      </c>
      <c r="L113" s="171"/>
      <c r="M113" s="171"/>
      <c r="N113" s="605" t="s">
        <v>40</v>
      </c>
      <c r="O113" s="173">
        <v>6</v>
      </c>
      <c r="P113" s="234">
        <f ca="1">OFFSET($A$1,MATCH(Z109,$A:$A,0)-1,O113)</f>
        <v>5.4</v>
      </c>
      <c r="Q113" s="144" t="s">
        <v>29</v>
      </c>
      <c r="R113" s="118">
        <f t="shared" ca="1" si="28"/>
        <v>295138</v>
      </c>
      <c r="S113" s="118">
        <f t="shared" ca="1" si="28"/>
        <v>1593745</v>
      </c>
      <c r="T113" s="118">
        <f ca="1">중급</f>
        <v>295138</v>
      </c>
      <c r="U113" s="118">
        <f t="shared" ca="1" si="29"/>
        <v>1593745</v>
      </c>
      <c r="V113" s="118"/>
      <c r="W113" s="118"/>
      <c r="X113" s="118"/>
      <c r="Y113" s="118"/>
      <c r="Z113" s="115"/>
    </row>
    <row r="114" spans="11:26" ht="18" customHeight="1">
      <c r="K114" s="171" t="s">
        <v>811</v>
      </c>
      <c r="L114" s="171"/>
      <c r="M114" s="171"/>
      <c r="N114" s="605" t="s">
        <v>41</v>
      </c>
      <c r="O114" s="173">
        <v>7</v>
      </c>
      <c r="P114" s="234">
        <f ca="1">OFFSET($A$1,MATCH(Z109,$A:$A,0)-1,O114)</f>
        <v>10.8</v>
      </c>
      <c r="Q114" s="144" t="s">
        <v>29</v>
      </c>
      <c r="R114" s="118">
        <f t="shared" ca="1" si="28"/>
        <v>235459</v>
      </c>
      <c r="S114" s="118">
        <f t="shared" ca="1" si="28"/>
        <v>2542957</v>
      </c>
      <c r="T114" s="118">
        <f ca="1">초급</f>
        <v>235459</v>
      </c>
      <c r="U114" s="118">
        <f t="shared" ca="1" si="29"/>
        <v>2542957</v>
      </c>
      <c r="V114" s="118"/>
      <c r="W114" s="118"/>
      <c r="X114" s="118"/>
      <c r="Y114" s="118"/>
      <c r="Z114" s="115"/>
    </row>
    <row r="115" spans="11:26" ht="18" customHeight="1">
      <c r="K115" s="171" t="s">
        <v>811</v>
      </c>
      <c r="L115" s="171"/>
      <c r="M115" s="171"/>
      <c r="N115" s="606" t="s">
        <v>42</v>
      </c>
      <c r="O115" s="174">
        <v>8</v>
      </c>
      <c r="P115" s="235">
        <f ca="1">OFFSET($A$1,MATCH(Z109,$A:$A,0)-1,O115)</f>
        <v>15.3</v>
      </c>
      <c r="Q115" s="322" t="s">
        <v>29</v>
      </c>
      <c r="R115" s="323">
        <f t="shared" ca="1" si="28"/>
        <v>250087</v>
      </c>
      <c r="S115" s="323">
        <f t="shared" ca="1" si="28"/>
        <v>3826331</v>
      </c>
      <c r="T115" s="323">
        <f ca="1">보조원</f>
        <v>250087</v>
      </c>
      <c r="U115" s="323">
        <f t="shared" ca="1" si="29"/>
        <v>3826331</v>
      </c>
      <c r="V115" s="323"/>
      <c r="W115" s="323"/>
      <c r="X115" s="323"/>
      <c r="Y115" s="323"/>
      <c r="Z115" s="324"/>
    </row>
    <row r="116" spans="11:26" ht="18" customHeight="1">
      <c r="K116" s="171" t="s">
        <v>702</v>
      </c>
      <c r="L116" s="171"/>
      <c r="M116" s="171"/>
      <c r="N116" s="607" t="s">
        <v>810</v>
      </c>
      <c r="O116" s="68"/>
      <c r="P116" s="69"/>
      <c r="Q116" s="70"/>
      <c r="R116" s="71"/>
      <c r="S116" s="71">
        <f ca="1">SUBTOTAL(9,S110:S115)</f>
        <v>10298920</v>
      </c>
      <c r="T116" s="71"/>
      <c r="U116" s="71">
        <f ca="1">SUBTOTAL(9,U110:U115)</f>
        <v>10298920</v>
      </c>
      <c r="V116" s="71"/>
      <c r="W116" s="71"/>
      <c r="X116" s="71"/>
      <c r="Y116" s="71"/>
      <c r="Z116" s="68"/>
    </row>
    <row r="117" spans="11:26" ht="18" customHeight="1">
      <c r="K117" s="171" t="s">
        <v>702</v>
      </c>
      <c r="L117" s="171"/>
      <c r="M117" s="171"/>
      <c r="N117" s="532" t="str">
        <f ca="1">"제 " &amp; Z117 &amp; " 호표  "&amp; OFFSET($A$1,MATCH(Z117,$A:$A,0)-1,1)</f>
        <v>제 9 호표  2.7 지적도 및 토지조서, 권리조서 작성</v>
      </c>
      <c r="O117" s="533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9</v>
      </c>
    </row>
    <row r="118" spans="11:26" ht="18" customHeight="1">
      <c r="K118" s="171" t="s">
        <v>811</v>
      </c>
      <c r="L118" s="171"/>
      <c r="M118" s="171"/>
      <c r="N118" s="603" t="s">
        <v>43</v>
      </c>
      <c r="O118" s="172">
        <v>3</v>
      </c>
      <c r="P118" s="534">
        <f ca="1">OFFSET($A$1,MATCH(Z117,$A:$A,0)-1,O118)</f>
        <v>0</v>
      </c>
      <c r="Q118" s="141" t="s">
        <v>29</v>
      </c>
      <c r="R118" s="142">
        <f t="shared" ref="R118:S123" ca="1" si="30">T118</f>
        <v>467217</v>
      </c>
      <c r="S118" s="142">
        <f t="shared" ca="1" si="30"/>
        <v>0</v>
      </c>
      <c r="T118" s="142">
        <f ca="1">기술사</f>
        <v>467217</v>
      </c>
      <c r="U118" s="142">
        <f t="shared" ref="U118:U123" ca="1" si="31">ROUNDDOWN(P118*R118,0)</f>
        <v>0</v>
      </c>
      <c r="V118" s="142"/>
      <c r="W118" s="142"/>
      <c r="X118" s="142"/>
      <c r="Y118" s="142"/>
      <c r="Z118" s="114"/>
    </row>
    <row r="119" spans="11:26" ht="18" customHeight="1">
      <c r="K119" s="171" t="s">
        <v>702</v>
      </c>
      <c r="L119" s="171"/>
      <c r="M119" s="171"/>
      <c r="N119" s="604" t="s">
        <v>32</v>
      </c>
      <c r="O119" s="173">
        <v>4</v>
      </c>
      <c r="P119" s="234">
        <f ca="1">OFFSET($A$1,MATCH(Z117,$A:$A,0)-1,O119)</f>
        <v>2.2000000000000002</v>
      </c>
      <c r="Q119" s="144" t="s">
        <v>29</v>
      </c>
      <c r="R119" s="118">
        <f t="shared" ca="1" si="30"/>
        <v>373353</v>
      </c>
      <c r="S119" s="118">
        <f t="shared" ca="1" si="30"/>
        <v>821376</v>
      </c>
      <c r="T119" s="118">
        <f ca="1">특급</f>
        <v>373353</v>
      </c>
      <c r="U119" s="118">
        <f t="shared" ca="1" si="31"/>
        <v>821376</v>
      </c>
      <c r="V119" s="118"/>
      <c r="W119" s="118"/>
      <c r="X119" s="118"/>
      <c r="Y119" s="118"/>
      <c r="Z119" s="115"/>
    </row>
    <row r="120" spans="11:26" ht="18" customHeight="1">
      <c r="K120" s="171" t="s">
        <v>702</v>
      </c>
      <c r="L120" s="171"/>
      <c r="M120" s="171"/>
      <c r="N120" s="605" t="s">
        <v>39</v>
      </c>
      <c r="O120" s="173">
        <v>5</v>
      </c>
      <c r="P120" s="234">
        <f ca="1">OFFSET($A$1,MATCH(Z117,$A:$A,0)-1,O120)</f>
        <v>4.3</v>
      </c>
      <c r="Q120" s="144" t="s">
        <v>29</v>
      </c>
      <c r="R120" s="118">
        <f t="shared" ca="1" si="30"/>
        <v>310884</v>
      </c>
      <c r="S120" s="118">
        <f t="shared" ca="1" si="30"/>
        <v>1336801</v>
      </c>
      <c r="T120" s="118">
        <f ca="1">고급</f>
        <v>310884</v>
      </c>
      <c r="U120" s="118">
        <f t="shared" ca="1" si="31"/>
        <v>1336801</v>
      </c>
      <c r="V120" s="118"/>
      <c r="W120" s="118"/>
      <c r="X120" s="118"/>
      <c r="Y120" s="118"/>
      <c r="Z120" s="115"/>
    </row>
    <row r="121" spans="11:26" ht="18" customHeight="1">
      <c r="K121" s="171" t="s">
        <v>811</v>
      </c>
      <c r="L121" s="171"/>
      <c r="M121" s="171"/>
      <c r="N121" s="605" t="s">
        <v>40</v>
      </c>
      <c r="O121" s="173">
        <v>6</v>
      </c>
      <c r="P121" s="234">
        <f ca="1">OFFSET($A$1,MATCH(Z117,$A:$A,0)-1,O121)</f>
        <v>5.4</v>
      </c>
      <c r="Q121" s="144" t="s">
        <v>29</v>
      </c>
      <c r="R121" s="118">
        <f t="shared" ca="1" si="30"/>
        <v>295138</v>
      </c>
      <c r="S121" s="118">
        <f t="shared" ca="1" si="30"/>
        <v>1593745</v>
      </c>
      <c r="T121" s="118">
        <f ca="1">중급</f>
        <v>295138</v>
      </c>
      <c r="U121" s="118">
        <f t="shared" ca="1" si="31"/>
        <v>1593745</v>
      </c>
      <c r="V121" s="118"/>
      <c r="W121" s="118"/>
      <c r="X121" s="118"/>
      <c r="Y121" s="118"/>
      <c r="Z121" s="115"/>
    </row>
    <row r="122" spans="11:26" ht="18" customHeight="1">
      <c r="K122" s="171" t="s">
        <v>702</v>
      </c>
      <c r="L122" s="171"/>
      <c r="M122" s="171"/>
      <c r="N122" s="605" t="s">
        <v>41</v>
      </c>
      <c r="O122" s="173">
        <v>7</v>
      </c>
      <c r="P122" s="234">
        <f ca="1">OFFSET($A$1,MATCH(Z117,$A:$A,0)-1,O122)</f>
        <v>10.8</v>
      </c>
      <c r="Q122" s="144" t="s">
        <v>29</v>
      </c>
      <c r="R122" s="118">
        <f t="shared" ca="1" si="30"/>
        <v>235459</v>
      </c>
      <c r="S122" s="118">
        <f t="shared" ca="1" si="30"/>
        <v>2542957</v>
      </c>
      <c r="T122" s="118">
        <f ca="1">초급</f>
        <v>235459</v>
      </c>
      <c r="U122" s="118">
        <f t="shared" ca="1" si="31"/>
        <v>2542957</v>
      </c>
      <c r="V122" s="118"/>
      <c r="W122" s="118"/>
      <c r="X122" s="118"/>
      <c r="Y122" s="118"/>
      <c r="Z122" s="115"/>
    </row>
    <row r="123" spans="11:26" ht="18" customHeight="1">
      <c r="K123" s="171" t="s">
        <v>702</v>
      </c>
      <c r="L123" s="171"/>
      <c r="M123" s="171"/>
      <c r="N123" s="606" t="s">
        <v>42</v>
      </c>
      <c r="O123" s="174">
        <v>8</v>
      </c>
      <c r="P123" s="235">
        <f ca="1">OFFSET($A$1,MATCH(Z117,$A:$A,0)-1,O123)</f>
        <v>15.3</v>
      </c>
      <c r="Q123" s="322" t="s">
        <v>29</v>
      </c>
      <c r="R123" s="323">
        <f t="shared" ca="1" si="30"/>
        <v>250087</v>
      </c>
      <c r="S123" s="323">
        <f t="shared" ca="1" si="30"/>
        <v>3826331</v>
      </c>
      <c r="T123" s="323">
        <f ca="1">보조원</f>
        <v>250087</v>
      </c>
      <c r="U123" s="323">
        <f t="shared" ca="1" si="31"/>
        <v>3826331</v>
      </c>
      <c r="V123" s="323"/>
      <c r="W123" s="323"/>
      <c r="X123" s="323"/>
      <c r="Y123" s="323"/>
      <c r="Z123" s="324"/>
    </row>
    <row r="124" spans="11:26" ht="18" customHeight="1">
      <c r="K124" s="171" t="s">
        <v>811</v>
      </c>
      <c r="L124" s="171"/>
      <c r="M124" s="171"/>
      <c r="N124" s="607" t="s">
        <v>700</v>
      </c>
      <c r="O124" s="68"/>
      <c r="P124" s="69"/>
      <c r="Q124" s="70"/>
      <c r="R124" s="71"/>
      <c r="S124" s="71">
        <f ca="1">SUBTOTAL(9,S118:S123)</f>
        <v>10121210</v>
      </c>
      <c r="T124" s="71"/>
      <c r="U124" s="71">
        <f ca="1">SUBTOTAL(9,U118:U123)</f>
        <v>10121210</v>
      </c>
      <c r="V124" s="71"/>
      <c r="W124" s="71"/>
      <c r="X124" s="71"/>
      <c r="Y124" s="71"/>
      <c r="Z124" s="68"/>
    </row>
    <row r="125" spans="11:26" ht="18" customHeight="1">
      <c r="K125" s="171" t="s">
        <v>811</v>
      </c>
      <c r="L125" s="171"/>
      <c r="M125" s="171"/>
      <c r="N125" s="532" t="str">
        <f ca="1">"제 " &amp; Z125 &amp; " 호표  "&amp; OFFSET($A$1,MATCH(Z125,$A:$A,0)-1,1)</f>
        <v>제 10 호표  2.8 도시·군계획시설 재검토서</v>
      </c>
      <c r="O125" s="533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10</v>
      </c>
    </row>
    <row r="126" spans="11:26" ht="18" customHeight="1">
      <c r="K126" s="171" t="s">
        <v>702</v>
      </c>
      <c r="L126" s="171"/>
      <c r="M126" s="171"/>
      <c r="N126" s="603" t="s">
        <v>43</v>
      </c>
      <c r="O126" s="172">
        <v>3</v>
      </c>
      <c r="P126" s="534">
        <f ca="1">OFFSET($A$1,MATCH(Z125,$A:$A,0)-1,O126)</f>
        <v>0.4</v>
      </c>
      <c r="Q126" s="141" t="s">
        <v>29</v>
      </c>
      <c r="R126" s="142">
        <f t="shared" ref="R126:S131" ca="1" si="32">T126</f>
        <v>467217</v>
      </c>
      <c r="S126" s="142">
        <f t="shared" ca="1" si="32"/>
        <v>186886</v>
      </c>
      <c r="T126" s="142">
        <f ca="1">기술사</f>
        <v>467217</v>
      </c>
      <c r="U126" s="142">
        <f t="shared" ref="U126:U131" ca="1" si="33">ROUNDDOWN(P126*R126,0)</f>
        <v>186886</v>
      </c>
      <c r="V126" s="142"/>
      <c r="W126" s="142"/>
      <c r="X126" s="142"/>
      <c r="Y126" s="142"/>
      <c r="Z126" s="114"/>
    </row>
    <row r="127" spans="11:26" ht="18" customHeight="1">
      <c r="K127" s="171" t="s">
        <v>811</v>
      </c>
      <c r="L127" s="171"/>
      <c r="M127" s="171"/>
      <c r="N127" s="604" t="s">
        <v>32</v>
      </c>
      <c r="O127" s="173">
        <v>4</v>
      </c>
      <c r="P127" s="234">
        <f ca="1">OFFSET($A$1,MATCH(Z125,$A:$A,0)-1,O127)</f>
        <v>0.7</v>
      </c>
      <c r="Q127" s="144" t="s">
        <v>29</v>
      </c>
      <c r="R127" s="118">
        <f t="shared" ca="1" si="32"/>
        <v>373353</v>
      </c>
      <c r="S127" s="118">
        <f t="shared" ca="1" si="32"/>
        <v>261347</v>
      </c>
      <c r="T127" s="118">
        <f ca="1">특급</f>
        <v>373353</v>
      </c>
      <c r="U127" s="118">
        <f t="shared" ca="1" si="33"/>
        <v>261347</v>
      </c>
      <c r="V127" s="118"/>
      <c r="W127" s="118"/>
      <c r="X127" s="118"/>
      <c r="Y127" s="118"/>
      <c r="Z127" s="115"/>
    </row>
    <row r="128" spans="11:26" ht="18" customHeight="1">
      <c r="K128" s="171" t="s">
        <v>702</v>
      </c>
      <c r="L128" s="171"/>
      <c r="M128" s="171"/>
      <c r="N128" s="605" t="s">
        <v>39</v>
      </c>
      <c r="O128" s="173">
        <v>5</v>
      </c>
      <c r="P128" s="234">
        <f ca="1">OFFSET($A$1,MATCH(Z125,$A:$A,0)-1,O128)</f>
        <v>1.4</v>
      </c>
      <c r="Q128" s="144" t="s">
        <v>29</v>
      </c>
      <c r="R128" s="118">
        <f t="shared" ca="1" si="32"/>
        <v>310884</v>
      </c>
      <c r="S128" s="118">
        <f t="shared" ca="1" si="32"/>
        <v>435237</v>
      </c>
      <c r="T128" s="118">
        <f ca="1">고급</f>
        <v>310884</v>
      </c>
      <c r="U128" s="118">
        <f t="shared" ca="1" si="33"/>
        <v>435237</v>
      </c>
      <c r="V128" s="118"/>
      <c r="W128" s="118"/>
      <c r="X128" s="118"/>
      <c r="Y128" s="118"/>
      <c r="Z128" s="115"/>
    </row>
    <row r="129" spans="11:26" ht="18" customHeight="1">
      <c r="K129" s="171" t="s">
        <v>702</v>
      </c>
      <c r="L129" s="171"/>
      <c r="M129" s="171"/>
      <c r="N129" s="605" t="s">
        <v>40</v>
      </c>
      <c r="O129" s="173">
        <v>6</v>
      </c>
      <c r="P129" s="234">
        <f ca="1">OFFSET($A$1,MATCH(Z125,$A:$A,0)-1,O129)</f>
        <v>2.2000000000000002</v>
      </c>
      <c r="Q129" s="144" t="s">
        <v>29</v>
      </c>
      <c r="R129" s="118">
        <f t="shared" ca="1" si="32"/>
        <v>295138</v>
      </c>
      <c r="S129" s="118">
        <f t="shared" ca="1" si="32"/>
        <v>649303</v>
      </c>
      <c r="T129" s="118">
        <f ca="1">중급</f>
        <v>295138</v>
      </c>
      <c r="U129" s="118">
        <f t="shared" ca="1" si="33"/>
        <v>649303</v>
      </c>
      <c r="V129" s="118"/>
      <c r="W129" s="118"/>
      <c r="X129" s="118"/>
      <c r="Y129" s="118"/>
      <c r="Z129" s="115"/>
    </row>
    <row r="130" spans="11:26" ht="18" customHeight="1">
      <c r="K130" s="171" t="s">
        <v>702</v>
      </c>
      <c r="L130" s="171"/>
      <c r="M130" s="171"/>
      <c r="N130" s="605" t="s">
        <v>41</v>
      </c>
      <c r="O130" s="173">
        <v>7</v>
      </c>
      <c r="P130" s="234">
        <f ca="1">OFFSET($A$1,MATCH(Z125,$A:$A,0)-1,O130)</f>
        <v>3.6</v>
      </c>
      <c r="Q130" s="144" t="s">
        <v>29</v>
      </c>
      <c r="R130" s="118">
        <f t="shared" ca="1" si="32"/>
        <v>235459</v>
      </c>
      <c r="S130" s="118">
        <f t="shared" ca="1" si="32"/>
        <v>847652</v>
      </c>
      <c r="T130" s="118">
        <f ca="1">초급</f>
        <v>235459</v>
      </c>
      <c r="U130" s="118">
        <f t="shared" ca="1" si="33"/>
        <v>847652</v>
      </c>
      <c r="V130" s="118"/>
      <c r="W130" s="118"/>
      <c r="X130" s="118"/>
      <c r="Y130" s="118"/>
      <c r="Z130" s="115"/>
    </row>
    <row r="131" spans="11:26" ht="18" customHeight="1">
      <c r="K131" s="171" t="s">
        <v>702</v>
      </c>
      <c r="L131" s="171"/>
      <c r="M131" s="171"/>
      <c r="N131" s="606" t="s">
        <v>42</v>
      </c>
      <c r="O131" s="174">
        <v>8</v>
      </c>
      <c r="P131" s="235">
        <f ca="1">OFFSET($A$1,MATCH(Z125,$A:$A,0)-1,O131)</f>
        <v>4.5</v>
      </c>
      <c r="Q131" s="322" t="s">
        <v>29</v>
      </c>
      <c r="R131" s="323">
        <f t="shared" ca="1" si="32"/>
        <v>250087</v>
      </c>
      <c r="S131" s="323">
        <f t="shared" ca="1" si="32"/>
        <v>1125391</v>
      </c>
      <c r="T131" s="323">
        <f ca="1">보조원</f>
        <v>250087</v>
      </c>
      <c r="U131" s="323">
        <f t="shared" ca="1" si="33"/>
        <v>1125391</v>
      </c>
      <c r="V131" s="323"/>
      <c r="W131" s="323"/>
      <c r="X131" s="323"/>
      <c r="Y131" s="323"/>
      <c r="Z131" s="324"/>
    </row>
    <row r="132" spans="11:26" ht="18" customHeight="1">
      <c r="K132" s="171" t="s">
        <v>702</v>
      </c>
      <c r="L132" s="171"/>
      <c r="M132" s="171"/>
      <c r="N132" s="607" t="s">
        <v>700</v>
      </c>
      <c r="O132" s="68"/>
      <c r="P132" s="69"/>
      <c r="Q132" s="70"/>
      <c r="R132" s="71"/>
      <c r="S132" s="71">
        <f ca="1">SUBTOTAL(9,S126:S131)</f>
        <v>3505816</v>
      </c>
      <c r="T132" s="71"/>
      <c r="U132" s="71">
        <f ca="1">SUBTOTAL(9,U126:U131)</f>
        <v>3505816</v>
      </c>
      <c r="V132" s="71"/>
      <c r="W132" s="71"/>
      <c r="X132" s="71"/>
      <c r="Y132" s="71"/>
      <c r="Z132" s="68"/>
    </row>
    <row r="133" spans="11:26" ht="18" customHeight="1">
      <c r="K133" s="171" t="s">
        <v>702</v>
      </c>
      <c r="L133" s="171"/>
      <c r="M133" s="171"/>
      <c r="N133" s="532" t="str">
        <f ca="1">"제 " &amp; Z133 &amp; " 호표  "&amp; OFFSET($A$1,MATCH(Z133,$A:$A,0)-1,1)</f>
        <v>제 11 호표  3.1 공공기여 방안</v>
      </c>
      <c r="O133" s="533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11</v>
      </c>
    </row>
    <row r="134" spans="11:26" ht="18" customHeight="1">
      <c r="K134" s="171" t="s">
        <v>811</v>
      </c>
      <c r="L134" s="171"/>
      <c r="M134" s="171"/>
      <c r="N134" s="603" t="s">
        <v>43</v>
      </c>
      <c r="O134" s="172">
        <v>3</v>
      </c>
      <c r="P134" s="534">
        <f ca="1">OFFSET($A$1,MATCH(Z133,$A:$A,0)-1,O134)</f>
        <v>0.2</v>
      </c>
      <c r="Q134" s="141" t="s">
        <v>29</v>
      </c>
      <c r="R134" s="142">
        <f t="shared" ref="R134:S139" ca="1" si="34">T134</f>
        <v>467217</v>
      </c>
      <c r="S134" s="142">
        <f t="shared" ca="1" si="34"/>
        <v>93443</v>
      </c>
      <c r="T134" s="142">
        <f ca="1">기술사</f>
        <v>467217</v>
      </c>
      <c r="U134" s="142">
        <f t="shared" ref="U134:U139" ca="1" si="35">ROUNDDOWN(P134*R134,0)</f>
        <v>93443</v>
      </c>
      <c r="V134" s="142"/>
      <c r="W134" s="142"/>
      <c r="X134" s="142"/>
      <c r="Y134" s="142"/>
      <c r="Z134" s="114"/>
    </row>
    <row r="135" spans="11:26" ht="18" customHeight="1">
      <c r="K135" s="171" t="s">
        <v>811</v>
      </c>
      <c r="L135" s="171"/>
      <c r="M135" s="171"/>
      <c r="N135" s="604" t="s">
        <v>32</v>
      </c>
      <c r="O135" s="173">
        <v>4</v>
      </c>
      <c r="P135" s="234">
        <f ca="1">OFFSET($A$1,MATCH(Z133,$A:$A,0)-1,O135)</f>
        <v>0.4</v>
      </c>
      <c r="Q135" s="144" t="s">
        <v>29</v>
      </c>
      <c r="R135" s="118">
        <f t="shared" ca="1" si="34"/>
        <v>373353</v>
      </c>
      <c r="S135" s="118">
        <f t="shared" ca="1" si="34"/>
        <v>149341</v>
      </c>
      <c r="T135" s="118">
        <f ca="1">특급</f>
        <v>373353</v>
      </c>
      <c r="U135" s="118">
        <f t="shared" ca="1" si="35"/>
        <v>149341</v>
      </c>
      <c r="V135" s="118"/>
      <c r="W135" s="118"/>
      <c r="X135" s="118"/>
      <c r="Y135" s="118"/>
      <c r="Z135" s="115"/>
    </row>
    <row r="136" spans="11:26" ht="18" customHeight="1">
      <c r="K136" s="171" t="s">
        <v>811</v>
      </c>
      <c r="L136" s="171"/>
      <c r="M136" s="171"/>
      <c r="N136" s="605" t="s">
        <v>39</v>
      </c>
      <c r="O136" s="173">
        <v>5</v>
      </c>
      <c r="P136" s="234">
        <f ca="1">OFFSET($A$1,MATCH(Z133,$A:$A,0)-1,O136)</f>
        <v>0.8</v>
      </c>
      <c r="Q136" s="144" t="s">
        <v>29</v>
      </c>
      <c r="R136" s="118">
        <f t="shared" ca="1" si="34"/>
        <v>310884</v>
      </c>
      <c r="S136" s="118">
        <f t="shared" ca="1" si="34"/>
        <v>248707</v>
      </c>
      <c r="T136" s="118">
        <f ca="1">고급</f>
        <v>310884</v>
      </c>
      <c r="U136" s="118">
        <f t="shared" ca="1" si="35"/>
        <v>248707</v>
      </c>
      <c r="V136" s="118"/>
      <c r="W136" s="118"/>
      <c r="X136" s="118"/>
      <c r="Y136" s="118"/>
      <c r="Z136" s="115"/>
    </row>
    <row r="137" spans="11:26" ht="18" customHeight="1">
      <c r="K137" s="171" t="s">
        <v>702</v>
      </c>
      <c r="L137" s="171"/>
      <c r="M137" s="171"/>
      <c r="N137" s="605" t="s">
        <v>40</v>
      </c>
      <c r="O137" s="173">
        <v>6</v>
      </c>
      <c r="P137" s="234">
        <f ca="1">OFFSET($A$1,MATCH(Z133,$A:$A,0)-1,O137)</f>
        <v>1.2</v>
      </c>
      <c r="Q137" s="144" t="s">
        <v>29</v>
      </c>
      <c r="R137" s="118">
        <f t="shared" ca="1" si="34"/>
        <v>295138</v>
      </c>
      <c r="S137" s="118">
        <f t="shared" ca="1" si="34"/>
        <v>354165</v>
      </c>
      <c r="T137" s="118">
        <f ca="1">중급</f>
        <v>295138</v>
      </c>
      <c r="U137" s="118">
        <f t="shared" ca="1" si="35"/>
        <v>354165</v>
      </c>
      <c r="V137" s="118"/>
      <c r="W137" s="118"/>
      <c r="X137" s="118"/>
      <c r="Y137" s="118"/>
      <c r="Z137" s="115"/>
    </row>
    <row r="138" spans="11:26" ht="18" customHeight="1">
      <c r="K138" s="171" t="s">
        <v>811</v>
      </c>
      <c r="L138" s="171"/>
      <c r="M138" s="171"/>
      <c r="N138" s="605" t="s">
        <v>41</v>
      </c>
      <c r="O138" s="173">
        <v>7</v>
      </c>
      <c r="P138" s="234">
        <f ca="1">OFFSET($A$1,MATCH(Z133,$A:$A,0)-1,O138)</f>
        <v>2</v>
      </c>
      <c r="Q138" s="144" t="s">
        <v>29</v>
      </c>
      <c r="R138" s="118">
        <f t="shared" ca="1" si="34"/>
        <v>235459</v>
      </c>
      <c r="S138" s="118">
        <f t="shared" ca="1" si="34"/>
        <v>470918</v>
      </c>
      <c r="T138" s="118">
        <f ca="1">초급</f>
        <v>235459</v>
      </c>
      <c r="U138" s="118">
        <f t="shared" ca="1" si="35"/>
        <v>470918</v>
      </c>
      <c r="V138" s="118"/>
      <c r="W138" s="118"/>
      <c r="X138" s="118"/>
      <c r="Y138" s="118"/>
      <c r="Z138" s="115"/>
    </row>
    <row r="139" spans="11:26" ht="18" customHeight="1">
      <c r="K139" s="171" t="s">
        <v>811</v>
      </c>
      <c r="L139" s="171"/>
      <c r="M139" s="171"/>
      <c r="N139" s="606" t="s">
        <v>42</v>
      </c>
      <c r="O139" s="174">
        <v>8</v>
      </c>
      <c r="P139" s="235">
        <f ca="1">OFFSET($A$1,MATCH(Z133,$A:$A,0)-1,O139)</f>
        <v>2.5</v>
      </c>
      <c r="Q139" s="322" t="s">
        <v>29</v>
      </c>
      <c r="R139" s="323">
        <f t="shared" ca="1" si="34"/>
        <v>250087</v>
      </c>
      <c r="S139" s="323">
        <f t="shared" ca="1" si="34"/>
        <v>625217</v>
      </c>
      <c r="T139" s="323">
        <f ca="1">보조원</f>
        <v>250087</v>
      </c>
      <c r="U139" s="323">
        <f t="shared" ca="1" si="35"/>
        <v>625217</v>
      </c>
      <c r="V139" s="323"/>
      <c r="W139" s="323"/>
      <c r="X139" s="323"/>
      <c r="Y139" s="323"/>
      <c r="Z139" s="324"/>
    </row>
    <row r="140" spans="11:26" ht="18" customHeight="1">
      <c r="K140" s="171" t="s">
        <v>811</v>
      </c>
      <c r="L140" s="171"/>
      <c r="M140" s="171"/>
      <c r="N140" s="607" t="s">
        <v>700</v>
      </c>
      <c r="O140" s="68"/>
      <c r="P140" s="69"/>
      <c r="Q140" s="70"/>
      <c r="R140" s="71"/>
      <c r="S140" s="71">
        <f ca="1">SUBTOTAL(9,S134:S139)</f>
        <v>1941791</v>
      </c>
      <c r="T140" s="71"/>
      <c r="U140" s="71">
        <f ca="1">SUBTOTAL(9,U134:U139)</f>
        <v>1941791</v>
      </c>
      <c r="V140" s="71"/>
      <c r="W140" s="71"/>
      <c r="X140" s="71"/>
      <c r="Y140" s="71"/>
      <c r="Z140" s="68"/>
    </row>
    <row r="141" spans="11:26" ht="18" customHeight="1">
      <c r="K141" s="171" t="s">
        <v>811</v>
      </c>
      <c r="L141" s="171"/>
      <c r="M141" s="171"/>
      <c r="N141" s="532" t="str">
        <f ca="1">"제 " &amp; Z141 &amp; " 호표  "&amp; OFFSET($A$1,MATCH(Z141,$A:$A,0)-1,1)</f>
        <v xml:space="preserve">제 12 호표  3.2 난개발확산방지, 투기행위방지 </v>
      </c>
      <c r="O141" s="533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12</v>
      </c>
    </row>
    <row r="142" spans="11:26" ht="18" customHeight="1">
      <c r="K142" s="171" t="s">
        <v>811</v>
      </c>
      <c r="L142" s="171"/>
      <c r="M142" s="171"/>
      <c r="N142" s="603" t="s">
        <v>43</v>
      </c>
      <c r="O142" s="172">
        <v>3</v>
      </c>
      <c r="P142" s="534">
        <f ca="1">OFFSET($A$1,MATCH(Z141,$A:$A,0)-1,O142)</f>
        <v>0.2</v>
      </c>
      <c r="Q142" s="141" t="s">
        <v>29</v>
      </c>
      <c r="R142" s="142">
        <f t="shared" ref="R142:S147" ca="1" si="36">T142</f>
        <v>467217</v>
      </c>
      <c r="S142" s="142">
        <f t="shared" ca="1" si="36"/>
        <v>93443</v>
      </c>
      <c r="T142" s="142">
        <f ca="1">기술사</f>
        <v>467217</v>
      </c>
      <c r="U142" s="142">
        <f t="shared" ref="U142:U147" ca="1" si="37">ROUNDDOWN(P142*R142,0)</f>
        <v>93443</v>
      </c>
      <c r="V142" s="142"/>
      <c r="W142" s="142"/>
      <c r="X142" s="142"/>
      <c r="Y142" s="142"/>
      <c r="Z142" s="114"/>
    </row>
    <row r="143" spans="11:26" ht="18" customHeight="1">
      <c r="K143" s="171" t="s">
        <v>811</v>
      </c>
      <c r="L143" s="171"/>
      <c r="M143" s="171"/>
      <c r="N143" s="604" t="s">
        <v>32</v>
      </c>
      <c r="O143" s="173">
        <v>4</v>
      </c>
      <c r="P143" s="234">
        <f ca="1">OFFSET($A$1,MATCH(Z141,$A:$A,0)-1,O143)</f>
        <v>0.4</v>
      </c>
      <c r="Q143" s="144" t="s">
        <v>29</v>
      </c>
      <c r="R143" s="118">
        <f t="shared" ca="1" si="36"/>
        <v>373353</v>
      </c>
      <c r="S143" s="118">
        <f t="shared" ca="1" si="36"/>
        <v>149341</v>
      </c>
      <c r="T143" s="118">
        <f ca="1">특급</f>
        <v>373353</v>
      </c>
      <c r="U143" s="118">
        <f t="shared" ca="1" si="37"/>
        <v>149341</v>
      </c>
      <c r="V143" s="118"/>
      <c r="W143" s="118"/>
      <c r="X143" s="118"/>
      <c r="Y143" s="118"/>
      <c r="Z143" s="115"/>
    </row>
    <row r="144" spans="11:26" ht="18" customHeight="1">
      <c r="K144" s="171" t="s">
        <v>811</v>
      </c>
      <c r="L144" s="171"/>
      <c r="M144" s="171"/>
      <c r="N144" s="605" t="s">
        <v>39</v>
      </c>
      <c r="O144" s="173">
        <v>5</v>
      </c>
      <c r="P144" s="234">
        <f ca="1">OFFSET($A$1,MATCH(Z141,$A:$A,0)-1,O144)</f>
        <v>0.8</v>
      </c>
      <c r="Q144" s="144" t="s">
        <v>29</v>
      </c>
      <c r="R144" s="118">
        <f t="shared" ca="1" si="36"/>
        <v>310884</v>
      </c>
      <c r="S144" s="118">
        <f t="shared" ca="1" si="36"/>
        <v>248707</v>
      </c>
      <c r="T144" s="118">
        <f ca="1">고급</f>
        <v>310884</v>
      </c>
      <c r="U144" s="118">
        <f t="shared" ca="1" si="37"/>
        <v>248707</v>
      </c>
      <c r="V144" s="118"/>
      <c r="W144" s="118"/>
      <c r="X144" s="118"/>
      <c r="Y144" s="118"/>
      <c r="Z144" s="115"/>
    </row>
    <row r="145" spans="11:26" ht="18" customHeight="1">
      <c r="K145" s="171" t="s">
        <v>702</v>
      </c>
      <c r="L145" s="171"/>
      <c r="M145" s="171"/>
      <c r="N145" s="605" t="s">
        <v>40</v>
      </c>
      <c r="O145" s="173">
        <v>6</v>
      </c>
      <c r="P145" s="234">
        <f ca="1">OFFSET($A$1,MATCH(Z141,$A:$A,0)-1,O145)</f>
        <v>1.2</v>
      </c>
      <c r="Q145" s="144" t="s">
        <v>29</v>
      </c>
      <c r="R145" s="118">
        <f t="shared" ca="1" si="36"/>
        <v>295138</v>
      </c>
      <c r="S145" s="118">
        <f t="shared" ca="1" si="36"/>
        <v>354165</v>
      </c>
      <c r="T145" s="118">
        <f ca="1">중급</f>
        <v>295138</v>
      </c>
      <c r="U145" s="118">
        <f t="shared" ca="1" si="37"/>
        <v>354165</v>
      </c>
      <c r="V145" s="118"/>
      <c r="W145" s="118"/>
      <c r="X145" s="118"/>
      <c r="Y145" s="118"/>
      <c r="Z145" s="115"/>
    </row>
    <row r="146" spans="11:26" ht="18" customHeight="1">
      <c r="K146" s="171" t="s">
        <v>702</v>
      </c>
      <c r="L146" s="171"/>
      <c r="M146" s="171"/>
      <c r="N146" s="605" t="s">
        <v>41</v>
      </c>
      <c r="O146" s="173">
        <v>7</v>
      </c>
      <c r="P146" s="234">
        <f ca="1">OFFSET($A$1,MATCH(Z141,$A:$A,0)-1,O146)</f>
        <v>2</v>
      </c>
      <c r="Q146" s="144" t="s">
        <v>29</v>
      </c>
      <c r="R146" s="118">
        <f t="shared" ca="1" si="36"/>
        <v>235459</v>
      </c>
      <c r="S146" s="118">
        <f t="shared" ca="1" si="36"/>
        <v>470918</v>
      </c>
      <c r="T146" s="118">
        <f ca="1">초급</f>
        <v>235459</v>
      </c>
      <c r="U146" s="118">
        <f t="shared" ca="1" si="37"/>
        <v>470918</v>
      </c>
      <c r="V146" s="118"/>
      <c r="W146" s="118"/>
      <c r="X146" s="118"/>
      <c r="Y146" s="118"/>
      <c r="Z146" s="115"/>
    </row>
    <row r="147" spans="11:26" ht="18" customHeight="1">
      <c r="K147" s="171" t="s">
        <v>811</v>
      </c>
      <c r="L147" s="171"/>
      <c r="M147" s="171"/>
      <c r="N147" s="606" t="s">
        <v>42</v>
      </c>
      <c r="O147" s="174">
        <v>8</v>
      </c>
      <c r="P147" s="235">
        <f ca="1">OFFSET($A$1,MATCH(Z141,$A:$A,0)-1,O147)</f>
        <v>2.5</v>
      </c>
      <c r="Q147" s="322" t="s">
        <v>29</v>
      </c>
      <c r="R147" s="323">
        <f t="shared" ca="1" si="36"/>
        <v>250087</v>
      </c>
      <c r="S147" s="323">
        <f t="shared" ca="1" si="36"/>
        <v>625217</v>
      </c>
      <c r="T147" s="323">
        <f ca="1">보조원</f>
        <v>250087</v>
      </c>
      <c r="U147" s="323">
        <f t="shared" ca="1" si="37"/>
        <v>625217</v>
      </c>
      <c r="V147" s="323"/>
      <c r="W147" s="323"/>
      <c r="X147" s="323"/>
      <c r="Y147" s="323"/>
      <c r="Z147" s="324"/>
    </row>
    <row r="148" spans="11:26" ht="18" customHeight="1">
      <c r="K148" s="171" t="s">
        <v>811</v>
      </c>
      <c r="L148" s="171"/>
      <c r="M148" s="171"/>
      <c r="N148" s="607" t="s">
        <v>810</v>
      </c>
      <c r="O148" s="68"/>
      <c r="P148" s="69"/>
      <c r="Q148" s="70"/>
      <c r="R148" s="71"/>
      <c r="S148" s="71">
        <f ca="1">SUBTOTAL(9,S142:S147)</f>
        <v>1941791</v>
      </c>
      <c r="T148" s="71"/>
      <c r="U148" s="71">
        <f ca="1">SUBTOTAL(9,U142:U147)</f>
        <v>1941791</v>
      </c>
      <c r="V148" s="71"/>
      <c r="W148" s="71"/>
      <c r="X148" s="71"/>
      <c r="Y148" s="71"/>
      <c r="Z148" s="68"/>
    </row>
    <row r="149" spans="11:26" ht="18" customHeight="1">
      <c r="K149" s="171" t="s">
        <v>811</v>
      </c>
      <c r="L149" s="171"/>
      <c r="M149" s="171"/>
      <c r="N149" s="532" t="str">
        <f ca="1">"제 " &amp; Z149 &amp; " 호표  "&amp; OFFSET($A$1,MATCH(Z149,$A:$A,0)-1,1)</f>
        <v>제 13 호표  3.3 훼손지 복구계획</v>
      </c>
      <c r="O149" s="533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13</v>
      </c>
    </row>
    <row r="150" spans="11:26" ht="18" customHeight="1">
      <c r="K150" s="171" t="s">
        <v>811</v>
      </c>
      <c r="L150" s="171"/>
      <c r="M150" s="171"/>
      <c r="N150" s="603" t="s">
        <v>43</v>
      </c>
      <c r="O150" s="172">
        <v>3</v>
      </c>
      <c r="P150" s="534">
        <f ca="1">OFFSET($A$1,MATCH(Z149,$A:$A,0)-1,O150)</f>
        <v>1</v>
      </c>
      <c r="Q150" s="141" t="s">
        <v>29</v>
      </c>
      <c r="R150" s="142">
        <f t="shared" ref="R150:S155" ca="1" si="38">T150</f>
        <v>467217</v>
      </c>
      <c r="S150" s="142">
        <f t="shared" ca="1" si="38"/>
        <v>467217</v>
      </c>
      <c r="T150" s="142">
        <f ca="1">기술사</f>
        <v>467217</v>
      </c>
      <c r="U150" s="142">
        <f t="shared" ref="U150:U155" ca="1" si="39">ROUNDDOWN(P150*R150,0)</f>
        <v>467217</v>
      </c>
      <c r="V150" s="142"/>
      <c r="W150" s="142"/>
      <c r="X150" s="142"/>
      <c r="Y150" s="142"/>
      <c r="Z150" s="114"/>
    </row>
    <row r="151" spans="11:26" ht="18" customHeight="1">
      <c r="K151" s="171" t="s">
        <v>811</v>
      </c>
      <c r="L151" s="171"/>
      <c r="M151" s="171"/>
      <c r="N151" s="604" t="s">
        <v>32</v>
      </c>
      <c r="O151" s="173">
        <v>4</v>
      </c>
      <c r="P151" s="234">
        <f ca="1">OFFSET($A$1,MATCH(Z149,$A:$A,0)-1,O151)</f>
        <v>1</v>
      </c>
      <c r="Q151" s="144" t="s">
        <v>29</v>
      </c>
      <c r="R151" s="118">
        <f t="shared" ca="1" si="38"/>
        <v>373353</v>
      </c>
      <c r="S151" s="118">
        <f t="shared" ca="1" si="38"/>
        <v>373353</v>
      </c>
      <c r="T151" s="118">
        <f ca="1">특급</f>
        <v>373353</v>
      </c>
      <c r="U151" s="118">
        <f t="shared" ca="1" si="39"/>
        <v>373353</v>
      </c>
      <c r="V151" s="118"/>
      <c r="W151" s="118"/>
      <c r="X151" s="118"/>
      <c r="Y151" s="118"/>
      <c r="Z151" s="115"/>
    </row>
    <row r="152" spans="11:26" ht="18" customHeight="1">
      <c r="K152" s="171" t="s">
        <v>811</v>
      </c>
      <c r="L152" s="171"/>
      <c r="M152" s="171"/>
      <c r="N152" s="605" t="s">
        <v>39</v>
      </c>
      <c r="O152" s="173">
        <v>5</v>
      </c>
      <c r="P152" s="234">
        <f ca="1">OFFSET($A$1,MATCH(Z149,$A:$A,0)-1,O152)</f>
        <v>2</v>
      </c>
      <c r="Q152" s="144" t="s">
        <v>29</v>
      </c>
      <c r="R152" s="118">
        <f t="shared" ca="1" si="38"/>
        <v>310884</v>
      </c>
      <c r="S152" s="118">
        <f t="shared" ca="1" si="38"/>
        <v>621768</v>
      </c>
      <c r="T152" s="118">
        <f ca="1">고급</f>
        <v>310884</v>
      </c>
      <c r="U152" s="118">
        <f t="shared" ca="1" si="39"/>
        <v>621768</v>
      </c>
      <c r="V152" s="118"/>
      <c r="W152" s="118"/>
      <c r="X152" s="118"/>
      <c r="Y152" s="118"/>
      <c r="Z152" s="115"/>
    </row>
    <row r="153" spans="11:26" ht="18" customHeight="1">
      <c r="K153" s="171" t="s">
        <v>811</v>
      </c>
      <c r="L153" s="171"/>
      <c r="M153" s="171"/>
      <c r="N153" s="605" t="s">
        <v>40</v>
      </c>
      <c r="O153" s="173">
        <v>6</v>
      </c>
      <c r="P153" s="234">
        <f ca="1">OFFSET($A$1,MATCH(Z149,$A:$A,0)-1,O153)</f>
        <v>3</v>
      </c>
      <c r="Q153" s="144" t="s">
        <v>29</v>
      </c>
      <c r="R153" s="118">
        <f t="shared" ca="1" si="38"/>
        <v>295138</v>
      </c>
      <c r="S153" s="118">
        <f t="shared" ca="1" si="38"/>
        <v>885414</v>
      </c>
      <c r="T153" s="118">
        <f ca="1">중급</f>
        <v>295138</v>
      </c>
      <c r="U153" s="118">
        <f t="shared" ca="1" si="39"/>
        <v>885414</v>
      </c>
      <c r="V153" s="118"/>
      <c r="W153" s="118"/>
      <c r="X153" s="118"/>
      <c r="Y153" s="118"/>
      <c r="Z153" s="115"/>
    </row>
    <row r="154" spans="11:26" ht="18" customHeight="1">
      <c r="K154" s="171" t="s">
        <v>702</v>
      </c>
      <c r="L154" s="171"/>
      <c r="M154" s="171"/>
      <c r="N154" s="605" t="s">
        <v>41</v>
      </c>
      <c r="O154" s="173">
        <v>7</v>
      </c>
      <c r="P154" s="234">
        <f ca="1">OFFSET($A$1,MATCH(Z149,$A:$A,0)-1,O154)</f>
        <v>4</v>
      </c>
      <c r="Q154" s="144" t="s">
        <v>29</v>
      </c>
      <c r="R154" s="118">
        <f t="shared" ca="1" si="38"/>
        <v>235459</v>
      </c>
      <c r="S154" s="118">
        <f t="shared" ca="1" si="38"/>
        <v>941836</v>
      </c>
      <c r="T154" s="118">
        <f ca="1">초급</f>
        <v>235459</v>
      </c>
      <c r="U154" s="118">
        <f t="shared" ca="1" si="39"/>
        <v>941836</v>
      </c>
      <c r="V154" s="118"/>
      <c r="W154" s="118"/>
      <c r="X154" s="118"/>
      <c r="Y154" s="118"/>
      <c r="Z154" s="115"/>
    </row>
    <row r="155" spans="11:26" ht="18" customHeight="1">
      <c r="K155" s="171" t="s">
        <v>702</v>
      </c>
      <c r="L155" s="171"/>
      <c r="M155" s="171"/>
      <c r="N155" s="606" t="s">
        <v>42</v>
      </c>
      <c r="O155" s="174">
        <v>8</v>
      </c>
      <c r="P155" s="235">
        <f ca="1">OFFSET($A$1,MATCH(Z149,$A:$A,0)-1,O155)</f>
        <v>8</v>
      </c>
      <c r="Q155" s="322" t="s">
        <v>29</v>
      </c>
      <c r="R155" s="323">
        <f t="shared" ca="1" si="38"/>
        <v>250087</v>
      </c>
      <c r="S155" s="323">
        <f t="shared" ca="1" si="38"/>
        <v>2000696</v>
      </c>
      <c r="T155" s="323">
        <f ca="1">보조원</f>
        <v>250087</v>
      </c>
      <c r="U155" s="323">
        <f t="shared" ca="1" si="39"/>
        <v>2000696</v>
      </c>
      <c r="V155" s="323"/>
      <c r="W155" s="323"/>
      <c r="X155" s="323"/>
      <c r="Y155" s="323"/>
      <c r="Z155" s="324"/>
    </row>
    <row r="156" spans="11:26" ht="18" customHeight="1">
      <c r="K156" s="171" t="s">
        <v>702</v>
      </c>
      <c r="L156" s="171"/>
      <c r="M156" s="171"/>
      <c r="N156" s="607" t="s">
        <v>700</v>
      </c>
      <c r="O156" s="68"/>
      <c r="P156" s="69"/>
      <c r="Q156" s="70"/>
      <c r="R156" s="71"/>
      <c r="S156" s="71">
        <f ca="1">SUBTOTAL(9,S150:S155)</f>
        <v>5290284</v>
      </c>
      <c r="T156" s="71"/>
      <c r="U156" s="71">
        <f ca="1">SUBTOTAL(9,U150:U155)</f>
        <v>5290284</v>
      </c>
      <c r="V156" s="71"/>
      <c r="W156" s="71"/>
      <c r="X156" s="71"/>
      <c r="Y156" s="71"/>
      <c r="Z156" s="68"/>
    </row>
    <row r="157" spans="11:26" ht="18" customHeight="1">
      <c r="K157" s="171" t="s">
        <v>811</v>
      </c>
      <c r="L157" s="171"/>
      <c r="M157" s="171"/>
      <c r="N157" s="532" t="str">
        <f ca="1">"제 " &amp; Z157 &amp; " 호표  "&amp; OFFSET($A$1,MATCH(Z157,$A:$A,0)-1,1)</f>
        <v>제 14 호표  3.4 부담금 산정</v>
      </c>
      <c r="O157" s="533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14</v>
      </c>
    </row>
    <row r="158" spans="11:26" ht="18" customHeight="1">
      <c r="K158" s="171" t="s">
        <v>811</v>
      </c>
      <c r="L158" s="171"/>
      <c r="M158" s="171"/>
      <c r="N158" s="603" t="s">
        <v>43</v>
      </c>
      <c r="O158" s="172">
        <v>3</v>
      </c>
      <c r="P158" s="534">
        <f ca="1">OFFSET($A$1,MATCH(Z157,$A:$A,0)-1,O158)</f>
        <v>0</v>
      </c>
      <c r="Q158" s="141" t="s">
        <v>29</v>
      </c>
      <c r="R158" s="142">
        <f t="shared" ref="R158:S163" ca="1" si="40">T158</f>
        <v>467217</v>
      </c>
      <c r="S158" s="142">
        <f t="shared" ca="1" si="40"/>
        <v>0</v>
      </c>
      <c r="T158" s="142">
        <f ca="1">기술사</f>
        <v>467217</v>
      </c>
      <c r="U158" s="142">
        <f t="shared" ref="U158:U163" ca="1" si="41">ROUNDDOWN(P158*R158,0)</f>
        <v>0</v>
      </c>
      <c r="V158" s="142"/>
      <c r="W158" s="142"/>
      <c r="X158" s="142"/>
      <c r="Y158" s="142"/>
      <c r="Z158" s="114"/>
    </row>
    <row r="159" spans="11:26" ht="18" customHeight="1">
      <c r="K159" s="171" t="s">
        <v>702</v>
      </c>
      <c r="L159" s="171"/>
      <c r="M159" s="171"/>
      <c r="N159" s="604" t="s">
        <v>32</v>
      </c>
      <c r="O159" s="173">
        <v>4</v>
      </c>
      <c r="P159" s="234">
        <f ca="1">OFFSET($A$1,MATCH(Z157,$A:$A,0)-1,O159)</f>
        <v>1.2</v>
      </c>
      <c r="Q159" s="144" t="s">
        <v>29</v>
      </c>
      <c r="R159" s="118">
        <f t="shared" ca="1" si="40"/>
        <v>373353</v>
      </c>
      <c r="S159" s="118">
        <f t="shared" ca="1" si="40"/>
        <v>448023</v>
      </c>
      <c r="T159" s="118">
        <f ca="1">특급</f>
        <v>373353</v>
      </c>
      <c r="U159" s="118">
        <f t="shared" ca="1" si="41"/>
        <v>448023</v>
      </c>
      <c r="V159" s="118"/>
      <c r="W159" s="118"/>
      <c r="X159" s="118"/>
      <c r="Y159" s="118"/>
      <c r="Z159" s="115"/>
    </row>
    <row r="160" spans="11:26" ht="18" customHeight="1">
      <c r="K160" s="171" t="s">
        <v>811</v>
      </c>
      <c r="L160" s="171"/>
      <c r="M160" s="171"/>
      <c r="N160" s="605" t="s">
        <v>39</v>
      </c>
      <c r="O160" s="173">
        <v>5</v>
      </c>
      <c r="P160" s="234">
        <f ca="1">OFFSET($A$1,MATCH(Z157,$A:$A,0)-1,O160)</f>
        <v>2.4</v>
      </c>
      <c r="Q160" s="144" t="s">
        <v>29</v>
      </c>
      <c r="R160" s="118">
        <f t="shared" ca="1" si="40"/>
        <v>310884</v>
      </c>
      <c r="S160" s="118">
        <f t="shared" ca="1" si="40"/>
        <v>746121</v>
      </c>
      <c r="T160" s="118">
        <f ca="1">고급</f>
        <v>310884</v>
      </c>
      <c r="U160" s="118">
        <f t="shared" ca="1" si="41"/>
        <v>746121</v>
      </c>
      <c r="V160" s="118"/>
      <c r="W160" s="118"/>
      <c r="X160" s="118"/>
      <c r="Y160" s="118"/>
      <c r="Z160" s="115"/>
    </row>
    <row r="161" spans="11:26" ht="18" customHeight="1">
      <c r="K161" s="171" t="s">
        <v>702</v>
      </c>
      <c r="L161" s="171"/>
      <c r="M161" s="171"/>
      <c r="N161" s="605" t="s">
        <v>40</v>
      </c>
      <c r="O161" s="173">
        <v>6</v>
      </c>
      <c r="P161" s="234">
        <f ca="1">OFFSET($A$1,MATCH(Z157,$A:$A,0)-1,O161)</f>
        <v>3</v>
      </c>
      <c r="Q161" s="144" t="s">
        <v>29</v>
      </c>
      <c r="R161" s="118">
        <f t="shared" ca="1" si="40"/>
        <v>295138</v>
      </c>
      <c r="S161" s="118">
        <f t="shared" ca="1" si="40"/>
        <v>885414</v>
      </c>
      <c r="T161" s="118">
        <f ca="1">중급</f>
        <v>295138</v>
      </c>
      <c r="U161" s="118">
        <f t="shared" ca="1" si="41"/>
        <v>885414</v>
      </c>
      <c r="V161" s="118"/>
      <c r="W161" s="118"/>
      <c r="X161" s="118"/>
      <c r="Y161" s="118"/>
      <c r="Z161" s="115"/>
    </row>
    <row r="162" spans="11:26" ht="18" customHeight="1">
      <c r="K162" s="171" t="s">
        <v>702</v>
      </c>
      <c r="L162" s="171"/>
      <c r="M162" s="171"/>
      <c r="N162" s="605" t="s">
        <v>41</v>
      </c>
      <c r="O162" s="173">
        <v>7</v>
      </c>
      <c r="P162" s="234">
        <f ca="1">OFFSET($A$1,MATCH(Z157,$A:$A,0)-1,O162)</f>
        <v>6</v>
      </c>
      <c r="Q162" s="144" t="s">
        <v>29</v>
      </c>
      <c r="R162" s="118">
        <f t="shared" ca="1" si="40"/>
        <v>235459</v>
      </c>
      <c r="S162" s="118">
        <f t="shared" ca="1" si="40"/>
        <v>1412754</v>
      </c>
      <c r="T162" s="118">
        <f ca="1">초급</f>
        <v>235459</v>
      </c>
      <c r="U162" s="118">
        <f t="shared" ca="1" si="41"/>
        <v>1412754</v>
      </c>
      <c r="V162" s="118"/>
      <c r="W162" s="118"/>
      <c r="X162" s="118"/>
      <c r="Y162" s="118"/>
      <c r="Z162" s="115"/>
    </row>
    <row r="163" spans="11:26" ht="18" customHeight="1">
      <c r="K163" s="171" t="s">
        <v>702</v>
      </c>
      <c r="L163" s="171"/>
      <c r="M163" s="171"/>
      <c r="N163" s="606" t="s">
        <v>42</v>
      </c>
      <c r="O163" s="174">
        <v>8</v>
      </c>
      <c r="P163" s="235">
        <f ca="1">OFFSET($A$1,MATCH(Z157,$A:$A,0)-1,O163)</f>
        <v>8.5</v>
      </c>
      <c r="Q163" s="322" t="s">
        <v>29</v>
      </c>
      <c r="R163" s="323">
        <f t="shared" ca="1" si="40"/>
        <v>250087</v>
      </c>
      <c r="S163" s="323">
        <f t="shared" ca="1" si="40"/>
        <v>2125739</v>
      </c>
      <c r="T163" s="323">
        <f ca="1">보조원</f>
        <v>250087</v>
      </c>
      <c r="U163" s="323">
        <f t="shared" ca="1" si="41"/>
        <v>2125739</v>
      </c>
      <c r="V163" s="323"/>
      <c r="W163" s="323"/>
      <c r="X163" s="323"/>
      <c r="Y163" s="323"/>
      <c r="Z163" s="324"/>
    </row>
    <row r="164" spans="11:26" ht="18" customHeight="1">
      <c r="K164" s="171" t="s">
        <v>702</v>
      </c>
      <c r="L164" s="171"/>
      <c r="M164" s="171"/>
      <c r="N164" s="607" t="s">
        <v>810</v>
      </c>
      <c r="O164" s="68"/>
      <c r="P164" s="69"/>
      <c r="Q164" s="70"/>
      <c r="R164" s="71"/>
      <c r="S164" s="71">
        <f ca="1">SUBTOTAL(9,S158:S163)</f>
        <v>5618051</v>
      </c>
      <c r="T164" s="71"/>
      <c r="U164" s="71">
        <f ca="1">SUBTOTAL(9,U158:U163)</f>
        <v>5618051</v>
      </c>
      <c r="V164" s="71"/>
      <c r="W164" s="71"/>
      <c r="X164" s="71"/>
      <c r="Y164" s="71"/>
      <c r="Z164" s="68"/>
    </row>
    <row r="165" spans="11:26" ht="18" customHeight="1">
      <c r="K165" s="171" t="s">
        <v>702</v>
      </c>
      <c r="L165" s="171"/>
      <c r="M165" s="171"/>
      <c r="N165" s="532" t="str">
        <f ca="1">"제 " &amp; Z165 &amp; " 호표  "&amp; OFFSET($A$1,MATCH(Z165,$A:$A,0)-1,1)</f>
        <v>제 15 호표  3.5 개발수요 검토</v>
      </c>
      <c r="O165" s="533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15</v>
      </c>
    </row>
    <row r="166" spans="11:26" ht="18" customHeight="1">
      <c r="K166" s="171" t="s">
        <v>811</v>
      </c>
      <c r="L166" s="171"/>
      <c r="M166" s="171"/>
      <c r="N166" s="603" t="s">
        <v>43</v>
      </c>
      <c r="O166" s="172">
        <v>3</v>
      </c>
      <c r="P166" s="534">
        <f ca="1">OFFSET($A$1,MATCH(Z165,$A:$A,0)-1,O166)</f>
        <v>0.4</v>
      </c>
      <c r="Q166" s="141" t="s">
        <v>29</v>
      </c>
      <c r="R166" s="142">
        <f t="shared" ref="R166:S171" ca="1" si="42">T166</f>
        <v>467217</v>
      </c>
      <c r="S166" s="142">
        <f t="shared" ca="1" si="42"/>
        <v>186886</v>
      </c>
      <c r="T166" s="142">
        <f ca="1">기술사</f>
        <v>467217</v>
      </c>
      <c r="U166" s="142">
        <f t="shared" ref="U166:U171" ca="1" si="43">ROUNDDOWN(P166*R166,0)</f>
        <v>186886</v>
      </c>
      <c r="V166" s="142"/>
      <c r="W166" s="142"/>
      <c r="X166" s="142"/>
      <c r="Y166" s="142"/>
      <c r="Z166" s="114"/>
    </row>
    <row r="167" spans="11:26" ht="18" customHeight="1">
      <c r="K167" s="171" t="s">
        <v>702</v>
      </c>
      <c r="L167" s="171"/>
      <c r="M167" s="171"/>
      <c r="N167" s="604" t="s">
        <v>32</v>
      </c>
      <c r="O167" s="173">
        <v>4</v>
      </c>
      <c r="P167" s="234">
        <f ca="1">OFFSET($A$1,MATCH(Z165,$A:$A,0)-1,O167)</f>
        <v>1</v>
      </c>
      <c r="Q167" s="144" t="s">
        <v>29</v>
      </c>
      <c r="R167" s="118">
        <f t="shared" ca="1" si="42"/>
        <v>373353</v>
      </c>
      <c r="S167" s="118">
        <f t="shared" ca="1" si="42"/>
        <v>373353</v>
      </c>
      <c r="T167" s="118">
        <f ca="1">특급</f>
        <v>373353</v>
      </c>
      <c r="U167" s="118">
        <f t="shared" ca="1" si="43"/>
        <v>373353</v>
      </c>
      <c r="V167" s="118"/>
      <c r="W167" s="118"/>
      <c r="X167" s="118"/>
      <c r="Y167" s="118"/>
      <c r="Z167" s="115"/>
    </row>
    <row r="168" spans="11:26" ht="18" customHeight="1">
      <c r="K168" s="171" t="s">
        <v>811</v>
      </c>
      <c r="L168" s="171"/>
      <c r="M168" s="171"/>
      <c r="N168" s="605" t="s">
        <v>39</v>
      </c>
      <c r="O168" s="173">
        <v>5</v>
      </c>
      <c r="P168" s="234">
        <f ca="1">OFFSET($A$1,MATCH(Z165,$A:$A,0)-1,O168)</f>
        <v>2.4</v>
      </c>
      <c r="Q168" s="144" t="s">
        <v>29</v>
      </c>
      <c r="R168" s="118">
        <f t="shared" ca="1" si="42"/>
        <v>310884</v>
      </c>
      <c r="S168" s="118">
        <f t="shared" ca="1" si="42"/>
        <v>746121</v>
      </c>
      <c r="T168" s="118">
        <f ca="1">고급</f>
        <v>310884</v>
      </c>
      <c r="U168" s="118">
        <f t="shared" ca="1" si="43"/>
        <v>746121</v>
      </c>
      <c r="V168" s="118"/>
      <c r="W168" s="118"/>
      <c r="X168" s="118"/>
      <c r="Y168" s="118"/>
      <c r="Z168" s="115"/>
    </row>
    <row r="169" spans="11:26" ht="18" customHeight="1">
      <c r="K169" s="171" t="s">
        <v>702</v>
      </c>
      <c r="L169" s="171"/>
      <c r="M169" s="171"/>
      <c r="N169" s="605" t="s">
        <v>40</v>
      </c>
      <c r="O169" s="173">
        <v>6</v>
      </c>
      <c r="P169" s="234">
        <f ca="1">OFFSET($A$1,MATCH(Z165,$A:$A,0)-1,O169)</f>
        <v>3</v>
      </c>
      <c r="Q169" s="144" t="s">
        <v>29</v>
      </c>
      <c r="R169" s="118">
        <f t="shared" ca="1" si="42"/>
        <v>295138</v>
      </c>
      <c r="S169" s="118">
        <f t="shared" ca="1" si="42"/>
        <v>885414</v>
      </c>
      <c r="T169" s="118">
        <f ca="1">중급</f>
        <v>295138</v>
      </c>
      <c r="U169" s="118">
        <f t="shared" ca="1" si="43"/>
        <v>885414</v>
      </c>
      <c r="V169" s="118"/>
      <c r="W169" s="118"/>
      <c r="X169" s="118"/>
      <c r="Y169" s="118"/>
      <c r="Z169" s="115"/>
    </row>
    <row r="170" spans="11:26" ht="18" customHeight="1">
      <c r="K170" s="171" t="s">
        <v>811</v>
      </c>
      <c r="L170" s="171"/>
      <c r="M170" s="171"/>
      <c r="N170" s="605" t="s">
        <v>41</v>
      </c>
      <c r="O170" s="173">
        <v>7</v>
      </c>
      <c r="P170" s="234">
        <f ca="1">OFFSET($A$1,MATCH(Z165,$A:$A,0)-1,O170)</f>
        <v>6</v>
      </c>
      <c r="Q170" s="144" t="s">
        <v>29</v>
      </c>
      <c r="R170" s="118">
        <f t="shared" ca="1" si="42"/>
        <v>235459</v>
      </c>
      <c r="S170" s="118">
        <f t="shared" ca="1" si="42"/>
        <v>1412754</v>
      </c>
      <c r="T170" s="118">
        <f ca="1">초급</f>
        <v>235459</v>
      </c>
      <c r="U170" s="118">
        <f t="shared" ca="1" si="43"/>
        <v>1412754</v>
      </c>
      <c r="V170" s="118"/>
      <c r="W170" s="118"/>
      <c r="X170" s="118"/>
      <c r="Y170" s="118"/>
      <c r="Z170" s="115"/>
    </row>
    <row r="171" spans="11:26" ht="18" customHeight="1">
      <c r="K171" s="171" t="s">
        <v>811</v>
      </c>
      <c r="L171" s="171"/>
      <c r="M171" s="171"/>
      <c r="N171" s="606" t="s">
        <v>42</v>
      </c>
      <c r="O171" s="174">
        <v>8</v>
      </c>
      <c r="P171" s="235">
        <f ca="1">OFFSET($A$1,MATCH(Z165,$A:$A,0)-1,O171)</f>
        <v>8.5</v>
      </c>
      <c r="Q171" s="322" t="s">
        <v>29</v>
      </c>
      <c r="R171" s="323">
        <f t="shared" ca="1" si="42"/>
        <v>250087</v>
      </c>
      <c r="S171" s="323">
        <f t="shared" ca="1" si="42"/>
        <v>2125739</v>
      </c>
      <c r="T171" s="323">
        <f ca="1">보조원</f>
        <v>250087</v>
      </c>
      <c r="U171" s="323">
        <f t="shared" ca="1" si="43"/>
        <v>2125739</v>
      </c>
      <c r="V171" s="323"/>
      <c r="W171" s="323"/>
      <c r="X171" s="323"/>
      <c r="Y171" s="323"/>
      <c r="Z171" s="324"/>
    </row>
    <row r="172" spans="11:26" ht="18" customHeight="1">
      <c r="K172" s="171" t="s">
        <v>811</v>
      </c>
      <c r="L172" s="171"/>
      <c r="M172" s="171"/>
      <c r="N172" s="607" t="s">
        <v>700</v>
      </c>
      <c r="O172" s="68"/>
      <c r="P172" s="69"/>
      <c r="Q172" s="70"/>
      <c r="R172" s="71"/>
      <c r="S172" s="71">
        <f ca="1">SUBTOTAL(9,S166:S171)</f>
        <v>5730267</v>
      </c>
      <c r="T172" s="71"/>
      <c r="U172" s="71">
        <f ca="1">SUBTOTAL(9,U166:U171)</f>
        <v>5730267</v>
      </c>
      <c r="V172" s="71"/>
      <c r="W172" s="71"/>
      <c r="X172" s="71"/>
      <c r="Y172" s="71"/>
      <c r="Z172" s="68"/>
    </row>
    <row r="173" spans="11:26" ht="18" customHeight="1">
      <c r="K173" s="171" t="s">
        <v>702</v>
      </c>
      <c r="L173" s="171"/>
      <c r="M173" s="171"/>
      <c r="N173" s="532" t="str">
        <f ca="1">"제 " &amp; Z173 &amp; " 호표  "&amp; OFFSET($A$1,MATCH(Z173,$A:$A,0)-1,1)</f>
        <v>제 16 호표  3.6 재원조달계획</v>
      </c>
      <c r="O173" s="533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16</v>
      </c>
    </row>
    <row r="174" spans="11:26" ht="18" customHeight="1">
      <c r="K174" s="171" t="s">
        <v>702</v>
      </c>
      <c r="L174" s="171"/>
      <c r="M174" s="171"/>
      <c r="N174" s="603" t="s">
        <v>43</v>
      </c>
      <c r="O174" s="172">
        <v>3</v>
      </c>
      <c r="P174" s="534">
        <f ca="1">OFFSET($A$1,MATCH(Z173,$A:$A,0)-1,O174)</f>
        <v>0.4</v>
      </c>
      <c r="Q174" s="141" t="s">
        <v>29</v>
      </c>
      <c r="R174" s="142">
        <f t="shared" ref="R174:S179" ca="1" si="44">T174</f>
        <v>467217</v>
      </c>
      <c r="S174" s="142">
        <f t="shared" ca="1" si="44"/>
        <v>186886</v>
      </c>
      <c r="T174" s="142">
        <f ca="1">기술사</f>
        <v>467217</v>
      </c>
      <c r="U174" s="142">
        <f t="shared" ref="U174:U179" ca="1" si="45">ROUNDDOWN(P174*R174,0)</f>
        <v>186886</v>
      </c>
      <c r="V174" s="142"/>
      <c r="W174" s="142"/>
      <c r="X174" s="142"/>
      <c r="Y174" s="142"/>
      <c r="Z174" s="114"/>
    </row>
    <row r="175" spans="11:26" ht="18" customHeight="1">
      <c r="K175" s="171" t="s">
        <v>702</v>
      </c>
      <c r="L175" s="171"/>
      <c r="M175" s="171"/>
      <c r="N175" s="604" t="s">
        <v>32</v>
      </c>
      <c r="O175" s="173">
        <v>4</v>
      </c>
      <c r="P175" s="234">
        <f ca="1">OFFSET($A$1,MATCH(Z173,$A:$A,0)-1,O175)</f>
        <v>0.7</v>
      </c>
      <c r="Q175" s="144" t="s">
        <v>29</v>
      </c>
      <c r="R175" s="118">
        <f t="shared" ca="1" si="44"/>
        <v>373353</v>
      </c>
      <c r="S175" s="118">
        <f t="shared" ca="1" si="44"/>
        <v>261347</v>
      </c>
      <c r="T175" s="118">
        <f ca="1">특급</f>
        <v>373353</v>
      </c>
      <c r="U175" s="118">
        <f t="shared" ca="1" si="45"/>
        <v>261347</v>
      </c>
      <c r="V175" s="118"/>
      <c r="W175" s="118"/>
      <c r="X175" s="118"/>
      <c r="Y175" s="118"/>
      <c r="Z175" s="115"/>
    </row>
    <row r="176" spans="11:26" ht="18" customHeight="1">
      <c r="K176" s="171" t="s">
        <v>702</v>
      </c>
      <c r="L176" s="171"/>
      <c r="M176" s="171"/>
      <c r="N176" s="605" t="s">
        <v>39</v>
      </c>
      <c r="O176" s="173">
        <v>5</v>
      </c>
      <c r="P176" s="234">
        <f ca="1">OFFSET($A$1,MATCH(Z173,$A:$A,0)-1,O176)</f>
        <v>2.9</v>
      </c>
      <c r="Q176" s="144" t="s">
        <v>29</v>
      </c>
      <c r="R176" s="118">
        <f t="shared" ca="1" si="44"/>
        <v>310884</v>
      </c>
      <c r="S176" s="118">
        <f t="shared" ca="1" si="44"/>
        <v>901563</v>
      </c>
      <c r="T176" s="118">
        <f ca="1">고급</f>
        <v>310884</v>
      </c>
      <c r="U176" s="118">
        <f t="shared" ca="1" si="45"/>
        <v>901563</v>
      </c>
      <c r="V176" s="118"/>
      <c r="W176" s="118"/>
      <c r="X176" s="118"/>
      <c r="Y176" s="118"/>
      <c r="Z176" s="115"/>
    </row>
    <row r="177" spans="11:26" ht="18" customHeight="1">
      <c r="K177" s="171" t="s">
        <v>702</v>
      </c>
      <c r="L177" s="171"/>
      <c r="M177" s="171"/>
      <c r="N177" s="605" t="s">
        <v>40</v>
      </c>
      <c r="O177" s="173">
        <v>6</v>
      </c>
      <c r="P177" s="234">
        <f ca="1">OFFSET($A$1,MATCH(Z173,$A:$A,0)-1,O177)</f>
        <v>2.7</v>
      </c>
      <c r="Q177" s="144" t="s">
        <v>29</v>
      </c>
      <c r="R177" s="118">
        <f t="shared" ca="1" si="44"/>
        <v>295138</v>
      </c>
      <c r="S177" s="118">
        <f t="shared" ca="1" si="44"/>
        <v>796872</v>
      </c>
      <c r="T177" s="118">
        <f ca="1">중급</f>
        <v>295138</v>
      </c>
      <c r="U177" s="118">
        <f t="shared" ca="1" si="45"/>
        <v>796872</v>
      </c>
      <c r="V177" s="118"/>
      <c r="W177" s="118"/>
      <c r="X177" s="118"/>
      <c r="Y177" s="118"/>
      <c r="Z177" s="115"/>
    </row>
    <row r="178" spans="11:26" ht="18" customHeight="1">
      <c r="K178" s="171" t="s">
        <v>811</v>
      </c>
      <c r="L178" s="171"/>
      <c r="M178" s="171"/>
      <c r="N178" s="605" t="s">
        <v>41</v>
      </c>
      <c r="O178" s="173">
        <v>7</v>
      </c>
      <c r="P178" s="234">
        <f ca="1">OFFSET($A$1,MATCH(Z173,$A:$A,0)-1,O178)</f>
        <v>5.2</v>
      </c>
      <c r="Q178" s="144" t="s">
        <v>29</v>
      </c>
      <c r="R178" s="118">
        <f t="shared" ca="1" si="44"/>
        <v>235459</v>
      </c>
      <c r="S178" s="118">
        <f t="shared" ca="1" si="44"/>
        <v>1224386</v>
      </c>
      <c r="T178" s="118">
        <f ca="1">초급</f>
        <v>235459</v>
      </c>
      <c r="U178" s="118">
        <f t="shared" ca="1" si="45"/>
        <v>1224386</v>
      </c>
      <c r="V178" s="118"/>
      <c r="W178" s="118"/>
      <c r="X178" s="118"/>
      <c r="Y178" s="118"/>
      <c r="Z178" s="115"/>
    </row>
    <row r="179" spans="11:26" ht="18" customHeight="1">
      <c r="K179" s="171" t="s">
        <v>811</v>
      </c>
      <c r="L179" s="171"/>
      <c r="M179" s="171"/>
      <c r="N179" s="606" t="s">
        <v>42</v>
      </c>
      <c r="O179" s="174">
        <v>8</v>
      </c>
      <c r="P179" s="235">
        <f ca="1">OFFSET($A$1,MATCH(Z173,$A:$A,0)-1,O179)</f>
        <v>4.4000000000000004</v>
      </c>
      <c r="Q179" s="322" t="s">
        <v>29</v>
      </c>
      <c r="R179" s="323">
        <f t="shared" ca="1" si="44"/>
        <v>250087</v>
      </c>
      <c r="S179" s="323">
        <f t="shared" ca="1" si="44"/>
        <v>1100382</v>
      </c>
      <c r="T179" s="323">
        <f ca="1">보조원</f>
        <v>250087</v>
      </c>
      <c r="U179" s="323">
        <f t="shared" ca="1" si="45"/>
        <v>1100382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607" t="s">
        <v>700</v>
      </c>
      <c r="O180" s="68"/>
      <c r="P180" s="69"/>
      <c r="Q180" s="70"/>
      <c r="R180" s="71"/>
      <c r="S180" s="71">
        <f ca="1">SUBTOTAL(9,S174:S179)</f>
        <v>4471436</v>
      </c>
      <c r="T180" s="71"/>
      <c r="U180" s="71">
        <f ca="1">SUBTOTAL(9,U174:U179)</f>
        <v>4471436</v>
      </c>
      <c r="V180" s="71"/>
      <c r="W180" s="71"/>
      <c r="X180" s="71"/>
      <c r="Y180" s="71"/>
      <c r="Z180" s="68"/>
    </row>
    <row r="181" spans="11:26" ht="18" customHeight="1">
      <c r="K181" s="171" t="s">
        <v>811</v>
      </c>
      <c r="L181" s="171"/>
      <c r="M181" s="171"/>
      <c r="N181" s="532" t="str">
        <f ca="1">"제 " &amp; Z181 &amp; " 호표  "&amp; OFFSET($A$1,MATCH(Z181,$A:$A,0)-1,1)</f>
        <v>제 17 호표  4.1 보고서작성 및 편집</v>
      </c>
      <c r="O181" s="533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17</v>
      </c>
    </row>
    <row r="182" spans="11:26" ht="18" customHeight="1">
      <c r="K182" s="171" t="s">
        <v>811</v>
      </c>
      <c r="L182" s="171"/>
      <c r="M182" s="171"/>
      <c r="N182" s="603" t="s">
        <v>43</v>
      </c>
      <c r="O182" s="172">
        <v>3</v>
      </c>
      <c r="P182" s="534">
        <f ca="1">OFFSET($A$1,MATCH(Z181,$A:$A,0)-1,O182)</f>
        <v>0.2</v>
      </c>
      <c r="Q182" s="141" t="s">
        <v>29</v>
      </c>
      <c r="R182" s="142">
        <f t="shared" ref="R182:S187" ca="1" si="46">T182</f>
        <v>467217</v>
      </c>
      <c r="S182" s="142">
        <f t="shared" ca="1" si="46"/>
        <v>93443</v>
      </c>
      <c r="T182" s="142">
        <f ca="1">기술사</f>
        <v>467217</v>
      </c>
      <c r="U182" s="142">
        <f t="shared" ref="U182:U187" ca="1" si="47">ROUNDDOWN(P182*R182,0)</f>
        <v>93443</v>
      </c>
      <c r="V182" s="142"/>
      <c r="W182" s="142"/>
      <c r="X182" s="142"/>
      <c r="Y182" s="142"/>
      <c r="Z182" s="114"/>
    </row>
    <row r="183" spans="11:26" ht="18" customHeight="1">
      <c r="K183" s="171" t="s">
        <v>811</v>
      </c>
      <c r="L183" s="171"/>
      <c r="M183" s="171"/>
      <c r="N183" s="604" t="s">
        <v>32</v>
      </c>
      <c r="O183" s="173">
        <v>4</v>
      </c>
      <c r="P183" s="234">
        <f ca="1">OFFSET($A$1,MATCH(Z181,$A:$A,0)-1,O183)</f>
        <v>0.3</v>
      </c>
      <c r="Q183" s="144" t="s">
        <v>29</v>
      </c>
      <c r="R183" s="118">
        <f t="shared" ca="1" si="46"/>
        <v>373353</v>
      </c>
      <c r="S183" s="118">
        <f t="shared" ca="1" si="46"/>
        <v>112005</v>
      </c>
      <c r="T183" s="118">
        <f ca="1">특급</f>
        <v>373353</v>
      </c>
      <c r="U183" s="118">
        <f t="shared" ca="1" si="47"/>
        <v>112005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605" t="s">
        <v>39</v>
      </c>
      <c r="O184" s="173">
        <v>5</v>
      </c>
      <c r="P184" s="234">
        <f ca="1">OFFSET($A$1,MATCH(Z181,$A:$A,0)-1,O184)</f>
        <v>0.8</v>
      </c>
      <c r="Q184" s="144" t="s">
        <v>29</v>
      </c>
      <c r="R184" s="118">
        <f t="shared" ca="1" si="46"/>
        <v>310884</v>
      </c>
      <c r="S184" s="118">
        <f t="shared" ca="1" si="46"/>
        <v>248707</v>
      </c>
      <c r="T184" s="118">
        <f ca="1">고급</f>
        <v>310884</v>
      </c>
      <c r="U184" s="118">
        <f t="shared" ca="1" si="47"/>
        <v>248707</v>
      </c>
      <c r="V184" s="118"/>
      <c r="W184" s="118"/>
      <c r="X184" s="118"/>
      <c r="Y184" s="118"/>
      <c r="Z184" s="115"/>
    </row>
    <row r="185" spans="11:26" ht="18" customHeight="1">
      <c r="K185" s="171" t="s">
        <v>702</v>
      </c>
      <c r="L185" s="171"/>
      <c r="M185" s="171"/>
      <c r="N185" s="605" t="s">
        <v>40</v>
      </c>
      <c r="O185" s="173">
        <v>6</v>
      </c>
      <c r="P185" s="234">
        <f ca="1">OFFSET($A$1,MATCH(Z181,$A:$A,0)-1,O185)</f>
        <v>1.5</v>
      </c>
      <c r="Q185" s="144" t="s">
        <v>29</v>
      </c>
      <c r="R185" s="118">
        <f t="shared" ca="1" si="46"/>
        <v>295138</v>
      </c>
      <c r="S185" s="118">
        <f t="shared" ca="1" si="46"/>
        <v>442707</v>
      </c>
      <c r="T185" s="118">
        <f ca="1">중급</f>
        <v>295138</v>
      </c>
      <c r="U185" s="118">
        <f t="shared" ca="1" si="47"/>
        <v>442707</v>
      </c>
      <c r="V185" s="118"/>
      <c r="W185" s="118"/>
      <c r="X185" s="118"/>
      <c r="Y185" s="118"/>
      <c r="Z185" s="115"/>
    </row>
    <row r="186" spans="11:26" ht="18" customHeight="1">
      <c r="K186" s="171" t="s">
        <v>702</v>
      </c>
      <c r="L186" s="171"/>
      <c r="M186" s="171"/>
      <c r="N186" s="605" t="s">
        <v>41</v>
      </c>
      <c r="O186" s="173">
        <v>7</v>
      </c>
      <c r="P186" s="234">
        <f ca="1">OFFSET($A$1,MATCH(Z181,$A:$A,0)-1,O186)</f>
        <v>4.8</v>
      </c>
      <c r="Q186" s="144" t="s">
        <v>29</v>
      </c>
      <c r="R186" s="118">
        <f t="shared" ca="1" si="46"/>
        <v>235459</v>
      </c>
      <c r="S186" s="118">
        <f t="shared" ca="1" si="46"/>
        <v>1130203</v>
      </c>
      <c r="T186" s="118">
        <f ca="1">초급</f>
        <v>235459</v>
      </c>
      <c r="U186" s="118">
        <f t="shared" ca="1" si="47"/>
        <v>1130203</v>
      </c>
      <c r="V186" s="118"/>
      <c r="W186" s="118"/>
      <c r="X186" s="118"/>
      <c r="Y186" s="118"/>
      <c r="Z186" s="115"/>
    </row>
    <row r="187" spans="11:26" ht="18" customHeight="1">
      <c r="K187" s="171" t="s">
        <v>702</v>
      </c>
      <c r="L187" s="171"/>
      <c r="M187" s="171"/>
      <c r="N187" s="606" t="s">
        <v>42</v>
      </c>
      <c r="O187" s="174">
        <v>8</v>
      </c>
      <c r="P187" s="235">
        <f ca="1">OFFSET($A$1,MATCH(Z181,$A:$A,0)-1,O187)</f>
        <v>5.2</v>
      </c>
      <c r="Q187" s="322" t="s">
        <v>29</v>
      </c>
      <c r="R187" s="323">
        <f t="shared" ca="1" si="46"/>
        <v>250087</v>
      </c>
      <c r="S187" s="323">
        <f t="shared" ca="1" si="46"/>
        <v>1300452</v>
      </c>
      <c r="T187" s="323">
        <f ca="1">보조원</f>
        <v>250087</v>
      </c>
      <c r="U187" s="323">
        <f t="shared" ca="1" si="47"/>
        <v>1300452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607" t="s">
        <v>700</v>
      </c>
      <c r="O188" s="68"/>
      <c r="P188" s="69"/>
      <c r="Q188" s="70"/>
      <c r="R188" s="71"/>
      <c r="S188" s="71">
        <f ca="1">SUBTOTAL(9,S182:S187)</f>
        <v>3327517</v>
      </c>
      <c r="T188" s="71"/>
      <c r="U188" s="71">
        <f ca="1">SUBTOTAL(9,U182:U187)</f>
        <v>3327517</v>
      </c>
      <c r="V188" s="71"/>
      <c r="W188" s="71"/>
      <c r="X188" s="71"/>
      <c r="Y188" s="71"/>
      <c r="Z188" s="68"/>
    </row>
    <row r="189" spans="11:26" ht="18" customHeight="1">
      <c r="K189" s="171" t="s">
        <v>702</v>
      </c>
      <c r="L189" s="171"/>
      <c r="M189" s="171"/>
      <c r="N189" s="532" t="str">
        <f ca="1">"제 " &amp; Z189 &amp; " 호표  "&amp; OFFSET($A$1,MATCH(Z189,$A:$A,0)-1,1)</f>
        <v>제 18 호표  4.2 관련도서작성</v>
      </c>
      <c r="O189" s="533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18</v>
      </c>
    </row>
    <row r="190" spans="11:26" ht="18" customHeight="1">
      <c r="K190" s="171" t="s">
        <v>788</v>
      </c>
      <c r="L190" s="171"/>
      <c r="M190" s="171"/>
      <c r="N190" s="603" t="s">
        <v>43</v>
      </c>
      <c r="O190" s="172">
        <v>3</v>
      </c>
      <c r="P190" s="534">
        <f ca="1">OFFSET($A$1,MATCH(Z189,$A:$A,0)-1,O190)</f>
        <v>0.1</v>
      </c>
      <c r="Q190" s="141" t="s">
        <v>29</v>
      </c>
      <c r="R190" s="142">
        <f t="shared" ref="R190:S195" ca="1" si="48">T190</f>
        <v>467217</v>
      </c>
      <c r="S190" s="142">
        <f t="shared" ca="1" si="48"/>
        <v>46721</v>
      </c>
      <c r="T190" s="142">
        <f ca="1">기술사</f>
        <v>467217</v>
      </c>
      <c r="U190" s="142">
        <f t="shared" ref="U190:U195" ca="1" si="49">ROUNDDOWN(P190*R190,0)</f>
        <v>46721</v>
      </c>
      <c r="V190" s="142"/>
      <c r="W190" s="142"/>
      <c r="X190" s="142"/>
      <c r="Y190" s="142"/>
      <c r="Z190" s="114"/>
    </row>
    <row r="191" spans="11:26" ht="18" customHeight="1">
      <c r="K191" s="171" t="s">
        <v>702</v>
      </c>
      <c r="L191" s="171"/>
      <c r="M191" s="171"/>
      <c r="N191" s="604" t="s">
        <v>32</v>
      </c>
      <c r="O191" s="173">
        <v>4</v>
      </c>
      <c r="P191" s="234">
        <f ca="1">OFFSET($A$1,MATCH(Z189,$A:$A,0)-1,O191)</f>
        <v>0.2</v>
      </c>
      <c r="Q191" s="144" t="s">
        <v>29</v>
      </c>
      <c r="R191" s="118">
        <f t="shared" ca="1" si="48"/>
        <v>373353</v>
      </c>
      <c r="S191" s="118">
        <f t="shared" ca="1" si="48"/>
        <v>74670</v>
      </c>
      <c r="T191" s="118">
        <f ca="1">특급</f>
        <v>373353</v>
      </c>
      <c r="U191" s="118">
        <f t="shared" ca="1" si="49"/>
        <v>74670</v>
      </c>
      <c r="V191" s="118"/>
      <c r="W191" s="118"/>
      <c r="X191" s="118"/>
      <c r="Y191" s="118"/>
      <c r="Z191" s="115"/>
    </row>
    <row r="192" spans="11:26" ht="18" customHeight="1">
      <c r="K192" s="171" t="s">
        <v>811</v>
      </c>
      <c r="L192" s="171"/>
      <c r="M192" s="171"/>
      <c r="N192" s="605" t="s">
        <v>39</v>
      </c>
      <c r="O192" s="173">
        <v>5</v>
      </c>
      <c r="P192" s="234">
        <f ca="1">OFFSET($A$1,MATCH(Z189,$A:$A,0)-1,O192)</f>
        <v>0.4</v>
      </c>
      <c r="Q192" s="144" t="s">
        <v>29</v>
      </c>
      <c r="R192" s="118">
        <f t="shared" ca="1" si="48"/>
        <v>310884</v>
      </c>
      <c r="S192" s="118">
        <f t="shared" ca="1" si="48"/>
        <v>124353</v>
      </c>
      <c r="T192" s="118">
        <f ca="1">고급</f>
        <v>310884</v>
      </c>
      <c r="U192" s="118">
        <f t="shared" ca="1" si="49"/>
        <v>124353</v>
      </c>
      <c r="V192" s="118"/>
      <c r="W192" s="118"/>
      <c r="X192" s="118"/>
      <c r="Y192" s="118"/>
      <c r="Z192" s="115"/>
    </row>
    <row r="193" spans="11:26" ht="18" customHeight="1">
      <c r="K193" s="171" t="s">
        <v>811</v>
      </c>
      <c r="L193" s="171"/>
      <c r="M193" s="171"/>
      <c r="N193" s="605" t="s">
        <v>40</v>
      </c>
      <c r="O193" s="173">
        <v>6</v>
      </c>
      <c r="P193" s="234">
        <f ca="1">OFFSET($A$1,MATCH(Z189,$A:$A,0)-1,O193)</f>
        <v>0.7</v>
      </c>
      <c r="Q193" s="144" t="s">
        <v>29</v>
      </c>
      <c r="R193" s="118">
        <f t="shared" ca="1" si="48"/>
        <v>295138</v>
      </c>
      <c r="S193" s="118">
        <f t="shared" ca="1" si="48"/>
        <v>206596</v>
      </c>
      <c r="T193" s="118">
        <f ca="1">중급</f>
        <v>295138</v>
      </c>
      <c r="U193" s="118">
        <f t="shared" ca="1" si="49"/>
        <v>206596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605" t="s">
        <v>41</v>
      </c>
      <c r="O194" s="173">
        <v>7</v>
      </c>
      <c r="P194" s="234">
        <f ca="1">OFFSET($A$1,MATCH(Z189,$A:$A,0)-1,O194)</f>
        <v>2.4</v>
      </c>
      <c r="Q194" s="144" t="s">
        <v>29</v>
      </c>
      <c r="R194" s="118">
        <f t="shared" ca="1" si="48"/>
        <v>235459</v>
      </c>
      <c r="S194" s="118">
        <f t="shared" ca="1" si="48"/>
        <v>565101</v>
      </c>
      <c r="T194" s="118">
        <f ca="1">초급</f>
        <v>235459</v>
      </c>
      <c r="U194" s="118">
        <f t="shared" ca="1" si="49"/>
        <v>565101</v>
      </c>
      <c r="V194" s="118"/>
      <c r="W194" s="118"/>
      <c r="X194" s="118"/>
      <c r="Y194" s="118"/>
      <c r="Z194" s="115"/>
    </row>
    <row r="195" spans="11:26" ht="18" customHeight="1">
      <c r="K195" s="171" t="s">
        <v>811</v>
      </c>
      <c r="L195" s="171"/>
      <c r="M195" s="171"/>
      <c r="N195" s="606" t="s">
        <v>42</v>
      </c>
      <c r="O195" s="174">
        <v>8</v>
      </c>
      <c r="P195" s="235">
        <f ca="1">OFFSET($A$1,MATCH(Z189,$A:$A,0)-1,O195)</f>
        <v>2.6</v>
      </c>
      <c r="Q195" s="322" t="s">
        <v>29</v>
      </c>
      <c r="R195" s="323">
        <f t="shared" ca="1" si="48"/>
        <v>250087</v>
      </c>
      <c r="S195" s="323">
        <f t="shared" ca="1" si="48"/>
        <v>650226</v>
      </c>
      <c r="T195" s="323">
        <f ca="1">보조원</f>
        <v>250087</v>
      </c>
      <c r="U195" s="323">
        <f t="shared" ca="1" si="49"/>
        <v>650226</v>
      </c>
      <c r="V195" s="323"/>
      <c r="W195" s="323"/>
      <c r="X195" s="323"/>
      <c r="Y195" s="323"/>
      <c r="Z195" s="324"/>
    </row>
    <row r="196" spans="11:26" ht="18" customHeight="1">
      <c r="K196" s="171" t="s">
        <v>811</v>
      </c>
      <c r="L196" s="171"/>
      <c r="M196" s="171"/>
      <c r="N196" s="607" t="s">
        <v>17</v>
      </c>
      <c r="O196" s="68"/>
      <c r="P196" s="69"/>
      <c r="Q196" s="70"/>
      <c r="R196" s="71"/>
      <c r="S196" s="71">
        <f ca="1">SUBTOTAL(9,S190:S195)</f>
        <v>1667667</v>
      </c>
      <c r="T196" s="71"/>
      <c r="U196" s="71">
        <f ca="1">SUBTOTAL(9,U190:U195)</f>
        <v>1667667</v>
      </c>
      <c r="V196" s="71"/>
      <c r="W196" s="71"/>
      <c r="X196" s="71"/>
      <c r="Y196" s="71"/>
      <c r="Z196" s="68"/>
    </row>
    <row r="197" spans="11:26" ht="18" customHeight="1">
      <c r="K197" s="171" t="s">
        <v>811</v>
      </c>
      <c r="L197" s="171"/>
      <c r="M197" s="171"/>
      <c r="N197" s="532" t="str">
        <f ca="1">"제 " &amp; Z197 &amp; " 호표  "&amp; OFFSET($A$1,MATCH(Z197,$A:$A,0)-1,1)</f>
        <v>제 19 호표  5.1 공청회/주민설명회</v>
      </c>
      <c r="O197" s="533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19</v>
      </c>
    </row>
    <row r="198" spans="11:26" ht="18" customHeight="1">
      <c r="K198" s="171" t="s">
        <v>811</v>
      </c>
      <c r="L198" s="171"/>
      <c r="M198" s="171"/>
      <c r="N198" s="603" t="s">
        <v>43</v>
      </c>
      <c r="O198" s="172">
        <v>3</v>
      </c>
      <c r="P198" s="534">
        <f ca="1">OFFSET($A$1,MATCH(Z197,$A:$A,0)-1,O198)</f>
        <v>2</v>
      </c>
      <c r="Q198" s="141" t="s">
        <v>29</v>
      </c>
      <c r="R198" s="142">
        <f t="shared" ref="R198:S203" ca="1" si="50">T198</f>
        <v>467217</v>
      </c>
      <c r="S198" s="142">
        <f t="shared" ca="1" si="50"/>
        <v>934434</v>
      </c>
      <c r="T198" s="142">
        <f ca="1">기술사</f>
        <v>467217</v>
      </c>
      <c r="U198" s="142">
        <f t="shared" ref="U198:U203" ca="1" si="51">ROUNDDOWN(P198*R198,0)</f>
        <v>934434</v>
      </c>
      <c r="V198" s="142"/>
      <c r="W198" s="142"/>
      <c r="X198" s="142"/>
      <c r="Y198" s="142"/>
      <c r="Z198" s="114"/>
    </row>
    <row r="199" spans="11:26" ht="18" customHeight="1">
      <c r="K199" s="171" t="s">
        <v>811</v>
      </c>
      <c r="L199" s="171"/>
      <c r="M199" s="171"/>
      <c r="N199" s="604" t="s">
        <v>32</v>
      </c>
      <c r="O199" s="173">
        <v>4</v>
      </c>
      <c r="P199" s="234">
        <f ca="1">OFFSET($A$1,MATCH(Z197,$A:$A,0)-1,O199)</f>
        <v>2</v>
      </c>
      <c r="Q199" s="144" t="s">
        <v>29</v>
      </c>
      <c r="R199" s="118">
        <f t="shared" ca="1" si="50"/>
        <v>373353</v>
      </c>
      <c r="S199" s="118">
        <f t="shared" ca="1" si="50"/>
        <v>746706</v>
      </c>
      <c r="T199" s="118">
        <f ca="1">특급</f>
        <v>373353</v>
      </c>
      <c r="U199" s="118">
        <f t="shared" ca="1" si="51"/>
        <v>746706</v>
      </c>
      <c r="V199" s="118"/>
      <c r="W199" s="118"/>
      <c r="X199" s="118"/>
      <c r="Y199" s="118"/>
      <c r="Z199" s="115"/>
    </row>
    <row r="200" spans="11:26" ht="18" customHeight="1">
      <c r="K200" s="171" t="s">
        <v>811</v>
      </c>
      <c r="L200" s="171"/>
      <c r="M200" s="171"/>
      <c r="N200" s="605" t="s">
        <v>39</v>
      </c>
      <c r="O200" s="173">
        <v>5</v>
      </c>
      <c r="P200" s="234">
        <f ca="1">OFFSET($A$1,MATCH(Z197,$A:$A,0)-1,O200)</f>
        <v>2</v>
      </c>
      <c r="Q200" s="144" t="s">
        <v>29</v>
      </c>
      <c r="R200" s="118">
        <f t="shared" ca="1" si="50"/>
        <v>310884</v>
      </c>
      <c r="S200" s="118">
        <f t="shared" ca="1" si="50"/>
        <v>621768</v>
      </c>
      <c r="T200" s="118">
        <f ca="1">고급</f>
        <v>310884</v>
      </c>
      <c r="U200" s="118">
        <f t="shared" ca="1" si="51"/>
        <v>621768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605" t="s">
        <v>40</v>
      </c>
      <c r="O201" s="173">
        <v>6</v>
      </c>
      <c r="P201" s="234">
        <f ca="1">OFFSET($A$1,MATCH(Z197,$A:$A,0)-1,O201)</f>
        <v>4</v>
      </c>
      <c r="Q201" s="144" t="s">
        <v>29</v>
      </c>
      <c r="R201" s="118">
        <f t="shared" ca="1" si="50"/>
        <v>295138</v>
      </c>
      <c r="S201" s="118">
        <f t="shared" ca="1" si="50"/>
        <v>1180552</v>
      </c>
      <c r="T201" s="118">
        <f ca="1">중급</f>
        <v>295138</v>
      </c>
      <c r="U201" s="118">
        <f t="shared" ca="1" si="51"/>
        <v>1180552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605" t="s">
        <v>41</v>
      </c>
      <c r="O202" s="173">
        <v>7</v>
      </c>
      <c r="P202" s="234">
        <f ca="1">OFFSET($A$1,MATCH(Z197,$A:$A,0)-1,O202)</f>
        <v>4</v>
      </c>
      <c r="Q202" s="144" t="s">
        <v>29</v>
      </c>
      <c r="R202" s="118">
        <f t="shared" ca="1" si="50"/>
        <v>235459</v>
      </c>
      <c r="S202" s="118">
        <f t="shared" ca="1" si="50"/>
        <v>941836</v>
      </c>
      <c r="T202" s="118">
        <f ca="1">초급</f>
        <v>235459</v>
      </c>
      <c r="U202" s="118">
        <f t="shared" ca="1" si="51"/>
        <v>941836</v>
      </c>
      <c r="V202" s="118"/>
      <c r="W202" s="118"/>
      <c r="X202" s="118"/>
      <c r="Y202" s="118"/>
      <c r="Z202" s="115"/>
    </row>
    <row r="203" spans="11:26" ht="18" customHeight="1">
      <c r="K203" s="171" t="s">
        <v>811</v>
      </c>
      <c r="L203" s="171"/>
      <c r="M203" s="171"/>
      <c r="N203" s="606" t="s">
        <v>42</v>
      </c>
      <c r="O203" s="174">
        <v>8</v>
      </c>
      <c r="P203" s="235">
        <f ca="1">OFFSET($A$1,MATCH(Z197,$A:$A,0)-1,O203)</f>
        <v>4</v>
      </c>
      <c r="Q203" s="322" t="s">
        <v>29</v>
      </c>
      <c r="R203" s="323">
        <f t="shared" ca="1" si="50"/>
        <v>250087</v>
      </c>
      <c r="S203" s="323">
        <f t="shared" ca="1" si="50"/>
        <v>1000348</v>
      </c>
      <c r="T203" s="323">
        <f ca="1">보조원</f>
        <v>250087</v>
      </c>
      <c r="U203" s="323">
        <f t="shared" ca="1" si="51"/>
        <v>1000348</v>
      </c>
      <c r="V203" s="323"/>
      <c r="W203" s="323"/>
      <c r="X203" s="323"/>
      <c r="Y203" s="323"/>
      <c r="Z203" s="324"/>
    </row>
    <row r="204" spans="11:26" ht="18" customHeight="1">
      <c r="K204" s="171" t="s">
        <v>702</v>
      </c>
      <c r="L204" s="171"/>
      <c r="M204" s="171"/>
      <c r="N204" s="607" t="s">
        <v>700</v>
      </c>
      <c r="O204" s="68"/>
      <c r="P204" s="69"/>
      <c r="Q204" s="70"/>
      <c r="R204" s="71"/>
      <c r="S204" s="71">
        <f ca="1">SUBTOTAL(9,S198:S203)</f>
        <v>5425644</v>
      </c>
      <c r="T204" s="71"/>
      <c r="U204" s="71">
        <f ca="1">SUBTOTAL(9,U198:U203)</f>
        <v>5425644</v>
      </c>
      <c r="V204" s="71"/>
      <c r="W204" s="71"/>
      <c r="X204" s="71"/>
      <c r="Y204" s="71"/>
      <c r="Z204" s="68"/>
    </row>
    <row r="205" spans="11:26" ht="18" customHeight="1">
      <c r="K205" s="171" t="s">
        <v>702</v>
      </c>
      <c r="L205" s="171"/>
      <c r="M205" s="171"/>
      <c r="N205" s="532" t="str">
        <f ca="1">"제 " &amp; Z205 &amp; " 호표  "&amp; OFFSET($A$1,MATCH(Z205,$A:$A,0)-1,1)</f>
        <v>제 20 호표  5.2 주민간담회/시민계획단</v>
      </c>
      <c r="O205" s="533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20</v>
      </c>
    </row>
    <row r="206" spans="11:26" ht="18" customHeight="1">
      <c r="K206" s="171" t="s">
        <v>702</v>
      </c>
      <c r="L206" s="171"/>
      <c r="M206" s="171"/>
      <c r="N206" s="603" t="s">
        <v>43</v>
      </c>
      <c r="O206" s="172">
        <v>3</v>
      </c>
      <c r="P206" s="534">
        <f ca="1">OFFSET($A$1,MATCH(Z205,$A:$A,0)-1,O206)</f>
        <v>2</v>
      </c>
      <c r="Q206" s="141" t="s">
        <v>29</v>
      </c>
      <c r="R206" s="142">
        <f t="shared" ref="R206:S211" ca="1" si="52">T206</f>
        <v>467217</v>
      </c>
      <c r="S206" s="142">
        <f t="shared" ca="1" si="52"/>
        <v>934434</v>
      </c>
      <c r="T206" s="142">
        <f ca="1">기술사</f>
        <v>467217</v>
      </c>
      <c r="U206" s="142">
        <f t="shared" ref="U206:U211" ca="1" si="53">ROUNDDOWN(P206*R206,0)</f>
        <v>934434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604" t="s">
        <v>32</v>
      </c>
      <c r="O207" s="173">
        <v>4</v>
      </c>
      <c r="P207" s="234">
        <f ca="1">OFFSET($A$1,MATCH(Z205,$A:$A,0)-1,O207)</f>
        <v>2</v>
      </c>
      <c r="Q207" s="144" t="s">
        <v>29</v>
      </c>
      <c r="R207" s="118">
        <f t="shared" ca="1" si="52"/>
        <v>373353</v>
      </c>
      <c r="S207" s="118">
        <f t="shared" ca="1" si="52"/>
        <v>746706</v>
      </c>
      <c r="T207" s="118">
        <f ca="1">특급</f>
        <v>373353</v>
      </c>
      <c r="U207" s="118">
        <f t="shared" ca="1" si="53"/>
        <v>746706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605" t="s">
        <v>39</v>
      </c>
      <c r="O208" s="173">
        <v>5</v>
      </c>
      <c r="P208" s="234">
        <f ca="1">OFFSET($A$1,MATCH(Z205,$A:$A,0)-1,O208)</f>
        <v>2</v>
      </c>
      <c r="Q208" s="144" t="s">
        <v>29</v>
      </c>
      <c r="R208" s="118">
        <f t="shared" ca="1" si="52"/>
        <v>310884</v>
      </c>
      <c r="S208" s="118">
        <f t="shared" ca="1" si="52"/>
        <v>621768</v>
      </c>
      <c r="T208" s="118">
        <f ca="1">고급</f>
        <v>310884</v>
      </c>
      <c r="U208" s="118">
        <f t="shared" ca="1" si="53"/>
        <v>621768</v>
      </c>
      <c r="V208" s="118"/>
      <c r="W208" s="118"/>
      <c r="X208" s="118"/>
      <c r="Y208" s="118"/>
      <c r="Z208" s="115"/>
    </row>
    <row r="209" spans="11:26" ht="18" customHeight="1">
      <c r="K209" s="171" t="s">
        <v>702</v>
      </c>
      <c r="L209" s="171"/>
      <c r="M209" s="171"/>
      <c r="N209" s="605" t="s">
        <v>40</v>
      </c>
      <c r="O209" s="173">
        <v>6</v>
      </c>
      <c r="P209" s="234">
        <f ca="1">OFFSET($A$1,MATCH(Z205,$A:$A,0)-1,O209)</f>
        <v>4</v>
      </c>
      <c r="Q209" s="144" t="s">
        <v>29</v>
      </c>
      <c r="R209" s="118">
        <f t="shared" ca="1" si="52"/>
        <v>295138</v>
      </c>
      <c r="S209" s="118">
        <f t="shared" ca="1" si="52"/>
        <v>1180552</v>
      </c>
      <c r="T209" s="118">
        <f ca="1">중급</f>
        <v>295138</v>
      </c>
      <c r="U209" s="118">
        <f t="shared" ca="1" si="53"/>
        <v>1180552</v>
      </c>
      <c r="V209" s="118"/>
      <c r="W209" s="118"/>
      <c r="X209" s="118"/>
      <c r="Y209" s="118"/>
      <c r="Z209" s="115"/>
    </row>
    <row r="210" spans="11:26" ht="18" customHeight="1">
      <c r="K210" s="171" t="s">
        <v>702</v>
      </c>
      <c r="L210" s="171"/>
      <c r="M210" s="171"/>
      <c r="N210" s="605" t="s">
        <v>41</v>
      </c>
      <c r="O210" s="173">
        <v>7</v>
      </c>
      <c r="P210" s="234">
        <f ca="1">OFFSET($A$1,MATCH(Z205,$A:$A,0)-1,O210)</f>
        <v>4</v>
      </c>
      <c r="Q210" s="144" t="s">
        <v>29</v>
      </c>
      <c r="R210" s="118">
        <f t="shared" ca="1" si="52"/>
        <v>235459</v>
      </c>
      <c r="S210" s="118">
        <f t="shared" ca="1" si="52"/>
        <v>941836</v>
      </c>
      <c r="T210" s="118">
        <f ca="1">초급</f>
        <v>235459</v>
      </c>
      <c r="U210" s="118">
        <f t="shared" ca="1" si="53"/>
        <v>941836</v>
      </c>
      <c r="V210" s="118"/>
      <c r="W210" s="118"/>
      <c r="X210" s="118"/>
      <c r="Y210" s="118"/>
      <c r="Z210" s="115"/>
    </row>
    <row r="211" spans="11:26" ht="18" customHeight="1">
      <c r="K211" s="171" t="s">
        <v>811</v>
      </c>
      <c r="L211" s="171"/>
      <c r="M211" s="171"/>
      <c r="N211" s="606" t="s">
        <v>42</v>
      </c>
      <c r="O211" s="174">
        <v>8</v>
      </c>
      <c r="P211" s="235">
        <f ca="1">OFFSET($A$1,MATCH(Z205,$A:$A,0)-1,O211)</f>
        <v>4</v>
      </c>
      <c r="Q211" s="322" t="s">
        <v>29</v>
      </c>
      <c r="R211" s="323">
        <f t="shared" ca="1" si="52"/>
        <v>250087</v>
      </c>
      <c r="S211" s="323">
        <f t="shared" ca="1" si="52"/>
        <v>1000348</v>
      </c>
      <c r="T211" s="323">
        <f ca="1">보조원</f>
        <v>250087</v>
      </c>
      <c r="U211" s="323">
        <f t="shared" ca="1" si="53"/>
        <v>1000348</v>
      </c>
      <c r="V211" s="323"/>
      <c r="W211" s="323"/>
      <c r="X211" s="323"/>
      <c r="Y211" s="323"/>
      <c r="Z211" s="324"/>
    </row>
    <row r="212" spans="11:26" ht="18" customHeight="1">
      <c r="K212" s="171" t="s">
        <v>811</v>
      </c>
      <c r="L212" s="171"/>
      <c r="M212" s="171"/>
      <c r="N212" s="607" t="s">
        <v>700</v>
      </c>
      <c r="O212" s="68"/>
      <c r="P212" s="69"/>
      <c r="Q212" s="70"/>
      <c r="R212" s="71"/>
      <c r="S212" s="71">
        <f ca="1">SUBTOTAL(9,S206:S211)</f>
        <v>5425644</v>
      </c>
      <c r="T212" s="71"/>
      <c r="U212" s="71">
        <f ca="1">SUBTOTAL(9,U206:U211)</f>
        <v>5425644</v>
      </c>
      <c r="V212" s="71"/>
      <c r="W212" s="71"/>
      <c r="X212" s="71"/>
      <c r="Y212" s="71"/>
      <c r="Z212" s="68"/>
    </row>
    <row r="213" spans="11:26" ht="18" customHeight="1">
      <c r="K213" s="171" t="s">
        <v>811</v>
      </c>
      <c r="L213" s="171"/>
      <c r="M213" s="171"/>
      <c r="N213" s="532" t="str">
        <f ca="1">"제 " &amp; Z213 &amp; " 호표  "&amp; OFFSET($A$1,MATCH(Z213,$A:$A,0)-1,1)</f>
        <v>제 21 호표  5.3 위원회심의 지원</v>
      </c>
      <c r="O213" s="533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21</v>
      </c>
    </row>
    <row r="214" spans="11:26" ht="18" customHeight="1">
      <c r="K214" s="171" t="s">
        <v>811</v>
      </c>
      <c r="L214" s="171"/>
      <c r="M214" s="171"/>
      <c r="N214" s="603" t="s">
        <v>43</v>
      </c>
      <c r="O214" s="172">
        <v>3</v>
      </c>
      <c r="P214" s="534">
        <f ca="1">OFFSET($A$1,MATCH(Z213,$A:$A,0)-1,O214)</f>
        <v>2</v>
      </c>
      <c r="Q214" s="141" t="s">
        <v>29</v>
      </c>
      <c r="R214" s="142">
        <f t="shared" ref="R214:S219" ca="1" si="54">T214</f>
        <v>467217</v>
      </c>
      <c r="S214" s="142">
        <f t="shared" ca="1" si="54"/>
        <v>934434</v>
      </c>
      <c r="T214" s="142">
        <f ca="1">기술사</f>
        <v>467217</v>
      </c>
      <c r="U214" s="142">
        <f t="shared" ref="U214:U219" ca="1" si="55">ROUNDDOWN(P214*R214,0)</f>
        <v>934434</v>
      </c>
      <c r="V214" s="142"/>
      <c r="W214" s="142"/>
      <c r="X214" s="142"/>
      <c r="Y214" s="142"/>
      <c r="Z214" s="114"/>
    </row>
    <row r="215" spans="11:26" ht="18" customHeight="1">
      <c r="K215" s="171" t="s">
        <v>811</v>
      </c>
      <c r="L215" s="171"/>
      <c r="M215" s="171"/>
      <c r="N215" s="604" t="s">
        <v>32</v>
      </c>
      <c r="O215" s="173">
        <v>4</v>
      </c>
      <c r="P215" s="234">
        <f ca="1">OFFSET($A$1,MATCH(Z213,$A:$A,0)-1,O215)</f>
        <v>2</v>
      </c>
      <c r="Q215" s="144" t="s">
        <v>29</v>
      </c>
      <c r="R215" s="118">
        <f t="shared" ca="1" si="54"/>
        <v>373353</v>
      </c>
      <c r="S215" s="118">
        <f t="shared" ca="1" si="54"/>
        <v>746706</v>
      </c>
      <c r="T215" s="118">
        <f ca="1">특급</f>
        <v>373353</v>
      </c>
      <c r="U215" s="118">
        <f t="shared" ca="1" si="55"/>
        <v>746706</v>
      </c>
      <c r="V215" s="118"/>
      <c r="W215" s="118"/>
      <c r="X215" s="118"/>
      <c r="Y215" s="118"/>
      <c r="Z215" s="115"/>
    </row>
    <row r="216" spans="11:26" ht="18" customHeight="1">
      <c r="K216" s="171" t="s">
        <v>811</v>
      </c>
      <c r="L216" s="171"/>
      <c r="M216" s="171"/>
      <c r="N216" s="605" t="s">
        <v>39</v>
      </c>
      <c r="O216" s="173">
        <v>5</v>
      </c>
      <c r="P216" s="234">
        <f ca="1">OFFSET($A$1,MATCH(Z213,$A:$A,0)-1,O216)</f>
        <v>2</v>
      </c>
      <c r="Q216" s="144" t="s">
        <v>29</v>
      </c>
      <c r="R216" s="118">
        <f t="shared" ca="1" si="54"/>
        <v>310884</v>
      </c>
      <c r="S216" s="118">
        <f t="shared" ca="1" si="54"/>
        <v>621768</v>
      </c>
      <c r="T216" s="118">
        <f ca="1">고급</f>
        <v>310884</v>
      </c>
      <c r="U216" s="118">
        <f t="shared" ca="1" si="55"/>
        <v>621768</v>
      </c>
      <c r="V216" s="118"/>
      <c r="W216" s="118"/>
      <c r="X216" s="118"/>
      <c r="Y216" s="118"/>
      <c r="Z216" s="115"/>
    </row>
    <row r="217" spans="11:26" ht="18" customHeight="1">
      <c r="K217" s="171" t="s">
        <v>811</v>
      </c>
      <c r="L217" s="171"/>
      <c r="M217" s="171"/>
      <c r="N217" s="605" t="s">
        <v>40</v>
      </c>
      <c r="O217" s="173">
        <v>6</v>
      </c>
      <c r="P217" s="234">
        <f ca="1">OFFSET($A$1,MATCH(Z213,$A:$A,0)-1,O217)</f>
        <v>4</v>
      </c>
      <c r="Q217" s="144" t="s">
        <v>29</v>
      </c>
      <c r="R217" s="118">
        <f t="shared" ca="1" si="54"/>
        <v>295138</v>
      </c>
      <c r="S217" s="118">
        <f t="shared" ca="1" si="54"/>
        <v>1180552</v>
      </c>
      <c r="T217" s="118">
        <f ca="1">중급</f>
        <v>295138</v>
      </c>
      <c r="U217" s="118">
        <f t="shared" ca="1" si="55"/>
        <v>1180552</v>
      </c>
      <c r="V217" s="118"/>
      <c r="W217" s="118"/>
      <c r="X217" s="118"/>
      <c r="Y217" s="118"/>
      <c r="Z217" s="115"/>
    </row>
    <row r="218" spans="11:26" ht="18" customHeight="1">
      <c r="K218" s="171" t="s">
        <v>811</v>
      </c>
      <c r="L218" s="171"/>
      <c r="M218" s="171"/>
      <c r="N218" s="605" t="s">
        <v>41</v>
      </c>
      <c r="O218" s="173">
        <v>7</v>
      </c>
      <c r="P218" s="234">
        <f ca="1">OFFSET($A$1,MATCH(Z213,$A:$A,0)-1,O218)</f>
        <v>4</v>
      </c>
      <c r="Q218" s="144" t="s">
        <v>29</v>
      </c>
      <c r="R218" s="118">
        <f t="shared" ca="1" si="54"/>
        <v>235459</v>
      </c>
      <c r="S218" s="118">
        <f t="shared" ca="1" si="54"/>
        <v>941836</v>
      </c>
      <c r="T218" s="118">
        <f ca="1">초급</f>
        <v>235459</v>
      </c>
      <c r="U218" s="118">
        <f t="shared" ca="1" si="55"/>
        <v>941836</v>
      </c>
      <c r="V218" s="118"/>
      <c r="W218" s="118"/>
      <c r="X218" s="118"/>
      <c r="Y218" s="118"/>
      <c r="Z218" s="115"/>
    </row>
    <row r="219" spans="11:26" ht="18" customHeight="1">
      <c r="K219" s="171" t="s">
        <v>811</v>
      </c>
      <c r="L219" s="171"/>
      <c r="M219" s="171"/>
      <c r="N219" s="606" t="s">
        <v>42</v>
      </c>
      <c r="O219" s="174">
        <v>8</v>
      </c>
      <c r="P219" s="235">
        <f ca="1">OFFSET($A$1,MATCH(Z213,$A:$A,0)-1,O219)</f>
        <v>4</v>
      </c>
      <c r="Q219" s="322" t="s">
        <v>29</v>
      </c>
      <c r="R219" s="323">
        <f t="shared" ca="1" si="54"/>
        <v>250087</v>
      </c>
      <c r="S219" s="323">
        <f t="shared" ca="1" si="54"/>
        <v>1000348</v>
      </c>
      <c r="T219" s="323">
        <f ca="1">보조원</f>
        <v>250087</v>
      </c>
      <c r="U219" s="323">
        <f t="shared" ca="1" si="55"/>
        <v>1000348</v>
      </c>
      <c r="V219" s="323"/>
      <c r="W219" s="323"/>
      <c r="X219" s="323"/>
      <c r="Y219" s="323"/>
      <c r="Z219" s="324"/>
    </row>
    <row r="220" spans="11:26" ht="18" customHeight="1">
      <c r="K220" s="171" t="s">
        <v>811</v>
      </c>
      <c r="L220" s="171"/>
      <c r="M220" s="171"/>
      <c r="N220" s="607" t="s">
        <v>700</v>
      </c>
      <c r="O220" s="68"/>
      <c r="P220" s="69"/>
      <c r="Q220" s="70"/>
      <c r="R220" s="71"/>
      <c r="S220" s="71">
        <f ca="1">SUBTOTAL(9,S214:S219)</f>
        <v>5425644</v>
      </c>
      <c r="T220" s="71"/>
      <c r="U220" s="71">
        <f ca="1">SUBTOTAL(9,U214:U219)</f>
        <v>5425644</v>
      </c>
      <c r="V220" s="71"/>
      <c r="W220" s="71"/>
      <c r="X220" s="71"/>
      <c r="Y220" s="71"/>
      <c r="Z220" s="68"/>
    </row>
    <row r="221" spans="11:26" ht="18" customHeight="1">
      <c r="K221" s="171" t="s">
        <v>811</v>
      </c>
      <c r="L221" s="171"/>
      <c r="M221" s="171"/>
      <c r="N221" s="532" t="str">
        <f ca="1">"제 " &amp; Z221 &amp; " 호표  "&amp; OFFSET($A$1,MATCH(Z221,$A:$A,0)-1,1)</f>
        <v>제 22 호표  5.4 관계기관 협의</v>
      </c>
      <c r="O221" s="533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22</v>
      </c>
    </row>
    <row r="222" spans="11:26" ht="18" customHeight="1">
      <c r="K222" s="171" t="s">
        <v>811</v>
      </c>
      <c r="L222" s="171"/>
      <c r="M222" s="171"/>
      <c r="N222" s="140" t="s">
        <v>43</v>
      </c>
      <c r="O222" s="172">
        <v>3</v>
      </c>
      <c r="P222" s="534">
        <f ca="1">OFFSET($A$1,MATCH(Z221,$A:$A,0)-1,O222)</f>
        <v>2</v>
      </c>
      <c r="Q222" s="141" t="s">
        <v>29</v>
      </c>
      <c r="R222" s="142">
        <f t="shared" ref="R222:S227" ca="1" si="56">T222</f>
        <v>467217</v>
      </c>
      <c r="S222" s="142">
        <f t="shared" ca="1" si="56"/>
        <v>934434</v>
      </c>
      <c r="T222" s="142">
        <f ca="1">기술사</f>
        <v>467217</v>
      </c>
      <c r="U222" s="142">
        <f t="shared" ref="U222:U227" ca="1" si="57">ROUNDDOWN(P222*R222,0)</f>
        <v>934434</v>
      </c>
      <c r="V222" s="142"/>
      <c r="W222" s="142"/>
      <c r="X222" s="142"/>
      <c r="Y222" s="142"/>
      <c r="Z222" s="114"/>
    </row>
    <row r="223" spans="11:26" ht="18" customHeight="1">
      <c r="K223" s="171" t="s">
        <v>811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2</v>
      </c>
      <c r="Q223" s="144" t="s">
        <v>29</v>
      </c>
      <c r="R223" s="118">
        <f t="shared" ca="1" si="56"/>
        <v>373353</v>
      </c>
      <c r="S223" s="118">
        <f t="shared" ca="1" si="56"/>
        <v>746706</v>
      </c>
      <c r="T223" s="118">
        <f ca="1">특급</f>
        <v>373353</v>
      </c>
      <c r="U223" s="118">
        <f t="shared" ca="1" si="57"/>
        <v>746706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2</v>
      </c>
      <c r="Q224" s="144" t="s">
        <v>29</v>
      </c>
      <c r="R224" s="118">
        <f t="shared" ca="1" si="56"/>
        <v>310884</v>
      </c>
      <c r="S224" s="118">
        <f t="shared" ca="1" si="56"/>
        <v>621768</v>
      </c>
      <c r="T224" s="118">
        <f ca="1">고급</f>
        <v>310884</v>
      </c>
      <c r="U224" s="118">
        <f t="shared" ca="1" si="57"/>
        <v>621768</v>
      </c>
      <c r="V224" s="118"/>
      <c r="W224" s="118"/>
      <c r="X224" s="118"/>
      <c r="Y224" s="118"/>
      <c r="Z224" s="115"/>
    </row>
    <row r="225" spans="11:27" ht="18" customHeight="1">
      <c r="K225" s="171" t="s">
        <v>811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4</v>
      </c>
      <c r="Q225" s="144" t="s">
        <v>29</v>
      </c>
      <c r="R225" s="118">
        <f t="shared" ca="1" si="56"/>
        <v>295138</v>
      </c>
      <c r="S225" s="118">
        <f t="shared" ca="1" si="56"/>
        <v>1180552</v>
      </c>
      <c r="T225" s="118">
        <f ca="1">중급</f>
        <v>295138</v>
      </c>
      <c r="U225" s="118">
        <f t="shared" ca="1" si="57"/>
        <v>1180552</v>
      </c>
      <c r="V225" s="118"/>
      <c r="W225" s="118"/>
      <c r="X225" s="118"/>
      <c r="Y225" s="118"/>
      <c r="Z225" s="115"/>
    </row>
    <row r="226" spans="11:27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4</v>
      </c>
      <c r="Q226" s="144" t="s">
        <v>29</v>
      </c>
      <c r="R226" s="118">
        <f t="shared" ca="1" si="56"/>
        <v>235459</v>
      </c>
      <c r="S226" s="118">
        <f t="shared" ca="1" si="56"/>
        <v>941836</v>
      </c>
      <c r="T226" s="118">
        <f ca="1">초급</f>
        <v>235459</v>
      </c>
      <c r="U226" s="118">
        <f t="shared" ca="1" si="57"/>
        <v>941836</v>
      </c>
      <c r="V226" s="118"/>
      <c r="W226" s="118"/>
      <c r="X226" s="118"/>
      <c r="Y226" s="118"/>
      <c r="Z226" s="115"/>
      <c r="AA226" s="171"/>
    </row>
    <row r="227" spans="11:27" ht="18" customHeight="1">
      <c r="K227" s="171" t="s">
        <v>811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4</v>
      </c>
      <c r="Q227" s="322" t="s">
        <v>29</v>
      </c>
      <c r="R227" s="323">
        <f t="shared" ca="1" si="56"/>
        <v>250087</v>
      </c>
      <c r="S227" s="323">
        <f t="shared" ca="1" si="56"/>
        <v>1000348</v>
      </c>
      <c r="T227" s="323">
        <f ca="1">보조원</f>
        <v>250087</v>
      </c>
      <c r="U227" s="323">
        <f t="shared" ca="1" si="57"/>
        <v>1000348</v>
      </c>
      <c r="V227" s="323"/>
      <c r="W227" s="323"/>
      <c r="X227" s="323"/>
      <c r="Y227" s="323"/>
      <c r="Z227" s="324"/>
      <c r="AA227" s="171"/>
    </row>
    <row r="228" spans="11:27" ht="18" customHeight="1">
      <c r="K228" s="171" t="s">
        <v>14</v>
      </c>
      <c r="L228" s="171"/>
      <c r="M228" s="171"/>
      <c r="N228" s="139" t="s">
        <v>700</v>
      </c>
      <c r="O228" s="68"/>
      <c r="P228" s="69"/>
      <c r="Q228" s="70"/>
      <c r="R228" s="71"/>
      <c r="S228" s="71">
        <f ca="1">SUBTOTAL(9,S222:S227)</f>
        <v>5425644</v>
      </c>
      <c r="T228" s="71"/>
      <c r="U228" s="71">
        <f ca="1">SUBTOTAL(9,U222:U227)</f>
        <v>5425644</v>
      </c>
      <c r="V228" s="71"/>
      <c r="W228" s="71"/>
      <c r="X228" s="71"/>
      <c r="Y228" s="71"/>
      <c r="Z228" s="68"/>
      <c r="AA228" s="171"/>
    </row>
    <row r="229" spans="11:27" ht="18" customHeight="1">
      <c r="K229" s="171" t="s">
        <v>702</v>
      </c>
      <c r="L229" s="171"/>
      <c r="M229" s="171"/>
      <c r="P229" s="236"/>
      <c r="AA229" s="171"/>
    </row>
    <row r="230" spans="11:27" ht="18" customHeight="1">
      <c r="K230" s="171" t="s">
        <v>14</v>
      </c>
      <c r="L230" s="171"/>
      <c r="M230" s="171"/>
      <c r="P230" s="236"/>
    </row>
    <row r="231" spans="11:27" ht="18" customHeight="1">
      <c r="K231" s="171" t="s">
        <v>14</v>
      </c>
      <c r="L231" s="171"/>
      <c r="M231" s="171"/>
      <c r="P231" s="236"/>
    </row>
    <row r="232" spans="11:27" ht="18" customHeight="1">
      <c r="K232" s="171" t="s">
        <v>788</v>
      </c>
      <c r="L232" s="171"/>
      <c r="M232" s="171"/>
      <c r="P232" s="236"/>
    </row>
    <row r="233" spans="11:27" ht="18" customHeight="1">
      <c r="K233" s="171" t="s">
        <v>14</v>
      </c>
      <c r="L233" s="171"/>
      <c r="M233" s="171"/>
      <c r="P233" s="236"/>
    </row>
    <row r="234" spans="11:27" ht="18" customHeight="1">
      <c r="K234" s="171" t="s">
        <v>14</v>
      </c>
      <c r="L234" s="171"/>
      <c r="M234" s="171"/>
      <c r="P234" s="236"/>
    </row>
    <row r="235" spans="11:27" ht="18" customHeight="1">
      <c r="K235" s="171" t="s">
        <v>14</v>
      </c>
      <c r="L235" s="171"/>
      <c r="M235" s="171"/>
      <c r="P235" s="236"/>
    </row>
    <row r="236" spans="11:27" ht="18" customHeight="1">
      <c r="K236" s="171" t="s">
        <v>702</v>
      </c>
      <c r="L236" s="171"/>
      <c r="M236" s="171"/>
      <c r="P236" s="236"/>
    </row>
    <row r="237" spans="11:27" ht="18" customHeight="1">
      <c r="K237" s="171" t="s">
        <v>14</v>
      </c>
      <c r="L237" s="171"/>
      <c r="M237" s="171"/>
      <c r="P237" s="236"/>
    </row>
    <row r="238" spans="11:27" ht="18" customHeight="1">
      <c r="K238" s="171" t="s">
        <v>14</v>
      </c>
      <c r="L238" s="171"/>
      <c r="M238" s="171"/>
      <c r="P238" s="236"/>
    </row>
    <row r="239" spans="11:27" ht="18" customHeight="1">
      <c r="K239" s="171" t="s">
        <v>14</v>
      </c>
      <c r="L239" s="171"/>
      <c r="M239" s="171"/>
      <c r="P239" s="236"/>
    </row>
    <row r="240" spans="11:27" ht="18" customHeight="1">
      <c r="K240" s="171" t="s">
        <v>14</v>
      </c>
      <c r="L240" s="171"/>
      <c r="M240" s="171"/>
      <c r="P240" s="236"/>
    </row>
    <row r="241" spans="11:28" ht="18" customHeight="1">
      <c r="K241" s="171" t="s">
        <v>788</v>
      </c>
      <c r="L241" s="171"/>
      <c r="M241" s="171"/>
      <c r="P241" s="236"/>
    </row>
    <row r="242" spans="11:28" ht="18" customHeight="1">
      <c r="K242" s="171" t="s">
        <v>788</v>
      </c>
      <c r="L242" s="171"/>
      <c r="M242" s="171"/>
      <c r="P242" s="236"/>
      <c r="AA242" s="171"/>
      <c r="AB242" s="171"/>
    </row>
    <row r="243" spans="11:28" ht="18" customHeight="1">
      <c r="K243" s="171" t="s">
        <v>14</v>
      </c>
      <c r="L243" s="171"/>
      <c r="M243" s="171"/>
      <c r="P243" s="236"/>
      <c r="AA243" s="171"/>
      <c r="AB243" s="171"/>
    </row>
    <row r="244" spans="11:28" ht="18" customHeight="1">
      <c r="K244" s="171" t="s">
        <v>14</v>
      </c>
      <c r="L244" s="171"/>
      <c r="M244" s="171"/>
      <c r="P244" s="236"/>
      <c r="AA244" s="171"/>
      <c r="AB244" s="171"/>
    </row>
    <row r="245" spans="11:28" ht="18" customHeight="1">
      <c r="K245" s="171" t="s">
        <v>788</v>
      </c>
      <c r="L245" s="171"/>
      <c r="M245" s="171"/>
      <c r="P245" s="236"/>
      <c r="AB245" s="171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811</v>
      </c>
      <c r="L249" s="171"/>
      <c r="M249" s="171"/>
      <c r="P249" s="236"/>
    </row>
    <row r="250" spans="11:28" ht="18" customHeight="1">
      <c r="K250" s="171" t="s">
        <v>702</v>
      </c>
      <c r="L250" s="171"/>
      <c r="M250" s="171"/>
      <c r="P250" s="236"/>
    </row>
    <row r="251" spans="11:28" ht="18" customHeight="1">
      <c r="K251" s="171" t="s">
        <v>702</v>
      </c>
      <c r="L251" s="171"/>
      <c r="M251" s="171"/>
      <c r="P251" s="236"/>
    </row>
    <row r="252" spans="11:28" ht="18" customHeight="1">
      <c r="K252" s="171" t="s">
        <v>811</v>
      </c>
      <c r="L252" s="171"/>
      <c r="M252" s="171"/>
      <c r="P252" s="236"/>
    </row>
    <row r="253" spans="11:28" ht="18" customHeight="1">
      <c r="K253" s="171" t="s">
        <v>702</v>
      </c>
      <c r="L253" s="171"/>
      <c r="M253" s="171"/>
      <c r="P253" s="236"/>
    </row>
    <row r="254" spans="11:28" ht="18" customHeight="1">
      <c r="K254" s="171" t="s">
        <v>812</v>
      </c>
      <c r="L254" s="171"/>
      <c r="M254" s="171"/>
      <c r="P254" s="236"/>
    </row>
    <row r="255" spans="11:28" ht="18" customHeight="1">
      <c r="K255" s="171" t="s">
        <v>813</v>
      </c>
      <c r="L255" s="171"/>
      <c r="M255" s="171"/>
      <c r="P255" s="236"/>
    </row>
    <row r="256" spans="11:28" ht="18" customHeight="1">
      <c r="K256" s="171" t="s">
        <v>702</v>
      </c>
      <c r="L256" s="171"/>
      <c r="M256" s="171"/>
      <c r="P256" s="236"/>
    </row>
    <row r="257" spans="11:28" ht="18" customHeight="1">
      <c r="K257" s="171" t="s">
        <v>14</v>
      </c>
      <c r="L257" s="171"/>
      <c r="M257" s="171"/>
      <c r="P257" s="236"/>
    </row>
    <row r="258" spans="11:28" ht="18" customHeight="1">
      <c r="K258" s="171" t="s">
        <v>702</v>
      </c>
      <c r="L258" s="171"/>
      <c r="M258" s="171"/>
      <c r="P258" s="236"/>
      <c r="AB258" s="171"/>
    </row>
    <row r="259" spans="11:28" ht="18" customHeight="1">
      <c r="K259" s="171" t="s">
        <v>813</v>
      </c>
      <c r="L259" s="171"/>
      <c r="M259" s="171"/>
      <c r="P259" s="236"/>
      <c r="AB259" s="171"/>
    </row>
    <row r="260" spans="11:28" ht="18" customHeight="1">
      <c r="K260" s="171" t="s">
        <v>702</v>
      </c>
      <c r="L260" s="171"/>
      <c r="M260" s="171"/>
      <c r="P260" s="236"/>
      <c r="AB260" s="171"/>
    </row>
    <row r="261" spans="11:28" ht="18" customHeight="1">
      <c r="K261" s="171" t="s">
        <v>702</v>
      </c>
      <c r="L261" s="171"/>
      <c r="M261" s="171"/>
      <c r="P261" s="236"/>
      <c r="AA261" s="171"/>
      <c r="AB261" s="171"/>
    </row>
    <row r="262" spans="11:28" ht="18" customHeight="1">
      <c r="K262" s="171" t="s">
        <v>813</v>
      </c>
      <c r="L262" s="171"/>
      <c r="M262" s="171"/>
      <c r="P262" s="236"/>
      <c r="AA262" s="171"/>
      <c r="AB262" s="171"/>
    </row>
    <row r="263" spans="11:28" ht="18" customHeight="1">
      <c r="K263" s="171" t="s">
        <v>813</v>
      </c>
      <c r="L263" s="171"/>
      <c r="M263" s="171"/>
      <c r="P263" s="236"/>
      <c r="AA263" s="171"/>
      <c r="AB263" s="171"/>
    </row>
    <row r="264" spans="11:28" ht="18" customHeight="1">
      <c r="K264" s="171" t="s">
        <v>813</v>
      </c>
      <c r="L264" s="171"/>
      <c r="M264" s="171"/>
      <c r="P264" s="236"/>
      <c r="AA264" s="171"/>
      <c r="AB264" s="171"/>
    </row>
    <row r="265" spans="11:28" ht="18" customHeight="1">
      <c r="K265" s="171" t="s">
        <v>813</v>
      </c>
      <c r="L265" s="171"/>
      <c r="M265" s="171"/>
      <c r="P265" s="236"/>
      <c r="AA265" s="171"/>
      <c r="AB265" s="171"/>
    </row>
    <row r="266" spans="11:28" ht="18" customHeight="1">
      <c r="K266" s="171" t="s">
        <v>813</v>
      </c>
      <c r="L266" s="171"/>
      <c r="M266" s="171"/>
      <c r="P266" s="236"/>
      <c r="AA266" s="171"/>
      <c r="AB266" s="171"/>
    </row>
    <row r="267" spans="11:28" ht="18" customHeight="1">
      <c r="K267" s="171" t="s">
        <v>813</v>
      </c>
      <c r="L267" s="171"/>
      <c r="M267" s="171"/>
      <c r="P267" s="236"/>
      <c r="AA267" s="171"/>
      <c r="AB267" s="171"/>
    </row>
    <row r="268" spans="11:28" ht="18" customHeight="1">
      <c r="K268" s="171" t="s">
        <v>813</v>
      </c>
      <c r="L268" s="171"/>
      <c r="M268" s="171"/>
      <c r="P268" s="236"/>
      <c r="AA268" s="171"/>
      <c r="AB268" s="171"/>
    </row>
    <row r="269" spans="11:28" ht="18" customHeight="1">
      <c r="K269" s="171" t="s">
        <v>813</v>
      </c>
      <c r="L269" s="171"/>
      <c r="M269" s="171"/>
      <c r="P269" s="236"/>
      <c r="AA269" s="171"/>
      <c r="AB269" s="171"/>
    </row>
    <row r="270" spans="11:28" ht="18" customHeight="1">
      <c r="K270" s="171" t="s">
        <v>813</v>
      </c>
      <c r="L270" s="171"/>
      <c r="M270" s="171"/>
      <c r="P270" s="236"/>
      <c r="AA270" s="171"/>
      <c r="AB270" s="171"/>
    </row>
    <row r="271" spans="11:28" ht="18" customHeight="1">
      <c r="K271" s="171" t="s">
        <v>813</v>
      </c>
      <c r="L271" s="171"/>
      <c r="M271" s="171"/>
      <c r="P271" s="236"/>
      <c r="AA271" s="171"/>
      <c r="AB271" s="171"/>
    </row>
    <row r="272" spans="11:28" ht="18" customHeight="1">
      <c r="K272" s="171" t="s">
        <v>813</v>
      </c>
      <c r="L272" s="171"/>
      <c r="M272" s="171"/>
      <c r="P272" s="236"/>
      <c r="AA272" s="171"/>
      <c r="AB272" s="171"/>
    </row>
    <row r="273" spans="11:16" ht="18" customHeight="1">
      <c r="K273" s="171" t="s">
        <v>813</v>
      </c>
      <c r="L273" s="171"/>
      <c r="M273" s="171"/>
      <c r="P273" s="236"/>
    </row>
    <row r="274" spans="11:16" ht="18" customHeight="1">
      <c r="K274" s="171" t="s">
        <v>813</v>
      </c>
      <c r="L274" s="171"/>
      <c r="M274" s="171"/>
      <c r="P274" s="236"/>
    </row>
    <row r="275" spans="11:16" ht="18" customHeight="1">
      <c r="K275" s="171" t="s">
        <v>813</v>
      </c>
      <c r="L275" s="171"/>
      <c r="M275" s="171"/>
      <c r="P275" s="236"/>
    </row>
    <row r="276" spans="11:16" ht="18" customHeight="1">
      <c r="K276" s="171" t="s">
        <v>813</v>
      </c>
      <c r="L276" s="171"/>
      <c r="M276" s="171"/>
      <c r="P276" s="236"/>
    </row>
    <row r="277" spans="11:16" ht="18" customHeight="1">
      <c r="K277" s="171" t="s">
        <v>813</v>
      </c>
      <c r="L277" s="171"/>
      <c r="M277" s="171"/>
      <c r="P277" s="236"/>
    </row>
    <row r="278" spans="11:16" ht="18" customHeight="1">
      <c r="K278" s="171" t="s">
        <v>813</v>
      </c>
      <c r="L278" s="171"/>
      <c r="M278" s="171"/>
      <c r="P278" s="236"/>
    </row>
    <row r="279" spans="11:16" ht="18" customHeight="1">
      <c r="K279" s="171" t="s">
        <v>813</v>
      </c>
      <c r="L279" s="171"/>
      <c r="M279" s="171"/>
      <c r="P279" s="236"/>
    </row>
    <row r="280" spans="11:16" ht="18" customHeight="1">
      <c r="K280" s="171" t="s">
        <v>813</v>
      </c>
      <c r="L280" s="171"/>
      <c r="M280" s="171"/>
      <c r="P280" s="236"/>
    </row>
    <row r="281" spans="11:16" ht="18" customHeight="1">
      <c r="K281" s="171" t="s">
        <v>813</v>
      </c>
      <c r="L281" s="171"/>
      <c r="M281" s="171"/>
      <c r="P281" s="236"/>
    </row>
    <row r="282" spans="11:16" ht="18" customHeight="1">
      <c r="K282" s="171" t="s">
        <v>813</v>
      </c>
      <c r="L282" s="171"/>
      <c r="M282" s="171"/>
      <c r="P282" s="236"/>
    </row>
    <row r="283" spans="11:16" ht="18" customHeight="1">
      <c r="K283" s="171" t="s">
        <v>702</v>
      </c>
      <c r="L283" s="171"/>
      <c r="M283" s="171"/>
      <c r="P283" s="236"/>
    </row>
    <row r="284" spans="11:16" ht="18" customHeight="1">
      <c r="K284" s="171" t="s">
        <v>702</v>
      </c>
      <c r="L284" s="171"/>
      <c r="M284" s="171"/>
      <c r="P284" s="236"/>
    </row>
    <row r="285" spans="11:16" ht="18" customHeight="1">
      <c r="K285" s="171" t="s">
        <v>702</v>
      </c>
      <c r="L285" s="171"/>
      <c r="M285" s="171"/>
      <c r="P285" s="236"/>
    </row>
    <row r="286" spans="11:16" ht="18" customHeight="1">
      <c r="K286" s="171" t="s">
        <v>702</v>
      </c>
      <c r="L286" s="171"/>
      <c r="M286" s="171"/>
      <c r="P286" s="236"/>
    </row>
    <row r="287" spans="11:16" ht="18" customHeight="1">
      <c r="K287" s="171" t="s">
        <v>702</v>
      </c>
      <c r="L287" s="171"/>
      <c r="M287" s="171"/>
      <c r="P287" s="236"/>
    </row>
    <row r="288" spans="11:16" ht="18" customHeight="1">
      <c r="K288" s="171" t="s">
        <v>813</v>
      </c>
      <c r="L288" s="171"/>
      <c r="M288" s="171"/>
      <c r="P288" s="236"/>
    </row>
    <row r="289" spans="11:16" ht="18" customHeight="1">
      <c r="K289" s="171" t="s">
        <v>813</v>
      </c>
      <c r="L289" s="171"/>
      <c r="M289" s="171"/>
      <c r="P289" s="236"/>
    </row>
    <row r="290" spans="11:16" ht="18" customHeight="1">
      <c r="K290" s="171" t="s">
        <v>702</v>
      </c>
      <c r="L290" s="171"/>
      <c r="M290" s="171"/>
      <c r="P290" s="236"/>
    </row>
    <row r="291" spans="11:16" ht="18" customHeight="1">
      <c r="K291" s="171" t="s">
        <v>702</v>
      </c>
      <c r="L291" s="171"/>
      <c r="M291" s="171"/>
      <c r="P291" s="236"/>
    </row>
    <row r="292" spans="11:16" ht="18" customHeight="1">
      <c r="K292" s="171" t="s">
        <v>702</v>
      </c>
      <c r="L292" s="171"/>
      <c r="M292" s="171"/>
      <c r="P292" s="236"/>
    </row>
    <row r="293" spans="11:16" ht="18" customHeight="1">
      <c r="K293" s="171" t="s">
        <v>813</v>
      </c>
      <c r="L293" s="171"/>
      <c r="M293" s="171"/>
      <c r="P293" s="236"/>
    </row>
    <row r="294" spans="11:16" ht="18" customHeight="1">
      <c r="K294" s="171" t="s">
        <v>702</v>
      </c>
      <c r="L294" s="171"/>
      <c r="M294" s="171"/>
      <c r="P294" s="236"/>
    </row>
    <row r="295" spans="11:16" ht="18" customHeight="1">
      <c r="K295" s="171" t="s">
        <v>702</v>
      </c>
      <c r="L295" s="171"/>
      <c r="M295" s="171"/>
      <c r="P295" s="236"/>
    </row>
    <row r="296" spans="11:16" ht="18" customHeight="1">
      <c r="K296" s="171" t="s">
        <v>813</v>
      </c>
      <c r="L296" s="171"/>
      <c r="M296" s="171"/>
      <c r="P296" s="236"/>
    </row>
    <row r="297" spans="11:16" ht="18" customHeight="1">
      <c r="K297" s="171" t="s">
        <v>702</v>
      </c>
      <c r="L297" s="171"/>
      <c r="M297" s="171"/>
      <c r="P297" s="236"/>
    </row>
    <row r="298" spans="11:16" ht="18" customHeight="1">
      <c r="K298" s="171" t="s">
        <v>813</v>
      </c>
      <c r="L298" s="171"/>
      <c r="M298" s="171"/>
      <c r="P298" s="236"/>
    </row>
    <row r="299" spans="11:16" ht="18" customHeight="1">
      <c r="K299" s="171" t="s">
        <v>813</v>
      </c>
      <c r="L299" s="171"/>
      <c r="M299" s="171"/>
      <c r="P299" s="236"/>
    </row>
    <row r="300" spans="11:16" ht="18" customHeight="1">
      <c r="K300" s="171" t="s">
        <v>702</v>
      </c>
      <c r="L300" s="171"/>
      <c r="M300" s="171"/>
      <c r="P300" s="236"/>
    </row>
    <row r="301" spans="11:16" ht="18" customHeight="1">
      <c r="K301" s="171" t="s">
        <v>702</v>
      </c>
      <c r="L301" s="171"/>
      <c r="M301" s="171"/>
      <c r="P301" s="236"/>
    </row>
    <row r="302" spans="11:16" ht="18" customHeight="1">
      <c r="K302" s="171" t="s">
        <v>702</v>
      </c>
      <c r="L302" s="171"/>
      <c r="M302" s="171"/>
      <c r="P302" s="236"/>
    </row>
    <row r="303" spans="11:16" ht="18" customHeight="1">
      <c r="K303" s="171" t="s">
        <v>813</v>
      </c>
      <c r="L303" s="171"/>
      <c r="M303" s="171"/>
      <c r="P303" s="236"/>
    </row>
    <row r="304" spans="11:16" ht="18" customHeight="1">
      <c r="K304" s="171" t="s">
        <v>702</v>
      </c>
      <c r="L304" s="171"/>
      <c r="M304" s="171"/>
      <c r="P304" s="236"/>
    </row>
    <row r="305" spans="11:16" ht="18" customHeight="1">
      <c r="K305" s="171" t="s">
        <v>702</v>
      </c>
      <c r="L305" s="171"/>
      <c r="M305" s="171"/>
      <c r="P305" s="236"/>
    </row>
    <row r="306" spans="11:16" ht="18" customHeight="1">
      <c r="K306" s="171" t="s">
        <v>813</v>
      </c>
      <c r="L306" s="171"/>
      <c r="M306" s="171"/>
      <c r="P306" s="236"/>
    </row>
    <row r="307" spans="11:16" ht="18" customHeight="1">
      <c r="K307" s="171" t="s">
        <v>702</v>
      </c>
      <c r="L307" s="171"/>
      <c r="M307" s="171"/>
      <c r="P307" s="236"/>
    </row>
    <row r="308" spans="11:16" ht="18" customHeight="1">
      <c r="K308" s="171" t="s">
        <v>813</v>
      </c>
      <c r="L308" s="171"/>
      <c r="M308" s="171"/>
      <c r="P308" s="236"/>
    </row>
    <row r="309" spans="11:16" ht="18" customHeight="1">
      <c r="K309" s="171" t="s">
        <v>702</v>
      </c>
      <c r="L309" s="171"/>
      <c r="M309" s="171"/>
      <c r="P309" s="236"/>
    </row>
    <row r="310" spans="11:16" ht="18" customHeight="1">
      <c r="K310" s="171" t="s">
        <v>702</v>
      </c>
      <c r="L310" s="171"/>
      <c r="M310" s="171"/>
      <c r="P310" s="236"/>
    </row>
    <row r="311" spans="11:16" ht="18" customHeight="1">
      <c r="K311" s="171" t="s">
        <v>702</v>
      </c>
      <c r="L311" s="171"/>
      <c r="M311" s="171"/>
      <c r="P311" s="236"/>
    </row>
    <row r="312" spans="11:16" ht="18" customHeight="1">
      <c r="K312" s="171" t="s">
        <v>702</v>
      </c>
      <c r="L312" s="171"/>
      <c r="M312" s="171"/>
      <c r="P312" s="236"/>
    </row>
    <row r="313" spans="11:16" ht="18" customHeight="1">
      <c r="K313" s="171" t="s">
        <v>702</v>
      </c>
      <c r="L313" s="171"/>
      <c r="M313" s="171"/>
      <c r="P313" s="236"/>
    </row>
    <row r="314" spans="11:16" ht="18" customHeight="1">
      <c r="K314" s="171" t="s">
        <v>702</v>
      </c>
      <c r="L314" s="171"/>
      <c r="M314" s="171"/>
      <c r="P314" s="236"/>
    </row>
    <row r="315" spans="11:16" ht="18" customHeight="1">
      <c r="K315" s="171" t="s">
        <v>702</v>
      </c>
      <c r="L315" s="171"/>
      <c r="M315" s="171"/>
      <c r="P315" s="236"/>
    </row>
    <row r="316" spans="11:16" ht="18" customHeight="1">
      <c r="K316" s="171" t="s">
        <v>702</v>
      </c>
      <c r="L316" s="171"/>
      <c r="M316" s="171"/>
      <c r="P316" s="236"/>
    </row>
    <row r="317" spans="11:16" ht="18" customHeight="1">
      <c r="K317" s="171" t="s">
        <v>702</v>
      </c>
      <c r="L317" s="171"/>
      <c r="M317" s="171"/>
      <c r="P317" s="236"/>
    </row>
    <row r="318" spans="11:16" ht="18" customHeight="1">
      <c r="K318" s="171" t="s">
        <v>702</v>
      </c>
      <c r="L318" s="171"/>
      <c r="M318" s="171"/>
      <c r="P318" s="236"/>
    </row>
    <row r="319" spans="11:16" ht="18" customHeight="1">
      <c r="K319" s="171" t="s">
        <v>702</v>
      </c>
      <c r="L319" s="171"/>
      <c r="M319" s="171"/>
      <c r="P319" s="236"/>
    </row>
    <row r="320" spans="11:16" ht="18" customHeight="1">
      <c r="K320" s="171" t="s">
        <v>702</v>
      </c>
      <c r="L320" s="171"/>
      <c r="M320" s="171"/>
      <c r="P320" s="236"/>
    </row>
    <row r="321" spans="11:16" ht="18" customHeight="1">
      <c r="K321" s="171" t="s">
        <v>813</v>
      </c>
      <c r="L321" s="171"/>
      <c r="M321" s="171"/>
      <c r="P321" s="236"/>
    </row>
    <row r="322" spans="11:16" ht="18" customHeight="1">
      <c r="K322" s="171" t="s">
        <v>702</v>
      </c>
      <c r="L322" s="171"/>
      <c r="M322" s="171"/>
      <c r="P322" s="236"/>
    </row>
    <row r="323" spans="11:16" ht="18" customHeight="1">
      <c r="K323" s="171" t="s">
        <v>702</v>
      </c>
      <c r="L323" s="171"/>
      <c r="M323" s="171"/>
      <c r="P323" s="236"/>
    </row>
    <row r="324" spans="11:16" ht="18" customHeight="1">
      <c r="K324" s="171" t="s">
        <v>702</v>
      </c>
      <c r="L324" s="171"/>
      <c r="M324" s="171"/>
      <c r="P324" s="236"/>
    </row>
    <row r="325" spans="11:16" ht="18" customHeight="1">
      <c r="K325" s="171" t="s">
        <v>702</v>
      </c>
      <c r="L325" s="171"/>
      <c r="M325" s="171"/>
      <c r="P325" s="236"/>
    </row>
    <row r="326" spans="11:16" ht="18" customHeight="1">
      <c r="K326" s="171" t="s">
        <v>702</v>
      </c>
      <c r="L326" s="171"/>
      <c r="M326" s="171"/>
      <c r="P326" s="236"/>
    </row>
    <row r="327" spans="11:16" ht="18" customHeight="1">
      <c r="K327" s="171" t="s">
        <v>702</v>
      </c>
      <c r="L327" s="171"/>
      <c r="M327" s="171"/>
      <c r="P327" s="236"/>
    </row>
    <row r="328" spans="11:16" ht="18" customHeight="1">
      <c r="K328" s="171" t="s">
        <v>702</v>
      </c>
      <c r="L328" s="171"/>
      <c r="M328" s="171"/>
      <c r="P328" s="236"/>
    </row>
    <row r="329" spans="11:16" ht="18" customHeight="1">
      <c r="K329" s="171" t="s">
        <v>702</v>
      </c>
      <c r="L329" s="171"/>
      <c r="M329" s="171"/>
      <c r="P329" s="236"/>
    </row>
    <row r="330" spans="11:16" ht="18" customHeight="1">
      <c r="K330" s="171" t="s">
        <v>702</v>
      </c>
      <c r="L330" s="171"/>
      <c r="M330" s="171"/>
      <c r="P330" s="236"/>
    </row>
    <row r="331" spans="11:16" ht="18" customHeight="1">
      <c r="K331" s="171" t="s">
        <v>702</v>
      </c>
      <c r="L331" s="171"/>
      <c r="M331" s="171"/>
      <c r="P331" s="236"/>
    </row>
    <row r="332" spans="11:16" ht="18" customHeight="1">
      <c r="K332" s="171" t="s">
        <v>702</v>
      </c>
      <c r="L332" s="171"/>
      <c r="M332" s="171"/>
      <c r="P332" s="236"/>
    </row>
    <row r="333" spans="11:16" ht="18" customHeight="1">
      <c r="K333" s="171" t="s">
        <v>702</v>
      </c>
      <c r="L333" s="171"/>
      <c r="M333" s="171"/>
      <c r="P333" s="236"/>
    </row>
    <row r="334" spans="11:16" ht="18" customHeight="1">
      <c r="K334" s="171" t="s">
        <v>702</v>
      </c>
      <c r="L334" s="171"/>
      <c r="M334" s="171"/>
      <c r="P334" s="236"/>
    </row>
    <row r="335" spans="11:16" ht="18" customHeight="1">
      <c r="K335" s="171" t="s">
        <v>702</v>
      </c>
      <c r="L335" s="171"/>
      <c r="M335" s="171"/>
      <c r="P335" s="236"/>
    </row>
    <row r="336" spans="11:16" ht="18" customHeight="1">
      <c r="K336" s="171" t="s">
        <v>702</v>
      </c>
      <c r="L336" s="171"/>
      <c r="M336" s="171"/>
      <c r="P336" s="236"/>
    </row>
    <row r="337" spans="11:16" ht="18" customHeight="1">
      <c r="K337" s="171" t="s">
        <v>702</v>
      </c>
      <c r="L337" s="171"/>
      <c r="M337" s="171"/>
      <c r="P337" s="236"/>
    </row>
    <row r="338" spans="11:16" ht="18" customHeight="1">
      <c r="K338" s="171" t="s">
        <v>702</v>
      </c>
      <c r="L338" s="171"/>
      <c r="M338" s="171"/>
      <c r="P338" s="236"/>
    </row>
    <row r="339" spans="11:16" ht="18" customHeight="1">
      <c r="K339" s="171" t="s">
        <v>702</v>
      </c>
      <c r="L339" s="171"/>
      <c r="M339" s="171"/>
      <c r="P339" s="236"/>
    </row>
    <row r="340" spans="11:16" ht="18" customHeight="1">
      <c r="K340" s="171" t="s">
        <v>702</v>
      </c>
      <c r="L340" s="171"/>
      <c r="M340" s="171"/>
      <c r="P340" s="236"/>
    </row>
    <row r="341" spans="11:16" ht="18" customHeight="1">
      <c r="K341" s="171" t="s">
        <v>702</v>
      </c>
      <c r="L341" s="171"/>
      <c r="M341" s="171"/>
      <c r="P341" s="236"/>
    </row>
    <row r="342" spans="11:16" ht="18" customHeight="1">
      <c r="K342" s="171" t="s">
        <v>702</v>
      </c>
      <c r="L342" s="171"/>
      <c r="M342" s="171"/>
      <c r="P342" s="236"/>
    </row>
    <row r="343" spans="11:16" ht="18" customHeight="1">
      <c r="K343" s="171" t="s">
        <v>702</v>
      </c>
      <c r="L343" s="171"/>
      <c r="M343" s="171"/>
      <c r="P343" s="236"/>
    </row>
    <row r="344" spans="11:16" ht="18" customHeight="1">
      <c r="K344" s="171" t="s">
        <v>702</v>
      </c>
      <c r="L344" s="171"/>
      <c r="M344" s="171"/>
      <c r="P344" s="236"/>
    </row>
    <row r="345" spans="11:16" ht="18" customHeight="1">
      <c r="K345" s="171" t="s">
        <v>702</v>
      </c>
      <c r="L345" s="171"/>
      <c r="M345" s="171"/>
      <c r="P345" s="236"/>
    </row>
    <row r="346" spans="11:16" ht="18" customHeight="1">
      <c r="K346" s="171" t="s">
        <v>702</v>
      </c>
      <c r="L346" s="171"/>
      <c r="M346" s="171"/>
      <c r="P346" s="236"/>
    </row>
    <row r="347" spans="11:16" ht="18" customHeight="1">
      <c r="K347" s="171" t="s">
        <v>702</v>
      </c>
      <c r="L347" s="171"/>
      <c r="M347" s="171"/>
      <c r="P347" s="236"/>
    </row>
    <row r="348" spans="11:16" ht="18" customHeight="1">
      <c r="K348" s="171" t="s">
        <v>702</v>
      </c>
      <c r="L348" s="171"/>
      <c r="M348" s="171"/>
      <c r="P348" s="236"/>
    </row>
    <row r="349" spans="11:16" ht="18" customHeight="1">
      <c r="K349" s="171" t="s">
        <v>702</v>
      </c>
      <c r="L349" s="171"/>
      <c r="M349" s="171"/>
      <c r="P349" s="236"/>
    </row>
    <row r="350" spans="11:16" ht="18" customHeight="1">
      <c r="K350" s="171" t="s">
        <v>702</v>
      </c>
      <c r="L350" s="171"/>
      <c r="M350" s="171"/>
      <c r="P350" s="236"/>
    </row>
    <row r="351" spans="11:16" ht="18" customHeight="1">
      <c r="K351" s="171" t="s">
        <v>702</v>
      </c>
      <c r="L351" s="171"/>
      <c r="M351" s="171"/>
      <c r="P351" s="236"/>
    </row>
    <row r="352" spans="11:16" ht="18" customHeight="1">
      <c r="K352" s="171" t="s">
        <v>702</v>
      </c>
      <c r="L352" s="171"/>
      <c r="M352" s="171"/>
      <c r="P352" s="236"/>
    </row>
    <row r="353" spans="11:16" ht="18" customHeight="1">
      <c r="K353" s="171" t="s">
        <v>702</v>
      </c>
      <c r="L353" s="171"/>
      <c r="M353" s="171"/>
      <c r="P353" s="236"/>
    </row>
    <row r="354" spans="11:16" ht="18" customHeight="1">
      <c r="K354" s="171" t="s">
        <v>702</v>
      </c>
      <c r="L354" s="171"/>
      <c r="M354" s="171"/>
      <c r="P354" s="236"/>
    </row>
    <row r="355" spans="11:16" ht="18" customHeight="1">
      <c r="K355" s="171" t="s">
        <v>702</v>
      </c>
      <c r="L355" s="171"/>
      <c r="M355" s="171"/>
      <c r="P355" s="236"/>
    </row>
    <row r="356" spans="11:16" ht="18" customHeight="1">
      <c r="K356" s="171" t="s">
        <v>702</v>
      </c>
      <c r="L356" s="171"/>
      <c r="M356" s="171"/>
      <c r="P356" s="236"/>
    </row>
    <row r="357" spans="11:16" ht="18" customHeight="1">
      <c r="K357" s="171" t="s">
        <v>702</v>
      </c>
      <c r="L357" s="171"/>
      <c r="M357" s="171"/>
      <c r="P357" s="236"/>
    </row>
    <row r="358" spans="11:16" ht="18" customHeight="1">
      <c r="K358" s="171" t="s">
        <v>702</v>
      </c>
      <c r="L358" s="171"/>
      <c r="M358" s="171"/>
      <c r="P358" s="236"/>
    </row>
    <row r="359" spans="11:16" ht="18" customHeight="1">
      <c r="K359" s="171" t="s">
        <v>702</v>
      </c>
      <c r="L359" s="171"/>
      <c r="M359" s="171"/>
      <c r="P359" s="236"/>
    </row>
    <row r="360" spans="11:16" ht="18" customHeight="1">
      <c r="K360" s="171" t="s">
        <v>702</v>
      </c>
      <c r="L360" s="171"/>
      <c r="M360" s="171"/>
      <c r="P360" s="236"/>
    </row>
    <row r="361" spans="11:16" ht="18" customHeight="1">
      <c r="K361" s="171" t="s">
        <v>702</v>
      </c>
      <c r="L361" s="171"/>
      <c r="M361" s="171"/>
      <c r="P361" s="236"/>
    </row>
    <row r="362" spans="11:16" ht="18" customHeight="1">
      <c r="K362" s="171" t="s">
        <v>702</v>
      </c>
      <c r="L362" s="171"/>
      <c r="M362" s="171"/>
      <c r="P362" s="236"/>
    </row>
    <row r="363" spans="11:16" ht="18" customHeight="1">
      <c r="K363" s="171" t="s">
        <v>702</v>
      </c>
      <c r="L363" s="171"/>
      <c r="M363" s="171"/>
      <c r="P363" s="236"/>
    </row>
    <row r="364" spans="11:16" ht="18" customHeight="1">
      <c r="K364" s="171" t="s">
        <v>702</v>
      </c>
      <c r="L364" s="171"/>
      <c r="M364" s="171"/>
      <c r="P364" s="236"/>
    </row>
    <row r="365" spans="11:16" ht="18" customHeight="1">
      <c r="K365" s="171" t="s">
        <v>702</v>
      </c>
      <c r="L365" s="171"/>
      <c r="M365" s="171"/>
      <c r="P365" s="236"/>
    </row>
    <row r="366" spans="11:16" ht="18" customHeight="1">
      <c r="K366" s="171" t="s">
        <v>702</v>
      </c>
      <c r="L366" s="171"/>
      <c r="M366" s="171"/>
      <c r="P366" s="236"/>
    </row>
    <row r="367" spans="11:16" ht="18" customHeight="1">
      <c r="K367" s="171" t="s">
        <v>702</v>
      </c>
      <c r="L367" s="171"/>
      <c r="M367" s="171"/>
      <c r="P367" s="236"/>
    </row>
    <row r="368" spans="11:16" ht="18" customHeight="1">
      <c r="K368" s="171" t="s">
        <v>702</v>
      </c>
      <c r="L368" s="171"/>
      <c r="M368" s="171"/>
      <c r="P368" s="236"/>
    </row>
    <row r="369" spans="11:16" ht="18" customHeight="1">
      <c r="K369" s="171" t="s">
        <v>702</v>
      </c>
      <c r="L369" s="171"/>
      <c r="M369" s="171"/>
      <c r="P369" s="236"/>
    </row>
    <row r="370" spans="11:16" ht="18" customHeight="1">
      <c r="K370" s="171" t="s">
        <v>702</v>
      </c>
      <c r="L370" s="171"/>
      <c r="M370" s="171"/>
      <c r="P370" s="236"/>
    </row>
    <row r="371" spans="11:16" ht="18" customHeight="1">
      <c r="K371" s="171" t="s">
        <v>702</v>
      </c>
      <c r="L371" s="171"/>
      <c r="M371" s="171"/>
      <c r="P371" s="236"/>
    </row>
    <row r="372" spans="11:16" ht="18" customHeight="1">
      <c r="K372" s="171" t="s">
        <v>702</v>
      </c>
      <c r="L372" s="171"/>
      <c r="M372" s="171"/>
      <c r="P372" s="236"/>
    </row>
    <row r="373" spans="11:16" ht="18" customHeight="1">
      <c r="K373" s="171" t="s">
        <v>702</v>
      </c>
      <c r="L373" s="171"/>
      <c r="M373" s="171"/>
      <c r="P373" s="236"/>
    </row>
    <row r="374" spans="11:16" ht="18" customHeight="1">
      <c r="K374" s="171" t="s">
        <v>702</v>
      </c>
      <c r="L374" s="171"/>
      <c r="M374" s="171"/>
      <c r="P374" s="236"/>
    </row>
    <row r="375" spans="11:16" ht="18" customHeight="1">
      <c r="K375" s="171" t="s">
        <v>702</v>
      </c>
      <c r="L375" s="171"/>
      <c r="M375" s="171"/>
      <c r="P375" s="236"/>
    </row>
    <row r="376" spans="11:16" ht="18" customHeight="1">
      <c r="K376" s="171" t="s">
        <v>702</v>
      </c>
      <c r="L376" s="171"/>
      <c r="M376" s="171"/>
      <c r="P376" s="236"/>
    </row>
    <row r="377" spans="11:16" ht="18" customHeight="1">
      <c r="K377" s="171" t="s">
        <v>702</v>
      </c>
      <c r="L377" s="171"/>
      <c r="M377" s="171"/>
      <c r="P377" s="236"/>
    </row>
    <row r="378" spans="11:16" ht="18" customHeight="1">
      <c r="K378" s="171" t="s">
        <v>702</v>
      </c>
      <c r="L378" s="171"/>
      <c r="M378" s="171"/>
      <c r="P378" s="236"/>
    </row>
    <row r="379" spans="11:16" ht="18" customHeight="1">
      <c r="K379" s="171" t="s">
        <v>702</v>
      </c>
      <c r="L379" s="171"/>
      <c r="M379" s="171"/>
      <c r="P379" s="236"/>
    </row>
    <row r="380" spans="11:16" ht="18" customHeight="1">
      <c r="K380" s="171" t="s">
        <v>702</v>
      </c>
      <c r="L380" s="171"/>
      <c r="M380" s="171"/>
      <c r="P380" s="236"/>
    </row>
    <row r="381" spans="11:16" ht="18" customHeight="1">
      <c r="K381" s="171" t="s">
        <v>702</v>
      </c>
      <c r="L381" s="171"/>
      <c r="M381" s="171"/>
      <c r="P381" s="236"/>
    </row>
    <row r="382" spans="11:16" ht="18" customHeight="1">
      <c r="K382" s="171" t="s">
        <v>702</v>
      </c>
      <c r="L382" s="171"/>
      <c r="M382" s="171"/>
      <c r="P382" s="236"/>
    </row>
    <row r="383" spans="11:16" ht="18" customHeight="1">
      <c r="K383" s="171" t="s">
        <v>702</v>
      </c>
      <c r="L383" s="171"/>
      <c r="M383" s="171"/>
      <c r="P383" s="236"/>
    </row>
    <row r="384" spans="11:16" ht="18" customHeight="1">
      <c r="K384" s="171" t="s">
        <v>702</v>
      </c>
      <c r="L384" s="171"/>
      <c r="M384" s="171"/>
      <c r="P384" s="236"/>
    </row>
    <row r="385" spans="11:16" ht="18" customHeight="1">
      <c r="K385" s="171" t="s">
        <v>702</v>
      </c>
      <c r="L385" s="171"/>
      <c r="M385" s="171"/>
      <c r="P385" s="236"/>
    </row>
    <row r="386" spans="11:16" ht="18" customHeight="1">
      <c r="K386" s="171" t="s">
        <v>702</v>
      </c>
      <c r="L386" s="171"/>
      <c r="M386" s="171"/>
      <c r="P386" s="236"/>
    </row>
    <row r="387" spans="11:16" ht="18" customHeight="1">
      <c r="K387" s="171" t="s">
        <v>702</v>
      </c>
      <c r="L387" s="171"/>
      <c r="M387" s="171"/>
      <c r="P387" s="236"/>
    </row>
    <row r="388" spans="11:16" ht="18" customHeight="1">
      <c r="K388" s="171" t="s">
        <v>702</v>
      </c>
      <c r="L388" s="171"/>
      <c r="M388" s="171"/>
      <c r="P388" s="236"/>
    </row>
    <row r="389" spans="11:16" ht="18" customHeight="1">
      <c r="K389" s="171" t="s">
        <v>702</v>
      </c>
      <c r="L389" s="171"/>
      <c r="M389" s="171"/>
      <c r="P389" s="236"/>
    </row>
    <row r="390" spans="11:16" ht="18" customHeight="1">
      <c r="K390" s="171" t="s">
        <v>702</v>
      </c>
      <c r="L390" s="171"/>
      <c r="M390" s="171"/>
      <c r="P390" s="236"/>
    </row>
    <row r="391" spans="11:16" ht="18" customHeight="1">
      <c r="K391" s="171" t="s">
        <v>702</v>
      </c>
      <c r="L391" s="171"/>
      <c r="M391" s="171"/>
      <c r="P391" s="236"/>
    </row>
    <row r="392" spans="11:16" ht="18" customHeight="1">
      <c r="K392" s="171" t="s">
        <v>702</v>
      </c>
      <c r="L392" s="171"/>
      <c r="M392" s="171"/>
      <c r="P392" s="236"/>
    </row>
    <row r="393" spans="11:16" ht="18" customHeight="1">
      <c r="K393" s="171" t="s">
        <v>702</v>
      </c>
      <c r="L393" s="171"/>
      <c r="M393" s="171"/>
      <c r="P393" s="236"/>
    </row>
    <row r="394" spans="11:16" ht="18" customHeight="1">
      <c r="K394" s="171" t="s">
        <v>702</v>
      </c>
      <c r="L394" s="171"/>
      <c r="M394" s="171"/>
      <c r="P394" s="236"/>
    </row>
    <row r="395" spans="11:16" ht="18" customHeight="1">
      <c r="K395" s="171" t="s">
        <v>702</v>
      </c>
      <c r="L395" s="171"/>
      <c r="M395" s="171"/>
      <c r="P395" s="236"/>
    </row>
    <row r="396" spans="11:16" ht="18" customHeight="1">
      <c r="K396" s="171" t="s">
        <v>702</v>
      </c>
      <c r="L396" s="171"/>
      <c r="M396" s="171"/>
      <c r="P396" s="236"/>
    </row>
    <row r="397" spans="11:16" ht="18" customHeight="1">
      <c r="K397" s="171" t="s">
        <v>702</v>
      </c>
      <c r="L397" s="171"/>
      <c r="M397" s="171"/>
      <c r="P397" s="236"/>
    </row>
    <row r="398" spans="11:16" ht="18" customHeight="1">
      <c r="K398" s="171" t="s">
        <v>702</v>
      </c>
      <c r="L398" s="171"/>
      <c r="M398" s="171"/>
      <c r="P398" s="236"/>
    </row>
    <row r="399" spans="11:16" ht="18" customHeight="1">
      <c r="K399" s="171" t="s">
        <v>702</v>
      </c>
      <c r="L399" s="171"/>
      <c r="M399" s="171"/>
      <c r="P399" s="236"/>
    </row>
    <row r="400" spans="11:16" ht="18" customHeight="1">
      <c r="K400" s="171" t="s">
        <v>702</v>
      </c>
      <c r="L400" s="171"/>
      <c r="M400" s="171"/>
      <c r="P400" s="236"/>
    </row>
    <row r="401" spans="11:16" ht="18" customHeight="1">
      <c r="K401" s="171" t="s">
        <v>702</v>
      </c>
      <c r="L401" s="171"/>
      <c r="M401" s="171"/>
      <c r="P401" s="236"/>
    </row>
    <row r="402" spans="11:16" ht="18" customHeight="1">
      <c r="K402" s="171" t="s">
        <v>702</v>
      </c>
      <c r="L402" s="171"/>
      <c r="M402" s="171"/>
      <c r="P402" s="236"/>
    </row>
    <row r="403" spans="11:16" ht="18" customHeight="1">
      <c r="K403" s="171" t="s">
        <v>702</v>
      </c>
      <c r="L403" s="171"/>
      <c r="M403" s="171"/>
      <c r="P403" s="236"/>
    </row>
    <row r="404" spans="11:16" ht="18" customHeight="1">
      <c r="K404" s="171" t="s">
        <v>702</v>
      </c>
      <c r="L404" s="171"/>
      <c r="M404" s="171"/>
      <c r="P404" s="236"/>
    </row>
    <row r="405" spans="11:16" ht="18" customHeight="1">
      <c r="K405" s="171" t="s">
        <v>702</v>
      </c>
      <c r="L405" s="171"/>
      <c r="M405" s="171"/>
      <c r="P405" s="236"/>
    </row>
    <row r="406" spans="11:16" ht="18" customHeight="1">
      <c r="K406" s="171" t="s">
        <v>702</v>
      </c>
      <c r="L406" s="171"/>
      <c r="M406" s="171"/>
      <c r="P406" s="236"/>
    </row>
    <row r="407" spans="11:16" ht="18" customHeight="1">
      <c r="K407" s="171" t="s">
        <v>702</v>
      </c>
      <c r="L407" s="171"/>
      <c r="M407" s="171"/>
      <c r="P407" s="236"/>
    </row>
    <row r="408" spans="11:16" ht="18" customHeight="1">
      <c r="K408" s="171" t="s">
        <v>702</v>
      </c>
      <c r="L408" s="171"/>
      <c r="M408" s="171"/>
      <c r="P408" s="236"/>
    </row>
    <row r="409" spans="11:16" ht="18" customHeight="1">
      <c r="K409" s="171" t="s">
        <v>702</v>
      </c>
      <c r="L409" s="171"/>
      <c r="M409" s="171"/>
      <c r="P409" s="236"/>
    </row>
    <row r="410" spans="11:16" ht="18" customHeight="1">
      <c r="K410" s="171" t="s">
        <v>702</v>
      </c>
      <c r="L410" s="171"/>
      <c r="M410" s="171"/>
      <c r="P410" s="236"/>
    </row>
    <row r="411" spans="11:16" ht="18" customHeight="1">
      <c r="K411" s="171" t="s">
        <v>702</v>
      </c>
      <c r="L411" s="171"/>
      <c r="M411" s="171"/>
      <c r="P411" s="236"/>
    </row>
    <row r="412" spans="11:16" ht="18" customHeight="1">
      <c r="K412" s="171" t="s">
        <v>702</v>
      </c>
      <c r="L412" s="171"/>
      <c r="M412" s="171"/>
      <c r="P412" s="236"/>
    </row>
    <row r="413" spans="11:16" ht="18" customHeight="1">
      <c r="K413" s="171" t="s">
        <v>702</v>
      </c>
      <c r="L413" s="171"/>
      <c r="M413" s="171"/>
      <c r="P413" s="236"/>
    </row>
    <row r="414" spans="11:16" ht="18" customHeight="1">
      <c r="K414" s="171" t="s">
        <v>702</v>
      </c>
      <c r="L414" s="171"/>
      <c r="M414" s="171"/>
      <c r="P414" s="236"/>
    </row>
    <row r="415" spans="11:16" ht="18" customHeight="1">
      <c r="K415" s="171" t="s">
        <v>702</v>
      </c>
      <c r="L415" s="171"/>
      <c r="M415" s="171"/>
      <c r="P415" s="236"/>
    </row>
    <row r="416" spans="11:16" ht="18" customHeight="1">
      <c r="K416" s="171" t="s">
        <v>702</v>
      </c>
      <c r="L416" s="171"/>
      <c r="M416" s="171"/>
      <c r="P416" s="236"/>
    </row>
    <row r="417" spans="11:16" ht="18" customHeight="1">
      <c r="K417" s="171" t="s">
        <v>702</v>
      </c>
      <c r="L417" s="171"/>
      <c r="M417" s="171"/>
      <c r="P417" s="236"/>
    </row>
    <row r="418" spans="11:16" ht="18" customHeight="1">
      <c r="K418" s="171" t="s">
        <v>702</v>
      </c>
      <c r="L418" s="171"/>
      <c r="M418" s="171"/>
      <c r="P418" s="236"/>
    </row>
    <row r="419" spans="11:16" ht="18" customHeight="1">
      <c r="K419" s="171" t="s">
        <v>702</v>
      </c>
      <c r="L419" s="171"/>
      <c r="M419" s="171"/>
      <c r="P419" s="236"/>
    </row>
    <row r="420" spans="11:16" ht="18" customHeight="1">
      <c r="K420" s="171" t="s">
        <v>702</v>
      </c>
      <c r="L420" s="171"/>
      <c r="M420" s="171"/>
      <c r="P420" s="236"/>
    </row>
    <row r="421" spans="11:16" ht="18" customHeight="1">
      <c r="K421" s="171" t="s">
        <v>702</v>
      </c>
      <c r="L421" s="171"/>
      <c r="M421" s="171"/>
      <c r="P421" s="236"/>
    </row>
    <row r="422" spans="11:16" ht="18" customHeight="1">
      <c r="K422" s="171" t="s">
        <v>702</v>
      </c>
      <c r="L422" s="171"/>
      <c r="M422" s="171"/>
      <c r="P422" s="236"/>
    </row>
    <row r="423" spans="11:16" ht="18" customHeight="1">
      <c r="K423" s="171" t="s">
        <v>702</v>
      </c>
      <c r="L423" s="171"/>
      <c r="M423" s="171"/>
      <c r="P423" s="236"/>
    </row>
    <row r="424" spans="11:16" ht="18" customHeight="1">
      <c r="K424" s="171" t="s">
        <v>702</v>
      </c>
      <c r="L424" s="171"/>
      <c r="M424" s="171"/>
      <c r="P424" s="236"/>
    </row>
    <row r="425" spans="11:16" ht="18" customHeight="1">
      <c r="K425" s="171" t="s">
        <v>702</v>
      </c>
      <c r="L425" s="171"/>
      <c r="M425" s="171"/>
      <c r="P425" s="236"/>
    </row>
    <row r="426" spans="11:16" ht="18" customHeight="1">
      <c r="K426" s="171" t="s">
        <v>702</v>
      </c>
      <c r="L426" s="171"/>
      <c r="M426" s="171"/>
      <c r="P426" s="236"/>
    </row>
    <row r="427" spans="11:16" ht="18" customHeight="1">
      <c r="K427" s="171" t="s">
        <v>702</v>
      </c>
      <c r="L427" s="171"/>
      <c r="M427" s="171"/>
      <c r="P427" s="236"/>
    </row>
    <row r="428" spans="11:16" ht="18" customHeight="1">
      <c r="K428" s="171" t="s">
        <v>702</v>
      </c>
      <c r="L428" s="171"/>
      <c r="M428" s="171"/>
      <c r="P428" s="236"/>
    </row>
    <row r="429" spans="11:16" ht="18" customHeight="1">
      <c r="K429" s="171" t="s">
        <v>702</v>
      </c>
      <c r="L429" s="171"/>
      <c r="M429" s="171"/>
      <c r="P429" s="236"/>
    </row>
    <row r="430" spans="11:16" ht="18" customHeight="1">
      <c r="K430" s="171" t="s">
        <v>702</v>
      </c>
      <c r="L430" s="171"/>
      <c r="M430" s="171"/>
      <c r="P430" s="236"/>
    </row>
    <row r="431" spans="11:16" ht="18" customHeight="1">
      <c r="K431" s="171" t="s">
        <v>702</v>
      </c>
      <c r="L431" s="171"/>
      <c r="M431" s="171"/>
      <c r="P431" s="236"/>
    </row>
    <row r="432" spans="11:16" ht="18" customHeight="1">
      <c r="K432" s="171" t="s">
        <v>702</v>
      </c>
      <c r="L432" s="171"/>
      <c r="M432" s="171"/>
      <c r="P432" s="236"/>
    </row>
    <row r="433" spans="11:16" ht="18" customHeight="1">
      <c r="K433" s="171" t="s">
        <v>702</v>
      </c>
      <c r="L433" s="171"/>
      <c r="M433" s="171"/>
      <c r="P433" s="236"/>
    </row>
    <row r="434" spans="11:16" ht="18" customHeight="1">
      <c r="K434" s="171" t="s">
        <v>702</v>
      </c>
      <c r="L434" s="171"/>
      <c r="M434" s="171"/>
      <c r="P434" s="236"/>
    </row>
    <row r="435" spans="11:16" ht="18" customHeight="1">
      <c r="K435" s="171" t="s">
        <v>702</v>
      </c>
      <c r="L435" s="171"/>
      <c r="M435" s="171"/>
      <c r="P435" s="236"/>
    </row>
    <row r="436" spans="11:16" ht="18" customHeight="1">
      <c r="K436" s="171" t="s">
        <v>702</v>
      </c>
      <c r="L436" s="171"/>
      <c r="M436" s="171"/>
      <c r="P436" s="236"/>
    </row>
    <row r="437" spans="11:16" ht="18" customHeight="1">
      <c r="K437" s="171" t="s">
        <v>702</v>
      </c>
      <c r="L437" s="171"/>
      <c r="M437" s="171"/>
      <c r="P437" s="236"/>
    </row>
    <row r="438" spans="11:16" ht="18" customHeight="1">
      <c r="K438" s="171" t="s">
        <v>702</v>
      </c>
      <c r="L438" s="171"/>
      <c r="M438" s="171"/>
      <c r="P438" s="236"/>
    </row>
    <row r="439" spans="11:16" ht="18" customHeight="1">
      <c r="K439" s="171" t="s">
        <v>702</v>
      </c>
      <c r="L439" s="171"/>
      <c r="M439" s="171"/>
      <c r="P439" s="236"/>
    </row>
    <row r="440" spans="11:16" ht="18" customHeight="1">
      <c r="K440" s="171" t="s">
        <v>702</v>
      </c>
      <c r="L440" s="171"/>
      <c r="M440" s="171"/>
      <c r="P440" s="236"/>
    </row>
    <row r="441" spans="11:16" ht="18" customHeight="1">
      <c r="K441" s="171" t="s">
        <v>702</v>
      </c>
      <c r="L441" s="171"/>
      <c r="M441" s="171"/>
      <c r="P441" s="236"/>
    </row>
    <row r="442" spans="11:16" ht="18" customHeight="1">
      <c r="K442" s="171" t="s">
        <v>702</v>
      </c>
      <c r="L442" s="171"/>
      <c r="M442" s="171"/>
      <c r="P442" s="236"/>
    </row>
    <row r="443" spans="11:16" ht="18" customHeight="1">
      <c r="K443" s="171" t="s">
        <v>702</v>
      </c>
      <c r="L443" s="171"/>
      <c r="M443" s="171"/>
      <c r="P443" s="236"/>
    </row>
    <row r="444" spans="11:16" ht="18" customHeight="1">
      <c r="K444" s="171" t="s">
        <v>702</v>
      </c>
      <c r="L444" s="171"/>
      <c r="M444" s="171"/>
      <c r="P444" s="236"/>
    </row>
    <row r="445" spans="11:16" ht="18" customHeight="1">
      <c r="K445" s="171" t="s">
        <v>702</v>
      </c>
      <c r="L445" s="171"/>
      <c r="M445" s="171"/>
      <c r="P445" s="236"/>
    </row>
    <row r="446" spans="11:16" ht="18" customHeight="1">
      <c r="K446" s="171" t="s">
        <v>702</v>
      </c>
      <c r="L446" s="171"/>
      <c r="M446" s="171"/>
      <c r="P446" s="236"/>
    </row>
    <row r="447" spans="11:16" ht="18" customHeight="1">
      <c r="K447" s="171" t="s">
        <v>702</v>
      </c>
      <c r="L447" s="171"/>
      <c r="M447" s="171"/>
      <c r="P447" s="236"/>
    </row>
    <row r="448" spans="11:16" ht="18" customHeight="1">
      <c r="K448" s="171" t="s">
        <v>702</v>
      </c>
      <c r="L448" s="171"/>
      <c r="M448" s="171"/>
      <c r="P448" s="236"/>
    </row>
    <row r="449" spans="11:16" ht="18" customHeight="1">
      <c r="K449" s="171" t="s">
        <v>702</v>
      </c>
      <c r="L449" s="171"/>
      <c r="M449" s="171"/>
      <c r="P449" s="236"/>
    </row>
    <row r="450" spans="11:16" ht="18" customHeight="1">
      <c r="K450" s="171" t="s">
        <v>702</v>
      </c>
      <c r="L450" s="171"/>
      <c r="M450" s="171"/>
      <c r="P450" s="236"/>
    </row>
    <row r="451" spans="11:16" ht="18" customHeight="1">
      <c r="K451" s="171" t="s">
        <v>702</v>
      </c>
      <c r="L451" s="171"/>
      <c r="M451" s="171"/>
      <c r="P451" s="236"/>
    </row>
    <row r="452" spans="11:16" ht="18" customHeight="1">
      <c r="K452" s="171" t="s">
        <v>702</v>
      </c>
      <c r="L452" s="171"/>
      <c r="M452" s="171"/>
      <c r="P452" s="236"/>
    </row>
    <row r="453" spans="11:16" ht="18" customHeight="1">
      <c r="K453" s="171" t="s">
        <v>702</v>
      </c>
      <c r="L453" s="171"/>
      <c r="M453" s="171"/>
      <c r="P453" s="236"/>
    </row>
    <row r="454" spans="11:16" ht="18" customHeight="1">
      <c r="K454" s="171" t="s">
        <v>702</v>
      </c>
      <c r="L454" s="171"/>
      <c r="M454" s="171"/>
      <c r="P454" s="236"/>
    </row>
    <row r="455" spans="11:16" ht="18" customHeight="1">
      <c r="K455" s="171" t="s">
        <v>702</v>
      </c>
      <c r="L455" s="171"/>
      <c r="M455" s="171"/>
      <c r="P455" s="236"/>
    </row>
    <row r="456" spans="11:16" ht="18" customHeight="1">
      <c r="K456" s="171" t="s">
        <v>702</v>
      </c>
      <c r="L456" s="171"/>
      <c r="M456" s="171"/>
      <c r="P456" s="236"/>
    </row>
    <row r="457" spans="11:16" ht="18" customHeight="1">
      <c r="K457" s="171" t="s">
        <v>702</v>
      </c>
      <c r="L457" s="171"/>
      <c r="M457" s="171"/>
      <c r="P457" s="236"/>
    </row>
    <row r="458" spans="11:16" ht="18" customHeight="1">
      <c r="K458" s="171" t="s">
        <v>702</v>
      </c>
      <c r="L458" s="171"/>
      <c r="M458" s="171"/>
      <c r="P458" s="236"/>
    </row>
    <row r="459" spans="11:16" ht="18" customHeight="1">
      <c r="K459" s="171" t="s">
        <v>702</v>
      </c>
      <c r="L459" s="171"/>
      <c r="M459" s="171"/>
      <c r="P459" s="236"/>
    </row>
    <row r="460" spans="11:16" ht="18" customHeight="1">
      <c r="K460" s="171" t="s">
        <v>702</v>
      </c>
      <c r="L460" s="171"/>
      <c r="M460" s="171"/>
      <c r="P460" s="236"/>
    </row>
    <row r="461" spans="11:16" ht="18" customHeight="1">
      <c r="K461" s="171" t="s">
        <v>702</v>
      </c>
      <c r="L461" s="171"/>
      <c r="M461" s="171"/>
      <c r="P461" s="236"/>
    </row>
    <row r="462" spans="11:16" ht="18" customHeight="1">
      <c r="K462" s="171" t="s">
        <v>702</v>
      </c>
      <c r="L462" s="171"/>
      <c r="M462" s="171"/>
      <c r="P462" s="236"/>
    </row>
    <row r="463" spans="11:16" ht="18" customHeight="1">
      <c r="K463" s="171" t="s">
        <v>702</v>
      </c>
      <c r="L463" s="171"/>
      <c r="M463" s="171"/>
      <c r="P463" s="236"/>
    </row>
    <row r="464" spans="11:16" ht="18" customHeight="1">
      <c r="K464" s="171" t="s">
        <v>702</v>
      </c>
      <c r="L464" s="171"/>
      <c r="M464" s="171"/>
      <c r="P464" s="236"/>
    </row>
    <row r="465" spans="11:16" ht="18" customHeight="1">
      <c r="K465" s="171" t="s">
        <v>702</v>
      </c>
      <c r="L465" s="171"/>
      <c r="M465" s="171"/>
      <c r="P465" s="236"/>
    </row>
    <row r="466" spans="11:16" ht="18" customHeight="1">
      <c r="K466" s="171" t="s">
        <v>702</v>
      </c>
      <c r="L466" s="171"/>
      <c r="M466" s="171"/>
      <c r="P466" s="236"/>
    </row>
    <row r="467" spans="11:16" ht="18" customHeight="1">
      <c r="K467" s="171" t="s">
        <v>702</v>
      </c>
      <c r="L467" s="171"/>
      <c r="M467" s="171"/>
      <c r="P467" s="236"/>
    </row>
    <row r="468" spans="11:16" ht="18" customHeight="1">
      <c r="K468" s="171" t="s">
        <v>702</v>
      </c>
      <c r="L468" s="171"/>
      <c r="M468" s="171"/>
      <c r="P468" s="236"/>
    </row>
    <row r="469" spans="11:16" ht="18" customHeight="1">
      <c r="K469" s="171" t="s">
        <v>702</v>
      </c>
      <c r="L469" s="171"/>
      <c r="M469" s="171"/>
      <c r="P469" s="236"/>
    </row>
    <row r="470" spans="11:16" ht="18" customHeight="1">
      <c r="K470" s="171" t="s">
        <v>702</v>
      </c>
      <c r="L470" s="171"/>
      <c r="M470" s="171"/>
      <c r="P470" s="236"/>
    </row>
    <row r="471" spans="11:16" ht="18" customHeight="1">
      <c r="K471" s="171" t="s">
        <v>702</v>
      </c>
      <c r="L471" s="171"/>
      <c r="M471" s="171"/>
      <c r="P471" s="236"/>
    </row>
    <row r="472" spans="11:16" ht="18" customHeight="1">
      <c r="K472" s="171" t="s">
        <v>702</v>
      </c>
      <c r="L472" s="171"/>
      <c r="M472" s="171"/>
      <c r="P472" s="236"/>
    </row>
    <row r="473" spans="11:16" ht="18" customHeight="1">
      <c r="K473" s="171" t="s">
        <v>702</v>
      </c>
      <c r="L473" s="171"/>
      <c r="M473" s="171"/>
      <c r="P473" s="236"/>
    </row>
    <row r="474" spans="11:16" ht="18" customHeight="1">
      <c r="K474" s="171" t="s">
        <v>702</v>
      </c>
      <c r="L474" s="171"/>
      <c r="M474" s="171"/>
      <c r="P474" s="236"/>
    </row>
    <row r="475" spans="11:16" ht="18" customHeight="1">
      <c r="K475" s="171" t="s">
        <v>702</v>
      </c>
      <c r="L475" s="171"/>
      <c r="M475" s="171"/>
      <c r="P475" s="236"/>
    </row>
    <row r="476" spans="11:16" ht="18" customHeight="1">
      <c r="K476" s="171" t="s">
        <v>702</v>
      </c>
      <c r="L476" s="171"/>
      <c r="M476" s="171"/>
      <c r="P476" s="236"/>
    </row>
    <row r="477" spans="11:16" ht="18" customHeight="1">
      <c r="K477" s="171" t="s">
        <v>702</v>
      </c>
      <c r="L477" s="171"/>
      <c r="M477" s="171"/>
      <c r="P477" s="236"/>
    </row>
    <row r="478" spans="11:16" ht="18" customHeight="1">
      <c r="K478" s="171" t="s">
        <v>702</v>
      </c>
      <c r="L478" s="171"/>
      <c r="M478" s="171"/>
      <c r="P478" s="236"/>
    </row>
    <row r="479" spans="11:16" ht="18" customHeight="1">
      <c r="K479" s="171" t="s">
        <v>702</v>
      </c>
      <c r="L479" s="171"/>
      <c r="M479" s="171"/>
      <c r="P479" s="236"/>
    </row>
    <row r="480" spans="11:16" ht="18" customHeight="1">
      <c r="K480" s="171" t="s">
        <v>702</v>
      </c>
      <c r="L480" s="171"/>
      <c r="M480" s="171"/>
      <c r="P480" s="236"/>
    </row>
    <row r="481" spans="11:16" ht="18" customHeight="1">
      <c r="K481" s="171" t="s">
        <v>702</v>
      </c>
      <c r="L481" s="171"/>
      <c r="M481" s="171"/>
      <c r="P481" s="236"/>
    </row>
    <row r="482" spans="11:16" ht="18" customHeight="1">
      <c r="K482" s="171" t="s">
        <v>702</v>
      </c>
      <c r="L482" s="171"/>
      <c r="M482" s="171"/>
      <c r="P482" s="236"/>
    </row>
    <row r="483" spans="11:16" ht="18" customHeight="1">
      <c r="K483" s="171" t="s">
        <v>702</v>
      </c>
      <c r="L483" s="171"/>
      <c r="M483" s="171"/>
      <c r="P483" s="236"/>
    </row>
    <row r="484" spans="11:16" ht="18" customHeight="1">
      <c r="K484" s="171" t="s">
        <v>702</v>
      </c>
      <c r="L484" s="171"/>
      <c r="M484" s="171"/>
      <c r="P484" s="236"/>
    </row>
    <row r="485" spans="11:16" ht="18" customHeight="1">
      <c r="K485" s="171" t="s">
        <v>702</v>
      </c>
      <c r="L485" s="171"/>
      <c r="M485" s="171"/>
      <c r="P485" s="236"/>
    </row>
    <row r="486" spans="11:16" ht="18" customHeight="1">
      <c r="K486" s="171" t="s">
        <v>702</v>
      </c>
      <c r="L486" s="171"/>
      <c r="M486" s="171"/>
      <c r="P486" s="236"/>
    </row>
    <row r="487" spans="11:16" ht="18" customHeight="1">
      <c r="K487" s="171" t="s">
        <v>702</v>
      </c>
      <c r="L487" s="171"/>
      <c r="M487" s="171"/>
      <c r="P487" s="236"/>
    </row>
    <row r="488" spans="11:16" ht="18" customHeight="1">
      <c r="K488" s="171" t="s">
        <v>702</v>
      </c>
      <c r="L488" s="171"/>
      <c r="M488" s="171"/>
      <c r="P488" s="236"/>
    </row>
    <row r="489" spans="11:16" ht="18" customHeight="1">
      <c r="K489" s="171" t="s">
        <v>702</v>
      </c>
      <c r="L489" s="171"/>
      <c r="M489" s="171"/>
      <c r="P489" s="236"/>
    </row>
    <row r="490" spans="11:16" ht="18" customHeight="1">
      <c r="K490" s="171" t="s">
        <v>702</v>
      </c>
      <c r="L490" s="171"/>
      <c r="M490" s="171"/>
      <c r="P490" s="236"/>
    </row>
    <row r="491" spans="11:16" ht="18" customHeight="1">
      <c r="K491" s="171" t="s">
        <v>702</v>
      </c>
      <c r="L491" s="171"/>
      <c r="M491" s="171"/>
      <c r="P491" s="236"/>
    </row>
    <row r="492" spans="11:16" ht="18" customHeight="1">
      <c r="K492" s="171" t="s">
        <v>702</v>
      </c>
      <c r="L492" s="171"/>
      <c r="M492" s="171"/>
      <c r="P492" s="236"/>
    </row>
    <row r="493" spans="11:16" ht="18" customHeight="1">
      <c r="K493" s="171" t="s">
        <v>702</v>
      </c>
      <c r="L493" s="171"/>
      <c r="M493" s="171"/>
      <c r="P493" s="236"/>
    </row>
    <row r="494" spans="11:16" ht="18" customHeight="1">
      <c r="K494" s="171" t="s">
        <v>702</v>
      </c>
      <c r="L494" s="171"/>
      <c r="M494" s="171"/>
      <c r="P494" s="236"/>
    </row>
    <row r="495" spans="11:16" ht="18" customHeight="1">
      <c r="K495" s="171" t="s">
        <v>702</v>
      </c>
      <c r="L495" s="171"/>
      <c r="M495" s="171"/>
      <c r="P495" s="236"/>
    </row>
    <row r="496" spans="11:16" ht="18" customHeight="1">
      <c r="K496" s="171" t="s">
        <v>702</v>
      </c>
      <c r="L496" s="171"/>
      <c r="M496" s="171"/>
      <c r="P496" s="236"/>
    </row>
    <row r="497" spans="11:16" ht="18" customHeight="1">
      <c r="K497" s="171" t="s">
        <v>702</v>
      </c>
      <c r="L497" s="171"/>
      <c r="M497" s="171"/>
      <c r="P497" s="236"/>
    </row>
    <row r="498" spans="11:16" ht="18" customHeight="1">
      <c r="K498" s="171" t="s">
        <v>702</v>
      </c>
      <c r="L498" s="171"/>
      <c r="M498" s="171"/>
      <c r="P498" s="236"/>
    </row>
    <row r="499" spans="11:16" ht="18" customHeight="1">
      <c r="K499" s="171" t="s">
        <v>702</v>
      </c>
      <c r="L499" s="171"/>
      <c r="M499" s="171"/>
      <c r="P499" s="236"/>
    </row>
    <row r="500" spans="11:16" ht="18" customHeight="1">
      <c r="K500" s="171" t="s">
        <v>702</v>
      </c>
      <c r="L500" s="171"/>
      <c r="M500" s="171"/>
      <c r="P500" s="236"/>
    </row>
    <row r="501" spans="11:16" ht="18" customHeight="1">
      <c r="K501" s="171" t="s">
        <v>813</v>
      </c>
      <c r="L501" s="171"/>
      <c r="M501" s="171"/>
      <c r="P501" s="236"/>
    </row>
    <row r="502" spans="11:16" ht="18" customHeight="1">
      <c r="K502" s="171" t="s">
        <v>702</v>
      </c>
      <c r="L502" s="171"/>
      <c r="M502" s="171"/>
      <c r="P502" s="236"/>
    </row>
    <row r="503" spans="11:16" ht="18" customHeight="1">
      <c r="K503" s="171" t="s">
        <v>702</v>
      </c>
      <c r="L503" s="171"/>
      <c r="M503" s="171"/>
      <c r="P503" s="236"/>
    </row>
    <row r="504" spans="11:16" ht="18" customHeight="1">
      <c r="K504" s="171" t="s">
        <v>702</v>
      </c>
      <c r="L504" s="171"/>
      <c r="M504" s="171"/>
      <c r="P504" s="236"/>
    </row>
    <row r="505" spans="11:16" ht="18" customHeight="1">
      <c r="K505" s="171" t="s">
        <v>702</v>
      </c>
      <c r="L505" s="171"/>
      <c r="M505" s="171"/>
      <c r="P505" s="236"/>
    </row>
    <row r="506" spans="11:16" ht="18" customHeight="1">
      <c r="K506" s="171" t="s">
        <v>702</v>
      </c>
      <c r="L506" s="171"/>
      <c r="M506" s="171"/>
      <c r="P506" s="236"/>
    </row>
    <row r="507" spans="11:16" ht="18" customHeight="1">
      <c r="K507" s="171" t="s">
        <v>702</v>
      </c>
      <c r="L507" s="171"/>
      <c r="M507" s="171"/>
      <c r="P507" s="236"/>
    </row>
    <row r="508" spans="11:16" ht="18" customHeight="1">
      <c r="K508" s="171" t="s">
        <v>702</v>
      </c>
      <c r="L508" s="171"/>
      <c r="M508" s="171"/>
      <c r="P508" s="236"/>
    </row>
    <row r="509" spans="11:16" ht="18" customHeight="1">
      <c r="K509" s="171" t="s">
        <v>702</v>
      </c>
      <c r="L509" s="171"/>
      <c r="M509" s="171"/>
      <c r="P509" s="236"/>
    </row>
    <row r="510" spans="11:16" ht="18" customHeight="1">
      <c r="K510" s="171" t="s">
        <v>702</v>
      </c>
      <c r="L510" s="171"/>
      <c r="M510" s="171"/>
      <c r="P510" s="236"/>
    </row>
    <row r="511" spans="11:16" ht="18" customHeight="1">
      <c r="K511" s="171" t="s">
        <v>702</v>
      </c>
      <c r="L511" s="171"/>
      <c r="M511" s="171"/>
      <c r="P511" s="236"/>
    </row>
    <row r="512" spans="11:16" ht="18" customHeight="1">
      <c r="K512" s="171" t="s">
        <v>702</v>
      </c>
      <c r="L512" s="171"/>
      <c r="M512" s="171"/>
      <c r="P512" s="236"/>
    </row>
    <row r="513" spans="11:16" ht="18" customHeight="1">
      <c r="K513" s="171" t="s">
        <v>702</v>
      </c>
      <c r="L513" s="171"/>
      <c r="M513" s="171"/>
      <c r="P513" s="236"/>
    </row>
    <row r="514" spans="11:16" ht="18" customHeight="1">
      <c r="K514" s="171" t="s">
        <v>702</v>
      </c>
      <c r="L514" s="171"/>
      <c r="M514" s="171"/>
      <c r="P514" s="236"/>
    </row>
    <row r="515" spans="11:16" ht="18" customHeight="1">
      <c r="K515" s="171" t="s">
        <v>702</v>
      </c>
      <c r="L515" s="171"/>
      <c r="M515" s="171"/>
      <c r="P515" s="236"/>
    </row>
    <row r="516" spans="11:16" ht="18" customHeight="1">
      <c r="K516" s="171" t="s">
        <v>702</v>
      </c>
      <c r="L516" s="171"/>
      <c r="M516" s="171"/>
      <c r="P516" s="236"/>
    </row>
    <row r="517" spans="11:16" ht="18" customHeight="1">
      <c r="K517" s="171" t="s">
        <v>702</v>
      </c>
      <c r="L517" s="171"/>
      <c r="M517" s="171"/>
      <c r="P517" s="236"/>
    </row>
    <row r="518" spans="11:16" ht="18" customHeight="1">
      <c r="K518" s="171" t="s">
        <v>702</v>
      </c>
      <c r="L518" s="171"/>
      <c r="M518" s="171"/>
      <c r="P518" s="236"/>
    </row>
    <row r="519" spans="11:16" ht="18" customHeight="1">
      <c r="K519" s="171" t="s">
        <v>702</v>
      </c>
      <c r="L519" s="171"/>
      <c r="M519" s="171"/>
      <c r="P519" s="236"/>
    </row>
    <row r="520" spans="11:16" ht="18" customHeight="1">
      <c r="K520" s="171" t="s">
        <v>702</v>
      </c>
      <c r="L520" s="171"/>
      <c r="M520" s="171"/>
      <c r="P520" s="236"/>
    </row>
    <row r="521" spans="11:16" ht="18" customHeight="1">
      <c r="K521" s="171" t="s">
        <v>702</v>
      </c>
      <c r="L521" s="171"/>
      <c r="M521" s="171"/>
      <c r="P521" s="236"/>
    </row>
    <row r="522" spans="11:16" ht="18" customHeight="1">
      <c r="K522" s="171" t="s">
        <v>702</v>
      </c>
      <c r="L522" s="171"/>
      <c r="M522" s="171"/>
      <c r="P522" s="236"/>
    </row>
    <row r="523" spans="11:16" ht="18" customHeight="1">
      <c r="K523" s="171" t="s">
        <v>702</v>
      </c>
      <c r="L523" s="171"/>
      <c r="M523" s="171"/>
      <c r="P523" s="236"/>
    </row>
    <row r="524" spans="11:16" ht="18" customHeight="1">
      <c r="K524" s="171" t="s">
        <v>702</v>
      </c>
      <c r="L524" s="171"/>
      <c r="M524" s="171"/>
      <c r="P524" s="236"/>
    </row>
    <row r="525" spans="11:16" ht="18" customHeight="1">
      <c r="K525" s="171" t="s">
        <v>702</v>
      </c>
      <c r="L525" s="171"/>
      <c r="M525" s="171"/>
      <c r="P525" s="236"/>
    </row>
    <row r="526" spans="11:16" ht="18" customHeight="1">
      <c r="K526" s="171" t="s">
        <v>702</v>
      </c>
      <c r="L526" s="171"/>
      <c r="M526" s="171"/>
      <c r="P526" s="236"/>
    </row>
    <row r="527" spans="11:16" ht="18" customHeight="1">
      <c r="K527" s="171" t="s">
        <v>702</v>
      </c>
      <c r="L527" s="171"/>
      <c r="M527" s="171"/>
      <c r="P527" s="236"/>
    </row>
    <row r="528" spans="11:16" ht="18" customHeight="1">
      <c r="K528" s="171" t="s">
        <v>702</v>
      </c>
      <c r="L528" s="171"/>
      <c r="M528" s="171"/>
      <c r="P528" s="236"/>
    </row>
    <row r="529" spans="11:16" ht="18" customHeight="1">
      <c r="K529" s="171" t="s">
        <v>702</v>
      </c>
      <c r="L529" s="171"/>
      <c r="M529" s="171"/>
      <c r="P529" s="236"/>
    </row>
    <row r="530" spans="11:16" ht="18" customHeight="1">
      <c r="K530" s="171" t="s">
        <v>702</v>
      </c>
      <c r="L530" s="171"/>
      <c r="M530" s="171"/>
      <c r="P530" s="236"/>
    </row>
    <row r="531" spans="11:16" ht="18" customHeight="1">
      <c r="K531" s="171" t="s">
        <v>702</v>
      </c>
      <c r="L531" s="171"/>
      <c r="M531" s="171"/>
      <c r="P531" s="236"/>
    </row>
    <row r="532" spans="11:16" ht="18" customHeight="1">
      <c r="K532" s="171" t="s">
        <v>702</v>
      </c>
      <c r="L532" s="171"/>
      <c r="M532" s="171"/>
      <c r="P532" s="236"/>
    </row>
    <row r="533" spans="11:16" ht="18" customHeight="1">
      <c r="K533" s="171" t="s">
        <v>702</v>
      </c>
      <c r="L533" s="171"/>
      <c r="M533" s="171"/>
      <c r="P533" s="236"/>
    </row>
    <row r="534" spans="11:16" ht="18" customHeight="1">
      <c r="K534" s="171" t="s">
        <v>702</v>
      </c>
      <c r="L534" s="171"/>
      <c r="M534" s="171"/>
      <c r="P534" s="236"/>
    </row>
    <row r="535" spans="11:16" ht="18" customHeight="1">
      <c r="K535" s="171" t="s">
        <v>702</v>
      </c>
      <c r="L535" s="171"/>
      <c r="M535" s="171"/>
      <c r="P535" s="236"/>
    </row>
    <row r="536" spans="11:16" ht="18" customHeight="1">
      <c r="K536" s="171" t="s">
        <v>702</v>
      </c>
      <c r="L536" s="171"/>
      <c r="M536" s="171"/>
      <c r="P536" s="236"/>
    </row>
    <row r="537" spans="11:16" ht="18" customHeight="1">
      <c r="K537" s="171" t="s">
        <v>702</v>
      </c>
      <c r="L537" s="171"/>
      <c r="M537" s="171"/>
      <c r="P537" s="236"/>
    </row>
    <row r="538" spans="11:16" ht="18" customHeight="1">
      <c r="K538" s="171" t="s">
        <v>702</v>
      </c>
      <c r="L538" s="171"/>
      <c r="M538" s="171"/>
      <c r="P538" s="236"/>
    </row>
    <row r="539" spans="11:16" ht="18" customHeight="1">
      <c r="K539" s="171" t="s">
        <v>702</v>
      </c>
      <c r="L539" s="171"/>
      <c r="M539" s="171"/>
      <c r="P539" s="236"/>
    </row>
    <row r="540" spans="11:16" ht="18" customHeight="1">
      <c r="K540" s="171" t="s">
        <v>702</v>
      </c>
      <c r="L540" s="171"/>
      <c r="M540" s="171"/>
      <c r="P540" s="236"/>
    </row>
    <row r="541" spans="11:16" ht="18" customHeight="1">
      <c r="K541" s="171" t="s">
        <v>702</v>
      </c>
      <c r="L541" s="171"/>
      <c r="M541" s="171"/>
      <c r="P541" s="236"/>
    </row>
    <row r="542" spans="11:16" ht="18" customHeight="1">
      <c r="K542" s="171" t="s">
        <v>702</v>
      </c>
      <c r="L542" s="171"/>
      <c r="M542" s="171"/>
      <c r="P542" s="236"/>
    </row>
    <row r="543" spans="11:16" ht="18" customHeight="1">
      <c r="K543" s="171" t="s">
        <v>702</v>
      </c>
      <c r="L543" s="171"/>
      <c r="M543" s="171"/>
      <c r="P543" s="236"/>
    </row>
    <row r="544" spans="11:16" ht="18" customHeight="1">
      <c r="K544" s="171" t="s">
        <v>702</v>
      </c>
      <c r="L544" s="171"/>
      <c r="M544" s="171"/>
      <c r="P544" s="236"/>
    </row>
    <row r="545" spans="11:16" ht="18" customHeight="1">
      <c r="K545" s="171" t="s">
        <v>702</v>
      </c>
      <c r="L545" s="171"/>
      <c r="M545" s="171"/>
      <c r="P545" s="236"/>
    </row>
    <row r="546" spans="11:16" ht="18" customHeight="1">
      <c r="K546" s="171" t="s">
        <v>702</v>
      </c>
      <c r="L546" s="171"/>
      <c r="M546" s="171"/>
      <c r="P546" s="236"/>
    </row>
    <row r="547" spans="11:16" ht="18" customHeight="1">
      <c r="K547" s="171" t="s">
        <v>702</v>
      </c>
      <c r="L547" s="171"/>
      <c r="M547" s="171"/>
      <c r="P547" s="236"/>
    </row>
    <row r="548" spans="11:16" ht="18" customHeight="1">
      <c r="K548" s="171" t="s">
        <v>702</v>
      </c>
      <c r="L548" s="171"/>
      <c r="M548" s="171"/>
      <c r="P548" s="236"/>
    </row>
    <row r="549" spans="11:16" ht="18" customHeight="1">
      <c r="K549" s="171" t="s">
        <v>702</v>
      </c>
      <c r="L549" s="171"/>
      <c r="M549" s="171"/>
      <c r="P549" s="236"/>
    </row>
    <row r="550" spans="11:16" ht="18" customHeight="1">
      <c r="K550" s="171" t="s">
        <v>702</v>
      </c>
      <c r="L550" s="171"/>
      <c r="M550" s="171"/>
      <c r="P550" s="236"/>
    </row>
    <row r="551" spans="11:16" ht="18" customHeight="1">
      <c r="K551" s="171" t="s">
        <v>702</v>
      </c>
      <c r="L551" s="171"/>
      <c r="M551" s="171"/>
      <c r="P551" s="236"/>
    </row>
    <row r="552" spans="11:16" ht="18" customHeight="1">
      <c r="K552" s="171" t="s">
        <v>702</v>
      </c>
      <c r="L552" s="171"/>
      <c r="M552" s="171"/>
      <c r="P552" s="236"/>
    </row>
    <row r="553" spans="11:16" ht="18" customHeight="1">
      <c r="K553" s="171" t="s">
        <v>702</v>
      </c>
      <c r="L553" s="171"/>
      <c r="M553" s="171"/>
      <c r="P553" s="236"/>
    </row>
    <row r="554" spans="11:16" ht="18" customHeight="1">
      <c r="K554" s="171" t="s">
        <v>702</v>
      </c>
      <c r="L554" s="171"/>
      <c r="M554" s="171"/>
      <c r="P554" s="236"/>
    </row>
    <row r="555" spans="11:16" ht="18" customHeight="1">
      <c r="K555" s="171" t="s">
        <v>702</v>
      </c>
      <c r="L555" s="171"/>
      <c r="M555" s="171"/>
      <c r="P555" s="236"/>
    </row>
    <row r="556" spans="11:16" ht="18" customHeight="1">
      <c r="K556" s="171" t="s">
        <v>702</v>
      </c>
      <c r="L556" s="171"/>
      <c r="M556" s="171"/>
      <c r="P556" s="236"/>
    </row>
    <row r="557" spans="11:16" ht="18" customHeight="1">
      <c r="K557" s="171" t="s">
        <v>702</v>
      </c>
      <c r="L557" s="171"/>
      <c r="M557" s="171"/>
      <c r="P557" s="236"/>
    </row>
    <row r="558" spans="11:16" ht="18" customHeight="1">
      <c r="K558" s="171" t="s">
        <v>702</v>
      </c>
      <c r="L558" s="171"/>
      <c r="M558" s="171"/>
      <c r="P558" s="236"/>
    </row>
    <row r="559" spans="11:16" ht="18" customHeight="1">
      <c r="K559" s="171" t="s">
        <v>702</v>
      </c>
      <c r="L559" s="171"/>
      <c r="M559" s="171"/>
      <c r="P559" s="236"/>
    </row>
    <row r="560" spans="11:16" ht="18" customHeight="1">
      <c r="K560" s="171" t="s">
        <v>702</v>
      </c>
      <c r="L560" s="171"/>
      <c r="M560" s="171"/>
      <c r="P560" s="236"/>
    </row>
    <row r="561" spans="11:16" ht="18" customHeight="1">
      <c r="K561" s="171" t="s">
        <v>702</v>
      </c>
      <c r="L561" s="171"/>
      <c r="M561" s="171"/>
      <c r="P561" s="236"/>
    </row>
    <row r="562" spans="11:16" ht="18" customHeight="1">
      <c r="K562" s="171" t="s">
        <v>702</v>
      </c>
      <c r="L562" s="171"/>
      <c r="M562" s="171"/>
      <c r="P562" s="236"/>
    </row>
    <row r="563" spans="11:16" ht="18" customHeight="1">
      <c r="K563" s="171" t="s">
        <v>702</v>
      </c>
      <c r="L563" s="171"/>
      <c r="M563" s="171"/>
      <c r="P563" s="236"/>
    </row>
    <row r="564" spans="11:16" ht="18" customHeight="1">
      <c r="K564" s="171" t="s">
        <v>702</v>
      </c>
      <c r="L564" s="171"/>
      <c r="M564" s="171"/>
      <c r="P564" s="236"/>
    </row>
    <row r="565" spans="11:16" ht="18" customHeight="1">
      <c r="K565" s="171" t="s">
        <v>702</v>
      </c>
      <c r="L565" s="171"/>
      <c r="M565" s="171"/>
      <c r="P565" s="236"/>
    </row>
    <row r="566" spans="11:16" ht="18" customHeight="1">
      <c r="K566" s="171" t="s">
        <v>702</v>
      </c>
      <c r="L566" s="171"/>
      <c r="M566" s="171"/>
      <c r="P566" s="236"/>
    </row>
    <row r="567" spans="11:16" ht="18" customHeight="1">
      <c r="K567" s="171" t="s">
        <v>702</v>
      </c>
      <c r="L567" s="171"/>
      <c r="M567" s="171"/>
      <c r="P567" s="236"/>
    </row>
    <row r="568" spans="11:16" ht="18" customHeight="1">
      <c r="K568" s="171" t="s">
        <v>702</v>
      </c>
      <c r="L568" s="171"/>
      <c r="M568" s="171"/>
      <c r="P568" s="236"/>
    </row>
    <row r="569" spans="11:16" ht="18" customHeight="1">
      <c r="K569" s="171" t="s">
        <v>702</v>
      </c>
      <c r="L569" s="171"/>
      <c r="M569" s="171"/>
      <c r="P569" s="236"/>
    </row>
    <row r="570" spans="11:16" ht="18" customHeight="1">
      <c r="K570" s="171" t="s">
        <v>702</v>
      </c>
      <c r="L570" s="171"/>
      <c r="M570" s="171"/>
      <c r="P570" s="236"/>
    </row>
    <row r="571" spans="11:16" ht="18" customHeight="1">
      <c r="K571" s="171" t="s">
        <v>702</v>
      </c>
      <c r="L571" s="171"/>
      <c r="M571" s="171"/>
      <c r="P571" s="236"/>
    </row>
    <row r="572" spans="11:16" ht="18" customHeight="1">
      <c r="K572" s="171" t="s">
        <v>702</v>
      </c>
      <c r="L572" s="171"/>
      <c r="M572" s="171"/>
      <c r="P572" s="236"/>
    </row>
    <row r="573" spans="11:16" ht="18" customHeight="1">
      <c r="K573" s="171" t="s">
        <v>702</v>
      </c>
      <c r="L573" s="171"/>
      <c r="M573" s="171"/>
      <c r="P573" s="236"/>
    </row>
    <row r="574" spans="11:16" ht="18" customHeight="1">
      <c r="K574" s="171" t="s">
        <v>702</v>
      </c>
      <c r="L574" s="171"/>
      <c r="M574" s="171"/>
      <c r="P574" s="236"/>
    </row>
    <row r="575" spans="11:16" ht="18" customHeight="1">
      <c r="K575" s="171" t="s">
        <v>702</v>
      </c>
      <c r="L575" s="171"/>
      <c r="M575" s="171"/>
      <c r="P575" s="236"/>
    </row>
    <row r="576" spans="11:16" ht="18" customHeight="1">
      <c r="K576" s="171" t="s">
        <v>702</v>
      </c>
      <c r="L576" s="171"/>
      <c r="M576" s="171"/>
      <c r="P576" s="236"/>
    </row>
    <row r="577" spans="11:16" ht="18" customHeight="1">
      <c r="K577" s="171" t="s">
        <v>702</v>
      </c>
      <c r="L577" s="171"/>
      <c r="M577" s="171"/>
      <c r="P577" s="236"/>
    </row>
    <row r="578" spans="11:16" ht="18" customHeight="1">
      <c r="K578" s="171" t="s">
        <v>702</v>
      </c>
      <c r="L578" s="171"/>
      <c r="M578" s="171"/>
      <c r="P578" s="236"/>
    </row>
    <row r="579" spans="11:16" ht="18" customHeight="1">
      <c r="K579" s="171" t="s">
        <v>702</v>
      </c>
      <c r="L579" s="171"/>
      <c r="M579" s="171"/>
      <c r="P579" s="236"/>
    </row>
    <row r="580" spans="11:16" ht="18" customHeight="1">
      <c r="K580" s="171" t="s">
        <v>702</v>
      </c>
      <c r="L580" s="171"/>
      <c r="M580" s="171"/>
      <c r="P580" s="236"/>
    </row>
    <row r="581" spans="11:16" ht="18" customHeight="1">
      <c r="K581" s="171" t="s">
        <v>813</v>
      </c>
      <c r="L581" s="171"/>
      <c r="M581" s="171"/>
      <c r="P581" s="236"/>
    </row>
    <row r="582" spans="11:16" ht="18" customHeight="1">
      <c r="K582" s="171" t="s">
        <v>702</v>
      </c>
      <c r="L582" s="171"/>
      <c r="M582" s="171"/>
      <c r="P582" s="236"/>
    </row>
    <row r="583" spans="11:16" ht="18" customHeight="1">
      <c r="K583" s="171" t="s">
        <v>702</v>
      </c>
      <c r="L583" s="171"/>
      <c r="M583" s="171"/>
      <c r="P583" s="236"/>
    </row>
    <row r="584" spans="11:16" ht="18" customHeight="1">
      <c r="K584" s="171" t="s">
        <v>702</v>
      </c>
      <c r="L584" s="171"/>
      <c r="M584" s="171"/>
      <c r="P584" s="236"/>
    </row>
    <row r="585" spans="11:16" ht="18" customHeight="1">
      <c r="K585" s="171" t="s">
        <v>702</v>
      </c>
      <c r="L585" s="171"/>
      <c r="M585" s="171"/>
      <c r="P585" s="236"/>
    </row>
    <row r="586" spans="11:16" ht="18" customHeight="1">
      <c r="K586" s="171" t="s">
        <v>702</v>
      </c>
      <c r="L586" s="171"/>
      <c r="M586" s="171"/>
      <c r="P586" s="236"/>
    </row>
    <row r="587" spans="11:16" ht="18" customHeight="1">
      <c r="K587" s="171" t="s">
        <v>702</v>
      </c>
      <c r="L587" s="171"/>
      <c r="M587" s="171"/>
      <c r="P587" s="236"/>
    </row>
    <row r="588" spans="11:16" ht="18" customHeight="1">
      <c r="K588" s="171" t="s">
        <v>702</v>
      </c>
      <c r="L588" s="171"/>
      <c r="M588" s="171"/>
      <c r="P588" s="236"/>
    </row>
    <row r="589" spans="11:16" ht="18" customHeight="1">
      <c r="K589" s="171" t="s">
        <v>702</v>
      </c>
      <c r="L589" s="171"/>
      <c r="M589" s="171"/>
      <c r="P589" s="236"/>
    </row>
    <row r="590" spans="11:16" ht="18" customHeight="1">
      <c r="K590" s="171" t="s">
        <v>702</v>
      </c>
      <c r="L590" s="171"/>
      <c r="M590" s="171"/>
      <c r="P590" s="236"/>
    </row>
    <row r="591" spans="11:16" ht="18" customHeight="1">
      <c r="K591" s="171" t="s">
        <v>702</v>
      </c>
      <c r="L591" s="171"/>
      <c r="M591" s="171"/>
      <c r="P591" s="236"/>
    </row>
    <row r="592" spans="11:16" ht="18" customHeight="1">
      <c r="K592" s="171" t="s">
        <v>702</v>
      </c>
      <c r="L592" s="171"/>
      <c r="M592" s="171"/>
      <c r="P592" s="236"/>
    </row>
    <row r="593" spans="11:16" ht="18" customHeight="1">
      <c r="K593" s="171" t="s">
        <v>702</v>
      </c>
      <c r="L593" s="171"/>
      <c r="M593" s="171"/>
      <c r="P593" s="236"/>
    </row>
    <row r="594" spans="11:16" ht="18" customHeight="1">
      <c r="K594" s="171" t="s">
        <v>702</v>
      </c>
      <c r="L594" s="171"/>
      <c r="M594" s="171"/>
      <c r="P594" s="236"/>
    </row>
    <row r="595" spans="11:16" ht="18" customHeight="1">
      <c r="K595" s="171" t="s">
        <v>702</v>
      </c>
      <c r="L595" s="171"/>
      <c r="M595" s="171"/>
      <c r="P595" s="236"/>
    </row>
    <row r="596" spans="11:16" ht="18" customHeight="1">
      <c r="K596" s="171" t="s">
        <v>702</v>
      </c>
      <c r="L596" s="171"/>
      <c r="M596" s="171"/>
      <c r="P596" s="236"/>
    </row>
    <row r="597" spans="11:16" ht="18" customHeight="1">
      <c r="K597" s="171" t="s">
        <v>702</v>
      </c>
      <c r="L597" s="171"/>
      <c r="M597" s="171"/>
      <c r="P597" s="236"/>
    </row>
    <row r="598" spans="11:16" ht="18" customHeight="1">
      <c r="K598" s="171" t="s">
        <v>702</v>
      </c>
      <c r="L598" s="171"/>
      <c r="M598" s="171"/>
      <c r="P598" s="236"/>
    </row>
    <row r="599" spans="11:16" ht="18" customHeight="1">
      <c r="K599" s="171" t="s">
        <v>702</v>
      </c>
      <c r="L599" s="171"/>
      <c r="M599" s="171"/>
      <c r="P599" s="236"/>
    </row>
    <row r="600" spans="11:16" ht="18" customHeight="1">
      <c r="K600" s="171" t="s">
        <v>702</v>
      </c>
      <c r="L600" s="171"/>
      <c r="M600" s="171"/>
      <c r="P600" s="236"/>
    </row>
    <row r="601" spans="11:16" ht="18" customHeight="1">
      <c r="K601" s="171" t="s">
        <v>702</v>
      </c>
      <c r="L601" s="171"/>
      <c r="M601" s="171"/>
      <c r="P601" s="236"/>
    </row>
    <row r="602" spans="11:16" ht="18" customHeight="1">
      <c r="K602" s="171" t="s">
        <v>702</v>
      </c>
      <c r="L602" s="171"/>
      <c r="M602" s="171"/>
      <c r="P602" s="236"/>
    </row>
    <row r="603" spans="11:16" ht="18" customHeight="1">
      <c r="K603" s="171" t="s">
        <v>702</v>
      </c>
      <c r="L603" s="171"/>
      <c r="M603" s="171"/>
      <c r="P603" s="236"/>
    </row>
    <row r="604" spans="11:16" ht="18" customHeight="1">
      <c r="K604" s="171" t="s">
        <v>702</v>
      </c>
      <c r="L604" s="171"/>
      <c r="M604" s="171"/>
      <c r="P604" s="236"/>
    </row>
    <row r="605" spans="11:16" ht="18" customHeight="1">
      <c r="K605" s="171" t="s">
        <v>702</v>
      </c>
      <c r="L605" s="171"/>
      <c r="M605" s="171"/>
      <c r="P605" s="236"/>
    </row>
    <row r="606" spans="11:16" ht="18" customHeight="1">
      <c r="K606" s="171" t="s">
        <v>702</v>
      </c>
      <c r="L606" s="171"/>
      <c r="M606" s="171"/>
      <c r="P606" s="236"/>
    </row>
    <row r="607" spans="11:16" ht="18" customHeight="1">
      <c r="K607" s="171" t="s">
        <v>702</v>
      </c>
      <c r="L607" s="171"/>
      <c r="M607" s="171"/>
      <c r="P607" s="236"/>
    </row>
    <row r="608" spans="11:16" ht="18" customHeight="1">
      <c r="K608" s="171" t="s">
        <v>702</v>
      </c>
      <c r="L608" s="171"/>
      <c r="M608" s="171"/>
      <c r="P608" s="236"/>
    </row>
    <row r="609" spans="11:16" ht="18" customHeight="1">
      <c r="K609" s="171" t="s">
        <v>702</v>
      </c>
      <c r="L609" s="171"/>
      <c r="M609" s="171"/>
      <c r="P609" s="236"/>
    </row>
    <row r="610" spans="11:16" ht="18" customHeight="1">
      <c r="K610" s="171" t="s">
        <v>702</v>
      </c>
      <c r="L610" s="171"/>
      <c r="M610" s="171"/>
      <c r="P610" s="236"/>
    </row>
    <row r="611" spans="11:16" ht="18" customHeight="1">
      <c r="K611" s="171" t="s">
        <v>702</v>
      </c>
      <c r="L611" s="171"/>
      <c r="M611" s="171"/>
      <c r="P611" s="236"/>
    </row>
    <row r="612" spans="11:16" ht="18" customHeight="1">
      <c r="K612" s="171" t="s">
        <v>702</v>
      </c>
      <c r="L612" s="171"/>
      <c r="M612" s="171"/>
      <c r="P612" s="236"/>
    </row>
    <row r="613" spans="11:16" ht="18" customHeight="1">
      <c r="K613" s="171" t="s">
        <v>702</v>
      </c>
      <c r="L613" s="171"/>
      <c r="M613" s="171"/>
      <c r="P613" s="236"/>
    </row>
    <row r="614" spans="11:16" ht="18" customHeight="1">
      <c r="K614" s="171" t="s">
        <v>702</v>
      </c>
      <c r="L614" s="171"/>
      <c r="M614" s="171"/>
      <c r="P614" s="236"/>
    </row>
    <row r="615" spans="11:16" ht="18" customHeight="1">
      <c r="K615" s="171" t="s">
        <v>702</v>
      </c>
      <c r="L615" s="171"/>
      <c r="M615" s="171"/>
      <c r="P615" s="236"/>
    </row>
    <row r="616" spans="11:16" ht="18" customHeight="1">
      <c r="K616" s="171" t="s">
        <v>702</v>
      </c>
      <c r="L616" s="171"/>
      <c r="M616" s="171"/>
      <c r="P616" s="236"/>
    </row>
    <row r="617" spans="11:16" ht="18" customHeight="1">
      <c r="K617" s="171" t="s">
        <v>702</v>
      </c>
      <c r="L617" s="171"/>
      <c r="M617" s="171"/>
      <c r="P617" s="236"/>
    </row>
    <row r="618" spans="11:16" ht="18" customHeight="1">
      <c r="K618" s="171" t="s">
        <v>702</v>
      </c>
      <c r="L618" s="171"/>
      <c r="M618" s="171"/>
      <c r="P618" s="236"/>
    </row>
    <row r="619" spans="11:16" ht="18" customHeight="1">
      <c r="K619" s="171" t="s">
        <v>702</v>
      </c>
      <c r="L619" s="171"/>
      <c r="M619" s="171"/>
      <c r="P619" s="236"/>
    </row>
    <row r="620" spans="11:16" ht="18" customHeight="1">
      <c r="K620" s="171" t="s">
        <v>702</v>
      </c>
      <c r="L620" s="171"/>
      <c r="M620" s="171"/>
      <c r="P620" s="236"/>
    </row>
    <row r="621" spans="11:16" ht="18" customHeight="1">
      <c r="K621" s="171" t="s">
        <v>702</v>
      </c>
      <c r="L621" s="171"/>
      <c r="M621" s="171"/>
      <c r="P621" s="236"/>
    </row>
    <row r="622" spans="11:16" ht="18" customHeight="1">
      <c r="K622" s="171" t="s">
        <v>702</v>
      </c>
      <c r="L622" s="171"/>
      <c r="M622" s="171"/>
      <c r="P622" s="236"/>
    </row>
    <row r="623" spans="11:16" ht="18" customHeight="1">
      <c r="K623" s="171" t="s">
        <v>702</v>
      </c>
      <c r="L623" s="171"/>
      <c r="M623" s="171"/>
      <c r="P623" s="236"/>
    </row>
    <row r="624" spans="11:16" ht="18" customHeight="1">
      <c r="K624" s="171" t="s">
        <v>702</v>
      </c>
      <c r="L624" s="171"/>
      <c r="M624" s="171"/>
      <c r="P624" s="236"/>
    </row>
    <row r="625" spans="11:16" ht="18" customHeight="1">
      <c r="K625" s="171" t="s">
        <v>702</v>
      </c>
      <c r="L625" s="171"/>
      <c r="M625" s="171"/>
      <c r="P625" s="236"/>
    </row>
    <row r="626" spans="11:16" ht="18" customHeight="1">
      <c r="K626" s="171" t="s">
        <v>702</v>
      </c>
      <c r="L626" s="171"/>
      <c r="M626" s="171"/>
      <c r="P626" s="236"/>
    </row>
    <row r="627" spans="11:16" ht="18" customHeight="1">
      <c r="K627" s="171" t="s">
        <v>702</v>
      </c>
      <c r="L627" s="171"/>
      <c r="M627" s="171"/>
      <c r="P627" s="236"/>
    </row>
    <row r="628" spans="11:16" ht="18" customHeight="1">
      <c r="K628" s="171" t="s">
        <v>702</v>
      </c>
      <c r="L628" s="171"/>
      <c r="M628" s="171"/>
      <c r="P628" s="236"/>
    </row>
    <row r="629" spans="11:16" ht="18" customHeight="1">
      <c r="K629" s="171" t="s">
        <v>702</v>
      </c>
      <c r="L629" s="171"/>
      <c r="M629" s="171"/>
      <c r="P629" s="236"/>
    </row>
    <row r="630" spans="11:16" ht="18" customHeight="1">
      <c r="K630" s="171" t="s">
        <v>702</v>
      </c>
      <c r="L630" s="171"/>
      <c r="M630" s="171"/>
      <c r="P630" s="236"/>
    </row>
    <row r="631" spans="11:16" ht="18" customHeight="1">
      <c r="K631" s="171" t="s">
        <v>702</v>
      </c>
      <c r="L631" s="171"/>
      <c r="M631" s="171"/>
      <c r="P631" s="236"/>
    </row>
    <row r="632" spans="11:16" ht="18" customHeight="1">
      <c r="K632" s="171" t="s">
        <v>702</v>
      </c>
      <c r="L632" s="171"/>
      <c r="M632" s="171"/>
      <c r="P632" s="236"/>
    </row>
    <row r="633" spans="11:16" ht="18" customHeight="1">
      <c r="K633" s="171" t="s">
        <v>702</v>
      </c>
      <c r="L633" s="171"/>
      <c r="M633" s="171"/>
      <c r="P633" s="236"/>
    </row>
    <row r="634" spans="11:16" ht="18" customHeight="1">
      <c r="K634" s="171" t="s">
        <v>702</v>
      </c>
      <c r="L634" s="171"/>
      <c r="M634" s="171"/>
      <c r="P634" s="236"/>
    </row>
    <row r="635" spans="11:16" ht="18" customHeight="1">
      <c r="K635" s="171" t="s">
        <v>702</v>
      </c>
      <c r="L635" s="171"/>
      <c r="M635" s="171"/>
      <c r="P635" s="236"/>
    </row>
    <row r="636" spans="11:16" ht="18" customHeight="1">
      <c r="K636" s="171" t="s">
        <v>702</v>
      </c>
      <c r="L636" s="171"/>
      <c r="M636" s="171"/>
      <c r="P636" s="236"/>
    </row>
    <row r="637" spans="11:16" ht="18" customHeight="1">
      <c r="K637" s="171" t="s">
        <v>702</v>
      </c>
      <c r="L637" s="171"/>
      <c r="M637" s="171"/>
      <c r="P637" s="236"/>
    </row>
    <row r="638" spans="11:16" ht="18" customHeight="1">
      <c r="K638" s="171" t="s">
        <v>702</v>
      </c>
      <c r="L638" s="171"/>
      <c r="M638" s="171"/>
      <c r="P638" s="236"/>
    </row>
    <row r="639" spans="11:16" ht="18" customHeight="1">
      <c r="K639" s="171" t="s">
        <v>702</v>
      </c>
      <c r="L639" s="171"/>
      <c r="M639" s="171"/>
      <c r="P639" s="236"/>
    </row>
    <row r="640" spans="11:16" ht="18" customHeight="1">
      <c r="K640" s="171" t="s">
        <v>702</v>
      </c>
      <c r="L640" s="171"/>
      <c r="M640" s="171"/>
      <c r="P640" s="236"/>
    </row>
    <row r="641" spans="11:16" ht="18" customHeight="1">
      <c r="K641" s="171" t="s">
        <v>702</v>
      </c>
      <c r="L641" s="171"/>
      <c r="M641" s="171"/>
      <c r="P641" s="236"/>
    </row>
    <row r="642" spans="11:16" ht="18" customHeight="1">
      <c r="K642" s="171" t="s">
        <v>702</v>
      </c>
      <c r="L642" s="171"/>
      <c r="M642" s="171"/>
      <c r="P642" s="236"/>
    </row>
    <row r="643" spans="11:16" ht="18" customHeight="1">
      <c r="K643" s="171" t="s">
        <v>702</v>
      </c>
      <c r="L643" s="171"/>
      <c r="M643" s="171"/>
      <c r="P643" s="236"/>
    </row>
    <row r="644" spans="11:16" ht="18" customHeight="1">
      <c r="K644" s="171" t="s">
        <v>702</v>
      </c>
      <c r="L644" s="171"/>
      <c r="M644" s="171"/>
      <c r="P644" s="236"/>
    </row>
    <row r="645" spans="11:16" ht="18" customHeight="1">
      <c r="K645" s="171" t="s">
        <v>702</v>
      </c>
      <c r="L645" s="171"/>
      <c r="M645" s="171"/>
      <c r="P645" s="236"/>
    </row>
    <row r="646" spans="11:16" ht="18" customHeight="1">
      <c r="K646" s="171" t="s">
        <v>702</v>
      </c>
      <c r="L646" s="171"/>
      <c r="M646" s="171"/>
      <c r="P646" s="236"/>
    </row>
    <row r="647" spans="11:16" ht="18" customHeight="1">
      <c r="K647" s="171" t="s">
        <v>702</v>
      </c>
      <c r="L647" s="171"/>
      <c r="M647" s="171"/>
      <c r="P647" s="236"/>
    </row>
    <row r="648" spans="11:16" ht="18" customHeight="1">
      <c r="K648" s="171" t="s">
        <v>702</v>
      </c>
      <c r="L648" s="171"/>
      <c r="M648" s="171"/>
      <c r="P648" s="236"/>
    </row>
    <row r="649" spans="11:16" ht="18" customHeight="1">
      <c r="K649" s="171" t="s">
        <v>702</v>
      </c>
      <c r="L649" s="171"/>
      <c r="M649" s="171"/>
      <c r="P649" s="236"/>
    </row>
    <row r="650" spans="11:16" ht="18" customHeight="1">
      <c r="K650" s="171" t="s">
        <v>702</v>
      </c>
      <c r="L650" s="171"/>
      <c r="M650" s="171"/>
      <c r="P650" s="236"/>
    </row>
    <row r="651" spans="11:16" ht="18" customHeight="1">
      <c r="K651" s="171" t="s">
        <v>702</v>
      </c>
      <c r="L651" s="171"/>
      <c r="M651" s="171"/>
      <c r="P651" s="236"/>
    </row>
    <row r="652" spans="11:16" ht="18" customHeight="1">
      <c r="K652" s="171" t="s">
        <v>702</v>
      </c>
      <c r="L652" s="171"/>
      <c r="M652" s="171"/>
      <c r="P652" s="236"/>
    </row>
    <row r="653" spans="11:16" ht="18" customHeight="1">
      <c r="K653" s="171" t="s">
        <v>702</v>
      </c>
      <c r="L653" s="171"/>
      <c r="M653" s="171"/>
      <c r="P653" s="236"/>
    </row>
    <row r="654" spans="11:16" ht="18" customHeight="1">
      <c r="K654" s="171" t="s">
        <v>702</v>
      </c>
      <c r="L654" s="171"/>
      <c r="M654" s="171"/>
      <c r="P654" s="236"/>
    </row>
    <row r="655" spans="11:16" ht="18" customHeight="1">
      <c r="K655" s="171" t="s">
        <v>702</v>
      </c>
      <c r="L655" s="171"/>
      <c r="M655" s="171"/>
      <c r="P655" s="236"/>
    </row>
    <row r="656" spans="11:16" ht="18" customHeight="1">
      <c r="K656" s="171" t="s">
        <v>702</v>
      </c>
      <c r="L656" s="171"/>
      <c r="M656" s="171"/>
      <c r="P656" s="236"/>
    </row>
    <row r="657" spans="11:16" ht="18" customHeight="1">
      <c r="K657" s="171" t="s">
        <v>702</v>
      </c>
      <c r="L657" s="171"/>
      <c r="M657" s="171"/>
      <c r="P657" s="236"/>
    </row>
    <row r="658" spans="11:16" ht="18" customHeight="1">
      <c r="K658" s="171" t="s">
        <v>702</v>
      </c>
      <c r="L658" s="171"/>
      <c r="M658" s="171"/>
      <c r="P658" s="236"/>
    </row>
    <row r="659" spans="11:16" ht="18" customHeight="1">
      <c r="K659" s="171" t="s">
        <v>702</v>
      </c>
      <c r="L659" s="171"/>
      <c r="M659" s="171"/>
      <c r="P659" s="236"/>
    </row>
    <row r="660" spans="11:16" ht="18" customHeight="1">
      <c r="K660" s="171" t="s">
        <v>702</v>
      </c>
      <c r="L660" s="171"/>
      <c r="M660" s="171"/>
      <c r="P660" s="236"/>
    </row>
    <row r="661" spans="11:16" ht="18" customHeight="1">
      <c r="K661" s="171" t="s">
        <v>702</v>
      </c>
      <c r="L661" s="171"/>
      <c r="M661" s="171"/>
      <c r="P661" s="236"/>
    </row>
    <row r="662" spans="11:16" ht="18" customHeight="1">
      <c r="K662" s="171" t="s">
        <v>702</v>
      </c>
      <c r="L662" s="171"/>
      <c r="M662" s="171"/>
      <c r="P662" s="236"/>
    </row>
    <row r="663" spans="11:16" ht="18" customHeight="1">
      <c r="K663" s="171" t="s">
        <v>702</v>
      </c>
      <c r="L663" s="171"/>
      <c r="M663" s="171"/>
      <c r="P663" s="236"/>
    </row>
    <row r="664" spans="11:16" ht="18" customHeight="1">
      <c r="K664" s="171" t="s">
        <v>702</v>
      </c>
      <c r="L664" s="171"/>
      <c r="M664" s="171"/>
      <c r="P664" s="236"/>
    </row>
    <row r="665" spans="11:16" ht="18" customHeight="1">
      <c r="K665" s="171" t="s">
        <v>702</v>
      </c>
      <c r="L665" s="171"/>
      <c r="M665" s="171"/>
      <c r="P665" s="236"/>
    </row>
    <row r="666" spans="11:16" ht="18" customHeight="1">
      <c r="K666" s="171" t="s">
        <v>702</v>
      </c>
      <c r="L666" s="171"/>
      <c r="M666" s="171"/>
      <c r="P666" s="236"/>
    </row>
    <row r="667" spans="11:16" ht="18" customHeight="1">
      <c r="K667" s="171" t="s">
        <v>702</v>
      </c>
      <c r="L667" s="171"/>
      <c r="M667" s="171"/>
      <c r="P667" s="236"/>
    </row>
    <row r="668" spans="11:16" ht="18" customHeight="1">
      <c r="K668" s="171" t="s">
        <v>702</v>
      </c>
      <c r="L668" s="171"/>
      <c r="M668" s="171"/>
      <c r="P668" s="236"/>
    </row>
    <row r="669" spans="11:16" ht="18" customHeight="1">
      <c r="K669" s="171" t="s">
        <v>702</v>
      </c>
      <c r="L669" s="171"/>
      <c r="M669" s="171"/>
      <c r="P669" s="236"/>
    </row>
    <row r="670" spans="11:16" ht="18" customHeight="1">
      <c r="K670" s="171" t="s">
        <v>702</v>
      </c>
      <c r="L670" s="171"/>
      <c r="M670" s="171"/>
      <c r="P670" s="236"/>
    </row>
    <row r="671" spans="11:16" ht="18" customHeight="1">
      <c r="K671" s="171" t="s">
        <v>702</v>
      </c>
      <c r="L671" s="171"/>
      <c r="M671" s="171"/>
      <c r="P671" s="236"/>
    </row>
    <row r="672" spans="11:16" ht="18" customHeight="1">
      <c r="K672" s="171" t="s">
        <v>702</v>
      </c>
      <c r="L672" s="171"/>
      <c r="M672" s="171"/>
      <c r="P672" s="236"/>
    </row>
    <row r="673" spans="11:16" ht="18" customHeight="1">
      <c r="K673" s="171" t="s">
        <v>702</v>
      </c>
      <c r="L673" s="171"/>
      <c r="M673" s="171"/>
      <c r="P673" s="236"/>
    </row>
    <row r="674" spans="11:16" ht="18" customHeight="1">
      <c r="K674" s="171" t="s">
        <v>702</v>
      </c>
      <c r="L674" s="171"/>
      <c r="M674" s="171"/>
      <c r="P674" s="236"/>
    </row>
    <row r="675" spans="11:16" ht="18" customHeight="1">
      <c r="K675" s="171" t="s">
        <v>702</v>
      </c>
      <c r="L675" s="171"/>
      <c r="M675" s="171"/>
      <c r="P675" s="236"/>
    </row>
    <row r="676" spans="11:16" ht="18" customHeight="1">
      <c r="K676" s="171" t="s">
        <v>702</v>
      </c>
      <c r="L676" s="171"/>
      <c r="M676" s="171"/>
      <c r="P676" s="236"/>
    </row>
    <row r="677" spans="11:16" ht="18" customHeight="1">
      <c r="K677" s="171" t="s">
        <v>702</v>
      </c>
      <c r="L677" s="171"/>
      <c r="M677" s="171"/>
      <c r="P677" s="236"/>
    </row>
    <row r="678" spans="11:16" ht="18" customHeight="1">
      <c r="K678" s="171" t="s">
        <v>702</v>
      </c>
      <c r="L678" s="171"/>
      <c r="M678" s="171"/>
      <c r="P678" s="236"/>
    </row>
    <row r="679" spans="11:16" ht="18" customHeight="1">
      <c r="K679" s="171" t="s">
        <v>702</v>
      </c>
      <c r="L679" s="171"/>
      <c r="M679" s="171"/>
      <c r="P679" s="236"/>
    </row>
    <row r="680" spans="11:16" ht="18" customHeight="1">
      <c r="K680" s="171" t="s">
        <v>702</v>
      </c>
      <c r="L680" s="171"/>
      <c r="M680" s="171"/>
      <c r="P680" s="236"/>
    </row>
    <row r="681" spans="11:16" ht="18" customHeight="1">
      <c r="K681" s="171" t="s">
        <v>702</v>
      </c>
      <c r="L681" s="171"/>
      <c r="M681" s="171"/>
      <c r="P681" s="236"/>
    </row>
    <row r="682" spans="11:16" ht="18" customHeight="1">
      <c r="K682" s="171" t="s">
        <v>702</v>
      </c>
      <c r="L682" s="171"/>
      <c r="M682" s="171"/>
      <c r="P682" s="236"/>
    </row>
    <row r="683" spans="11:16" ht="18" customHeight="1">
      <c r="K683" s="171" t="s">
        <v>702</v>
      </c>
      <c r="L683" s="171"/>
      <c r="M683" s="171"/>
      <c r="P683" s="236"/>
    </row>
    <row r="684" spans="11:16" ht="18" customHeight="1">
      <c r="K684" s="171" t="s">
        <v>702</v>
      </c>
      <c r="L684" s="171"/>
      <c r="M684" s="171"/>
      <c r="P684" s="236"/>
    </row>
    <row r="685" spans="11:16" ht="18" customHeight="1">
      <c r="K685" s="171" t="s">
        <v>702</v>
      </c>
      <c r="L685" s="171"/>
      <c r="M685" s="171"/>
      <c r="P685" s="236"/>
    </row>
    <row r="686" spans="11:16" ht="18" customHeight="1">
      <c r="K686" s="171" t="s">
        <v>702</v>
      </c>
      <c r="L686" s="171"/>
      <c r="M686" s="171"/>
      <c r="P686" s="236"/>
    </row>
    <row r="687" spans="11:16" ht="18" customHeight="1">
      <c r="K687" s="171" t="s">
        <v>702</v>
      </c>
      <c r="L687" s="171"/>
      <c r="M687" s="171"/>
      <c r="P687" s="236"/>
    </row>
    <row r="688" spans="11:16" ht="18" customHeight="1">
      <c r="K688" s="171" t="s">
        <v>702</v>
      </c>
      <c r="L688" s="171"/>
      <c r="M688" s="171"/>
    </row>
    <row r="689" spans="11:13" ht="18" customHeight="1">
      <c r="K689" s="171" t="s">
        <v>702</v>
      </c>
      <c r="L689" s="171"/>
      <c r="M689" s="171"/>
    </row>
    <row r="690" spans="11:13" ht="18" customHeight="1">
      <c r="K690" s="171" t="s">
        <v>702</v>
      </c>
      <c r="L690" s="171"/>
      <c r="M690" s="171"/>
    </row>
    <row r="691" spans="11:13" ht="18" customHeight="1">
      <c r="K691" s="171" t="s">
        <v>702</v>
      </c>
      <c r="L691" s="171"/>
      <c r="M691" s="171"/>
    </row>
    <row r="692" spans="11:13" ht="18" customHeight="1">
      <c r="K692" s="171" t="s">
        <v>702</v>
      </c>
      <c r="L692" s="171"/>
      <c r="M692" s="171"/>
    </row>
    <row r="693" spans="11:13" ht="18" customHeight="1">
      <c r="K693" s="171" t="s">
        <v>702</v>
      </c>
      <c r="L693" s="171"/>
      <c r="M693" s="171"/>
    </row>
    <row r="694" spans="11:13" ht="18" customHeight="1">
      <c r="K694" s="171" t="s">
        <v>702</v>
      </c>
      <c r="L694" s="171"/>
      <c r="M694" s="171"/>
    </row>
    <row r="695" spans="11:13" ht="18" customHeight="1">
      <c r="K695" s="171" t="s">
        <v>702</v>
      </c>
      <c r="L695" s="171"/>
      <c r="M695" s="171"/>
    </row>
    <row r="696" spans="11:13" ht="18" customHeight="1">
      <c r="K696" s="171" t="s">
        <v>702</v>
      </c>
      <c r="L696" s="171"/>
      <c r="M696" s="171"/>
    </row>
    <row r="697" spans="11:13" ht="18" customHeight="1">
      <c r="K697" s="171" t="s">
        <v>702</v>
      </c>
      <c r="L697" s="171"/>
      <c r="M697" s="171"/>
    </row>
    <row r="698" spans="11:13" ht="18" customHeight="1">
      <c r="K698" s="171" t="s">
        <v>702</v>
      </c>
      <c r="L698" s="171"/>
      <c r="M698" s="171"/>
    </row>
    <row r="699" spans="11:13" ht="18" customHeight="1">
      <c r="K699" s="171" t="s">
        <v>702</v>
      </c>
      <c r="L699" s="171"/>
      <c r="M699" s="171"/>
    </row>
    <row r="700" spans="11:13" ht="18" customHeight="1">
      <c r="K700" s="171" t="s">
        <v>702</v>
      </c>
      <c r="L700" s="171"/>
      <c r="M700" s="171"/>
    </row>
    <row r="701" spans="11:13" ht="18" customHeight="1">
      <c r="K701" s="171" t="s">
        <v>702</v>
      </c>
      <c r="L701" s="171"/>
      <c r="M701" s="171"/>
    </row>
    <row r="702" spans="11:13" ht="18" customHeight="1">
      <c r="K702" s="171" t="s">
        <v>702</v>
      </c>
      <c r="L702" s="171"/>
      <c r="M702" s="171"/>
    </row>
    <row r="703" spans="11:13" ht="18" customHeight="1">
      <c r="K703" s="171" t="s">
        <v>702</v>
      </c>
      <c r="L703" s="171"/>
      <c r="M703" s="171"/>
    </row>
    <row r="704" spans="11:13" ht="18" customHeight="1">
      <c r="K704" s="171" t="s">
        <v>702</v>
      </c>
      <c r="L704" s="171"/>
      <c r="M704" s="171"/>
    </row>
    <row r="705" spans="11:13" ht="18" customHeight="1">
      <c r="K705" s="171" t="s">
        <v>702</v>
      </c>
      <c r="L705" s="171"/>
      <c r="M705" s="171"/>
    </row>
    <row r="706" spans="11:13" ht="18" customHeight="1">
      <c r="K706" s="171" t="s">
        <v>702</v>
      </c>
      <c r="L706" s="171"/>
      <c r="M706" s="171"/>
    </row>
    <row r="707" spans="11:13" ht="18" customHeight="1">
      <c r="K707" s="171" t="s">
        <v>702</v>
      </c>
      <c r="L707" s="171"/>
      <c r="M707" s="171"/>
    </row>
    <row r="708" spans="11:13" ht="18" customHeight="1">
      <c r="K708" s="171" t="s">
        <v>702</v>
      </c>
      <c r="L708" s="171"/>
      <c r="M708" s="171"/>
    </row>
    <row r="709" spans="11:13" ht="18" customHeight="1">
      <c r="K709" s="171" t="s">
        <v>702</v>
      </c>
      <c r="L709" s="171"/>
      <c r="M709" s="171"/>
    </row>
    <row r="710" spans="11:13" ht="18" customHeight="1">
      <c r="K710" s="171" t="s">
        <v>702</v>
      </c>
      <c r="L710" s="171"/>
      <c r="M710" s="171"/>
    </row>
    <row r="711" spans="11:13" ht="18" customHeight="1">
      <c r="K711" s="171" t="s">
        <v>702</v>
      </c>
      <c r="L711" s="171"/>
      <c r="M711" s="171"/>
    </row>
    <row r="712" spans="11:13" ht="18" customHeight="1">
      <c r="K712" s="171" t="s">
        <v>702</v>
      </c>
      <c r="L712" s="171"/>
      <c r="M712" s="171"/>
    </row>
    <row r="713" spans="11:13" ht="18" customHeight="1">
      <c r="K713" s="171" t="s">
        <v>702</v>
      </c>
      <c r="L713" s="171"/>
      <c r="M713" s="171"/>
    </row>
    <row r="714" spans="11:13" ht="18" customHeight="1">
      <c r="K714" s="171" t="s">
        <v>702</v>
      </c>
      <c r="L714" s="171"/>
      <c r="M714" s="171"/>
    </row>
    <row r="715" spans="11:13" ht="18" customHeight="1">
      <c r="K715" s="171" t="s">
        <v>702</v>
      </c>
      <c r="L715" s="171"/>
      <c r="M715" s="171"/>
    </row>
    <row r="716" spans="11:13" ht="18" customHeight="1">
      <c r="K716" s="171" t="s">
        <v>702</v>
      </c>
      <c r="L716" s="171"/>
      <c r="M716" s="171"/>
    </row>
    <row r="717" spans="11:13" ht="18" customHeight="1">
      <c r="K717" s="171" t="s">
        <v>702</v>
      </c>
      <c r="L717" s="171"/>
      <c r="M717" s="171"/>
    </row>
    <row r="718" spans="11:13" ht="18" customHeight="1">
      <c r="K718" s="171" t="s">
        <v>702</v>
      </c>
      <c r="L718" s="171"/>
      <c r="M718" s="171"/>
    </row>
    <row r="719" spans="11:13" ht="18" customHeight="1">
      <c r="K719" s="171" t="s">
        <v>702</v>
      </c>
      <c r="L719" s="171"/>
      <c r="M719" s="171"/>
    </row>
    <row r="720" spans="11:13" ht="18" customHeight="1">
      <c r="K720" s="171" t="s">
        <v>702</v>
      </c>
      <c r="L720" s="171"/>
      <c r="M720" s="171"/>
    </row>
    <row r="721" spans="11:13" ht="18" customHeight="1">
      <c r="K721" s="171" t="s">
        <v>702</v>
      </c>
      <c r="L721" s="171"/>
      <c r="M721" s="171"/>
    </row>
    <row r="722" spans="11:13" ht="18" customHeight="1">
      <c r="K722" s="171" t="s">
        <v>702</v>
      </c>
      <c r="L722" s="171"/>
      <c r="M722" s="171"/>
    </row>
    <row r="723" spans="11:13" ht="18" customHeight="1">
      <c r="K723" s="171" t="s">
        <v>702</v>
      </c>
      <c r="L723" s="171"/>
      <c r="M723" s="171"/>
    </row>
    <row r="724" spans="11:13" ht="18" customHeight="1">
      <c r="K724" s="171" t="s">
        <v>702</v>
      </c>
      <c r="L724" s="171"/>
      <c r="M724" s="171"/>
    </row>
    <row r="725" spans="11:13" ht="18" customHeight="1">
      <c r="K725" s="171" t="s">
        <v>702</v>
      </c>
      <c r="L725" s="171"/>
      <c r="M725" s="171"/>
    </row>
    <row r="726" spans="11:13" ht="18" customHeight="1">
      <c r="K726" s="171" t="s">
        <v>702</v>
      </c>
      <c r="L726" s="171"/>
      <c r="M726" s="171"/>
    </row>
    <row r="727" spans="11:13" ht="18" customHeight="1">
      <c r="K727" s="171" t="s">
        <v>702</v>
      </c>
      <c r="L727" s="171"/>
      <c r="M727" s="171"/>
    </row>
    <row r="728" spans="11:13" ht="18" customHeight="1">
      <c r="K728" s="171" t="s">
        <v>702</v>
      </c>
      <c r="L728" s="171"/>
      <c r="M728" s="171"/>
    </row>
    <row r="729" spans="11:13" ht="18" customHeight="1">
      <c r="K729" s="171" t="s">
        <v>702</v>
      </c>
      <c r="L729" s="171"/>
      <c r="M729" s="171"/>
    </row>
    <row r="730" spans="11:13" ht="18" customHeight="1">
      <c r="K730" s="171" t="s">
        <v>702</v>
      </c>
      <c r="L730" s="171"/>
      <c r="M730" s="171"/>
    </row>
    <row r="731" spans="11:13" ht="18" customHeight="1">
      <c r="K731" s="171" t="s">
        <v>702</v>
      </c>
      <c r="L731" s="171"/>
      <c r="M731" s="171"/>
    </row>
    <row r="732" spans="11:13" ht="18" customHeight="1">
      <c r="K732" s="171" t="s">
        <v>702</v>
      </c>
      <c r="L732" s="171"/>
      <c r="M732" s="171"/>
    </row>
    <row r="733" spans="11:13" ht="18" customHeight="1">
      <c r="K733" s="171" t="s">
        <v>702</v>
      </c>
      <c r="L733" s="171"/>
      <c r="M733" s="171"/>
    </row>
    <row r="734" spans="11:13" ht="18" customHeight="1">
      <c r="K734" s="171" t="s">
        <v>702</v>
      </c>
      <c r="L734" s="171"/>
      <c r="M734" s="171"/>
    </row>
    <row r="735" spans="11:13" ht="18" customHeight="1">
      <c r="K735" s="171" t="s">
        <v>702</v>
      </c>
      <c r="L735" s="171"/>
      <c r="M735" s="171"/>
    </row>
    <row r="736" spans="11:13" ht="18" customHeight="1">
      <c r="K736" s="171" t="s">
        <v>702</v>
      </c>
      <c r="L736" s="171"/>
      <c r="M736" s="171"/>
    </row>
    <row r="737" spans="11:13" ht="18" customHeight="1">
      <c r="K737" s="171" t="s">
        <v>702</v>
      </c>
      <c r="L737" s="171"/>
      <c r="M737" s="171"/>
    </row>
    <row r="738" spans="11:13" ht="18" customHeight="1">
      <c r="K738" s="171" t="s">
        <v>702</v>
      </c>
      <c r="L738" s="171"/>
      <c r="M738" s="171"/>
    </row>
    <row r="739" spans="11:13" ht="18" customHeight="1">
      <c r="K739" s="171" t="s">
        <v>702</v>
      </c>
      <c r="L739" s="171"/>
      <c r="M739" s="171"/>
    </row>
    <row r="740" spans="11:13" ht="18" customHeight="1">
      <c r="K740" s="171" t="s">
        <v>702</v>
      </c>
      <c r="L740" s="171"/>
      <c r="M740" s="171"/>
    </row>
    <row r="741" spans="11:13" ht="18" customHeight="1">
      <c r="K741" s="171" t="s">
        <v>702</v>
      </c>
      <c r="L741" s="171"/>
      <c r="M741" s="171"/>
    </row>
    <row r="742" spans="11:13" ht="18" customHeight="1">
      <c r="K742" s="171" t="s">
        <v>702</v>
      </c>
      <c r="L742" s="171"/>
      <c r="M742" s="171"/>
    </row>
    <row r="743" spans="11:13" ht="18" customHeight="1">
      <c r="K743" s="171" t="s">
        <v>702</v>
      </c>
      <c r="L743" s="171"/>
      <c r="M743" s="171"/>
    </row>
    <row r="744" spans="11:13" ht="18" customHeight="1">
      <c r="K744" s="171" t="s">
        <v>702</v>
      </c>
      <c r="L744" s="171"/>
      <c r="M744" s="171"/>
    </row>
    <row r="745" spans="11:13" ht="18" customHeight="1">
      <c r="K745" s="171" t="s">
        <v>702</v>
      </c>
      <c r="L745" s="171"/>
      <c r="M745" s="171"/>
    </row>
    <row r="746" spans="11:13" ht="18" customHeight="1">
      <c r="K746" s="171" t="s">
        <v>702</v>
      </c>
      <c r="L746" s="171"/>
      <c r="M746" s="171"/>
    </row>
    <row r="747" spans="11:13" ht="18" customHeight="1">
      <c r="K747" s="171" t="s">
        <v>702</v>
      </c>
      <c r="L747" s="171"/>
      <c r="M747" s="171"/>
    </row>
    <row r="748" spans="11:13" ht="18" customHeight="1">
      <c r="K748" s="171" t="s">
        <v>702</v>
      </c>
      <c r="L748" s="171"/>
      <c r="M748" s="171"/>
    </row>
    <row r="749" spans="11:13" ht="18" customHeight="1">
      <c r="K749" s="171" t="s">
        <v>702</v>
      </c>
      <c r="L749" s="171"/>
      <c r="M749" s="171"/>
    </row>
    <row r="750" spans="11:13" ht="18" customHeight="1">
      <c r="K750" s="171" t="s">
        <v>702</v>
      </c>
      <c r="L750" s="171"/>
      <c r="M750" s="171"/>
    </row>
    <row r="751" spans="11:13" ht="18" customHeight="1">
      <c r="K751" s="171" t="s">
        <v>702</v>
      </c>
      <c r="L751" s="171"/>
      <c r="M751" s="171"/>
    </row>
    <row r="752" spans="11:13" ht="18" customHeight="1">
      <c r="K752" s="171" t="s">
        <v>702</v>
      </c>
      <c r="L752" s="171"/>
      <c r="M752" s="171"/>
    </row>
    <row r="753" spans="11:13" ht="18" customHeight="1">
      <c r="K753" s="171" t="s">
        <v>702</v>
      </c>
      <c r="L753" s="171"/>
      <c r="M753" s="171"/>
    </row>
    <row r="754" spans="11:13" ht="18" customHeight="1">
      <c r="K754" s="171" t="s">
        <v>702</v>
      </c>
      <c r="L754" s="171"/>
      <c r="M754" s="171"/>
    </row>
    <row r="755" spans="11:13" ht="18" customHeight="1">
      <c r="K755" s="171" t="s">
        <v>702</v>
      </c>
      <c r="L755" s="171"/>
      <c r="M755" s="171"/>
    </row>
    <row r="756" spans="11:13" ht="18" customHeight="1">
      <c r="K756" s="171" t="s">
        <v>702</v>
      </c>
      <c r="L756" s="171"/>
      <c r="M756" s="171"/>
    </row>
    <row r="757" spans="11:13" ht="18" customHeight="1">
      <c r="K757" s="171" t="s">
        <v>702</v>
      </c>
      <c r="L757" s="171"/>
      <c r="M757" s="171"/>
    </row>
    <row r="758" spans="11:13" ht="18" customHeight="1">
      <c r="K758" s="171" t="s">
        <v>702</v>
      </c>
      <c r="L758" s="171"/>
      <c r="M758" s="171"/>
    </row>
    <row r="759" spans="11:13" ht="18" customHeight="1">
      <c r="K759" s="171" t="s">
        <v>702</v>
      </c>
      <c r="L759" s="171"/>
      <c r="M759" s="171"/>
    </row>
    <row r="760" spans="11:13" ht="18" customHeight="1">
      <c r="K760" s="171" t="s">
        <v>702</v>
      </c>
      <c r="L760" s="171"/>
      <c r="M760" s="171"/>
    </row>
    <row r="761" spans="11:13" ht="18" customHeight="1">
      <c r="K761" s="171" t="s">
        <v>702</v>
      </c>
      <c r="L761" s="171"/>
      <c r="M761" s="171"/>
    </row>
    <row r="762" spans="11:13" ht="18" customHeight="1">
      <c r="K762" s="171" t="s">
        <v>702</v>
      </c>
      <c r="L762" s="171"/>
      <c r="M762" s="171"/>
    </row>
    <row r="763" spans="11:13" ht="18" customHeight="1">
      <c r="K763" s="171" t="s">
        <v>702</v>
      </c>
      <c r="L763" s="171"/>
      <c r="M763" s="171"/>
    </row>
    <row r="764" spans="11:13" ht="18" customHeight="1">
      <c r="K764" s="171" t="s">
        <v>702</v>
      </c>
      <c r="L764" s="171"/>
      <c r="M764" s="171"/>
    </row>
    <row r="765" spans="11:13" ht="18" customHeight="1">
      <c r="K765" s="171" t="s">
        <v>702</v>
      </c>
      <c r="L765" s="171"/>
      <c r="M765" s="171"/>
    </row>
    <row r="766" spans="11:13" ht="18" customHeight="1">
      <c r="K766" s="171" t="s">
        <v>702</v>
      </c>
      <c r="L766" s="171"/>
      <c r="M766" s="171"/>
    </row>
    <row r="767" spans="11:13" ht="18" customHeight="1">
      <c r="K767" s="171" t="s">
        <v>702</v>
      </c>
      <c r="L767" s="171"/>
      <c r="M767" s="171"/>
    </row>
    <row r="768" spans="11:13" ht="18" customHeight="1">
      <c r="K768" s="171" t="s">
        <v>702</v>
      </c>
      <c r="L768" s="171"/>
      <c r="M768" s="171"/>
    </row>
    <row r="769" spans="11:13" ht="18" customHeight="1">
      <c r="K769" s="171" t="s">
        <v>702</v>
      </c>
      <c r="L769" s="171"/>
      <c r="M769" s="171"/>
    </row>
    <row r="770" spans="11:13" ht="18" customHeight="1">
      <c r="K770" s="171" t="s">
        <v>702</v>
      </c>
      <c r="L770" s="171"/>
      <c r="M770" s="171"/>
    </row>
    <row r="771" spans="11:13" ht="18" customHeight="1">
      <c r="K771" s="171" t="s">
        <v>702</v>
      </c>
      <c r="L771" s="171"/>
      <c r="M771" s="171"/>
    </row>
    <row r="772" spans="11:13" ht="18" customHeight="1">
      <c r="K772" s="171" t="s">
        <v>702</v>
      </c>
      <c r="L772" s="171"/>
      <c r="M772" s="171"/>
    </row>
    <row r="773" spans="11:13" ht="18" customHeight="1">
      <c r="K773" s="171" t="s">
        <v>702</v>
      </c>
      <c r="L773" s="171"/>
      <c r="M773" s="171"/>
    </row>
    <row r="774" spans="11:13" ht="18" customHeight="1">
      <c r="K774" s="171" t="s">
        <v>702</v>
      </c>
      <c r="L774" s="171"/>
      <c r="M774" s="171"/>
    </row>
    <row r="775" spans="11:13" ht="18" customHeight="1">
      <c r="K775" s="171" t="s">
        <v>702</v>
      </c>
      <c r="L775" s="171"/>
      <c r="M775" s="171"/>
    </row>
    <row r="776" spans="11:13" ht="18" customHeight="1">
      <c r="K776" s="171" t="s">
        <v>702</v>
      </c>
      <c r="L776" s="171"/>
      <c r="M776" s="171"/>
    </row>
    <row r="777" spans="11:13" ht="18" customHeight="1">
      <c r="K777" s="171" t="s">
        <v>702</v>
      </c>
      <c r="L777" s="171"/>
      <c r="M777" s="171"/>
    </row>
    <row r="778" spans="11:13" ht="18" customHeight="1">
      <c r="K778" s="171" t="s">
        <v>702</v>
      </c>
      <c r="L778" s="171"/>
      <c r="M778" s="171"/>
    </row>
    <row r="779" spans="11:13" ht="18" customHeight="1">
      <c r="K779" s="171" t="s">
        <v>702</v>
      </c>
      <c r="L779" s="171"/>
      <c r="M779" s="171"/>
    </row>
    <row r="780" spans="11:13" ht="18" customHeight="1">
      <c r="K780" s="171" t="s">
        <v>702</v>
      </c>
      <c r="L780" s="171"/>
      <c r="M780" s="171"/>
    </row>
    <row r="781" spans="11:13" ht="18" customHeight="1">
      <c r="K781" s="171" t="s">
        <v>702</v>
      </c>
      <c r="L781" s="171"/>
      <c r="M781" s="171"/>
    </row>
    <row r="782" spans="11:13" ht="18" customHeight="1">
      <c r="K782" s="171" t="s">
        <v>702</v>
      </c>
      <c r="L782" s="171"/>
      <c r="M782" s="171"/>
    </row>
    <row r="783" spans="11:13" ht="18" customHeight="1">
      <c r="K783" s="171" t="s">
        <v>702</v>
      </c>
      <c r="L783" s="171"/>
      <c r="M783" s="171"/>
    </row>
    <row r="784" spans="11:13" ht="18" customHeight="1">
      <c r="K784" s="171" t="s">
        <v>702</v>
      </c>
      <c r="L784" s="171"/>
      <c r="M784" s="171"/>
    </row>
    <row r="785" spans="11:13" ht="18" customHeight="1">
      <c r="K785" s="171" t="s">
        <v>702</v>
      </c>
      <c r="L785" s="171"/>
      <c r="M785" s="171"/>
    </row>
    <row r="786" spans="11:13" ht="18" customHeight="1">
      <c r="K786" s="171" t="s">
        <v>702</v>
      </c>
      <c r="L786" s="171"/>
      <c r="M786" s="171"/>
    </row>
    <row r="787" spans="11:13" ht="18" customHeight="1">
      <c r="K787" s="171" t="s">
        <v>702</v>
      </c>
      <c r="L787" s="171"/>
      <c r="M787" s="171"/>
    </row>
    <row r="788" spans="11:13" ht="18" customHeight="1">
      <c r="K788" s="171" t="s">
        <v>702</v>
      </c>
      <c r="L788" s="171"/>
      <c r="M788" s="171"/>
    </row>
    <row r="789" spans="11:13" ht="18" customHeight="1">
      <c r="K789" s="171" t="s">
        <v>702</v>
      </c>
      <c r="L789" s="171"/>
      <c r="M789" s="171"/>
    </row>
    <row r="790" spans="11:13" ht="18" customHeight="1">
      <c r="K790" s="171" t="s">
        <v>702</v>
      </c>
      <c r="L790" s="171"/>
      <c r="M790" s="171"/>
    </row>
    <row r="791" spans="11:13" ht="18" customHeight="1">
      <c r="K791" s="171" t="s">
        <v>702</v>
      </c>
      <c r="L791" s="171"/>
      <c r="M791" s="171"/>
    </row>
    <row r="792" spans="11:13" ht="18" customHeight="1">
      <c r="K792" s="171" t="s">
        <v>702</v>
      </c>
      <c r="L792" s="171"/>
      <c r="M792" s="171"/>
    </row>
    <row r="793" spans="11:13" ht="18" customHeight="1">
      <c r="K793" s="171" t="s">
        <v>702</v>
      </c>
      <c r="L793" s="171"/>
      <c r="M793" s="171"/>
    </row>
    <row r="794" spans="11:13" ht="18" customHeight="1">
      <c r="K794" s="171" t="s">
        <v>702</v>
      </c>
      <c r="L794" s="171"/>
      <c r="M794" s="171"/>
    </row>
    <row r="795" spans="11:13" ht="18" customHeight="1">
      <c r="K795" s="171" t="s">
        <v>702</v>
      </c>
      <c r="L795" s="171"/>
      <c r="M795" s="171"/>
    </row>
    <row r="796" spans="11:13" ht="18" customHeight="1">
      <c r="K796" s="171" t="s">
        <v>702</v>
      </c>
      <c r="L796" s="171"/>
      <c r="M796" s="171"/>
    </row>
    <row r="797" spans="11:13" ht="18" customHeight="1">
      <c r="K797" s="171" t="s">
        <v>702</v>
      </c>
      <c r="L797" s="171"/>
      <c r="M797" s="171"/>
    </row>
    <row r="798" spans="11:13" ht="18" customHeight="1">
      <c r="K798" s="171" t="s">
        <v>702</v>
      </c>
      <c r="L798" s="171"/>
      <c r="M798" s="171"/>
    </row>
    <row r="799" spans="11:13" ht="18" customHeight="1">
      <c r="K799" s="171" t="s">
        <v>702</v>
      </c>
      <c r="L799" s="171"/>
      <c r="M799" s="171"/>
    </row>
    <row r="800" spans="11:13" ht="18" customHeight="1">
      <c r="K800" s="171" t="s">
        <v>702</v>
      </c>
      <c r="L800" s="171"/>
      <c r="M800" s="171"/>
    </row>
    <row r="801" spans="11:13" ht="18" customHeight="1">
      <c r="K801" s="171" t="s">
        <v>702</v>
      </c>
      <c r="L801" s="171"/>
      <c r="M801" s="171"/>
    </row>
    <row r="802" spans="11:13" ht="18" customHeight="1">
      <c r="K802" s="171" t="s">
        <v>702</v>
      </c>
      <c r="L802" s="171"/>
      <c r="M802" s="171"/>
    </row>
    <row r="803" spans="11:13" ht="18" customHeight="1">
      <c r="K803" s="171" t="s">
        <v>702</v>
      </c>
      <c r="M803" s="171"/>
    </row>
    <row r="804" spans="11:13" ht="18" customHeight="1">
      <c r="K804" s="171" t="s">
        <v>702</v>
      </c>
      <c r="M804" s="171"/>
    </row>
    <row r="805" spans="11:13" ht="18" customHeight="1">
      <c r="K805" s="171" t="s">
        <v>702</v>
      </c>
      <c r="M805" s="171"/>
    </row>
    <row r="806" spans="11:13" ht="18" customHeight="1">
      <c r="K806" s="171" t="s">
        <v>702</v>
      </c>
      <c r="M806" s="171"/>
    </row>
    <row r="807" spans="11:13" ht="18" customHeight="1">
      <c r="K807" s="171" t="s">
        <v>702</v>
      </c>
      <c r="M807" s="171"/>
    </row>
    <row r="808" spans="11:13" ht="18" customHeight="1">
      <c r="K808" s="171" t="s">
        <v>702</v>
      </c>
      <c r="M808" s="171"/>
    </row>
    <row r="809" spans="11:13" ht="18" customHeight="1">
      <c r="K809" s="171" t="s">
        <v>702</v>
      </c>
      <c r="M809" s="171"/>
    </row>
    <row r="810" spans="11:13" ht="18" customHeight="1">
      <c r="K810" s="171" t="s">
        <v>702</v>
      </c>
      <c r="M810" s="171"/>
    </row>
  </sheetData>
  <mergeCells count="10">
    <mergeCell ref="B12:C13"/>
    <mergeCell ref="J12:J13"/>
    <mergeCell ref="L12:L13"/>
    <mergeCell ref="J64:J68"/>
    <mergeCell ref="D3:E3"/>
    <mergeCell ref="D4:E4"/>
    <mergeCell ref="D5:E5"/>
    <mergeCell ref="G3:H3"/>
    <mergeCell ref="G4:H4"/>
    <mergeCell ref="G5:H5"/>
  </mergeCells>
  <phoneticPr fontId="14" type="noConversion"/>
  <conditionalFormatting sqref="V14:V40">
    <cfRule type="cellIs" dxfId="6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2" manualBreakCount="2">
    <brk id="85" min="13" max="28" man="1"/>
    <brk id="106" min="13" max="28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54">
    <tabColor rgb="FFFFC000"/>
    <pageSetUpPr fitToPage="1"/>
  </sheetPr>
  <dimension ref="A1:AC763"/>
  <sheetViews>
    <sheetView showGridLines="0" zoomScale="85" zoomScaleNormal="85" zoomScaleSheetLayoutView="75" workbookViewId="0">
      <selection activeCell="B14" sqref="B14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1443</v>
      </c>
    </row>
    <row r="2" spans="1:26" ht="19.5" thickBot="1">
      <c r="B2" s="66" t="s">
        <v>1</v>
      </c>
    </row>
    <row r="3" spans="1:26" ht="18" customHeight="1">
      <c r="B3" s="773" t="s">
        <v>431</v>
      </c>
      <c r="C3" s="774"/>
      <c r="D3" s="775">
        <v>10</v>
      </c>
      <c r="E3" s="776"/>
      <c r="F3" s="44" t="s">
        <v>386</v>
      </c>
      <c r="G3" s="767" t="s">
        <v>1104</v>
      </c>
      <c r="H3" s="768"/>
      <c r="I3" s="656">
        <v>2</v>
      </c>
      <c r="J3" s="669" t="s">
        <v>1105</v>
      </c>
    </row>
    <row r="4" spans="1:26" ht="18" customHeight="1">
      <c r="B4" s="777" t="s">
        <v>1329</v>
      </c>
      <c r="C4" s="778"/>
      <c r="D4" s="779">
        <v>10</v>
      </c>
      <c r="E4" s="780"/>
      <c r="F4" s="65" t="str">
        <f>F3</f>
        <v>㎢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387</v>
      </c>
      <c r="C5" s="782"/>
      <c r="D5" s="783">
        <f>ROUND((IF(D4&lt;=3,3,D4)/D3)^0.5,3)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1441</v>
      </c>
      <c r="C6" s="36"/>
      <c r="D6" s="36"/>
      <c r="E6" s="36"/>
      <c r="F6" s="36"/>
      <c r="G6" s="9" t="s">
        <v>1107</v>
      </c>
      <c r="J6" s="36"/>
    </row>
    <row r="7" spans="1:26" ht="18" customHeight="1">
      <c r="B7" s="9"/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SUBTOTAL(9,W11:W40)</f>
        <v>237292382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SUBTOTAL(9,W12:W37)</f>
        <v>88752194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SUBTOTAL(9,W13:W32)</f>
        <v>82752194</v>
      </c>
      <c r="X12" s="160"/>
      <c r="Y12" s="168"/>
      <c r="Z12" s="168"/>
    </row>
    <row r="13" spans="1:26" ht="18" customHeight="1">
      <c r="B13" s="225" t="s">
        <v>388</v>
      </c>
      <c r="C13" s="72"/>
      <c r="D13" s="203">
        <f t="shared" ref="D13:I13" si="0">SUBTOTAL(9,D14:D14)</f>
        <v>1.1000000000000001</v>
      </c>
      <c r="E13" s="204">
        <f t="shared" si="0"/>
        <v>1.8</v>
      </c>
      <c r="F13" s="204">
        <f t="shared" si="0"/>
        <v>5.8</v>
      </c>
      <c r="G13" s="204">
        <f t="shared" si="0"/>
        <v>7.8</v>
      </c>
      <c r="H13" s="204">
        <f t="shared" si="0"/>
        <v>8.6</v>
      </c>
      <c r="I13" s="205">
        <f t="shared" si="0"/>
        <v>9.1999999999999993</v>
      </c>
      <c r="J13" s="654"/>
      <c r="L13" s="232"/>
      <c r="N13" s="294" t="str">
        <f>B13</f>
        <v>1. 기초조사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SUBTOTAL(9,W14:W14)</f>
        <v>9616923</v>
      </c>
      <c r="X13" s="194"/>
      <c r="Y13" s="170" t="str">
        <f t="shared" ref="Y13:Y27" si="1">IF(A34&gt;0, "제 " &amp;A34&amp; " 호표","")</f>
        <v/>
      </c>
      <c r="Z13" s="170"/>
    </row>
    <row r="14" spans="1:26" ht="18" customHeight="1">
      <c r="B14" s="223" t="s">
        <v>389</v>
      </c>
      <c r="C14" s="23"/>
      <c r="D14" s="197">
        <v>1.1000000000000001</v>
      </c>
      <c r="E14" s="198">
        <v>1.8</v>
      </c>
      <c r="F14" s="198">
        <v>5.8</v>
      </c>
      <c r="G14" s="198">
        <v>7.8</v>
      </c>
      <c r="H14" s="198">
        <v>8.6</v>
      </c>
      <c r="I14" s="199">
        <v>9.1999999999999993</v>
      </c>
      <c r="J14" s="389" t="s">
        <v>1439</v>
      </c>
      <c r="L14" s="233">
        <v>1</v>
      </c>
      <c r="N14" s="296" t="str">
        <f>B14</f>
        <v>1-1. 기초조사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SUM((ROUNDDOWN((D35:I35)*단가,0)))</f>
        <v>9616923</v>
      </c>
      <c r="X14" s="154"/>
      <c r="Y14" s="150" t="str">
        <f t="shared" si="1"/>
        <v>제 1 호표</v>
      </c>
      <c r="Z14" s="150"/>
    </row>
    <row r="15" spans="1:26" ht="18" customHeight="1">
      <c r="B15" s="222" t="s">
        <v>390</v>
      </c>
      <c r="C15" s="47"/>
      <c r="D15" s="48">
        <f t="shared" ref="D15:I15" si="2">SUBTOTAL(9,D16:D20)</f>
        <v>3</v>
      </c>
      <c r="E15" s="49">
        <f t="shared" si="2"/>
        <v>4</v>
      </c>
      <c r="F15" s="49">
        <f t="shared" si="2"/>
        <v>12</v>
      </c>
      <c r="G15" s="49">
        <f t="shared" si="2"/>
        <v>14</v>
      </c>
      <c r="H15" s="49">
        <f t="shared" si="2"/>
        <v>31</v>
      </c>
      <c r="I15" s="50">
        <f t="shared" si="2"/>
        <v>40</v>
      </c>
      <c r="J15" s="389"/>
      <c r="L15" s="233"/>
      <c r="N15" s="292" t="str">
        <f>B15</f>
        <v>2. 개발여건분석</v>
      </c>
      <c r="O15" s="37"/>
      <c r="P15" s="39"/>
      <c r="Q15" s="37"/>
      <c r="R15" s="117"/>
      <c r="S15" s="37"/>
      <c r="T15" s="37"/>
      <c r="U15" s="226"/>
      <c r="V15" s="231"/>
      <c r="W15" s="195">
        <f ca="1">SUBTOTAL(9,W16:W20)</f>
        <v>28060309</v>
      </c>
      <c r="X15" s="196"/>
      <c r="Y15" s="150" t="str">
        <f t="shared" si="1"/>
        <v/>
      </c>
      <c r="Z15" s="150"/>
    </row>
    <row r="16" spans="1:26" ht="18" customHeight="1">
      <c r="B16" s="223" t="s">
        <v>1425</v>
      </c>
      <c r="C16" s="23"/>
      <c r="D16" s="197">
        <v>0.6</v>
      </c>
      <c r="E16" s="198">
        <v>0.8</v>
      </c>
      <c r="F16" s="198">
        <v>3</v>
      </c>
      <c r="G16" s="198">
        <v>3</v>
      </c>
      <c r="H16" s="198">
        <v>7</v>
      </c>
      <c r="I16" s="199">
        <v>8</v>
      </c>
      <c r="J16" s="389" t="s">
        <v>1090</v>
      </c>
      <c r="L16" s="233">
        <v>1</v>
      </c>
      <c r="N16" s="296" t="str">
        <f>B16</f>
        <v>2.1 개발가용지 분석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SUM((ROUNDDOWN((D37:I37)*단가,0)))</f>
        <v>6045987</v>
      </c>
      <c r="X16" s="154"/>
      <c r="Y16" s="150" t="str">
        <f t="shared" si="1"/>
        <v>제 2 호표</v>
      </c>
      <c r="Z16" s="150"/>
    </row>
    <row r="17" spans="2:26" ht="18" customHeight="1">
      <c r="B17" s="791" t="s">
        <v>1426</v>
      </c>
      <c r="C17" s="792"/>
      <c r="D17" s="197">
        <v>0.6</v>
      </c>
      <c r="E17" s="198">
        <v>0.8</v>
      </c>
      <c r="F17" s="198">
        <v>3</v>
      </c>
      <c r="G17" s="198">
        <v>3</v>
      </c>
      <c r="H17" s="198">
        <v>6</v>
      </c>
      <c r="I17" s="199">
        <v>8</v>
      </c>
      <c r="J17" s="389" t="s">
        <v>1090</v>
      </c>
      <c r="L17" s="233">
        <v>1</v>
      </c>
      <c r="N17" s="296" t="str">
        <f>B17</f>
        <v>2.2 개발압력 분석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SUM((ROUNDDOWN((D38:I38)*단가,0)))</f>
        <v>5810528</v>
      </c>
      <c r="X17" s="154"/>
      <c r="Y17" s="150" t="str">
        <f t="shared" si="1"/>
        <v>제 3 호표</v>
      </c>
      <c r="Z17" s="150"/>
    </row>
    <row r="18" spans="2:26" ht="18" customHeight="1">
      <c r="B18" s="223" t="s">
        <v>1427</v>
      </c>
      <c r="C18" s="23"/>
      <c r="D18" s="197">
        <v>0.6</v>
      </c>
      <c r="E18" s="198">
        <v>0.8</v>
      </c>
      <c r="F18" s="198">
        <v>2</v>
      </c>
      <c r="G18" s="198">
        <v>3</v>
      </c>
      <c r="H18" s="198">
        <v>6</v>
      </c>
      <c r="I18" s="199">
        <v>8</v>
      </c>
      <c r="J18" s="389" t="s">
        <v>1090</v>
      </c>
      <c r="L18" s="233">
        <v>1</v>
      </c>
      <c r="N18" s="296" t="str">
        <f t="shared" ref="N18:N32" si="3">B18</f>
        <v>2.3 지가변동 분석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SUM((ROUNDDOWN((D39:I39)*단가,0)))</f>
        <v>5499644</v>
      </c>
      <c r="X18" s="154"/>
      <c r="Y18" s="150" t="str">
        <f t="shared" si="1"/>
        <v>제 4 호표</v>
      </c>
      <c r="Z18" s="150"/>
    </row>
    <row r="19" spans="2:26" ht="18" customHeight="1">
      <c r="B19" s="223" t="s">
        <v>1428</v>
      </c>
      <c r="C19" s="23"/>
      <c r="D19" s="197">
        <v>0.6</v>
      </c>
      <c r="E19" s="198">
        <v>0.8</v>
      </c>
      <c r="F19" s="198">
        <v>2</v>
      </c>
      <c r="G19" s="198">
        <v>3</v>
      </c>
      <c r="H19" s="198">
        <v>6</v>
      </c>
      <c r="I19" s="199">
        <v>8</v>
      </c>
      <c r="J19" s="389" t="s">
        <v>1090</v>
      </c>
      <c r="L19" s="233">
        <v>1</v>
      </c>
      <c r="N19" s="296" t="str">
        <f t="shared" si="3"/>
        <v>2.4 인구증가 분석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SUM((ROUNDDOWN((D40:I40)*단가,0)))</f>
        <v>5499644</v>
      </c>
      <c r="X19" s="154"/>
      <c r="Y19" s="150" t="str">
        <f t="shared" si="1"/>
        <v>제 5 호표</v>
      </c>
      <c r="Z19" s="150"/>
    </row>
    <row r="20" spans="2:26" ht="18" customHeight="1">
      <c r="B20" s="223" t="s">
        <v>1429</v>
      </c>
      <c r="C20" s="23"/>
      <c r="D20" s="197">
        <v>0.6</v>
      </c>
      <c r="E20" s="198">
        <v>0.8</v>
      </c>
      <c r="F20" s="198">
        <v>2</v>
      </c>
      <c r="G20" s="198">
        <v>2</v>
      </c>
      <c r="H20" s="198">
        <v>6</v>
      </c>
      <c r="I20" s="199">
        <v>8</v>
      </c>
      <c r="J20" s="389" t="s">
        <v>1090</v>
      </c>
      <c r="L20" s="233">
        <v>1</v>
      </c>
      <c r="N20" s="296" t="str">
        <f t="shared" si="3"/>
        <v>2.5 관련계획 분석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SUM((ROUNDDOWN((D41:I41)*단가,0)))</f>
        <v>5204506</v>
      </c>
      <c r="X20" s="154"/>
      <c r="Y20" s="150" t="str">
        <f t="shared" si="1"/>
        <v>제 6 호표</v>
      </c>
      <c r="Z20" s="150"/>
    </row>
    <row r="21" spans="2:26" ht="18" customHeight="1">
      <c r="B21" s="222" t="s">
        <v>1430</v>
      </c>
      <c r="C21" s="47"/>
      <c r="D21" s="48">
        <f t="shared" ref="D21:I21" si="4">SUBTOTAL(9,D22:D24)</f>
        <v>1.4000000000000001</v>
      </c>
      <c r="E21" s="49">
        <f t="shared" si="4"/>
        <v>2.9</v>
      </c>
      <c r="F21" s="49">
        <f t="shared" si="4"/>
        <v>6.6</v>
      </c>
      <c r="G21" s="49">
        <f t="shared" si="4"/>
        <v>9.9</v>
      </c>
      <c r="H21" s="49">
        <f t="shared" si="4"/>
        <v>13</v>
      </c>
      <c r="I21" s="50">
        <f t="shared" si="4"/>
        <v>15</v>
      </c>
      <c r="J21" s="389"/>
      <c r="L21" s="233"/>
      <c r="N21" s="292" t="str">
        <f>B21</f>
        <v>3. 성장관리계획구역의 지정</v>
      </c>
      <c r="O21" s="37"/>
      <c r="P21" s="39"/>
      <c r="Q21" s="37"/>
      <c r="R21" s="117"/>
      <c r="S21" s="37"/>
      <c r="T21" s="37"/>
      <c r="U21" s="226"/>
      <c r="V21" s="231"/>
      <c r="W21" s="195">
        <f ca="1">SUBTOTAL(9,W22:W24)</f>
        <v>13522796</v>
      </c>
      <c r="X21" s="154"/>
      <c r="Y21" s="150" t="str">
        <f t="shared" si="1"/>
        <v/>
      </c>
      <c r="Z21" s="150"/>
    </row>
    <row r="22" spans="2:26" ht="18" customHeight="1">
      <c r="B22" s="223" t="s">
        <v>1431</v>
      </c>
      <c r="C22" s="23"/>
      <c r="D22" s="197">
        <v>0.4</v>
      </c>
      <c r="E22" s="198">
        <v>0.8</v>
      </c>
      <c r="F22" s="198">
        <v>2</v>
      </c>
      <c r="G22" s="198">
        <v>2.5</v>
      </c>
      <c r="H22" s="198">
        <v>4</v>
      </c>
      <c r="I22" s="199">
        <v>8</v>
      </c>
      <c r="J22" s="389" t="s">
        <v>1090</v>
      </c>
      <c r="L22" s="233">
        <v>1</v>
      </c>
      <c r="N22" s="296" t="str">
        <f t="shared" si="3"/>
        <v>3.1 평가지표 설정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SUM((ROUNDDOWN((D43:I43)*단가,0)))</f>
        <v>4787713</v>
      </c>
      <c r="X22" s="154"/>
      <c r="Y22" s="150" t="str">
        <f t="shared" si="1"/>
        <v>제 7 호표</v>
      </c>
      <c r="Z22" s="150"/>
    </row>
    <row r="23" spans="2:26" ht="18" customHeight="1">
      <c r="B23" s="223" t="s">
        <v>1432</v>
      </c>
      <c r="C23" s="43"/>
      <c r="D23" s="206">
        <v>0.2</v>
      </c>
      <c r="E23" s="207">
        <v>0.6</v>
      </c>
      <c r="F23" s="207">
        <v>1.6</v>
      </c>
      <c r="G23" s="207">
        <v>2.4</v>
      </c>
      <c r="H23" s="207">
        <v>3</v>
      </c>
      <c r="I23" s="208">
        <v>3</v>
      </c>
      <c r="J23" s="390" t="s">
        <v>1090</v>
      </c>
      <c r="L23" s="233">
        <v>1</v>
      </c>
      <c r="N23" s="296" t="str">
        <f t="shared" si="3"/>
        <v>3.2 현장조사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SUM((ROUNDDOWN((D44:I44)*단가,0)))</f>
        <v>2979837</v>
      </c>
      <c r="X23" s="154"/>
      <c r="Y23" s="150" t="str">
        <f t="shared" si="1"/>
        <v>제 8 호표</v>
      </c>
      <c r="Z23" s="150"/>
    </row>
    <row r="24" spans="2:26" ht="18" customHeight="1">
      <c r="B24" s="223" t="s">
        <v>1433</v>
      </c>
      <c r="C24" s="43"/>
      <c r="D24" s="206">
        <v>0.8</v>
      </c>
      <c r="E24" s="207">
        <v>1.5</v>
      </c>
      <c r="F24" s="207">
        <v>3</v>
      </c>
      <c r="G24" s="207">
        <v>5</v>
      </c>
      <c r="H24" s="207">
        <v>6</v>
      </c>
      <c r="I24" s="208">
        <v>4</v>
      </c>
      <c r="J24" s="390" t="s">
        <v>1090</v>
      </c>
      <c r="L24" s="233">
        <v>1</v>
      </c>
      <c r="N24" s="296" t="str">
        <f t="shared" si="3"/>
        <v>3.3 성장관리지역 지정(안) 작성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SUM((ROUNDDOWN((D45:I45)*단가,0)))</f>
        <v>5755246</v>
      </c>
      <c r="X24" s="154"/>
      <c r="Y24" s="150" t="str">
        <f t="shared" si="1"/>
        <v>제 9 호표</v>
      </c>
      <c r="Z24" s="150"/>
    </row>
    <row r="25" spans="2:26" ht="18" customHeight="1">
      <c r="B25" s="222" t="s">
        <v>391</v>
      </c>
      <c r="C25" s="47"/>
      <c r="D25" s="48">
        <f t="shared" ref="D25:I25" si="5">SUBTOTAL(9,D26:D27)</f>
        <v>1.2</v>
      </c>
      <c r="E25" s="49">
        <f t="shared" si="5"/>
        <v>1.7999999999999998</v>
      </c>
      <c r="F25" s="49">
        <f t="shared" si="5"/>
        <v>4.2</v>
      </c>
      <c r="G25" s="49">
        <f t="shared" si="5"/>
        <v>7</v>
      </c>
      <c r="H25" s="49">
        <f t="shared" si="5"/>
        <v>9</v>
      </c>
      <c r="I25" s="50">
        <f t="shared" si="5"/>
        <v>12.5</v>
      </c>
      <c r="J25" s="389"/>
      <c r="L25" s="233"/>
      <c r="N25" s="292" t="str">
        <f>B25</f>
        <v>4. 성과품작성</v>
      </c>
      <c r="O25" s="37"/>
      <c r="P25" s="39"/>
      <c r="Q25" s="37"/>
      <c r="R25" s="117"/>
      <c r="S25" s="37"/>
      <c r="T25" s="37"/>
      <c r="U25" s="226"/>
      <c r="V25" s="231"/>
      <c r="W25" s="195">
        <f ca="1">SUBTOTAL(9,W26:W27)</f>
        <v>9849590</v>
      </c>
      <c r="X25" s="154"/>
      <c r="Y25" s="150" t="str">
        <f t="shared" si="1"/>
        <v/>
      </c>
      <c r="Z25" s="150"/>
    </row>
    <row r="26" spans="2:26" ht="18" customHeight="1">
      <c r="B26" s="223" t="s">
        <v>1434</v>
      </c>
      <c r="C26" s="23"/>
      <c r="D26" s="197">
        <v>0.6</v>
      </c>
      <c r="E26" s="198">
        <v>0.6</v>
      </c>
      <c r="F26" s="198">
        <v>1.2</v>
      </c>
      <c r="G26" s="198">
        <v>2</v>
      </c>
      <c r="H26" s="198">
        <v>3</v>
      </c>
      <c r="I26" s="199">
        <v>4.5</v>
      </c>
      <c r="J26" s="389" t="s">
        <v>1090</v>
      </c>
      <c r="L26" s="233">
        <v>1</v>
      </c>
      <c r="N26" s="296" t="str">
        <f t="shared" si="3"/>
        <v>4.1 보고서작성 및 편집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SUM((ROUNDDOWN((D47:I47)*단가,0)))</f>
        <v>3299445</v>
      </c>
      <c r="X26" s="154"/>
      <c r="Y26" s="150" t="str">
        <f t="shared" si="1"/>
        <v>제 10 호표</v>
      </c>
      <c r="Z26" s="150"/>
    </row>
    <row r="27" spans="2:26" ht="18" customHeight="1">
      <c r="B27" s="259" t="s">
        <v>1435</v>
      </c>
      <c r="C27" s="43"/>
      <c r="D27" s="206">
        <v>0.6</v>
      </c>
      <c r="E27" s="207">
        <v>1.2</v>
      </c>
      <c r="F27" s="207">
        <v>3</v>
      </c>
      <c r="G27" s="207">
        <v>5</v>
      </c>
      <c r="H27" s="207">
        <v>6</v>
      </c>
      <c r="I27" s="208">
        <v>8</v>
      </c>
      <c r="J27" s="389" t="s">
        <v>1090</v>
      </c>
      <c r="L27" s="233">
        <v>1</v>
      </c>
      <c r="N27" s="296" t="str">
        <f t="shared" si="3"/>
        <v>4.2 관련도서작성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SUM((ROUNDDOWN((D48:I48)*단가,0)))</f>
        <v>6550145</v>
      </c>
      <c r="X27" s="154"/>
      <c r="Y27" s="150" t="str">
        <f t="shared" si="1"/>
        <v>제 11 호표</v>
      </c>
      <c r="Z27" s="150"/>
    </row>
    <row r="28" spans="2:26" ht="18" customHeight="1">
      <c r="B28" s="222" t="s">
        <v>392</v>
      </c>
      <c r="C28" s="47"/>
      <c r="D28" s="48">
        <f t="shared" ref="D28:I28" si="6">SUBTOTAL(9,D29:D32)</f>
        <v>8</v>
      </c>
      <c r="E28" s="49">
        <f t="shared" si="6"/>
        <v>8</v>
      </c>
      <c r="F28" s="49">
        <f t="shared" si="6"/>
        <v>8</v>
      </c>
      <c r="G28" s="49">
        <f t="shared" si="6"/>
        <v>16</v>
      </c>
      <c r="H28" s="49">
        <f t="shared" si="6"/>
        <v>16</v>
      </c>
      <c r="I28" s="50">
        <f t="shared" si="6"/>
        <v>16</v>
      </c>
      <c r="J28" s="389"/>
      <c r="L28" s="233"/>
      <c r="N28" s="292" t="str">
        <f>B28</f>
        <v>5. 기술협의</v>
      </c>
      <c r="O28" s="37"/>
      <c r="P28" s="39"/>
      <c r="Q28" s="37"/>
      <c r="R28" s="117"/>
      <c r="S28" s="37"/>
      <c r="T28" s="37"/>
      <c r="U28" s="226"/>
      <c r="V28" s="231"/>
      <c r="W28" s="195">
        <f ca="1">SUBTOTAL(9,W29:W32)</f>
        <v>21702576</v>
      </c>
      <c r="X28" s="154"/>
      <c r="Y28" s="150" t="e">
        <f>IF(#REF!&gt;0, "제 " &amp;#REF!&amp; " 호표","")</f>
        <v>#REF!</v>
      </c>
      <c r="Z28" s="150"/>
    </row>
    <row r="29" spans="2:26" ht="18" customHeight="1">
      <c r="B29" s="223" t="s">
        <v>1203</v>
      </c>
      <c r="C29" s="23"/>
      <c r="D29" s="197">
        <v>2</v>
      </c>
      <c r="E29" s="198">
        <v>2</v>
      </c>
      <c r="F29" s="198">
        <v>2</v>
      </c>
      <c r="G29" s="198">
        <v>4</v>
      </c>
      <c r="H29" s="198">
        <v>4</v>
      </c>
      <c r="I29" s="199">
        <v>4</v>
      </c>
      <c r="J29" s="389" t="s">
        <v>1440</v>
      </c>
      <c r="L29" s="233">
        <v>1</v>
      </c>
      <c r="N29" s="296" t="str">
        <f t="shared" si="3"/>
        <v>5.1 공청회/주민설명회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SUM((ROUNDDOWN((D50:I50)*단가,0)))</f>
        <v>5425644</v>
      </c>
      <c r="X29" s="154"/>
      <c r="Y29" s="150" t="str">
        <f>IF(A50&gt;0, "제 " &amp;A50&amp; " 호표","")</f>
        <v>제 12 호표</v>
      </c>
      <c r="Z29" s="150"/>
    </row>
    <row r="30" spans="2:26" ht="18" customHeight="1">
      <c r="B30" s="223" t="s">
        <v>1436</v>
      </c>
      <c r="C30" s="23"/>
      <c r="D30" s="197">
        <v>2</v>
      </c>
      <c r="E30" s="198">
        <v>2</v>
      </c>
      <c r="F30" s="198">
        <v>2</v>
      </c>
      <c r="G30" s="198">
        <v>4</v>
      </c>
      <c r="H30" s="198">
        <v>4</v>
      </c>
      <c r="I30" s="199">
        <v>4</v>
      </c>
      <c r="J30" s="389" t="s">
        <v>1094</v>
      </c>
      <c r="L30" s="233">
        <v>1</v>
      </c>
      <c r="N30" s="296" t="str">
        <f t="shared" si="3"/>
        <v>5.2 주민간담회/시민계획단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SUM((ROUNDDOWN((D51:I51)*단가,0)))</f>
        <v>5425644</v>
      </c>
      <c r="X30" s="154"/>
      <c r="Y30" s="150" t="str">
        <f>IF(A51&gt;0, "제 " &amp;A51&amp; " 호표","")</f>
        <v>제 13 호표</v>
      </c>
      <c r="Z30" s="150"/>
    </row>
    <row r="31" spans="2:26" ht="18" customHeight="1">
      <c r="B31" s="223" t="s">
        <v>1437</v>
      </c>
      <c r="C31" s="23"/>
      <c r="D31" s="197">
        <v>2</v>
      </c>
      <c r="E31" s="198">
        <v>2</v>
      </c>
      <c r="F31" s="198">
        <v>2</v>
      </c>
      <c r="G31" s="198">
        <v>4</v>
      </c>
      <c r="H31" s="198">
        <v>4</v>
      </c>
      <c r="I31" s="199">
        <v>4</v>
      </c>
      <c r="J31" s="389" t="s">
        <v>1094</v>
      </c>
      <c r="L31" s="233">
        <v>1</v>
      </c>
      <c r="N31" s="296" t="str">
        <f t="shared" si="3"/>
        <v>5.3 위원회심의 지원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SUM((ROUNDDOWN((D52:I52)*단가,0)))</f>
        <v>5425644</v>
      </c>
      <c r="X31" s="154"/>
      <c r="Y31" s="150" t="str">
        <f>IF(A52&gt;0, "제 " &amp;A52&amp; " 호표","")</f>
        <v>제 14 호표</v>
      </c>
      <c r="Z31" s="150"/>
    </row>
    <row r="32" spans="2:26" ht="18" customHeight="1" thickBot="1">
      <c r="B32" s="223" t="s">
        <v>1438</v>
      </c>
      <c r="C32" s="23"/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612" t="s">
        <v>1094</v>
      </c>
      <c r="L32" s="233">
        <v>1</v>
      </c>
      <c r="N32" s="296" t="str">
        <f t="shared" si="3"/>
        <v>5.4 관계기관 협의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SUM((ROUNDDOWN((D53:I53)*단가,0)))</f>
        <v>5425644</v>
      </c>
      <c r="X32" s="154"/>
      <c r="Y32" s="150" t="str">
        <f>IF(A53&gt;0, "제 " &amp;A53&amp; " 호표","")</f>
        <v>제 15 호표</v>
      </c>
      <c r="Z32" s="150"/>
    </row>
    <row r="33" spans="1:26" ht="18" customHeight="1" thickBot="1">
      <c r="B33" s="14" t="s">
        <v>30</v>
      </c>
      <c r="C33" s="16"/>
      <c r="D33" s="14" t="s">
        <v>12</v>
      </c>
      <c r="E33" s="15"/>
      <c r="F33" s="15"/>
      <c r="G33" s="15"/>
      <c r="H33" s="15"/>
      <c r="I33" s="16"/>
      <c r="J33" s="175" t="s">
        <v>31</v>
      </c>
      <c r="N33" s="379"/>
      <c r="P33" s="371"/>
      <c r="R33" s="357"/>
      <c r="S33" s="1"/>
      <c r="T33" s="1"/>
      <c r="U33" s="258"/>
      <c r="V33" s="380"/>
      <c r="W33" s="373"/>
      <c r="X33" s="374"/>
      <c r="Y33" s="378"/>
      <c r="Z33" s="378"/>
    </row>
    <row r="34" spans="1:26" ht="18" customHeight="1">
      <c r="B34" s="225" t="str">
        <f>B13</f>
        <v>1. 기초조사</v>
      </c>
      <c r="C34" s="72"/>
      <c r="D34" s="203">
        <f t="shared" ref="D34:I34" si="7">SUBTOTAL(9,D35:D35)</f>
        <v>1.1000000000000001</v>
      </c>
      <c r="E34" s="204">
        <f t="shared" si="7"/>
        <v>1.8</v>
      </c>
      <c r="F34" s="204">
        <f t="shared" si="7"/>
        <v>5.8</v>
      </c>
      <c r="G34" s="204">
        <f t="shared" si="7"/>
        <v>7.8</v>
      </c>
      <c r="H34" s="204">
        <f t="shared" si="7"/>
        <v>8.6</v>
      </c>
      <c r="I34" s="205">
        <f t="shared" si="7"/>
        <v>9.1999999999999993</v>
      </c>
      <c r="J34" s="73"/>
      <c r="N34" s="290" t="s">
        <v>10</v>
      </c>
      <c r="O34" s="129"/>
      <c r="P34" s="130"/>
      <c r="Q34" s="124"/>
      <c r="R34" s="131"/>
      <c r="S34" s="124"/>
      <c r="T34" s="124"/>
      <c r="U34" s="181"/>
      <c r="V34" s="181"/>
      <c r="W34" s="159">
        <f>SUBTOTAL(9,W35:W37)</f>
        <v>6000000</v>
      </c>
      <c r="X34" s="160"/>
      <c r="Y34" s="124"/>
      <c r="Z34" s="124"/>
    </row>
    <row r="35" spans="1:26" ht="18" customHeight="1">
      <c r="A35" s="326">
        <v>1</v>
      </c>
      <c r="B35" s="223" t="str">
        <f t="shared" ref="B35:B53" si="8">B14</f>
        <v>1-1. 기초조사</v>
      </c>
      <c r="C35" s="23"/>
      <c r="D35" s="197">
        <f t="array" ref="D35:I35">ROUNDDOWN(D14:I14*D5*L14,3)</f>
        <v>1.1000000000000001</v>
      </c>
      <c r="E35" s="198">
        <v>1.8</v>
      </c>
      <c r="F35" s="198">
        <v>5.8</v>
      </c>
      <c r="G35" s="198">
        <v>7.8</v>
      </c>
      <c r="H35" s="198">
        <v>8.6</v>
      </c>
      <c r="I35" s="199">
        <v>9.1999999999999993</v>
      </c>
      <c r="J35" s="389"/>
      <c r="N35" s="291" t="str">
        <f>"여비("&amp;TEXT(T35,"#인 ×")&amp;TEXT(U35,"#일 ×")&amp;TEXT(V35,"###,###원)")</f>
        <v>여비(3인 ×10일 ×100,000원)</v>
      </c>
      <c r="O35" s="78"/>
      <c r="P35" s="52"/>
      <c r="Q35" s="51"/>
      <c r="T35" s="146">
        <v>3</v>
      </c>
      <c r="U35" s="146">
        <v>10</v>
      </c>
      <c r="V35" s="147">
        <v>100000</v>
      </c>
      <c r="W35" s="161">
        <f>T35*U35*V35</f>
        <v>3000000</v>
      </c>
      <c r="X35" s="162"/>
      <c r="Y35" s="51"/>
      <c r="Z35" s="51"/>
    </row>
    <row r="36" spans="1:26" ht="18" customHeight="1">
      <c r="B36" s="222" t="str">
        <f t="shared" si="8"/>
        <v>2. 개발여건분석</v>
      </c>
      <c r="C36" s="47"/>
      <c r="D36" s="48">
        <f t="shared" ref="D36:I36" si="9">SUBTOTAL(9,D37:D41)</f>
        <v>3</v>
      </c>
      <c r="E36" s="49">
        <f t="shared" si="9"/>
        <v>4</v>
      </c>
      <c r="F36" s="49">
        <f t="shared" si="9"/>
        <v>12</v>
      </c>
      <c r="G36" s="49">
        <f t="shared" si="9"/>
        <v>14</v>
      </c>
      <c r="H36" s="49">
        <f t="shared" si="9"/>
        <v>31</v>
      </c>
      <c r="I36" s="50">
        <f t="shared" si="9"/>
        <v>40</v>
      </c>
      <c r="J36" s="74"/>
      <c r="N36" s="292" t="s">
        <v>46</v>
      </c>
      <c r="O36" s="79"/>
      <c r="P36" s="39"/>
      <c r="Q36" s="37"/>
      <c r="R36" s="117"/>
      <c r="S36" s="37"/>
      <c r="T36" s="37"/>
      <c r="U36" s="180"/>
      <c r="V36" s="180"/>
      <c r="W36" s="157">
        <v>2000000</v>
      </c>
      <c r="X36" s="158"/>
      <c r="Y36" s="37"/>
      <c r="Z36" s="37"/>
    </row>
    <row r="37" spans="1:26" ht="18" customHeight="1">
      <c r="A37" s="326">
        <v>2</v>
      </c>
      <c r="B37" s="223" t="str">
        <f t="shared" si="8"/>
        <v>2.1 개발가용지 분석</v>
      </c>
      <c r="C37" s="23"/>
      <c r="D37" s="197">
        <f t="array" ref="D37:I41">ROUNDDOWN(D16:I20*D5*L16:L20,3)</f>
        <v>0.6</v>
      </c>
      <c r="E37" s="198">
        <v>0.8</v>
      </c>
      <c r="F37" s="198">
        <v>3</v>
      </c>
      <c r="G37" s="198">
        <v>3</v>
      </c>
      <c r="H37" s="198">
        <v>7</v>
      </c>
      <c r="I37" s="199">
        <v>8</v>
      </c>
      <c r="J37" s="74"/>
      <c r="N37" s="293" t="s">
        <v>13</v>
      </c>
      <c r="O37" s="132"/>
      <c r="P37" s="38"/>
      <c r="Q37" s="38"/>
      <c r="R37" s="116"/>
      <c r="S37" s="38"/>
      <c r="T37" s="38"/>
      <c r="U37" s="183"/>
      <c r="V37" s="183"/>
      <c r="W37" s="155">
        <v>1000000</v>
      </c>
      <c r="X37" s="156"/>
      <c r="Y37" s="38"/>
      <c r="Z37" s="38"/>
    </row>
    <row r="38" spans="1:26" ht="18" customHeight="1">
      <c r="A38" s="326">
        <v>3</v>
      </c>
      <c r="B38" s="223" t="str">
        <f t="shared" si="8"/>
        <v>2.2 개발압력 분석</v>
      </c>
      <c r="C38" s="613"/>
      <c r="D38" s="197">
        <v>0.6</v>
      </c>
      <c r="E38" s="198">
        <v>0.8</v>
      </c>
      <c r="F38" s="198">
        <v>3</v>
      </c>
      <c r="G38" s="198">
        <v>3</v>
      </c>
      <c r="H38" s="198">
        <v>6</v>
      </c>
      <c r="I38" s="199">
        <v>8</v>
      </c>
      <c r="J38" s="389"/>
      <c r="N38" s="127" t="s">
        <v>47</v>
      </c>
      <c r="O38" s="123"/>
      <c r="P38" s="123"/>
      <c r="Q38" s="123"/>
      <c r="R38" s="123"/>
      <c r="S38" s="123"/>
      <c r="T38" s="123"/>
      <c r="U38" s="184"/>
      <c r="V38" s="184"/>
      <c r="W38" s="163">
        <f ca="1">SUBTOTAL(9,W39:W40)</f>
        <v>148540188</v>
      </c>
      <c r="X38" s="164"/>
      <c r="Y38" s="123"/>
      <c r="Z38" s="123"/>
    </row>
    <row r="39" spans="1:26" ht="18" customHeight="1">
      <c r="A39" s="326">
        <v>4</v>
      </c>
      <c r="B39" s="223" t="str">
        <f t="shared" si="8"/>
        <v>2.3 지가변동 분석</v>
      </c>
      <c r="C39" s="23"/>
      <c r="D39" s="197">
        <v>0.6</v>
      </c>
      <c r="E39" s="198">
        <v>0.8</v>
      </c>
      <c r="F39" s="198">
        <v>2</v>
      </c>
      <c r="G39" s="198">
        <v>3</v>
      </c>
      <c r="H39" s="198">
        <v>6</v>
      </c>
      <c r="I39" s="199">
        <v>8</v>
      </c>
      <c r="J39" s="74"/>
      <c r="N39" s="133" t="s">
        <v>861</v>
      </c>
      <c r="O39" s="124"/>
      <c r="P39" s="134"/>
      <c r="Q39" s="124"/>
      <c r="R39" s="131"/>
      <c r="S39" s="124"/>
      <c r="T39" s="181"/>
      <c r="U39" s="181"/>
      <c r="V39" s="190">
        <v>1.1499999999999999</v>
      </c>
      <c r="W39" s="159">
        <f ca="1">ROUNDDOWN(W12*V39,0)</f>
        <v>95165023</v>
      </c>
      <c r="X39" s="160"/>
      <c r="Y39" s="124"/>
      <c r="Z39" s="124"/>
    </row>
    <row r="40" spans="1:26" ht="18" customHeight="1" thickBot="1">
      <c r="A40" s="326">
        <v>5</v>
      </c>
      <c r="B40" s="223" t="str">
        <f t="shared" si="8"/>
        <v>2.4 인구증가 분석</v>
      </c>
      <c r="C40" s="23"/>
      <c r="D40" s="197">
        <v>0.6</v>
      </c>
      <c r="E40" s="198">
        <v>0.8</v>
      </c>
      <c r="F40" s="198">
        <v>2</v>
      </c>
      <c r="G40" s="198">
        <v>3</v>
      </c>
      <c r="H40" s="198">
        <v>6</v>
      </c>
      <c r="I40" s="199">
        <v>8</v>
      </c>
      <c r="J40" s="389"/>
      <c r="M40" s="171"/>
      <c r="N40" s="135" t="s">
        <v>862</v>
      </c>
      <c r="O40" s="136"/>
      <c r="P40" s="137"/>
      <c r="Q40" s="136"/>
      <c r="R40" s="138"/>
      <c r="S40" s="136"/>
      <c r="T40" s="185"/>
      <c r="U40" s="185"/>
      <c r="V40" s="191">
        <v>0.3</v>
      </c>
      <c r="W40" s="165">
        <f ca="1">ROUNDDOWN((W12+W39)*V40,0)</f>
        <v>53375165</v>
      </c>
      <c r="X40" s="166"/>
      <c r="Y40" s="136"/>
      <c r="Z40" s="136"/>
    </row>
    <row r="41" spans="1:26" ht="18" customHeight="1">
      <c r="A41" s="326">
        <v>6</v>
      </c>
      <c r="B41" s="223" t="str">
        <f t="shared" si="8"/>
        <v>2.5 관련계획 분석</v>
      </c>
      <c r="C41" s="23"/>
      <c r="D41" s="197">
        <v>0.6</v>
      </c>
      <c r="E41" s="198">
        <v>0.8</v>
      </c>
      <c r="F41" s="198">
        <v>2</v>
      </c>
      <c r="G41" s="198">
        <v>2</v>
      </c>
      <c r="H41" s="198">
        <v>6</v>
      </c>
      <c r="I41" s="199">
        <v>8</v>
      </c>
      <c r="J41" s="389"/>
      <c r="M41" s="171"/>
    </row>
    <row r="42" spans="1:26" ht="18" customHeight="1">
      <c r="B42" s="222" t="str">
        <f t="shared" si="8"/>
        <v>3. 성장관리계획구역의 지정</v>
      </c>
      <c r="C42" s="47"/>
      <c r="D42" s="48">
        <f t="shared" ref="D42:I42" si="10">SUBTOTAL(9,D43:D45)</f>
        <v>1.4000000000000001</v>
      </c>
      <c r="E42" s="49">
        <f t="shared" si="10"/>
        <v>2.9</v>
      </c>
      <c r="F42" s="49">
        <f t="shared" si="10"/>
        <v>6.6</v>
      </c>
      <c r="G42" s="49">
        <f t="shared" si="10"/>
        <v>9.9</v>
      </c>
      <c r="H42" s="49">
        <f t="shared" si="10"/>
        <v>13</v>
      </c>
      <c r="I42" s="50">
        <f t="shared" si="10"/>
        <v>15</v>
      </c>
      <c r="J42" s="74"/>
      <c r="M42" s="171"/>
    </row>
    <row r="43" spans="1:26" ht="18" customHeight="1" thickBot="1">
      <c r="A43" s="326">
        <v>7</v>
      </c>
      <c r="B43" s="223" t="str">
        <f t="shared" si="8"/>
        <v>3.1 평가지표 설정</v>
      </c>
      <c r="C43" s="23"/>
      <c r="D43" s="197">
        <f t="array" ref="D43:I45">ROUNDDOWN(D22:I24*D5*L22:L24,3)</f>
        <v>0.4</v>
      </c>
      <c r="E43" s="198">
        <v>0.8</v>
      </c>
      <c r="F43" s="198">
        <v>2</v>
      </c>
      <c r="G43" s="198">
        <v>2.5</v>
      </c>
      <c r="H43" s="198">
        <v>4</v>
      </c>
      <c r="I43" s="199">
        <v>8</v>
      </c>
      <c r="J43" s="74"/>
      <c r="M43" s="171"/>
      <c r="N43" s="66" t="s">
        <v>18</v>
      </c>
      <c r="O43" s="2"/>
      <c r="P43" s="2"/>
      <c r="Q43" s="2"/>
      <c r="R43" s="3"/>
      <c r="S43" s="4"/>
      <c r="T43" s="3"/>
      <c r="U43" s="4"/>
      <c r="V43" s="3"/>
      <c r="W43" s="4"/>
      <c r="X43" s="3"/>
      <c r="Y43" s="4"/>
      <c r="Z43" s="2"/>
    </row>
    <row r="44" spans="1:26" ht="18" customHeight="1">
      <c r="A44" s="326">
        <v>8</v>
      </c>
      <c r="B44" s="223" t="str">
        <f t="shared" si="8"/>
        <v>3.2 현장조사</v>
      </c>
      <c r="C44" s="43"/>
      <c r="D44" s="206">
        <v>0.2</v>
      </c>
      <c r="E44" s="207">
        <v>0.6</v>
      </c>
      <c r="F44" s="207">
        <v>1.6</v>
      </c>
      <c r="G44" s="207">
        <v>2.4</v>
      </c>
      <c r="H44" s="207">
        <v>3</v>
      </c>
      <c r="I44" s="208">
        <v>3</v>
      </c>
      <c r="J44" s="239"/>
      <c r="M44" s="171"/>
      <c r="N44" s="765" t="s">
        <v>19</v>
      </c>
      <c r="O44" s="755" t="s">
        <v>20</v>
      </c>
      <c r="P44" s="755" t="s">
        <v>21</v>
      </c>
      <c r="Q44" s="755" t="s">
        <v>16</v>
      </c>
      <c r="R44" s="5" t="s">
        <v>22</v>
      </c>
      <c r="S44" s="5"/>
      <c r="T44" s="5" t="s">
        <v>23</v>
      </c>
      <c r="U44" s="5"/>
      <c r="V44" s="5" t="s">
        <v>24</v>
      </c>
      <c r="W44" s="5"/>
      <c r="X44" s="5" t="s">
        <v>25</v>
      </c>
      <c r="Y44" s="5"/>
      <c r="Z44" s="755" t="s">
        <v>26</v>
      </c>
    </row>
    <row r="45" spans="1:26" ht="18" customHeight="1" thickBot="1">
      <c r="A45" s="326">
        <v>9</v>
      </c>
      <c r="B45" s="223" t="str">
        <f t="shared" si="8"/>
        <v>3.3 성장관리지역 지정(안) 작성</v>
      </c>
      <c r="C45" s="43"/>
      <c r="D45" s="206">
        <v>0.8</v>
      </c>
      <c r="E45" s="207">
        <v>1.5</v>
      </c>
      <c r="F45" s="207">
        <v>3</v>
      </c>
      <c r="G45" s="207">
        <v>5</v>
      </c>
      <c r="H45" s="207">
        <v>6</v>
      </c>
      <c r="I45" s="208">
        <v>4</v>
      </c>
      <c r="J45" s="239"/>
      <c r="M45" s="171"/>
      <c r="N45" s="766"/>
      <c r="O45" s="756"/>
      <c r="P45" s="756"/>
      <c r="Q45" s="756"/>
      <c r="R45" s="67" t="s">
        <v>27</v>
      </c>
      <c r="S45" s="67" t="s">
        <v>28</v>
      </c>
      <c r="T45" s="67" t="s">
        <v>27</v>
      </c>
      <c r="U45" s="67" t="s">
        <v>28</v>
      </c>
      <c r="V45" s="67" t="s">
        <v>27</v>
      </c>
      <c r="W45" s="67" t="s">
        <v>28</v>
      </c>
      <c r="X45" s="67" t="s">
        <v>27</v>
      </c>
      <c r="Y45" s="67" t="s">
        <v>28</v>
      </c>
      <c r="Z45" s="756"/>
    </row>
    <row r="46" spans="1:26" ht="18" customHeight="1" thickTop="1">
      <c r="B46" s="222" t="str">
        <f t="shared" si="8"/>
        <v>4. 성과품작성</v>
      </c>
      <c r="C46" s="47"/>
      <c r="D46" s="48">
        <f t="shared" ref="D46:I46" si="11">SUBTOTAL(9,D47:D48)</f>
        <v>1.2</v>
      </c>
      <c r="E46" s="49">
        <f t="shared" si="11"/>
        <v>1.7999999999999998</v>
      </c>
      <c r="F46" s="49">
        <f t="shared" si="11"/>
        <v>4.2</v>
      </c>
      <c r="G46" s="49">
        <f t="shared" si="11"/>
        <v>7</v>
      </c>
      <c r="H46" s="49">
        <f t="shared" si="11"/>
        <v>9</v>
      </c>
      <c r="I46" s="50">
        <f t="shared" si="11"/>
        <v>12.5</v>
      </c>
      <c r="J46" s="74"/>
      <c r="M46" s="171"/>
      <c r="N46" s="318" t="str">
        <f ca="1">"제 " &amp; Z46 &amp; " 호표  "&amp; OFFSET($A$1,MATCH(Z46,$A:$A,0)-1,1)</f>
        <v>제 1 호표  1-1. 기초조사</v>
      </c>
      <c r="O46" s="221"/>
      <c r="P46" s="148"/>
      <c r="Q46" s="148"/>
      <c r="R46" s="149"/>
      <c r="S46" s="149"/>
      <c r="T46" s="149"/>
      <c r="U46" s="149"/>
      <c r="V46" s="149"/>
      <c r="W46" s="149"/>
      <c r="X46" s="149"/>
      <c r="Y46" s="149"/>
      <c r="Z46" s="325">
        <v>1</v>
      </c>
    </row>
    <row r="47" spans="1:26" ht="18" customHeight="1">
      <c r="A47" s="326">
        <v>10</v>
      </c>
      <c r="B47" s="223" t="str">
        <f t="shared" si="8"/>
        <v>4.1 보고서작성 및 편집</v>
      </c>
      <c r="C47" s="23"/>
      <c r="D47" s="197">
        <f t="array" ref="D47:I48">ROUNDDOWN(D26:I27*D5*L26:L27,3)</f>
        <v>0.6</v>
      </c>
      <c r="E47" s="198">
        <v>0.6</v>
      </c>
      <c r="F47" s="198">
        <v>1.2</v>
      </c>
      <c r="G47" s="198">
        <v>2</v>
      </c>
      <c r="H47" s="198">
        <v>3</v>
      </c>
      <c r="I47" s="199">
        <v>4.5</v>
      </c>
      <c r="J47" s="74"/>
      <c r="M47" s="171"/>
      <c r="N47" s="140" t="s">
        <v>43</v>
      </c>
      <c r="O47" s="172">
        <v>3</v>
      </c>
      <c r="P47" s="219">
        <f ca="1">OFFSET($A$1,MATCH(Z46,$A:$A,0)-1,O47)</f>
        <v>1.1000000000000001</v>
      </c>
      <c r="Q47" s="141" t="s">
        <v>29</v>
      </c>
      <c r="R47" s="142">
        <f t="shared" ref="R47:S52" ca="1" si="12">T47</f>
        <v>467217</v>
      </c>
      <c r="S47" s="142">
        <f t="shared" ca="1" si="12"/>
        <v>513938</v>
      </c>
      <c r="T47" s="142">
        <f ca="1">기술사</f>
        <v>467217</v>
      </c>
      <c r="U47" s="142">
        <f t="shared" ref="U47:U52" ca="1" si="13">ROUNDDOWN(P47*R47,0)</f>
        <v>513938</v>
      </c>
      <c r="V47" s="142"/>
      <c r="W47" s="142"/>
      <c r="X47" s="142"/>
      <c r="Y47" s="142"/>
      <c r="Z47" s="114"/>
    </row>
    <row r="48" spans="1:26" ht="18" customHeight="1">
      <c r="A48" s="326">
        <v>11</v>
      </c>
      <c r="B48" s="259" t="str">
        <f t="shared" si="8"/>
        <v>4.2 관련도서작성</v>
      </c>
      <c r="C48" s="43"/>
      <c r="D48" s="206">
        <v>0.6</v>
      </c>
      <c r="E48" s="207">
        <v>1.2</v>
      </c>
      <c r="F48" s="207">
        <v>3</v>
      </c>
      <c r="G48" s="207">
        <v>5</v>
      </c>
      <c r="H48" s="207">
        <v>6</v>
      </c>
      <c r="I48" s="208">
        <v>8</v>
      </c>
      <c r="J48" s="74"/>
      <c r="M48" s="171"/>
      <c r="N48" s="143" t="s">
        <v>32</v>
      </c>
      <c r="O48" s="173">
        <v>4</v>
      </c>
      <c r="P48" s="234">
        <f ca="1">OFFSET($A$1,MATCH(Z46,$A:$A,0)-1,O48)</f>
        <v>1.8</v>
      </c>
      <c r="Q48" s="144" t="s">
        <v>29</v>
      </c>
      <c r="R48" s="118">
        <f t="shared" ca="1" si="12"/>
        <v>373353</v>
      </c>
      <c r="S48" s="118">
        <f t="shared" ca="1" si="12"/>
        <v>672035</v>
      </c>
      <c r="T48" s="118">
        <f ca="1">특급</f>
        <v>373353</v>
      </c>
      <c r="U48" s="118">
        <f t="shared" ca="1" si="13"/>
        <v>672035</v>
      </c>
      <c r="V48" s="118"/>
      <c r="W48" s="118"/>
      <c r="X48" s="118"/>
      <c r="Y48" s="118"/>
      <c r="Z48" s="115"/>
    </row>
    <row r="49" spans="1:26" ht="18" customHeight="1">
      <c r="B49" s="222" t="str">
        <f t="shared" si="8"/>
        <v>5. 기술협의</v>
      </c>
      <c r="C49" s="47"/>
      <c r="D49" s="48">
        <f t="shared" ref="D49:I49" si="14">SUBTOTAL(9,D50:D53)</f>
        <v>8</v>
      </c>
      <c r="E49" s="49">
        <f t="shared" si="14"/>
        <v>8</v>
      </c>
      <c r="F49" s="49">
        <f t="shared" si="14"/>
        <v>8</v>
      </c>
      <c r="G49" s="49">
        <f t="shared" si="14"/>
        <v>16</v>
      </c>
      <c r="H49" s="49">
        <f t="shared" si="14"/>
        <v>16</v>
      </c>
      <c r="I49" s="50">
        <f t="shared" si="14"/>
        <v>16</v>
      </c>
      <c r="J49" s="74"/>
      <c r="M49" s="171"/>
      <c r="N49" s="145" t="s">
        <v>39</v>
      </c>
      <c r="O49" s="173">
        <v>5</v>
      </c>
      <c r="P49" s="234">
        <f ca="1">OFFSET($A$1,MATCH(Z46,$A:$A,0)-1,O49)</f>
        <v>5.8</v>
      </c>
      <c r="Q49" s="144" t="s">
        <v>29</v>
      </c>
      <c r="R49" s="118">
        <f t="shared" ca="1" si="12"/>
        <v>310884</v>
      </c>
      <c r="S49" s="118">
        <f t="shared" ca="1" si="12"/>
        <v>1803127</v>
      </c>
      <c r="T49" s="118">
        <f ca="1">고급</f>
        <v>310884</v>
      </c>
      <c r="U49" s="118">
        <f t="shared" ca="1" si="13"/>
        <v>1803127</v>
      </c>
      <c r="V49" s="118"/>
      <c r="W49" s="118"/>
      <c r="X49" s="118"/>
      <c r="Y49" s="118"/>
      <c r="Z49" s="115"/>
    </row>
    <row r="50" spans="1:26" ht="18" customHeight="1">
      <c r="A50" s="326">
        <v>12</v>
      </c>
      <c r="B50" s="223" t="str">
        <f t="shared" si="8"/>
        <v>5.1 공청회/주민설명회</v>
      </c>
      <c r="C50" s="23"/>
      <c r="D50" s="197">
        <f t="array" ref="D50:I53">ROUNDDOWN(D29:I32*L29:L32,3)</f>
        <v>2</v>
      </c>
      <c r="E50" s="198">
        <v>2</v>
      </c>
      <c r="F50" s="198">
        <v>2</v>
      </c>
      <c r="G50" s="198">
        <v>4</v>
      </c>
      <c r="H50" s="198">
        <v>4</v>
      </c>
      <c r="I50" s="199">
        <v>4</v>
      </c>
      <c r="J50" s="74"/>
      <c r="M50" s="171"/>
      <c r="N50" s="145" t="s">
        <v>40</v>
      </c>
      <c r="O50" s="173">
        <v>6</v>
      </c>
      <c r="P50" s="234">
        <f ca="1">OFFSET($A$1,MATCH(Z46,$A:$A,0)-1,O50)</f>
        <v>7.8</v>
      </c>
      <c r="Q50" s="144" t="s">
        <v>29</v>
      </c>
      <c r="R50" s="118">
        <f t="shared" ca="1" si="12"/>
        <v>295138</v>
      </c>
      <c r="S50" s="118">
        <f t="shared" ca="1" si="12"/>
        <v>2302076</v>
      </c>
      <c r="T50" s="118">
        <f ca="1">중급</f>
        <v>295138</v>
      </c>
      <c r="U50" s="118">
        <f t="shared" ca="1" si="13"/>
        <v>2302076</v>
      </c>
      <c r="V50" s="118"/>
      <c r="W50" s="118"/>
      <c r="X50" s="118"/>
      <c r="Y50" s="118"/>
      <c r="Z50" s="115"/>
    </row>
    <row r="51" spans="1:26" ht="18" customHeight="1">
      <c r="A51" s="326">
        <v>13</v>
      </c>
      <c r="B51" s="223" t="str">
        <f t="shared" si="8"/>
        <v>5.2 주민간담회/시민계획단</v>
      </c>
      <c r="C51" s="23"/>
      <c r="D51" s="197">
        <v>2</v>
      </c>
      <c r="E51" s="198">
        <v>2</v>
      </c>
      <c r="F51" s="198">
        <v>2</v>
      </c>
      <c r="G51" s="198">
        <v>4</v>
      </c>
      <c r="H51" s="198">
        <v>4</v>
      </c>
      <c r="I51" s="199">
        <v>4</v>
      </c>
      <c r="J51" s="74"/>
      <c r="M51" s="171"/>
      <c r="N51" s="145" t="s">
        <v>41</v>
      </c>
      <c r="O51" s="173">
        <v>7</v>
      </c>
      <c r="P51" s="234">
        <f ca="1">OFFSET($A$1,MATCH(Z46,$A:$A,0)-1,O51)</f>
        <v>8.6</v>
      </c>
      <c r="Q51" s="144" t="s">
        <v>29</v>
      </c>
      <c r="R51" s="118">
        <f t="shared" ca="1" si="12"/>
        <v>235459</v>
      </c>
      <c r="S51" s="118">
        <f t="shared" ca="1" si="12"/>
        <v>2024947</v>
      </c>
      <c r="T51" s="118">
        <f ca="1">초급</f>
        <v>235459</v>
      </c>
      <c r="U51" s="118">
        <f t="shared" ca="1" si="13"/>
        <v>2024947</v>
      </c>
      <c r="V51" s="118"/>
      <c r="W51" s="118"/>
      <c r="X51" s="118"/>
      <c r="Y51" s="118"/>
      <c r="Z51" s="115"/>
    </row>
    <row r="52" spans="1:26" ht="18" customHeight="1">
      <c r="A52" s="326">
        <v>14</v>
      </c>
      <c r="B52" s="223" t="str">
        <f t="shared" si="8"/>
        <v>5.3 위원회심의 지원</v>
      </c>
      <c r="C52" s="23"/>
      <c r="D52" s="197">
        <v>2</v>
      </c>
      <c r="E52" s="198">
        <v>2</v>
      </c>
      <c r="F52" s="198">
        <v>2</v>
      </c>
      <c r="G52" s="198">
        <v>4</v>
      </c>
      <c r="H52" s="198">
        <v>4</v>
      </c>
      <c r="I52" s="199">
        <v>4</v>
      </c>
      <c r="J52" s="74"/>
      <c r="L52" s="171"/>
      <c r="M52" s="171"/>
      <c r="N52" s="319" t="s">
        <v>42</v>
      </c>
      <c r="O52" s="174">
        <v>8</v>
      </c>
      <c r="P52" s="235">
        <f ca="1">OFFSET($A$1,MATCH(Z46,$A:$A,0)-1,O52)</f>
        <v>9.1999999999999993</v>
      </c>
      <c r="Q52" s="322" t="s">
        <v>29</v>
      </c>
      <c r="R52" s="323">
        <f t="shared" ca="1" si="12"/>
        <v>250087</v>
      </c>
      <c r="S52" s="323">
        <f t="shared" ca="1" si="12"/>
        <v>2300800</v>
      </c>
      <c r="T52" s="323">
        <f ca="1">보조원</f>
        <v>250087</v>
      </c>
      <c r="U52" s="323">
        <f t="shared" ca="1" si="13"/>
        <v>2300800</v>
      </c>
      <c r="V52" s="323"/>
      <c r="W52" s="323"/>
      <c r="X52" s="323"/>
      <c r="Y52" s="323"/>
      <c r="Z52" s="324"/>
    </row>
    <row r="53" spans="1:26" ht="18" customHeight="1" thickBot="1">
      <c r="A53" s="326">
        <v>15</v>
      </c>
      <c r="B53" s="388" t="str">
        <f t="shared" si="8"/>
        <v>5.4 관계기관 협의</v>
      </c>
      <c r="C53" s="342"/>
      <c r="D53" s="343">
        <v>2</v>
      </c>
      <c r="E53" s="344">
        <v>2</v>
      </c>
      <c r="F53" s="344">
        <v>2</v>
      </c>
      <c r="G53" s="344">
        <v>4</v>
      </c>
      <c r="H53" s="344">
        <v>4</v>
      </c>
      <c r="I53" s="345">
        <v>4</v>
      </c>
      <c r="J53" s="176"/>
      <c r="L53" s="171"/>
      <c r="M53" s="171"/>
      <c r="N53" s="139" t="s">
        <v>17</v>
      </c>
      <c r="O53" s="68"/>
      <c r="P53" s="69"/>
      <c r="Q53" s="70"/>
      <c r="R53" s="71"/>
      <c r="S53" s="71">
        <f ca="1">SUBTOTAL(9,S47:S52)</f>
        <v>9616923</v>
      </c>
      <c r="T53" s="71"/>
      <c r="U53" s="71">
        <f ca="1">SUBTOTAL(9,U47:U52)</f>
        <v>9616923</v>
      </c>
      <c r="V53" s="71"/>
      <c r="W53" s="71"/>
      <c r="X53" s="71"/>
      <c r="Y53" s="71"/>
      <c r="Z53" s="68"/>
    </row>
    <row r="54" spans="1:26" ht="18" customHeight="1">
      <c r="B54" s="80" t="s">
        <v>15</v>
      </c>
      <c r="C54" s="9" t="s">
        <v>1327</v>
      </c>
      <c r="L54" s="171"/>
      <c r="M54" s="171"/>
      <c r="N54" s="318" t="str">
        <f ca="1">"제 " &amp; Z54 &amp; " 호표  "&amp; OFFSET($A$1,MATCH(Z54,$A:$A,0)-1,1)</f>
        <v>제 2 호표  2.1 개발가용지 분석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f>Z46+1</f>
        <v>2</v>
      </c>
    </row>
    <row r="55" spans="1:26" ht="18" customHeight="1">
      <c r="C55" s="1" t="s">
        <v>1217</v>
      </c>
      <c r="L55" s="171"/>
      <c r="M55" s="171"/>
      <c r="N55" s="140" t="s">
        <v>43</v>
      </c>
      <c r="O55" s="172">
        <v>3</v>
      </c>
      <c r="P55" s="219">
        <f ca="1">OFFSET($A$1,MATCH(Z54,$A:$A,0)-1,O55)</f>
        <v>0.6</v>
      </c>
      <c r="Q55" s="141" t="s">
        <v>29</v>
      </c>
      <c r="R55" s="142">
        <f t="shared" ref="R55:S60" ca="1" si="15">T55</f>
        <v>467217</v>
      </c>
      <c r="S55" s="142">
        <f t="shared" ca="1" si="15"/>
        <v>280330</v>
      </c>
      <c r="T55" s="142">
        <f ca="1">기술사</f>
        <v>467217</v>
      </c>
      <c r="U55" s="142">
        <f t="shared" ref="U55:U60" ca="1" si="16">ROUNDDOWN(P55*R55,0)</f>
        <v>280330</v>
      </c>
      <c r="V55" s="142"/>
      <c r="W55" s="142"/>
      <c r="X55" s="142"/>
      <c r="Y55" s="142"/>
      <c r="Z55" s="114"/>
    </row>
    <row r="56" spans="1:26" ht="18" customHeight="1">
      <c r="C56" s="9" t="s">
        <v>1218</v>
      </c>
      <c r="L56" s="171"/>
      <c r="M56" s="171"/>
      <c r="N56" s="143" t="s">
        <v>32</v>
      </c>
      <c r="O56" s="173">
        <v>4</v>
      </c>
      <c r="P56" s="234">
        <f ca="1">OFFSET($A$1,MATCH(Z54,$A:$A,0)-1,O56)</f>
        <v>0.8</v>
      </c>
      <c r="Q56" s="144" t="s">
        <v>29</v>
      </c>
      <c r="R56" s="118">
        <f t="shared" ca="1" si="15"/>
        <v>373353</v>
      </c>
      <c r="S56" s="118">
        <f t="shared" ca="1" si="15"/>
        <v>298682</v>
      </c>
      <c r="T56" s="118">
        <f ca="1">특급</f>
        <v>373353</v>
      </c>
      <c r="U56" s="118">
        <f t="shared" ca="1" si="16"/>
        <v>298682</v>
      </c>
      <c r="V56" s="118"/>
      <c r="W56" s="118"/>
      <c r="X56" s="118"/>
      <c r="Y56" s="118"/>
      <c r="Z56" s="115"/>
    </row>
    <row r="57" spans="1:26" ht="18" customHeight="1">
      <c r="C57" s="9" t="s">
        <v>1444</v>
      </c>
      <c r="K57" s="171" t="s">
        <v>14</v>
      </c>
      <c r="L57" s="171"/>
      <c r="M57" s="171"/>
      <c r="N57" s="145" t="s">
        <v>39</v>
      </c>
      <c r="O57" s="173">
        <v>5</v>
      </c>
      <c r="P57" s="234">
        <f ca="1">OFFSET($A$1,MATCH(Z54,$A:$A,0)-1,O57)</f>
        <v>3</v>
      </c>
      <c r="Q57" s="144" t="s">
        <v>29</v>
      </c>
      <c r="R57" s="118">
        <f t="shared" ca="1" si="15"/>
        <v>310884</v>
      </c>
      <c r="S57" s="118">
        <f t="shared" ca="1" si="15"/>
        <v>932652</v>
      </c>
      <c r="T57" s="118">
        <f ca="1">고급</f>
        <v>310884</v>
      </c>
      <c r="U57" s="118">
        <f t="shared" ca="1" si="16"/>
        <v>932652</v>
      </c>
      <c r="V57" s="118"/>
      <c r="W57" s="118"/>
      <c r="X57" s="118"/>
      <c r="Y57" s="118"/>
      <c r="Z57" s="115"/>
    </row>
    <row r="58" spans="1:26" ht="18" customHeight="1">
      <c r="C58" s="9"/>
      <c r="K58" s="171" t="s">
        <v>14</v>
      </c>
      <c r="L58" s="171"/>
      <c r="M58" s="171"/>
      <c r="N58" s="145" t="s">
        <v>40</v>
      </c>
      <c r="O58" s="173">
        <v>6</v>
      </c>
      <c r="P58" s="234">
        <f ca="1">OFFSET($A$1,MATCH(Z54,$A:$A,0)-1,O58)</f>
        <v>3</v>
      </c>
      <c r="Q58" s="144" t="s">
        <v>29</v>
      </c>
      <c r="R58" s="118">
        <f t="shared" ca="1" si="15"/>
        <v>295138</v>
      </c>
      <c r="S58" s="118">
        <f t="shared" ca="1" si="15"/>
        <v>885414</v>
      </c>
      <c r="T58" s="118">
        <f ca="1">중급</f>
        <v>295138</v>
      </c>
      <c r="U58" s="118">
        <f t="shared" ca="1" si="16"/>
        <v>885414</v>
      </c>
      <c r="V58" s="118"/>
      <c r="W58" s="118"/>
      <c r="X58" s="118"/>
      <c r="Y58" s="118"/>
      <c r="Z58" s="115"/>
    </row>
    <row r="59" spans="1:26" ht="18" customHeight="1">
      <c r="C59" s="9"/>
      <c r="K59" s="171" t="s">
        <v>14</v>
      </c>
      <c r="L59" s="171"/>
      <c r="M59" s="171"/>
      <c r="N59" s="145" t="s">
        <v>41</v>
      </c>
      <c r="O59" s="173">
        <v>7</v>
      </c>
      <c r="P59" s="234">
        <f ca="1">OFFSET($A$1,MATCH(Z54,$A:$A,0)-1,O59)</f>
        <v>7</v>
      </c>
      <c r="Q59" s="144" t="s">
        <v>29</v>
      </c>
      <c r="R59" s="118">
        <f t="shared" ca="1" si="15"/>
        <v>235459</v>
      </c>
      <c r="S59" s="118">
        <f t="shared" ca="1" si="15"/>
        <v>1648213</v>
      </c>
      <c r="T59" s="118">
        <f ca="1">초급</f>
        <v>235459</v>
      </c>
      <c r="U59" s="118">
        <f t="shared" ca="1" si="16"/>
        <v>1648213</v>
      </c>
      <c r="V59" s="118"/>
      <c r="W59" s="118"/>
      <c r="X59" s="118"/>
      <c r="Y59" s="118"/>
      <c r="Z59" s="115"/>
    </row>
    <row r="60" spans="1:26" ht="18" customHeight="1">
      <c r="C60" s="9"/>
      <c r="K60" s="171" t="s">
        <v>14</v>
      </c>
      <c r="L60" s="171"/>
      <c r="M60" s="171"/>
      <c r="N60" s="319" t="s">
        <v>42</v>
      </c>
      <c r="O60" s="174">
        <v>8</v>
      </c>
      <c r="P60" s="235">
        <f ca="1">OFFSET($A$1,MATCH(Z54,$A:$A,0)-1,O60)</f>
        <v>8</v>
      </c>
      <c r="Q60" s="322" t="s">
        <v>29</v>
      </c>
      <c r="R60" s="323">
        <f t="shared" ca="1" si="15"/>
        <v>250087</v>
      </c>
      <c r="S60" s="323">
        <f t="shared" ca="1" si="15"/>
        <v>2000696</v>
      </c>
      <c r="T60" s="323">
        <f ca="1">보조원</f>
        <v>250087</v>
      </c>
      <c r="U60" s="323">
        <f t="shared" ca="1" si="16"/>
        <v>2000696</v>
      </c>
      <c r="V60" s="323"/>
      <c r="W60" s="323"/>
      <c r="X60" s="323"/>
      <c r="Y60" s="323"/>
      <c r="Z60" s="324"/>
    </row>
    <row r="61" spans="1:26" ht="18" customHeight="1">
      <c r="C61" s="9"/>
      <c r="K61" s="171" t="s">
        <v>14</v>
      </c>
      <c r="L61" s="171"/>
      <c r="M61" s="171"/>
      <c r="N61" s="139" t="s">
        <v>17</v>
      </c>
      <c r="O61" s="68"/>
      <c r="P61" s="69"/>
      <c r="Q61" s="70"/>
      <c r="R61" s="71"/>
      <c r="S61" s="71">
        <f ca="1">SUBTOTAL(9,S55:S60)</f>
        <v>6045987</v>
      </c>
      <c r="T61" s="71"/>
      <c r="U61" s="71">
        <f ca="1">SUBTOTAL(9,U55:U60)</f>
        <v>6045987</v>
      </c>
      <c r="V61" s="71"/>
      <c r="W61" s="71"/>
      <c r="X61" s="71"/>
      <c r="Y61" s="71"/>
      <c r="Z61" s="68"/>
    </row>
    <row r="62" spans="1:26" ht="18" customHeight="1">
      <c r="K62" s="171" t="s">
        <v>14</v>
      </c>
      <c r="L62" s="171"/>
      <c r="M62" s="171"/>
      <c r="N62" s="318" t="str">
        <f ca="1">"제 " &amp; Z62 &amp; " 호표  "&amp; OFFSET($A$1,MATCH(Z62,$A:$A,0)-1,1)</f>
        <v>제 3 호표  2.2 개발압력 분석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3</v>
      </c>
    </row>
    <row r="63" spans="1:26" ht="18" customHeight="1">
      <c r="K63" s="171" t="s">
        <v>14</v>
      </c>
      <c r="L63" s="171"/>
      <c r="M63" s="171"/>
      <c r="N63" s="140" t="s">
        <v>43</v>
      </c>
      <c r="O63" s="172">
        <v>3</v>
      </c>
      <c r="P63" s="219">
        <f ca="1">OFFSET($A$1,MATCH(Z62,$A:$A,0)-1,O63)</f>
        <v>0.6</v>
      </c>
      <c r="Q63" s="141" t="s">
        <v>29</v>
      </c>
      <c r="R63" s="142">
        <f t="shared" ref="R63:S68" ca="1" si="17">T63</f>
        <v>467217</v>
      </c>
      <c r="S63" s="142">
        <f t="shared" ca="1" si="17"/>
        <v>280330</v>
      </c>
      <c r="T63" s="142">
        <f ca="1">기술사</f>
        <v>467217</v>
      </c>
      <c r="U63" s="142">
        <f t="shared" ref="U63:U68" ca="1" si="18">ROUNDDOWN(P63*R63,0)</f>
        <v>280330</v>
      </c>
      <c r="V63" s="142"/>
      <c r="W63" s="142"/>
      <c r="X63" s="142"/>
      <c r="Y63" s="142"/>
      <c r="Z63" s="114"/>
    </row>
    <row r="64" spans="1:26" ht="18" customHeight="1">
      <c r="K64" s="171" t="s">
        <v>14</v>
      </c>
      <c r="L64" s="171"/>
      <c r="M64" s="171"/>
      <c r="N64" s="143" t="s">
        <v>32</v>
      </c>
      <c r="O64" s="173">
        <v>4</v>
      </c>
      <c r="P64" s="234">
        <f ca="1">OFFSET($A$1,MATCH(Z62,$A:$A,0)-1,O64)</f>
        <v>0.8</v>
      </c>
      <c r="Q64" s="144" t="s">
        <v>29</v>
      </c>
      <c r="R64" s="118">
        <f t="shared" ca="1" si="17"/>
        <v>373353</v>
      </c>
      <c r="S64" s="118">
        <f t="shared" ca="1" si="17"/>
        <v>298682</v>
      </c>
      <c r="T64" s="118">
        <f ca="1">특급</f>
        <v>373353</v>
      </c>
      <c r="U64" s="118">
        <f t="shared" ca="1" si="18"/>
        <v>298682</v>
      </c>
      <c r="V64" s="118"/>
      <c r="W64" s="118"/>
      <c r="X64" s="118"/>
      <c r="Y64" s="118"/>
      <c r="Z64" s="115"/>
    </row>
    <row r="65" spans="3:26" ht="18" customHeight="1">
      <c r="K65" s="171" t="s">
        <v>14</v>
      </c>
      <c r="L65" s="171"/>
      <c r="M65" s="171"/>
      <c r="N65" s="145" t="s">
        <v>39</v>
      </c>
      <c r="O65" s="173">
        <v>5</v>
      </c>
      <c r="P65" s="234">
        <f ca="1">OFFSET($A$1,MATCH(Z62,$A:$A,0)-1,O65)</f>
        <v>3</v>
      </c>
      <c r="Q65" s="144" t="s">
        <v>29</v>
      </c>
      <c r="R65" s="118">
        <f t="shared" ca="1" si="17"/>
        <v>310884</v>
      </c>
      <c r="S65" s="118">
        <f t="shared" ca="1" si="17"/>
        <v>932652</v>
      </c>
      <c r="T65" s="118">
        <f ca="1">고급</f>
        <v>310884</v>
      </c>
      <c r="U65" s="118">
        <f t="shared" ca="1" si="18"/>
        <v>932652</v>
      </c>
      <c r="V65" s="118"/>
      <c r="W65" s="118"/>
      <c r="X65" s="118"/>
      <c r="Y65" s="118"/>
      <c r="Z65" s="115"/>
    </row>
    <row r="66" spans="3:26" ht="18" customHeight="1">
      <c r="K66" s="171" t="s">
        <v>14</v>
      </c>
      <c r="L66" s="171"/>
      <c r="M66" s="171"/>
      <c r="N66" s="145" t="s">
        <v>40</v>
      </c>
      <c r="O66" s="173">
        <v>6</v>
      </c>
      <c r="P66" s="234">
        <f ca="1">OFFSET($A$1,MATCH(Z62,$A:$A,0)-1,O66)</f>
        <v>3</v>
      </c>
      <c r="Q66" s="144" t="s">
        <v>29</v>
      </c>
      <c r="R66" s="118">
        <f t="shared" ca="1" si="17"/>
        <v>295138</v>
      </c>
      <c r="S66" s="118">
        <f t="shared" ca="1" si="17"/>
        <v>885414</v>
      </c>
      <c r="T66" s="118">
        <f ca="1">중급</f>
        <v>295138</v>
      </c>
      <c r="U66" s="118">
        <f t="shared" ca="1" si="18"/>
        <v>885414</v>
      </c>
      <c r="V66" s="118"/>
      <c r="W66" s="118"/>
      <c r="X66" s="118"/>
      <c r="Y66" s="118"/>
      <c r="Z66" s="115"/>
    </row>
    <row r="67" spans="3:26" ht="18" customHeight="1">
      <c r="C67" s="9"/>
      <c r="K67" s="171" t="s">
        <v>14</v>
      </c>
      <c r="L67" s="171"/>
      <c r="M67" s="171"/>
      <c r="N67" s="145" t="s">
        <v>41</v>
      </c>
      <c r="O67" s="173">
        <v>7</v>
      </c>
      <c r="P67" s="234">
        <f ca="1">OFFSET($A$1,MATCH(Z62,$A:$A,0)-1,O67)</f>
        <v>6</v>
      </c>
      <c r="Q67" s="144" t="s">
        <v>29</v>
      </c>
      <c r="R67" s="118">
        <f t="shared" ca="1" si="17"/>
        <v>235459</v>
      </c>
      <c r="S67" s="118">
        <f t="shared" ca="1" si="17"/>
        <v>1412754</v>
      </c>
      <c r="T67" s="118">
        <f ca="1">초급</f>
        <v>235459</v>
      </c>
      <c r="U67" s="118">
        <f t="shared" ca="1" si="18"/>
        <v>1412754</v>
      </c>
      <c r="V67" s="118"/>
      <c r="W67" s="118"/>
      <c r="X67" s="118"/>
      <c r="Y67" s="118"/>
      <c r="Z67" s="115"/>
    </row>
    <row r="68" spans="3:26" ht="18" customHeight="1">
      <c r="C68" s="9"/>
      <c r="K68" s="171" t="s">
        <v>14</v>
      </c>
      <c r="L68" s="171"/>
      <c r="M68" s="171"/>
      <c r="N68" s="319" t="s">
        <v>42</v>
      </c>
      <c r="O68" s="174">
        <v>8</v>
      </c>
      <c r="P68" s="235">
        <f ca="1">OFFSET($A$1,MATCH(Z62,$A:$A,0)-1,O68)</f>
        <v>8</v>
      </c>
      <c r="Q68" s="322" t="s">
        <v>29</v>
      </c>
      <c r="R68" s="323">
        <f t="shared" ca="1" si="17"/>
        <v>250087</v>
      </c>
      <c r="S68" s="323">
        <f t="shared" ca="1" si="17"/>
        <v>2000696</v>
      </c>
      <c r="T68" s="323">
        <f ca="1">보조원</f>
        <v>250087</v>
      </c>
      <c r="U68" s="323">
        <f t="shared" ca="1" si="18"/>
        <v>2000696</v>
      </c>
      <c r="V68" s="323"/>
      <c r="W68" s="323"/>
      <c r="X68" s="323"/>
      <c r="Y68" s="323"/>
      <c r="Z68" s="324"/>
    </row>
    <row r="69" spans="3:26" ht="18" customHeight="1">
      <c r="K69" s="171" t="s">
        <v>14</v>
      </c>
      <c r="L69" s="171"/>
      <c r="M69" s="171"/>
      <c r="N69" s="139" t="s">
        <v>17</v>
      </c>
      <c r="O69" s="68"/>
      <c r="P69" s="69"/>
      <c r="Q69" s="70"/>
      <c r="R69" s="71"/>
      <c r="S69" s="71">
        <f ca="1">SUBTOTAL(9,S63:S68)</f>
        <v>5810528</v>
      </c>
      <c r="T69" s="71"/>
      <c r="U69" s="71">
        <f ca="1">SUBTOTAL(9,U63:U68)</f>
        <v>5810528</v>
      </c>
      <c r="V69" s="71"/>
      <c r="W69" s="71"/>
      <c r="X69" s="71"/>
      <c r="Y69" s="71"/>
      <c r="Z69" s="68"/>
    </row>
    <row r="70" spans="3:26" ht="18" customHeight="1">
      <c r="K70" s="171" t="s">
        <v>14</v>
      </c>
      <c r="L70" s="171"/>
      <c r="M70" s="171"/>
      <c r="N70" s="318" t="str">
        <f ca="1">"제 " &amp; Z70 &amp; " 호표  "&amp; OFFSET($A$1,MATCH(Z70,$A:$A,0)-1,1)</f>
        <v>제 4 호표  2.3 지가변동 분석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4</v>
      </c>
    </row>
    <row r="71" spans="3:26" ht="18" customHeight="1">
      <c r="K71" s="171" t="s">
        <v>14</v>
      </c>
      <c r="L71" s="171"/>
      <c r="M71" s="171"/>
      <c r="N71" s="140" t="s">
        <v>43</v>
      </c>
      <c r="O71" s="172">
        <v>3</v>
      </c>
      <c r="P71" s="219">
        <f ca="1">OFFSET($A$1,MATCH(Z70,$A:$A,0)-1,O71)</f>
        <v>0.6</v>
      </c>
      <c r="Q71" s="141" t="s">
        <v>29</v>
      </c>
      <c r="R71" s="142">
        <f t="shared" ref="R71:S76" ca="1" si="19">T71</f>
        <v>467217</v>
      </c>
      <c r="S71" s="142">
        <f t="shared" ca="1" si="19"/>
        <v>280330</v>
      </c>
      <c r="T71" s="142">
        <f ca="1">기술사</f>
        <v>467217</v>
      </c>
      <c r="U71" s="142">
        <f t="shared" ref="U71:U76" ca="1" si="20">ROUNDDOWN(P71*R71,0)</f>
        <v>280330</v>
      </c>
      <c r="V71" s="142"/>
      <c r="W71" s="142"/>
      <c r="X71" s="142"/>
      <c r="Y71" s="142"/>
      <c r="Z71" s="114"/>
    </row>
    <row r="72" spans="3:26" ht="18" customHeight="1">
      <c r="K72" s="171" t="s">
        <v>14</v>
      </c>
      <c r="L72" s="171"/>
      <c r="M72" s="171"/>
      <c r="N72" s="143" t="s">
        <v>32</v>
      </c>
      <c r="O72" s="173">
        <v>4</v>
      </c>
      <c r="P72" s="234">
        <f ca="1">OFFSET($A$1,MATCH(Z70,$A:$A,0)-1,O72)</f>
        <v>0.8</v>
      </c>
      <c r="Q72" s="144" t="s">
        <v>29</v>
      </c>
      <c r="R72" s="118">
        <f t="shared" ca="1" si="19"/>
        <v>373353</v>
      </c>
      <c r="S72" s="118">
        <f t="shared" ca="1" si="19"/>
        <v>298682</v>
      </c>
      <c r="T72" s="118">
        <f ca="1">특급</f>
        <v>373353</v>
      </c>
      <c r="U72" s="118">
        <f t="shared" ca="1" si="20"/>
        <v>298682</v>
      </c>
      <c r="V72" s="118"/>
      <c r="W72" s="118"/>
      <c r="X72" s="118"/>
      <c r="Y72" s="118"/>
      <c r="Z72" s="115"/>
    </row>
    <row r="73" spans="3:26" ht="18" customHeight="1">
      <c r="K73" s="171" t="s">
        <v>14</v>
      </c>
      <c r="L73" s="171"/>
      <c r="M73" s="171"/>
      <c r="N73" s="145" t="s">
        <v>39</v>
      </c>
      <c r="O73" s="173">
        <v>5</v>
      </c>
      <c r="P73" s="234">
        <f ca="1">OFFSET($A$1,MATCH(Z70,$A:$A,0)-1,O73)</f>
        <v>2</v>
      </c>
      <c r="Q73" s="144" t="s">
        <v>29</v>
      </c>
      <c r="R73" s="118">
        <f t="shared" ca="1" si="19"/>
        <v>310884</v>
      </c>
      <c r="S73" s="118">
        <f t="shared" ca="1" si="19"/>
        <v>621768</v>
      </c>
      <c r="T73" s="118">
        <f ca="1">고급</f>
        <v>310884</v>
      </c>
      <c r="U73" s="118">
        <f t="shared" ca="1" si="20"/>
        <v>621768</v>
      </c>
      <c r="V73" s="118"/>
      <c r="W73" s="118"/>
      <c r="X73" s="118"/>
      <c r="Y73" s="118"/>
      <c r="Z73" s="115"/>
    </row>
    <row r="74" spans="3:26" ht="18" customHeight="1">
      <c r="K74" s="171" t="s">
        <v>14</v>
      </c>
      <c r="L74" s="171"/>
      <c r="M74" s="171"/>
      <c r="N74" s="145" t="s">
        <v>40</v>
      </c>
      <c r="O74" s="173">
        <v>6</v>
      </c>
      <c r="P74" s="234">
        <f ca="1">OFFSET($A$1,MATCH(Z70,$A:$A,0)-1,O74)</f>
        <v>3</v>
      </c>
      <c r="Q74" s="144" t="s">
        <v>29</v>
      </c>
      <c r="R74" s="118">
        <f t="shared" ca="1" si="19"/>
        <v>295138</v>
      </c>
      <c r="S74" s="118">
        <f t="shared" ca="1" si="19"/>
        <v>885414</v>
      </c>
      <c r="T74" s="118">
        <f ca="1">중급</f>
        <v>295138</v>
      </c>
      <c r="U74" s="118">
        <f t="shared" ca="1" si="20"/>
        <v>885414</v>
      </c>
      <c r="V74" s="118"/>
      <c r="W74" s="118"/>
      <c r="X74" s="118"/>
      <c r="Y74" s="118"/>
      <c r="Z74" s="115"/>
    </row>
    <row r="75" spans="3:26" ht="18" customHeight="1">
      <c r="K75" s="171" t="s">
        <v>14</v>
      </c>
      <c r="L75" s="171"/>
      <c r="M75" s="171"/>
      <c r="N75" s="145" t="s">
        <v>41</v>
      </c>
      <c r="O75" s="173">
        <v>7</v>
      </c>
      <c r="P75" s="234">
        <f ca="1">OFFSET($A$1,MATCH(Z70,$A:$A,0)-1,O75)</f>
        <v>6</v>
      </c>
      <c r="Q75" s="144" t="s">
        <v>29</v>
      </c>
      <c r="R75" s="118">
        <f t="shared" ca="1" si="19"/>
        <v>235459</v>
      </c>
      <c r="S75" s="118">
        <f t="shared" ca="1" si="19"/>
        <v>1412754</v>
      </c>
      <c r="T75" s="118">
        <f ca="1">초급</f>
        <v>235459</v>
      </c>
      <c r="U75" s="118">
        <f t="shared" ca="1" si="20"/>
        <v>1412754</v>
      </c>
      <c r="V75" s="118"/>
      <c r="W75" s="118"/>
      <c r="X75" s="118"/>
      <c r="Y75" s="118"/>
      <c r="Z75" s="115"/>
    </row>
    <row r="76" spans="3:26" ht="18" customHeight="1">
      <c r="K76" s="171" t="s">
        <v>14</v>
      </c>
      <c r="L76" s="171"/>
      <c r="M76" s="171"/>
      <c r="N76" s="319" t="s">
        <v>42</v>
      </c>
      <c r="O76" s="174">
        <v>8</v>
      </c>
      <c r="P76" s="235">
        <f ca="1">OFFSET($A$1,MATCH(Z70,$A:$A,0)-1,O76)</f>
        <v>8</v>
      </c>
      <c r="Q76" s="322" t="s">
        <v>29</v>
      </c>
      <c r="R76" s="323">
        <f t="shared" ca="1" si="19"/>
        <v>250087</v>
      </c>
      <c r="S76" s="323">
        <f t="shared" ca="1" si="19"/>
        <v>2000696</v>
      </c>
      <c r="T76" s="323">
        <f ca="1">보조원</f>
        <v>250087</v>
      </c>
      <c r="U76" s="323">
        <f t="shared" ca="1" si="20"/>
        <v>2000696</v>
      </c>
      <c r="V76" s="323"/>
      <c r="W76" s="323"/>
      <c r="X76" s="323"/>
      <c r="Y76" s="323"/>
      <c r="Z76" s="324"/>
    </row>
    <row r="77" spans="3:26" ht="18" customHeight="1">
      <c r="K77" s="171" t="s">
        <v>14</v>
      </c>
      <c r="L77" s="171"/>
      <c r="M77" s="171"/>
      <c r="N77" s="139" t="s">
        <v>17</v>
      </c>
      <c r="O77" s="68"/>
      <c r="P77" s="69"/>
      <c r="Q77" s="70"/>
      <c r="R77" s="71"/>
      <c r="S77" s="71">
        <f ca="1">SUBTOTAL(9,S71:S76)</f>
        <v>5499644</v>
      </c>
      <c r="T77" s="71"/>
      <c r="U77" s="71">
        <f ca="1">SUBTOTAL(9,U71:U76)</f>
        <v>5499644</v>
      </c>
      <c r="V77" s="71"/>
      <c r="W77" s="71"/>
      <c r="X77" s="71"/>
      <c r="Y77" s="71"/>
      <c r="Z77" s="68"/>
    </row>
    <row r="78" spans="3:26" ht="18" customHeight="1">
      <c r="K78" s="171" t="s">
        <v>14</v>
      </c>
      <c r="L78" s="171"/>
      <c r="M78" s="171"/>
      <c r="N78" s="318" t="str">
        <f ca="1">"제 " &amp; Z78 &amp; " 호표  "&amp; OFFSET($A$1,MATCH(Z78,$A:$A,0)-1,1)</f>
        <v>제 5 호표  2.4 인구증가 분석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5</v>
      </c>
    </row>
    <row r="79" spans="3:26" ht="18" customHeight="1">
      <c r="K79" s="171" t="s">
        <v>14</v>
      </c>
      <c r="L79" s="171"/>
      <c r="M79" s="171"/>
      <c r="N79" s="140" t="s">
        <v>43</v>
      </c>
      <c r="O79" s="172">
        <v>3</v>
      </c>
      <c r="P79" s="219">
        <f ca="1">OFFSET($A$1,MATCH(Z78,$A:$A,0)-1,O79)</f>
        <v>0.6</v>
      </c>
      <c r="Q79" s="141" t="s">
        <v>29</v>
      </c>
      <c r="R79" s="142">
        <f t="shared" ref="R79:S84" ca="1" si="21">T79</f>
        <v>467217</v>
      </c>
      <c r="S79" s="142">
        <f t="shared" ca="1" si="21"/>
        <v>280330</v>
      </c>
      <c r="T79" s="142">
        <f ca="1">기술사</f>
        <v>467217</v>
      </c>
      <c r="U79" s="142">
        <f t="shared" ref="U79:U84" ca="1" si="22">ROUNDDOWN(P79*R79,0)</f>
        <v>280330</v>
      </c>
      <c r="V79" s="142"/>
      <c r="W79" s="142"/>
      <c r="X79" s="142"/>
      <c r="Y79" s="142"/>
      <c r="Z79" s="114"/>
    </row>
    <row r="80" spans="3:26" ht="18" customHeight="1">
      <c r="K80" s="171" t="s">
        <v>14</v>
      </c>
      <c r="L80" s="171"/>
      <c r="M80" s="171"/>
      <c r="N80" s="143" t="s">
        <v>32</v>
      </c>
      <c r="O80" s="173">
        <v>4</v>
      </c>
      <c r="P80" s="234">
        <f ca="1">OFFSET($A$1,MATCH(Z78,$A:$A,0)-1,O80)</f>
        <v>0.8</v>
      </c>
      <c r="Q80" s="144" t="s">
        <v>29</v>
      </c>
      <c r="R80" s="118">
        <f t="shared" ca="1" si="21"/>
        <v>373353</v>
      </c>
      <c r="S80" s="118">
        <f t="shared" ca="1" si="21"/>
        <v>298682</v>
      </c>
      <c r="T80" s="118">
        <f ca="1">특급</f>
        <v>373353</v>
      </c>
      <c r="U80" s="118">
        <f t="shared" ca="1" si="22"/>
        <v>298682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39</v>
      </c>
      <c r="O81" s="173">
        <v>5</v>
      </c>
      <c r="P81" s="234">
        <f ca="1">OFFSET($A$1,MATCH(Z78,$A:$A,0)-1,O81)</f>
        <v>2</v>
      </c>
      <c r="Q81" s="144" t="s">
        <v>29</v>
      </c>
      <c r="R81" s="118">
        <f t="shared" ca="1" si="21"/>
        <v>310884</v>
      </c>
      <c r="S81" s="118">
        <f t="shared" ca="1" si="21"/>
        <v>621768</v>
      </c>
      <c r="T81" s="118">
        <f ca="1">고급</f>
        <v>310884</v>
      </c>
      <c r="U81" s="118">
        <f t="shared" ca="1" si="22"/>
        <v>621768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40</v>
      </c>
      <c r="O82" s="173">
        <v>6</v>
      </c>
      <c r="P82" s="234">
        <f ca="1">OFFSET($A$1,MATCH(Z78,$A:$A,0)-1,O82)</f>
        <v>3</v>
      </c>
      <c r="Q82" s="144" t="s">
        <v>29</v>
      </c>
      <c r="R82" s="118">
        <f t="shared" ca="1" si="21"/>
        <v>295138</v>
      </c>
      <c r="S82" s="118">
        <f t="shared" ca="1" si="21"/>
        <v>885414</v>
      </c>
      <c r="T82" s="118">
        <f ca="1">중급</f>
        <v>295138</v>
      </c>
      <c r="U82" s="118">
        <f t="shared" ca="1" si="22"/>
        <v>885414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41</v>
      </c>
      <c r="O83" s="173">
        <v>7</v>
      </c>
      <c r="P83" s="234">
        <f ca="1">OFFSET($A$1,MATCH(Z78,$A:$A,0)-1,O83)</f>
        <v>6</v>
      </c>
      <c r="Q83" s="144" t="s">
        <v>29</v>
      </c>
      <c r="R83" s="118">
        <f t="shared" ca="1" si="21"/>
        <v>235459</v>
      </c>
      <c r="S83" s="118">
        <f t="shared" ca="1" si="21"/>
        <v>1412754</v>
      </c>
      <c r="T83" s="118">
        <f ca="1">초급</f>
        <v>235459</v>
      </c>
      <c r="U83" s="118">
        <f t="shared" ca="1" si="22"/>
        <v>1412754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319" t="s">
        <v>42</v>
      </c>
      <c r="O84" s="174">
        <v>8</v>
      </c>
      <c r="P84" s="235">
        <f ca="1">OFFSET($A$1,MATCH(Z78,$A:$A,0)-1,O84)</f>
        <v>8</v>
      </c>
      <c r="Q84" s="322" t="s">
        <v>29</v>
      </c>
      <c r="R84" s="323">
        <f t="shared" ca="1" si="21"/>
        <v>250087</v>
      </c>
      <c r="S84" s="323">
        <f t="shared" ca="1" si="21"/>
        <v>2000696</v>
      </c>
      <c r="T84" s="323">
        <f ca="1">보조원</f>
        <v>250087</v>
      </c>
      <c r="U84" s="323">
        <f t="shared" ca="1" si="22"/>
        <v>2000696</v>
      </c>
      <c r="V84" s="323"/>
      <c r="W84" s="323"/>
      <c r="X84" s="323"/>
      <c r="Y84" s="323"/>
      <c r="Z84" s="324"/>
    </row>
    <row r="85" spans="11:26" ht="18" customHeight="1">
      <c r="K85" s="171" t="s">
        <v>14</v>
      </c>
      <c r="L85" s="171"/>
      <c r="M85" s="171"/>
      <c r="N85" s="139" t="s">
        <v>17</v>
      </c>
      <c r="O85" s="68"/>
      <c r="P85" s="69"/>
      <c r="Q85" s="70"/>
      <c r="R85" s="71"/>
      <c r="S85" s="71">
        <f ca="1">SUBTOTAL(9,S79:S84)</f>
        <v>5499644</v>
      </c>
      <c r="T85" s="71"/>
      <c r="U85" s="71">
        <f ca="1">SUBTOTAL(9,U79:U84)</f>
        <v>5499644</v>
      </c>
      <c r="V85" s="71"/>
      <c r="W85" s="71"/>
      <c r="X85" s="71"/>
      <c r="Y85" s="71"/>
      <c r="Z85" s="68"/>
    </row>
    <row r="86" spans="11:26" ht="18" customHeight="1">
      <c r="K86" s="171" t="s">
        <v>14</v>
      </c>
      <c r="L86" s="171"/>
      <c r="M86" s="171"/>
      <c r="N86" s="318" t="str">
        <f ca="1">"제 " &amp; Z86 &amp; " 호표  "&amp; OFFSET($A$1,MATCH(Z86,$A:$A,0)-1,1)</f>
        <v>제 6 호표  2.5 관련계획 분석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6</v>
      </c>
    </row>
    <row r="87" spans="11:26" ht="18" customHeight="1">
      <c r="K87" s="171" t="s">
        <v>14</v>
      </c>
      <c r="L87" s="171"/>
      <c r="M87" s="171"/>
      <c r="N87" s="140" t="s">
        <v>43</v>
      </c>
      <c r="O87" s="172">
        <v>3</v>
      </c>
      <c r="P87" s="219">
        <f ca="1">OFFSET($A$1,MATCH(Z86,$A:$A,0)-1,O87)</f>
        <v>0.6</v>
      </c>
      <c r="Q87" s="141" t="s">
        <v>29</v>
      </c>
      <c r="R87" s="142">
        <f t="shared" ref="R87:S92" ca="1" si="23">T87</f>
        <v>467217</v>
      </c>
      <c r="S87" s="142">
        <f t="shared" ca="1" si="23"/>
        <v>280330</v>
      </c>
      <c r="T87" s="142">
        <f ca="1">기술사</f>
        <v>467217</v>
      </c>
      <c r="U87" s="142">
        <f t="shared" ref="U87:U92" ca="1" si="24">ROUNDDOWN(P87*R87,0)</f>
        <v>280330</v>
      </c>
      <c r="V87" s="142"/>
      <c r="W87" s="142"/>
      <c r="X87" s="142"/>
      <c r="Y87" s="142"/>
      <c r="Z87" s="114"/>
    </row>
    <row r="88" spans="11:26" ht="18" customHeight="1">
      <c r="K88" s="171" t="s">
        <v>14</v>
      </c>
      <c r="L88" s="171"/>
      <c r="M88" s="171"/>
      <c r="N88" s="143" t="s">
        <v>32</v>
      </c>
      <c r="O88" s="173">
        <v>4</v>
      </c>
      <c r="P88" s="234">
        <f ca="1">OFFSET($A$1,MATCH(Z86,$A:$A,0)-1,O88)</f>
        <v>0.8</v>
      </c>
      <c r="Q88" s="144" t="s">
        <v>29</v>
      </c>
      <c r="R88" s="118">
        <f t="shared" ca="1" si="23"/>
        <v>373353</v>
      </c>
      <c r="S88" s="118">
        <f t="shared" ca="1" si="23"/>
        <v>298682</v>
      </c>
      <c r="T88" s="118">
        <f ca="1">특급</f>
        <v>373353</v>
      </c>
      <c r="U88" s="118">
        <f t="shared" ca="1" si="24"/>
        <v>298682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39</v>
      </c>
      <c r="O89" s="173">
        <v>5</v>
      </c>
      <c r="P89" s="234">
        <f ca="1">OFFSET($A$1,MATCH(Z86,$A:$A,0)-1,O89)</f>
        <v>2</v>
      </c>
      <c r="Q89" s="144" t="s">
        <v>29</v>
      </c>
      <c r="R89" s="118">
        <f t="shared" ca="1" si="23"/>
        <v>310884</v>
      </c>
      <c r="S89" s="118">
        <f t="shared" ca="1" si="23"/>
        <v>621768</v>
      </c>
      <c r="T89" s="118">
        <f ca="1">고급</f>
        <v>310884</v>
      </c>
      <c r="U89" s="118">
        <f t="shared" ca="1" si="24"/>
        <v>621768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40</v>
      </c>
      <c r="O90" s="173">
        <v>6</v>
      </c>
      <c r="P90" s="234">
        <f ca="1">OFFSET($A$1,MATCH(Z86,$A:$A,0)-1,O90)</f>
        <v>2</v>
      </c>
      <c r="Q90" s="144" t="s">
        <v>29</v>
      </c>
      <c r="R90" s="118">
        <f t="shared" ca="1" si="23"/>
        <v>295138</v>
      </c>
      <c r="S90" s="118">
        <f t="shared" ca="1" si="23"/>
        <v>590276</v>
      </c>
      <c r="T90" s="118">
        <f ca="1">중급</f>
        <v>295138</v>
      </c>
      <c r="U90" s="118">
        <f t="shared" ca="1" si="24"/>
        <v>590276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41</v>
      </c>
      <c r="O91" s="173">
        <v>7</v>
      </c>
      <c r="P91" s="234">
        <f ca="1">OFFSET($A$1,MATCH(Z86,$A:$A,0)-1,O91)</f>
        <v>6</v>
      </c>
      <c r="Q91" s="144" t="s">
        <v>29</v>
      </c>
      <c r="R91" s="118">
        <f t="shared" ca="1" si="23"/>
        <v>235459</v>
      </c>
      <c r="S91" s="118">
        <f t="shared" ca="1" si="23"/>
        <v>1412754</v>
      </c>
      <c r="T91" s="118">
        <f ca="1">초급</f>
        <v>235459</v>
      </c>
      <c r="U91" s="118">
        <f t="shared" ca="1" si="24"/>
        <v>1412754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319" t="s">
        <v>42</v>
      </c>
      <c r="O92" s="174">
        <v>8</v>
      </c>
      <c r="P92" s="235">
        <f ca="1">OFFSET($A$1,MATCH(Z86,$A:$A,0)-1,O92)</f>
        <v>8</v>
      </c>
      <c r="Q92" s="322" t="s">
        <v>29</v>
      </c>
      <c r="R92" s="323">
        <f t="shared" ca="1" si="23"/>
        <v>250087</v>
      </c>
      <c r="S92" s="323">
        <f t="shared" ca="1" si="23"/>
        <v>2000696</v>
      </c>
      <c r="T92" s="323">
        <f ca="1">보조원</f>
        <v>250087</v>
      </c>
      <c r="U92" s="323">
        <f t="shared" ca="1" si="24"/>
        <v>2000696</v>
      </c>
      <c r="V92" s="323"/>
      <c r="W92" s="323"/>
      <c r="X92" s="323"/>
      <c r="Y92" s="323"/>
      <c r="Z92" s="324"/>
    </row>
    <row r="93" spans="11:26" ht="18" customHeight="1">
      <c r="K93" s="171" t="s">
        <v>14</v>
      </c>
      <c r="L93" s="171"/>
      <c r="M93" s="171"/>
      <c r="N93" s="139" t="s">
        <v>17</v>
      </c>
      <c r="O93" s="68"/>
      <c r="P93" s="69"/>
      <c r="Q93" s="70"/>
      <c r="R93" s="71"/>
      <c r="S93" s="71">
        <f ca="1">SUBTOTAL(9,S87:S92)</f>
        <v>5204506</v>
      </c>
      <c r="T93" s="71"/>
      <c r="U93" s="71">
        <f ca="1">SUBTOTAL(9,U87:U92)</f>
        <v>5204506</v>
      </c>
      <c r="V93" s="71"/>
      <c r="W93" s="71"/>
      <c r="X93" s="71"/>
      <c r="Y93" s="71"/>
      <c r="Z93" s="68"/>
    </row>
    <row r="94" spans="11:26" ht="18" customHeight="1">
      <c r="K94" s="171" t="s">
        <v>14</v>
      </c>
      <c r="L94" s="171"/>
      <c r="M94" s="171"/>
      <c r="N94" s="318" t="str">
        <f ca="1">"제 " &amp; Z94 &amp; " 호표  "&amp; OFFSET($A$1,MATCH(Z94,$A:$A,0)-1,1)</f>
        <v>제 7 호표  3.1 평가지표 설정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7</v>
      </c>
    </row>
    <row r="95" spans="11:26" ht="18" customHeight="1">
      <c r="K95" s="171" t="s">
        <v>14</v>
      </c>
      <c r="L95" s="171"/>
      <c r="M95" s="171"/>
      <c r="N95" s="140" t="s">
        <v>43</v>
      </c>
      <c r="O95" s="172">
        <v>3</v>
      </c>
      <c r="P95" s="219">
        <f ca="1">OFFSET($A$1,MATCH(Z94,$A:$A,0)-1,O95)</f>
        <v>0.4</v>
      </c>
      <c r="Q95" s="141" t="s">
        <v>29</v>
      </c>
      <c r="R95" s="142">
        <f t="shared" ref="R95:S100" ca="1" si="25">T95</f>
        <v>467217</v>
      </c>
      <c r="S95" s="142">
        <f t="shared" ca="1" si="25"/>
        <v>186886</v>
      </c>
      <c r="T95" s="142">
        <f ca="1">기술사</f>
        <v>467217</v>
      </c>
      <c r="U95" s="142">
        <f t="shared" ref="U95:U100" ca="1" si="26">ROUNDDOWN(P95*R95,0)</f>
        <v>186886</v>
      </c>
      <c r="V95" s="142"/>
      <c r="W95" s="142"/>
      <c r="X95" s="142"/>
      <c r="Y95" s="142"/>
      <c r="Z95" s="114"/>
    </row>
    <row r="96" spans="11:26" ht="18" customHeight="1">
      <c r="K96" s="171" t="s">
        <v>14</v>
      </c>
      <c r="L96" s="171"/>
      <c r="M96" s="171"/>
      <c r="N96" s="143" t="s">
        <v>32</v>
      </c>
      <c r="O96" s="173">
        <v>4</v>
      </c>
      <c r="P96" s="234">
        <f ca="1">OFFSET($A$1,MATCH(Z94,$A:$A,0)-1,O96)</f>
        <v>0.8</v>
      </c>
      <c r="Q96" s="144" t="s">
        <v>29</v>
      </c>
      <c r="R96" s="118">
        <f t="shared" ca="1" si="25"/>
        <v>373353</v>
      </c>
      <c r="S96" s="118">
        <f t="shared" ca="1" si="25"/>
        <v>298682</v>
      </c>
      <c r="T96" s="118">
        <f ca="1">특급</f>
        <v>373353</v>
      </c>
      <c r="U96" s="118">
        <f t="shared" ca="1" si="26"/>
        <v>298682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39</v>
      </c>
      <c r="O97" s="173">
        <v>5</v>
      </c>
      <c r="P97" s="234">
        <f ca="1">OFFSET($A$1,MATCH(Z94,$A:$A,0)-1,O97)</f>
        <v>2</v>
      </c>
      <c r="Q97" s="144" t="s">
        <v>29</v>
      </c>
      <c r="R97" s="118">
        <f t="shared" ca="1" si="25"/>
        <v>310884</v>
      </c>
      <c r="S97" s="118">
        <f t="shared" ca="1" si="25"/>
        <v>621768</v>
      </c>
      <c r="T97" s="118">
        <f ca="1">고급</f>
        <v>310884</v>
      </c>
      <c r="U97" s="118">
        <f t="shared" ca="1" si="26"/>
        <v>621768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40</v>
      </c>
      <c r="O98" s="173">
        <v>6</v>
      </c>
      <c r="P98" s="234">
        <f ca="1">OFFSET($A$1,MATCH(Z94,$A:$A,0)-1,O98)</f>
        <v>2.5</v>
      </c>
      <c r="Q98" s="144" t="s">
        <v>29</v>
      </c>
      <c r="R98" s="118">
        <f t="shared" ca="1" si="25"/>
        <v>295138</v>
      </c>
      <c r="S98" s="118">
        <f t="shared" ca="1" si="25"/>
        <v>737845</v>
      </c>
      <c r="T98" s="118">
        <f ca="1">중급</f>
        <v>295138</v>
      </c>
      <c r="U98" s="118">
        <f t="shared" ca="1" si="26"/>
        <v>737845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41</v>
      </c>
      <c r="O99" s="173">
        <v>7</v>
      </c>
      <c r="P99" s="234">
        <f ca="1">OFFSET($A$1,MATCH(Z94,$A:$A,0)-1,O99)</f>
        <v>4</v>
      </c>
      <c r="Q99" s="144" t="s">
        <v>29</v>
      </c>
      <c r="R99" s="118">
        <f t="shared" ca="1" si="25"/>
        <v>235459</v>
      </c>
      <c r="S99" s="118">
        <f t="shared" ca="1" si="25"/>
        <v>941836</v>
      </c>
      <c r="T99" s="118">
        <f ca="1">초급</f>
        <v>235459</v>
      </c>
      <c r="U99" s="118">
        <f t="shared" ca="1" si="26"/>
        <v>941836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319" t="s">
        <v>42</v>
      </c>
      <c r="O100" s="174">
        <v>8</v>
      </c>
      <c r="P100" s="235">
        <f ca="1">OFFSET($A$1,MATCH(Z94,$A:$A,0)-1,O100)</f>
        <v>8</v>
      </c>
      <c r="Q100" s="322" t="s">
        <v>29</v>
      </c>
      <c r="R100" s="323">
        <f t="shared" ca="1" si="25"/>
        <v>250087</v>
      </c>
      <c r="S100" s="323">
        <f t="shared" ca="1" si="25"/>
        <v>2000696</v>
      </c>
      <c r="T100" s="323">
        <f ca="1">보조원</f>
        <v>250087</v>
      </c>
      <c r="U100" s="323">
        <f t="shared" ca="1" si="26"/>
        <v>2000696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M101" s="171"/>
      <c r="N101" s="139" t="s">
        <v>17</v>
      </c>
      <c r="O101" s="68"/>
      <c r="P101" s="69"/>
      <c r="Q101" s="70"/>
      <c r="R101" s="71"/>
      <c r="S101" s="71">
        <f ca="1">SUBTOTAL(9,S95:S100)</f>
        <v>4787713</v>
      </c>
      <c r="T101" s="71"/>
      <c r="U101" s="71">
        <f ca="1">SUBTOTAL(9,U95:U100)</f>
        <v>4787713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M102" s="171"/>
      <c r="N102" s="318" t="str">
        <f ca="1">"제 " &amp; Z102 &amp; " 호표  "&amp; OFFSET($A$1,MATCH(Z102,$A:$A,0)-1,1)</f>
        <v>제 8 호표  3.2 현장조사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8</v>
      </c>
    </row>
    <row r="103" spans="11:26" ht="18" customHeight="1">
      <c r="K103" s="171" t="s">
        <v>14</v>
      </c>
      <c r="L103" s="171"/>
      <c r="M103" s="171"/>
      <c r="N103" s="140" t="s">
        <v>43</v>
      </c>
      <c r="O103" s="172">
        <v>3</v>
      </c>
      <c r="P103" s="219">
        <f ca="1">OFFSET($A$1,MATCH(Z102,$A:$A,0)-1,O103)</f>
        <v>0.2</v>
      </c>
      <c r="Q103" s="141" t="s">
        <v>29</v>
      </c>
      <c r="R103" s="142">
        <f t="shared" ref="R103:S108" ca="1" si="27">T103</f>
        <v>467217</v>
      </c>
      <c r="S103" s="142">
        <f t="shared" ca="1" si="27"/>
        <v>93443</v>
      </c>
      <c r="T103" s="142">
        <f ca="1">기술사</f>
        <v>467217</v>
      </c>
      <c r="U103" s="142">
        <f t="shared" ref="U103:U108" ca="1" si="28">ROUNDDOWN(P103*R103,0)</f>
        <v>93443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M104" s="171"/>
      <c r="N104" s="143" t="s">
        <v>32</v>
      </c>
      <c r="O104" s="173">
        <v>4</v>
      </c>
      <c r="P104" s="234">
        <f ca="1">OFFSET($A$1,MATCH(Z102,$A:$A,0)-1,O104)</f>
        <v>0.6</v>
      </c>
      <c r="Q104" s="144" t="s">
        <v>29</v>
      </c>
      <c r="R104" s="118">
        <f t="shared" ca="1" si="27"/>
        <v>373353</v>
      </c>
      <c r="S104" s="118">
        <f t="shared" ca="1" si="27"/>
        <v>224011</v>
      </c>
      <c r="T104" s="118">
        <f ca="1">특급</f>
        <v>373353</v>
      </c>
      <c r="U104" s="118">
        <f t="shared" ca="1" si="28"/>
        <v>224011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39</v>
      </c>
      <c r="O105" s="173">
        <v>5</v>
      </c>
      <c r="P105" s="234">
        <f ca="1">OFFSET($A$1,MATCH(Z102,$A:$A,0)-1,O105)</f>
        <v>1.6</v>
      </c>
      <c r="Q105" s="144" t="s">
        <v>29</v>
      </c>
      <c r="R105" s="118">
        <f t="shared" ca="1" si="27"/>
        <v>310884</v>
      </c>
      <c r="S105" s="118">
        <f t="shared" ca="1" si="27"/>
        <v>497414</v>
      </c>
      <c r="T105" s="118">
        <f ca="1">고급</f>
        <v>310884</v>
      </c>
      <c r="U105" s="118">
        <f t="shared" ca="1" si="28"/>
        <v>497414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40</v>
      </c>
      <c r="O106" s="173">
        <v>6</v>
      </c>
      <c r="P106" s="234">
        <f ca="1">OFFSET($A$1,MATCH(Z102,$A:$A,0)-1,O106)</f>
        <v>2.4</v>
      </c>
      <c r="Q106" s="144" t="s">
        <v>29</v>
      </c>
      <c r="R106" s="118">
        <f t="shared" ca="1" si="27"/>
        <v>295138</v>
      </c>
      <c r="S106" s="118">
        <f t="shared" ca="1" si="27"/>
        <v>708331</v>
      </c>
      <c r="T106" s="118">
        <f ca="1">중급</f>
        <v>295138</v>
      </c>
      <c r="U106" s="118">
        <f t="shared" ca="1" si="28"/>
        <v>708331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41</v>
      </c>
      <c r="O107" s="173">
        <v>7</v>
      </c>
      <c r="P107" s="234">
        <f ca="1">OFFSET($A$1,MATCH(Z102,$A:$A,0)-1,O107)</f>
        <v>3</v>
      </c>
      <c r="Q107" s="144" t="s">
        <v>29</v>
      </c>
      <c r="R107" s="118">
        <f t="shared" ca="1" si="27"/>
        <v>235459</v>
      </c>
      <c r="S107" s="118">
        <f t="shared" ca="1" si="27"/>
        <v>706377</v>
      </c>
      <c r="T107" s="118">
        <f ca="1">초급</f>
        <v>235459</v>
      </c>
      <c r="U107" s="118">
        <f t="shared" ca="1" si="28"/>
        <v>706377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319" t="s">
        <v>42</v>
      </c>
      <c r="O108" s="174">
        <v>8</v>
      </c>
      <c r="P108" s="235">
        <f ca="1">OFFSET($A$1,MATCH(Z102,$A:$A,0)-1,O108)</f>
        <v>3</v>
      </c>
      <c r="Q108" s="322" t="s">
        <v>29</v>
      </c>
      <c r="R108" s="323">
        <f t="shared" ca="1" si="27"/>
        <v>250087</v>
      </c>
      <c r="S108" s="323">
        <f t="shared" ca="1" si="27"/>
        <v>750261</v>
      </c>
      <c r="T108" s="323">
        <f ca="1">보조원</f>
        <v>250087</v>
      </c>
      <c r="U108" s="323">
        <f t="shared" ca="1" si="28"/>
        <v>750261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M109" s="171"/>
      <c r="N109" s="139" t="s">
        <v>17</v>
      </c>
      <c r="O109" s="68"/>
      <c r="P109" s="69"/>
      <c r="Q109" s="70"/>
      <c r="R109" s="71"/>
      <c r="S109" s="71">
        <f ca="1">SUBTOTAL(9,S103:S108)</f>
        <v>2979837</v>
      </c>
      <c r="T109" s="71"/>
      <c r="U109" s="71">
        <f ca="1">SUBTOTAL(9,U103:U108)</f>
        <v>2979837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M110" s="171"/>
      <c r="N110" s="318" t="str">
        <f ca="1">"제 " &amp; Z110 &amp; " 호표  "&amp; OFFSET($A$1,MATCH(Z110,$A:$A,0)-1,1)</f>
        <v>제 9 호표  3.3 성장관리지역 지정(안) 작성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9</v>
      </c>
    </row>
    <row r="111" spans="11:26" ht="18" customHeight="1">
      <c r="K111" s="171" t="s">
        <v>14</v>
      </c>
      <c r="L111" s="171"/>
      <c r="M111" s="171"/>
      <c r="N111" s="140" t="s">
        <v>43</v>
      </c>
      <c r="O111" s="172">
        <v>3</v>
      </c>
      <c r="P111" s="219">
        <f ca="1">OFFSET($A$1,MATCH(Z110,$A:$A,0)-1,O111)</f>
        <v>0.8</v>
      </c>
      <c r="Q111" s="141" t="s">
        <v>29</v>
      </c>
      <c r="R111" s="142">
        <f t="shared" ref="R111:S116" ca="1" si="29">T111</f>
        <v>467217</v>
      </c>
      <c r="S111" s="142">
        <f t="shared" ca="1" si="29"/>
        <v>373773</v>
      </c>
      <c r="T111" s="142">
        <f ca="1">기술사</f>
        <v>467217</v>
      </c>
      <c r="U111" s="142">
        <f t="shared" ref="U111:U116" ca="1" si="30">ROUNDDOWN(P111*R111,0)</f>
        <v>373773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M112" s="171"/>
      <c r="N112" s="143" t="s">
        <v>32</v>
      </c>
      <c r="O112" s="173">
        <v>4</v>
      </c>
      <c r="P112" s="234">
        <f ca="1">OFFSET($A$1,MATCH(Z110,$A:$A,0)-1,O112)</f>
        <v>1.5</v>
      </c>
      <c r="Q112" s="144" t="s">
        <v>29</v>
      </c>
      <c r="R112" s="118">
        <f t="shared" ca="1" si="29"/>
        <v>373353</v>
      </c>
      <c r="S112" s="118">
        <f t="shared" ca="1" si="29"/>
        <v>560029</v>
      </c>
      <c r="T112" s="118">
        <f ca="1">특급</f>
        <v>373353</v>
      </c>
      <c r="U112" s="118">
        <f t="shared" ca="1" si="30"/>
        <v>560029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39</v>
      </c>
      <c r="O113" s="173">
        <v>5</v>
      </c>
      <c r="P113" s="234">
        <f ca="1">OFFSET($A$1,MATCH(Z110,$A:$A,0)-1,O113)</f>
        <v>3</v>
      </c>
      <c r="Q113" s="144" t="s">
        <v>29</v>
      </c>
      <c r="R113" s="118">
        <f t="shared" ca="1" si="29"/>
        <v>310884</v>
      </c>
      <c r="S113" s="118">
        <f t="shared" ca="1" si="29"/>
        <v>932652</v>
      </c>
      <c r="T113" s="118">
        <f ca="1">고급</f>
        <v>310884</v>
      </c>
      <c r="U113" s="118">
        <f t="shared" ca="1" si="30"/>
        <v>932652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40</v>
      </c>
      <c r="O114" s="173">
        <v>6</v>
      </c>
      <c r="P114" s="234">
        <f ca="1">OFFSET($A$1,MATCH(Z110,$A:$A,0)-1,O114)</f>
        <v>5</v>
      </c>
      <c r="Q114" s="144" t="s">
        <v>29</v>
      </c>
      <c r="R114" s="118">
        <f t="shared" ca="1" si="29"/>
        <v>295138</v>
      </c>
      <c r="S114" s="118">
        <f t="shared" ca="1" si="29"/>
        <v>1475690</v>
      </c>
      <c r="T114" s="118">
        <f ca="1">중급</f>
        <v>295138</v>
      </c>
      <c r="U114" s="118">
        <f t="shared" ca="1" si="30"/>
        <v>1475690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41</v>
      </c>
      <c r="O115" s="173">
        <v>7</v>
      </c>
      <c r="P115" s="234">
        <f ca="1">OFFSET($A$1,MATCH(Z110,$A:$A,0)-1,O115)</f>
        <v>6</v>
      </c>
      <c r="Q115" s="144" t="s">
        <v>29</v>
      </c>
      <c r="R115" s="118">
        <f t="shared" ca="1" si="29"/>
        <v>235459</v>
      </c>
      <c r="S115" s="118">
        <f t="shared" ca="1" si="29"/>
        <v>1412754</v>
      </c>
      <c r="T115" s="118">
        <f ca="1">초급</f>
        <v>235459</v>
      </c>
      <c r="U115" s="118">
        <f t="shared" ca="1" si="30"/>
        <v>1412754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319" t="s">
        <v>42</v>
      </c>
      <c r="O116" s="174">
        <v>8</v>
      </c>
      <c r="P116" s="235">
        <f ca="1">OFFSET($A$1,MATCH(Z110,$A:$A,0)-1,O116)</f>
        <v>4</v>
      </c>
      <c r="Q116" s="322" t="s">
        <v>29</v>
      </c>
      <c r="R116" s="323">
        <f t="shared" ca="1" si="29"/>
        <v>250087</v>
      </c>
      <c r="S116" s="323">
        <f t="shared" ca="1" si="29"/>
        <v>1000348</v>
      </c>
      <c r="T116" s="323">
        <f ca="1">보조원</f>
        <v>250087</v>
      </c>
      <c r="U116" s="323">
        <f t="shared" ca="1" si="30"/>
        <v>1000348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M117" s="171"/>
      <c r="N117" s="139" t="s">
        <v>17</v>
      </c>
      <c r="O117" s="68"/>
      <c r="P117" s="69"/>
      <c r="Q117" s="70"/>
      <c r="R117" s="71"/>
      <c r="S117" s="71">
        <f ca="1">SUBTOTAL(9,S111:S116)</f>
        <v>5755246</v>
      </c>
      <c r="T117" s="71"/>
      <c r="U117" s="71">
        <f ca="1">SUBTOTAL(9,U111:U116)</f>
        <v>5755246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M118" s="171"/>
      <c r="N118" s="318" t="str">
        <f ca="1">"제 " &amp; Z118 &amp; " 호표  "&amp; OFFSET($A$1,MATCH(Z118,$A:$A,0)-1,1)</f>
        <v>제 10 호표  4.1 보고서작성 및 편집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10</v>
      </c>
    </row>
    <row r="119" spans="11:26" ht="18" customHeight="1">
      <c r="K119" s="171" t="s">
        <v>14</v>
      </c>
      <c r="L119" s="171"/>
      <c r="M119" s="171"/>
      <c r="N119" s="140" t="s">
        <v>43</v>
      </c>
      <c r="O119" s="172">
        <v>3</v>
      </c>
      <c r="P119" s="219">
        <f ca="1">OFFSET($A$1,MATCH(Z118,$A:$A,0)-1,O119)</f>
        <v>0.6</v>
      </c>
      <c r="Q119" s="141" t="s">
        <v>29</v>
      </c>
      <c r="R119" s="142">
        <f t="shared" ref="R119:S124" ca="1" si="31">T119</f>
        <v>467217</v>
      </c>
      <c r="S119" s="142">
        <f t="shared" ca="1" si="31"/>
        <v>280330</v>
      </c>
      <c r="T119" s="142">
        <f ca="1">기술사</f>
        <v>467217</v>
      </c>
      <c r="U119" s="142">
        <f t="shared" ref="U119:U124" ca="1" si="32">ROUNDDOWN(P119*R119,0)</f>
        <v>280330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M120" s="171"/>
      <c r="N120" s="143" t="s">
        <v>32</v>
      </c>
      <c r="O120" s="173">
        <v>4</v>
      </c>
      <c r="P120" s="234">
        <f ca="1">OFFSET($A$1,MATCH(Z118,$A:$A,0)-1,O120)</f>
        <v>0.6</v>
      </c>
      <c r="Q120" s="144" t="s">
        <v>29</v>
      </c>
      <c r="R120" s="118">
        <f t="shared" ca="1" si="31"/>
        <v>373353</v>
      </c>
      <c r="S120" s="118">
        <f t="shared" ca="1" si="31"/>
        <v>224011</v>
      </c>
      <c r="T120" s="118">
        <f ca="1">특급</f>
        <v>373353</v>
      </c>
      <c r="U120" s="118">
        <f t="shared" ca="1" si="32"/>
        <v>224011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39</v>
      </c>
      <c r="O121" s="173">
        <v>5</v>
      </c>
      <c r="P121" s="234">
        <f ca="1">OFFSET($A$1,MATCH(Z118,$A:$A,0)-1,O121)</f>
        <v>1.2</v>
      </c>
      <c r="Q121" s="144" t="s">
        <v>29</v>
      </c>
      <c r="R121" s="118">
        <f t="shared" ca="1" si="31"/>
        <v>310884</v>
      </c>
      <c r="S121" s="118">
        <f t="shared" ca="1" si="31"/>
        <v>373060</v>
      </c>
      <c r="T121" s="118">
        <f ca="1">고급</f>
        <v>310884</v>
      </c>
      <c r="U121" s="118">
        <f t="shared" ca="1" si="32"/>
        <v>373060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40</v>
      </c>
      <c r="O122" s="173">
        <v>6</v>
      </c>
      <c r="P122" s="234">
        <f ca="1">OFFSET($A$1,MATCH(Z118,$A:$A,0)-1,O122)</f>
        <v>2</v>
      </c>
      <c r="Q122" s="144" t="s">
        <v>29</v>
      </c>
      <c r="R122" s="118">
        <f t="shared" ca="1" si="31"/>
        <v>295138</v>
      </c>
      <c r="S122" s="118">
        <f t="shared" ca="1" si="31"/>
        <v>590276</v>
      </c>
      <c r="T122" s="118">
        <f ca="1">중급</f>
        <v>295138</v>
      </c>
      <c r="U122" s="118">
        <f t="shared" ca="1" si="32"/>
        <v>590276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41</v>
      </c>
      <c r="O123" s="173">
        <v>7</v>
      </c>
      <c r="P123" s="234">
        <f ca="1">OFFSET($A$1,MATCH(Z118,$A:$A,0)-1,O123)</f>
        <v>3</v>
      </c>
      <c r="Q123" s="144" t="s">
        <v>29</v>
      </c>
      <c r="R123" s="118">
        <f t="shared" ca="1" si="31"/>
        <v>235459</v>
      </c>
      <c r="S123" s="118">
        <f t="shared" ca="1" si="31"/>
        <v>706377</v>
      </c>
      <c r="T123" s="118">
        <f ca="1">초급</f>
        <v>235459</v>
      </c>
      <c r="U123" s="118">
        <f t="shared" ca="1" si="32"/>
        <v>706377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319" t="s">
        <v>42</v>
      </c>
      <c r="O124" s="174">
        <v>8</v>
      </c>
      <c r="P124" s="235">
        <f ca="1">OFFSET($A$1,MATCH(Z118,$A:$A,0)-1,O124)</f>
        <v>4.5</v>
      </c>
      <c r="Q124" s="322" t="s">
        <v>29</v>
      </c>
      <c r="R124" s="323">
        <f t="shared" ca="1" si="31"/>
        <v>250087</v>
      </c>
      <c r="S124" s="323">
        <f t="shared" ca="1" si="31"/>
        <v>1125391</v>
      </c>
      <c r="T124" s="323">
        <f ca="1">보조원</f>
        <v>250087</v>
      </c>
      <c r="U124" s="323">
        <f t="shared" ca="1" si="32"/>
        <v>1125391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M125" s="171"/>
      <c r="N125" s="139" t="s">
        <v>17</v>
      </c>
      <c r="O125" s="68"/>
      <c r="P125" s="69"/>
      <c r="Q125" s="70"/>
      <c r="R125" s="71"/>
      <c r="S125" s="71">
        <f ca="1">SUBTOTAL(9,S119:S124)</f>
        <v>3299445</v>
      </c>
      <c r="T125" s="71"/>
      <c r="U125" s="71">
        <f ca="1">SUBTOTAL(9,U119:U124)</f>
        <v>3299445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M126" s="171"/>
      <c r="N126" s="318" t="str">
        <f ca="1">"제 " &amp; Z126 &amp; " 호표  "&amp; OFFSET($A$1,MATCH(Z126,$A:$A,0)-1,1)</f>
        <v>제 11 호표  4.2 관련도서작성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11</v>
      </c>
    </row>
    <row r="127" spans="11:26" ht="18" customHeight="1">
      <c r="K127" s="171" t="s">
        <v>14</v>
      </c>
      <c r="L127" s="171"/>
      <c r="M127" s="171"/>
      <c r="N127" s="140" t="s">
        <v>43</v>
      </c>
      <c r="O127" s="172">
        <v>3</v>
      </c>
      <c r="P127" s="219">
        <f ca="1">OFFSET($A$1,MATCH(Z126,$A:$A,0)-1,O127)</f>
        <v>0.6</v>
      </c>
      <c r="Q127" s="141" t="s">
        <v>29</v>
      </c>
      <c r="R127" s="142">
        <f t="shared" ref="R127:S132" ca="1" si="33">T127</f>
        <v>467217</v>
      </c>
      <c r="S127" s="142">
        <f t="shared" ca="1" si="33"/>
        <v>280330</v>
      </c>
      <c r="T127" s="142">
        <f ca="1">기술사</f>
        <v>467217</v>
      </c>
      <c r="U127" s="142">
        <f t="shared" ref="U127:U132" ca="1" si="34">ROUNDDOWN(P127*R127,0)</f>
        <v>280330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M128" s="171"/>
      <c r="N128" s="143" t="s">
        <v>32</v>
      </c>
      <c r="O128" s="173">
        <v>4</v>
      </c>
      <c r="P128" s="234">
        <f ca="1">OFFSET($A$1,MATCH(Z126,$A:$A,0)-1,O128)</f>
        <v>1.2</v>
      </c>
      <c r="Q128" s="144" t="s">
        <v>29</v>
      </c>
      <c r="R128" s="118">
        <f t="shared" ca="1" si="33"/>
        <v>373353</v>
      </c>
      <c r="S128" s="118">
        <f t="shared" ca="1" si="33"/>
        <v>448023</v>
      </c>
      <c r="T128" s="118">
        <f ca="1">특급</f>
        <v>373353</v>
      </c>
      <c r="U128" s="118">
        <f t="shared" ca="1" si="34"/>
        <v>448023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39</v>
      </c>
      <c r="O129" s="173">
        <v>5</v>
      </c>
      <c r="P129" s="234">
        <f ca="1">OFFSET($A$1,MATCH(Z126,$A:$A,0)-1,O129)</f>
        <v>3</v>
      </c>
      <c r="Q129" s="144" t="s">
        <v>29</v>
      </c>
      <c r="R129" s="118">
        <f t="shared" ca="1" si="33"/>
        <v>310884</v>
      </c>
      <c r="S129" s="118">
        <f t="shared" ca="1" si="33"/>
        <v>932652</v>
      </c>
      <c r="T129" s="118">
        <f ca="1">고급</f>
        <v>310884</v>
      </c>
      <c r="U129" s="118">
        <f t="shared" ca="1" si="34"/>
        <v>932652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40</v>
      </c>
      <c r="O130" s="173">
        <v>6</v>
      </c>
      <c r="P130" s="234">
        <f ca="1">OFFSET($A$1,MATCH(Z126,$A:$A,0)-1,O130)</f>
        <v>5</v>
      </c>
      <c r="Q130" s="144" t="s">
        <v>29</v>
      </c>
      <c r="R130" s="118">
        <f t="shared" ca="1" si="33"/>
        <v>295138</v>
      </c>
      <c r="S130" s="118">
        <f t="shared" ca="1" si="33"/>
        <v>1475690</v>
      </c>
      <c r="T130" s="118">
        <f ca="1">중급</f>
        <v>295138</v>
      </c>
      <c r="U130" s="118">
        <f t="shared" ca="1" si="34"/>
        <v>1475690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41</v>
      </c>
      <c r="O131" s="173">
        <v>7</v>
      </c>
      <c r="P131" s="234">
        <f ca="1">OFFSET($A$1,MATCH(Z126,$A:$A,0)-1,O131)</f>
        <v>6</v>
      </c>
      <c r="Q131" s="144" t="s">
        <v>29</v>
      </c>
      <c r="R131" s="118">
        <f t="shared" ca="1" si="33"/>
        <v>235459</v>
      </c>
      <c r="S131" s="118">
        <f t="shared" ca="1" si="33"/>
        <v>1412754</v>
      </c>
      <c r="T131" s="118">
        <f ca="1">초급</f>
        <v>235459</v>
      </c>
      <c r="U131" s="118">
        <f t="shared" ca="1" si="34"/>
        <v>1412754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319" t="s">
        <v>42</v>
      </c>
      <c r="O132" s="174">
        <v>8</v>
      </c>
      <c r="P132" s="235">
        <f ca="1">OFFSET($A$1,MATCH(Z126,$A:$A,0)-1,O132)</f>
        <v>8</v>
      </c>
      <c r="Q132" s="322" t="s">
        <v>29</v>
      </c>
      <c r="R132" s="323">
        <f t="shared" ca="1" si="33"/>
        <v>250087</v>
      </c>
      <c r="S132" s="323">
        <f t="shared" ca="1" si="33"/>
        <v>2000696</v>
      </c>
      <c r="T132" s="323">
        <f ca="1">보조원</f>
        <v>250087</v>
      </c>
      <c r="U132" s="323">
        <f t="shared" ca="1" si="34"/>
        <v>2000696</v>
      </c>
      <c r="V132" s="323"/>
      <c r="W132" s="323"/>
      <c r="X132" s="323"/>
      <c r="Y132" s="323"/>
      <c r="Z132" s="324"/>
    </row>
    <row r="133" spans="11:29" ht="18" customHeight="1">
      <c r="K133" s="171" t="s">
        <v>14</v>
      </c>
      <c r="L133" s="171"/>
      <c r="M133" s="171"/>
      <c r="N133" s="139" t="s">
        <v>17</v>
      </c>
      <c r="O133" s="68"/>
      <c r="P133" s="69"/>
      <c r="Q133" s="70"/>
      <c r="R133" s="71"/>
      <c r="S133" s="71">
        <f ca="1">SUBTOTAL(9,S127:S132)</f>
        <v>6550145</v>
      </c>
      <c r="T133" s="71"/>
      <c r="U133" s="71">
        <f ca="1">SUBTOTAL(9,U127:U132)</f>
        <v>6550145</v>
      </c>
      <c r="V133" s="71"/>
      <c r="W133" s="71"/>
      <c r="X133" s="71"/>
      <c r="Y133" s="71"/>
      <c r="Z133" s="68"/>
    </row>
    <row r="134" spans="11:29" ht="18" customHeight="1">
      <c r="K134" s="171" t="s">
        <v>14</v>
      </c>
      <c r="L134" s="171"/>
      <c r="M134" s="171"/>
      <c r="N134" s="318" t="str">
        <f ca="1">"제 " &amp; Z134 &amp; " 호표  "&amp; OFFSET($A$1,MATCH(Z134,$A:$A,0)-1,1)</f>
        <v>제 12 호표  5.1 공청회/주민설명회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12</v>
      </c>
      <c r="AA134" s="171"/>
    </row>
    <row r="135" spans="11:29" ht="18" customHeight="1">
      <c r="K135" s="171" t="s">
        <v>14</v>
      </c>
      <c r="L135" s="171"/>
      <c r="M135" s="171"/>
      <c r="N135" s="140" t="s">
        <v>43</v>
      </c>
      <c r="O135" s="172">
        <v>3</v>
      </c>
      <c r="P135" s="219">
        <f ca="1">OFFSET($A$1,MATCH(Z134,$A:$A,0)-1,O135)</f>
        <v>2</v>
      </c>
      <c r="Q135" s="141" t="s">
        <v>29</v>
      </c>
      <c r="R135" s="142">
        <f t="shared" ref="R135:S140" ca="1" si="35">T135</f>
        <v>467217</v>
      </c>
      <c r="S135" s="142">
        <f t="shared" ca="1" si="35"/>
        <v>934434</v>
      </c>
      <c r="T135" s="142">
        <f ca="1">기술사</f>
        <v>467217</v>
      </c>
      <c r="U135" s="142">
        <f t="shared" ref="U135:U140" ca="1" si="36">ROUNDDOWN(P135*R135,0)</f>
        <v>934434</v>
      </c>
      <c r="V135" s="142"/>
      <c r="W135" s="142"/>
      <c r="X135" s="142"/>
      <c r="Y135" s="142"/>
      <c r="Z135" s="114"/>
      <c r="AA135" s="171"/>
    </row>
    <row r="136" spans="11:29" ht="18" customHeight="1">
      <c r="K136" s="171" t="s">
        <v>14</v>
      </c>
      <c r="L136" s="171"/>
      <c r="M136" s="171"/>
      <c r="N136" s="143" t="s">
        <v>32</v>
      </c>
      <c r="O136" s="173">
        <v>4</v>
      </c>
      <c r="P136" s="234">
        <f ca="1">OFFSET($A$1,MATCH(Z134,$A:$A,0)-1,O136)</f>
        <v>2</v>
      </c>
      <c r="Q136" s="144" t="s">
        <v>29</v>
      </c>
      <c r="R136" s="118">
        <f t="shared" ca="1" si="35"/>
        <v>373353</v>
      </c>
      <c r="S136" s="118">
        <f t="shared" ca="1" si="35"/>
        <v>746706</v>
      </c>
      <c r="T136" s="118">
        <f ca="1">특급</f>
        <v>373353</v>
      </c>
      <c r="U136" s="118">
        <f t="shared" ca="1" si="36"/>
        <v>746706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5" t="s">
        <v>39</v>
      </c>
      <c r="O137" s="173">
        <v>5</v>
      </c>
      <c r="P137" s="234">
        <f ca="1">OFFSET($A$1,MATCH(Z134,$A:$A,0)-1,O137)</f>
        <v>2</v>
      </c>
      <c r="Q137" s="144" t="s">
        <v>29</v>
      </c>
      <c r="R137" s="118">
        <f t="shared" ca="1" si="35"/>
        <v>310884</v>
      </c>
      <c r="S137" s="118">
        <f t="shared" ca="1" si="35"/>
        <v>621768</v>
      </c>
      <c r="T137" s="118">
        <f ca="1">고급</f>
        <v>310884</v>
      </c>
      <c r="U137" s="118">
        <f t="shared" ca="1" si="36"/>
        <v>621768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5" t="s">
        <v>40</v>
      </c>
      <c r="O138" s="173">
        <v>6</v>
      </c>
      <c r="P138" s="234">
        <f ca="1">OFFSET($A$1,MATCH(Z134,$A:$A,0)-1,O138)</f>
        <v>4</v>
      </c>
      <c r="Q138" s="144" t="s">
        <v>29</v>
      </c>
      <c r="R138" s="118">
        <f t="shared" ca="1" si="35"/>
        <v>295138</v>
      </c>
      <c r="S138" s="118">
        <f t="shared" ca="1" si="35"/>
        <v>1180552</v>
      </c>
      <c r="T138" s="118">
        <f ca="1">중급</f>
        <v>295138</v>
      </c>
      <c r="U138" s="118">
        <f t="shared" ca="1" si="36"/>
        <v>1180552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45" t="s">
        <v>41</v>
      </c>
      <c r="O139" s="173">
        <v>7</v>
      </c>
      <c r="P139" s="234">
        <f ca="1">OFFSET($A$1,MATCH(Z134,$A:$A,0)-1,O139)</f>
        <v>4</v>
      </c>
      <c r="Q139" s="144" t="s">
        <v>29</v>
      </c>
      <c r="R139" s="118">
        <f t="shared" ca="1" si="35"/>
        <v>235459</v>
      </c>
      <c r="S139" s="118">
        <f t="shared" ca="1" si="35"/>
        <v>941836</v>
      </c>
      <c r="T139" s="118">
        <f ca="1">초급</f>
        <v>235459</v>
      </c>
      <c r="U139" s="118">
        <f t="shared" ca="1" si="36"/>
        <v>941836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319" t="s">
        <v>42</v>
      </c>
      <c r="O140" s="174">
        <v>8</v>
      </c>
      <c r="P140" s="235">
        <f ca="1">OFFSET($A$1,MATCH(Z134,$A:$A,0)-1,O140)</f>
        <v>4</v>
      </c>
      <c r="Q140" s="322" t="s">
        <v>29</v>
      </c>
      <c r="R140" s="323">
        <f t="shared" ca="1" si="35"/>
        <v>250087</v>
      </c>
      <c r="S140" s="323">
        <f t="shared" ca="1" si="35"/>
        <v>1000348</v>
      </c>
      <c r="T140" s="323">
        <f ca="1">보조원</f>
        <v>250087</v>
      </c>
      <c r="U140" s="323">
        <f t="shared" ca="1" si="36"/>
        <v>1000348</v>
      </c>
      <c r="V140" s="323"/>
      <c r="W140" s="323"/>
      <c r="X140" s="323"/>
      <c r="Y140" s="323"/>
      <c r="Z140" s="324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5425644</v>
      </c>
      <c r="T141" s="71"/>
      <c r="U141" s="71">
        <f ca="1">SUBTOTAL(9,U135:U140)</f>
        <v>5425644</v>
      </c>
      <c r="V141" s="71"/>
      <c r="W141" s="71"/>
      <c r="X141" s="71"/>
      <c r="Y141" s="71"/>
      <c r="Z141" s="68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318" t="str">
        <f ca="1">"제 " &amp; Z142 &amp; " 호표  "&amp; OFFSET($A$1,MATCH(Z142,$A:$A,0)-1,1)</f>
        <v>제 13 호표  5.2 주민간담회/시민계획단</v>
      </c>
      <c r="O142" s="221"/>
      <c r="P142" s="148"/>
      <c r="Q142" s="148"/>
      <c r="R142" s="149"/>
      <c r="S142" s="149"/>
      <c r="T142" s="149"/>
      <c r="U142" s="149"/>
      <c r="V142" s="149"/>
      <c r="W142" s="149"/>
      <c r="X142" s="149"/>
      <c r="Y142" s="149"/>
      <c r="Z142" s="325">
        <f>Z134+1</f>
        <v>13</v>
      </c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0" t="s">
        <v>43</v>
      </c>
      <c r="O143" s="172">
        <v>3</v>
      </c>
      <c r="P143" s="219">
        <f ca="1">OFFSET($A$1,MATCH(Z142,$A:$A,0)-1,O143)</f>
        <v>2</v>
      </c>
      <c r="Q143" s="141" t="s">
        <v>29</v>
      </c>
      <c r="R143" s="142">
        <f t="shared" ref="R143:S148" ca="1" si="37">T143</f>
        <v>467217</v>
      </c>
      <c r="S143" s="142">
        <f t="shared" ca="1" si="37"/>
        <v>934434</v>
      </c>
      <c r="T143" s="142">
        <f ca="1">기술사</f>
        <v>467217</v>
      </c>
      <c r="U143" s="142">
        <f t="shared" ref="U143:U148" ca="1" si="38">ROUNDDOWN(P143*R143,0)</f>
        <v>934434</v>
      </c>
      <c r="V143" s="142"/>
      <c r="W143" s="142"/>
      <c r="X143" s="142"/>
      <c r="Y143" s="142"/>
      <c r="Z143" s="114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3" t="s">
        <v>32</v>
      </c>
      <c r="O144" s="173">
        <v>4</v>
      </c>
      <c r="P144" s="234">
        <f ca="1">OFFSET($A$1,MATCH(Z142,$A:$A,0)-1,O144)</f>
        <v>2</v>
      </c>
      <c r="Q144" s="144" t="s">
        <v>29</v>
      </c>
      <c r="R144" s="118">
        <f t="shared" ca="1" si="37"/>
        <v>373353</v>
      </c>
      <c r="S144" s="118">
        <f t="shared" ca="1" si="37"/>
        <v>746706</v>
      </c>
      <c r="T144" s="118">
        <f ca="1">특급</f>
        <v>373353</v>
      </c>
      <c r="U144" s="118">
        <f t="shared" ca="1" si="38"/>
        <v>746706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5" t="s">
        <v>39</v>
      </c>
      <c r="O145" s="173">
        <v>5</v>
      </c>
      <c r="P145" s="234">
        <f ca="1">OFFSET($A$1,MATCH(Z142,$A:$A,0)-1,O145)</f>
        <v>2</v>
      </c>
      <c r="Q145" s="144" t="s">
        <v>29</v>
      </c>
      <c r="R145" s="118">
        <f t="shared" ca="1" si="37"/>
        <v>310884</v>
      </c>
      <c r="S145" s="118">
        <f t="shared" ca="1" si="37"/>
        <v>621768</v>
      </c>
      <c r="T145" s="118">
        <f ca="1">고급</f>
        <v>310884</v>
      </c>
      <c r="U145" s="118">
        <f t="shared" ca="1" si="38"/>
        <v>621768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40</v>
      </c>
      <c r="O146" s="173">
        <v>6</v>
      </c>
      <c r="P146" s="234">
        <f ca="1">OFFSET($A$1,MATCH(Z142,$A:$A,0)-1,O146)</f>
        <v>4</v>
      </c>
      <c r="Q146" s="144" t="s">
        <v>29</v>
      </c>
      <c r="R146" s="118">
        <f t="shared" ca="1" si="37"/>
        <v>295138</v>
      </c>
      <c r="S146" s="118">
        <f t="shared" ca="1" si="37"/>
        <v>1180552</v>
      </c>
      <c r="T146" s="118">
        <f ca="1">중급</f>
        <v>295138</v>
      </c>
      <c r="U146" s="118">
        <f t="shared" ca="1" si="38"/>
        <v>1180552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41</v>
      </c>
      <c r="O147" s="173">
        <v>7</v>
      </c>
      <c r="P147" s="234">
        <f ca="1">OFFSET($A$1,MATCH(Z142,$A:$A,0)-1,O147)</f>
        <v>4</v>
      </c>
      <c r="Q147" s="144" t="s">
        <v>29</v>
      </c>
      <c r="R147" s="118">
        <f t="shared" ca="1" si="37"/>
        <v>235459</v>
      </c>
      <c r="S147" s="118">
        <f t="shared" ca="1" si="37"/>
        <v>941836</v>
      </c>
      <c r="T147" s="118">
        <f ca="1">초급</f>
        <v>235459</v>
      </c>
      <c r="U147" s="118">
        <f t="shared" ca="1" si="38"/>
        <v>941836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319" t="s">
        <v>42</v>
      </c>
      <c r="O148" s="174">
        <v>8</v>
      </c>
      <c r="P148" s="235">
        <f ca="1">OFFSET($A$1,MATCH(Z142,$A:$A,0)-1,O148)</f>
        <v>4</v>
      </c>
      <c r="Q148" s="322" t="s">
        <v>29</v>
      </c>
      <c r="R148" s="323">
        <f t="shared" ca="1" si="37"/>
        <v>250087</v>
      </c>
      <c r="S148" s="323">
        <f t="shared" ca="1" si="37"/>
        <v>1000348</v>
      </c>
      <c r="T148" s="323">
        <f ca="1">보조원</f>
        <v>250087</v>
      </c>
      <c r="U148" s="323">
        <f t="shared" ca="1" si="38"/>
        <v>1000348</v>
      </c>
      <c r="V148" s="323"/>
      <c r="W148" s="323"/>
      <c r="X148" s="323"/>
      <c r="Y148" s="323"/>
      <c r="Z148" s="324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39" t="s">
        <v>17</v>
      </c>
      <c r="O149" s="68"/>
      <c r="P149" s="69"/>
      <c r="Q149" s="70"/>
      <c r="R149" s="71"/>
      <c r="S149" s="71">
        <f ca="1">SUBTOTAL(9,S143:S148)</f>
        <v>5425644</v>
      </c>
      <c r="T149" s="71"/>
      <c r="U149" s="71">
        <f ca="1">SUBTOTAL(9,U143:U148)</f>
        <v>5425644</v>
      </c>
      <c r="V149" s="71"/>
      <c r="W149" s="71"/>
      <c r="X149" s="71"/>
      <c r="Y149" s="71"/>
      <c r="Z149" s="68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318" t="str">
        <f ca="1">"제 " &amp; Z150 &amp; " 호표  "&amp; OFFSET($A$1,MATCH(Z150,$A:$A,0)-1,1)</f>
        <v>제 14 호표  5.3 위원회심의 지원</v>
      </c>
      <c r="O150" s="221"/>
      <c r="P150" s="148"/>
      <c r="Q150" s="148"/>
      <c r="R150" s="149"/>
      <c r="S150" s="149"/>
      <c r="T150" s="149"/>
      <c r="U150" s="149"/>
      <c r="V150" s="149"/>
      <c r="W150" s="149"/>
      <c r="X150" s="149"/>
      <c r="Y150" s="149"/>
      <c r="Z150" s="325">
        <f>Z142+1</f>
        <v>14</v>
      </c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0" t="s">
        <v>43</v>
      </c>
      <c r="O151" s="172">
        <v>3</v>
      </c>
      <c r="P151" s="219">
        <f ca="1">OFFSET($A$1,MATCH(Z150,$A:$A,0)-1,O151)</f>
        <v>2</v>
      </c>
      <c r="Q151" s="141" t="s">
        <v>29</v>
      </c>
      <c r="R151" s="142">
        <f t="shared" ref="R151:S156" ca="1" si="39">T151</f>
        <v>467217</v>
      </c>
      <c r="S151" s="142">
        <f t="shared" ca="1" si="39"/>
        <v>934434</v>
      </c>
      <c r="T151" s="142">
        <f ca="1">기술사</f>
        <v>467217</v>
      </c>
      <c r="U151" s="142">
        <f t="shared" ref="U151:U156" ca="1" si="40">ROUNDDOWN(P151*R151,0)</f>
        <v>934434</v>
      </c>
      <c r="V151" s="142"/>
      <c r="W151" s="142"/>
      <c r="X151" s="142"/>
      <c r="Y151" s="142"/>
      <c r="Z151" s="114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3" t="s">
        <v>32</v>
      </c>
      <c r="O152" s="173">
        <v>4</v>
      </c>
      <c r="P152" s="234">
        <f ca="1">OFFSET($A$1,MATCH(Z150,$A:$A,0)-1,O152)</f>
        <v>2</v>
      </c>
      <c r="Q152" s="144" t="s">
        <v>29</v>
      </c>
      <c r="R152" s="118">
        <f t="shared" ca="1" si="39"/>
        <v>373353</v>
      </c>
      <c r="S152" s="118">
        <f t="shared" ca="1" si="39"/>
        <v>746706</v>
      </c>
      <c r="T152" s="118">
        <f ca="1">특급</f>
        <v>373353</v>
      </c>
      <c r="U152" s="118">
        <f t="shared" ca="1" si="40"/>
        <v>746706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39</v>
      </c>
      <c r="O153" s="173">
        <v>5</v>
      </c>
      <c r="P153" s="234">
        <f ca="1">OFFSET($A$1,MATCH(Z150,$A:$A,0)-1,O153)</f>
        <v>2</v>
      </c>
      <c r="Q153" s="144" t="s">
        <v>29</v>
      </c>
      <c r="R153" s="118">
        <f t="shared" ca="1" si="39"/>
        <v>310884</v>
      </c>
      <c r="S153" s="118">
        <f t="shared" ca="1" si="39"/>
        <v>621768</v>
      </c>
      <c r="T153" s="118">
        <f ca="1">고급</f>
        <v>310884</v>
      </c>
      <c r="U153" s="118">
        <f t="shared" ca="1" si="40"/>
        <v>621768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40</v>
      </c>
      <c r="O154" s="173">
        <v>6</v>
      </c>
      <c r="P154" s="234">
        <f ca="1">OFFSET($A$1,MATCH(Z150,$A:$A,0)-1,O154)</f>
        <v>4</v>
      </c>
      <c r="Q154" s="144" t="s">
        <v>29</v>
      </c>
      <c r="R154" s="118">
        <f t="shared" ca="1" si="39"/>
        <v>295138</v>
      </c>
      <c r="S154" s="118">
        <f t="shared" ca="1" si="39"/>
        <v>1180552</v>
      </c>
      <c r="T154" s="118">
        <f ca="1">중급</f>
        <v>295138</v>
      </c>
      <c r="U154" s="118">
        <f t="shared" ca="1" si="40"/>
        <v>1180552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41</v>
      </c>
      <c r="O155" s="173">
        <v>7</v>
      </c>
      <c r="P155" s="234">
        <f ca="1">OFFSET($A$1,MATCH(Z150,$A:$A,0)-1,O155)</f>
        <v>4</v>
      </c>
      <c r="Q155" s="144" t="s">
        <v>29</v>
      </c>
      <c r="R155" s="118">
        <f t="shared" ca="1" si="39"/>
        <v>235459</v>
      </c>
      <c r="S155" s="118">
        <f t="shared" ca="1" si="39"/>
        <v>941836</v>
      </c>
      <c r="T155" s="118">
        <f ca="1">초급</f>
        <v>235459</v>
      </c>
      <c r="U155" s="118">
        <f t="shared" ca="1" si="40"/>
        <v>941836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319" t="s">
        <v>42</v>
      </c>
      <c r="O156" s="174">
        <v>8</v>
      </c>
      <c r="P156" s="235">
        <f ca="1">OFFSET($A$1,MATCH(Z150,$A:$A,0)-1,O156)</f>
        <v>4</v>
      </c>
      <c r="Q156" s="322" t="s">
        <v>29</v>
      </c>
      <c r="R156" s="323">
        <f t="shared" ca="1" si="39"/>
        <v>250087</v>
      </c>
      <c r="S156" s="323">
        <f t="shared" ca="1" si="39"/>
        <v>1000348</v>
      </c>
      <c r="T156" s="323">
        <f ca="1">보조원</f>
        <v>250087</v>
      </c>
      <c r="U156" s="323">
        <f t="shared" ca="1" si="40"/>
        <v>1000348</v>
      </c>
      <c r="V156" s="323"/>
      <c r="W156" s="323"/>
      <c r="X156" s="323"/>
      <c r="Y156" s="323"/>
      <c r="Z156" s="324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39" t="s">
        <v>17</v>
      </c>
      <c r="O157" s="68"/>
      <c r="P157" s="69"/>
      <c r="Q157" s="70"/>
      <c r="R157" s="71"/>
      <c r="S157" s="71">
        <f ca="1">SUBTOTAL(9,S151:S156)</f>
        <v>5425644</v>
      </c>
      <c r="T157" s="71"/>
      <c r="U157" s="71">
        <f ca="1">SUBTOTAL(9,U151:U156)</f>
        <v>5425644</v>
      </c>
      <c r="V157" s="71"/>
      <c r="W157" s="71"/>
      <c r="X157" s="71"/>
      <c r="Y157" s="71"/>
      <c r="Z157" s="68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318" t="str">
        <f ca="1">"제 " &amp; Z158 &amp; " 호표  "&amp; OFFSET($A$1,MATCH(Z158,$A:$A,0)-1,1)</f>
        <v>제 15 호표  5.4 관계기관 협의</v>
      </c>
      <c r="O158" s="221"/>
      <c r="P158" s="148"/>
      <c r="Q158" s="148"/>
      <c r="R158" s="149"/>
      <c r="S158" s="149"/>
      <c r="T158" s="149"/>
      <c r="U158" s="149"/>
      <c r="V158" s="149"/>
      <c r="W158" s="149"/>
      <c r="X158" s="149"/>
      <c r="Y158" s="149"/>
      <c r="Z158" s="325">
        <f>Z150+1</f>
        <v>15</v>
      </c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0" t="s">
        <v>43</v>
      </c>
      <c r="O159" s="172">
        <v>3</v>
      </c>
      <c r="P159" s="219">
        <f ca="1">OFFSET($A$1,MATCH(Z158,$A:$A,0)-1,O159)</f>
        <v>2</v>
      </c>
      <c r="Q159" s="141" t="s">
        <v>29</v>
      </c>
      <c r="R159" s="142">
        <f t="shared" ref="R159:S164" ca="1" si="41">T159</f>
        <v>467217</v>
      </c>
      <c r="S159" s="142">
        <f t="shared" ca="1" si="41"/>
        <v>934434</v>
      </c>
      <c r="T159" s="142">
        <f ca="1">기술사</f>
        <v>467217</v>
      </c>
      <c r="U159" s="142">
        <f t="shared" ref="U159:U164" ca="1" si="42">ROUNDDOWN(P159*R159,0)</f>
        <v>934434</v>
      </c>
      <c r="V159" s="142"/>
      <c r="W159" s="142"/>
      <c r="X159" s="142"/>
      <c r="Y159" s="142"/>
      <c r="Z159" s="114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3" t="s">
        <v>32</v>
      </c>
      <c r="O160" s="173">
        <v>4</v>
      </c>
      <c r="P160" s="234">
        <f ca="1">OFFSET($A$1,MATCH(Z158,$A:$A,0)-1,O160)</f>
        <v>2</v>
      </c>
      <c r="Q160" s="144" t="s">
        <v>29</v>
      </c>
      <c r="R160" s="118">
        <f t="shared" ca="1" si="41"/>
        <v>373353</v>
      </c>
      <c r="S160" s="118">
        <f t="shared" ca="1" si="41"/>
        <v>746706</v>
      </c>
      <c r="T160" s="118">
        <f ca="1">특급</f>
        <v>373353</v>
      </c>
      <c r="U160" s="118">
        <f t="shared" ca="1" si="42"/>
        <v>746706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39</v>
      </c>
      <c r="O161" s="173">
        <v>5</v>
      </c>
      <c r="P161" s="234">
        <f ca="1">OFFSET($A$1,MATCH(Z158,$A:$A,0)-1,O161)</f>
        <v>2</v>
      </c>
      <c r="Q161" s="144" t="s">
        <v>29</v>
      </c>
      <c r="R161" s="118">
        <f t="shared" ca="1" si="41"/>
        <v>310884</v>
      </c>
      <c r="S161" s="118">
        <f t="shared" ca="1" si="41"/>
        <v>621768</v>
      </c>
      <c r="T161" s="118">
        <f ca="1">고급</f>
        <v>310884</v>
      </c>
      <c r="U161" s="118">
        <f t="shared" ca="1" si="42"/>
        <v>621768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40</v>
      </c>
      <c r="O162" s="173">
        <v>6</v>
      </c>
      <c r="P162" s="234">
        <f ca="1">OFFSET($A$1,MATCH(Z158,$A:$A,0)-1,O162)</f>
        <v>4</v>
      </c>
      <c r="Q162" s="144" t="s">
        <v>29</v>
      </c>
      <c r="R162" s="118">
        <f t="shared" ca="1" si="41"/>
        <v>295138</v>
      </c>
      <c r="S162" s="118">
        <f t="shared" ca="1" si="41"/>
        <v>1180552</v>
      </c>
      <c r="T162" s="118">
        <f ca="1">중급</f>
        <v>295138</v>
      </c>
      <c r="U162" s="118">
        <f t="shared" ca="1" si="42"/>
        <v>1180552</v>
      </c>
      <c r="V162" s="118"/>
      <c r="W162" s="118"/>
      <c r="X162" s="118"/>
      <c r="Y162" s="118"/>
      <c r="Z162" s="115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41</v>
      </c>
      <c r="O163" s="173">
        <v>7</v>
      </c>
      <c r="P163" s="234">
        <f ca="1">OFFSET($A$1,MATCH(Z158,$A:$A,0)-1,O163)</f>
        <v>4</v>
      </c>
      <c r="Q163" s="144" t="s">
        <v>29</v>
      </c>
      <c r="R163" s="118">
        <f t="shared" ca="1" si="41"/>
        <v>235459</v>
      </c>
      <c r="S163" s="118">
        <f t="shared" ca="1" si="41"/>
        <v>941836</v>
      </c>
      <c r="T163" s="118">
        <f ca="1">초급</f>
        <v>235459</v>
      </c>
      <c r="U163" s="118">
        <f t="shared" ca="1" si="42"/>
        <v>941836</v>
      </c>
      <c r="V163" s="118"/>
      <c r="W163" s="118"/>
      <c r="X163" s="118"/>
      <c r="Y163" s="118"/>
      <c r="Z163" s="115"/>
      <c r="AB163" s="171"/>
      <c r="AC163" s="171"/>
    </row>
    <row r="164" spans="11:29" ht="18" customHeight="1">
      <c r="K164" s="171" t="s">
        <v>14</v>
      </c>
      <c r="L164" s="171"/>
      <c r="M164" s="171"/>
      <c r="N164" s="319" t="s">
        <v>42</v>
      </c>
      <c r="O164" s="174">
        <v>8</v>
      </c>
      <c r="P164" s="235">
        <f ca="1">OFFSET($A$1,MATCH(Z158,$A:$A,0)-1,O164)</f>
        <v>4</v>
      </c>
      <c r="Q164" s="322" t="s">
        <v>29</v>
      </c>
      <c r="R164" s="323">
        <f t="shared" ca="1" si="41"/>
        <v>250087</v>
      </c>
      <c r="S164" s="323">
        <f t="shared" ca="1" si="41"/>
        <v>1000348</v>
      </c>
      <c r="T164" s="323">
        <f ca="1">보조원</f>
        <v>250087</v>
      </c>
      <c r="U164" s="323">
        <f t="shared" ca="1" si="42"/>
        <v>1000348</v>
      </c>
      <c r="V164" s="323"/>
      <c r="W164" s="323"/>
      <c r="X164" s="323"/>
      <c r="Y164" s="323"/>
      <c r="Z164" s="324"/>
    </row>
    <row r="165" spans="11:29" ht="18" customHeight="1">
      <c r="K165" s="171" t="s">
        <v>14</v>
      </c>
      <c r="L165" s="171"/>
      <c r="M165" s="171"/>
      <c r="N165" s="139" t="s">
        <v>17</v>
      </c>
      <c r="O165" s="68"/>
      <c r="P165" s="69"/>
      <c r="Q165" s="70"/>
      <c r="R165" s="71"/>
      <c r="S165" s="71">
        <f ca="1">SUBTOTAL(9,S159:S164)</f>
        <v>5425644</v>
      </c>
      <c r="T165" s="71"/>
      <c r="U165" s="71">
        <f ca="1">SUBTOTAL(9,U159:U164)</f>
        <v>5425644</v>
      </c>
      <c r="V165" s="71"/>
      <c r="W165" s="71"/>
      <c r="X165" s="71"/>
      <c r="Y165" s="71"/>
      <c r="Z165" s="68"/>
    </row>
    <row r="166" spans="11:29" ht="18" customHeight="1">
      <c r="K166" s="171" t="s">
        <v>14</v>
      </c>
      <c r="L166" s="171"/>
      <c r="M166" s="171"/>
      <c r="N166" s="171"/>
      <c r="O166" s="171"/>
      <c r="P166" s="171"/>
      <c r="Q166" s="171"/>
      <c r="R166" s="171"/>
      <c r="S166" s="171"/>
      <c r="T166" s="171"/>
      <c r="U166" s="171"/>
      <c r="V166" s="171"/>
      <c r="W166" s="171"/>
      <c r="X166" s="171"/>
      <c r="Y166" s="171"/>
      <c r="Z166" s="171"/>
    </row>
    <row r="167" spans="11:29" ht="18" customHeight="1">
      <c r="K167" s="171" t="s">
        <v>14</v>
      </c>
      <c r="L167" s="171"/>
      <c r="M167" s="171"/>
      <c r="N167" s="171"/>
      <c r="O167" s="171"/>
      <c r="P167" s="171"/>
      <c r="Q167" s="171"/>
      <c r="R167" s="171"/>
      <c r="S167" s="171"/>
      <c r="T167" s="171"/>
      <c r="U167" s="171"/>
      <c r="V167" s="171"/>
      <c r="W167" s="171"/>
      <c r="X167" s="171"/>
      <c r="Y167" s="171"/>
      <c r="Z167" s="171"/>
    </row>
    <row r="168" spans="11:29" ht="18" customHeight="1">
      <c r="K168" s="171" t="s">
        <v>14</v>
      </c>
      <c r="L168" s="171"/>
      <c r="M168" s="171"/>
      <c r="N168" s="171"/>
      <c r="O168" s="171"/>
      <c r="P168" s="171"/>
      <c r="Q168" s="171"/>
      <c r="R168" s="171"/>
      <c r="S168" s="171"/>
      <c r="T168" s="171"/>
      <c r="U168" s="171"/>
      <c r="V168" s="171"/>
      <c r="W168" s="171"/>
      <c r="X168" s="171"/>
      <c r="Y168" s="171"/>
      <c r="Z168" s="171"/>
    </row>
    <row r="169" spans="11:29" ht="18" customHeight="1">
      <c r="K169" s="171" t="s">
        <v>14</v>
      </c>
      <c r="L169" s="171"/>
      <c r="M169" s="171"/>
      <c r="N169" s="171"/>
      <c r="O169" s="171"/>
      <c r="P169" s="171"/>
      <c r="Q169" s="171"/>
      <c r="R169" s="171"/>
      <c r="S169" s="171"/>
      <c r="T169" s="171"/>
      <c r="U169" s="171"/>
      <c r="V169" s="171"/>
      <c r="W169" s="171"/>
      <c r="X169" s="171"/>
      <c r="Y169" s="171"/>
      <c r="Z169" s="171"/>
    </row>
    <row r="170" spans="11:29" ht="18" customHeight="1">
      <c r="K170" s="171" t="s">
        <v>14</v>
      </c>
      <c r="L170" s="171"/>
      <c r="M170" s="171"/>
      <c r="N170" s="171"/>
      <c r="O170" s="171"/>
      <c r="P170" s="171"/>
      <c r="Q170" s="171"/>
      <c r="R170" s="171"/>
      <c r="S170" s="171"/>
      <c r="T170" s="171"/>
      <c r="U170" s="171"/>
      <c r="V170" s="171"/>
      <c r="W170" s="171"/>
      <c r="X170" s="171"/>
      <c r="Y170" s="171"/>
      <c r="Z170" s="171"/>
    </row>
    <row r="171" spans="11:29" ht="18" customHeight="1">
      <c r="K171" s="171" t="s">
        <v>14</v>
      </c>
      <c r="L171" s="171"/>
      <c r="M171" s="171"/>
      <c r="N171" s="171"/>
      <c r="O171" s="171"/>
      <c r="P171" s="171"/>
      <c r="Q171" s="171"/>
      <c r="R171" s="171"/>
      <c r="S171" s="171"/>
      <c r="T171" s="171"/>
      <c r="U171" s="171"/>
      <c r="V171" s="171"/>
      <c r="W171" s="171"/>
      <c r="X171" s="171"/>
      <c r="Y171" s="171"/>
      <c r="Z171" s="171"/>
    </row>
    <row r="172" spans="11:29" ht="18" customHeight="1">
      <c r="K172" s="171" t="s">
        <v>14</v>
      </c>
      <c r="L172" s="171"/>
      <c r="M172" s="171"/>
      <c r="N172" s="171"/>
      <c r="O172" s="171"/>
      <c r="P172" s="171"/>
      <c r="Q172" s="171"/>
      <c r="R172" s="171"/>
      <c r="S172" s="171"/>
      <c r="T172" s="171"/>
      <c r="U172" s="171"/>
      <c r="V172" s="171"/>
      <c r="W172" s="171"/>
      <c r="X172" s="171"/>
      <c r="Y172" s="171"/>
      <c r="Z172" s="171"/>
    </row>
    <row r="173" spans="11:29" ht="18" customHeight="1">
      <c r="K173" s="171" t="s">
        <v>14</v>
      </c>
      <c r="L173" s="171"/>
      <c r="M173" s="171"/>
      <c r="N173" s="171"/>
      <c r="O173" s="171"/>
      <c r="P173" s="171"/>
      <c r="Q173" s="171"/>
      <c r="R173" s="171"/>
      <c r="S173" s="171"/>
      <c r="T173" s="171"/>
      <c r="U173" s="171"/>
      <c r="V173" s="171"/>
      <c r="W173" s="171"/>
      <c r="X173" s="171"/>
      <c r="Y173" s="171"/>
      <c r="Z173" s="171"/>
    </row>
    <row r="174" spans="11:29" ht="18" customHeight="1">
      <c r="K174" s="171" t="s">
        <v>14</v>
      </c>
      <c r="L174" s="171"/>
      <c r="M174" s="171"/>
      <c r="N174" s="171"/>
      <c r="O174" s="171"/>
      <c r="P174" s="171"/>
      <c r="Q174" s="171"/>
      <c r="R174" s="171"/>
      <c r="S174" s="171"/>
      <c r="T174" s="171"/>
      <c r="U174" s="171"/>
      <c r="V174" s="171"/>
      <c r="W174" s="171"/>
      <c r="X174" s="171"/>
      <c r="Y174" s="171"/>
      <c r="Z174" s="171"/>
    </row>
    <row r="175" spans="11:29" ht="18" customHeight="1">
      <c r="K175" s="171" t="s">
        <v>14</v>
      </c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V175" s="171"/>
      <c r="W175" s="171"/>
      <c r="X175" s="171"/>
      <c r="Y175" s="171"/>
      <c r="Z175" s="171"/>
    </row>
    <row r="176" spans="11:29" ht="18" customHeight="1">
      <c r="K176" s="171" t="s">
        <v>14</v>
      </c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V176" s="171"/>
      <c r="W176" s="171"/>
      <c r="X176" s="171"/>
      <c r="Y176" s="171"/>
      <c r="Z176" s="171"/>
    </row>
    <row r="177" spans="11:26" ht="18" customHeight="1">
      <c r="K177" s="171" t="s">
        <v>14</v>
      </c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V177" s="171"/>
      <c r="W177" s="171"/>
      <c r="X177" s="171"/>
      <c r="Y177" s="171"/>
      <c r="Z177" s="171"/>
    </row>
    <row r="178" spans="11:26" ht="18" customHeight="1">
      <c r="K178" s="171" t="s">
        <v>14</v>
      </c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V178" s="171"/>
      <c r="W178" s="171"/>
      <c r="X178" s="171"/>
      <c r="Y178" s="171"/>
      <c r="Z178" s="171"/>
    </row>
    <row r="179" spans="11:26" ht="18" customHeight="1">
      <c r="K179" s="171" t="s">
        <v>14</v>
      </c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V179" s="171"/>
      <c r="W179" s="171"/>
      <c r="X179" s="171"/>
      <c r="Y179" s="171"/>
      <c r="Z179" s="171"/>
    </row>
    <row r="180" spans="11:26" ht="18" customHeight="1">
      <c r="K180" s="171" t="s">
        <v>14</v>
      </c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V180" s="171"/>
      <c r="W180" s="171"/>
      <c r="X180" s="171"/>
      <c r="Y180" s="171"/>
      <c r="Z180" s="171"/>
    </row>
    <row r="181" spans="11:26" ht="18" customHeight="1">
      <c r="K181" s="171" t="s">
        <v>14</v>
      </c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V181" s="171"/>
      <c r="W181" s="171"/>
      <c r="X181" s="171"/>
      <c r="Y181" s="171"/>
      <c r="Z181" s="171"/>
    </row>
    <row r="182" spans="11:26" ht="18" customHeight="1">
      <c r="K182" s="171" t="s">
        <v>14</v>
      </c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V182" s="171"/>
      <c r="W182" s="171"/>
      <c r="X182" s="171"/>
      <c r="Y182" s="171"/>
      <c r="Z182" s="171"/>
    </row>
    <row r="183" spans="11:26" ht="18" customHeight="1">
      <c r="K183" s="171" t="s">
        <v>14</v>
      </c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V183" s="171"/>
      <c r="W183" s="171"/>
      <c r="X183" s="171"/>
      <c r="Y183" s="171"/>
      <c r="Z183" s="171"/>
    </row>
    <row r="184" spans="11:26" ht="18" customHeight="1">
      <c r="K184" s="171" t="s">
        <v>14</v>
      </c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V184" s="171"/>
      <c r="W184" s="171"/>
      <c r="X184" s="171"/>
      <c r="Y184" s="171"/>
      <c r="Z184" s="171"/>
    </row>
    <row r="185" spans="11:26" ht="18" customHeight="1">
      <c r="K185" s="171" t="s">
        <v>14</v>
      </c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V185" s="171"/>
      <c r="W185" s="171"/>
      <c r="X185" s="171"/>
      <c r="Y185" s="171"/>
      <c r="Z185" s="171"/>
    </row>
    <row r="186" spans="11:26" ht="18" customHeight="1">
      <c r="K186" s="171" t="s">
        <v>14</v>
      </c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V186" s="171"/>
      <c r="W186" s="171"/>
      <c r="X186" s="171"/>
      <c r="Y186" s="171"/>
      <c r="Z186" s="171"/>
    </row>
    <row r="187" spans="11:26" ht="18" customHeight="1">
      <c r="K187" s="171" t="s">
        <v>14</v>
      </c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V187" s="171"/>
      <c r="W187" s="171"/>
      <c r="X187" s="171"/>
      <c r="Y187" s="171"/>
      <c r="Z187" s="171"/>
    </row>
    <row r="188" spans="11:26" ht="18" customHeight="1">
      <c r="K188" s="171" t="s">
        <v>14</v>
      </c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V188" s="171"/>
      <c r="W188" s="171"/>
      <c r="X188" s="171"/>
      <c r="Y188" s="171"/>
      <c r="Z188" s="171"/>
    </row>
    <row r="189" spans="11:26" ht="18" customHeight="1">
      <c r="K189" s="171" t="s">
        <v>14</v>
      </c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V189" s="171"/>
      <c r="W189" s="171"/>
      <c r="X189" s="171"/>
      <c r="Y189" s="171"/>
      <c r="Z189" s="171"/>
    </row>
    <row r="190" spans="11:26" ht="18" customHeight="1">
      <c r="K190" s="171" t="s">
        <v>14</v>
      </c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V190" s="171"/>
      <c r="W190" s="171"/>
      <c r="X190" s="171"/>
      <c r="Y190" s="171"/>
      <c r="Z190" s="171"/>
    </row>
    <row r="191" spans="11:26" ht="18" customHeight="1">
      <c r="K191" s="171" t="s">
        <v>14</v>
      </c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V191" s="171"/>
      <c r="W191" s="171"/>
      <c r="X191" s="171"/>
      <c r="Y191" s="171"/>
      <c r="Z191" s="171"/>
    </row>
    <row r="192" spans="11:26" ht="18" customHeight="1">
      <c r="K192" s="171" t="s">
        <v>14</v>
      </c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V192" s="171"/>
      <c r="W192" s="171"/>
      <c r="X192" s="171"/>
      <c r="Y192" s="171"/>
      <c r="Z192" s="171"/>
    </row>
    <row r="193" spans="11:26" ht="18" customHeight="1">
      <c r="K193" s="171" t="s">
        <v>14</v>
      </c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V193" s="171"/>
      <c r="W193" s="171"/>
      <c r="X193" s="171"/>
      <c r="Y193" s="171"/>
      <c r="Z193" s="171"/>
    </row>
    <row r="194" spans="11:26" ht="18" customHeight="1">
      <c r="K194" s="171" t="s">
        <v>14</v>
      </c>
      <c r="L194" s="171"/>
      <c r="M194" s="171"/>
    </row>
    <row r="195" spans="11:26" ht="18" customHeight="1">
      <c r="K195" s="171" t="s">
        <v>14</v>
      </c>
      <c r="L195" s="171"/>
      <c r="M195" s="171"/>
    </row>
    <row r="196" spans="11:26" ht="18" customHeight="1">
      <c r="K196" s="171" t="s">
        <v>14</v>
      </c>
      <c r="L196" s="171"/>
      <c r="M196" s="171"/>
    </row>
    <row r="197" spans="11:26" ht="18" customHeight="1">
      <c r="K197" s="171" t="s">
        <v>14</v>
      </c>
      <c r="L197" s="171"/>
      <c r="M197" s="171"/>
    </row>
    <row r="198" spans="11:26" ht="18" customHeight="1">
      <c r="K198" s="171" t="s">
        <v>14</v>
      </c>
      <c r="L198" s="171"/>
      <c r="M198" s="171"/>
    </row>
    <row r="199" spans="11:26" ht="18" customHeight="1">
      <c r="K199" s="171" t="s">
        <v>14</v>
      </c>
      <c r="L199" s="171"/>
      <c r="M199" s="171"/>
    </row>
    <row r="200" spans="11:26" ht="18" customHeight="1">
      <c r="K200" s="171" t="s">
        <v>14</v>
      </c>
      <c r="L200" s="171"/>
      <c r="M200" s="171"/>
    </row>
    <row r="201" spans="11:26" ht="18" customHeight="1">
      <c r="K201" s="171" t="s">
        <v>14</v>
      </c>
      <c r="L201" s="171"/>
      <c r="M201" s="171"/>
    </row>
    <row r="202" spans="11:26" ht="18" customHeight="1">
      <c r="K202" s="171" t="s">
        <v>14</v>
      </c>
      <c r="L202" s="171"/>
      <c r="M202" s="171"/>
    </row>
    <row r="203" spans="11:26" ht="18" customHeight="1">
      <c r="K203" s="171" t="s">
        <v>14</v>
      </c>
      <c r="L203" s="171"/>
      <c r="M203" s="171"/>
    </row>
    <row r="204" spans="11:26" ht="18" customHeight="1">
      <c r="K204" s="171" t="s">
        <v>14</v>
      </c>
      <c r="L204" s="171"/>
      <c r="M204" s="171"/>
    </row>
    <row r="205" spans="11:26" ht="18" customHeight="1">
      <c r="K205" s="171" t="s">
        <v>14</v>
      </c>
      <c r="L205" s="171"/>
      <c r="M205" s="171"/>
    </row>
    <row r="206" spans="11:26" ht="18" customHeight="1">
      <c r="K206" s="171" t="s">
        <v>14</v>
      </c>
      <c r="L206" s="171"/>
      <c r="M206" s="171"/>
    </row>
    <row r="207" spans="11:26" ht="18" customHeight="1">
      <c r="K207" s="171" t="s">
        <v>14</v>
      </c>
      <c r="L207" s="171"/>
      <c r="M207" s="171"/>
    </row>
    <row r="208" spans="11:26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L610" s="171"/>
      <c r="M610" s="171"/>
    </row>
    <row r="611" spans="11:13" ht="18" customHeight="1">
      <c r="L611" s="171"/>
      <c r="M611" s="171"/>
    </row>
    <row r="612" spans="11:13" ht="18" customHeight="1">
      <c r="L612" s="171"/>
      <c r="M612" s="171"/>
    </row>
    <row r="613" spans="11:13" ht="18" customHeight="1">
      <c r="L613" s="171"/>
      <c r="M613" s="171"/>
    </row>
    <row r="614" spans="11:13" ht="18" customHeight="1">
      <c r="L614" s="171"/>
      <c r="M614" s="171"/>
    </row>
    <row r="615" spans="11:13" ht="18" customHeight="1">
      <c r="L615" s="171"/>
      <c r="M615" s="171"/>
    </row>
    <row r="616" spans="11:13" ht="18" customHeight="1">
      <c r="L616" s="171"/>
      <c r="M616" s="171"/>
    </row>
    <row r="617" spans="11:13" ht="18" customHeight="1">
      <c r="L617" s="171"/>
      <c r="M617" s="171"/>
    </row>
    <row r="618" spans="11:13" ht="18" customHeight="1">
      <c r="L618" s="171"/>
      <c r="M618" s="171"/>
    </row>
    <row r="619" spans="11:13" ht="18" customHeight="1"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</sheetData>
  <mergeCells count="18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B11:C12"/>
    <mergeCell ref="J11:J12"/>
    <mergeCell ref="L11:L12"/>
    <mergeCell ref="B17:C17"/>
    <mergeCell ref="Z44:Z45"/>
    <mergeCell ref="N44:N45"/>
    <mergeCell ref="O44:O45"/>
    <mergeCell ref="P44:P45"/>
    <mergeCell ref="Q44:Q45"/>
  </mergeCells>
  <phoneticPr fontId="3" type="noConversion"/>
  <conditionalFormatting sqref="V13:V33">
    <cfRule type="cellIs" dxfId="6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55">
    <tabColor rgb="FFFFC000"/>
    <pageSetUpPr fitToPage="1"/>
  </sheetPr>
  <dimension ref="A1:AC770"/>
  <sheetViews>
    <sheetView showGridLines="0" zoomScale="85" zoomScaleNormal="85" zoomScaleSheetLayoutView="75" workbookViewId="0">
      <selection activeCell="A32" sqref="A32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1445</v>
      </c>
    </row>
    <row r="2" spans="1:26" ht="19.5" thickBot="1">
      <c r="B2" s="66" t="s">
        <v>1</v>
      </c>
    </row>
    <row r="3" spans="1:26" ht="18" customHeight="1">
      <c r="B3" s="773" t="s">
        <v>431</v>
      </c>
      <c r="C3" s="774"/>
      <c r="D3" s="775">
        <v>3</v>
      </c>
      <c r="E3" s="776"/>
      <c r="F3" s="44" t="s">
        <v>393</v>
      </c>
      <c r="G3" s="767" t="s">
        <v>1104</v>
      </c>
      <c r="H3" s="768"/>
      <c r="I3" s="656">
        <v>2</v>
      </c>
      <c r="J3" s="669" t="s">
        <v>1105</v>
      </c>
    </row>
    <row r="4" spans="1:26" ht="18" customHeight="1">
      <c r="B4" s="777" t="s">
        <v>1448</v>
      </c>
      <c r="C4" s="778"/>
      <c r="D4" s="779">
        <v>3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395</v>
      </c>
      <c r="C5" s="782"/>
      <c r="D5" s="783">
        <f>ROUND((IF(D4&lt;=3,3,D4)/D3)^0.6,3)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1446</v>
      </c>
      <c r="C6" s="36"/>
      <c r="D6" s="36"/>
      <c r="E6" s="36"/>
      <c r="F6" s="36"/>
      <c r="G6" s="9" t="s">
        <v>1107</v>
      </c>
      <c r="J6" s="36"/>
    </row>
    <row r="7" spans="1:26" ht="18" customHeight="1">
      <c r="B7" s="9"/>
      <c r="C7" s="9" t="s">
        <v>1447</v>
      </c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SUBTOTAL(9,W11:W49)</f>
        <v>618770100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SUBTOTAL(9,W12:W46)</f>
        <v>225237961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SUBTOTAL(9,W13:W41)</f>
        <v>219237961</v>
      </c>
      <c r="X12" s="160"/>
      <c r="Y12" s="168"/>
      <c r="Z12" s="168"/>
    </row>
    <row r="13" spans="1:26" ht="18" customHeight="1">
      <c r="B13" s="225" t="s">
        <v>1089</v>
      </c>
      <c r="C13" s="72"/>
      <c r="D13" s="203">
        <f t="shared" ref="D13:I13" si="0">SUBTOTAL(9,D14:D21)</f>
        <v>2.8999999999999995</v>
      </c>
      <c r="E13" s="204">
        <f t="shared" si="0"/>
        <v>5.9999999999999982</v>
      </c>
      <c r="F13" s="204">
        <f t="shared" si="0"/>
        <v>13.2</v>
      </c>
      <c r="G13" s="204">
        <f t="shared" si="0"/>
        <v>32</v>
      </c>
      <c r="H13" s="204">
        <f t="shared" si="0"/>
        <v>42.4</v>
      </c>
      <c r="I13" s="205">
        <f t="shared" si="0"/>
        <v>49.999999999999993</v>
      </c>
      <c r="J13" s="73"/>
      <c r="L13" s="232"/>
      <c r="N13" s="294" t="str">
        <f>B13</f>
        <v>1. 조사 및 분석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SUBTOTAL(9,W14:W21)</f>
        <v>39630923</v>
      </c>
      <c r="X13" s="194"/>
      <c r="Y13" s="170"/>
      <c r="Z13" s="170"/>
    </row>
    <row r="14" spans="1:26" ht="18" customHeight="1">
      <c r="B14" s="223" t="s">
        <v>1449</v>
      </c>
      <c r="C14" s="23"/>
      <c r="D14" s="197">
        <v>0.3</v>
      </c>
      <c r="E14" s="198">
        <v>0.6</v>
      </c>
      <c r="F14" s="198">
        <v>1.4</v>
      </c>
      <c r="G14" s="198">
        <v>2.2999999999999998</v>
      </c>
      <c r="H14" s="198">
        <v>3.1</v>
      </c>
      <c r="I14" s="199">
        <v>4.7</v>
      </c>
      <c r="J14" s="74"/>
      <c r="L14" s="233">
        <v>1</v>
      </c>
      <c r="N14" s="296" t="str">
        <f>B14</f>
        <v>1.1 자연환경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SUM((ROUNDDOWN((D44:I44)*단가,0)))</f>
        <v>3383560</v>
      </c>
      <c r="X14" s="154"/>
      <c r="Y14" s="150" t="str">
        <f>IF(A44&gt;0, "제 " &amp;A44&amp; " 호표","")</f>
        <v>제 1 호표</v>
      </c>
      <c r="Z14" s="150"/>
    </row>
    <row r="15" spans="1:26" ht="18" customHeight="1">
      <c r="B15" s="223" t="s">
        <v>1450</v>
      </c>
      <c r="C15" s="23"/>
      <c r="D15" s="197">
        <v>0.3</v>
      </c>
      <c r="E15" s="198">
        <v>0.6</v>
      </c>
      <c r="F15" s="198">
        <v>1.4</v>
      </c>
      <c r="G15" s="198">
        <v>3.5</v>
      </c>
      <c r="H15" s="198">
        <v>5.6</v>
      </c>
      <c r="I15" s="199">
        <v>5.8</v>
      </c>
      <c r="J15" s="74"/>
      <c r="L15" s="233">
        <v>1</v>
      </c>
      <c r="N15" s="296" t="str">
        <f t="shared" ref="N15:N21" si="1">B15</f>
        <v>1.2 인구 및 산업현황</v>
      </c>
      <c r="O15" s="37"/>
      <c r="P15" s="37"/>
      <c r="Q15" s="37"/>
      <c r="R15" s="37"/>
      <c r="S15" s="37"/>
      <c r="T15" s="37"/>
      <c r="U15" s="226"/>
      <c r="V15" s="231"/>
      <c r="W15" s="153">
        <f t="array" aca="1" ref="W15" ca="1">SUM((ROUNDDOWN((D45:I45)*단가,0)))</f>
        <v>4601470</v>
      </c>
      <c r="X15" s="154"/>
      <c r="Y15" s="150" t="str">
        <f t="shared" ref="Y15:Y41" si="2">IF(A45&gt;0, "제 " &amp;A45&amp; " 호표","")</f>
        <v>제 2 호표</v>
      </c>
      <c r="Z15" s="150"/>
    </row>
    <row r="16" spans="1:26" ht="18" customHeight="1">
      <c r="B16" s="223" t="s">
        <v>1451</v>
      </c>
      <c r="C16" s="23"/>
      <c r="D16" s="197">
        <v>0.6</v>
      </c>
      <c r="E16" s="198">
        <v>1.2</v>
      </c>
      <c r="F16" s="198">
        <v>2.8</v>
      </c>
      <c r="G16" s="198">
        <v>6.9</v>
      </c>
      <c r="H16" s="198">
        <v>8.6</v>
      </c>
      <c r="I16" s="199">
        <v>10.8</v>
      </c>
      <c r="J16" s="74"/>
      <c r="L16" s="233">
        <v>1</v>
      </c>
      <c r="N16" s="296" t="str">
        <f t="shared" si="1"/>
        <v>1.3 토지소유 및 이용현황</v>
      </c>
      <c r="O16" s="37"/>
      <c r="P16" s="37"/>
      <c r="Q16" s="37"/>
      <c r="R16" s="37"/>
      <c r="S16" s="37"/>
      <c r="T16" s="37"/>
      <c r="U16" s="226"/>
      <c r="V16" s="231"/>
      <c r="W16" s="153">
        <f t="array" aca="1" ref="W16" ca="1">SUM((ROUNDDOWN((D46:I46)*단가,0)))</f>
        <v>8361166</v>
      </c>
      <c r="X16" s="154"/>
      <c r="Y16" s="150" t="str">
        <f t="shared" si="2"/>
        <v>제 3 호표</v>
      </c>
      <c r="Z16" s="150"/>
    </row>
    <row r="17" spans="2:26" ht="18" customHeight="1">
      <c r="B17" s="223" t="s">
        <v>1452</v>
      </c>
      <c r="C17" s="23"/>
      <c r="D17" s="197">
        <v>0.5</v>
      </c>
      <c r="E17" s="198">
        <v>1.2</v>
      </c>
      <c r="F17" s="198">
        <v>2.8</v>
      </c>
      <c r="G17" s="198">
        <v>7.5</v>
      </c>
      <c r="H17" s="198">
        <v>8.6999999999999993</v>
      </c>
      <c r="I17" s="199">
        <v>10.5</v>
      </c>
      <c r="J17" s="74"/>
      <c r="L17" s="233">
        <v>1</v>
      </c>
      <c r="N17" s="296" t="str">
        <f t="shared" si="1"/>
        <v>1.4 건축물현황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SUM((ROUNDDOWN((D47:I47)*단가,0)))</f>
        <v>8440047</v>
      </c>
      <c r="X17" s="154"/>
      <c r="Y17" s="150" t="str">
        <f t="shared" si="2"/>
        <v>제 4 호표</v>
      </c>
      <c r="Z17" s="150"/>
    </row>
    <row r="18" spans="2:26" ht="18" customHeight="1">
      <c r="B18" s="223" t="s">
        <v>1453</v>
      </c>
      <c r="C18" s="23"/>
      <c r="D18" s="197">
        <v>0.3</v>
      </c>
      <c r="E18" s="198">
        <v>0.6</v>
      </c>
      <c r="F18" s="198">
        <v>1.4</v>
      </c>
      <c r="G18" s="198">
        <v>4.2</v>
      </c>
      <c r="H18" s="198">
        <v>5.7</v>
      </c>
      <c r="I18" s="199">
        <v>8</v>
      </c>
      <c r="J18" s="74"/>
      <c r="L18" s="233">
        <v>1</v>
      </c>
      <c r="N18" s="296" t="str">
        <f t="shared" si="1"/>
        <v>1.5 교통현황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SUM((ROUNDDOWN((D48:I48)*단가,0)))</f>
        <v>5381804</v>
      </c>
      <c r="X18" s="154"/>
      <c r="Y18" s="150" t="str">
        <f t="shared" si="2"/>
        <v>제 5 호표</v>
      </c>
      <c r="Z18" s="150"/>
    </row>
    <row r="19" spans="2:26" ht="18" customHeight="1">
      <c r="B19" s="223" t="s">
        <v>1454</v>
      </c>
      <c r="C19" s="23"/>
      <c r="D19" s="197">
        <v>0.3</v>
      </c>
      <c r="E19" s="198">
        <v>0.6</v>
      </c>
      <c r="F19" s="198">
        <v>1</v>
      </c>
      <c r="G19" s="198">
        <v>2.5</v>
      </c>
      <c r="H19" s="198">
        <v>3.4</v>
      </c>
      <c r="I19" s="199">
        <v>5.8</v>
      </c>
      <c r="J19" s="74"/>
      <c r="L19" s="233">
        <v>1</v>
      </c>
      <c r="N19" s="296" t="str">
        <f t="shared" si="1"/>
        <v>1.6 도시기반시설현황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SUM((ROUNDDOWN((D49:I49)*단가,0)))</f>
        <v>3663969</v>
      </c>
      <c r="X19" s="154"/>
      <c r="Y19" s="150" t="str">
        <f t="shared" si="2"/>
        <v>제 6 호표</v>
      </c>
      <c r="Z19" s="150"/>
    </row>
    <row r="20" spans="2:26" ht="18" customHeight="1">
      <c r="B20" s="223" t="s">
        <v>1455</v>
      </c>
      <c r="C20" s="23"/>
      <c r="D20" s="197">
        <v>0.3</v>
      </c>
      <c r="E20" s="198">
        <v>0.6</v>
      </c>
      <c r="F20" s="198">
        <v>1</v>
      </c>
      <c r="G20" s="198">
        <v>2.8</v>
      </c>
      <c r="H20" s="198">
        <v>4.2</v>
      </c>
      <c r="I20" s="199">
        <v>4.4000000000000004</v>
      </c>
      <c r="J20" s="74"/>
      <c r="L20" s="233">
        <v>1</v>
      </c>
      <c r="N20" s="296" t="str">
        <f t="shared" si="1"/>
        <v>1.7 도시계획현황 및 관련계획</v>
      </c>
      <c r="O20" s="37"/>
      <c r="P20" s="37"/>
      <c r="Q20" s="37"/>
      <c r="R20" s="37"/>
      <c r="S20" s="37"/>
      <c r="T20" s="37"/>
      <c r="U20" s="226"/>
      <c r="V20" s="231"/>
      <c r="W20" s="153">
        <f t="array" aca="1" ref="W20" ca="1">SUM((ROUNDDOWN((D50:I50)*단가,0)))</f>
        <v>3590755</v>
      </c>
      <c r="X20" s="154"/>
      <c r="Y20" s="150" t="str">
        <f t="shared" si="2"/>
        <v>제 7 호표</v>
      </c>
      <c r="Z20" s="150"/>
    </row>
    <row r="21" spans="2:26" ht="18" customHeight="1">
      <c r="B21" s="223" t="s">
        <v>1456</v>
      </c>
      <c r="C21" s="23"/>
      <c r="D21" s="197">
        <v>0.3</v>
      </c>
      <c r="E21" s="198">
        <v>0.6</v>
      </c>
      <c r="F21" s="198">
        <v>1.4</v>
      </c>
      <c r="G21" s="198">
        <v>2.2999999999999998</v>
      </c>
      <c r="H21" s="198">
        <v>3.1</v>
      </c>
      <c r="I21" s="199">
        <v>0</v>
      </c>
      <c r="J21" s="74"/>
      <c r="L21" s="233">
        <v>1</v>
      </c>
      <c r="N21" s="296" t="str">
        <f t="shared" si="1"/>
        <v>1.8 현황자료분석</v>
      </c>
      <c r="O21" s="37"/>
      <c r="P21" s="37"/>
      <c r="Q21" s="37"/>
      <c r="R21" s="37"/>
      <c r="S21" s="37"/>
      <c r="T21" s="37"/>
      <c r="U21" s="226"/>
      <c r="V21" s="231"/>
      <c r="W21" s="153">
        <f t="array" aca="1" ref="W21" ca="1">SUM((ROUNDDOWN((D51:I51)*단가,0)))</f>
        <v>2208152</v>
      </c>
      <c r="X21" s="154"/>
      <c r="Y21" s="150" t="str">
        <f t="shared" si="2"/>
        <v>제 8 호표</v>
      </c>
      <c r="Z21" s="150"/>
    </row>
    <row r="22" spans="2:26" ht="18" customHeight="1">
      <c r="B22" s="222" t="s">
        <v>396</v>
      </c>
      <c r="C22" s="47"/>
      <c r="D22" s="48">
        <f t="shared" ref="D22:I22" si="3">SUBTOTAL(9,D23:D25)</f>
        <v>1.2</v>
      </c>
      <c r="E22" s="49">
        <f t="shared" si="3"/>
        <v>2.2000000000000002</v>
      </c>
      <c r="F22" s="49">
        <f t="shared" si="3"/>
        <v>7.7</v>
      </c>
      <c r="G22" s="49">
        <f t="shared" si="3"/>
        <v>6.6</v>
      </c>
      <c r="H22" s="49">
        <f t="shared" si="3"/>
        <v>15</v>
      </c>
      <c r="I22" s="50">
        <f t="shared" si="3"/>
        <v>21.299999999999997</v>
      </c>
      <c r="J22" s="74"/>
      <c r="L22" s="233"/>
      <c r="N22" s="292" t="str">
        <f>B22</f>
        <v>2. 기본구상</v>
      </c>
      <c r="O22" s="37"/>
      <c r="P22" s="39"/>
      <c r="Q22" s="37"/>
      <c r="R22" s="117"/>
      <c r="S22" s="37"/>
      <c r="T22" s="37"/>
      <c r="U22" s="226"/>
      <c r="V22" s="231"/>
      <c r="W22" s="195">
        <f ca="1">SUBTOTAL(9,W23:W25)</f>
        <v>14582483</v>
      </c>
      <c r="X22" s="196"/>
      <c r="Y22" s="150" t="str">
        <f t="shared" si="2"/>
        <v/>
      </c>
      <c r="Z22" s="150"/>
    </row>
    <row r="23" spans="2:26" ht="18" customHeight="1">
      <c r="B23" s="223" t="s">
        <v>1457</v>
      </c>
      <c r="C23" s="23"/>
      <c r="D23" s="197">
        <v>0.5</v>
      </c>
      <c r="E23" s="198">
        <v>0.8</v>
      </c>
      <c r="F23" s="198">
        <v>2.7</v>
      </c>
      <c r="G23" s="198">
        <v>2.2999999999999998</v>
      </c>
      <c r="H23" s="198">
        <v>5.3</v>
      </c>
      <c r="I23" s="199">
        <v>7.1</v>
      </c>
      <c r="J23" s="74"/>
      <c r="L23" s="233">
        <v>1</v>
      </c>
      <c r="N23" s="296" t="str">
        <f t="shared" ref="N23:N41" si="4">B23</f>
        <v>2.1 기본방향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SUM((ROUNDDOWN((D53:I53)*단가,0)))</f>
        <v>5074042</v>
      </c>
      <c r="X23" s="154"/>
      <c r="Y23" s="150" t="str">
        <f t="shared" si="2"/>
        <v>제 9 호표</v>
      </c>
      <c r="Z23" s="150"/>
    </row>
    <row r="24" spans="2:26" ht="18" customHeight="1">
      <c r="B24" s="791" t="s">
        <v>1458</v>
      </c>
      <c r="C24" s="792"/>
      <c r="D24" s="197">
        <v>0.5</v>
      </c>
      <c r="E24" s="198">
        <v>0.9</v>
      </c>
      <c r="F24" s="198">
        <v>2.7</v>
      </c>
      <c r="G24" s="198">
        <v>2.2999999999999998</v>
      </c>
      <c r="H24" s="198">
        <v>5.3</v>
      </c>
      <c r="I24" s="199">
        <v>7.1</v>
      </c>
      <c r="J24" s="389"/>
      <c r="L24" s="233">
        <v>1</v>
      </c>
      <c r="N24" s="296" t="str">
        <f t="shared" si="4"/>
        <v>2.2 토지이용체계구상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SUM((ROUNDDOWN((D54:I54)*단가,0)))</f>
        <v>5111377</v>
      </c>
      <c r="X24" s="154"/>
      <c r="Y24" s="150" t="str">
        <f t="shared" si="2"/>
        <v>제 10 호표</v>
      </c>
      <c r="Z24" s="150"/>
    </row>
    <row r="25" spans="2:26" ht="18" customHeight="1">
      <c r="B25" s="223" t="s">
        <v>1459</v>
      </c>
      <c r="C25" s="23"/>
      <c r="D25" s="197">
        <v>0.2</v>
      </c>
      <c r="E25" s="198">
        <v>0.5</v>
      </c>
      <c r="F25" s="198">
        <v>2.2999999999999998</v>
      </c>
      <c r="G25" s="198">
        <v>2</v>
      </c>
      <c r="H25" s="198">
        <v>4.4000000000000004</v>
      </c>
      <c r="I25" s="199">
        <v>7.1</v>
      </c>
      <c r="J25" s="74"/>
      <c r="L25" s="233">
        <v>1</v>
      </c>
      <c r="N25" s="296" t="str">
        <f t="shared" si="4"/>
        <v>2.3 교통동선체계구상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SUM((ROUNDDOWN((D55:I55)*단가,0)))</f>
        <v>4397064</v>
      </c>
      <c r="X25" s="154"/>
      <c r="Y25" s="150" t="str">
        <f t="shared" si="2"/>
        <v>제 11 호표</v>
      </c>
      <c r="Z25" s="150"/>
    </row>
    <row r="26" spans="2:26" ht="18" customHeight="1">
      <c r="B26" s="222" t="s">
        <v>397</v>
      </c>
      <c r="C26" s="47"/>
      <c r="D26" s="48">
        <f t="shared" ref="D26:I26" si="5">SUBTOTAL(9,D27:D33)</f>
        <v>15.200000000000001</v>
      </c>
      <c r="E26" s="49">
        <f t="shared" si="5"/>
        <v>21.999999999999996</v>
      </c>
      <c r="F26" s="49">
        <f t="shared" si="5"/>
        <v>53.600000000000009</v>
      </c>
      <c r="G26" s="49">
        <f t="shared" si="5"/>
        <v>55.5</v>
      </c>
      <c r="H26" s="49">
        <f t="shared" si="5"/>
        <v>137.6</v>
      </c>
      <c r="I26" s="50">
        <f t="shared" si="5"/>
        <v>172.60000000000002</v>
      </c>
      <c r="J26" s="74"/>
      <c r="L26" s="233"/>
      <c r="N26" s="292" t="str">
        <f>B26</f>
        <v>3. 부문별 기본방향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SUBTOTAL(9,W27:W33)</f>
        <v>123923159</v>
      </c>
      <c r="X26" s="154"/>
      <c r="Y26" s="150" t="str">
        <f t="shared" si="2"/>
        <v/>
      </c>
      <c r="Z26" s="150"/>
    </row>
    <row r="27" spans="2:26" ht="18" customHeight="1">
      <c r="B27" s="223" t="s">
        <v>1460</v>
      </c>
      <c r="C27" s="23"/>
      <c r="D27" s="197">
        <v>1.5</v>
      </c>
      <c r="E27" s="198">
        <v>2.2999999999999998</v>
      </c>
      <c r="F27" s="198">
        <v>5.8</v>
      </c>
      <c r="G27" s="198">
        <v>3.1</v>
      </c>
      <c r="H27" s="198">
        <v>18.399999999999999</v>
      </c>
      <c r="I27" s="199">
        <v>20.8</v>
      </c>
      <c r="J27" s="74"/>
      <c r="L27" s="233">
        <v>1</v>
      </c>
      <c r="N27" s="296" t="str">
        <f t="shared" si="4"/>
        <v>3.1 용도지역·지구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SUM((ROUNDDOWN((D57:I57)*단가,0)))</f>
        <v>13811844</v>
      </c>
      <c r="X27" s="154"/>
      <c r="Y27" s="150" t="str">
        <f t="shared" si="2"/>
        <v>제 12 호표</v>
      </c>
      <c r="Z27" s="150"/>
    </row>
    <row r="28" spans="2:26" ht="18" customHeight="1">
      <c r="B28" s="223" t="s">
        <v>1461</v>
      </c>
      <c r="C28" s="43"/>
      <c r="D28" s="206">
        <v>2.2000000000000002</v>
      </c>
      <c r="E28" s="207">
        <v>3.3</v>
      </c>
      <c r="F28" s="207">
        <v>7.7</v>
      </c>
      <c r="G28" s="207">
        <v>6.7</v>
      </c>
      <c r="H28" s="207">
        <v>17.8</v>
      </c>
      <c r="I28" s="208">
        <v>30.3</v>
      </c>
      <c r="J28" s="74"/>
      <c r="L28" s="233">
        <v>1</v>
      </c>
      <c r="N28" s="296" t="str">
        <f t="shared" si="4"/>
        <v>3.2 교통처리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SUM((ROUNDDOWN((D58:I58)*단가,0)))</f>
        <v>18399977</v>
      </c>
      <c r="X28" s="154"/>
      <c r="Y28" s="150" t="str">
        <f t="shared" si="2"/>
        <v>제 13 호표</v>
      </c>
      <c r="Z28" s="150"/>
    </row>
    <row r="29" spans="2:26" ht="18" customHeight="1">
      <c r="B29" s="223" t="s">
        <v>1462</v>
      </c>
      <c r="C29" s="43"/>
      <c r="D29" s="206">
        <v>0.7</v>
      </c>
      <c r="E29" s="207">
        <v>1.1000000000000001</v>
      </c>
      <c r="F29" s="207">
        <v>3.5</v>
      </c>
      <c r="G29" s="207">
        <v>3.1</v>
      </c>
      <c r="H29" s="207">
        <v>5.8</v>
      </c>
      <c r="I29" s="208">
        <v>10.1</v>
      </c>
      <c r="J29" s="74"/>
      <c r="L29" s="233">
        <v>1</v>
      </c>
      <c r="N29" s="296" t="str">
        <f t="shared" si="4"/>
        <v>3.3 공원녹지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SUM((ROUNDDOWN((D59:I59)*단가,0)))</f>
        <v>6632300</v>
      </c>
      <c r="X29" s="154"/>
      <c r="Y29" s="150" t="str">
        <f t="shared" si="2"/>
        <v>제 14 호표</v>
      </c>
      <c r="Z29" s="150"/>
    </row>
    <row r="30" spans="2:26" ht="18" customHeight="1">
      <c r="B30" s="223" t="s">
        <v>1463</v>
      </c>
      <c r="C30" s="23"/>
      <c r="D30" s="197">
        <v>2.7</v>
      </c>
      <c r="E30" s="198">
        <v>3.8</v>
      </c>
      <c r="F30" s="198">
        <v>11.6</v>
      </c>
      <c r="G30" s="198">
        <v>13.7</v>
      </c>
      <c r="H30" s="198">
        <v>25.6</v>
      </c>
      <c r="I30" s="199">
        <v>25.6</v>
      </c>
      <c r="J30" s="74"/>
      <c r="L30" s="233">
        <v>1</v>
      </c>
      <c r="N30" s="296" t="str">
        <f t="shared" si="4"/>
        <v>3.4 도시기반시설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SUM((ROUNDDOWN((D60:I60)*단가,0)))</f>
        <v>22759847</v>
      </c>
      <c r="X30" s="154"/>
      <c r="Y30" s="150" t="str">
        <f t="shared" si="2"/>
        <v>제 15 호표</v>
      </c>
      <c r="Z30" s="150"/>
    </row>
    <row r="31" spans="2:26" ht="18" customHeight="1">
      <c r="B31" s="223" t="s">
        <v>1464</v>
      </c>
      <c r="C31" s="43"/>
      <c r="D31" s="206">
        <v>1.1000000000000001</v>
      </c>
      <c r="E31" s="207">
        <v>1.7</v>
      </c>
      <c r="F31" s="207">
        <v>4.2</v>
      </c>
      <c r="G31" s="207">
        <v>4.0999999999999996</v>
      </c>
      <c r="H31" s="207">
        <v>14.3</v>
      </c>
      <c r="I31" s="208">
        <v>16.399999999999999</v>
      </c>
      <c r="J31" s="74"/>
      <c r="L31" s="233">
        <v>1</v>
      </c>
      <c r="N31" s="296" t="str">
        <f t="shared" si="4"/>
        <v>3.5 가구 및 획지규모와 조성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SUM((ROUNDDOWN((D61:I61)*단가,0)))</f>
        <v>11132904</v>
      </c>
      <c r="X31" s="154"/>
      <c r="Y31" s="150" t="str">
        <f t="shared" si="2"/>
        <v>제 16 호표</v>
      </c>
      <c r="Z31" s="150"/>
    </row>
    <row r="32" spans="2:26" ht="18" customHeight="1">
      <c r="B32" s="223" t="s">
        <v>1465</v>
      </c>
      <c r="C32" s="43"/>
      <c r="D32" s="206">
        <v>5.5</v>
      </c>
      <c r="E32" s="207">
        <v>7.6</v>
      </c>
      <c r="F32" s="207">
        <v>16.600000000000001</v>
      </c>
      <c r="G32" s="207">
        <v>21.3</v>
      </c>
      <c r="H32" s="207">
        <v>43.8</v>
      </c>
      <c r="I32" s="208">
        <v>49.2</v>
      </c>
      <c r="J32" s="74"/>
      <c r="L32" s="233">
        <v>1</v>
      </c>
      <c r="N32" s="296" t="str">
        <f t="shared" si="4"/>
        <v>3.6 건축물규모·형태·색채 등에 관한 계획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SUM((ROUNDDOWN((D62:I62)*단가,0)))</f>
        <v>39471672</v>
      </c>
      <c r="X32" s="154"/>
      <c r="Y32" s="150" t="str">
        <f t="shared" si="2"/>
        <v>제 17 호표</v>
      </c>
      <c r="Z32" s="150"/>
    </row>
    <row r="33" spans="1:26" ht="18" customHeight="1">
      <c r="B33" s="223" t="s">
        <v>1466</v>
      </c>
      <c r="C33" s="43"/>
      <c r="D33" s="206">
        <v>1.5</v>
      </c>
      <c r="E33" s="207">
        <v>2.2000000000000002</v>
      </c>
      <c r="F33" s="207">
        <v>4.2</v>
      </c>
      <c r="G33" s="207">
        <v>3.5</v>
      </c>
      <c r="H33" s="207">
        <v>11.9</v>
      </c>
      <c r="I33" s="208">
        <v>20.2</v>
      </c>
      <c r="J33" s="389"/>
      <c r="L33" s="233">
        <v>1</v>
      </c>
      <c r="N33" s="296" t="str">
        <f t="shared" si="4"/>
        <v>3.7 경관계획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SUM((ROUNDDOWN((D63:I63)*단가,0)))</f>
        <v>11714615</v>
      </c>
      <c r="X33" s="154"/>
      <c r="Y33" s="150" t="str">
        <f t="shared" si="2"/>
        <v>제 18 호표</v>
      </c>
      <c r="Z33" s="150"/>
    </row>
    <row r="34" spans="1:26" ht="18" customHeight="1">
      <c r="B34" s="222" t="s">
        <v>391</v>
      </c>
      <c r="C34" s="47"/>
      <c r="D34" s="48">
        <f t="shared" ref="D34:I34" si="6">SUBTOTAL(9,D35:D36)</f>
        <v>1.5</v>
      </c>
      <c r="E34" s="49">
        <f t="shared" si="6"/>
        <v>3.5999999999999996</v>
      </c>
      <c r="F34" s="49">
        <f t="shared" si="6"/>
        <v>8.1999999999999993</v>
      </c>
      <c r="G34" s="49">
        <f t="shared" si="6"/>
        <v>15.2</v>
      </c>
      <c r="H34" s="49">
        <f t="shared" si="6"/>
        <v>21.2</v>
      </c>
      <c r="I34" s="50">
        <f t="shared" si="6"/>
        <v>21.299999999999997</v>
      </c>
      <c r="J34" s="74"/>
      <c r="L34" s="233"/>
      <c r="N34" s="292" t="str">
        <f>B34</f>
        <v>4. 성과품작성</v>
      </c>
      <c r="O34" s="37"/>
      <c r="P34" s="39"/>
      <c r="Q34" s="37"/>
      <c r="R34" s="117"/>
      <c r="S34" s="37"/>
      <c r="T34" s="37"/>
      <c r="U34" s="226"/>
      <c r="V34" s="231"/>
      <c r="W34" s="195">
        <f ca="1">SUBTOTAL(9,W35:W36)</f>
        <v>19398820</v>
      </c>
      <c r="X34" s="154"/>
      <c r="Y34" s="150" t="str">
        <f t="shared" si="2"/>
        <v/>
      </c>
      <c r="Z34" s="150"/>
    </row>
    <row r="35" spans="1:26" ht="18" customHeight="1">
      <c r="B35" s="223" t="s">
        <v>1434</v>
      </c>
      <c r="C35" s="23"/>
      <c r="D35" s="197">
        <v>1.2</v>
      </c>
      <c r="E35" s="198">
        <v>2.4</v>
      </c>
      <c r="F35" s="198">
        <v>5.4</v>
      </c>
      <c r="G35" s="198">
        <v>9.1</v>
      </c>
      <c r="H35" s="198">
        <v>9.1</v>
      </c>
      <c r="I35" s="199">
        <v>6.1</v>
      </c>
      <c r="J35" s="74"/>
      <c r="L35" s="233">
        <v>1</v>
      </c>
      <c r="N35" s="296" t="str">
        <f t="shared" si="4"/>
        <v>4.1 보고서작성 및 편집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SUM((ROUNDDOWN((D65:I65)*단가,0)))</f>
        <v>9489441</v>
      </c>
      <c r="X35" s="154"/>
      <c r="Y35" s="150" t="str">
        <f t="shared" si="2"/>
        <v>제 19 호표</v>
      </c>
      <c r="Z35" s="150"/>
    </row>
    <row r="36" spans="1:26" ht="18" customHeight="1">
      <c r="B36" s="259" t="s">
        <v>1435</v>
      </c>
      <c r="C36" s="43"/>
      <c r="D36" s="206">
        <v>0.3</v>
      </c>
      <c r="E36" s="207">
        <v>1.2</v>
      </c>
      <c r="F36" s="207">
        <v>2.8</v>
      </c>
      <c r="G36" s="207">
        <v>6.1</v>
      </c>
      <c r="H36" s="207">
        <v>12.1</v>
      </c>
      <c r="I36" s="208">
        <v>15.2</v>
      </c>
      <c r="J36" s="74"/>
      <c r="L36" s="233">
        <v>1</v>
      </c>
      <c r="N36" s="296" t="str">
        <f t="shared" si="4"/>
        <v>4.2 관련도서작성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SUM((ROUNDDOWN((D66:I66)*단가,0)))</f>
        <v>9909379</v>
      </c>
      <c r="X36" s="154"/>
      <c r="Y36" s="150" t="str">
        <f t="shared" si="2"/>
        <v>제 20 호표</v>
      </c>
      <c r="Z36" s="150"/>
    </row>
    <row r="37" spans="1:26" ht="18" customHeight="1">
      <c r="B37" s="222" t="s">
        <v>392</v>
      </c>
      <c r="C37" s="47"/>
      <c r="D37" s="48">
        <f t="shared" ref="D37:I37" si="7">SUBTOTAL(9,D38:D41)</f>
        <v>8</v>
      </c>
      <c r="E37" s="49">
        <f t="shared" si="7"/>
        <v>8</v>
      </c>
      <c r="F37" s="49">
        <f t="shared" si="7"/>
        <v>8</v>
      </c>
      <c r="G37" s="49">
        <f t="shared" si="7"/>
        <v>16</v>
      </c>
      <c r="H37" s="49">
        <f t="shared" si="7"/>
        <v>16</v>
      </c>
      <c r="I37" s="50">
        <f t="shared" si="7"/>
        <v>16</v>
      </c>
      <c r="J37" s="74"/>
      <c r="L37" s="233"/>
      <c r="N37" s="292" t="str">
        <f>B37</f>
        <v>5. 기술협의</v>
      </c>
      <c r="O37" s="37"/>
      <c r="P37" s="39"/>
      <c r="Q37" s="37"/>
      <c r="R37" s="117"/>
      <c r="S37" s="37"/>
      <c r="T37" s="37"/>
      <c r="U37" s="226"/>
      <c r="V37" s="231"/>
      <c r="W37" s="195">
        <f ca="1">SUBTOTAL(9,W38:W41)</f>
        <v>21702576</v>
      </c>
      <c r="X37" s="154"/>
      <c r="Y37" s="150" t="str">
        <f t="shared" si="2"/>
        <v/>
      </c>
      <c r="Z37" s="150"/>
    </row>
    <row r="38" spans="1:26" ht="18" customHeight="1">
      <c r="B38" s="223" t="s">
        <v>1203</v>
      </c>
      <c r="C38" s="23"/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74"/>
      <c r="L38" s="233">
        <v>1</v>
      </c>
      <c r="M38" s="171"/>
      <c r="N38" s="296" t="str">
        <f t="shared" si="4"/>
        <v>5.1 공청회/주민설명회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SUM((ROUNDDOWN((D68:I68)*단가,0)))</f>
        <v>5425644</v>
      </c>
      <c r="X38" s="154"/>
      <c r="Y38" s="150" t="str">
        <f t="shared" si="2"/>
        <v>제 21 호표</v>
      </c>
      <c r="Z38" s="150"/>
    </row>
    <row r="39" spans="1:26" ht="18" customHeight="1">
      <c r="B39" s="223" t="s">
        <v>1467</v>
      </c>
      <c r="C39" s="23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74"/>
      <c r="L39" s="233">
        <v>1</v>
      </c>
      <c r="M39" s="171"/>
      <c r="N39" s="296" t="str">
        <f t="shared" si="4"/>
        <v>5.2 주민간담회/시민계획단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SUM((ROUNDDOWN((D69:I69)*단가,0)))</f>
        <v>5425644</v>
      </c>
      <c r="X39" s="154"/>
      <c r="Y39" s="150" t="str">
        <f t="shared" si="2"/>
        <v>제 22 호표</v>
      </c>
      <c r="Z39" s="150"/>
    </row>
    <row r="40" spans="1:26" ht="18" customHeight="1">
      <c r="B40" s="223" t="s">
        <v>1468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74"/>
      <c r="L40" s="233">
        <v>1</v>
      </c>
      <c r="M40" s="171"/>
      <c r="N40" s="296" t="str">
        <f t="shared" si="4"/>
        <v>5.3 위원회심의 지원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SUM((ROUNDDOWN((D70:I70)*단가,0)))</f>
        <v>5425644</v>
      </c>
      <c r="X40" s="154"/>
      <c r="Y40" s="150" t="str">
        <f t="shared" si="2"/>
        <v>제 23 호표</v>
      </c>
      <c r="Z40" s="150"/>
    </row>
    <row r="41" spans="1:26" ht="18" customHeight="1" thickBot="1">
      <c r="B41" s="223" t="s">
        <v>1469</v>
      </c>
      <c r="C41" s="23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176"/>
      <c r="L41" s="233">
        <v>1</v>
      </c>
      <c r="M41" s="171"/>
      <c r="N41" s="296" t="str">
        <f t="shared" si="4"/>
        <v>5.4 관계기관 협의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SUM((ROUNDDOWN((D71:I71)*단가,0)))</f>
        <v>5425644</v>
      </c>
      <c r="X41" s="154"/>
      <c r="Y41" s="150" t="str">
        <f t="shared" si="2"/>
        <v>제 24 호표</v>
      </c>
      <c r="Z41" s="150"/>
    </row>
    <row r="42" spans="1:26" ht="18" customHeight="1" thickBot="1"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M42" s="171"/>
      <c r="N42" s="379"/>
      <c r="P42" s="371"/>
      <c r="R42" s="357"/>
      <c r="S42" s="1"/>
      <c r="T42" s="1"/>
      <c r="U42" s="258"/>
      <c r="V42" s="380"/>
      <c r="W42" s="373"/>
      <c r="X42" s="374"/>
      <c r="Y42" s="378"/>
      <c r="Z42" s="378"/>
    </row>
    <row r="43" spans="1:26" ht="18" customHeight="1">
      <c r="B43" s="225" t="str">
        <f>B13</f>
        <v>1. 조사 및 분석</v>
      </c>
      <c r="C43" s="72"/>
      <c r="D43" s="203">
        <f t="shared" ref="D43:I43" si="8">SUBTOTAL(9,D44:D51)</f>
        <v>2.8999999999999995</v>
      </c>
      <c r="E43" s="204">
        <f t="shared" si="8"/>
        <v>5.9999999999999982</v>
      </c>
      <c r="F43" s="204">
        <f t="shared" si="8"/>
        <v>13.2</v>
      </c>
      <c r="G43" s="204">
        <f t="shared" si="8"/>
        <v>32</v>
      </c>
      <c r="H43" s="204">
        <f t="shared" si="8"/>
        <v>42.4</v>
      </c>
      <c r="I43" s="205">
        <f t="shared" si="8"/>
        <v>49.999999999999993</v>
      </c>
      <c r="J43" s="73"/>
      <c r="M43" s="171"/>
      <c r="N43" s="290" t="s">
        <v>10</v>
      </c>
      <c r="O43" s="129"/>
      <c r="P43" s="130"/>
      <c r="Q43" s="124"/>
      <c r="R43" s="131"/>
      <c r="S43" s="124"/>
      <c r="T43" s="124"/>
      <c r="U43" s="181"/>
      <c r="V43" s="181"/>
      <c r="W43" s="159">
        <f>SUBTOTAL(9,W44:W46)</f>
        <v>6000000</v>
      </c>
      <c r="X43" s="160"/>
      <c r="Y43" s="124"/>
      <c r="Z43" s="124"/>
    </row>
    <row r="44" spans="1:26" ht="18" customHeight="1">
      <c r="A44" s="326">
        <v>1</v>
      </c>
      <c r="B44" s="223" t="str">
        <f t="shared" ref="B44:B71" si="9">B14</f>
        <v>1.1 자연환경</v>
      </c>
      <c r="C44" s="23"/>
      <c r="D44" s="197">
        <f t="array" ref="D44:I51">ROUNDDOWN(D14:I21*D5*L14:L21,3)</f>
        <v>0.3</v>
      </c>
      <c r="E44" s="198">
        <v>0.6</v>
      </c>
      <c r="F44" s="198">
        <v>1.4</v>
      </c>
      <c r="G44" s="198">
        <v>2.2999999999999998</v>
      </c>
      <c r="H44" s="198">
        <v>3.1</v>
      </c>
      <c r="I44" s="199">
        <v>4.7</v>
      </c>
      <c r="J44" s="74"/>
      <c r="M44" s="171"/>
      <c r="N44" s="291" t="str">
        <f>"여비("&amp;TEXT(T44,"#인 ×")&amp;TEXT(U44,"#일 ×")&amp;TEXT(V44,"###,###원)")</f>
        <v>여비(3인 ×10일 ×100,000원)</v>
      </c>
      <c r="O44" s="78"/>
      <c r="P44" s="52"/>
      <c r="Q44" s="51"/>
      <c r="T44" s="146">
        <v>3</v>
      </c>
      <c r="U44" s="146">
        <v>10</v>
      </c>
      <c r="V44" s="147">
        <v>100000</v>
      </c>
      <c r="W44" s="161">
        <f>T44*U44*V44</f>
        <v>3000000</v>
      </c>
      <c r="X44" s="162"/>
      <c r="Y44" s="51"/>
      <c r="Z44" s="51"/>
    </row>
    <row r="45" spans="1:26" ht="18" customHeight="1">
      <c r="A45" s="326">
        <v>2</v>
      </c>
      <c r="B45" s="223" t="str">
        <f t="shared" si="9"/>
        <v>1.2 인구 및 산업현황</v>
      </c>
      <c r="C45" s="23"/>
      <c r="D45" s="197">
        <v>0.3</v>
      </c>
      <c r="E45" s="198">
        <v>0.6</v>
      </c>
      <c r="F45" s="198">
        <v>1.4</v>
      </c>
      <c r="G45" s="198">
        <v>3.5</v>
      </c>
      <c r="H45" s="198">
        <v>5.6</v>
      </c>
      <c r="I45" s="199">
        <v>5.8</v>
      </c>
      <c r="J45" s="74"/>
      <c r="M45" s="171"/>
      <c r="N45" s="292" t="s">
        <v>46</v>
      </c>
      <c r="O45" s="79"/>
      <c r="P45" s="39"/>
      <c r="Q45" s="37"/>
      <c r="R45" s="117"/>
      <c r="S45" s="37"/>
      <c r="T45" s="37"/>
      <c r="U45" s="180"/>
      <c r="V45" s="180"/>
      <c r="W45" s="157">
        <v>2000000</v>
      </c>
      <c r="X45" s="158"/>
      <c r="Y45" s="37"/>
      <c r="Z45" s="37"/>
    </row>
    <row r="46" spans="1:26" ht="18" customHeight="1">
      <c r="A46" s="326">
        <v>3</v>
      </c>
      <c r="B46" s="223" t="str">
        <f t="shared" si="9"/>
        <v>1.3 토지소유 및 이용현황</v>
      </c>
      <c r="C46" s="23"/>
      <c r="D46" s="197">
        <v>0.6</v>
      </c>
      <c r="E46" s="198">
        <v>1.2</v>
      </c>
      <c r="F46" s="198">
        <v>2.8</v>
      </c>
      <c r="G46" s="198">
        <v>6.9</v>
      </c>
      <c r="H46" s="198">
        <v>8.6</v>
      </c>
      <c r="I46" s="199">
        <v>10.8</v>
      </c>
      <c r="J46" s="74"/>
      <c r="M46" s="171"/>
      <c r="N46" s="293" t="s">
        <v>13</v>
      </c>
      <c r="O46" s="132"/>
      <c r="P46" s="38"/>
      <c r="Q46" s="38"/>
      <c r="R46" s="116"/>
      <c r="S46" s="38"/>
      <c r="T46" s="38"/>
      <c r="U46" s="183"/>
      <c r="V46" s="183"/>
      <c r="W46" s="155">
        <v>1000000</v>
      </c>
      <c r="X46" s="156"/>
      <c r="Y46" s="38"/>
      <c r="Z46" s="38"/>
    </row>
    <row r="47" spans="1:26" ht="18" customHeight="1">
      <c r="A47" s="326">
        <v>4</v>
      </c>
      <c r="B47" s="223" t="str">
        <f t="shared" si="9"/>
        <v>1.4 건축물현황</v>
      </c>
      <c r="C47" s="23"/>
      <c r="D47" s="197">
        <v>0.5</v>
      </c>
      <c r="E47" s="198">
        <v>1.2</v>
      </c>
      <c r="F47" s="198">
        <v>2.8</v>
      </c>
      <c r="G47" s="198">
        <v>7.5</v>
      </c>
      <c r="H47" s="198">
        <v>8.6999999999999993</v>
      </c>
      <c r="I47" s="199">
        <v>10.5</v>
      </c>
      <c r="J47" s="74"/>
      <c r="M47" s="171"/>
      <c r="N47" s="127" t="s">
        <v>47</v>
      </c>
      <c r="O47" s="123"/>
      <c r="P47" s="123"/>
      <c r="Q47" s="123"/>
      <c r="R47" s="123"/>
      <c r="S47" s="123"/>
      <c r="T47" s="123"/>
      <c r="U47" s="184"/>
      <c r="V47" s="184"/>
      <c r="W47" s="163">
        <f ca="1">SUBTOTAL(9,W48:W49)</f>
        <v>393532139</v>
      </c>
      <c r="X47" s="164"/>
      <c r="Y47" s="123"/>
      <c r="Z47" s="123"/>
    </row>
    <row r="48" spans="1:26" ht="18" customHeight="1">
      <c r="A48" s="326">
        <v>5</v>
      </c>
      <c r="B48" s="223" t="str">
        <f t="shared" si="9"/>
        <v>1.5 교통현황</v>
      </c>
      <c r="C48" s="23"/>
      <c r="D48" s="197">
        <v>0.3</v>
      </c>
      <c r="E48" s="198">
        <v>0.6</v>
      </c>
      <c r="F48" s="198">
        <v>1.4</v>
      </c>
      <c r="G48" s="198">
        <v>4.2</v>
      </c>
      <c r="H48" s="198">
        <v>5.7</v>
      </c>
      <c r="I48" s="199">
        <v>8</v>
      </c>
      <c r="J48" s="74"/>
      <c r="M48" s="171"/>
      <c r="N48" s="133" t="s">
        <v>861</v>
      </c>
      <c r="O48" s="124"/>
      <c r="P48" s="134"/>
      <c r="Q48" s="124"/>
      <c r="R48" s="131"/>
      <c r="S48" s="124"/>
      <c r="T48" s="181"/>
      <c r="U48" s="181"/>
      <c r="V48" s="190">
        <v>1.1499999999999999</v>
      </c>
      <c r="W48" s="159">
        <f ca="1">ROUNDDOWN(W12*V48,0)</f>
        <v>252123655</v>
      </c>
      <c r="X48" s="160"/>
      <c r="Y48" s="124"/>
      <c r="Z48" s="124"/>
    </row>
    <row r="49" spans="1:26" ht="18" customHeight="1" thickBot="1">
      <c r="A49" s="326">
        <v>6</v>
      </c>
      <c r="B49" s="223" t="str">
        <f t="shared" si="9"/>
        <v>1.6 도시기반시설현황</v>
      </c>
      <c r="C49" s="23"/>
      <c r="D49" s="197">
        <v>0.3</v>
      </c>
      <c r="E49" s="198">
        <v>0.6</v>
      </c>
      <c r="F49" s="198">
        <v>1</v>
      </c>
      <c r="G49" s="198">
        <v>2.5</v>
      </c>
      <c r="H49" s="198">
        <v>3.4</v>
      </c>
      <c r="I49" s="199">
        <v>5.8</v>
      </c>
      <c r="J49" s="74"/>
      <c r="M49" s="171"/>
      <c r="N49" s="135" t="s">
        <v>862</v>
      </c>
      <c r="O49" s="136"/>
      <c r="P49" s="137"/>
      <c r="Q49" s="136"/>
      <c r="R49" s="138"/>
      <c r="S49" s="136"/>
      <c r="T49" s="185"/>
      <c r="U49" s="185"/>
      <c r="V49" s="191">
        <v>0.3</v>
      </c>
      <c r="W49" s="165">
        <f ca="1">ROUNDDOWN((W12+W48)*V49,0)</f>
        <v>141408484</v>
      </c>
      <c r="X49" s="166"/>
      <c r="Y49" s="136"/>
      <c r="Z49" s="136"/>
    </row>
    <row r="50" spans="1:26" ht="18" customHeight="1">
      <c r="A50" s="326">
        <v>7</v>
      </c>
      <c r="B50" s="223" t="str">
        <f t="shared" si="9"/>
        <v>1.7 도시계획현황 및 관련계획</v>
      </c>
      <c r="C50" s="23"/>
      <c r="D50" s="197">
        <v>0.3</v>
      </c>
      <c r="E50" s="198">
        <v>0.6</v>
      </c>
      <c r="F50" s="198">
        <v>1</v>
      </c>
      <c r="G50" s="198">
        <v>2.8</v>
      </c>
      <c r="H50" s="198">
        <v>4.2</v>
      </c>
      <c r="I50" s="199">
        <v>4.4000000000000004</v>
      </c>
      <c r="J50" s="74"/>
      <c r="M50" s="171"/>
    </row>
    <row r="51" spans="1:26" ht="18" customHeight="1">
      <c r="A51" s="326">
        <v>8</v>
      </c>
      <c r="B51" s="223" t="str">
        <f t="shared" si="9"/>
        <v>1.8 현황자료분석</v>
      </c>
      <c r="C51" s="23"/>
      <c r="D51" s="197">
        <v>0.3</v>
      </c>
      <c r="E51" s="198">
        <v>0.6</v>
      </c>
      <c r="F51" s="198">
        <v>1.4</v>
      </c>
      <c r="G51" s="198">
        <v>2.2999999999999998</v>
      </c>
      <c r="H51" s="198">
        <v>3.1</v>
      </c>
      <c r="I51" s="199">
        <v>0</v>
      </c>
      <c r="J51" s="74"/>
      <c r="M51" s="171"/>
    </row>
    <row r="52" spans="1:26" ht="18" customHeight="1" thickBot="1">
      <c r="B52" s="222" t="str">
        <f t="shared" si="9"/>
        <v>2. 기본구상</v>
      </c>
      <c r="C52" s="47"/>
      <c r="D52" s="48">
        <f t="shared" ref="D52:I52" si="10">SUBTOTAL(9,D53:D55)</f>
        <v>1.2</v>
      </c>
      <c r="E52" s="49">
        <f t="shared" si="10"/>
        <v>2.2000000000000002</v>
      </c>
      <c r="F52" s="49">
        <f t="shared" si="10"/>
        <v>7.7</v>
      </c>
      <c r="G52" s="49">
        <f t="shared" si="10"/>
        <v>6.6</v>
      </c>
      <c r="H52" s="49">
        <f t="shared" si="10"/>
        <v>15</v>
      </c>
      <c r="I52" s="50">
        <f t="shared" si="10"/>
        <v>21.299999999999997</v>
      </c>
      <c r="J52" s="74"/>
      <c r="M52" s="171"/>
      <c r="N52" s="66" t="s">
        <v>18</v>
      </c>
      <c r="O52" s="2"/>
      <c r="P52" s="2"/>
      <c r="Q52" s="2"/>
      <c r="R52" s="3"/>
      <c r="S52" s="4"/>
      <c r="T52" s="3"/>
      <c r="U52" s="4"/>
      <c r="V52" s="3"/>
      <c r="W52" s="4"/>
      <c r="X52" s="3"/>
      <c r="Y52" s="4"/>
      <c r="Z52" s="2"/>
    </row>
    <row r="53" spans="1:26" ht="18" customHeight="1">
      <c r="A53" s="326">
        <v>9</v>
      </c>
      <c r="B53" s="223" t="str">
        <f t="shared" si="9"/>
        <v>2.1 기본방향</v>
      </c>
      <c r="C53" s="23"/>
      <c r="D53" s="197">
        <f t="array" ref="D53:I55">ROUNDDOWN(D23:I25*D5*L23:L25,3)</f>
        <v>0.5</v>
      </c>
      <c r="E53" s="198">
        <v>0.8</v>
      </c>
      <c r="F53" s="198">
        <v>2.7</v>
      </c>
      <c r="G53" s="198">
        <v>2.2999999999999998</v>
      </c>
      <c r="H53" s="198">
        <v>5.3</v>
      </c>
      <c r="I53" s="199">
        <v>7.1</v>
      </c>
      <c r="J53" s="74"/>
      <c r="M53" s="171"/>
      <c r="N53" s="765" t="s">
        <v>19</v>
      </c>
      <c r="O53" s="755" t="s">
        <v>20</v>
      </c>
      <c r="P53" s="755" t="s">
        <v>21</v>
      </c>
      <c r="Q53" s="755" t="s">
        <v>16</v>
      </c>
      <c r="R53" s="5" t="s">
        <v>22</v>
      </c>
      <c r="S53" s="5"/>
      <c r="T53" s="5" t="s">
        <v>23</v>
      </c>
      <c r="U53" s="5"/>
      <c r="V53" s="5" t="s">
        <v>24</v>
      </c>
      <c r="W53" s="5"/>
      <c r="X53" s="5" t="s">
        <v>25</v>
      </c>
      <c r="Y53" s="5"/>
      <c r="Z53" s="755" t="s">
        <v>26</v>
      </c>
    </row>
    <row r="54" spans="1:26" ht="18" customHeight="1" thickBot="1">
      <c r="A54" s="326">
        <v>10</v>
      </c>
      <c r="B54" s="223" t="str">
        <f t="shared" si="9"/>
        <v>2.2 토지이용체계구상</v>
      </c>
      <c r="C54" s="23"/>
      <c r="D54" s="197">
        <v>0.5</v>
      </c>
      <c r="E54" s="198">
        <v>0.9</v>
      </c>
      <c r="F54" s="198">
        <v>2.7</v>
      </c>
      <c r="G54" s="198">
        <v>2.2999999999999998</v>
      </c>
      <c r="H54" s="198">
        <v>5.3</v>
      </c>
      <c r="I54" s="199">
        <v>7.1</v>
      </c>
      <c r="J54" s="389"/>
      <c r="M54" s="171"/>
      <c r="N54" s="766"/>
      <c r="O54" s="756"/>
      <c r="P54" s="756"/>
      <c r="Q54" s="756"/>
      <c r="R54" s="67" t="s">
        <v>27</v>
      </c>
      <c r="S54" s="67" t="s">
        <v>28</v>
      </c>
      <c r="T54" s="67" t="s">
        <v>27</v>
      </c>
      <c r="U54" s="67" t="s">
        <v>28</v>
      </c>
      <c r="V54" s="67" t="s">
        <v>27</v>
      </c>
      <c r="W54" s="67" t="s">
        <v>28</v>
      </c>
      <c r="X54" s="67" t="s">
        <v>27</v>
      </c>
      <c r="Y54" s="67" t="s">
        <v>28</v>
      </c>
      <c r="Z54" s="756"/>
    </row>
    <row r="55" spans="1:26" ht="18" customHeight="1" thickTop="1">
      <c r="A55" s="326">
        <v>11</v>
      </c>
      <c r="B55" s="223" t="str">
        <f t="shared" si="9"/>
        <v>2.3 교통동선체계구상</v>
      </c>
      <c r="C55" s="23"/>
      <c r="D55" s="197">
        <v>0.2</v>
      </c>
      <c r="E55" s="198">
        <v>0.5</v>
      </c>
      <c r="F55" s="198">
        <v>2.2999999999999998</v>
      </c>
      <c r="G55" s="198">
        <v>2</v>
      </c>
      <c r="H55" s="198">
        <v>4.4000000000000004</v>
      </c>
      <c r="I55" s="199">
        <v>7.1</v>
      </c>
      <c r="J55" s="74"/>
      <c r="M55" s="171"/>
      <c r="N55" s="318" t="str">
        <f ca="1">"제 " &amp; Z55 &amp; " 호표  "&amp; OFFSET($A$1,MATCH(Z55,$A:$A,0)-1,1)</f>
        <v>제 1 호표  1.1 자연환경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v>1</v>
      </c>
    </row>
    <row r="56" spans="1:26" ht="18" customHeight="1">
      <c r="B56" s="222" t="str">
        <f t="shared" si="9"/>
        <v>3. 부문별 기본방향</v>
      </c>
      <c r="C56" s="47"/>
      <c r="D56" s="48">
        <f t="shared" ref="D56:I56" si="11">SUBTOTAL(9,D57:D63)</f>
        <v>15.200000000000001</v>
      </c>
      <c r="E56" s="49">
        <f t="shared" si="11"/>
        <v>21.999999999999996</v>
      </c>
      <c r="F56" s="49">
        <f t="shared" si="11"/>
        <v>53.600000000000009</v>
      </c>
      <c r="G56" s="49">
        <f t="shared" si="11"/>
        <v>55.5</v>
      </c>
      <c r="H56" s="49">
        <f t="shared" si="11"/>
        <v>137.6</v>
      </c>
      <c r="I56" s="50">
        <f t="shared" si="11"/>
        <v>172.60000000000002</v>
      </c>
      <c r="J56" s="74"/>
      <c r="M56" s="171"/>
      <c r="N56" s="140" t="s">
        <v>43</v>
      </c>
      <c r="O56" s="172">
        <v>3</v>
      </c>
      <c r="P56" s="219">
        <f ca="1">OFFSET($A$1,MATCH(Z55,$A:$A,0)-1,O56)</f>
        <v>0.3</v>
      </c>
      <c r="Q56" s="141" t="s">
        <v>29</v>
      </c>
      <c r="R56" s="142">
        <f t="shared" ref="R56:S61" ca="1" si="12">T56</f>
        <v>467217</v>
      </c>
      <c r="S56" s="142">
        <f t="shared" ca="1" si="12"/>
        <v>140165</v>
      </c>
      <c r="T56" s="142">
        <f ca="1">기술사</f>
        <v>467217</v>
      </c>
      <c r="U56" s="142">
        <f t="shared" ref="U56:U61" ca="1" si="13">ROUNDDOWN(P56*R56,0)</f>
        <v>140165</v>
      </c>
      <c r="V56" s="142"/>
      <c r="W56" s="142"/>
      <c r="X56" s="142"/>
      <c r="Y56" s="142"/>
      <c r="Z56" s="114"/>
    </row>
    <row r="57" spans="1:26" ht="18" customHeight="1">
      <c r="A57" s="326">
        <v>12</v>
      </c>
      <c r="B57" s="223" t="str">
        <f t="shared" si="9"/>
        <v>3.1 용도지역·지구</v>
      </c>
      <c r="C57" s="23"/>
      <c r="D57" s="197">
        <f t="array" ref="D57:I63">ROUNDDOWN(D27:I33*D5*L27:L33,3)</f>
        <v>1.5</v>
      </c>
      <c r="E57" s="198">
        <v>2.2999999999999998</v>
      </c>
      <c r="F57" s="198">
        <v>5.8</v>
      </c>
      <c r="G57" s="198">
        <v>3.1</v>
      </c>
      <c r="H57" s="198">
        <v>18.399999999999999</v>
      </c>
      <c r="I57" s="199">
        <v>20.8</v>
      </c>
      <c r="J57" s="74"/>
      <c r="M57" s="171"/>
      <c r="N57" s="143" t="s">
        <v>32</v>
      </c>
      <c r="O57" s="173">
        <v>4</v>
      </c>
      <c r="P57" s="234">
        <f ca="1">OFFSET($A$1,MATCH(Z55,$A:$A,0)-1,O57)</f>
        <v>0.6</v>
      </c>
      <c r="Q57" s="144" t="s">
        <v>29</v>
      </c>
      <c r="R57" s="118">
        <f t="shared" ca="1" si="12"/>
        <v>373353</v>
      </c>
      <c r="S57" s="118">
        <f t="shared" ca="1" si="12"/>
        <v>224011</v>
      </c>
      <c r="T57" s="118">
        <f ca="1">특급</f>
        <v>373353</v>
      </c>
      <c r="U57" s="118">
        <f t="shared" ca="1" si="13"/>
        <v>224011</v>
      </c>
      <c r="V57" s="118"/>
      <c r="W57" s="118"/>
      <c r="X57" s="118"/>
      <c r="Y57" s="118"/>
      <c r="Z57" s="115"/>
    </row>
    <row r="58" spans="1:26" ht="18" customHeight="1">
      <c r="A58" s="326">
        <v>13</v>
      </c>
      <c r="B58" s="223" t="str">
        <f t="shared" si="9"/>
        <v>3.2 교통처리</v>
      </c>
      <c r="C58" s="43"/>
      <c r="D58" s="206">
        <v>2.2000000000000002</v>
      </c>
      <c r="E58" s="207">
        <v>3.3</v>
      </c>
      <c r="F58" s="207">
        <v>7.7</v>
      </c>
      <c r="G58" s="207">
        <v>6.7</v>
      </c>
      <c r="H58" s="207">
        <v>17.8</v>
      </c>
      <c r="I58" s="208">
        <v>30.3</v>
      </c>
      <c r="J58" s="74"/>
      <c r="M58" s="171"/>
      <c r="N58" s="145" t="s">
        <v>39</v>
      </c>
      <c r="O58" s="173">
        <v>5</v>
      </c>
      <c r="P58" s="234">
        <f ca="1">OFFSET($A$1,MATCH(Z55,$A:$A,0)-1,O58)</f>
        <v>1.4</v>
      </c>
      <c r="Q58" s="144" t="s">
        <v>29</v>
      </c>
      <c r="R58" s="118">
        <f t="shared" ca="1" si="12"/>
        <v>310884</v>
      </c>
      <c r="S58" s="118">
        <f t="shared" ca="1" si="12"/>
        <v>435237</v>
      </c>
      <c r="T58" s="118">
        <f ca="1">고급</f>
        <v>310884</v>
      </c>
      <c r="U58" s="118">
        <f t="shared" ca="1" si="13"/>
        <v>435237</v>
      </c>
      <c r="V58" s="118"/>
      <c r="W58" s="118"/>
      <c r="X58" s="118"/>
      <c r="Y58" s="118"/>
      <c r="Z58" s="115"/>
    </row>
    <row r="59" spans="1:26" ht="18" customHeight="1">
      <c r="A59" s="326">
        <v>14</v>
      </c>
      <c r="B59" s="223" t="str">
        <f t="shared" si="9"/>
        <v>3.3 공원녹지</v>
      </c>
      <c r="C59" s="43"/>
      <c r="D59" s="206">
        <v>0.7</v>
      </c>
      <c r="E59" s="207">
        <v>1.1000000000000001</v>
      </c>
      <c r="F59" s="207">
        <v>3.5</v>
      </c>
      <c r="G59" s="207">
        <v>3.1</v>
      </c>
      <c r="H59" s="207">
        <v>5.8</v>
      </c>
      <c r="I59" s="208">
        <v>10.1</v>
      </c>
      <c r="J59" s="74"/>
      <c r="M59" s="171"/>
      <c r="N59" s="145" t="s">
        <v>40</v>
      </c>
      <c r="O59" s="173">
        <v>6</v>
      </c>
      <c r="P59" s="234">
        <f ca="1">OFFSET($A$1,MATCH(Z55,$A:$A,0)-1,O59)</f>
        <v>2.2999999999999998</v>
      </c>
      <c r="Q59" s="144" t="s">
        <v>29</v>
      </c>
      <c r="R59" s="118">
        <f t="shared" ca="1" si="12"/>
        <v>295138</v>
      </c>
      <c r="S59" s="118">
        <f t="shared" ca="1" si="12"/>
        <v>678817</v>
      </c>
      <c r="T59" s="118">
        <f ca="1">중급</f>
        <v>295138</v>
      </c>
      <c r="U59" s="118">
        <f t="shared" ca="1" si="13"/>
        <v>678817</v>
      </c>
      <c r="V59" s="118"/>
      <c r="W59" s="118"/>
      <c r="X59" s="118"/>
      <c r="Y59" s="118"/>
      <c r="Z59" s="115"/>
    </row>
    <row r="60" spans="1:26" ht="18" customHeight="1">
      <c r="A60" s="326">
        <v>15</v>
      </c>
      <c r="B60" s="223" t="str">
        <f t="shared" si="9"/>
        <v>3.4 도시기반시설</v>
      </c>
      <c r="C60" s="23"/>
      <c r="D60" s="197">
        <v>2.7</v>
      </c>
      <c r="E60" s="198">
        <v>3.8</v>
      </c>
      <c r="F60" s="198">
        <v>11.6</v>
      </c>
      <c r="G60" s="198">
        <v>13.7</v>
      </c>
      <c r="H60" s="198">
        <v>25.6</v>
      </c>
      <c r="I60" s="199">
        <v>25.6</v>
      </c>
      <c r="J60" s="74"/>
      <c r="M60" s="171"/>
      <c r="N60" s="145" t="s">
        <v>41</v>
      </c>
      <c r="O60" s="173">
        <v>7</v>
      </c>
      <c r="P60" s="234">
        <f ca="1">OFFSET($A$1,MATCH(Z55,$A:$A,0)-1,O60)</f>
        <v>3.1</v>
      </c>
      <c r="Q60" s="144" t="s">
        <v>29</v>
      </c>
      <c r="R60" s="118">
        <f t="shared" ca="1" si="12"/>
        <v>235459</v>
      </c>
      <c r="S60" s="118">
        <f t="shared" ca="1" si="12"/>
        <v>729922</v>
      </c>
      <c r="T60" s="118">
        <f ca="1">초급</f>
        <v>235459</v>
      </c>
      <c r="U60" s="118">
        <f t="shared" ca="1" si="13"/>
        <v>729922</v>
      </c>
      <c r="V60" s="118"/>
      <c r="W60" s="118"/>
      <c r="X60" s="118"/>
      <c r="Y60" s="118"/>
      <c r="Z60" s="115"/>
    </row>
    <row r="61" spans="1:26" ht="18" customHeight="1">
      <c r="A61" s="326">
        <v>16</v>
      </c>
      <c r="B61" s="223" t="str">
        <f t="shared" si="9"/>
        <v>3.5 가구 및 획지규모와 조성</v>
      </c>
      <c r="C61" s="43"/>
      <c r="D61" s="206">
        <v>1.1000000000000001</v>
      </c>
      <c r="E61" s="207">
        <v>1.7</v>
      </c>
      <c r="F61" s="207">
        <v>4.2</v>
      </c>
      <c r="G61" s="207">
        <v>4.0999999999999996</v>
      </c>
      <c r="H61" s="207">
        <v>14.3</v>
      </c>
      <c r="I61" s="208">
        <v>16.399999999999999</v>
      </c>
      <c r="J61" s="74"/>
      <c r="M61" s="171"/>
      <c r="N61" s="319" t="s">
        <v>42</v>
      </c>
      <c r="O61" s="174">
        <v>8</v>
      </c>
      <c r="P61" s="235">
        <f ca="1">OFFSET($A$1,MATCH(Z55,$A:$A,0)-1,O61)</f>
        <v>4.7</v>
      </c>
      <c r="Q61" s="322" t="s">
        <v>29</v>
      </c>
      <c r="R61" s="323">
        <f t="shared" ca="1" si="12"/>
        <v>250087</v>
      </c>
      <c r="S61" s="323">
        <f t="shared" ca="1" si="12"/>
        <v>1175408</v>
      </c>
      <c r="T61" s="323">
        <f ca="1">보조원</f>
        <v>250087</v>
      </c>
      <c r="U61" s="323">
        <f t="shared" ca="1" si="13"/>
        <v>1175408</v>
      </c>
      <c r="V61" s="323"/>
      <c r="W61" s="323"/>
      <c r="X61" s="323"/>
      <c r="Y61" s="323"/>
      <c r="Z61" s="324"/>
    </row>
    <row r="62" spans="1:26" ht="18" customHeight="1">
      <c r="A62" s="326">
        <v>17</v>
      </c>
      <c r="B62" s="223" t="str">
        <f t="shared" si="9"/>
        <v>3.6 건축물규모·형태·색채 등에 관한 계획</v>
      </c>
      <c r="C62" s="43"/>
      <c r="D62" s="206">
        <v>5.5</v>
      </c>
      <c r="E62" s="207">
        <v>7.6</v>
      </c>
      <c r="F62" s="207">
        <v>16.600000000000001</v>
      </c>
      <c r="G62" s="207">
        <v>21.3</v>
      </c>
      <c r="H62" s="207">
        <v>43.8</v>
      </c>
      <c r="I62" s="208">
        <v>49.2</v>
      </c>
      <c r="J62" s="74"/>
      <c r="L62" s="171"/>
      <c r="M62" s="171"/>
      <c r="N62" s="139" t="s">
        <v>17</v>
      </c>
      <c r="O62" s="68"/>
      <c r="P62" s="69"/>
      <c r="Q62" s="70"/>
      <c r="R62" s="71"/>
      <c r="S62" s="71">
        <f ca="1">SUBTOTAL(9,S56:S61)</f>
        <v>3383560</v>
      </c>
      <c r="T62" s="71"/>
      <c r="U62" s="71">
        <f ca="1">SUBTOTAL(9,U56:U61)</f>
        <v>3383560</v>
      </c>
      <c r="V62" s="71"/>
      <c r="W62" s="71"/>
      <c r="X62" s="71"/>
      <c r="Y62" s="71"/>
      <c r="Z62" s="68"/>
    </row>
    <row r="63" spans="1:26" ht="18" customHeight="1">
      <c r="A63" s="326">
        <v>18</v>
      </c>
      <c r="B63" s="223" t="str">
        <f t="shared" si="9"/>
        <v>3.7 경관계획</v>
      </c>
      <c r="C63" s="23"/>
      <c r="D63" s="197">
        <v>1.5</v>
      </c>
      <c r="E63" s="198">
        <v>2.2000000000000002</v>
      </c>
      <c r="F63" s="198">
        <v>4.2</v>
      </c>
      <c r="G63" s="198">
        <v>3.5</v>
      </c>
      <c r="H63" s="198">
        <v>11.9</v>
      </c>
      <c r="I63" s="199">
        <v>20.2</v>
      </c>
      <c r="J63" s="74"/>
      <c r="L63" s="171"/>
      <c r="M63" s="171"/>
      <c r="N63" s="318" t="str">
        <f ca="1">"제 " &amp; Z63 &amp; " 호표  "&amp; OFFSET($A$1,MATCH(Z63,$A:$A,0)-1,1)</f>
        <v>제 2 호표  1.2 인구 및 산업현황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2</v>
      </c>
    </row>
    <row r="64" spans="1:26" ht="18" customHeight="1">
      <c r="B64" s="222" t="str">
        <f t="shared" si="9"/>
        <v>4. 성과품작성</v>
      </c>
      <c r="C64" s="47"/>
      <c r="D64" s="48">
        <f t="shared" ref="D64:I64" si="14">SUBTOTAL(9,D65:D66)</f>
        <v>1.5</v>
      </c>
      <c r="E64" s="49">
        <f t="shared" si="14"/>
        <v>3.5999999999999996</v>
      </c>
      <c r="F64" s="49">
        <f t="shared" si="14"/>
        <v>8.1999999999999993</v>
      </c>
      <c r="G64" s="49">
        <f t="shared" si="14"/>
        <v>15.2</v>
      </c>
      <c r="H64" s="49">
        <f t="shared" si="14"/>
        <v>21.2</v>
      </c>
      <c r="I64" s="50">
        <f t="shared" si="14"/>
        <v>21.299999999999997</v>
      </c>
      <c r="J64" s="74"/>
      <c r="L64" s="171"/>
      <c r="M64" s="171"/>
      <c r="N64" s="140" t="s">
        <v>43</v>
      </c>
      <c r="O64" s="172">
        <v>3</v>
      </c>
      <c r="P64" s="219">
        <f ca="1">OFFSET($A$1,MATCH(Z63,$A:$A,0)-1,O64)</f>
        <v>0.3</v>
      </c>
      <c r="Q64" s="141" t="s">
        <v>29</v>
      </c>
      <c r="R64" s="142">
        <f t="shared" ref="R64:S69" ca="1" si="15">T64</f>
        <v>467217</v>
      </c>
      <c r="S64" s="142">
        <f t="shared" ca="1" si="15"/>
        <v>140165</v>
      </c>
      <c r="T64" s="142">
        <f ca="1">기술사</f>
        <v>467217</v>
      </c>
      <c r="U64" s="142">
        <f t="shared" ref="U64:U69" ca="1" si="16">ROUNDDOWN(P64*R64,0)</f>
        <v>140165</v>
      </c>
      <c r="V64" s="142"/>
      <c r="W64" s="142"/>
      <c r="X64" s="142"/>
      <c r="Y64" s="142"/>
      <c r="Z64" s="114"/>
    </row>
    <row r="65" spans="1:26" ht="18" customHeight="1">
      <c r="A65" s="326">
        <v>19</v>
      </c>
      <c r="B65" s="223" t="str">
        <f t="shared" si="9"/>
        <v>4.1 보고서작성 및 편집</v>
      </c>
      <c r="C65" s="23"/>
      <c r="D65" s="197">
        <f t="array" ref="D65:I66">ROUNDDOWN(D35:I36*D5*L35:L36,3)</f>
        <v>1.2</v>
      </c>
      <c r="E65" s="198">
        <v>2.4</v>
      </c>
      <c r="F65" s="198">
        <v>5.4</v>
      </c>
      <c r="G65" s="198">
        <v>9.1</v>
      </c>
      <c r="H65" s="198">
        <v>9.1</v>
      </c>
      <c r="I65" s="199">
        <v>6.1</v>
      </c>
      <c r="J65" s="74"/>
      <c r="K65" s="171" t="s">
        <v>14</v>
      </c>
      <c r="L65" s="171"/>
      <c r="M65" s="171"/>
      <c r="N65" s="143" t="s">
        <v>32</v>
      </c>
      <c r="O65" s="173">
        <v>4</v>
      </c>
      <c r="P65" s="234">
        <f ca="1">OFFSET($A$1,MATCH(Z63,$A:$A,0)-1,O65)</f>
        <v>0.6</v>
      </c>
      <c r="Q65" s="144" t="s">
        <v>29</v>
      </c>
      <c r="R65" s="118">
        <f t="shared" ca="1" si="15"/>
        <v>373353</v>
      </c>
      <c r="S65" s="118">
        <f t="shared" ca="1" si="15"/>
        <v>224011</v>
      </c>
      <c r="T65" s="118">
        <f ca="1">특급</f>
        <v>373353</v>
      </c>
      <c r="U65" s="118">
        <f t="shared" ca="1" si="16"/>
        <v>224011</v>
      </c>
      <c r="V65" s="118"/>
      <c r="W65" s="118"/>
      <c r="X65" s="118"/>
      <c r="Y65" s="118"/>
      <c r="Z65" s="115"/>
    </row>
    <row r="66" spans="1:26" ht="18" customHeight="1">
      <c r="A66" s="326">
        <v>20</v>
      </c>
      <c r="B66" s="223" t="str">
        <f t="shared" si="9"/>
        <v>4.2 관련도서작성</v>
      </c>
      <c r="C66" s="43"/>
      <c r="D66" s="206">
        <v>0.3</v>
      </c>
      <c r="E66" s="207">
        <v>1.2</v>
      </c>
      <c r="F66" s="207">
        <v>2.8</v>
      </c>
      <c r="G66" s="207">
        <v>6.1</v>
      </c>
      <c r="H66" s="207">
        <v>12.1</v>
      </c>
      <c r="I66" s="208">
        <v>15.2</v>
      </c>
      <c r="J66" s="74"/>
      <c r="K66" s="171" t="s">
        <v>14</v>
      </c>
      <c r="L66" s="171"/>
      <c r="M66" s="171"/>
      <c r="N66" s="145" t="s">
        <v>39</v>
      </c>
      <c r="O66" s="173">
        <v>5</v>
      </c>
      <c r="P66" s="234">
        <f ca="1">OFFSET($A$1,MATCH(Z63,$A:$A,0)-1,O66)</f>
        <v>1.4</v>
      </c>
      <c r="Q66" s="144" t="s">
        <v>29</v>
      </c>
      <c r="R66" s="118">
        <f t="shared" ca="1" si="15"/>
        <v>310884</v>
      </c>
      <c r="S66" s="118">
        <f t="shared" ca="1" si="15"/>
        <v>435237</v>
      </c>
      <c r="T66" s="118">
        <f ca="1">고급</f>
        <v>310884</v>
      </c>
      <c r="U66" s="118">
        <f t="shared" ca="1" si="16"/>
        <v>435237</v>
      </c>
      <c r="V66" s="118"/>
      <c r="W66" s="118"/>
      <c r="X66" s="118"/>
      <c r="Y66" s="118"/>
      <c r="Z66" s="115"/>
    </row>
    <row r="67" spans="1:26" ht="18" customHeight="1">
      <c r="B67" s="222" t="str">
        <f t="shared" si="9"/>
        <v>5. 기술협의</v>
      </c>
      <c r="C67" s="47"/>
      <c r="D67" s="48">
        <f t="shared" ref="D67:I67" si="17">SUBTOTAL(9,D68:D71)</f>
        <v>8</v>
      </c>
      <c r="E67" s="49">
        <f t="shared" si="17"/>
        <v>8</v>
      </c>
      <c r="F67" s="49">
        <f t="shared" si="17"/>
        <v>8</v>
      </c>
      <c r="G67" s="49">
        <f t="shared" si="17"/>
        <v>16</v>
      </c>
      <c r="H67" s="49">
        <f t="shared" si="17"/>
        <v>16</v>
      </c>
      <c r="I67" s="50">
        <f t="shared" si="17"/>
        <v>16</v>
      </c>
      <c r="J67" s="74"/>
      <c r="K67" s="171" t="s">
        <v>14</v>
      </c>
      <c r="L67" s="171"/>
      <c r="M67" s="171"/>
      <c r="N67" s="145" t="s">
        <v>40</v>
      </c>
      <c r="O67" s="173">
        <v>6</v>
      </c>
      <c r="P67" s="234">
        <f ca="1">OFFSET($A$1,MATCH(Z63,$A:$A,0)-1,O67)</f>
        <v>3.5</v>
      </c>
      <c r="Q67" s="144" t="s">
        <v>29</v>
      </c>
      <c r="R67" s="118">
        <f t="shared" ca="1" si="15"/>
        <v>295138</v>
      </c>
      <c r="S67" s="118">
        <f t="shared" ca="1" si="15"/>
        <v>1032983</v>
      </c>
      <c r="T67" s="118">
        <f ca="1">중급</f>
        <v>295138</v>
      </c>
      <c r="U67" s="118">
        <f t="shared" ca="1" si="16"/>
        <v>1032983</v>
      </c>
      <c r="V67" s="118"/>
      <c r="W67" s="118"/>
      <c r="X67" s="118"/>
      <c r="Y67" s="118"/>
      <c r="Z67" s="115"/>
    </row>
    <row r="68" spans="1:26" ht="18" customHeight="1">
      <c r="A68" s="326">
        <v>21</v>
      </c>
      <c r="B68" s="223" t="str">
        <f t="shared" si="9"/>
        <v>5.1 공청회/주민설명회</v>
      </c>
      <c r="C68" s="23"/>
      <c r="D68" s="197">
        <f t="array" ref="D68:I71">ROUNDDOWN(D38:I41*L38:L41*I5,3)</f>
        <v>2</v>
      </c>
      <c r="E68" s="198">
        <v>2</v>
      </c>
      <c r="F68" s="198">
        <v>2</v>
      </c>
      <c r="G68" s="198">
        <v>4</v>
      </c>
      <c r="H68" s="198">
        <v>4</v>
      </c>
      <c r="I68" s="199">
        <v>4</v>
      </c>
      <c r="J68" s="74"/>
      <c r="K68" s="171" t="s">
        <v>14</v>
      </c>
      <c r="L68" s="171"/>
      <c r="M68" s="171"/>
      <c r="N68" s="145" t="s">
        <v>41</v>
      </c>
      <c r="O68" s="173">
        <v>7</v>
      </c>
      <c r="P68" s="234">
        <f ca="1">OFFSET($A$1,MATCH(Z63,$A:$A,0)-1,O68)</f>
        <v>5.6</v>
      </c>
      <c r="Q68" s="144" t="s">
        <v>29</v>
      </c>
      <c r="R68" s="118">
        <f t="shared" ca="1" si="15"/>
        <v>235459</v>
      </c>
      <c r="S68" s="118">
        <f t="shared" ca="1" si="15"/>
        <v>1318570</v>
      </c>
      <c r="T68" s="118">
        <f ca="1">초급</f>
        <v>235459</v>
      </c>
      <c r="U68" s="118">
        <f t="shared" ca="1" si="16"/>
        <v>1318570</v>
      </c>
      <c r="V68" s="118"/>
      <c r="W68" s="118"/>
      <c r="X68" s="118"/>
      <c r="Y68" s="118"/>
      <c r="Z68" s="115"/>
    </row>
    <row r="69" spans="1:26" ht="18" customHeight="1">
      <c r="A69" s="326">
        <v>22</v>
      </c>
      <c r="B69" s="223" t="str">
        <f t="shared" si="9"/>
        <v>5.2 주민간담회/시민계획단</v>
      </c>
      <c r="C69" s="23"/>
      <c r="D69" s="197">
        <v>2</v>
      </c>
      <c r="E69" s="198">
        <v>2</v>
      </c>
      <c r="F69" s="198">
        <v>2</v>
      </c>
      <c r="G69" s="198">
        <v>4</v>
      </c>
      <c r="H69" s="198">
        <v>4</v>
      </c>
      <c r="I69" s="199">
        <v>4</v>
      </c>
      <c r="J69" s="74"/>
      <c r="K69" s="171" t="s">
        <v>14</v>
      </c>
      <c r="L69" s="171"/>
      <c r="M69" s="171"/>
      <c r="N69" s="319" t="s">
        <v>42</v>
      </c>
      <c r="O69" s="174">
        <v>8</v>
      </c>
      <c r="P69" s="235">
        <f ca="1">OFFSET($A$1,MATCH(Z63,$A:$A,0)-1,O69)</f>
        <v>5.8</v>
      </c>
      <c r="Q69" s="322" t="s">
        <v>29</v>
      </c>
      <c r="R69" s="323">
        <f t="shared" ca="1" si="15"/>
        <v>250087</v>
      </c>
      <c r="S69" s="323">
        <f t="shared" ca="1" si="15"/>
        <v>1450504</v>
      </c>
      <c r="T69" s="323">
        <f ca="1">보조원</f>
        <v>250087</v>
      </c>
      <c r="U69" s="323">
        <f t="shared" ca="1" si="16"/>
        <v>1450504</v>
      </c>
      <c r="V69" s="323"/>
      <c r="W69" s="323"/>
      <c r="X69" s="323"/>
      <c r="Y69" s="323"/>
      <c r="Z69" s="324"/>
    </row>
    <row r="70" spans="1:26" ht="18" customHeight="1">
      <c r="A70" s="326">
        <v>23</v>
      </c>
      <c r="B70" s="223" t="str">
        <f t="shared" si="9"/>
        <v>5.3 위원회심의 지원</v>
      </c>
      <c r="C70" s="23"/>
      <c r="D70" s="197">
        <v>2</v>
      </c>
      <c r="E70" s="198">
        <v>2</v>
      </c>
      <c r="F70" s="198">
        <v>2</v>
      </c>
      <c r="G70" s="198">
        <v>4</v>
      </c>
      <c r="H70" s="198">
        <v>4</v>
      </c>
      <c r="I70" s="199">
        <v>4</v>
      </c>
      <c r="J70" s="74"/>
      <c r="K70" s="171" t="s">
        <v>14</v>
      </c>
      <c r="L70" s="171"/>
      <c r="M70" s="171"/>
      <c r="N70" s="139" t="s">
        <v>17</v>
      </c>
      <c r="O70" s="68"/>
      <c r="P70" s="69"/>
      <c r="Q70" s="70"/>
      <c r="R70" s="71"/>
      <c r="S70" s="71">
        <f ca="1">SUBTOTAL(9,S64:S69)</f>
        <v>4601470</v>
      </c>
      <c r="T70" s="71"/>
      <c r="U70" s="71">
        <f ca="1">SUBTOTAL(9,U64:U69)</f>
        <v>4601470</v>
      </c>
      <c r="V70" s="71"/>
      <c r="W70" s="71"/>
      <c r="X70" s="71"/>
      <c r="Y70" s="71"/>
      <c r="Z70" s="68"/>
    </row>
    <row r="71" spans="1:26" ht="18" customHeight="1" thickBot="1">
      <c r="A71" s="326">
        <v>24</v>
      </c>
      <c r="B71" s="388" t="str">
        <f t="shared" si="9"/>
        <v>5.4 관계기관 협의</v>
      </c>
      <c r="C71" s="342"/>
      <c r="D71" s="343">
        <v>2</v>
      </c>
      <c r="E71" s="344">
        <v>2</v>
      </c>
      <c r="F71" s="344">
        <v>2</v>
      </c>
      <c r="G71" s="344">
        <v>4</v>
      </c>
      <c r="H71" s="344">
        <v>4</v>
      </c>
      <c r="I71" s="345">
        <v>4</v>
      </c>
      <c r="J71" s="176"/>
      <c r="K71" s="171" t="s">
        <v>14</v>
      </c>
      <c r="L71" s="171"/>
      <c r="M71" s="171"/>
      <c r="N71" s="318" t="str">
        <f ca="1">"제 " &amp; Z71 &amp; " 호표  "&amp; OFFSET($A$1,MATCH(Z71,$A:$A,0)-1,1)</f>
        <v>제 3 호표  1.3 토지소유 및 이용현황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3</v>
      </c>
    </row>
    <row r="72" spans="1:26" ht="18" customHeight="1">
      <c r="A72" s="80" t="s">
        <v>15</v>
      </c>
      <c r="B72" s="9" t="s">
        <v>1327</v>
      </c>
      <c r="C72" s="9"/>
      <c r="K72" s="171" t="s">
        <v>14</v>
      </c>
      <c r="L72" s="171"/>
      <c r="M72" s="171"/>
      <c r="N72" s="140" t="s">
        <v>43</v>
      </c>
      <c r="O72" s="172">
        <v>3</v>
      </c>
      <c r="P72" s="219">
        <f ca="1">OFFSET($A$1,MATCH(Z71,$A:$A,0)-1,O72)</f>
        <v>0.6</v>
      </c>
      <c r="Q72" s="141" t="s">
        <v>29</v>
      </c>
      <c r="R72" s="142">
        <f t="shared" ref="R72:S77" ca="1" si="18">T72</f>
        <v>467217</v>
      </c>
      <c r="S72" s="142">
        <f t="shared" ca="1" si="18"/>
        <v>280330</v>
      </c>
      <c r="T72" s="142">
        <f ca="1">기술사</f>
        <v>467217</v>
      </c>
      <c r="U72" s="142">
        <f t="shared" ref="U72:U77" ca="1" si="19">ROUNDDOWN(P72*R72,0)</f>
        <v>280330</v>
      </c>
      <c r="V72" s="142"/>
      <c r="W72" s="142"/>
      <c r="X72" s="142"/>
      <c r="Y72" s="142"/>
      <c r="Z72" s="114"/>
    </row>
    <row r="73" spans="1:26" ht="18" customHeight="1">
      <c r="A73" s="1"/>
      <c r="B73" s="1" t="s">
        <v>1217</v>
      </c>
      <c r="K73" s="171" t="s">
        <v>14</v>
      </c>
      <c r="L73" s="171"/>
      <c r="M73" s="171"/>
      <c r="N73" s="143" t="s">
        <v>32</v>
      </c>
      <c r="O73" s="173">
        <v>4</v>
      </c>
      <c r="P73" s="234">
        <f ca="1">OFFSET($A$1,MATCH(Z71,$A:$A,0)-1,O73)</f>
        <v>1.2</v>
      </c>
      <c r="Q73" s="144" t="s">
        <v>29</v>
      </c>
      <c r="R73" s="118">
        <f t="shared" ca="1" si="18"/>
        <v>373353</v>
      </c>
      <c r="S73" s="118">
        <f t="shared" ca="1" si="18"/>
        <v>448023</v>
      </c>
      <c r="T73" s="118">
        <f ca="1">특급</f>
        <v>373353</v>
      </c>
      <c r="U73" s="118">
        <f t="shared" ca="1" si="19"/>
        <v>448023</v>
      </c>
      <c r="V73" s="118"/>
      <c r="W73" s="118"/>
      <c r="X73" s="118"/>
      <c r="Y73" s="118"/>
      <c r="Z73" s="115"/>
    </row>
    <row r="74" spans="1:26" ht="18" customHeight="1">
      <c r="A74" s="1"/>
      <c r="B74" s="9" t="s">
        <v>1218</v>
      </c>
      <c r="C74" s="9"/>
      <c r="K74" s="171" t="s">
        <v>14</v>
      </c>
      <c r="L74" s="171"/>
      <c r="M74" s="171"/>
      <c r="N74" s="145" t="s">
        <v>39</v>
      </c>
      <c r="O74" s="173">
        <v>5</v>
      </c>
      <c r="P74" s="234">
        <f ca="1">OFFSET($A$1,MATCH(Z71,$A:$A,0)-1,O74)</f>
        <v>2.8</v>
      </c>
      <c r="Q74" s="144" t="s">
        <v>29</v>
      </c>
      <c r="R74" s="118">
        <f t="shared" ca="1" si="18"/>
        <v>310884</v>
      </c>
      <c r="S74" s="118">
        <f t="shared" ca="1" si="18"/>
        <v>870475</v>
      </c>
      <c r="T74" s="118">
        <f ca="1">고급</f>
        <v>310884</v>
      </c>
      <c r="U74" s="118">
        <f t="shared" ca="1" si="19"/>
        <v>870475</v>
      </c>
      <c r="V74" s="118"/>
      <c r="W74" s="118"/>
      <c r="X74" s="118"/>
      <c r="Y74" s="118"/>
      <c r="Z74" s="115"/>
    </row>
    <row r="75" spans="1:26" ht="18" customHeight="1">
      <c r="A75" s="1"/>
      <c r="B75" s="9" t="s">
        <v>1470</v>
      </c>
      <c r="C75" s="9"/>
      <c r="K75" s="171" t="s">
        <v>14</v>
      </c>
      <c r="L75" s="171"/>
      <c r="M75" s="171"/>
      <c r="N75" s="145" t="s">
        <v>40</v>
      </c>
      <c r="O75" s="173">
        <v>6</v>
      </c>
      <c r="P75" s="234">
        <f ca="1">OFFSET($A$1,MATCH(Z71,$A:$A,0)-1,O75)</f>
        <v>6.9</v>
      </c>
      <c r="Q75" s="144" t="s">
        <v>29</v>
      </c>
      <c r="R75" s="118">
        <f t="shared" ca="1" si="18"/>
        <v>295138</v>
      </c>
      <c r="S75" s="118">
        <f t="shared" ca="1" si="18"/>
        <v>2036452</v>
      </c>
      <c r="T75" s="118">
        <f ca="1">중급</f>
        <v>295138</v>
      </c>
      <c r="U75" s="118">
        <f t="shared" ca="1" si="19"/>
        <v>2036452</v>
      </c>
      <c r="V75" s="118"/>
      <c r="W75" s="118"/>
      <c r="X75" s="118"/>
      <c r="Y75" s="118"/>
      <c r="Z75" s="115"/>
    </row>
    <row r="76" spans="1:26" ht="18" customHeight="1">
      <c r="B76" s="1" t="s">
        <v>1471</v>
      </c>
      <c r="C76" s="9"/>
      <c r="K76" s="171" t="s">
        <v>14</v>
      </c>
      <c r="L76" s="171"/>
      <c r="M76" s="171"/>
      <c r="N76" s="145" t="s">
        <v>41</v>
      </c>
      <c r="O76" s="173">
        <v>7</v>
      </c>
      <c r="P76" s="234">
        <f ca="1">OFFSET($A$1,MATCH(Z71,$A:$A,0)-1,O76)</f>
        <v>8.6</v>
      </c>
      <c r="Q76" s="144" t="s">
        <v>29</v>
      </c>
      <c r="R76" s="118">
        <f t="shared" ca="1" si="18"/>
        <v>235459</v>
      </c>
      <c r="S76" s="118">
        <f t="shared" ca="1" si="18"/>
        <v>2024947</v>
      </c>
      <c r="T76" s="118">
        <f ca="1">초급</f>
        <v>235459</v>
      </c>
      <c r="U76" s="118">
        <f t="shared" ca="1" si="19"/>
        <v>2024947</v>
      </c>
      <c r="V76" s="118"/>
      <c r="W76" s="118"/>
      <c r="X76" s="118"/>
      <c r="Y76" s="118"/>
      <c r="Z76" s="115"/>
    </row>
    <row r="77" spans="1:26" ht="18" customHeight="1">
      <c r="C77" s="9"/>
      <c r="K77" s="171" t="s">
        <v>14</v>
      </c>
      <c r="L77" s="171"/>
      <c r="M77" s="171"/>
      <c r="N77" s="319" t="s">
        <v>42</v>
      </c>
      <c r="O77" s="174">
        <v>8</v>
      </c>
      <c r="P77" s="235">
        <f ca="1">OFFSET($A$1,MATCH(Z71,$A:$A,0)-1,O77)</f>
        <v>10.8</v>
      </c>
      <c r="Q77" s="322" t="s">
        <v>29</v>
      </c>
      <c r="R77" s="323">
        <f t="shared" ca="1" si="18"/>
        <v>250087</v>
      </c>
      <c r="S77" s="323">
        <f t="shared" ca="1" si="18"/>
        <v>2700939</v>
      </c>
      <c r="T77" s="323">
        <f ca="1">보조원</f>
        <v>250087</v>
      </c>
      <c r="U77" s="323">
        <f t="shared" ca="1" si="19"/>
        <v>2700939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M78" s="171"/>
      <c r="N78" s="139" t="s">
        <v>17</v>
      </c>
      <c r="O78" s="68"/>
      <c r="P78" s="69"/>
      <c r="Q78" s="70"/>
      <c r="R78" s="71"/>
      <c r="S78" s="71">
        <f ca="1">SUBTOTAL(9,S72:S77)</f>
        <v>8361166</v>
      </c>
      <c r="T78" s="71"/>
      <c r="U78" s="71">
        <f ca="1">SUBTOTAL(9,U72:U77)</f>
        <v>8361166</v>
      </c>
      <c r="V78" s="71"/>
      <c r="W78" s="71"/>
      <c r="X78" s="71"/>
      <c r="Y78" s="71"/>
      <c r="Z78" s="68"/>
    </row>
    <row r="79" spans="1:26" ht="18" customHeight="1">
      <c r="C79" s="9"/>
      <c r="K79" s="171" t="s">
        <v>14</v>
      </c>
      <c r="L79" s="171"/>
      <c r="M79" s="171"/>
      <c r="N79" s="318" t="str">
        <f ca="1">"제 " &amp; Z79 &amp; " 호표  "&amp; OFFSET($A$1,MATCH(Z79,$A:$A,0)-1,1)</f>
        <v>제 4 호표  1.4 건축물현황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4</v>
      </c>
    </row>
    <row r="80" spans="1:26" ht="18" customHeight="1">
      <c r="C80" s="9"/>
      <c r="K80" s="171" t="s">
        <v>14</v>
      </c>
      <c r="L80" s="171"/>
      <c r="M80" s="171"/>
      <c r="N80" s="140" t="s">
        <v>43</v>
      </c>
      <c r="O80" s="172">
        <v>3</v>
      </c>
      <c r="P80" s="219">
        <f ca="1">OFFSET($A$1,MATCH(Z79,$A:$A,0)-1,O80)</f>
        <v>0.5</v>
      </c>
      <c r="Q80" s="141" t="s">
        <v>29</v>
      </c>
      <c r="R80" s="142">
        <f t="shared" ref="R80:S85" ca="1" si="20">T80</f>
        <v>467217</v>
      </c>
      <c r="S80" s="142">
        <f t="shared" ca="1" si="20"/>
        <v>233608</v>
      </c>
      <c r="T80" s="142">
        <f ca="1">기술사</f>
        <v>467217</v>
      </c>
      <c r="U80" s="142">
        <f t="shared" ref="U80:U85" ca="1" si="21">ROUNDDOWN(P80*R80,0)</f>
        <v>233608</v>
      </c>
      <c r="V80" s="142"/>
      <c r="W80" s="142"/>
      <c r="X80" s="142"/>
      <c r="Y80" s="142"/>
      <c r="Z80" s="114"/>
    </row>
    <row r="81" spans="3:26" ht="18" customHeight="1">
      <c r="K81" s="171" t="s">
        <v>14</v>
      </c>
      <c r="L81" s="171"/>
      <c r="M81" s="171"/>
      <c r="N81" s="143" t="s">
        <v>32</v>
      </c>
      <c r="O81" s="173">
        <v>4</v>
      </c>
      <c r="P81" s="234">
        <f ca="1">OFFSET($A$1,MATCH(Z79,$A:$A,0)-1,O81)</f>
        <v>1.2</v>
      </c>
      <c r="Q81" s="144" t="s">
        <v>29</v>
      </c>
      <c r="R81" s="118">
        <f t="shared" ca="1" si="20"/>
        <v>373353</v>
      </c>
      <c r="S81" s="118">
        <f t="shared" ca="1" si="20"/>
        <v>448023</v>
      </c>
      <c r="T81" s="118">
        <f ca="1">특급</f>
        <v>373353</v>
      </c>
      <c r="U81" s="118">
        <f t="shared" ca="1" si="21"/>
        <v>448023</v>
      </c>
      <c r="V81" s="118"/>
      <c r="W81" s="118"/>
      <c r="X81" s="118"/>
      <c r="Y81" s="118"/>
      <c r="Z81" s="115"/>
    </row>
    <row r="82" spans="3:26" ht="18" customHeight="1">
      <c r="K82" s="171" t="s">
        <v>14</v>
      </c>
      <c r="L82" s="171"/>
      <c r="M82" s="171"/>
      <c r="N82" s="145" t="s">
        <v>39</v>
      </c>
      <c r="O82" s="173">
        <v>5</v>
      </c>
      <c r="P82" s="234">
        <f ca="1">OFFSET($A$1,MATCH(Z79,$A:$A,0)-1,O82)</f>
        <v>2.8</v>
      </c>
      <c r="Q82" s="144" t="s">
        <v>29</v>
      </c>
      <c r="R82" s="118">
        <f t="shared" ca="1" si="20"/>
        <v>310884</v>
      </c>
      <c r="S82" s="118">
        <f t="shared" ca="1" si="20"/>
        <v>870475</v>
      </c>
      <c r="T82" s="118">
        <f ca="1">고급</f>
        <v>310884</v>
      </c>
      <c r="U82" s="118">
        <f t="shared" ca="1" si="21"/>
        <v>870475</v>
      </c>
      <c r="V82" s="118"/>
      <c r="W82" s="118"/>
      <c r="X82" s="118"/>
      <c r="Y82" s="118"/>
      <c r="Z82" s="115"/>
    </row>
    <row r="83" spans="3:26" ht="18" customHeight="1">
      <c r="K83" s="171" t="s">
        <v>14</v>
      </c>
      <c r="L83" s="171"/>
      <c r="M83" s="171"/>
      <c r="N83" s="145" t="s">
        <v>40</v>
      </c>
      <c r="O83" s="173">
        <v>6</v>
      </c>
      <c r="P83" s="234">
        <f ca="1">OFFSET($A$1,MATCH(Z79,$A:$A,0)-1,O83)</f>
        <v>7.5</v>
      </c>
      <c r="Q83" s="144" t="s">
        <v>29</v>
      </c>
      <c r="R83" s="118">
        <f t="shared" ca="1" si="20"/>
        <v>295138</v>
      </c>
      <c r="S83" s="118">
        <f t="shared" ca="1" si="20"/>
        <v>2213535</v>
      </c>
      <c r="T83" s="118">
        <f ca="1">중급</f>
        <v>295138</v>
      </c>
      <c r="U83" s="118">
        <f t="shared" ca="1" si="21"/>
        <v>2213535</v>
      </c>
      <c r="V83" s="118"/>
      <c r="W83" s="118"/>
      <c r="X83" s="118"/>
      <c r="Y83" s="118"/>
      <c r="Z83" s="115"/>
    </row>
    <row r="84" spans="3:26" ht="18" customHeight="1">
      <c r="K84" s="171" t="s">
        <v>14</v>
      </c>
      <c r="L84" s="171"/>
      <c r="M84" s="171"/>
      <c r="N84" s="145" t="s">
        <v>41</v>
      </c>
      <c r="O84" s="173">
        <v>7</v>
      </c>
      <c r="P84" s="234">
        <f ca="1">OFFSET($A$1,MATCH(Z79,$A:$A,0)-1,O84)</f>
        <v>8.6999999999999993</v>
      </c>
      <c r="Q84" s="144" t="s">
        <v>29</v>
      </c>
      <c r="R84" s="118">
        <f t="shared" ca="1" si="20"/>
        <v>235459</v>
      </c>
      <c r="S84" s="118">
        <f t="shared" ca="1" si="20"/>
        <v>2048493</v>
      </c>
      <c r="T84" s="118">
        <f ca="1">초급</f>
        <v>235459</v>
      </c>
      <c r="U84" s="118">
        <f t="shared" ca="1" si="21"/>
        <v>2048493</v>
      </c>
      <c r="V84" s="118"/>
      <c r="W84" s="118"/>
      <c r="X84" s="118"/>
      <c r="Y84" s="118"/>
      <c r="Z84" s="115"/>
    </row>
    <row r="85" spans="3:26" ht="18" customHeight="1">
      <c r="C85" s="9"/>
      <c r="K85" s="171" t="s">
        <v>14</v>
      </c>
      <c r="L85" s="171"/>
      <c r="M85" s="171"/>
      <c r="N85" s="319" t="s">
        <v>42</v>
      </c>
      <c r="O85" s="174">
        <v>8</v>
      </c>
      <c r="P85" s="235">
        <f ca="1">OFFSET($A$1,MATCH(Z79,$A:$A,0)-1,O85)</f>
        <v>10.5</v>
      </c>
      <c r="Q85" s="322" t="s">
        <v>29</v>
      </c>
      <c r="R85" s="323">
        <f t="shared" ca="1" si="20"/>
        <v>250087</v>
      </c>
      <c r="S85" s="323">
        <f t="shared" ca="1" si="20"/>
        <v>2625913</v>
      </c>
      <c r="T85" s="323">
        <f ca="1">보조원</f>
        <v>250087</v>
      </c>
      <c r="U85" s="323">
        <f t="shared" ca="1" si="21"/>
        <v>2625913</v>
      </c>
      <c r="V85" s="323"/>
      <c r="W85" s="323"/>
      <c r="X85" s="323"/>
      <c r="Y85" s="323"/>
      <c r="Z85" s="324"/>
    </row>
    <row r="86" spans="3:26" ht="18" customHeight="1">
      <c r="C86" s="9"/>
      <c r="K86" s="171" t="s">
        <v>14</v>
      </c>
      <c r="L86" s="171"/>
      <c r="M86" s="171"/>
      <c r="N86" s="139" t="s">
        <v>17</v>
      </c>
      <c r="O86" s="68"/>
      <c r="P86" s="69"/>
      <c r="Q86" s="70"/>
      <c r="R86" s="71"/>
      <c r="S86" s="71">
        <f ca="1">SUBTOTAL(9,S80:S85)</f>
        <v>8440047</v>
      </c>
      <c r="T86" s="71"/>
      <c r="U86" s="71">
        <f ca="1">SUBTOTAL(9,U80:U85)</f>
        <v>8440047</v>
      </c>
      <c r="V86" s="71"/>
      <c r="W86" s="71"/>
      <c r="X86" s="71"/>
      <c r="Y86" s="71"/>
      <c r="Z86" s="68"/>
    </row>
    <row r="87" spans="3:26" ht="18" customHeight="1">
      <c r="K87" s="171" t="s">
        <v>14</v>
      </c>
      <c r="L87" s="171"/>
      <c r="M87" s="171"/>
      <c r="N87" s="318" t="str">
        <f ca="1">"제 " &amp; Z87 &amp; " 호표  "&amp; OFFSET($A$1,MATCH(Z87,$A:$A,0)-1,1)</f>
        <v>제 5 호표  1.5 교통현황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5</v>
      </c>
    </row>
    <row r="88" spans="3:26" ht="18" customHeight="1">
      <c r="K88" s="171" t="s">
        <v>14</v>
      </c>
      <c r="L88" s="171"/>
      <c r="M88" s="171"/>
      <c r="N88" s="140" t="s">
        <v>43</v>
      </c>
      <c r="O88" s="172">
        <v>3</v>
      </c>
      <c r="P88" s="219">
        <f ca="1">OFFSET($A$1,MATCH(Z87,$A:$A,0)-1,O88)</f>
        <v>0.3</v>
      </c>
      <c r="Q88" s="141" t="s">
        <v>29</v>
      </c>
      <c r="R88" s="142">
        <f t="shared" ref="R88:S93" ca="1" si="22">T88</f>
        <v>467217</v>
      </c>
      <c r="S88" s="142">
        <f t="shared" ca="1" si="22"/>
        <v>140165</v>
      </c>
      <c r="T88" s="142">
        <f ca="1">기술사</f>
        <v>467217</v>
      </c>
      <c r="U88" s="142">
        <f t="shared" ref="U88:U93" ca="1" si="23">ROUNDDOWN(P88*R88,0)</f>
        <v>140165</v>
      </c>
      <c r="V88" s="142"/>
      <c r="W88" s="142"/>
      <c r="X88" s="142"/>
      <c r="Y88" s="142"/>
      <c r="Z88" s="114"/>
    </row>
    <row r="89" spans="3:26" ht="18" customHeight="1">
      <c r="K89" s="171" t="s">
        <v>14</v>
      </c>
      <c r="L89" s="171"/>
      <c r="M89" s="171"/>
      <c r="N89" s="143" t="s">
        <v>32</v>
      </c>
      <c r="O89" s="173">
        <v>4</v>
      </c>
      <c r="P89" s="234">
        <f ca="1">OFFSET($A$1,MATCH(Z87,$A:$A,0)-1,O89)</f>
        <v>0.6</v>
      </c>
      <c r="Q89" s="144" t="s">
        <v>29</v>
      </c>
      <c r="R89" s="118">
        <f t="shared" ca="1" si="22"/>
        <v>373353</v>
      </c>
      <c r="S89" s="118">
        <f t="shared" ca="1" si="22"/>
        <v>224011</v>
      </c>
      <c r="T89" s="118">
        <f ca="1">특급</f>
        <v>373353</v>
      </c>
      <c r="U89" s="118">
        <f t="shared" ca="1" si="23"/>
        <v>224011</v>
      </c>
      <c r="V89" s="118"/>
      <c r="W89" s="118"/>
      <c r="X89" s="118"/>
      <c r="Y89" s="118"/>
      <c r="Z89" s="115"/>
    </row>
    <row r="90" spans="3:26" ht="18" customHeight="1">
      <c r="K90" s="171" t="s">
        <v>14</v>
      </c>
      <c r="L90" s="171"/>
      <c r="M90" s="171"/>
      <c r="N90" s="145" t="s">
        <v>39</v>
      </c>
      <c r="O90" s="173">
        <v>5</v>
      </c>
      <c r="P90" s="234">
        <f ca="1">OFFSET($A$1,MATCH(Z87,$A:$A,0)-1,O90)</f>
        <v>1.4</v>
      </c>
      <c r="Q90" s="144" t="s">
        <v>29</v>
      </c>
      <c r="R90" s="118">
        <f t="shared" ca="1" si="22"/>
        <v>310884</v>
      </c>
      <c r="S90" s="118">
        <f t="shared" ca="1" si="22"/>
        <v>435237</v>
      </c>
      <c r="T90" s="118">
        <f ca="1">고급</f>
        <v>310884</v>
      </c>
      <c r="U90" s="118">
        <f t="shared" ca="1" si="23"/>
        <v>435237</v>
      </c>
      <c r="V90" s="118"/>
      <c r="W90" s="118"/>
      <c r="X90" s="118"/>
      <c r="Y90" s="118"/>
      <c r="Z90" s="115"/>
    </row>
    <row r="91" spans="3:26" ht="18" customHeight="1">
      <c r="K91" s="171" t="s">
        <v>14</v>
      </c>
      <c r="L91" s="171"/>
      <c r="M91" s="171"/>
      <c r="N91" s="145" t="s">
        <v>40</v>
      </c>
      <c r="O91" s="173">
        <v>6</v>
      </c>
      <c r="P91" s="234">
        <f ca="1">OFFSET($A$1,MATCH(Z87,$A:$A,0)-1,O91)</f>
        <v>4.2</v>
      </c>
      <c r="Q91" s="144" t="s">
        <v>29</v>
      </c>
      <c r="R91" s="118">
        <f t="shared" ca="1" si="22"/>
        <v>295138</v>
      </c>
      <c r="S91" s="118">
        <f t="shared" ca="1" si="22"/>
        <v>1239579</v>
      </c>
      <c r="T91" s="118">
        <f ca="1">중급</f>
        <v>295138</v>
      </c>
      <c r="U91" s="118">
        <f t="shared" ca="1" si="23"/>
        <v>1239579</v>
      </c>
      <c r="V91" s="118"/>
      <c r="W91" s="118"/>
      <c r="X91" s="118"/>
      <c r="Y91" s="118"/>
      <c r="Z91" s="115"/>
    </row>
    <row r="92" spans="3:26" ht="18" customHeight="1">
      <c r="K92" s="171" t="s">
        <v>14</v>
      </c>
      <c r="L92" s="171"/>
      <c r="M92" s="171"/>
      <c r="N92" s="145" t="s">
        <v>41</v>
      </c>
      <c r="O92" s="173">
        <v>7</v>
      </c>
      <c r="P92" s="234">
        <f ca="1">OFFSET($A$1,MATCH(Z87,$A:$A,0)-1,O92)</f>
        <v>5.7</v>
      </c>
      <c r="Q92" s="144" t="s">
        <v>29</v>
      </c>
      <c r="R92" s="118">
        <f t="shared" ca="1" si="22"/>
        <v>235459</v>
      </c>
      <c r="S92" s="118">
        <f t="shared" ca="1" si="22"/>
        <v>1342116</v>
      </c>
      <c r="T92" s="118">
        <f ca="1">초급</f>
        <v>235459</v>
      </c>
      <c r="U92" s="118">
        <f t="shared" ca="1" si="23"/>
        <v>1342116</v>
      </c>
      <c r="V92" s="118"/>
      <c r="W92" s="118"/>
      <c r="X92" s="118"/>
      <c r="Y92" s="118"/>
      <c r="Z92" s="115"/>
    </row>
    <row r="93" spans="3:26" ht="18" customHeight="1">
      <c r="K93" s="171" t="s">
        <v>14</v>
      </c>
      <c r="L93" s="171"/>
      <c r="M93" s="171"/>
      <c r="N93" s="319" t="s">
        <v>42</v>
      </c>
      <c r="O93" s="174">
        <v>8</v>
      </c>
      <c r="P93" s="235">
        <f ca="1">OFFSET($A$1,MATCH(Z87,$A:$A,0)-1,O93)</f>
        <v>8</v>
      </c>
      <c r="Q93" s="322" t="s">
        <v>29</v>
      </c>
      <c r="R93" s="323">
        <f t="shared" ca="1" si="22"/>
        <v>250087</v>
      </c>
      <c r="S93" s="323">
        <f t="shared" ca="1" si="22"/>
        <v>2000696</v>
      </c>
      <c r="T93" s="323">
        <f ca="1">보조원</f>
        <v>250087</v>
      </c>
      <c r="U93" s="323">
        <f t="shared" ca="1" si="23"/>
        <v>2000696</v>
      </c>
      <c r="V93" s="323"/>
      <c r="W93" s="323"/>
      <c r="X93" s="323"/>
      <c r="Y93" s="323"/>
      <c r="Z93" s="324"/>
    </row>
    <row r="94" spans="3:26" ht="18" customHeight="1">
      <c r="K94" s="171" t="s">
        <v>14</v>
      </c>
      <c r="L94" s="171"/>
      <c r="M94" s="171"/>
      <c r="N94" s="139" t="s">
        <v>17</v>
      </c>
      <c r="O94" s="68"/>
      <c r="P94" s="69"/>
      <c r="Q94" s="70"/>
      <c r="R94" s="71"/>
      <c r="S94" s="71">
        <f ca="1">SUBTOTAL(9,S88:S93)</f>
        <v>5381804</v>
      </c>
      <c r="T94" s="71"/>
      <c r="U94" s="71">
        <f ca="1">SUBTOTAL(9,U88:U93)</f>
        <v>5381804</v>
      </c>
      <c r="V94" s="71"/>
      <c r="W94" s="71"/>
      <c r="X94" s="71"/>
      <c r="Y94" s="71"/>
      <c r="Z94" s="68"/>
    </row>
    <row r="95" spans="3:26" ht="18" customHeight="1">
      <c r="K95" s="171" t="s">
        <v>14</v>
      </c>
      <c r="L95" s="171"/>
      <c r="M95" s="171"/>
      <c r="N95" s="318" t="str">
        <f ca="1">"제 " &amp; Z95 &amp; " 호표  "&amp; OFFSET($A$1,MATCH(Z95,$A:$A,0)-1,1)</f>
        <v>제 6 호표  1.6 도시기반시설현황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6</v>
      </c>
    </row>
    <row r="96" spans="3:26" ht="18" customHeight="1">
      <c r="K96" s="171" t="s">
        <v>14</v>
      </c>
      <c r="L96" s="171"/>
      <c r="M96" s="171"/>
      <c r="N96" s="140" t="s">
        <v>43</v>
      </c>
      <c r="O96" s="172">
        <v>3</v>
      </c>
      <c r="P96" s="219">
        <f ca="1">OFFSET($A$1,MATCH(Z95,$A:$A,0)-1,O96)</f>
        <v>0.3</v>
      </c>
      <c r="Q96" s="141" t="s">
        <v>29</v>
      </c>
      <c r="R96" s="142">
        <f t="shared" ref="R96:S101" ca="1" si="24">T96</f>
        <v>467217</v>
      </c>
      <c r="S96" s="142">
        <f t="shared" ca="1" si="24"/>
        <v>140165</v>
      </c>
      <c r="T96" s="142">
        <f ca="1">기술사</f>
        <v>467217</v>
      </c>
      <c r="U96" s="142">
        <f t="shared" ref="U96:U101" ca="1" si="25">ROUNDDOWN(P96*R96,0)</f>
        <v>140165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M97" s="171"/>
      <c r="N97" s="143" t="s">
        <v>32</v>
      </c>
      <c r="O97" s="173">
        <v>4</v>
      </c>
      <c r="P97" s="234">
        <f ca="1">OFFSET($A$1,MATCH(Z95,$A:$A,0)-1,O97)</f>
        <v>0.6</v>
      </c>
      <c r="Q97" s="144" t="s">
        <v>29</v>
      </c>
      <c r="R97" s="118">
        <f t="shared" ca="1" si="24"/>
        <v>373353</v>
      </c>
      <c r="S97" s="118">
        <f t="shared" ca="1" si="24"/>
        <v>224011</v>
      </c>
      <c r="T97" s="118">
        <f ca="1">특급</f>
        <v>373353</v>
      </c>
      <c r="U97" s="118">
        <f t="shared" ca="1" si="25"/>
        <v>224011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39</v>
      </c>
      <c r="O98" s="173">
        <v>5</v>
      </c>
      <c r="P98" s="234">
        <f ca="1">OFFSET($A$1,MATCH(Z95,$A:$A,0)-1,O98)</f>
        <v>1</v>
      </c>
      <c r="Q98" s="144" t="s">
        <v>29</v>
      </c>
      <c r="R98" s="118">
        <f t="shared" ca="1" si="24"/>
        <v>310884</v>
      </c>
      <c r="S98" s="118">
        <f t="shared" ca="1" si="24"/>
        <v>310884</v>
      </c>
      <c r="T98" s="118">
        <f ca="1">고급</f>
        <v>310884</v>
      </c>
      <c r="U98" s="118">
        <f t="shared" ca="1" si="25"/>
        <v>310884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40</v>
      </c>
      <c r="O99" s="173">
        <v>6</v>
      </c>
      <c r="P99" s="234">
        <f ca="1">OFFSET($A$1,MATCH(Z95,$A:$A,0)-1,O99)</f>
        <v>2.5</v>
      </c>
      <c r="Q99" s="144" t="s">
        <v>29</v>
      </c>
      <c r="R99" s="118">
        <f t="shared" ca="1" si="24"/>
        <v>295138</v>
      </c>
      <c r="S99" s="118">
        <f t="shared" ca="1" si="24"/>
        <v>737845</v>
      </c>
      <c r="T99" s="118">
        <f ca="1">중급</f>
        <v>295138</v>
      </c>
      <c r="U99" s="118">
        <f t="shared" ca="1" si="25"/>
        <v>737845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41</v>
      </c>
      <c r="O100" s="173">
        <v>7</v>
      </c>
      <c r="P100" s="234">
        <f ca="1">OFFSET($A$1,MATCH(Z95,$A:$A,0)-1,O100)</f>
        <v>3.4</v>
      </c>
      <c r="Q100" s="144" t="s">
        <v>29</v>
      </c>
      <c r="R100" s="118">
        <f t="shared" ca="1" si="24"/>
        <v>235459</v>
      </c>
      <c r="S100" s="118">
        <f t="shared" ca="1" si="24"/>
        <v>800560</v>
      </c>
      <c r="T100" s="118">
        <f ca="1">초급</f>
        <v>235459</v>
      </c>
      <c r="U100" s="118">
        <f t="shared" ca="1" si="25"/>
        <v>800560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319" t="s">
        <v>42</v>
      </c>
      <c r="O101" s="174">
        <v>8</v>
      </c>
      <c r="P101" s="235">
        <f ca="1">OFFSET($A$1,MATCH(Z95,$A:$A,0)-1,O101)</f>
        <v>5.8</v>
      </c>
      <c r="Q101" s="322" t="s">
        <v>29</v>
      </c>
      <c r="R101" s="323">
        <f t="shared" ca="1" si="24"/>
        <v>250087</v>
      </c>
      <c r="S101" s="323">
        <f t="shared" ca="1" si="24"/>
        <v>1450504</v>
      </c>
      <c r="T101" s="323">
        <f ca="1">보조원</f>
        <v>250087</v>
      </c>
      <c r="U101" s="323">
        <f t="shared" ca="1" si="25"/>
        <v>1450504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M102" s="171"/>
      <c r="N102" s="139" t="s">
        <v>17</v>
      </c>
      <c r="O102" s="68"/>
      <c r="P102" s="69"/>
      <c r="Q102" s="70"/>
      <c r="R102" s="71"/>
      <c r="S102" s="71">
        <f ca="1">SUBTOTAL(9,S96:S101)</f>
        <v>3663969</v>
      </c>
      <c r="T102" s="71"/>
      <c r="U102" s="71">
        <f ca="1">SUBTOTAL(9,U96:U101)</f>
        <v>3663969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M103" s="171"/>
      <c r="N103" s="318" t="str">
        <f ca="1">"제 " &amp; Z103 &amp; " 호표  "&amp; OFFSET($A$1,MATCH(Z103,$A:$A,0)-1,1)</f>
        <v>제 7 호표  1.7 도시계획현황 및 관련계획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7</v>
      </c>
    </row>
    <row r="104" spans="11:26" ht="18" customHeight="1">
      <c r="K104" s="171" t="s">
        <v>14</v>
      </c>
      <c r="L104" s="171"/>
      <c r="M104" s="171"/>
      <c r="N104" s="140" t="s">
        <v>43</v>
      </c>
      <c r="O104" s="172">
        <v>3</v>
      </c>
      <c r="P104" s="219">
        <f ca="1">OFFSET($A$1,MATCH(Z103,$A:$A,0)-1,O104)</f>
        <v>0.3</v>
      </c>
      <c r="Q104" s="141" t="s">
        <v>29</v>
      </c>
      <c r="R104" s="142">
        <f t="shared" ref="R104:S109" ca="1" si="26">T104</f>
        <v>467217</v>
      </c>
      <c r="S104" s="142">
        <f t="shared" ca="1" si="26"/>
        <v>140165</v>
      </c>
      <c r="T104" s="142">
        <f ca="1">기술사</f>
        <v>467217</v>
      </c>
      <c r="U104" s="142">
        <f t="shared" ref="U104:U109" ca="1" si="27">ROUNDDOWN(P104*R104,0)</f>
        <v>140165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M105" s="171"/>
      <c r="N105" s="143" t="s">
        <v>32</v>
      </c>
      <c r="O105" s="173">
        <v>4</v>
      </c>
      <c r="P105" s="234">
        <f ca="1">OFFSET($A$1,MATCH(Z103,$A:$A,0)-1,O105)</f>
        <v>0.6</v>
      </c>
      <c r="Q105" s="144" t="s">
        <v>29</v>
      </c>
      <c r="R105" s="118">
        <f t="shared" ca="1" si="26"/>
        <v>373353</v>
      </c>
      <c r="S105" s="118">
        <f t="shared" ca="1" si="26"/>
        <v>224011</v>
      </c>
      <c r="T105" s="118">
        <f ca="1">특급</f>
        <v>373353</v>
      </c>
      <c r="U105" s="118">
        <f t="shared" ca="1" si="27"/>
        <v>224011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39</v>
      </c>
      <c r="O106" s="173">
        <v>5</v>
      </c>
      <c r="P106" s="234">
        <f ca="1">OFFSET($A$1,MATCH(Z103,$A:$A,0)-1,O106)</f>
        <v>1</v>
      </c>
      <c r="Q106" s="144" t="s">
        <v>29</v>
      </c>
      <c r="R106" s="118">
        <f t="shared" ca="1" si="26"/>
        <v>310884</v>
      </c>
      <c r="S106" s="118">
        <f t="shared" ca="1" si="26"/>
        <v>310884</v>
      </c>
      <c r="T106" s="118">
        <f ca="1">고급</f>
        <v>310884</v>
      </c>
      <c r="U106" s="118">
        <f t="shared" ca="1" si="27"/>
        <v>310884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40</v>
      </c>
      <c r="O107" s="173">
        <v>6</v>
      </c>
      <c r="P107" s="234">
        <f ca="1">OFFSET($A$1,MATCH(Z103,$A:$A,0)-1,O107)</f>
        <v>2.8</v>
      </c>
      <c r="Q107" s="144" t="s">
        <v>29</v>
      </c>
      <c r="R107" s="118">
        <f t="shared" ca="1" si="26"/>
        <v>295138</v>
      </c>
      <c r="S107" s="118">
        <f t="shared" ca="1" si="26"/>
        <v>826386</v>
      </c>
      <c r="T107" s="118">
        <f ca="1">중급</f>
        <v>295138</v>
      </c>
      <c r="U107" s="118">
        <f t="shared" ca="1" si="27"/>
        <v>826386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41</v>
      </c>
      <c r="O108" s="173">
        <v>7</v>
      </c>
      <c r="P108" s="234">
        <f ca="1">OFFSET($A$1,MATCH(Z103,$A:$A,0)-1,O108)</f>
        <v>4.2</v>
      </c>
      <c r="Q108" s="144" t="s">
        <v>29</v>
      </c>
      <c r="R108" s="118">
        <f t="shared" ca="1" si="26"/>
        <v>235459</v>
      </c>
      <c r="S108" s="118">
        <f t="shared" ca="1" si="26"/>
        <v>988927</v>
      </c>
      <c r="T108" s="118">
        <f ca="1">초급</f>
        <v>235459</v>
      </c>
      <c r="U108" s="118">
        <f t="shared" ca="1" si="27"/>
        <v>988927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319" t="s">
        <v>42</v>
      </c>
      <c r="O109" s="174">
        <v>8</v>
      </c>
      <c r="P109" s="235">
        <f ca="1">OFFSET($A$1,MATCH(Z103,$A:$A,0)-1,O109)</f>
        <v>4.4000000000000004</v>
      </c>
      <c r="Q109" s="322" t="s">
        <v>29</v>
      </c>
      <c r="R109" s="323">
        <f t="shared" ca="1" si="26"/>
        <v>250087</v>
      </c>
      <c r="S109" s="323">
        <f t="shared" ca="1" si="26"/>
        <v>1100382</v>
      </c>
      <c r="T109" s="323">
        <f ca="1">보조원</f>
        <v>250087</v>
      </c>
      <c r="U109" s="323">
        <f t="shared" ca="1" si="27"/>
        <v>1100382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M110" s="171"/>
      <c r="N110" s="139" t="s">
        <v>17</v>
      </c>
      <c r="O110" s="68"/>
      <c r="P110" s="69"/>
      <c r="Q110" s="70"/>
      <c r="R110" s="71"/>
      <c r="S110" s="71">
        <f ca="1">SUBTOTAL(9,S104:S109)</f>
        <v>3590755</v>
      </c>
      <c r="T110" s="71"/>
      <c r="U110" s="71">
        <f ca="1">SUBTOTAL(9,U104:U109)</f>
        <v>3590755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M111" s="171"/>
      <c r="N111" s="318" t="str">
        <f ca="1">"제 " &amp; Z111 &amp; " 호표  "&amp; OFFSET($A$1,MATCH(Z111,$A:$A,0)-1,1)</f>
        <v>제 8 호표  1.8 현황자료분석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8</v>
      </c>
    </row>
    <row r="112" spans="11:26" ht="18" customHeight="1">
      <c r="K112" s="171" t="s">
        <v>14</v>
      </c>
      <c r="L112" s="171"/>
      <c r="M112" s="171"/>
      <c r="N112" s="140" t="s">
        <v>43</v>
      </c>
      <c r="O112" s="172">
        <v>3</v>
      </c>
      <c r="P112" s="219">
        <f ca="1">OFFSET($A$1,MATCH(Z111,$A:$A,0)-1,O112)</f>
        <v>0.3</v>
      </c>
      <c r="Q112" s="141" t="s">
        <v>29</v>
      </c>
      <c r="R112" s="142">
        <f t="shared" ref="R112:S117" ca="1" si="28">T112</f>
        <v>467217</v>
      </c>
      <c r="S112" s="142">
        <f t="shared" ca="1" si="28"/>
        <v>140165</v>
      </c>
      <c r="T112" s="142">
        <f ca="1">기술사</f>
        <v>467217</v>
      </c>
      <c r="U112" s="142">
        <f t="shared" ref="U112:U117" ca="1" si="29">ROUNDDOWN(P112*R112,0)</f>
        <v>140165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M113" s="171"/>
      <c r="N113" s="143" t="s">
        <v>32</v>
      </c>
      <c r="O113" s="173">
        <v>4</v>
      </c>
      <c r="P113" s="234">
        <f ca="1">OFFSET($A$1,MATCH(Z111,$A:$A,0)-1,O113)</f>
        <v>0.6</v>
      </c>
      <c r="Q113" s="144" t="s">
        <v>29</v>
      </c>
      <c r="R113" s="118">
        <f t="shared" ca="1" si="28"/>
        <v>373353</v>
      </c>
      <c r="S113" s="118">
        <f t="shared" ca="1" si="28"/>
        <v>224011</v>
      </c>
      <c r="T113" s="118">
        <f ca="1">특급</f>
        <v>373353</v>
      </c>
      <c r="U113" s="118">
        <f t="shared" ca="1" si="29"/>
        <v>224011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39</v>
      </c>
      <c r="O114" s="173">
        <v>5</v>
      </c>
      <c r="P114" s="234">
        <f ca="1">OFFSET($A$1,MATCH(Z111,$A:$A,0)-1,O114)</f>
        <v>1.4</v>
      </c>
      <c r="Q114" s="144" t="s">
        <v>29</v>
      </c>
      <c r="R114" s="118">
        <f t="shared" ca="1" si="28"/>
        <v>310884</v>
      </c>
      <c r="S114" s="118">
        <f t="shared" ca="1" si="28"/>
        <v>435237</v>
      </c>
      <c r="T114" s="118">
        <f ca="1">고급</f>
        <v>310884</v>
      </c>
      <c r="U114" s="118">
        <f t="shared" ca="1" si="29"/>
        <v>435237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40</v>
      </c>
      <c r="O115" s="173">
        <v>6</v>
      </c>
      <c r="P115" s="234">
        <f ca="1">OFFSET($A$1,MATCH(Z111,$A:$A,0)-1,O115)</f>
        <v>2.2999999999999998</v>
      </c>
      <c r="Q115" s="144" t="s">
        <v>29</v>
      </c>
      <c r="R115" s="118">
        <f t="shared" ca="1" si="28"/>
        <v>295138</v>
      </c>
      <c r="S115" s="118">
        <f t="shared" ca="1" si="28"/>
        <v>678817</v>
      </c>
      <c r="T115" s="118">
        <f ca="1">중급</f>
        <v>295138</v>
      </c>
      <c r="U115" s="118">
        <f t="shared" ca="1" si="29"/>
        <v>678817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41</v>
      </c>
      <c r="O116" s="173">
        <v>7</v>
      </c>
      <c r="P116" s="234">
        <f ca="1">OFFSET($A$1,MATCH(Z111,$A:$A,0)-1,O116)</f>
        <v>3.1</v>
      </c>
      <c r="Q116" s="144" t="s">
        <v>29</v>
      </c>
      <c r="R116" s="118">
        <f t="shared" ca="1" si="28"/>
        <v>235459</v>
      </c>
      <c r="S116" s="118">
        <f t="shared" ca="1" si="28"/>
        <v>729922</v>
      </c>
      <c r="T116" s="118">
        <f ca="1">초급</f>
        <v>235459</v>
      </c>
      <c r="U116" s="118">
        <f t="shared" ca="1" si="29"/>
        <v>729922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319" t="s">
        <v>42</v>
      </c>
      <c r="O117" s="174">
        <v>8</v>
      </c>
      <c r="P117" s="235">
        <f ca="1">OFFSET($A$1,MATCH(Z111,$A:$A,0)-1,O117)</f>
        <v>0</v>
      </c>
      <c r="Q117" s="322" t="s">
        <v>29</v>
      </c>
      <c r="R117" s="323">
        <f t="shared" ca="1" si="28"/>
        <v>250087</v>
      </c>
      <c r="S117" s="323">
        <f t="shared" ca="1" si="28"/>
        <v>0</v>
      </c>
      <c r="T117" s="323">
        <f ca="1">보조원</f>
        <v>250087</v>
      </c>
      <c r="U117" s="323">
        <f t="shared" ca="1" si="29"/>
        <v>0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2208152</v>
      </c>
      <c r="T118" s="71"/>
      <c r="U118" s="71">
        <f ca="1">SUBTOTAL(9,U112:U117)</f>
        <v>2208152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  <c r="N119" s="318" t="str">
        <f ca="1">"제 " &amp; Z119 &amp; " 호표  "&amp; OFFSET($A$1,MATCH(Z119,$A:$A,0)-1,1)</f>
        <v>제 9 호표  2.1 기본방향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9</v>
      </c>
    </row>
    <row r="120" spans="11:26" ht="18" customHeight="1">
      <c r="K120" s="171" t="s">
        <v>14</v>
      </c>
      <c r="L120" s="171"/>
      <c r="M120" s="171"/>
      <c r="N120" s="140" t="s">
        <v>43</v>
      </c>
      <c r="O120" s="172">
        <v>3</v>
      </c>
      <c r="P120" s="219">
        <f ca="1">OFFSET($A$1,MATCH(Z119,$A:$A,0)-1,O120)</f>
        <v>0.5</v>
      </c>
      <c r="Q120" s="141" t="s">
        <v>29</v>
      </c>
      <c r="R120" s="142">
        <f t="shared" ref="R120:S125" ca="1" si="30">T120</f>
        <v>467217</v>
      </c>
      <c r="S120" s="142">
        <f t="shared" ca="1" si="30"/>
        <v>233608</v>
      </c>
      <c r="T120" s="142">
        <f ca="1">기술사</f>
        <v>467217</v>
      </c>
      <c r="U120" s="142">
        <f t="shared" ref="U120:U125" ca="1" si="31">ROUNDDOWN(P120*R120,0)</f>
        <v>233608</v>
      </c>
      <c r="V120" s="142"/>
      <c r="W120" s="142"/>
      <c r="X120" s="142"/>
      <c r="Y120" s="142"/>
      <c r="Z120" s="114"/>
    </row>
    <row r="121" spans="11:26" ht="18" customHeight="1">
      <c r="K121" s="171" t="s">
        <v>14</v>
      </c>
      <c r="L121" s="171"/>
      <c r="M121" s="171"/>
      <c r="N121" s="143" t="s">
        <v>32</v>
      </c>
      <c r="O121" s="173">
        <v>4</v>
      </c>
      <c r="P121" s="234">
        <f ca="1">OFFSET($A$1,MATCH(Z119,$A:$A,0)-1,O121)</f>
        <v>0.8</v>
      </c>
      <c r="Q121" s="144" t="s">
        <v>29</v>
      </c>
      <c r="R121" s="118">
        <f t="shared" ca="1" si="30"/>
        <v>373353</v>
      </c>
      <c r="S121" s="118">
        <f t="shared" ca="1" si="30"/>
        <v>298682</v>
      </c>
      <c r="T121" s="118">
        <f ca="1">특급</f>
        <v>373353</v>
      </c>
      <c r="U121" s="118">
        <f t="shared" ca="1" si="31"/>
        <v>298682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39</v>
      </c>
      <c r="O122" s="173">
        <v>5</v>
      </c>
      <c r="P122" s="234">
        <f ca="1">OFFSET($A$1,MATCH(Z119,$A:$A,0)-1,O122)</f>
        <v>2.7</v>
      </c>
      <c r="Q122" s="144" t="s">
        <v>29</v>
      </c>
      <c r="R122" s="118">
        <f t="shared" ca="1" si="30"/>
        <v>310884</v>
      </c>
      <c r="S122" s="118">
        <f t="shared" ca="1" si="30"/>
        <v>839386</v>
      </c>
      <c r="T122" s="118">
        <f ca="1">고급</f>
        <v>310884</v>
      </c>
      <c r="U122" s="118">
        <f t="shared" ca="1" si="31"/>
        <v>839386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40</v>
      </c>
      <c r="O123" s="173">
        <v>6</v>
      </c>
      <c r="P123" s="234">
        <f ca="1">OFFSET($A$1,MATCH(Z119,$A:$A,0)-1,O123)</f>
        <v>2.2999999999999998</v>
      </c>
      <c r="Q123" s="144" t="s">
        <v>29</v>
      </c>
      <c r="R123" s="118">
        <f t="shared" ca="1" si="30"/>
        <v>295138</v>
      </c>
      <c r="S123" s="118">
        <f t="shared" ca="1" si="30"/>
        <v>678817</v>
      </c>
      <c r="T123" s="118">
        <f ca="1">중급</f>
        <v>295138</v>
      </c>
      <c r="U123" s="118">
        <f t="shared" ca="1" si="31"/>
        <v>678817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41</v>
      </c>
      <c r="O124" s="173">
        <v>7</v>
      </c>
      <c r="P124" s="234">
        <f ca="1">OFFSET($A$1,MATCH(Z119,$A:$A,0)-1,O124)</f>
        <v>5.3</v>
      </c>
      <c r="Q124" s="144" t="s">
        <v>29</v>
      </c>
      <c r="R124" s="118">
        <f t="shared" ca="1" si="30"/>
        <v>235459</v>
      </c>
      <c r="S124" s="118">
        <f t="shared" ca="1" si="30"/>
        <v>1247932</v>
      </c>
      <c r="T124" s="118">
        <f ca="1">초급</f>
        <v>235459</v>
      </c>
      <c r="U124" s="118">
        <f t="shared" ca="1" si="31"/>
        <v>1247932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319" t="s">
        <v>42</v>
      </c>
      <c r="O125" s="174">
        <v>8</v>
      </c>
      <c r="P125" s="235">
        <f ca="1">OFFSET($A$1,MATCH(Z119,$A:$A,0)-1,O125)</f>
        <v>7.1</v>
      </c>
      <c r="Q125" s="322" t="s">
        <v>29</v>
      </c>
      <c r="R125" s="323">
        <f t="shared" ca="1" si="30"/>
        <v>250087</v>
      </c>
      <c r="S125" s="323">
        <f t="shared" ca="1" si="30"/>
        <v>1775617</v>
      </c>
      <c r="T125" s="323">
        <f ca="1">보조원</f>
        <v>250087</v>
      </c>
      <c r="U125" s="323">
        <f t="shared" ca="1" si="31"/>
        <v>1775617</v>
      </c>
      <c r="V125" s="323"/>
      <c r="W125" s="323"/>
      <c r="X125" s="323"/>
      <c r="Y125" s="323"/>
      <c r="Z125" s="324"/>
    </row>
    <row r="126" spans="11:26" ht="18" customHeight="1">
      <c r="K126" s="171" t="s">
        <v>14</v>
      </c>
      <c r="L126" s="171"/>
      <c r="M126" s="171"/>
      <c r="N126" s="139" t="s">
        <v>17</v>
      </c>
      <c r="O126" s="68"/>
      <c r="P126" s="69"/>
      <c r="Q126" s="70"/>
      <c r="R126" s="71"/>
      <c r="S126" s="71">
        <f ca="1">SUBTOTAL(9,S120:S125)</f>
        <v>5074042</v>
      </c>
      <c r="T126" s="71"/>
      <c r="U126" s="71">
        <f ca="1">SUBTOTAL(9,U120:U125)</f>
        <v>5074042</v>
      </c>
      <c r="V126" s="71"/>
      <c r="W126" s="71"/>
      <c r="X126" s="71"/>
      <c r="Y126" s="71"/>
      <c r="Z126" s="68"/>
    </row>
    <row r="127" spans="11:26" ht="18" customHeight="1">
      <c r="K127" s="171" t="s">
        <v>14</v>
      </c>
      <c r="L127" s="171"/>
      <c r="M127" s="171"/>
      <c r="N127" s="318" t="str">
        <f ca="1">"제 " &amp; Z127 &amp; " 호표  "&amp; OFFSET($A$1,MATCH(Z127,$A:$A,0)-1,1)</f>
        <v>제 10 호표  2.2 토지이용체계구상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10</v>
      </c>
    </row>
    <row r="128" spans="11:26" ht="18" customHeight="1">
      <c r="K128" s="171" t="s">
        <v>14</v>
      </c>
      <c r="L128" s="171"/>
      <c r="M128" s="171"/>
      <c r="N128" s="140" t="s">
        <v>43</v>
      </c>
      <c r="O128" s="172">
        <v>3</v>
      </c>
      <c r="P128" s="219">
        <f ca="1">OFFSET($A$1,MATCH(Z127,$A:$A,0)-1,O128)</f>
        <v>0.5</v>
      </c>
      <c r="Q128" s="141" t="s">
        <v>29</v>
      </c>
      <c r="R128" s="142">
        <f t="shared" ref="R128:S133" ca="1" si="32">T128</f>
        <v>467217</v>
      </c>
      <c r="S128" s="142">
        <f t="shared" ca="1" si="32"/>
        <v>233608</v>
      </c>
      <c r="T128" s="142">
        <f ca="1">기술사</f>
        <v>467217</v>
      </c>
      <c r="U128" s="142">
        <f t="shared" ref="U128:U133" ca="1" si="33">ROUNDDOWN(P128*R128,0)</f>
        <v>233608</v>
      </c>
      <c r="V128" s="142"/>
      <c r="W128" s="142"/>
      <c r="X128" s="142"/>
      <c r="Y128" s="142"/>
      <c r="Z128" s="114"/>
    </row>
    <row r="129" spans="11:29" ht="18" customHeight="1">
      <c r="K129" s="171" t="s">
        <v>14</v>
      </c>
      <c r="L129" s="171"/>
      <c r="M129" s="171"/>
      <c r="N129" s="143" t="s">
        <v>32</v>
      </c>
      <c r="O129" s="173">
        <v>4</v>
      </c>
      <c r="P129" s="234">
        <f ca="1">OFFSET($A$1,MATCH(Z127,$A:$A,0)-1,O129)</f>
        <v>0.9</v>
      </c>
      <c r="Q129" s="144" t="s">
        <v>29</v>
      </c>
      <c r="R129" s="118">
        <f t="shared" ca="1" si="32"/>
        <v>373353</v>
      </c>
      <c r="S129" s="118">
        <f t="shared" ca="1" si="32"/>
        <v>336017</v>
      </c>
      <c r="T129" s="118">
        <f ca="1">특급</f>
        <v>373353</v>
      </c>
      <c r="U129" s="118">
        <f t="shared" ca="1" si="33"/>
        <v>336017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39</v>
      </c>
      <c r="O130" s="173">
        <v>5</v>
      </c>
      <c r="P130" s="234">
        <f ca="1">OFFSET($A$1,MATCH(Z127,$A:$A,0)-1,O130)</f>
        <v>2.7</v>
      </c>
      <c r="Q130" s="144" t="s">
        <v>29</v>
      </c>
      <c r="R130" s="118">
        <f t="shared" ca="1" si="32"/>
        <v>310884</v>
      </c>
      <c r="S130" s="118">
        <f t="shared" ca="1" si="32"/>
        <v>839386</v>
      </c>
      <c r="T130" s="118">
        <f ca="1">고급</f>
        <v>310884</v>
      </c>
      <c r="U130" s="118">
        <f t="shared" ca="1" si="33"/>
        <v>839386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40</v>
      </c>
      <c r="O131" s="173">
        <v>6</v>
      </c>
      <c r="P131" s="234">
        <f ca="1">OFFSET($A$1,MATCH(Z127,$A:$A,0)-1,O131)</f>
        <v>2.2999999999999998</v>
      </c>
      <c r="Q131" s="144" t="s">
        <v>29</v>
      </c>
      <c r="R131" s="118">
        <f t="shared" ca="1" si="32"/>
        <v>295138</v>
      </c>
      <c r="S131" s="118">
        <f t="shared" ca="1" si="32"/>
        <v>678817</v>
      </c>
      <c r="T131" s="118">
        <f ca="1">중급</f>
        <v>295138</v>
      </c>
      <c r="U131" s="118">
        <f t="shared" ca="1" si="33"/>
        <v>678817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41</v>
      </c>
      <c r="O132" s="173">
        <v>7</v>
      </c>
      <c r="P132" s="234">
        <f ca="1">OFFSET($A$1,MATCH(Z127,$A:$A,0)-1,O132)</f>
        <v>5.3</v>
      </c>
      <c r="Q132" s="144" t="s">
        <v>29</v>
      </c>
      <c r="R132" s="118">
        <f t="shared" ca="1" si="32"/>
        <v>235459</v>
      </c>
      <c r="S132" s="118">
        <f t="shared" ca="1" si="32"/>
        <v>1247932</v>
      </c>
      <c r="T132" s="118">
        <f ca="1">초급</f>
        <v>235459</v>
      </c>
      <c r="U132" s="118">
        <f t="shared" ca="1" si="33"/>
        <v>1247932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319" t="s">
        <v>42</v>
      </c>
      <c r="O133" s="174">
        <v>8</v>
      </c>
      <c r="P133" s="235">
        <f ca="1">OFFSET($A$1,MATCH(Z127,$A:$A,0)-1,O133)</f>
        <v>7.1</v>
      </c>
      <c r="Q133" s="322" t="s">
        <v>29</v>
      </c>
      <c r="R133" s="323">
        <f t="shared" ca="1" si="32"/>
        <v>250087</v>
      </c>
      <c r="S133" s="323">
        <f t="shared" ca="1" si="32"/>
        <v>1775617</v>
      </c>
      <c r="T133" s="323">
        <f ca="1">보조원</f>
        <v>250087</v>
      </c>
      <c r="U133" s="323">
        <f t="shared" ca="1" si="33"/>
        <v>1775617</v>
      </c>
      <c r="V133" s="323"/>
      <c r="W133" s="323"/>
      <c r="X133" s="323"/>
      <c r="Y133" s="323"/>
      <c r="Z133" s="324"/>
    </row>
    <row r="134" spans="11:29" ht="18" customHeight="1">
      <c r="K134" s="171" t="s">
        <v>14</v>
      </c>
      <c r="L134" s="171"/>
      <c r="M134" s="171"/>
      <c r="N134" s="139" t="s">
        <v>17</v>
      </c>
      <c r="O134" s="68"/>
      <c r="P134" s="69"/>
      <c r="Q134" s="70"/>
      <c r="R134" s="71"/>
      <c r="S134" s="71">
        <f ca="1">SUBTOTAL(9,S128:S133)</f>
        <v>5111377</v>
      </c>
      <c r="T134" s="71"/>
      <c r="U134" s="71">
        <f ca="1">SUBTOTAL(9,U128:U133)</f>
        <v>5111377</v>
      </c>
      <c r="V134" s="71"/>
      <c r="W134" s="71"/>
      <c r="X134" s="71"/>
      <c r="Y134" s="71"/>
      <c r="Z134" s="68"/>
      <c r="AA134" s="171"/>
    </row>
    <row r="135" spans="11:29" ht="18" customHeight="1">
      <c r="K135" s="171" t="s">
        <v>14</v>
      </c>
      <c r="L135" s="171"/>
      <c r="M135" s="171"/>
      <c r="N135" s="318" t="str">
        <f ca="1">"제 " &amp; Z135 &amp; " 호표  "&amp; OFFSET($A$1,MATCH(Z135,$A:$A,0)-1,1)</f>
        <v>제 11 호표  2.3 교통동선체계구상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11</v>
      </c>
      <c r="AA135" s="171"/>
    </row>
    <row r="136" spans="11:29" ht="18" customHeight="1">
      <c r="K136" s="171" t="s">
        <v>14</v>
      </c>
      <c r="L136" s="171"/>
      <c r="M136" s="171"/>
      <c r="N136" s="140" t="s">
        <v>43</v>
      </c>
      <c r="O136" s="172">
        <v>3</v>
      </c>
      <c r="P136" s="219">
        <f ca="1">OFFSET($A$1,MATCH(Z135,$A:$A,0)-1,O136)</f>
        <v>0.2</v>
      </c>
      <c r="Q136" s="141" t="s">
        <v>29</v>
      </c>
      <c r="R136" s="142">
        <f t="shared" ref="R136:S141" ca="1" si="34">T136</f>
        <v>467217</v>
      </c>
      <c r="S136" s="142">
        <f t="shared" ca="1" si="34"/>
        <v>93443</v>
      </c>
      <c r="T136" s="142">
        <f ca="1">기술사</f>
        <v>467217</v>
      </c>
      <c r="U136" s="142">
        <f t="shared" ref="U136:U141" ca="1" si="35">ROUNDDOWN(P136*R136,0)</f>
        <v>93443</v>
      </c>
      <c r="V136" s="142"/>
      <c r="W136" s="142"/>
      <c r="X136" s="142"/>
      <c r="Y136" s="142"/>
      <c r="Z136" s="114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3" t="s">
        <v>32</v>
      </c>
      <c r="O137" s="173">
        <v>4</v>
      </c>
      <c r="P137" s="234">
        <f ca="1">OFFSET($A$1,MATCH(Z135,$A:$A,0)-1,O137)</f>
        <v>0.5</v>
      </c>
      <c r="Q137" s="144" t="s">
        <v>29</v>
      </c>
      <c r="R137" s="118">
        <f t="shared" ca="1" si="34"/>
        <v>373353</v>
      </c>
      <c r="S137" s="118">
        <f t="shared" ca="1" si="34"/>
        <v>186676</v>
      </c>
      <c r="T137" s="118">
        <f ca="1">특급</f>
        <v>373353</v>
      </c>
      <c r="U137" s="118">
        <f t="shared" ca="1" si="35"/>
        <v>186676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5" t="s">
        <v>39</v>
      </c>
      <c r="O138" s="173">
        <v>5</v>
      </c>
      <c r="P138" s="234">
        <f ca="1">OFFSET($A$1,MATCH(Z135,$A:$A,0)-1,O138)</f>
        <v>2.2999999999999998</v>
      </c>
      <c r="Q138" s="144" t="s">
        <v>29</v>
      </c>
      <c r="R138" s="118">
        <f t="shared" ca="1" si="34"/>
        <v>310884</v>
      </c>
      <c r="S138" s="118">
        <f t="shared" ca="1" si="34"/>
        <v>715033</v>
      </c>
      <c r="T138" s="118">
        <f ca="1">고급</f>
        <v>310884</v>
      </c>
      <c r="U138" s="118">
        <f t="shared" ca="1" si="35"/>
        <v>715033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45" t="s">
        <v>40</v>
      </c>
      <c r="O139" s="173">
        <v>6</v>
      </c>
      <c r="P139" s="234">
        <f ca="1">OFFSET($A$1,MATCH(Z135,$A:$A,0)-1,O139)</f>
        <v>2</v>
      </c>
      <c r="Q139" s="144" t="s">
        <v>29</v>
      </c>
      <c r="R139" s="118">
        <f t="shared" ca="1" si="34"/>
        <v>295138</v>
      </c>
      <c r="S139" s="118">
        <f t="shared" ca="1" si="34"/>
        <v>590276</v>
      </c>
      <c r="T139" s="118">
        <f ca="1">중급</f>
        <v>295138</v>
      </c>
      <c r="U139" s="118">
        <f t="shared" ca="1" si="35"/>
        <v>590276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41</v>
      </c>
      <c r="O140" s="173">
        <v>7</v>
      </c>
      <c r="P140" s="234">
        <f ca="1">OFFSET($A$1,MATCH(Z135,$A:$A,0)-1,O140)</f>
        <v>4.4000000000000004</v>
      </c>
      <c r="Q140" s="144" t="s">
        <v>29</v>
      </c>
      <c r="R140" s="118">
        <f t="shared" ca="1" si="34"/>
        <v>235459</v>
      </c>
      <c r="S140" s="118">
        <f t="shared" ca="1" si="34"/>
        <v>1036019</v>
      </c>
      <c r="T140" s="118">
        <f ca="1">초급</f>
        <v>235459</v>
      </c>
      <c r="U140" s="118">
        <f t="shared" ca="1" si="35"/>
        <v>1036019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9" t="s">
        <v>42</v>
      </c>
      <c r="O141" s="174">
        <v>8</v>
      </c>
      <c r="P141" s="235">
        <f ca="1">OFFSET($A$1,MATCH(Z135,$A:$A,0)-1,O141)</f>
        <v>7.1</v>
      </c>
      <c r="Q141" s="322" t="s">
        <v>29</v>
      </c>
      <c r="R141" s="323">
        <f t="shared" ca="1" si="34"/>
        <v>250087</v>
      </c>
      <c r="S141" s="323">
        <f t="shared" ca="1" si="34"/>
        <v>1775617</v>
      </c>
      <c r="T141" s="323">
        <f ca="1">보조원</f>
        <v>250087</v>
      </c>
      <c r="U141" s="323">
        <f t="shared" ca="1" si="35"/>
        <v>1775617</v>
      </c>
      <c r="V141" s="323"/>
      <c r="W141" s="323"/>
      <c r="X141" s="323"/>
      <c r="Y141" s="323"/>
      <c r="Z141" s="324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39" t="s">
        <v>17</v>
      </c>
      <c r="O142" s="68"/>
      <c r="P142" s="69"/>
      <c r="Q142" s="70"/>
      <c r="R142" s="71"/>
      <c r="S142" s="71">
        <f ca="1">SUBTOTAL(9,S136:S141)</f>
        <v>4397064</v>
      </c>
      <c r="T142" s="71"/>
      <c r="U142" s="71">
        <f ca="1">SUBTOTAL(9,U136:U141)</f>
        <v>4397064</v>
      </c>
      <c r="V142" s="71"/>
      <c r="W142" s="71"/>
      <c r="X142" s="71"/>
      <c r="Y142" s="71"/>
      <c r="Z142" s="68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318" t="str">
        <f ca="1">"제 " &amp; Z143 &amp; " 호표  "&amp; OFFSET($A$1,MATCH(Z143,$A:$A,0)-1,1)</f>
        <v>제 12 호표  3.1 용도지역·지구</v>
      </c>
      <c r="O143" s="221"/>
      <c r="P143" s="148"/>
      <c r="Q143" s="148"/>
      <c r="R143" s="149"/>
      <c r="S143" s="149"/>
      <c r="T143" s="149"/>
      <c r="U143" s="149"/>
      <c r="V143" s="149"/>
      <c r="W143" s="149"/>
      <c r="X143" s="149"/>
      <c r="Y143" s="149"/>
      <c r="Z143" s="325">
        <f>Z135+1</f>
        <v>12</v>
      </c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0" t="s">
        <v>43</v>
      </c>
      <c r="O144" s="172">
        <v>3</v>
      </c>
      <c r="P144" s="219">
        <f ca="1">OFFSET($A$1,MATCH(Z143,$A:$A,0)-1,O144)</f>
        <v>1.5</v>
      </c>
      <c r="Q144" s="141" t="s">
        <v>29</v>
      </c>
      <c r="R144" s="142">
        <f t="shared" ref="R144:S149" ca="1" si="36">T144</f>
        <v>467217</v>
      </c>
      <c r="S144" s="142">
        <f t="shared" ca="1" si="36"/>
        <v>700825</v>
      </c>
      <c r="T144" s="142">
        <f ca="1">기술사</f>
        <v>467217</v>
      </c>
      <c r="U144" s="142">
        <f t="shared" ref="U144:U149" ca="1" si="37">ROUNDDOWN(P144*R144,0)</f>
        <v>700825</v>
      </c>
      <c r="V144" s="142"/>
      <c r="W144" s="142"/>
      <c r="X144" s="142"/>
      <c r="Y144" s="142"/>
      <c r="Z144" s="114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3" t="s">
        <v>32</v>
      </c>
      <c r="O145" s="173">
        <v>4</v>
      </c>
      <c r="P145" s="234">
        <f ca="1">OFFSET($A$1,MATCH(Z143,$A:$A,0)-1,O145)</f>
        <v>2.2999999999999998</v>
      </c>
      <c r="Q145" s="144" t="s">
        <v>29</v>
      </c>
      <c r="R145" s="118">
        <f t="shared" ca="1" si="36"/>
        <v>373353</v>
      </c>
      <c r="S145" s="118">
        <f t="shared" ca="1" si="36"/>
        <v>858711</v>
      </c>
      <c r="T145" s="118">
        <f ca="1">특급</f>
        <v>373353</v>
      </c>
      <c r="U145" s="118">
        <f t="shared" ca="1" si="37"/>
        <v>858711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39</v>
      </c>
      <c r="O146" s="173">
        <v>5</v>
      </c>
      <c r="P146" s="234">
        <f ca="1">OFFSET($A$1,MATCH(Z143,$A:$A,0)-1,O146)</f>
        <v>5.8</v>
      </c>
      <c r="Q146" s="144" t="s">
        <v>29</v>
      </c>
      <c r="R146" s="118">
        <f t="shared" ca="1" si="36"/>
        <v>310884</v>
      </c>
      <c r="S146" s="118">
        <f t="shared" ca="1" si="36"/>
        <v>1803127</v>
      </c>
      <c r="T146" s="118">
        <f ca="1">고급</f>
        <v>310884</v>
      </c>
      <c r="U146" s="118">
        <f t="shared" ca="1" si="37"/>
        <v>1803127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40</v>
      </c>
      <c r="O147" s="173">
        <v>6</v>
      </c>
      <c r="P147" s="234">
        <f ca="1">OFFSET($A$1,MATCH(Z143,$A:$A,0)-1,O147)</f>
        <v>3.1</v>
      </c>
      <c r="Q147" s="144" t="s">
        <v>29</v>
      </c>
      <c r="R147" s="118">
        <f t="shared" ca="1" si="36"/>
        <v>295138</v>
      </c>
      <c r="S147" s="118">
        <f t="shared" ca="1" si="36"/>
        <v>914927</v>
      </c>
      <c r="T147" s="118">
        <f ca="1">중급</f>
        <v>295138</v>
      </c>
      <c r="U147" s="118">
        <f t="shared" ca="1" si="37"/>
        <v>914927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41</v>
      </c>
      <c r="O148" s="173">
        <v>7</v>
      </c>
      <c r="P148" s="234">
        <f ca="1">OFFSET($A$1,MATCH(Z143,$A:$A,0)-1,O148)</f>
        <v>18.399999999999999</v>
      </c>
      <c r="Q148" s="144" t="s">
        <v>29</v>
      </c>
      <c r="R148" s="118">
        <f t="shared" ca="1" si="36"/>
        <v>235459</v>
      </c>
      <c r="S148" s="118">
        <f t="shared" ca="1" si="36"/>
        <v>4332445</v>
      </c>
      <c r="T148" s="118">
        <f ca="1">초급</f>
        <v>235459</v>
      </c>
      <c r="U148" s="118">
        <f t="shared" ca="1" si="37"/>
        <v>4332445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9" t="s">
        <v>42</v>
      </c>
      <c r="O149" s="174">
        <v>8</v>
      </c>
      <c r="P149" s="235">
        <f ca="1">OFFSET($A$1,MATCH(Z143,$A:$A,0)-1,O149)</f>
        <v>20.8</v>
      </c>
      <c r="Q149" s="322" t="s">
        <v>29</v>
      </c>
      <c r="R149" s="323">
        <f t="shared" ca="1" si="36"/>
        <v>250087</v>
      </c>
      <c r="S149" s="323">
        <f t="shared" ca="1" si="36"/>
        <v>5201809</v>
      </c>
      <c r="T149" s="323">
        <f ca="1">보조원</f>
        <v>250087</v>
      </c>
      <c r="U149" s="323">
        <f t="shared" ca="1" si="37"/>
        <v>5201809</v>
      </c>
      <c r="V149" s="323"/>
      <c r="W149" s="323"/>
      <c r="X149" s="323"/>
      <c r="Y149" s="323"/>
      <c r="Z149" s="324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39" t="s">
        <v>17</v>
      </c>
      <c r="O150" s="68"/>
      <c r="P150" s="69"/>
      <c r="Q150" s="70"/>
      <c r="R150" s="71"/>
      <c r="S150" s="71">
        <f ca="1">SUBTOTAL(9,S144:S149)</f>
        <v>13811844</v>
      </c>
      <c r="T150" s="71"/>
      <c r="U150" s="71">
        <f ca="1">SUBTOTAL(9,U144:U149)</f>
        <v>13811844</v>
      </c>
      <c r="V150" s="71"/>
      <c r="W150" s="71"/>
      <c r="X150" s="71"/>
      <c r="Y150" s="71"/>
      <c r="Z150" s="68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318" t="str">
        <f ca="1">"제 " &amp; Z151 &amp; " 호표  "&amp; OFFSET($A$1,MATCH(Z151,$A:$A,0)-1,1)</f>
        <v>제 13 호표  3.2 교통처리</v>
      </c>
      <c r="O151" s="221"/>
      <c r="P151" s="148"/>
      <c r="Q151" s="148"/>
      <c r="R151" s="149"/>
      <c r="S151" s="149"/>
      <c r="T151" s="149"/>
      <c r="U151" s="149"/>
      <c r="V151" s="149"/>
      <c r="W151" s="149"/>
      <c r="X151" s="149"/>
      <c r="Y151" s="149"/>
      <c r="Z151" s="325">
        <f>Z143+1</f>
        <v>13</v>
      </c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0" t="s">
        <v>43</v>
      </c>
      <c r="O152" s="172">
        <v>3</v>
      </c>
      <c r="P152" s="219">
        <f ca="1">OFFSET($A$1,MATCH(Z151,$A:$A,0)-1,O152)</f>
        <v>2.2000000000000002</v>
      </c>
      <c r="Q152" s="141" t="s">
        <v>29</v>
      </c>
      <c r="R152" s="142">
        <f t="shared" ref="R152:S157" ca="1" si="38">T152</f>
        <v>467217</v>
      </c>
      <c r="S152" s="142">
        <f t="shared" ca="1" si="38"/>
        <v>1027877</v>
      </c>
      <c r="T152" s="142">
        <f ca="1">기술사</f>
        <v>467217</v>
      </c>
      <c r="U152" s="142">
        <f t="shared" ref="U152:U157" ca="1" si="39">ROUNDDOWN(P152*R152,0)</f>
        <v>1027877</v>
      </c>
      <c r="V152" s="142"/>
      <c r="W152" s="142"/>
      <c r="X152" s="142"/>
      <c r="Y152" s="142"/>
      <c r="Z152" s="114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3" t="s">
        <v>32</v>
      </c>
      <c r="O153" s="173">
        <v>4</v>
      </c>
      <c r="P153" s="234">
        <f ca="1">OFFSET($A$1,MATCH(Z151,$A:$A,0)-1,O153)</f>
        <v>3.3</v>
      </c>
      <c r="Q153" s="144" t="s">
        <v>29</v>
      </c>
      <c r="R153" s="118">
        <f t="shared" ca="1" si="38"/>
        <v>373353</v>
      </c>
      <c r="S153" s="118">
        <f t="shared" ca="1" si="38"/>
        <v>1232064</v>
      </c>
      <c r="T153" s="118">
        <f ca="1">특급</f>
        <v>373353</v>
      </c>
      <c r="U153" s="118">
        <f t="shared" ca="1" si="39"/>
        <v>1232064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39</v>
      </c>
      <c r="O154" s="173">
        <v>5</v>
      </c>
      <c r="P154" s="234">
        <f ca="1">OFFSET($A$1,MATCH(Z151,$A:$A,0)-1,O154)</f>
        <v>7.7</v>
      </c>
      <c r="Q154" s="144" t="s">
        <v>29</v>
      </c>
      <c r="R154" s="118">
        <f t="shared" ca="1" si="38"/>
        <v>310884</v>
      </c>
      <c r="S154" s="118">
        <f t="shared" ca="1" si="38"/>
        <v>2393806</v>
      </c>
      <c r="T154" s="118">
        <f ca="1">고급</f>
        <v>310884</v>
      </c>
      <c r="U154" s="118">
        <f t="shared" ca="1" si="39"/>
        <v>2393806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40</v>
      </c>
      <c r="O155" s="173">
        <v>6</v>
      </c>
      <c r="P155" s="234">
        <f ca="1">OFFSET($A$1,MATCH(Z151,$A:$A,0)-1,O155)</f>
        <v>6.7</v>
      </c>
      <c r="Q155" s="144" t="s">
        <v>29</v>
      </c>
      <c r="R155" s="118">
        <f t="shared" ca="1" si="38"/>
        <v>295138</v>
      </c>
      <c r="S155" s="118">
        <f t="shared" ca="1" si="38"/>
        <v>1977424</v>
      </c>
      <c r="T155" s="118">
        <f ca="1">중급</f>
        <v>295138</v>
      </c>
      <c r="U155" s="118">
        <f t="shared" ca="1" si="39"/>
        <v>1977424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41</v>
      </c>
      <c r="O156" s="173">
        <v>7</v>
      </c>
      <c r="P156" s="234">
        <f ca="1">OFFSET($A$1,MATCH(Z151,$A:$A,0)-1,O156)</f>
        <v>17.8</v>
      </c>
      <c r="Q156" s="144" t="s">
        <v>29</v>
      </c>
      <c r="R156" s="118">
        <f t="shared" ca="1" si="38"/>
        <v>235459</v>
      </c>
      <c r="S156" s="118">
        <f t="shared" ca="1" si="38"/>
        <v>4191170</v>
      </c>
      <c r="T156" s="118">
        <f ca="1">초급</f>
        <v>235459</v>
      </c>
      <c r="U156" s="118">
        <f t="shared" ca="1" si="39"/>
        <v>4191170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9" t="s">
        <v>42</v>
      </c>
      <c r="O157" s="174">
        <v>8</v>
      </c>
      <c r="P157" s="235">
        <f ca="1">OFFSET($A$1,MATCH(Z151,$A:$A,0)-1,O157)</f>
        <v>30.3</v>
      </c>
      <c r="Q157" s="322" t="s">
        <v>29</v>
      </c>
      <c r="R157" s="323">
        <f t="shared" ca="1" si="38"/>
        <v>250087</v>
      </c>
      <c r="S157" s="323">
        <f t="shared" ca="1" si="38"/>
        <v>7577636</v>
      </c>
      <c r="T157" s="323">
        <f ca="1">보조원</f>
        <v>250087</v>
      </c>
      <c r="U157" s="323">
        <f t="shared" ca="1" si="39"/>
        <v>7577636</v>
      </c>
      <c r="V157" s="323"/>
      <c r="W157" s="323"/>
      <c r="X157" s="323"/>
      <c r="Y157" s="323"/>
      <c r="Z157" s="324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39" t="s">
        <v>17</v>
      </c>
      <c r="O158" s="68"/>
      <c r="P158" s="69"/>
      <c r="Q158" s="70"/>
      <c r="R158" s="71"/>
      <c r="S158" s="71">
        <f ca="1">SUBTOTAL(9,S152:S157)</f>
        <v>18399977</v>
      </c>
      <c r="T158" s="71"/>
      <c r="U158" s="71">
        <f ca="1">SUBTOTAL(9,U152:U157)</f>
        <v>18399977</v>
      </c>
      <c r="V158" s="71"/>
      <c r="W158" s="71"/>
      <c r="X158" s="71"/>
      <c r="Y158" s="71"/>
      <c r="Z158" s="68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318" t="str">
        <f ca="1">"제 " &amp; Z159 &amp; " 호표  "&amp; OFFSET($A$1,MATCH(Z159,$A:$A,0)-1,1)</f>
        <v>제 14 호표  3.3 공원녹지</v>
      </c>
      <c r="O159" s="221"/>
      <c r="P159" s="148"/>
      <c r="Q159" s="148"/>
      <c r="R159" s="149"/>
      <c r="S159" s="149"/>
      <c r="T159" s="149"/>
      <c r="U159" s="149"/>
      <c r="V159" s="149"/>
      <c r="W159" s="149"/>
      <c r="X159" s="149"/>
      <c r="Y159" s="149"/>
      <c r="Z159" s="325">
        <f>Z151+1</f>
        <v>14</v>
      </c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0" t="s">
        <v>43</v>
      </c>
      <c r="O160" s="172">
        <v>3</v>
      </c>
      <c r="P160" s="219">
        <f ca="1">OFFSET($A$1,MATCH(Z159,$A:$A,0)-1,O160)</f>
        <v>0.7</v>
      </c>
      <c r="Q160" s="141" t="s">
        <v>29</v>
      </c>
      <c r="R160" s="142">
        <f t="shared" ref="R160:S165" ca="1" si="40">T160</f>
        <v>467217</v>
      </c>
      <c r="S160" s="142">
        <f t="shared" ca="1" si="40"/>
        <v>327051</v>
      </c>
      <c r="T160" s="142">
        <f ca="1">기술사</f>
        <v>467217</v>
      </c>
      <c r="U160" s="142">
        <f t="shared" ref="U160:U165" ca="1" si="41">ROUNDDOWN(P160*R160,0)</f>
        <v>327051</v>
      </c>
      <c r="V160" s="142"/>
      <c r="W160" s="142"/>
      <c r="X160" s="142"/>
      <c r="Y160" s="142"/>
      <c r="Z160" s="114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3" t="s">
        <v>32</v>
      </c>
      <c r="O161" s="173">
        <v>4</v>
      </c>
      <c r="P161" s="234">
        <f ca="1">OFFSET($A$1,MATCH(Z159,$A:$A,0)-1,O161)</f>
        <v>1.1000000000000001</v>
      </c>
      <c r="Q161" s="144" t="s">
        <v>29</v>
      </c>
      <c r="R161" s="118">
        <f t="shared" ca="1" si="40"/>
        <v>373353</v>
      </c>
      <c r="S161" s="118">
        <f t="shared" ca="1" si="40"/>
        <v>410688</v>
      </c>
      <c r="T161" s="118">
        <f ca="1">특급</f>
        <v>373353</v>
      </c>
      <c r="U161" s="118">
        <f t="shared" ca="1" si="41"/>
        <v>410688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39</v>
      </c>
      <c r="O162" s="173">
        <v>5</v>
      </c>
      <c r="P162" s="234">
        <f ca="1">OFFSET($A$1,MATCH(Z159,$A:$A,0)-1,O162)</f>
        <v>3.5</v>
      </c>
      <c r="Q162" s="144" t="s">
        <v>29</v>
      </c>
      <c r="R162" s="118">
        <f t="shared" ca="1" si="40"/>
        <v>310884</v>
      </c>
      <c r="S162" s="118">
        <f t="shared" ca="1" si="40"/>
        <v>1088094</v>
      </c>
      <c r="T162" s="118">
        <f ca="1">고급</f>
        <v>310884</v>
      </c>
      <c r="U162" s="118">
        <f t="shared" ca="1" si="41"/>
        <v>1088094</v>
      </c>
      <c r="V162" s="118"/>
      <c r="W162" s="118"/>
      <c r="X162" s="118"/>
      <c r="Y162" s="118"/>
      <c r="Z162" s="115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40</v>
      </c>
      <c r="O163" s="173">
        <v>6</v>
      </c>
      <c r="P163" s="234">
        <f ca="1">OFFSET($A$1,MATCH(Z159,$A:$A,0)-1,O163)</f>
        <v>3.1</v>
      </c>
      <c r="Q163" s="144" t="s">
        <v>29</v>
      </c>
      <c r="R163" s="118">
        <f t="shared" ca="1" si="40"/>
        <v>295138</v>
      </c>
      <c r="S163" s="118">
        <f t="shared" ca="1" si="40"/>
        <v>914927</v>
      </c>
      <c r="T163" s="118">
        <f ca="1">중급</f>
        <v>295138</v>
      </c>
      <c r="U163" s="118">
        <f t="shared" ca="1" si="41"/>
        <v>914927</v>
      </c>
      <c r="V163" s="118"/>
      <c r="W163" s="118"/>
      <c r="X163" s="118"/>
      <c r="Y163" s="118"/>
      <c r="Z163" s="115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41</v>
      </c>
      <c r="O164" s="173">
        <v>7</v>
      </c>
      <c r="P164" s="234">
        <f ca="1">OFFSET($A$1,MATCH(Z159,$A:$A,0)-1,O164)</f>
        <v>5.8</v>
      </c>
      <c r="Q164" s="144" t="s">
        <v>29</v>
      </c>
      <c r="R164" s="118">
        <f t="shared" ca="1" si="40"/>
        <v>235459</v>
      </c>
      <c r="S164" s="118">
        <f t="shared" ca="1" si="40"/>
        <v>1365662</v>
      </c>
      <c r="T164" s="118">
        <f ca="1">초급</f>
        <v>235459</v>
      </c>
      <c r="U164" s="118">
        <f t="shared" ca="1" si="41"/>
        <v>1365662</v>
      </c>
      <c r="V164" s="118"/>
      <c r="W164" s="118"/>
      <c r="X164" s="118"/>
      <c r="Y164" s="118"/>
      <c r="Z164" s="115"/>
    </row>
    <row r="165" spans="11:29" ht="18" customHeight="1">
      <c r="K165" s="171" t="s">
        <v>14</v>
      </c>
      <c r="L165" s="171"/>
      <c r="M165" s="171"/>
      <c r="N165" s="319" t="s">
        <v>42</v>
      </c>
      <c r="O165" s="174">
        <v>8</v>
      </c>
      <c r="P165" s="235">
        <f ca="1">OFFSET($A$1,MATCH(Z159,$A:$A,0)-1,O165)</f>
        <v>10.1</v>
      </c>
      <c r="Q165" s="322" t="s">
        <v>29</v>
      </c>
      <c r="R165" s="323">
        <f t="shared" ca="1" si="40"/>
        <v>250087</v>
      </c>
      <c r="S165" s="323">
        <f t="shared" ca="1" si="40"/>
        <v>2525878</v>
      </c>
      <c r="T165" s="323">
        <f ca="1">보조원</f>
        <v>250087</v>
      </c>
      <c r="U165" s="323">
        <f t="shared" ca="1" si="41"/>
        <v>2525878</v>
      </c>
      <c r="V165" s="323"/>
      <c r="W165" s="323"/>
      <c r="X165" s="323"/>
      <c r="Y165" s="323"/>
      <c r="Z165" s="324"/>
    </row>
    <row r="166" spans="11:29" ht="18" customHeight="1">
      <c r="K166" s="171" t="s">
        <v>14</v>
      </c>
      <c r="L166" s="171"/>
      <c r="M166" s="171"/>
      <c r="N166" s="139" t="s">
        <v>17</v>
      </c>
      <c r="O166" s="68"/>
      <c r="P166" s="69"/>
      <c r="Q166" s="70"/>
      <c r="R166" s="71"/>
      <c r="S166" s="71">
        <f ca="1">SUBTOTAL(9,S160:S165)</f>
        <v>6632300</v>
      </c>
      <c r="T166" s="71"/>
      <c r="U166" s="71">
        <f ca="1">SUBTOTAL(9,U160:U165)</f>
        <v>6632300</v>
      </c>
      <c r="V166" s="71"/>
      <c r="W166" s="71"/>
      <c r="X166" s="71"/>
      <c r="Y166" s="71"/>
      <c r="Z166" s="68"/>
    </row>
    <row r="167" spans="11:29" ht="18" customHeight="1">
      <c r="K167" s="171" t="s">
        <v>14</v>
      </c>
      <c r="L167" s="171"/>
      <c r="M167" s="171"/>
      <c r="N167" s="318" t="str">
        <f ca="1">"제 " &amp; Z167 &amp; " 호표  "&amp; OFFSET($A$1,MATCH(Z167,$A:$A,0)-1,1)</f>
        <v>제 15 호표  3.4 도시기반시설</v>
      </c>
      <c r="O167" s="221"/>
      <c r="P167" s="148"/>
      <c r="Q167" s="148"/>
      <c r="R167" s="149"/>
      <c r="S167" s="149"/>
      <c r="T167" s="149"/>
      <c r="U167" s="149"/>
      <c r="V167" s="149"/>
      <c r="W167" s="149"/>
      <c r="X167" s="149"/>
      <c r="Y167" s="149"/>
      <c r="Z167" s="325">
        <f>Z159+1</f>
        <v>15</v>
      </c>
    </row>
    <row r="168" spans="11:29" ht="18" customHeight="1">
      <c r="K168" s="171" t="s">
        <v>14</v>
      </c>
      <c r="L168" s="171"/>
      <c r="M168" s="171"/>
      <c r="N168" s="140" t="s">
        <v>43</v>
      </c>
      <c r="O168" s="172">
        <v>3</v>
      </c>
      <c r="P168" s="219">
        <f ca="1">OFFSET($A$1,MATCH(Z167,$A:$A,0)-1,O168)</f>
        <v>2.7</v>
      </c>
      <c r="Q168" s="141" t="s">
        <v>29</v>
      </c>
      <c r="R168" s="142">
        <f t="shared" ref="R168:S173" ca="1" si="42">T168</f>
        <v>467217</v>
      </c>
      <c r="S168" s="142">
        <f t="shared" ca="1" si="42"/>
        <v>1261485</v>
      </c>
      <c r="T168" s="142">
        <f ca="1">기술사</f>
        <v>467217</v>
      </c>
      <c r="U168" s="142">
        <f t="shared" ref="U168:U173" ca="1" si="43">ROUNDDOWN(P168*R168,0)</f>
        <v>1261485</v>
      </c>
      <c r="V168" s="142"/>
      <c r="W168" s="142"/>
      <c r="X168" s="142"/>
      <c r="Y168" s="142"/>
      <c r="Z168" s="114"/>
    </row>
    <row r="169" spans="11:29" ht="18" customHeight="1">
      <c r="K169" s="171" t="s">
        <v>14</v>
      </c>
      <c r="L169" s="171"/>
      <c r="M169" s="171"/>
      <c r="N169" s="143" t="s">
        <v>32</v>
      </c>
      <c r="O169" s="173">
        <v>4</v>
      </c>
      <c r="P169" s="234">
        <f ca="1">OFFSET($A$1,MATCH(Z167,$A:$A,0)-1,O169)</f>
        <v>3.8</v>
      </c>
      <c r="Q169" s="144" t="s">
        <v>29</v>
      </c>
      <c r="R169" s="118">
        <f t="shared" ca="1" si="42"/>
        <v>373353</v>
      </c>
      <c r="S169" s="118">
        <f t="shared" ca="1" si="42"/>
        <v>1418741</v>
      </c>
      <c r="T169" s="118">
        <f ca="1">특급</f>
        <v>373353</v>
      </c>
      <c r="U169" s="118">
        <f t="shared" ca="1" si="43"/>
        <v>1418741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39</v>
      </c>
      <c r="O170" s="173">
        <v>5</v>
      </c>
      <c r="P170" s="234">
        <f ca="1">OFFSET($A$1,MATCH(Z167,$A:$A,0)-1,O170)</f>
        <v>11.6</v>
      </c>
      <c r="Q170" s="144" t="s">
        <v>29</v>
      </c>
      <c r="R170" s="118">
        <f t="shared" ca="1" si="42"/>
        <v>310884</v>
      </c>
      <c r="S170" s="118">
        <f t="shared" ca="1" si="42"/>
        <v>3606254</v>
      </c>
      <c r="T170" s="118">
        <f ca="1">고급</f>
        <v>310884</v>
      </c>
      <c r="U170" s="118">
        <f t="shared" ca="1" si="43"/>
        <v>3606254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40</v>
      </c>
      <c r="O171" s="173">
        <v>6</v>
      </c>
      <c r="P171" s="234">
        <f ca="1">OFFSET($A$1,MATCH(Z167,$A:$A,0)-1,O171)</f>
        <v>13.7</v>
      </c>
      <c r="Q171" s="144" t="s">
        <v>29</v>
      </c>
      <c r="R171" s="118">
        <f t="shared" ca="1" si="42"/>
        <v>295138</v>
      </c>
      <c r="S171" s="118">
        <f t="shared" ca="1" si="42"/>
        <v>4043390</v>
      </c>
      <c r="T171" s="118">
        <f ca="1">중급</f>
        <v>295138</v>
      </c>
      <c r="U171" s="118">
        <f t="shared" ca="1" si="43"/>
        <v>4043390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41</v>
      </c>
      <c r="O172" s="173">
        <v>7</v>
      </c>
      <c r="P172" s="234">
        <f ca="1">OFFSET($A$1,MATCH(Z167,$A:$A,0)-1,O172)</f>
        <v>25.6</v>
      </c>
      <c r="Q172" s="144" t="s">
        <v>29</v>
      </c>
      <c r="R172" s="118">
        <f t="shared" ca="1" si="42"/>
        <v>235459</v>
      </c>
      <c r="S172" s="118">
        <f t="shared" ca="1" si="42"/>
        <v>6027750</v>
      </c>
      <c r="T172" s="118">
        <f ca="1">초급</f>
        <v>235459</v>
      </c>
      <c r="U172" s="118">
        <f t="shared" ca="1" si="43"/>
        <v>6027750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319" t="s">
        <v>42</v>
      </c>
      <c r="O173" s="174">
        <v>8</v>
      </c>
      <c r="P173" s="235">
        <f ca="1">OFFSET($A$1,MATCH(Z167,$A:$A,0)-1,O173)</f>
        <v>25.6</v>
      </c>
      <c r="Q173" s="322" t="s">
        <v>29</v>
      </c>
      <c r="R173" s="323">
        <f t="shared" ca="1" si="42"/>
        <v>250087</v>
      </c>
      <c r="S173" s="323">
        <f t="shared" ca="1" si="42"/>
        <v>6402227</v>
      </c>
      <c r="T173" s="323">
        <f ca="1">보조원</f>
        <v>250087</v>
      </c>
      <c r="U173" s="323">
        <f t="shared" ca="1" si="43"/>
        <v>6402227</v>
      </c>
      <c r="V173" s="323"/>
      <c r="W173" s="323"/>
      <c r="X173" s="323"/>
      <c r="Y173" s="323"/>
      <c r="Z173" s="324"/>
    </row>
    <row r="174" spans="11:29" ht="18" customHeight="1">
      <c r="K174" s="171" t="s">
        <v>14</v>
      </c>
      <c r="L174" s="171"/>
      <c r="M174" s="171"/>
      <c r="N174" s="139" t="s">
        <v>17</v>
      </c>
      <c r="O174" s="68"/>
      <c r="P174" s="69"/>
      <c r="Q174" s="70"/>
      <c r="R174" s="71"/>
      <c r="S174" s="71">
        <f ca="1">SUBTOTAL(9,S168:S173)</f>
        <v>22759847</v>
      </c>
      <c r="T174" s="71"/>
      <c r="U174" s="71">
        <f ca="1">SUBTOTAL(9,U168:U173)</f>
        <v>22759847</v>
      </c>
      <c r="V174" s="71"/>
      <c r="W174" s="71"/>
      <c r="X174" s="71"/>
      <c r="Y174" s="71"/>
      <c r="Z174" s="68"/>
    </row>
    <row r="175" spans="11:29" ht="18" customHeight="1">
      <c r="K175" s="171" t="s">
        <v>14</v>
      </c>
      <c r="L175" s="171"/>
      <c r="M175" s="171"/>
      <c r="N175" s="318" t="str">
        <f ca="1">"제 " &amp; Z175 &amp; " 호표  "&amp; OFFSET($A$1,MATCH(Z175,$A:$A,0)-1,1)</f>
        <v>제 16 호표  3.5 가구 및 획지규모와 조성</v>
      </c>
      <c r="O175" s="221"/>
      <c r="P175" s="148"/>
      <c r="Q175" s="148"/>
      <c r="R175" s="149"/>
      <c r="S175" s="149"/>
      <c r="T175" s="149"/>
      <c r="U175" s="149"/>
      <c r="V175" s="149"/>
      <c r="W175" s="149"/>
      <c r="X175" s="149"/>
      <c r="Y175" s="149"/>
      <c r="Z175" s="325">
        <f>Z167+1</f>
        <v>16</v>
      </c>
    </row>
    <row r="176" spans="11:29" ht="18" customHeight="1">
      <c r="K176" s="171" t="s">
        <v>14</v>
      </c>
      <c r="L176" s="171"/>
      <c r="M176" s="171"/>
      <c r="N176" s="140" t="s">
        <v>43</v>
      </c>
      <c r="O176" s="172">
        <v>3</v>
      </c>
      <c r="P176" s="219">
        <f ca="1">OFFSET($A$1,MATCH(Z175,$A:$A,0)-1,O176)</f>
        <v>1.1000000000000001</v>
      </c>
      <c r="Q176" s="141" t="s">
        <v>29</v>
      </c>
      <c r="R176" s="142">
        <f t="shared" ref="R176:R181" ca="1" si="44">T176</f>
        <v>467217</v>
      </c>
      <c r="S176" s="142">
        <f t="shared" ref="S176:S181" ca="1" si="45">U176</f>
        <v>513938</v>
      </c>
      <c r="T176" s="142">
        <f ca="1">기술사</f>
        <v>467217</v>
      </c>
      <c r="U176" s="142">
        <f t="shared" ref="U176:U181" ca="1" si="46">ROUNDDOWN(P176*R176,0)</f>
        <v>513938</v>
      </c>
      <c r="V176" s="142"/>
      <c r="W176" s="142"/>
      <c r="X176" s="142"/>
      <c r="Y176" s="142"/>
      <c r="Z176" s="114"/>
    </row>
    <row r="177" spans="11:26" ht="18" customHeight="1">
      <c r="K177" s="171" t="s">
        <v>14</v>
      </c>
      <c r="L177" s="171"/>
      <c r="M177" s="171"/>
      <c r="N177" s="143" t="s">
        <v>32</v>
      </c>
      <c r="O177" s="173">
        <v>4</v>
      </c>
      <c r="P177" s="234">
        <f ca="1">OFFSET($A$1,MATCH(Z175,$A:$A,0)-1,O177)</f>
        <v>1.7</v>
      </c>
      <c r="Q177" s="144" t="s">
        <v>29</v>
      </c>
      <c r="R177" s="118">
        <f t="shared" ca="1" si="44"/>
        <v>373353</v>
      </c>
      <c r="S177" s="118">
        <f t="shared" ca="1" si="45"/>
        <v>634700</v>
      </c>
      <c r="T177" s="118">
        <f ca="1">특급</f>
        <v>373353</v>
      </c>
      <c r="U177" s="118">
        <f t="shared" ca="1" si="46"/>
        <v>634700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39</v>
      </c>
      <c r="O178" s="173">
        <v>5</v>
      </c>
      <c r="P178" s="234">
        <f ca="1">OFFSET($A$1,MATCH(Z175,$A:$A,0)-1,O178)</f>
        <v>4.2</v>
      </c>
      <c r="Q178" s="144" t="s">
        <v>29</v>
      </c>
      <c r="R178" s="118">
        <f t="shared" ca="1" si="44"/>
        <v>310884</v>
      </c>
      <c r="S178" s="118">
        <f t="shared" ca="1" si="45"/>
        <v>1305712</v>
      </c>
      <c r="T178" s="118">
        <f ca="1">고급</f>
        <v>310884</v>
      </c>
      <c r="U178" s="118">
        <f t="shared" ca="1" si="46"/>
        <v>1305712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40</v>
      </c>
      <c r="O179" s="173">
        <v>6</v>
      </c>
      <c r="P179" s="234">
        <f ca="1">OFFSET($A$1,MATCH(Z175,$A:$A,0)-1,O179)</f>
        <v>4.0999999999999996</v>
      </c>
      <c r="Q179" s="144" t="s">
        <v>29</v>
      </c>
      <c r="R179" s="118">
        <f t="shared" ca="1" si="44"/>
        <v>295138</v>
      </c>
      <c r="S179" s="118">
        <f t="shared" ca="1" si="45"/>
        <v>1210065</v>
      </c>
      <c r="T179" s="118">
        <f ca="1">중급</f>
        <v>295138</v>
      </c>
      <c r="U179" s="118">
        <f t="shared" ca="1" si="46"/>
        <v>1210065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41</v>
      </c>
      <c r="O180" s="173">
        <v>7</v>
      </c>
      <c r="P180" s="234">
        <f ca="1">OFFSET($A$1,MATCH(Z175,$A:$A,0)-1,O180)</f>
        <v>14.3</v>
      </c>
      <c r="Q180" s="144" t="s">
        <v>29</v>
      </c>
      <c r="R180" s="118">
        <f t="shared" ca="1" si="44"/>
        <v>235459</v>
      </c>
      <c r="S180" s="118">
        <f t="shared" ca="1" si="45"/>
        <v>3367063</v>
      </c>
      <c r="T180" s="118">
        <f ca="1">초급</f>
        <v>235459</v>
      </c>
      <c r="U180" s="118">
        <f t="shared" ca="1" si="46"/>
        <v>3367063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319" t="s">
        <v>42</v>
      </c>
      <c r="O181" s="174">
        <v>8</v>
      </c>
      <c r="P181" s="235">
        <f ca="1">OFFSET($A$1,MATCH(Z175,$A:$A,0)-1,O181)</f>
        <v>16.399999999999999</v>
      </c>
      <c r="Q181" s="322" t="s">
        <v>29</v>
      </c>
      <c r="R181" s="323">
        <f t="shared" ca="1" si="44"/>
        <v>250087</v>
      </c>
      <c r="S181" s="323">
        <f t="shared" ca="1" si="45"/>
        <v>4101426</v>
      </c>
      <c r="T181" s="323">
        <f ca="1">보조원</f>
        <v>250087</v>
      </c>
      <c r="U181" s="323">
        <f t="shared" ca="1" si="46"/>
        <v>4101426</v>
      </c>
      <c r="V181" s="323"/>
      <c r="W181" s="323"/>
      <c r="X181" s="323"/>
      <c r="Y181" s="323"/>
      <c r="Z181" s="324"/>
    </row>
    <row r="182" spans="11:26" ht="18" customHeight="1">
      <c r="K182" s="171" t="s">
        <v>14</v>
      </c>
      <c r="L182" s="171"/>
      <c r="M182" s="171"/>
      <c r="N182" s="139" t="s">
        <v>17</v>
      </c>
      <c r="O182" s="68"/>
      <c r="P182" s="69"/>
      <c r="Q182" s="70"/>
      <c r="R182" s="71"/>
      <c r="S182" s="71">
        <f ca="1">SUBTOTAL(9,S176:S181)</f>
        <v>11132904</v>
      </c>
      <c r="T182" s="71"/>
      <c r="U182" s="71">
        <f ca="1">SUBTOTAL(9,U176:U181)</f>
        <v>11132904</v>
      </c>
      <c r="V182" s="71"/>
      <c r="W182" s="71"/>
      <c r="X182" s="71"/>
      <c r="Y182" s="71"/>
      <c r="Z182" s="68"/>
    </row>
    <row r="183" spans="11:26" ht="18" customHeight="1">
      <c r="K183" s="171" t="s">
        <v>14</v>
      </c>
      <c r="L183" s="171"/>
      <c r="M183" s="171"/>
      <c r="N183" s="318" t="str">
        <f ca="1">"제 " &amp; Z183 &amp; " 호표  "&amp; OFFSET($A$1,MATCH(Z183,$A:$A,0)-1,1)</f>
        <v>제 17 호표  3.6 건축물규모·형태·색채 등에 관한 계획</v>
      </c>
      <c r="O183" s="221"/>
      <c r="P183" s="148"/>
      <c r="Q183" s="148"/>
      <c r="R183" s="149"/>
      <c r="S183" s="149"/>
      <c r="T183" s="149"/>
      <c r="U183" s="149"/>
      <c r="V183" s="149"/>
      <c r="W183" s="149"/>
      <c r="X183" s="149"/>
      <c r="Y183" s="149"/>
      <c r="Z183" s="325">
        <f>Z175+1</f>
        <v>17</v>
      </c>
    </row>
    <row r="184" spans="11:26" ht="18" customHeight="1">
      <c r="K184" s="171" t="s">
        <v>14</v>
      </c>
      <c r="L184" s="171"/>
      <c r="M184" s="171"/>
      <c r="N184" s="140" t="s">
        <v>43</v>
      </c>
      <c r="O184" s="172">
        <v>3</v>
      </c>
      <c r="P184" s="219">
        <f ca="1">OFFSET($A$1,MATCH(Z183,$A:$A,0)-1,O184)</f>
        <v>5.5</v>
      </c>
      <c r="Q184" s="141" t="s">
        <v>29</v>
      </c>
      <c r="R184" s="142">
        <f t="shared" ref="R184:R189" ca="1" si="47">T184</f>
        <v>467217</v>
      </c>
      <c r="S184" s="142">
        <f t="shared" ref="S184:S189" ca="1" si="48">U184</f>
        <v>2569693</v>
      </c>
      <c r="T184" s="142">
        <f ca="1">기술사</f>
        <v>467217</v>
      </c>
      <c r="U184" s="142">
        <f t="shared" ref="U184:U189" ca="1" si="49">ROUNDDOWN(P184*R184,0)</f>
        <v>2569693</v>
      </c>
      <c r="V184" s="142"/>
      <c r="W184" s="142"/>
      <c r="X184" s="142"/>
      <c r="Y184" s="142"/>
      <c r="Z184" s="114"/>
    </row>
    <row r="185" spans="11:26" ht="18" customHeight="1">
      <c r="K185" s="171" t="s">
        <v>14</v>
      </c>
      <c r="L185" s="171"/>
      <c r="M185" s="171"/>
      <c r="N185" s="143" t="s">
        <v>32</v>
      </c>
      <c r="O185" s="173">
        <v>4</v>
      </c>
      <c r="P185" s="234">
        <f ca="1">OFFSET($A$1,MATCH(Z183,$A:$A,0)-1,O185)</f>
        <v>7.6</v>
      </c>
      <c r="Q185" s="144" t="s">
        <v>29</v>
      </c>
      <c r="R185" s="118">
        <f t="shared" ca="1" si="47"/>
        <v>373353</v>
      </c>
      <c r="S185" s="118">
        <f t="shared" ca="1" si="48"/>
        <v>2837482</v>
      </c>
      <c r="T185" s="118">
        <f ca="1">특급</f>
        <v>373353</v>
      </c>
      <c r="U185" s="118">
        <f t="shared" ca="1" si="49"/>
        <v>2837482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39</v>
      </c>
      <c r="O186" s="173">
        <v>5</v>
      </c>
      <c r="P186" s="234">
        <f ca="1">OFFSET($A$1,MATCH(Z183,$A:$A,0)-1,O186)</f>
        <v>16.600000000000001</v>
      </c>
      <c r="Q186" s="144" t="s">
        <v>29</v>
      </c>
      <c r="R186" s="118">
        <f t="shared" ca="1" si="47"/>
        <v>310884</v>
      </c>
      <c r="S186" s="118">
        <f t="shared" ca="1" si="48"/>
        <v>5160674</v>
      </c>
      <c r="T186" s="118">
        <f ca="1">고급</f>
        <v>310884</v>
      </c>
      <c r="U186" s="118">
        <f t="shared" ca="1" si="49"/>
        <v>5160674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40</v>
      </c>
      <c r="O187" s="173">
        <v>6</v>
      </c>
      <c r="P187" s="234">
        <f ca="1">OFFSET($A$1,MATCH(Z183,$A:$A,0)-1,O187)</f>
        <v>21.3</v>
      </c>
      <c r="Q187" s="144" t="s">
        <v>29</v>
      </c>
      <c r="R187" s="118">
        <f t="shared" ca="1" si="47"/>
        <v>295138</v>
      </c>
      <c r="S187" s="118">
        <f t="shared" ca="1" si="48"/>
        <v>6286439</v>
      </c>
      <c r="T187" s="118">
        <f ca="1">중급</f>
        <v>295138</v>
      </c>
      <c r="U187" s="118">
        <f t="shared" ca="1" si="49"/>
        <v>6286439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41</v>
      </c>
      <c r="O188" s="173">
        <v>7</v>
      </c>
      <c r="P188" s="234">
        <f ca="1">OFFSET($A$1,MATCH(Z183,$A:$A,0)-1,O188)</f>
        <v>43.8</v>
      </c>
      <c r="Q188" s="144" t="s">
        <v>29</v>
      </c>
      <c r="R188" s="118">
        <f t="shared" ca="1" si="47"/>
        <v>235459</v>
      </c>
      <c r="S188" s="118">
        <f t="shared" ca="1" si="48"/>
        <v>10313104</v>
      </c>
      <c r="T188" s="118">
        <f ca="1">초급</f>
        <v>235459</v>
      </c>
      <c r="U188" s="118">
        <f t="shared" ca="1" si="49"/>
        <v>10313104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319" t="s">
        <v>42</v>
      </c>
      <c r="O189" s="174">
        <v>8</v>
      </c>
      <c r="P189" s="235">
        <f ca="1">OFFSET($A$1,MATCH(Z183,$A:$A,0)-1,O189)</f>
        <v>49.2</v>
      </c>
      <c r="Q189" s="322" t="s">
        <v>29</v>
      </c>
      <c r="R189" s="323">
        <f t="shared" ca="1" si="47"/>
        <v>250087</v>
      </c>
      <c r="S189" s="323">
        <f t="shared" ca="1" si="48"/>
        <v>12304280</v>
      </c>
      <c r="T189" s="323">
        <f ca="1">보조원</f>
        <v>250087</v>
      </c>
      <c r="U189" s="323">
        <f t="shared" ca="1" si="49"/>
        <v>12304280</v>
      </c>
      <c r="V189" s="323"/>
      <c r="W189" s="323"/>
      <c r="X189" s="323"/>
      <c r="Y189" s="323"/>
      <c r="Z189" s="324"/>
    </row>
    <row r="190" spans="11:26" ht="18" customHeight="1">
      <c r="K190" s="171" t="s">
        <v>14</v>
      </c>
      <c r="L190" s="171"/>
      <c r="M190" s="171"/>
      <c r="N190" s="139" t="s">
        <v>17</v>
      </c>
      <c r="O190" s="68"/>
      <c r="P190" s="69"/>
      <c r="Q190" s="70"/>
      <c r="R190" s="71"/>
      <c r="S190" s="71">
        <f ca="1">SUBTOTAL(9,S184:S189)</f>
        <v>39471672</v>
      </c>
      <c r="T190" s="71"/>
      <c r="U190" s="71">
        <f ca="1">SUBTOTAL(9,U184:U189)</f>
        <v>39471672</v>
      </c>
      <c r="V190" s="71"/>
      <c r="W190" s="71"/>
      <c r="X190" s="71"/>
      <c r="Y190" s="71"/>
      <c r="Z190" s="68"/>
    </row>
    <row r="191" spans="11:26" ht="18" customHeight="1">
      <c r="K191" s="171" t="s">
        <v>14</v>
      </c>
      <c r="L191" s="171"/>
      <c r="M191" s="171"/>
      <c r="N191" s="318" t="str">
        <f ca="1">"제 " &amp; Z191 &amp; " 호표  "&amp; OFFSET($A$1,MATCH(Z191,$A:$A,0)-1,1)</f>
        <v>제 18 호표  3.7 경관계획</v>
      </c>
      <c r="O191" s="221"/>
      <c r="P191" s="148"/>
      <c r="Q191" s="148"/>
      <c r="R191" s="149"/>
      <c r="S191" s="149"/>
      <c r="T191" s="149"/>
      <c r="U191" s="149"/>
      <c r="V191" s="149"/>
      <c r="W191" s="149"/>
      <c r="X191" s="149"/>
      <c r="Y191" s="149"/>
      <c r="Z191" s="325">
        <f>Z183+1</f>
        <v>18</v>
      </c>
    </row>
    <row r="192" spans="11:26" ht="18" customHeight="1">
      <c r="K192" s="171" t="s">
        <v>14</v>
      </c>
      <c r="L192" s="171"/>
      <c r="M192" s="171"/>
      <c r="N192" s="140" t="s">
        <v>43</v>
      </c>
      <c r="O192" s="172">
        <v>3</v>
      </c>
      <c r="P192" s="219">
        <f ca="1">OFFSET($A$1,MATCH(Z191,$A:$A,0)-1,O192)</f>
        <v>1.5</v>
      </c>
      <c r="Q192" s="141" t="s">
        <v>29</v>
      </c>
      <c r="R192" s="142">
        <f t="shared" ref="R192:R197" ca="1" si="50">T192</f>
        <v>467217</v>
      </c>
      <c r="S192" s="142">
        <f t="shared" ref="S192:S197" ca="1" si="51">U192</f>
        <v>700825</v>
      </c>
      <c r="T192" s="142">
        <f ca="1">기술사</f>
        <v>467217</v>
      </c>
      <c r="U192" s="142">
        <f t="shared" ref="U192:U197" ca="1" si="52">ROUNDDOWN(P192*R192,0)</f>
        <v>700825</v>
      </c>
      <c r="V192" s="142"/>
      <c r="W192" s="142"/>
      <c r="X192" s="142"/>
      <c r="Y192" s="142"/>
      <c r="Z192" s="114"/>
    </row>
    <row r="193" spans="11:26" ht="18" customHeight="1">
      <c r="K193" s="171" t="s">
        <v>14</v>
      </c>
      <c r="L193" s="171"/>
      <c r="M193" s="171"/>
      <c r="N193" s="143" t="s">
        <v>32</v>
      </c>
      <c r="O193" s="173">
        <v>4</v>
      </c>
      <c r="P193" s="234">
        <f ca="1">OFFSET($A$1,MATCH(Z191,$A:$A,0)-1,O193)</f>
        <v>2.2000000000000002</v>
      </c>
      <c r="Q193" s="144" t="s">
        <v>29</v>
      </c>
      <c r="R193" s="118">
        <f t="shared" ca="1" si="50"/>
        <v>373353</v>
      </c>
      <c r="S193" s="118">
        <f t="shared" ca="1" si="51"/>
        <v>821376</v>
      </c>
      <c r="T193" s="118">
        <f ca="1">특급</f>
        <v>373353</v>
      </c>
      <c r="U193" s="118">
        <f t="shared" ca="1" si="52"/>
        <v>821376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39</v>
      </c>
      <c r="O194" s="173">
        <v>5</v>
      </c>
      <c r="P194" s="234">
        <f ca="1">OFFSET($A$1,MATCH(Z191,$A:$A,0)-1,O194)</f>
        <v>4.2</v>
      </c>
      <c r="Q194" s="144" t="s">
        <v>29</v>
      </c>
      <c r="R194" s="118">
        <f t="shared" ca="1" si="50"/>
        <v>310884</v>
      </c>
      <c r="S194" s="118">
        <f t="shared" ca="1" si="51"/>
        <v>1305712</v>
      </c>
      <c r="T194" s="118">
        <f ca="1">고급</f>
        <v>310884</v>
      </c>
      <c r="U194" s="118">
        <f t="shared" ca="1" si="52"/>
        <v>1305712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40</v>
      </c>
      <c r="O195" s="173">
        <v>6</v>
      </c>
      <c r="P195" s="234">
        <f ca="1">OFFSET($A$1,MATCH(Z191,$A:$A,0)-1,O195)</f>
        <v>3.5</v>
      </c>
      <c r="Q195" s="144" t="s">
        <v>29</v>
      </c>
      <c r="R195" s="118">
        <f t="shared" ca="1" si="50"/>
        <v>295138</v>
      </c>
      <c r="S195" s="118">
        <f t="shared" ca="1" si="51"/>
        <v>1032983</v>
      </c>
      <c r="T195" s="118">
        <f ca="1">중급</f>
        <v>295138</v>
      </c>
      <c r="U195" s="118">
        <f t="shared" ca="1" si="52"/>
        <v>1032983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41</v>
      </c>
      <c r="O196" s="173">
        <v>7</v>
      </c>
      <c r="P196" s="234">
        <f ca="1">OFFSET($A$1,MATCH(Z191,$A:$A,0)-1,O196)</f>
        <v>11.9</v>
      </c>
      <c r="Q196" s="144" t="s">
        <v>29</v>
      </c>
      <c r="R196" s="118">
        <f t="shared" ca="1" si="50"/>
        <v>235459</v>
      </c>
      <c r="S196" s="118">
        <f t="shared" ca="1" si="51"/>
        <v>2801962</v>
      </c>
      <c r="T196" s="118">
        <f ca="1">초급</f>
        <v>235459</v>
      </c>
      <c r="U196" s="118">
        <f t="shared" ca="1" si="52"/>
        <v>2801962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319" t="s">
        <v>42</v>
      </c>
      <c r="O197" s="174">
        <v>8</v>
      </c>
      <c r="P197" s="235">
        <f ca="1">OFFSET($A$1,MATCH(Z191,$A:$A,0)-1,O197)</f>
        <v>20.2</v>
      </c>
      <c r="Q197" s="322" t="s">
        <v>29</v>
      </c>
      <c r="R197" s="323">
        <f t="shared" ca="1" si="50"/>
        <v>250087</v>
      </c>
      <c r="S197" s="323">
        <f t="shared" ca="1" si="51"/>
        <v>5051757</v>
      </c>
      <c r="T197" s="323">
        <f ca="1">보조원</f>
        <v>250087</v>
      </c>
      <c r="U197" s="323">
        <f t="shared" ca="1" si="52"/>
        <v>5051757</v>
      </c>
      <c r="V197" s="323"/>
      <c r="W197" s="323"/>
      <c r="X197" s="323"/>
      <c r="Y197" s="323"/>
      <c r="Z197" s="324"/>
    </row>
    <row r="198" spans="11:26" ht="18" customHeight="1">
      <c r="K198" s="171" t="s">
        <v>14</v>
      </c>
      <c r="L198" s="171"/>
      <c r="M198" s="171"/>
      <c r="N198" s="139" t="s">
        <v>17</v>
      </c>
      <c r="O198" s="68"/>
      <c r="P198" s="69"/>
      <c r="Q198" s="70"/>
      <c r="R198" s="71"/>
      <c r="S198" s="71">
        <f ca="1">SUBTOTAL(9,S192:S197)</f>
        <v>11714615</v>
      </c>
      <c r="T198" s="71"/>
      <c r="U198" s="71">
        <f ca="1">SUBTOTAL(9,U192:U197)</f>
        <v>11714615</v>
      </c>
      <c r="V198" s="71"/>
      <c r="W198" s="71"/>
      <c r="X198" s="71"/>
      <c r="Y198" s="71"/>
      <c r="Z198" s="68"/>
    </row>
    <row r="199" spans="11:26" ht="18" customHeight="1">
      <c r="K199" s="171" t="s">
        <v>14</v>
      </c>
      <c r="L199" s="171"/>
      <c r="M199" s="171"/>
      <c r="N199" s="318" t="str">
        <f ca="1">"제 " &amp; Z199 &amp; " 호표  "&amp; OFFSET($A$1,MATCH(Z199,$A:$A,0)-1,1)</f>
        <v>제 19 호표  4.1 보고서작성 및 편집</v>
      </c>
      <c r="O199" s="221"/>
      <c r="P199" s="148"/>
      <c r="Q199" s="148"/>
      <c r="R199" s="149"/>
      <c r="S199" s="149"/>
      <c r="T199" s="149"/>
      <c r="U199" s="149"/>
      <c r="V199" s="149"/>
      <c r="W199" s="149"/>
      <c r="X199" s="149"/>
      <c r="Y199" s="149"/>
      <c r="Z199" s="325">
        <f>Z191+1</f>
        <v>19</v>
      </c>
    </row>
    <row r="200" spans="11:26" ht="18" customHeight="1">
      <c r="K200" s="171" t="s">
        <v>14</v>
      </c>
      <c r="L200" s="171"/>
      <c r="M200" s="171"/>
      <c r="N200" s="140" t="s">
        <v>43</v>
      </c>
      <c r="O200" s="172">
        <v>3</v>
      </c>
      <c r="P200" s="219">
        <f ca="1">OFFSET($A$1,MATCH(Z199,$A:$A,0)-1,O200)</f>
        <v>1.2</v>
      </c>
      <c r="Q200" s="141" t="s">
        <v>29</v>
      </c>
      <c r="R200" s="142">
        <f t="shared" ref="R200:R205" ca="1" si="53">T200</f>
        <v>467217</v>
      </c>
      <c r="S200" s="142">
        <f t="shared" ref="S200:S205" ca="1" si="54">U200</f>
        <v>560660</v>
      </c>
      <c r="T200" s="142">
        <f ca="1">기술사</f>
        <v>467217</v>
      </c>
      <c r="U200" s="142">
        <f t="shared" ref="U200:U205" ca="1" si="55">ROUNDDOWN(P200*R200,0)</f>
        <v>560660</v>
      </c>
      <c r="V200" s="142"/>
      <c r="W200" s="142"/>
      <c r="X200" s="142"/>
      <c r="Y200" s="142"/>
      <c r="Z200" s="114"/>
    </row>
    <row r="201" spans="11:26" ht="18" customHeight="1">
      <c r="K201" s="171" t="s">
        <v>14</v>
      </c>
      <c r="L201" s="171"/>
      <c r="M201" s="171"/>
      <c r="N201" s="143" t="s">
        <v>32</v>
      </c>
      <c r="O201" s="173">
        <v>4</v>
      </c>
      <c r="P201" s="234">
        <f ca="1">OFFSET($A$1,MATCH(Z199,$A:$A,0)-1,O201)</f>
        <v>2.4</v>
      </c>
      <c r="Q201" s="144" t="s">
        <v>29</v>
      </c>
      <c r="R201" s="118">
        <f t="shared" ca="1" si="53"/>
        <v>373353</v>
      </c>
      <c r="S201" s="118">
        <f t="shared" ca="1" si="54"/>
        <v>896047</v>
      </c>
      <c r="T201" s="118">
        <f ca="1">특급</f>
        <v>373353</v>
      </c>
      <c r="U201" s="118">
        <f t="shared" ca="1" si="55"/>
        <v>896047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39</v>
      </c>
      <c r="O202" s="173">
        <v>5</v>
      </c>
      <c r="P202" s="234">
        <f ca="1">OFFSET($A$1,MATCH(Z199,$A:$A,0)-1,O202)</f>
        <v>5.4</v>
      </c>
      <c r="Q202" s="144" t="s">
        <v>29</v>
      </c>
      <c r="R202" s="118">
        <f t="shared" ca="1" si="53"/>
        <v>310884</v>
      </c>
      <c r="S202" s="118">
        <f t="shared" ca="1" si="54"/>
        <v>1678773</v>
      </c>
      <c r="T202" s="118">
        <f ca="1">고급</f>
        <v>310884</v>
      </c>
      <c r="U202" s="118">
        <f t="shared" ca="1" si="55"/>
        <v>1678773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40</v>
      </c>
      <c r="O203" s="173">
        <v>6</v>
      </c>
      <c r="P203" s="234">
        <f ca="1">OFFSET($A$1,MATCH(Z199,$A:$A,0)-1,O203)</f>
        <v>9.1</v>
      </c>
      <c r="Q203" s="144" t="s">
        <v>29</v>
      </c>
      <c r="R203" s="118">
        <f t="shared" ca="1" si="53"/>
        <v>295138</v>
      </c>
      <c r="S203" s="118">
        <f t="shared" ca="1" si="54"/>
        <v>2685755</v>
      </c>
      <c r="T203" s="118">
        <f ca="1">중급</f>
        <v>295138</v>
      </c>
      <c r="U203" s="118">
        <f t="shared" ca="1" si="55"/>
        <v>2685755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41</v>
      </c>
      <c r="O204" s="173">
        <v>7</v>
      </c>
      <c r="P204" s="234">
        <f ca="1">OFFSET($A$1,MATCH(Z199,$A:$A,0)-1,O204)</f>
        <v>9.1</v>
      </c>
      <c r="Q204" s="144" t="s">
        <v>29</v>
      </c>
      <c r="R204" s="118">
        <f t="shared" ca="1" si="53"/>
        <v>235459</v>
      </c>
      <c r="S204" s="118">
        <f t="shared" ca="1" si="54"/>
        <v>2142676</v>
      </c>
      <c r="T204" s="118">
        <f ca="1">초급</f>
        <v>235459</v>
      </c>
      <c r="U204" s="118">
        <f t="shared" ca="1" si="55"/>
        <v>2142676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319" t="s">
        <v>42</v>
      </c>
      <c r="O205" s="174">
        <v>8</v>
      </c>
      <c r="P205" s="235">
        <f ca="1">OFFSET($A$1,MATCH(Z199,$A:$A,0)-1,O205)</f>
        <v>6.1</v>
      </c>
      <c r="Q205" s="322" t="s">
        <v>29</v>
      </c>
      <c r="R205" s="323">
        <f t="shared" ca="1" si="53"/>
        <v>250087</v>
      </c>
      <c r="S205" s="323">
        <f t="shared" ca="1" si="54"/>
        <v>1525530</v>
      </c>
      <c r="T205" s="323">
        <f ca="1">보조원</f>
        <v>250087</v>
      </c>
      <c r="U205" s="323">
        <f t="shared" ca="1" si="55"/>
        <v>1525530</v>
      </c>
      <c r="V205" s="323"/>
      <c r="W205" s="323"/>
      <c r="X205" s="323"/>
      <c r="Y205" s="323"/>
      <c r="Z205" s="324"/>
    </row>
    <row r="206" spans="11:26" ht="18" customHeight="1">
      <c r="K206" s="171" t="s">
        <v>14</v>
      </c>
      <c r="L206" s="171"/>
      <c r="M206" s="171"/>
      <c r="N206" s="139" t="s">
        <v>17</v>
      </c>
      <c r="O206" s="68"/>
      <c r="P206" s="69"/>
      <c r="Q206" s="70"/>
      <c r="R206" s="71"/>
      <c r="S206" s="71">
        <f ca="1">SUBTOTAL(9,S200:S205)</f>
        <v>9489441</v>
      </c>
      <c r="T206" s="71"/>
      <c r="U206" s="71">
        <f ca="1">SUBTOTAL(9,U200:U205)</f>
        <v>9489441</v>
      </c>
      <c r="V206" s="71"/>
      <c r="W206" s="71"/>
      <c r="X206" s="71"/>
      <c r="Y206" s="71"/>
      <c r="Z206" s="68"/>
    </row>
    <row r="207" spans="11:26" ht="18" customHeight="1">
      <c r="K207" s="171" t="s">
        <v>14</v>
      </c>
      <c r="L207" s="171"/>
      <c r="M207" s="171"/>
      <c r="N207" s="318" t="str">
        <f ca="1">"제 " &amp; Z207 &amp; " 호표  "&amp; OFFSET($A$1,MATCH(Z207,$A:$A,0)-1,1)</f>
        <v>제 20 호표  4.2 관련도서작성</v>
      </c>
      <c r="O207" s="221"/>
      <c r="P207" s="148"/>
      <c r="Q207" s="148"/>
      <c r="R207" s="149"/>
      <c r="S207" s="149"/>
      <c r="T207" s="149"/>
      <c r="U207" s="149"/>
      <c r="V207" s="149"/>
      <c r="W207" s="149"/>
      <c r="X207" s="149"/>
      <c r="Y207" s="149"/>
      <c r="Z207" s="325">
        <f>Z199+1</f>
        <v>20</v>
      </c>
    </row>
    <row r="208" spans="11:26" ht="18" customHeight="1">
      <c r="K208" s="171" t="s">
        <v>14</v>
      </c>
      <c r="L208" s="171"/>
      <c r="M208" s="171"/>
      <c r="N208" s="140" t="s">
        <v>43</v>
      </c>
      <c r="O208" s="172">
        <v>3</v>
      </c>
      <c r="P208" s="219">
        <f ca="1">OFFSET($A$1,MATCH(Z207,$A:$A,0)-1,O208)</f>
        <v>0.3</v>
      </c>
      <c r="Q208" s="141" t="s">
        <v>29</v>
      </c>
      <c r="R208" s="142">
        <f t="shared" ref="R208:R213" ca="1" si="56">T208</f>
        <v>467217</v>
      </c>
      <c r="S208" s="142">
        <f t="shared" ref="S208:S213" ca="1" si="57">U208</f>
        <v>140165</v>
      </c>
      <c r="T208" s="142">
        <f ca="1">기술사</f>
        <v>467217</v>
      </c>
      <c r="U208" s="142">
        <f t="shared" ref="U208:U213" ca="1" si="58">ROUNDDOWN(P208*R208,0)</f>
        <v>140165</v>
      </c>
      <c r="V208" s="142"/>
      <c r="W208" s="142"/>
      <c r="X208" s="142"/>
      <c r="Y208" s="142"/>
      <c r="Z208" s="114"/>
    </row>
    <row r="209" spans="11:26" ht="18" customHeight="1">
      <c r="K209" s="171" t="s">
        <v>14</v>
      </c>
      <c r="L209" s="171"/>
      <c r="M209" s="171"/>
      <c r="N209" s="143" t="s">
        <v>32</v>
      </c>
      <c r="O209" s="173">
        <v>4</v>
      </c>
      <c r="P209" s="234">
        <f ca="1">OFFSET($A$1,MATCH(Z207,$A:$A,0)-1,O209)</f>
        <v>1.2</v>
      </c>
      <c r="Q209" s="144" t="s">
        <v>29</v>
      </c>
      <c r="R209" s="118">
        <f t="shared" ca="1" si="56"/>
        <v>373353</v>
      </c>
      <c r="S209" s="118">
        <f t="shared" ca="1" si="57"/>
        <v>448023</v>
      </c>
      <c r="T209" s="118">
        <f ca="1">특급</f>
        <v>373353</v>
      </c>
      <c r="U209" s="118">
        <f t="shared" ca="1" si="58"/>
        <v>448023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39</v>
      </c>
      <c r="O210" s="173">
        <v>5</v>
      </c>
      <c r="P210" s="234">
        <f ca="1">OFFSET($A$1,MATCH(Z207,$A:$A,0)-1,O210)</f>
        <v>2.8</v>
      </c>
      <c r="Q210" s="144" t="s">
        <v>29</v>
      </c>
      <c r="R210" s="118">
        <f t="shared" ca="1" si="56"/>
        <v>310884</v>
      </c>
      <c r="S210" s="118">
        <f t="shared" ca="1" si="57"/>
        <v>870475</v>
      </c>
      <c r="T210" s="118">
        <f ca="1">고급</f>
        <v>310884</v>
      </c>
      <c r="U210" s="118">
        <f t="shared" ca="1" si="58"/>
        <v>870475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40</v>
      </c>
      <c r="O211" s="173">
        <v>6</v>
      </c>
      <c r="P211" s="234">
        <f ca="1">OFFSET($A$1,MATCH(Z207,$A:$A,0)-1,O211)</f>
        <v>6.1</v>
      </c>
      <c r="Q211" s="144" t="s">
        <v>29</v>
      </c>
      <c r="R211" s="118">
        <f t="shared" ca="1" si="56"/>
        <v>295138</v>
      </c>
      <c r="S211" s="118">
        <f t="shared" ca="1" si="57"/>
        <v>1800341</v>
      </c>
      <c r="T211" s="118">
        <f ca="1">중급</f>
        <v>295138</v>
      </c>
      <c r="U211" s="118">
        <f t="shared" ca="1" si="58"/>
        <v>1800341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41</v>
      </c>
      <c r="O212" s="173">
        <v>7</v>
      </c>
      <c r="P212" s="234">
        <f ca="1">OFFSET($A$1,MATCH(Z207,$A:$A,0)-1,O212)</f>
        <v>12.1</v>
      </c>
      <c r="Q212" s="144" t="s">
        <v>29</v>
      </c>
      <c r="R212" s="118">
        <f t="shared" ca="1" si="56"/>
        <v>235459</v>
      </c>
      <c r="S212" s="118">
        <f t="shared" ca="1" si="57"/>
        <v>2849053</v>
      </c>
      <c r="T212" s="118">
        <f ca="1">초급</f>
        <v>235459</v>
      </c>
      <c r="U212" s="118">
        <f t="shared" ca="1" si="58"/>
        <v>2849053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319" t="s">
        <v>42</v>
      </c>
      <c r="O213" s="174">
        <v>8</v>
      </c>
      <c r="P213" s="235">
        <f ca="1">OFFSET($A$1,MATCH(Z207,$A:$A,0)-1,O213)</f>
        <v>15.2</v>
      </c>
      <c r="Q213" s="322" t="s">
        <v>29</v>
      </c>
      <c r="R213" s="323">
        <f t="shared" ca="1" si="56"/>
        <v>250087</v>
      </c>
      <c r="S213" s="323">
        <f t="shared" ca="1" si="57"/>
        <v>3801322</v>
      </c>
      <c r="T213" s="323">
        <f ca="1">보조원</f>
        <v>250087</v>
      </c>
      <c r="U213" s="323">
        <f t="shared" ca="1" si="58"/>
        <v>3801322</v>
      </c>
      <c r="V213" s="323"/>
      <c r="W213" s="323"/>
      <c r="X213" s="323"/>
      <c r="Y213" s="323"/>
      <c r="Z213" s="324"/>
    </row>
    <row r="214" spans="11:26" ht="18" customHeight="1">
      <c r="K214" s="171" t="s">
        <v>14</v>
      </c>
      <c r="L214" s="171"/>
      <c r="M214" s="171"/>
      <c r="N214" s="139" t="s">
        <v>17</v>
      </c>
      <c r="O214" s="68"/>
      <c r="P214" s="69"/>
      <c r="Q214" s="70"/>
      <c r="R214" s="71"/>
      <c r="S214" s="71">
        <f ca="1">SUBTOTAL(9,S208:S213)</f>
        <v>9909379</v>
      </c>
      <c r="T214" s="71"/>
      <c r="U214" s="71">
        <f ca="1">SUBTOTAL(9,U208:U213)</f>
        <v>9909379</v>
      </c>
      <c r="V214" s="71"/>
      <c r="W214" s="71"/>
      <c r="X214" s="71"/>
      <c r="Y214" s="71"/>
      <c r="Z214" s="68"/>
    </row>
    <row r="215" spans="11:26" ht="18" customHeight="1">
      <c r="K215" s="171" t="s">
        <v>14</v>
      </c>
      <c r="L215" s="171"/>
      <c r="M215" s="171"/>
      <c r="N215" s="318" t="str">
        <f ca="1">"제 " &amp; Z215 &amp; " 호표  "&amp; OFFSET($A$1,MATCH(Z215,$A:$A,0)-1,1)</f>
        <v>제 21 호표  5.1 공청회/주민설명회</v>
      </c>
      <c r="O215" s="221"/>
      <c r="P215" s="148"/>
      <c r="Q215" s="148"/>
      <c r="R215" s="149"/>
      <c r="S215" s="149"/>
      <c r="T215" s="149"/>
      <c r="U215" s="149"/>
      <c r="V215" s="149"/>
      <c r="W215" s="149"/>
      <c r="X215" s="149"/>
      <c r="Y215" s="149"/>
      <c r="Z215" s="325">
        <f>Z207+1</f>
        <v>21</v>
      </c>
    </row>
    <row r="216" spans="11:26" ht="18" customHeight="1">
      <c r="K216" s="171" t="s">
        <v>14</v>
      </c>
      <c r="L216" s="171"/>
      <c r="M216" s="171"/>
      <c r="N216" s="140" t="s">
        <v>43</v>
      </c>
      <c r="O216" s="172">
        <v>3</v>
      </c>
      <c r="P216" s="219">
        <f ca="1">OFFSET($A$1,MATCH(Z215,$A:$A,0)-1,O216)</f>
        <v>2</v>
      </c>
      <c r="Q216" s="141" t="s">
        <v>29</v>
      </c>
      <c r="R216" s="142">
        <f t="shared" ref="R216:R221" ca="1" si="59">T216</f>
        <v>467217</v>
      </c>
      <c r="S216" s="142">
        <f t="shared" ref="S216:S221" ca="1" si="60">U216</f>
        <v>934434</v>
      </c>
      <c r="T216" s="142">
        <f ca="1">기술사</f>
        <v>467217</v>
      </c>
      <c r="U216" s="142">
        <f t="shared" ref="U216:U221" ca="1" si="61">ROUNDDOWN(P216*R216,0)</f>
        <v>934434</v>
      </c>
      <c r="V216" s="142"/>
      <c r="W216" s="142"/>
      <c r="X216" s="142"/>
      <c r="Y216" s="142"/>
      <c r="Z216" s="114"/>
    </row>
    <row r="217" spans="11:26" ht="18" customHeight="1">
      <c r="K217" s="171" t="s">
        <v>14</v>
      </c>
      <c r="L217" s="171"/>
      <c r="M217" s="171"/>
      <c r="N217" s="143" t="s">
        <v>32</v>
      </c>
      <c r="O217" s="173">
        <v>4</v>
      </c>
      <c r="P217" s="234">
        <f ca="1">OFFSET($A$1,MATCH(Z215,$A:$A,0)-1,O217)</f>
        <v>2</v>
      </c>
      <c r="Q217" s="144" t="s">
        <v>29</v>
      </c>
      <c r="R217" s="118">
        <f t="shared" ca="1" si="59"/>
        <v>373353</v>
      </c>
      <c r="S217" s="118">
        <f t="shared" ca="1" si="60"/>
        <v>746706</v>
      </c>
      <c r="T217" s="118">
        <f ca="1">특급</f>
        <v>373353</v>
      </c>
      <c r="U217" s="118">
        <f t="shared" ca="1" si="61"/>
        <v>746706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39</v>
      </c>
      <c r="O218" s="173">
        <v>5</v>
      </c>
      <c r="P218" s="234">
        <f ca="1">OFFSET($A$1,MATCH(Z215,$A:$A,0)-1,O218)</f>
        <v>2</v>
      </c>
      <c r="Q218" s="144" t="s">
        <v>29</v>
      </c>
      <c r="R218" s="118">
        <f t="shared" ca="1" si="59"/>
        <v>310884</v>
      </c>
      <c r="S218" s="118">
        <f t="shared" ca="1" si="60"/>
        <v>621768</v>
      </c>
      <c r="T218" s="118">
        <f ca="1">고급</f>
        <v>310884</v>
      </c>
      <c r="U218" s="118">
        <f t="shared" ca="1" si="61"/>
        <v>621768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40</v>
      </c>
      <c r="O219" s="173">
        <v>6</v>
      </c>
      <c r="P219" s="234">
        <f ca="1">OFFSET($A$1,MATCH(Z215,$A:$A,0)-1,O219)</f>
        <v>4</v>
      </c>
      <c r="Q219" s="144" t="s">
        <v>29</v>
      </c>
      <c r="R219" s="118">
        <f t="shared" ca="1" si="59"/>
        <v>295138</v>
      </c>
      <c r="S219" s="118">
        <f t="shared" ca="1" si="60"/>
        <v>1180552</v>
      </c>
      <c r="T219" s="118">
        <f ca="1">중급</f>
        <v>295138</v>
      </c>
      <c r="U219" s="118">
        <f t="shared" ca="1" si="61"/>
        <v>1180552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41</v>
      </c>
      <c r="O220" s="173">
        <v>7</v>
      </c>
      <c r="P220" s="234">
        <f ca="1">OFFSET($A$1,MATCH(Z215,$A:$A,0)-1,O220)</f>
        <v>4</v>
      </c>
      <c r="Q220" s="144" t="s">
        <v>29</v>
      </c>
      <c r="R220" s="118">
        <f t="shared" ca="1" si="59"/>
        <v>235459</v>
      </c>
      <c r="S220" s="118">
        <f t="shared" ca="1" si="60"/>
        <v>941836</v>
      </c>
      <c r="T220" s="118">
        <f ca="1">초급</f>
        <v>235459</v>
      </c>
      <c r="U220" s="118">
        <f t="shared" ca="1" si="61"/>
        <v>941836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319" t="s">
        <v>42</v>
      </c>
      <c r="O221" s="174">
        <v>8</v>
      </c>
      <c r="P221" s="235">
        <f ca="1">OFFSET($A$1,MATCH(Z215,$A:$A,0)-1,O221)</f>
        <v>4</v>
      </c>
      <c r="Q221" s="322" t="s">
        <v>29</v>
      </c>
      <c r="R221" s="323">
        <f t="shared" ca="1" si="59"/>
        <v>250087</v>
      </c>
      <c r="S221" s="323">
        <f t="shared" ca="1" si="60"/>
        <v>1000348</v>
      </c>
      <c r="T221" s="323">
        <f ca="1">보조원</f>
        <v>250087</v>
      </c>
      <c r="U221" s="323">
        <f t="shared" ca="1" si="61"/>
        <v>1000348</v>
      </c>
      <c r="V221" s="323"/>
      <c r="W221" s="323"/>
      <c r="X221" s="323"/>
      <c r="Y221" s="323"/>
      <c r="Z221" s="324"/>
    </row>
    <row r="222" spans="11:26" ht="18" customHeight="1">
      <c r="K222" s="171" t="s">
        <v>14</v>
      </c>
      <c r="L222" s="171"/>
      <c r="M222" s="171"/>
      <c r="N222" s="139" t="s">
        <v>17</v>
      </c>
      <c r="O222" s="68"/>
      <c r="P222" s="69"/>
      <c r="Q222" s="70"/>
      <c r="R222" s="71"/>
      <c r="S222" s="71">
        <f ca="1">SUBTOTAL(9,S216:S221)</f>
        <v>5425644</v>
      </c>
      <c r="T222" s="71"/>
      <c r="U222" s="71">
        <f ca="1">SUBTOTAL(9,U216:U221)</f>
        <v>5425644</v>
      </c>
      <c r="V222" s="71"/>
      <c r="W222" s="71"/>
      <c r="X222" s="71"/>
      <c r="Y222" s="71"/>
      <c r="Z222" s="68"/>
    </row>
    <row r="223" spans="11:26" ht="18" customHeight="1">
      <c r="K223" s="171" t="s">
        <v>14</v>
      </c>
      <c r="L223" s="171"/>
      <c r="M223" s="171"/>
      <c r="N223" s="318" t="str">
        <f ca="1">"제 " &amp; Z223 &amp; " 호표  "&amp; OFFSET($A$1,MATCH(Z223,$A:$A,0)-1,1)</f>
        <v>제 22 호표  5.2 주민간담회/시민계획단</v>
      </c>
      <c r="O223" s="221"/>
      <c r="P223" s="148"/>
      <c r="Q223" s="148"/>
      <c r="R223" s="149"/>
      <c r="S223" s="149"/>
      <c r="T223" s="149"/>
      <c r="U223" s="149"/>
      <c r="V223" s="149"/>
      <c r="W223" s="149"/>
      <c r="X223" s="149"/>
      <c r="Y223" s="149"/>
      <c r="Z223" s="325">
        <f>Z215+1</f>
        <v>22</v>
      </c>
    </row>
    <row r="224" spans="11:26" ht="18" customHeight="1">
      <c r="K224" s="171" t="s">
        <v>14</v>
      </c>
      <c r="L224" s="171"/>
      <c r="M224" s="171"/>
      <c r="N224" s="140" t="s">
        <v>43</v>
      </c>
      <c r="O224" s="172">
        <v>3</v>
      </c>
      <c r="P224" s="219">
        <f ca="1">OFFSET($A$1,MATCH(Z223,$A:$A,0)-1,O224)</f>
        <v>2</v>
      </c>
      <c r="Q224" s="141" t="s">
        <v>29</v>
      </c>
      <c r="R224" s="142">
        <f t="shared" ref="R224:R229" ca="1" si="62">T224</f>
        <v>467217</v>
      </c>
      <c r="S224" s="142">
        <f t="shared" ref="S224:S229" ca="1" si="63">U224</f>
        <v>934434</v>
      </c>
      <c r="T224" s="142">
        <f ca="1">기술사</f>
        <v>467217</v>
      </c>
      <c r="U224" s="142">
        <f t="shared" ref="U224:U229" ca="1" si="64">ROUNDDOWN(P224*R224,0)</f>
        <v>934434</v>
      </c>
      <c r="V224" s="142"/>
      <c r="W224" s="142"/>
      <c r="X224" s="142"/>
      <c r="Y224" s="142"/>
      <c r="Z224" s="114"/>
    </row>
    <row r="225" spans="11:26" ht="18" customHeight="1">
      <c r="K225" s="171" t="s">
        <v>14</v>
      </c>
      <c r="L225" s="171"/>
      <c r="M225" s="171"/>
      <c r="N225" s="143" t="s">
        <v>32</v>
      </c>
      <c r="O225" s="173">
        <v>4</v>
      </c>
      <c r="P225" s="234">
        <f ca="1">OFFSET($A$1,MATCH(Z223,$A:$A,0)-1,O225)</f>
        <v>2</v>
      </c>
      <c r="Q225" s="144" t="s">
        <v>29</v>
      </c>
      <c r="R225" s="118">
        <f t="shared" ca="1" si="62"/>
        <v>373353</v>
      </c>
      <c r="S225" s="118">
        <f t="shared" ca="1" si="63"/>
        <v>746706</v>
      </c>
      <c r="T225" s="118">
        <f ca="1">특급</f>
        <v>373353</v>
      </c>
      <c r="U225" s="118">
        <f t="shared" ca="1" si="64"/>
        <v>746706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39</v>
      </c>
      <c r="O226" s="173">
        <v>5</v>
      </c>
      <c r="P226" s="234">
        <f ca="1">OFFSET($A$1,MATCH(Z223,$A:$A,0)-1,O226)</f>
        <v>2</v>
      </c>
      <c r="Q226" s="144" t="s">
        <v>29</v>
      </c>
      <c r="R226" s="118">
        <f t="shared" ca="1" si="62"/>
        <v>310884</v>
      </c>
      <c r="S226" s="118">
        <f t="shared" ca="1" si="63"/>
        <v>621768</v>
      </c>
      <c r="T226" s="118">
        <f ca="1">고급</f>
        <v>310884</v>
      </c>
      <c r="U226" s="118">
        <f t="shared" ca="1" si="64"/>
        <v>621768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40</v>
      </c>
      <c r="O227" s="173">
        <v>6</v>
      </c>
      <c r="P227" s="234">
        <f ca="1">OFFSET($A$1,MATCH(Z223,$A:$A,0)-1,O227)</f>
        <v>4</v>
      </c>
      <c r="Q227" s="144" t="s">
        <v>29</v>
      </c>
      <c r="R227" s="118">
        <f t="shared" ca="1" si="62"/>
        <v>295138</v>
      </c>
      <c r="S227" s="118">
        <f t="shared" ca="1" si="63"/>
        <v>1180552</v>
      </c>
      <c r="T227" s="118">
        <f ca="1">중급</f>
        <v>295138</v>
      </c>
      <c r="U227" s="118">
        <f t="shared" ca="1" si="64"/>
        <v>1180552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41</v>
      </c>
      <c r="O228" s="173">
        <v>7</v>
      </c>
      <c r="P228" s="234">
        <f ca="1">OFFSET($A$1,MATCH(Z223,$A:$A,0)-1,O228)</f>
        <v>4</v>
      </c>
      <c r="Q228" s="144" t="s">
        <v>29</v>
      </c>
      <c r="R228" s="118">
        <f t="shared" ca="1" si="62"/>
        <v>235459</v>
      </c>
      <c r="S228" s="118">
        <f t="shared" ca="1" si="63"/>
        <v>941836</v>
      </c>
      <c r="T228" s="118">
        <f ca="1">초급</f>
        <v>235459</v>
      </c>
      <c r="U228" s="118">
        <f t="shared" ca="1" si="64"/>
        <v>941836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319" t="s">
        <v>42</v>
      </c>
      <c r="O229" s="174">
        <v>8</v>
      </c>
      <c r="P229" s="235">
        <f ca="1">OFFSET($A$1,MATCH(Z223,$A:$A,0)-1,O229)</f>
        <v>4</v>
      </c>
      <c r="Q229" s="322" t="s">
        <v>29</v>
      </c>
      <c r="R229" s="323">
        <f t="shared" ca="1" si="62"/>
        <v>250087</v>
      </c>
      <c r="S229" s="323">
        <f t="shared" ca="1" si="63"/>
        <v>1000348</v>
      </c>
      <c r="T229" s="323">
        <f ca="1">보조원</f>
        <v>250087</v>
      </c>
      <c r="U229" s="323">
        <f t="shared" ca="1" si="64"/>
        <v>1000348</v>
      </c>
      <c r="V229" s="323"/>
      <c r="W229" s="323"/>
      <c r="X229" s="323"/>
      <c r="Y229" s="323"/>
      <c r="Z229" s="324"/>
    </row>
    <row r="230" spans="11:26" ht="18" customHeight="1">
      <c r="K230" s="171" t="s">
        <v>14</v>
      </c>
      <c r="L230" s="171"/>
      <c r="M230" s="171"/>
      <c r="N230" s="139" t="s">
        <v>17</v>
      </c>
      <c r="O230" s="68"/>
      <c r="P230" s="69"/>
      <c r="Q230" s="70"/>
      <c r="R230" s="71"/>
      <c r="S230" s="71">
        <f ca="1">SUBTOTAL(9,S224:S229)</f>
        <v>5425644</v>
      </c>
      <c r="T230" s="71"/>
      <c r="U230" s="71">
        <f ca="1">SUBTOTAL(9,U224:U229)</f>
        <v>5425644</v>
      </c>
      <c r="V230" s="71"/>
      <c r="W230" s="71"/>
      <c r="X230" s="71"/>
      <c r="Y230" s="71"/>
      <c r="Z230" s="68"/>
    </row>
    <row r="231" spans="11:26" ht="18" customHeight="1">
      <c r="K231" s="171" t="s">
        <v>14</v>
      </c>
      <c r="L231" s="171"/>
      <c r="M231" s="171"/>
      <c r="N231" s="318" t="str">
        <f ca="1">"제 " &amp; Z231 &amp; " 호표  "&amp; OFFSET($A$1,MATCH(Z231,$A:$A,0)-1,1)</f>
        <v>제 23 호표  5.3 위원회심의 지원</v>
      </c>
      <c r="O231" s="221"/>
      <c r="P231" s="148"/>
      <c r="Q231" s="148"/>
      <c r="R231" s="149"/>
      <c r="S231" s="149"/>
      <c r="T231" s="149"/>
      <c r="U231" s="149"/>
      <c r="V231" s="149"/>
      <c r="W231" s="149"/>
      <c r="X231" s="149"/>
      <c r="Y231" s="149"/>
      <c r="Z231" s="325">
        <f>Z223+1</f>
        <v>23</v>
      </c>
    </row>
    <row r="232" spans="11:26" ht="18" customHeight="1">
      <c r="K232" s="171" t="s">
        <v>14</v>
      </c>
      <c r="L232" s="171"/>
      <c r="M232" s="171"/>
      <c r="N232" s="140" t="s">
        <v>43</v>
      </c>
      <c r="O232" s="172">
        <v>3</v>
      </c>
      <c r="P232" s="219">
        <f ca="1">OFFSET($A$1,MATCH(Z231,$A:$A,0)-1,O232)</f>
        <v>2</v>
      </c>
      <c r="Q232" s="141" t="s">
        <v>29</v>
      </c>
      <c r="R232" s="142">
        <f t="shared" ref="R232:R237" ca="1" si="65">T232</f>
        <v>467217</v>
      </c>
      <c r="S232" s="142">
        <f t="shared" ref="S232:S237" ca="1" si="66">U232</f>
        <v>934434</v>
      </c>
      <c r="T232" s="142">
        <f ca="1">기술사</f>
        <v>467217</v>
      </c>
      <c r="U232" s="142">
        <f t="shared" ref="U232:U237" ca="1" si="67">ROUNDDOWN(P232*R232,0)</f>
        <v>934434</v>
      </c>
      <c r="V232" s="142"/>
      <c r="W232" s="142"/>
      <c r="X232" s="142"/>
      <c r="Y232" s="142"/>
      <c r="Z232" s="114"/>
    </row>
    <row r="233" spans="11:26" ht="18" customHeight="1">
      <c r="K233" s="171" t="s">
        <v>14</v>
      </c>
      <c r="L233" s="171"/>
      <c r="M233" s="171"/>
      <c r="N233" s="143" t="s">
        <v>32</v>
      </c>
      <c r="O233" s="173">
        <v>4</v>
      </c>
      <c r="P233" s="234">
        <f ca="1">OFFSET($A$1,MATCH(Z231,$A:$A,0)-1,O233)</f>
        <v>2</v>
      </c>
      <c r="Q233" s="144" t="s">
        <v>29</v>
      </c>
      <c r="R233" s="118">
        <f t="shared" ca="1" si="65"/>
        <v>373353</v>
      </c>
      <c r="S233" s="118">
        <f t="shared" ca="1" si="66"/>
        <v>746706</v>
      </c>
      <c r="T233" s="118">
        <f ca="1">특급</f>
        <v>373353</v>
      </c>
      <c r="U233" s="118">
        <f t="shared" ca="1" si="67"/>
        <v>746706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39</v>
      </c>
      <c r="O234" s="173">
        <v>5</v>
      </c>
      <c r="P234" s="234">
        <f ca="1">OFFSET($A$1,MATCH(Z231,$A:$A,0)-1,O234)</f>
        <v>2</v>
      </c>
      <c r="Q234" s="144" t="s">
        <v>29</v>
      </c>
      <c r="R234" s="118">
        <f t="shared" ca="1" si="65"/>
        <v>310884</v>
      </c>
      <c r="S234" s="118">
        <f t="shared" ca="1" si="66"/>
        <v>621768</v>
      </c>
      <c r="T234" s="118">
        <f ca="1">고급</f>
        <v>310884</v>
      </c>
      <c r="U234" s="118">
        <f t="shared" ca="1" si="67"/>
        <v>621768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40</v>
      </c>
      <c r="O235" s="173">
        <v>6</v>
      </c>
      <c r="P235" s="234">
        <f ca="1">OFFSET($A$1,MATCH(Z231,$A:$A,0)-1,O235)</f>
        <v>4</v>
      </c>
      <c r="Q235" s="144" t="s">
        <v>29</v>
      </c>
      <c r="R235" s="118">
        <f t="shared" ca="1" si="65"/>
        <v>295138</v>
      </c>
      <c r="S235" s="118">
        <f t="shared" ca="1" si="66"/>
        <v>1180552</v>
      </c>
      <c r="T235" s="118">
        <f ca="1">중급</f>
        <v>295138</v>
      </c>
      <c r="U235" s="118">
        <f t="shared" ca="1" si="67"/>
        <v>1180552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41</v>
      </c>
      <c r="O236" s="173">
        <v>7</v>
      </c>
      <c r="P236" s="234">
        <f ca="1">OFFSET($A$1,MATCH(Z231,$A:$A,0)-1,O236)</f>
        <v>4</v>
      </c>
      <c r="Q236" s="144" t="s">
        <v>29</v>
      </c>
      <c r="R236" s="118">
        <f t="shared" ca="1" si="65"/>
        <v>235459</v>
      </c>
      <c r="S236" s="118">
        <f t="shared" ca="1" si="66"/>
        <v>941836</v>
      </c>
      <c r="T236" s="118">
        <f ca="1">초급</f>
        <v>235459</v>
      </c>
      <c r="U236" s="118">
        <f t="shared" ca="1" si="67"/>
        <v>941836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319" t="s">
        <v>42</v>
      </c>
      <c r="O237" s="174">
        <v>8</v>
      </c>
      <c r="P237" s="235">
        <f ca="1">OFFSET($A$1,MATCH(Z231,$A:$A,0)-1,O237)</f>
        <v>4</v>
      </c>
      <c r="Q237" s="322" t="s">
        <v>29</v>
      </c>
      <c r="R237" s="323">
        <f t="shared" ca="1" si="65"/>
        <v>250087</v>
      </c>
      <c r="S237" s="323">
        <f t="shared" ca="1" si="66"/>
        <v>1000348</v>
      </c>
      <c r="T237" s="323">
        <f ca="1">보조원</f>
        <v>250087</v>
      </c>
      <c r="U237" s="323">
        <f t="shared" ca="1" si="67"/>
        <v>1000348</v>
      </c>
      <c r="V237" s="323"/>
      <c r="W237" s="323"/>
      <c r="X237" s="323"/>
      <c r="Y237" s="323"/>
      <c r="Z237" s="324"/>
    </row>
    <row r="238" spans="11:26" ht="18" customHeight="1">
      <c r="K238" s="171" t="s">
        <v>14</v>
      </c>
      <c r="L238" s="171"/>
      <c r="M238" s="171"/>
      <c r="N238" s="139" t="s">
        <v>17</v>
      </c>
      <c r="O238" s="68"/>
      <c r="P238" s="69"/>
      <c r="Q238" s="70"/>
      <c r="R238" s="71"/>
      <c r="S238" s="71">
        <f ca="1">SUBTOTAL(9,S232:S237)</f>
        <v>5425644</v>
      </c>
      <c r="T238" s="71"/>
      <c r="U238" s="71">
        <f ca="1">SUBTOTAL(9,U232:U237)</f>
        <v>5425644</v>
      </c>
      <c r="V238" s="71"/>
      <c r="W238" s="71"/>
      <c r="X238" s="71"/>
      <c r="Y238" s="71"/>
      <c r="Z238" s="68"/>
    </row>
    <row r="239" spans="11:26" ht="18" customHeight="1">
      <c r="K239" s="171" t="s">
        <v>14</v>
      </c>
      <c r="L239" s="171"/>
      <c r="M239" s="171"/>
      <c r="N239" s="318" t="str">
        <f ca="1">"제 " &amp; Z239 &amp; " 호표  "&amp; OFFSET($A$1,MATCH(Z239,$A:$A,0)-1,1)</f>
        <v>제 24 호표  5.4 관계기관 협의</v>
      </c>
      <c r="O239" s="221"/>
      <c r="P239" s="148"/>
      <c r="Q239" s="148"/>
      <c r="R239" s="149"/>
      <c r="S239" s="149"/>
      <c r="T239" s="149"/>
      <c r="U239" s="149"/>
      <c r="V239" s="149"/>
      <c r="W239" s="149"/>
      <c r="X239" s="149"/>
      <c r="Y239" s="149"/>
      <c r="Z239" s="325">
        <f>Z231+1</f>
        <v>24</v>
      </c>
    </row>
    <row r="240" spans="11:26" ht="18" customHeight="1">
      <c r="K240" s="171" t="s">
        <v>14</v>
      </c>
      <c r="L240" s="171"/>
      <c r="M240" s="171"/>
      <c r="N240" s="140" t="s">
        <v>43</v>
      </c>
      <c r="O240" s="172">
        <v>3</v>
      </c>
      <c r="P240" s="219">
        <f ca="1">OFFSET($A$1,MATCH(Z239,$A:$A,0)-1,O240)</f>
        <v>2</v>
      </c>
      <c r="Q240" s="141" t="s">
        <v>29</v>
      </c>
      <c r="R240" s="142">
        <f t="shared" ref="R240:R245" ca="1" si="68">T240</f>
        <v>467217</v>
      </c>
      <c r="S240" s="142">
        <f t="shared" ref="S240:S245" ca="1" si="69">U240</f>
        <v>934434</v>
      </c>
      <c r="T240" s="142">
        <f ca="1">기술사</f>
        <v>467217</v>
      </c>
      <c r="U240" s="142">
        <f t="shared" ref="U240:U245" ca="1" si="70">ROUNDDOWN(P240*R240,0)</f>
        <v>934434</v>
      </c>
      <c r="V240" s="142"/>
      <c r="W240" s="142"/>
      <c r="X240" s="142"/>
      <c r="Y240" s="142"/>
      <c r="Z240" s="114"/>
    </row>
    <row r="241" spans="11:26" ht="18" customHeight="1">
      <c r="K241" s="171" t="s">
        <v>14</v>
      </c>
      <c r="L241" s="171"/>
      <c r="M241" s="171"/>
      <c r="N241" s="143" t="s">
        <v>32</v>
      </c>
      <c r="O241" s="173">
        <v>4</v>
      </c>
      <c r="P241" s="234">
        <f ca="1">OFFSET($A$1,MATCH(Z239,$A:$A,0)-1,O241)</f>
        <v>2</v>
      </c>
      <c r="Q241" s="144" t="s">
        <v>29</v>
      </c>
      <c r="R241" s="118">
        <f t="shared" ca="1" si="68"/>
        <v>373353</v>
      </c>
      <c r="S241" s="118">
        <f t="shared" ca="1" si="69"/>
        <v>746706</v>
      </c>
      <c r="T241" s="118">
        <f ca="1">특급</f>
        <v>373353</v>
      </c>
      <c r="U241" s="118">
        <f t="shared" ca="1" si="70"/>
        <v>746706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39</v>
      </c>
      <c r="O242" s="173">
        <v>5</v>
      </c>
      <c r="P242" s="234">
        <f ca="1">OFFSET($A$1,MATCH(Z239,$A:$A,0)-1,O242)</f>
        <v>2</v>
      </c>
      <c r="Q242" s="144" t="s">
        <v>29</v>
      </c>
      <c r="R242" s="118">
        <f t="shared" ca="1" si="68"/>
        <v>310884</v>
      </c>
      <c r="S242" s="118">
        <f t="shared" ca="1" si="69"/>
        <v>621768</v>
      </c>
      <c r="T242" s="118">
        <f ca="1">고급</f>
        <v>310884</v>
      </c>
      <c r="U242" s="118">
        <f t="shared" ca="1" si="70"/>
        <v>621768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145" t="s">
        <v>40</v>
      </c>
      <c r="O243" s="173">
        <v>6</v>
      </c>
      <c r="P243" s="234">
        <f ca="1">OFFSET($A$1,MATCH(Z239,$A:$A,0)-1,O243)</f>
        <v>4</v>
      </c>
      <c r="Q243" s="144" t="s">
        <v>29</v>
      </c>
      <c r="R243" s="118">
        <f t="shared" ca="1" si="68"/>
        <v>295138</v>
      </c>
      <c r="S243" s="118">
        <f t="shared" ca="1" si="69"/>
        <v>1180552</v>
      </c>
      <c r="T243" s="118">
        <f ca="1">중급</f>
        <v>295138</v>
      </c>
      <c r="U243" s="118">
        <f t="shared" ca="1" si="70"/>
        <v>1180552</v>
      </c>
      <c r="V243" s="118"/>
      <c r="W243" s="118"/>
      <c r="X243" s="118"/>
      <c r="Y243" s="118"/>
      <c r="Z243" s="115"/>
    </row>
    <row r="244" spans="11:26" ht="18" customHeight="1">
      <c r="K244" s="171" t="s">
        <v>14</v>
      </c>
      <c r="L244" s="171"/>
      <c r="M244" s="171"/>
      <c r="N244" s="145" t="s">
        <v>41</v>
      </c>
      <c r="O244" s="173">
        <v>7</v>
      </c>
      <c r="P244" s="234">
        <f ca="1">OFFSET($A$1,MATCH(Z239,$A:$A,0)-1,O244)</f>
        <v>4</v>
      </c>
      <c r="Q244" s="144" t="s">
        <v>29</v>
      </c>
      <c r="R244" s="118">
        <f t="shared" ca="1" si="68"/>
        <v>235459</v>
      </c>
      <c r="S244" s="118">
        <f t="shared" ca="1" si="69"/>
        <v>941836</v>
      </c>
      <c r="T244" s="118">
        <f ca="1">초급</f>
        <v>235459</v>
      </c>
      <c r="U244" s="118">
        <f t="shared" ca="1" si="70"/>
        <v>941836</v>
      </c>
      <c r="V244" s="118"/>
      <c r="W244" s="118"/>
      <c r="X244" s="118"/>
      <c r="Y244" s="118"/>
      <c r="Z244" s="115"/>
    </row>
    <row r="245" spans="11:26" ht="18" customHeight="1">
      <c r="K245" s="171" t="s">
        <v>14</v>
      </c>
      <c r="L245" s="171"/>
      <c r="M245" s="171"/>
      <c r="N245" s="319" t="s">
        <v>42</v>
      </c>
      <c r="O245" s="174">
        <v>8</v>
      </c>
      <c r="P245" s="235">
        <f ca="1">OFFSET($A$1,MATCH(Z239,$A:$A,0)-1,O245)</f>
        <v>4</v>
      </c>
      <c r="Q245" s="322" t="s">
        <v>29</v>
      </c>
      <c r="R245" s="323">
        <f t="shared" ca="1" si="68"/>
        <v>250087</v>
      </c>
      <c r="S245" s="323">
        <f t="shared" ca="1" si="69"/>
        <v>1000348</v>
      </c>
      <c r="T245" s="323">
        <f ca="1">보조원</f>
        <v>250087</v>
      </c>
      <c r="U245" s="323">
        <f t="shared" ca="1" si="70"/>
        <v>1000348</v>
      </c>
      <c r="V245" s="323"/>
      <c r="W245" s="323"/>
      <c r="X245" s="323"/>
      <c r="Y245" s="323"/>
      <c r="Z245" s="324"/>
    </row>
    <row r="246" spans="11:26" ht="18" customHeight="1">
      <c r="K246" s="171" t="s">
        <v>14</v>
      </c>
      <c r="L246" s="171"/>
      <c r="M246" s="171"/>
      <c r="N246" s="139" t="s">
        <v>17</v>
      </c>
      <c r="O246" s="68"/>
      <c r="P246" s="69"/>
      <c r="Q246" s="70"/>
      <c r="R246" s="71"/>
      <c r="S246" s="71">
        <f ca="1">SUBTOTAL(9,S240:S245)</f>
        <v>5425644</v>
      </c>
      <c r="T246" s="71"/>
      <c r="U246" s="71">
        <f ca="1">SUBTOTAL(9,U240:U245)</f>
        <v>5425644</v>
      </c>
      <c r="V246" s="71"/>
      <c r="W246" s="71"/>
      <c r="X246" s="71"/>
      <c r="Y246" s="71"/>
      <c r="Z246" s="68"/>
    </row>
    <row r="247" spans="11:26" ht="18" customHeight="1">
      <c r="K247" s="171" t="s">
        <v>14</v>
      </c>
      <c r="L247" s="171"/>
      <c r="M247" s="171"/>
    </row>
    <row r="248" spans="11:26" ht="18" customHeight="1">
      <c r="K248" s="171" t="s">
        <v>14</v>
      </c>
      <c r="L248" s="171"/>
      <c r="M248" s="171"/>
    </row>
    <row r="249" spans="11:26" ht="18" customHeight="1">
      <c r="K249" s="171" t="s">
        <v>14</v>
      </c>
      <c r="L249" s="171"/>
      <c r="M249" s="171"/>
    </row>
    <row r="250" spans="11:26" ht="18" customHeight="1">
      <c r="K250" s="171" t="s">
        <v>14</v>
      </c>
      <c r="L250" s="171"/>
      <c r="M250" s="171"/>
    </row>
    <row r="251" spans="11:26" ht="18" customHeight="1">
      <c r="K251" s="171" t="s">
        <v>14</v>
      </c>
      <c r="L251" s="171"/>
      <c r="M251" s="171"/>
    </row>
    <row r="252" spans="11:26" ht="18" customHeight="1">
      <c r="K252" s="171" t="s">
        <v>14</v>
      </c>
      <c r="L252" s="171"/>
      <c r="M252" s="171"/>
    </row>
    <row r="253" spans="11:26" ht="18" customHeight="1">
      <c r="K253" s="171" t="s">
        <v>14</v>
      </c>
      <c r="L253" s="171"/>
      <c r="M253" s="171"/>
    </row>
    <row r="254" spans="11:26" ht="18" customHeight="1">
      <c r="K254" s="171" t="s">
        <v>14</v>
      </c>
      <c r="L254" s="171"/>
      <c r="M254" s="171"/>
    </row>
    <row r="255" spans="11:26" ht="18" customHeight="1">
      <c r="K255" s="171" t="s">
        <v>14</v>
      </c>
      <c r="L255" s="171"/>
      <c r="M255" s="171"/>
    </row>
    <row r="256" spans="11:26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L617" s="171"/>
      <c r="M617" s="171"/>
    </row>
    <row r="618" spans="11:13" ht="18" customHeight="1">
      <c r="L618" s="171"/>
      <c r="M618" s="171"/>
    </row>
    <row r="619" spans="11:13" ht="18" customHeight="1"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</row>
    <row r="751" spans="12:13" ht="18" customHeight="1">
      <c r="L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  <row r="764" spans="12:12" ht="18" customHeight="1">
      <c r="L764" s="171"/>
    </row>
    <row r="765" spans="12:12" ht="18" customHeight="1">
      <c r="L765" s="171"/>
    </row>
    <row r="766" spans="12:12" ht="18" customHeight="1">
      <c r="L766" s="171"/>
    </row>
    <row r="767" spans="12:12" ht="18" customHeight="1">
      <c r="L767" s="171"/>
    </row>
    <row r="768" spans="12:12" ht="18" customHeight="1">
      <c r="L768" s="171"/>
    </row>
    <row r="769" spans="12:12" ht="18" customHeight="1">
      <c r="L769" s="171"/>
    </row>
    <row r="770" spans="12:12" ht="18" customHeight="1">
      <c r="L770" s="171"/>
    </row>
  </sheetData>
  <mergeCells count="18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O53:O54"/>
    <mergeCell ref="P53:P54"/>
    <mergeCell ref="Q53:Q54"/>
    <mergeCell ref="Z53:Z54"/>
    <mergeCell ref="B11:C12"/>
    <mergeCell ref="J11:J12"/>
    <mergeCell ref="L11:L12"/>
    <mergeCell ref="B24:C24"/>
    <mergeCell ref="N53:N54"/>
  </mergeCells>
  <phoneticPr fontId="14" type="noConversion"/>
  <conditionalFormatting sqref="V13:V42">
    <cfRule type="cellIs" dxfId="6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56">
    <tabColor rgb="FFFFC000"/>
    <pageSetUpPr fitToPage="1"/>
  </sheetPr>
  <dimension ref="A1:AB814"/>
  <sheetViews>
    <sheetView showGridLines="0" zoomScale="85" zoomScaleNormal="85" zoomScaleSheetLayoutView="75" workbookViewId="0">
      <selection activeCell="G4" sqref="G4:H4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413</v>
      </c>
    </row>
    <row r="2" spans="1:27" ht="19.5" thickBot="1">
      <c r="B2" s="66" t="s">
        <v>1</v>
      </c>
    </row>
    <row r="3" spans="1:27" ht="18" customHeight="1">
      <c r="B3" s="773" t="s">
        <v>48</v>
      </c>
      <c r="C3" s="774"/>
      <c r="D3" s="809">
        <v>3</v>
      </c>
      <c r="E3" s="810"/>
      <c r="F3" s="44" t="s">
        <v>393</v>
      </c>
      <c r="G3" s="767" t="s">
        <v>1104</v>
      </c>
      <c r="H3" s="768"/>
      <c r="I3" s="656">
        <v>2</v>
      </c>
      <c r="J3" s="669" t="s">
        <v>1105</v>
      </c>
    </row>
    <row r="4" spans="1:27" ht="18" customHeight="1">
      <c r="B4" s="777" t="s">
        <v>1490</v>
      </c>
      <c r="C4" s="778"/>
      <c r="D4" s="811">
        <v>3</v>
      </c>
      <c r="E4" s="812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</row>
    <row r="5" spans="1:27" ht="18" customHeight="1" thickBot="1">
      <c r="B5" s="781" t="s">
        <v>394</v>
      </c>
      <c r="C5" s="782"/>
      <c r="D5" s="783">
        <f>ROUND((IF(D4&lt;=0.1,0.1,D4)/D3)^0.5,3)</f>
        <v>1</v>
      </c>
      <c r="E5" s="813"/>
      <c r="F5" s="244"/>
      <c r="G5" s="771" t="s">
        <v>1102</v>
      </c>
      <c r="H5" s="772"/>
      <c r="I5" s="646">
        <f>ROUND(I4/I3,3)</f>
        <v>1</v>
      </c>
      <c r="J5" s="671"/>
    </row>
    <row r="6" spans="1:27" ht="18" customHeight="1">
      <c r="B6" s="9" t="s">
        <v>1491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B7" s="9"/>
      <c r="C7" s="9" t="s">
        <v>1492</v>
      </c>
      <c r="D7" s="64"/>
      <c r="E7" s="64"/>
      <c r="G7" s="9"/>
      <c r="J7" s="36"/>
      <c r="R7" s="1"/>
      <c r="S7" s="1"/>
      <c r="T7" s="1"/>
    </row>
    <row r="8" spans="1:27" ht="18" customHeight="1">
      <c r="G8" s="36"/>
      <c r="W8" s="188" t="s">
        <v>3</v>
      </c>
      <c r="X8" s="189"/>
    </row>
    <row r="9" spans="1:27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7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SUBTOTAL(9,W11:W42)</f>
        <v>174328519</v>
      </c>
      <c r="X10" s="187"/>
      <c r="Y10" s="177"/>
      <c r="Z10" s="167"/>
    </row>
    <row r="11" spans="1:27" ht="18" customHeight="1">
      <c r="A11" s="326"/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SUBTOTAL(9,W12:W39)</f>
        <v>65261546</v>
      </c>
      <c r="X11" s="164"/>
      <c r="Y11" s="178" t="s">
        <v>9</v>
      </c>
      <c r="Z11" s="179"/>
    </row>
    <row r="12" spans="1:27" ht="18" customHeight="1" thickBot="1">
      <c r="A12" s="326"/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SUBTOTAL(9,W13:W35)</f>
        <v>60761546</v>
      </c>
      <c r="X12" s="160"/>
      <c r="Y12" s="168"/>
      <c r="Z12" s="168"/>
    </row>
    <row r="13" spans="1:27" ht="18" customHeight="1">
      <c r="A13" s="355"/>
      <c r="B13" s="225"/>
      <c r="C13" s="72" t="s">
        <v>398</v>
      </c>
      <c r="D13" s="30">
        <f t="shared" ref="D13:I13" si="0">SUBTOTAL(9,D14:D16)</f>
        <v>0</v>
      </c>
      <c r="E13" s="31">
        <f t="shared" si="0"/>
        <v>0.30000000000000004</v>
      </c>
      <c r="F13" s="31">
        <f t="shared" si="0"/>
        <v>0.30000000000000004</v>
      </c>
      <c r="G13" s="31">
        <f t="shared" si="0"/>
        <v>0.30000000000000004</v>
      </c>
      <c r="H13" s="31">
        <f t="shared" si="0"/>
        <v>0.60000000000000009</v>
      </c>
      <c r="I13" s="32">
        <f t="shared" si="0"/>
        <v>0.60000000000000009</v>
      </c>
      <c r="J13" s="654"/>
      <c r="L13" s="232"/>
      <c r="N13" s="354" t="s">
        <v>0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SUBTOTAL(9,W14:W16)</f>
        <v>585132</v>
      </c>
      <c r="X13" s="194"/>
      <c r="Y13" s="170" t="str">
        <f>IF(A37&gt;0, "제 " &amp;A37&amp; " 호표","")</f>
        <v/>
      </c>
      <c r="Z13" s="170"/>
      <c r="AA13" s="229"/>
    </row>
    <row r="14" spans="1:27" ht="18" customHeight="1">
      <c r="A14" s="355"/>
      <c r="B14" s="223"/>
      <c r="C14" s="237" t="s">
        <v>1472</v>
      </c>
      <c r="D14" s="20">
        <v>0</v>
      </c>
      <c r="E14" s="21">
        <v>0.1</v>
      </c>
      <c r="F14" s="21">
        <v>0.1</v>
      </c>
      <c r="G14" s="21">
        <v>0.1</v>
      </c>
      <c r="H14" s="21">
        <v>0.2</v>
      </c>
      <c r="I14" s="22">
        <v>0.2</v>
      </c>
      <c r="J14" s="389" t="s">
        <v>1488</v>
      </c>
      <c r="L14" s="233">
        <v>1</v>
      </c>
      <c r="N14" s="292" t="str">
        <f>C14</f>
        <v>1.1 관련법규 검토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SUM((ROUNDDOWN((D38:I38)*단가,0)))</f>
        <v>195044</v>
      </c>
      <c r="X14" s="154"/>
      <c r="Y14" s="170" t="str">
        <f>IF(A38&gt;0, "제 " &amp;A38&amp; " 호표","")</f>
        <v>제 1 호표</v>
      </c>
      <c r="Z14" s="150"/>
    </row>
    <row r="15" spans="1:27" ht="18" customHeight="1">
      <c r="A15" s="355"/>
      <c r="B15" s="223"/>
      <c r="C15" s="237" t="s">
        <v>1473</v>
      </c>
      <c r="D15" s="20">
        <v>0</v>
      </c>
      <c r="E15" s="21">
        <v>0.1</v>
      </c>
      <c r="F15" s="21">
        <v>0.1</v>
      </c>
      <c r="G15" s="21">
        <v>0.1</v>
      </c>
      <c r="H15" s="21">
        <v>0.2</v>
      </c>
      <c r="I15" s="22">
        <v>0.2</v>
      </c>
      <c r="J15" s="389" t="s">
        <v>1090</v>
      </c>
      <c r="L15" s="233">
        <v>1</v>
      </c>
      <c r="N15" s="292" t="str">
        <f t="shared" ref="N15:N35" si="1">C15</f>
        <v>1.2 관련계획 검토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SUM((ROUNDDOWN((D39:I39)*단가,0)))</f>
        <v>195044</v>
      </c>
      <c r="X15" s="154"/>
      <c r="Y15" s="170" t="str">
        <f t="shared" ref="Y15:Y35" si="2">IF(A39&gt;0, "제 " &amp;A39&amp; " 호표","")</f>
        <v>제 2 호표</v>
      </c>
      <c r="Z15" s="150"/>
    </row>
    <row r="16" spans="1:27" ht="18" customHeight="1">
      <c r="A16" s="355"/>
      <c r="B16" s="224"/>
      <c r="C16" s="237" t="s">
        <v>1474</v>
      </c>
      <c r="D16" s="24">
        <v>0</v>
      </c>
      <c r="E16" s="25">
        <v>0.1</v>
      </c>
      <c r="F16" s="25">
        <v>0.1</v>
      </c>
      <c r="G16" s="25">
        <v>0.1</v>
      </c>
      <c r="H16" s="25">
        <v>0.2</v>
      </c>
      <c r="I16" s="26">
        <v>0.2</v>
      </c>
      <c r="J16" s="389" t="s">
        <v>1090</v>
      </c>
      <c r="L16" s="233">
        <v>1</v>
      </c>
      <c r="N16" s="292" t="str">
        <f t="shared" si="1"/>
        <v>1.3 주변지역과의 영향성 검토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SUM((ROUNDDOWN((D40:I40)*단가,0)))</f>
        <v>195044</v>
      </c>
      <c r="X16" s="154"/>
      <c r="Y16" s="170" t="str">
        <f t="shared" si="2"/>
        <v>제 3 호표</v>
      </c>
      <c r="Z16" s="150"/>
    </row>
    <row r="17" spans="1:26" ht="18" customHeight="1">
      <c r="A17" s="355"/>
      <c r="B17" s="222"/>
      <c r="C17" s="47" t="s">
        <v>1475</v>
      </c>
      <c r="D17" s="33">
        <f t="shared" ref="D17:I17" si="3">SUBTOTAL(9,D18:D28)</f>
        <v>2.23</v>
      </c>
      <c r="E17" s="34">
        <f t="shared" si="3"/>
        <v>7.1999999999999984</v>
      </c>
      <c r="F17" s="34">
        <f t="shared" si="3"/>
        <v>17.599999999999998</v>
      </c>
      <c r="G17" s="34">
        <f t="shared" si="3"/>
        <v>21.8</v>
      </c>
      <c r="H17" s="34">
        <f t="shared" si="3"/>
        <v>43.400000000000006</v>
      </c>
      <c r="I17" s="35">
        <f t="shared" si="3"/>
        <v>48.900000000000006</v>
      </c>
      <c r="J17" s="389"/>
      <c r="L17" s="233"/>
      <c r="N17" s="79" t="str">
        <f>C17</f>
        <v>2. 개발행위 신청도서 작성</v>
      </c>
      <c r="O17" s="37"/>
      <c r="P17" s="37"/>
      <c r="Q17" s="37"/>
      <c r="R17" s="37"/>
      <c r="S17" s="37"/>
      <c r="T17" s="37"/>
      <c r="U17" s="227"/>
      <c r="V17" s="231"/>
      <c r="W17" s="193">
        <f ca="1">SUBTOTAL(9,W18:W28)</f>
        <v>38083748</v>
      </c>
      <c r="X17" s="154"/>
      <c r="Y17" s="170" t="str">
        <f t="shared" si="2"/>
        <v/>
      </c>
      <c r="Z17" s="150"/>
    </row>
    <row r="18" spans="1:26" ht="18" customHeight="1">
      <c r="A18" s="355"/>
      <c r="B18" s="223"/>
      <c r="C18" s="237" t="s">
        <v>1476</v>
      </c>
      <c r="D18" s="20">
        <v>0</v>
      </c>
      <c r="E18" s="21">
        <v>0.1</v>
      </c>
      <c r="F18" s="21">
        <v>0.1</v>
      </c>
      <c r="G18" s="21">
        <v>0.1</v>
      </c>
      <c r="H18" s="21">
        <v>0.2</v>
      </c>
      <c r="I18" s="22">
        <v>0.2</v>
      </c>
      <c r="J18" s="389" t="s">
        <v>1090</v>
      </c>
      <c r="L18" s="233">
        <v>1</v>
      </c>
      <c r="N18" s="292" t="str">
        <f t="shared" si="1"/>
        <v>2.1 개발행위허가 신청서 작성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SUM((ROUNDDOWN((D42:I42)*단가,0)))</f>
        <v>195044</v>
      </c>
      <c r="X18" s="154"/>
      <c r="Y18" s="170" t="str">
        <f t="shared" si="2"/>
        <v>제 4 호표</v>
      </c>
      <c r="Z18" s="150"/>
    </row>
    <row r="19" spans="1:26" ht="18" customHeight="1">
      <c r="A19" s="355"/>
      <c r="B19" s="223"/>
      <c r="C19" s="237" t="s">
        <v>1477</v>
      </c>
      <c r="D19" s="20">
        <v>0</v>
      </c>
      <c r="E19" s="21">
        <v>1.2</v>
      </c>
      <c r="F19" s="21">
        <v>2.2999999999999998</v>
      </c>
      <c r="G19" s="21">
        <v>2.9</v>
      </c>
      <c r="H19" s="21">
        <v>5.8</v>
      </c>
      <c r="I19" s="22">
        <v>8.1999999999999993</v>
      </c>
      <c r="J19" s="389" t="s">
        <v>1090</v>
      </c>
      <c r="L19" s="233">
        <v>1</v>
      </c>
      <c r="N19" s="292" t="str">
        <f t="shared" si="1"/>
        <v>2.2 편입토지조서 작성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SUM((ROUNDDOWN((D43:I43)*단가,0)))</f>
        <v>5435331</v>
      </c>
      <c r="X19" s="154"/>
      <c r="Y19" s="170" t="str">
        <f t="shared" si="2"/>
        <v>제 5 호표</v>
      </c>
      <c r="Z19" s="150"/>
    </row>
    <row r="20" spans="1:26" ht="18" customHeight="1">
      <c r="A20" s="355"/>
      <c r="B20" s="223"/>
      <c r="C20" s="237" t="s">
        <v>1478</v>
      </c>
      <c r="D20" s="20">
        <v>0.63</v>
      </c>
      <c r="E20" s="21">
        <v>1</v>
      </c>
      <c r="F20" s="21">
        <v>5.8</v>
      </c>
      <c r="G20" s="21">
        <v>6.8</v>
      </c>
      <c r="H20" s="21">
        <v>14.5</v>
      </c>
      <c r="I20" s="22">
        <v>11.6</v>
      </c>
      <c r="J20" s="389" t="s">
        <v>1090</v>
      </c>
      <c r="L20" s="233">
        <v>1</v>
      </c>
      <c r="N20" s="292" t="str">
        <f t="shared" si="1"/>
        <v>2.3 사업계획서 작성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SUM((ROUNDDOWN((D44:I44)*단가,0)))</f>
        <v>10792928</v>
      </c>
      <c r="X20" s="154"/>
      <c r="Y20" s="170" t="str">
        <f t="shared" si="2"/>
        <v>제 6 호표</v>
      </c>
      <c r="Z20" s="150"/>
    </row>
    <row r="21" spans="1:26" ht="18" customHeight="1">
      <c r="A21" s="355"/>
      <c r="B21" s="223"/>
      <c r="C21" s="237" t="s">
        <v>1479</v>
      </c>
      <c r="D21" s="20">
        <v>0</v>
      </c>
      <c r="E21" s="21">
        <v>0.1</v>
      </c>
      <c r="F21" s="21">
        <v>0.1</v>
      </c>
      <c r="G21" s="21">
        <v>0.1</v>
      </c>
      <c r="H21" s="21">
        <v>0.2</v>
      </c>
      <c r="I21" s="22">
        <v>0.2</v>
      </c>
      <c r="J21" s="389" t="s">
        <v>1090</v>
      </c>
      <c r="L21" s="233">
        <v>1</v>
      </c>
      <c r="N21" s="292" t="str">
        <f t="shared" si="1"/>
        <v>2.4 건축물 계획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SUM((ROUNDDOWN((D45:I45)*단가,0)))</f>
        <v>195044</v>
      </c>
      <c r="X21" s="154"/>
      <c r="Y21" s="170" t="str">
        <f t="shared" si="2"/>
        <v>제 7 호표</v>
      </c>
      <c r="Z21" s="150"/>
    </row>
    <row r="22" spans="1:26" ht="18" customHeight="1">
      <c r="A22" s="355"/>
      <c r="B22" s="223"/>
      <c r="C22" s="237" t="s">
        <v>1480</v>
      </c>
      <c r="D22" s="20">
        <v>0</v>
      </c>
      <c r="E22" s="21">
        <v>0.1</v>
      </c>
      <c r="F22" s="21">
        <v>0.1</v>
      </c>
      <c r="G22" s="21">
        <v>0.1</v>
      </c>
      <c r="H22" s="21">
        <v>0.2</v>
      </c>
      <c r="I22" s="22">
        <v>0.2</v>
      </c>
      <c r="J22" s="389" t="s">
        <v>1090</v>
      </c>
      <c r="L22" s="233">
        <v>1</v>
      </c>
      <c r="N22" s="292" t="str">
        <f t="shared" si="1"/>
        <v>2.5 피해방지 계획서 작성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SUM((ROUNDDOWN((D46:I46)*단가,0)))</f>
        <v>195044</v>
      </c>
      <c r="X22" s="154"/>
      <c r="Y22" s="170" t="str">
        <f t="shared" si="2"/>
        <v>제 8 호표</v>
      </c>
      <c r="Z22" s="150"/>
    </row>
    <row r="23" spans="1:26" ht="18" customHeight="1">
      <c r="A23" s="355"/>
      <c r="B23" s="223"/>
      <c r="C23" s="237" t="s">
        <v>1481</v>
      </c>
      <c r="D23" s="20">
        <v>0.2</v>
      </c>
      <c r="E23" s="21">
        <v>0.8</v>
      </c>
      <c r="F23" s="21">
        <v>2.1</v>
      </c>
      <c r="G23" s="21">
        <v>2.7</v>
      </c>
      <c r="H23" s="21">
        <v>6.3</v>
      </c>
      <c r="I23" s="22">
        <v>6.1</v>
      </c>
      <c r="J23" s="389" t="s">
        <v>1090</v>
      </c>
      <c r="L23" s="233">
        <v>1</v>
      </c>
      <c r="N23" s="292" t="str">
        <f t="shared" si="1"/>
        <v>2.6 경사분석</v>
      </c>
      <c r="O23" s="37"/>
      <c r="P23" s="39"/>
      <c r="Q23" s="37"/>
      <c r="R23" s="117"/>
      <c r="S23" s="37"/>
      <c r="T23" s="37"/>
      <c r="U23" s="228"/>
      <c r="V23" s="231"/>
      <c r="W23" s="153">
        <f t="array" aca="1" ref="W23" ca="1">SUM((ROUNDDOWN((D47:I47)*단가,0)))</f>
        <v>4850774</v>
      </c>
      <c r="X23" s="196"/>
      <c r="Y23" s="170" t="str">
        <f t="shared" si="2"/>
        <v>제 9 호표</v>
      </c>
      <c r="Z23" s="150"/>
    </row>
    <row r="24" spans="1:26" ht="18" customHeight="1">
      <c r="A24" s="355"/>
      <c r="B24" s="223"/>
      <c r="C24" s="237" t="s">
        <v>1482</v>
      </c>
      <c r="D24" s="20">
        <v>0.8</v>
      </c>
      <c r="E24" s="21">
        <v>0.8</v>
      </c>
      <c r="F24" s="21">
        <v>1.1000000000000001</v>
      </c>
      <c r="G24" s="21">
        <v>1.1000000000000001</v>
      </c>
      <c r="H24" s="21">
        <v>1.2</v>
      </c>
      <c r="I24" s="22">
        <v>1.1000000000000001</v>
      </c>
      <c r="J24" s="389" t="s">
        <v>1090</v>
      </c>
      <c r="L24" s="233">
        <v>1</v>
      </c>
      <c r="N24" s="292" t="str">
        <f t="shared" si="1"/>
        <v>2.7 진입도로/교통처리계획</v>
      </c>
      <c r="O24" s="37"/>
      <c r="P24" s="39"/>
      <c r="Q24" s="37"/>
      <c r="R24" s="117"/>
      <c r="S24" s="37"/>
      <c r="T24" s="37"/>
      <c r="U24" s="228"/>
      <c r="V24" s="231"/>
      <c r="W24" s="153">
        <f t="array" aca="1" ref="W24" ca="1">SUM((ROUNDDOWN((D48:I48)*단가,0)))</f>
        <v>1896723</v>
      </c>
      <c r="X24" s="154"/>
      <c r="Y24" s="170" t="str">
        <f t="shared" si="2"/>
        <v>제 10 호표</v>
      </c>
      <c r="Z24" s="150"/>
    </row>
    <row r="25" spans="1:26" ht="18" customHeight="1">
      <c r="A25" s="355"/>
      <c r="B25" s="223"/>
      <c r="C25" s="237" t="s">
        <v>1483</v>
      </c>
      <c r="D25" s="20">
        <v>0</v>
      </c>
      <c r="E25" s="21">
        <v>2.2999999999999998</v>
      </c>
      <c r="F25" s="21">
        <v>4.5999999999999996</v>
      </c>
      <c r="G25" s="21">
        <v>5.8</v>
      </c>
      <c r="H25" s="21">
        <v>11.6</v>
      </c>
      <c r="I25" s="22">
        <v>16.399999999999999</v>
      </c>
      <c r="J25" s="389" t="s">
        <v>1090</v>
      </c>
      <c r="L25" s="233">
        <v>1</v>
      </c>
      <c r="N25" s="292" t="str">
        <f t="shared" si="1"/>
        <v>2.8 대체기반시설 계획</v>
      </c>
      <c r="O25" s="37"/>
      <c r="P25" s="39"/>
      <c r="Q25" s="37"/>
      <c r="R25" s="117"/>
      <c r="S25" s="37"/>
      <c r="T25" s="37"/>
      <c r="U25" s="228"/>
      <c r="V25" s="231"/>
      <c r="W25" s="153">
        <f t="array" aca="1" ref="W25" ca="1">SUM((ROUNDDOWN((D49:I49)*단가,0)))</f>
        <v>10833327</v>
      </c>
      <c r="X25" s="154"/>
      <c r="Y25" s="170" t="str">
        <f t="shared" si="2"/>
        <v>제 11 호표</v>
      </c>
      <c r="Z25" s="150"/>
    </row>
    <row r="26" spans="1:26" ht="18" customHeight="1">
      <c r="A26" s="355"/>
      <c r="B26" s="223"/>
      <c r="C26" s="237" t="s">
        <v>1484</v>
      </c>
      <c r="D26" s="20">
        <v>0</v>
      </c>
      <c r="E26" s="21">
        <v>0.1</v>
      </c>
      <c r="F26" s="21">
        <v>0.1</v>
      </c>
      <c r="G26" s="21">
        <v>0.1</v>
      </c>
      <c r="H26" s="21">
        <v>0.2</v>
      </c>
      <c r="I26" s="22">
        <v>0.2</v>
      </c>
      <c r="J26" s="389" t="s">
        <v>1090</v>
      </c>
      <c r="L26" s="233">
        <v>1</v>
      </c>
      <c r="N26" s="292" t="str">
        <f t="shared" si="1"/>
        <v>2.9 개발행위허가 기준 검토</v>
      </c>
      <c r="O26" s="37"/>
      <c r="P26" s="39"/>
      <c r="Q26" s="37"/>
      <c r="R26" s="117"/>
      <c r="S26" s="37"/>
      <c r="T26" s="37"/>
      <c r="U26" s="228"/>
      <c r="V26" s="231"/>
      <c r="W26" s="153">
        <f t="array" aca="1" ref="W26" ca="1">SUM((ROUNDDOWN((D50:I50)*단가,0)))</f>
        <v>195044</v>
      </c>
      <c r="X26" s="154"/>
      <c r="Y26" s="170" t="str">
        <f t="shared" si="2"/>
        <v>제 12 호표</v>
      </c>
      <c r="Z26" s="150"/>
    </row>
    <row r="27" spans="1:26" ht="18" customHeight="1">
      <c r="A27" s="355"/>
      <c r="B27" s="223"/>
      <c r="C27" s="237" t="s">
        <v>1485</v>
      </c>
      <c r="D27" s="20">
        <v>0</v>
      </c>
      <c r="E27" s="21">
        <v>0.1</v>
      </c>
      <c r="F27" s="21">
        <v>0.1</v>
      </c>
      <c r="G27" s="21">
        <v>0.1</v>
      </c>
      <c r="H27" s="21">
        <v>0.2</v>
      </c>
      <c r="I27" s="22">
        <v>0.2</v>
      </c>
      <c r="J27" s="389" t="s">
        <v>1090</v>
      </c>
      <c r="L27" s="233">
        <v>1</v>
      </c>
      <c r="N27" s="292" t="str">
        <f t="shared" si="1"/>
        <v>2.10 경관체크리스트 검토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SUM((ROUNDDOWN((D51:I51)*단가,0)))</f>
        <v>195044</v>
      </c>
      <c r="X27" s="154"/>
      <c r="Y27" s="170" t="str">
        <f t="shared" si="2"/>
        <v>제 13 호표</v>
      </c>
      <c r="Z27" s="150"/>
    </row>
    <row r="28" spans="1:26" ht="18" customHeight="1">
      <c r="A28" s="355"/>
      <c r="B28" s="223"/>
      <c r="C28" s="237" t="s">
        <v>1486</v>
      </c>
      <c r="D28" s="20">
        <v>0.6</v>
      </c>
      <c r="E28" s="21">
        <v>0.6</v>
      </c>
      <c r="F28" s="21">
        <v>1.2</v>
      </c>
      <c r="G28" s="21">
        <v>2</v>
      </c>
      <c r="H28" s="21">
        <v>3</v>
      </c>
      <c r="I28" s="22">
        <v>4.5</v>
      </c>
      <c r="J28" s="389" t="s">
        <v>1090</v>
      </c>
      <c r="L28" s="233">
        <v>1</v>
      </c>
      <c r="N28" s="292" t="str">
        <f t="shared" si="1"/>
        <v>2.11 협의의견 및 조치결과 작성</v>
      </c>
      <c r="O28" s="37"/>
      <c r="P28" s="39"/>
      <c r="Q28" s="37"/>
      <c r="R28" s="117"/>
      <c r="S28" s="37"/>
      <c r="T28" s="37"/>
      <c r="U28" s="228"/>
      <c r="V28" s="231"/>
      <c r="W28" s="153">
        <f t="array" aca="1" ref="W28" ca="1">SUM((ROUNDDOWN((D52:I52)*단가,0)))</f>
        <v>3299445</v>
      </c>
      <c r="X28" s="154"/>
      <c r="Y28" s="170" t="str">
        <f t="shared" si="2"/>
        <v>제 14 호표</v>
      </c>
      <c r="Z28" s="150"/>
    </row>
    <row r="29" spans="1:26" ht="18" customHeight="1">
      <c r="A29" s="355"/>
      <c r="B29" s="222"/>
      <c r="C29" s="47" t="s">
        <v>136</v>
      </c>
      <c r="D29" s="33">
        <f t="shared" ref="D29:I29" si="4">SUBTOTAL(9,D30:D30)</f>
        <v>0</v>
      </c>
      <c r="E29" s="34">
        <f t="shared" si="4"/>
        <v>0.2</v>
      </c>
      <c r="F29" s="34">
        <f t="shared" si="4"/>
        <v>0.2</v>
      </c>
      <c r="G29" s="34">
        <f t="shared" si="4"/>
        <v>0.2</v>
      </c>
      <c r="H29" s="34">
        <f t="shared" si="4"/>
        <v>0.4</v>
      </c>
      <c r="I29" s="35">
        <f t="shared" si="4"/>
        <v>0.4</v>
      </c>
      <c r="J29" s="389"/>
      <c r="L29" s="233"/>
      <c r="N29" s="79" t="str">
        <f>C29</f>
        <v>3. 성과품작성</v>
      </c>
      <c r="O29" s="37"/>
      <c r="P29" s="39"/>
      <c r="Q29" s="37"/>
      <c r="R29" s="117"/>
      <c r="S29" s="37"/>
      <c r="T29" s="37"/>
      <c r="U29" s="228"/>
      <c r="V29" s="231"/>
      <c r="W29" s="193">
        <f ca="1">SUBTOTAL(9,W30:W30)</f>
        <v>390090</v>
      </c>
      <c r="X29" s="154"/>
      <c r="Y29" s="170" t="str">
        <f t="shared" si="2"/>
        <v/>
      </c>
      <c r="Z29" s="150"/>
    </row>
    <row r="30" spans="1:26" ht="18" customHeight="1">
      <c r="A30" s="355"/>
      <c r="B30" s="259"/>
      <c r="C30" s="264" t="s">
        <v>1487</v>
      </c>
      <c r="D30" s="40">
        <v>0</v>
      </c>
      <c r="E30" s="41">
        <v>0.2</v>
      </c>
      <c r="F30" s="41">
        <v>0.2</v>
      </c>
      <c r="G30" s="41">
        <v>0.2</v>
      </c>
      <c r="H30" s="41">
        <v>0.4</v>
      </c>
      <c r="I30" s="42">
        <v>0.4</v>
      </c>
      <c r="J30" s="389" t="s">
        <v>1090</v>
      </c>
      <c r="L30" s="233">
        <v>1</v>
      </c>
      <c r="N30" s="292" t="str">
        <f t="shared" si="1"/>
        <v>3.1 관련도서 작성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SUM((ROUNDDOWN((D54:I54)*단가,0)))</f>
        <v>390090</v>
      </c>
      <c r="X30" s="154"/>
      <c r="Y30" s="170" t="str">
        <f t="shared" si="2"/>
        <v>제 15 호표</v>
      </c>
      <c r="Z30" s="150"/>
    </row>
    <row r="31" spans="1:26" ht="18" customHeight="1">
      <c r="A31" s="326"/>
      <c r="B31" s="222"/>
      <c r="C31" s="47" t="s">
        <v>352</v>
      </c>
      <c r="D31" s="48">
        <f t="shared" ref="D31:I31" si="5">SUBTOTAL(9,D32:D35)</f>
        <v>8</v>
      </c>
      <c r="E31" s="49">
        <f t="shared" si="5"/>
        <v>8</v>
      </c>
      <c r="F31" s="49">
        <f t="shared" si="5"/>
        <v>8</v>
      </c>
      <c r="G31" s="49">
        <f t="shared" si="5"/>
        <v>16</v>
      </c>
      <c r="H31" s="49">
        <f t="shared" si="5"/>
        <v>16</v>
      </c>
      <c r="I31" s="50">
        <f t="shared" si="5"/>
        <v>16</v>
      </c>
      <c r="J31" s="389"/>
      <c r="L31" s="233"/>
      <c r="N31" s="79" t="str">
        <f>C31</f>
        <v>4. 기술협의</v>
      </c>
      <c r="O31" s="37"/>
      <c r="P31" s="39"/>
      <c r="Q31" s="37"/>
      <c r="R31" s="117"/>
      <c r="S31" s="37"/>
      <c r="T31" s="37"/>
      <c r="U31" s="228"/>
      <c r="V31" s="231"/>
      <c r="W31" s="193">
        <f ca="1">SUBTOTAL(9,W32:W35)</f>
        <v>21702576</v>
      </c>
      <c r="X31" s="154"/>
      <c r="Y31" s="170" t="str">
        <f t="shared" si="2"/>
        <v/>
      </c>
      <c r="Z31" s="150"/>
    </row>
    <row r="32" spans="1:26" ht="18" customHeight="1">
      <c r="A32" s="326"/>
      <c r="B32" s="223"/>
      <c r="C32" s="237" t="s">
        <v>353</v>
      </c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389" t="s">
        <v>1489</v>
      </c>
      <c r="L32" s="233">
        <v>1</v>
      </c>
      <c r="N32" s="292" t="str">
        <f t="shared" si="1"/>
        <v>4-1. 공청회/주민설명회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SUM((ROUNDDOWN((D56:I56)*단가,0)))</f>
        <v>5425644</v>
      </c>
      <c r="X32" s="154"/>
      <c r="Y32" s="170" t="str">
        <f t="shared" si="2"/>
        <v>제 16 호표</v>
      </c>
      <c r="Z32" s="150"/>
    </row>
    <row r="33" spans="1:26" ht="18" customHeight="1">
      <c r="A33" s="326"/>
      <c r="B33" s="223"/>
      <c r="C33" s="237" t="s">
        <v>273</v>
      </c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1094</v>
      </c>
      <c r="L33" s="233">
        <v>1</v>
      </c>
      <c r="N33" s="292" t="str">
        <f t="shared" si="1"/>
        <v>4-2. 주민간담회/시민계획단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SUM((ROUNDDOWN((D57:I57)*단가,0)))</f>
        <v>5425644</v>
      </c>
      <c r="X33" s="154"/>
      <c r="Y33" s="170" t="str">
        <f t="shared" si="2"/>
        <v>제 17 호표</v>
      </c>
      <c r="Z33" s="150"/>
    </row>
    <row r="34" spans="1:26" ht="18" customHeight="1">
      <c r="A34" s="326"/>
      <c r="B34" s="223"/>
      <c r="C34" s="237" t="s">
        <v>275</v>
      </c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389" t="s">
        <v>1094</v>
      </c>
      <c r="L34" s="233">
        <v>1</v>
      </c>
      <c r="N34" s="292" t="str">
        <f t="shared" si="1"/>
        <v>4-3. 위원회심의 지원</v>
      </c>
      <c r="O34" s="37"/>
      <c r="P34" s="39"/>
      <c r="Q34" s="37"/>
      <c r="R34" s="117"/>
      <c r="S34" s="37"/>
      <c r="T34" s="37"/>
      <c r="U34" s="228"/>
      <c r="V34" s="231"/>
      <c r="W34" s="153">
        <f t="array" aca="1" ref="W34" ca="1">SUM((ROUNDDOWN((D58:I58)*단가,0)))</f>
        <v>5425644</v>
      </c>
      <c r="X34" s="154"/>
      <c r="Y34" s="170" t="str">
        <f t="shared" si="2"/>
        <v>제 18 호표</v>
      </c>
      <c r="Z34" s="150"/>
    </row>
    <row r="35" spans="1:26" ht="18" customHeight="1" thickBot="1">
      <c r="A35" s="326"/>
      <c r="B35" s="223"/>
      <c r="C35" s="237" t="s">
        <v>277</v>
      </c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612" t="s">
        <v>1094</v>
      </c>
      <c r="L35" s="233">
        <v>1</v>
      </c>
      <c r="N35" s="292" t="str">
        <f t="shared" si="1"/>
        <v>4-4. 관계기관 협의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SUM((ROUNDDOWN((D59:I59)*단가,0)))</f>
        <v>5425644</v>
      </c>
      <c r="X35" s="154"/>
      <c r="Y35" s="170" t="str">
        <f t="shared" si="2"/>
        <v>제 19 호표</v>
      </c>
      <c r="Z35" s="150"/>
    </row>
    <row r="36" spans="1:26" ht="18" customHeight="1" thickBot="1">
      <c r="A36" s="355"/>
      <c r="B36" s="14" t="s">
        <v>30</v>
      </c>
      <c r="C36" s="250"/>
      <c r="D36" s="249" t="s">
        <v>12</v>
      </c>
      <c r="E36" s="251"/>
      <c r="F36" s="251"/>
      <c r="G36" s="251"/>
      <c r="H36" s="251"/>
      <c r="I36" s="250"/>
      <c r="J36" s="175" t="s">
        <v>31</v>
      </c>
      <c r="N36" s="290" t="s">
        <v>10</v>
      </c>
      <c r="O36" s="129"/>
      <c r="P36" s="130"/>
      <c r="Q36" s="124"/>
      <c r="R36" s="131"/>
      <c r="S36" s="124"/>
      <c r="T36" s="124"/>
      <c r="U36" s="181"/>
      <c r="V36" s="181"/>
      <c r="W36" s="159">
        <f>SUBTOTAL(9,W37:W39)</f>
        <v>4500000</v>
      </c>
      <c r="X36" s="160"/>
      <c r="Y36" s="124"/>
      <c r="Z36" s="124"/>
    </row>
    <row r="37" spans="1:26" ht="18" customHeight="1">
      <c r="A37" s="326"/>
      <c r="B37" s="225"/>
      <c r="C37" s="253" t="str">
        <f>C13</f>
        <v>1. 개발계획검토</v>
      </c>
      <c r="D37" s="30">
        <f t="shared" ref="D37:I37" si="6">SUBTOTAL(9,D38:D40)</f>
        <v>0</v>
      </c>
      <c r="E37" s="31">
        <f t="shared" si="6"/>
        <v>0.30000000000000004</v>
      </c>
      <c r="F37" s="31">
        <f t="shared" si="6"/>
        <v>0.30000000000000004</v>
      </c>
      <c r="G37" s="31">
        <f t="shared" si="6"/>
        <v>0.30000000000000004</v>
      </c>
      <c r="H37" s="31">
        <f t="shared" si="6"/>
        <v>0.60000000000000009</v>
      </c>
      <c r="I37" s="32">
        <f t="shared" si="6"/>
        <v>0.60000000000000009</v>
      </c>
      <c r="J37" s="73"/>
      <c r="N37" s="128" t="str">
        <f>"여비("&amp;TEXT(R37,"#인 ×")&amp;TEXT(S37,"#일 ×")&amp;TEXT(T37,"###,###원)")</f>
        <v>여비(3인 ×5일 ×100,000원)</v>
      </c>
      <c r="O37" s="78"/>
      <c r="P37" s="52"/>
      <c r="Q37" s="51"/>
      <c r="R37" s="146">
        <v>3</v>
      </c>
      <c r="S37" s="146">
        <v>5</v>
      </c>
      <c r="T37" s="147">
        <v>100000</v>
      </c>
      <c r="U37" s="182"/>
      <c r="V37" s="182"/>
      <c r="W37" s="161">
        <f>R37*S37*T37</f>
        <v>1500000</v>
      </c>
      <c r="X37" s="162"/>
      <c r="Y37" s="51"/>
      <c r="Z37" s="51"/>
    </row>
    <row r="38" spans="1:26" ht="18" customHeight="1">
      <c r="A38" s="326">
        <v>1</v>
      </c>
      <c r="B38" s="223"/>
      <c r="C38" s="237" t="s">
        <v>118</v>
      </c>
      <c r="D38" s="20">
        <f t="array" ref="D38:I40">ROUNDDOWN(D14:I16*D5*L14:L16,3)</f>
        <v>0</v>
      </c>
      <c r="E38" s="21">
        <v>0.1</v>
      </c>
      <c r="F38" s="21">
        <v>0.1</v>
      </c>
      <c r="G38" s="21">
        <v>0.1</v>
      </c>
      <c r="H38" s="21">
        <v>0.2</v>
      </c>
      <c r="I38" s="22">
        <v>0.2</v>
      </c>
      <c r="J38" s="74"/>
      <c r="N38" s="79" t="s">
        <v>46</v>
      </c>
      <c r="O38" s="79"/>
      <c r="P38" s="39"/>
      <c r="Q38" s="37"/>
      <c r="R38" s="117"/>
      <c r="S38" s="37"/>
      <c r="T38" s="37"/>
      <c r="U38" s="180"/>
      <c r="V38" s="180"/>
      <c r="W38" s="157">
        <v>2000000</v>
      </c>
      <c r="X38" s="158"/>
      <c r="Y38" s="37"/>
      <c r="Z38" s="37"/>
    </row>
    <row r="39" spans="1:26" ht="18" customHeight="1">
      <c r="A39" s="326">
        <v>2</v>
      </c>
      <c r="B39" s="223"/>
      <c r="C39" s="237" t="s">
        <v>119</v>
      </c>
      <c r="D39" s="20">
        <v>0</v>
      </c>
      <c r="E39" s="21">
        <v>0.1</v>
      </c>
      <c r="F39" s="21">
        <v>0.1</v>
      </c>
      <c r="G39" s="21">
        <v>0.1</v>
      </c>
      <c r="H39" s="21">
        <v>0.2</v>
      </c>
      <c r="I39" s="22">
        <v>0.2</v>
      </c>
      <c r="J39" s="74"/>
      <c r="N39" s="132" t="s">
        <v>13</v>
      </c>
      <c r="O39" s="132"/>
      <c r="P39" s="38"/>
      <c r="Q39" s="38"/>
      <c r="R39" s="116"/>
      <c r="S39" s="38"/>
      <c r="T39" s="38"/>
      <c r="U39" s="183"/>
      <c r="V39" s="183"/>
      <c r="W39" s="155">
        <v>1000000</v>
      </c>
      <c r="X39" s="156"/>
      <c r="Y39" s="38"/>
      <c r="Z39" s="38"/>
    </row>
    <row r="40" spans="1:26" ht="18" customHeight="1">
      <c r="A40" s="326">
        <v>3</v>
      </c>
      <c r="B40" s="224"/>
      <c r="C40" s="237" t="s">
        <v>399</v>
      </c>
      <c r="D40" s="24">
        <v>0</v>
      </c>
      <c r="E40" s="25">
        <v>0.1</v>
      </c>
      <c r="F40" s="25">
        <v>0.1</v>
      </c>
      <c r="G40" s="25">
        <v>0.1</v>
      </c>
      <c r="H40" s="25">
        <v>0.2</v>
      </c>
      <c r="I40" s="26">
        <v>0.2</v>
      </c>
      <c r="J40" s="74"/>
      <c r="N40" s="127" t="s">
        <v>47</v>
      </c>
      <c r="O40" s="123"/>
      <c r="P40" s="123"/>
      <c r="Q40" s="123"/>
      <c r="R40" s="123"/>
      <c r="S40" s="123"/>
      <c r="T40" s="123"/>
      <c r="U40" s="184"/>
      <c r="V40" s="184"/>
      <c r="W40" s="163">
        <f ca="1">SUBTOTAL(9,W41:W42)</f>
        <v>109066973</v>
      </c>
      <c r="X40" s="164"/>
      <c r="Y40" s="123"/>
      <c r="Z40" s="123"/>
    </row>
    <row r="41" spans="1:26" ht="18" customHeight="1">
      <c r="A41" s="326"/>
      <c r="B41" s="222"/>
      <c r="C41" s="47" t="s">
        <v>400</v>
      </c>
      <c r="D41" s="33">
        <f t="shared" ref="D41:I41" si="7">SUBTOTAL(9,D42:D52)</f>
        <v>2.23</v>
      </c>
      <c r="E41" s="34">
        <f t="shared" si="7"/>
        <v>7.1999999999999984</v>
      </c>
      <c r="F41" s="34">
        <f t="shared" si="7"/>
        <v>17.599999999999998</v>
      </c>
      <c r="G41" s="34">
        <f t="shared" si="7"/>
        <v>21.8</v>
      </c>
      <c r="H41" s="34">
        <f t="shared" si="7"/>
        <v>43.400000000000006</v>
      </c>
      <c r="I41" s="35">
        <f t="shared" si="7"/>
        <v>48.900000000000006</v>
      </c>
      <c r="J41" s="74"/>
      <c r="N41" s="133" t="s">
        <v>861</v>
      </c>
      <c r="O41" s="124"/>
      <c r="P41" s="134"/>
      <c r="Q41" s="124"/>
      <c r="R41" s="131"/>
      <c r="S41" s="124"/>
      <c r="T41" s="181"/>
      <c r="U41" s="181"/>
      <c r="V41" s="190">
        <v>1.1499999999999999</v>
      </c>
      <c r="W41" s="159">
        <f ca="1">ROUNDDOWN(W12*V41,0)</f>
        <v>69875777</v>
      </c>
      <c r="X41" s="160"/>
      <c r="Y41" s="124"/>
      <c r="Z41" s="124"/>
    </row>
    <row r="42" spans="1:26" ht="18" customHeight="1" thickBot="1">
      <c r="A42" s="326">
        <v>4</v>
      </c>
      <c r="B42" s="223"/>
      <c r="C42" s="237" t="s">
        <v>401</v>
      </c>
      <c r="D42" s="20">
        <f t="array" ref="D42:I52">ROUNDDOWN(D18:I28*D5*L18:L28,3)</f>
        <v>0</v>
      </c>
      <c r="E42" s="21">
        <v>0.1</v>
      </c>
      <c r="F42" s="21">
        <v>0.1</v>
      </c>
      <c r="G42" s="21">
        <v>0.1</v>
      </c>
      <c r="H42" s="21">
        <v>0.2</v>
      </c>
      <c r="I42" s="22">
        <v>0.2</v>
      </c>
      <c r="J42" s="74"/>
      <c r="N42" s="135" t="s">
        <v>862</v>
      </c>
      <c r="O42" s="136"/>
      <c r="P42" s="137"/>
      <c r="Q42" s="136"/>
      <c r="R42" s="138"/>
      <c r="S42" s="136"/>
      <c r="T42" s="185"/>
      <c r="U42" s="185"/>
      <c r="V42" s="191">
        <v>0.3</v>
      </c>
      <c r="W42" s="165">
        <f ca="1">ROUNDDOWN((W12+W41)*V42,0)</f>
        <v>39191196</v>
      </c>
      <c r="X42" s="166"/>
      <c r="Y42" s="136"/>
      <c r="Z42" s="136"/>
    </row>
    <row r="43" spans="1:26" ht="18" customHeight="1">
      <c r="A43" s="326">
        <v>5</v>
      </c>
      <c r="B43" s="223"/>
      <c r="C43" s="237" t="s">
        <v>402</v>
      </c>
      <c r="D43" s="20">
        <v>0</v>
      </c>
      <c r="E43" s="21">
        <v>1.2</v>
      </c>
      <c r="F43" s="21">
        <v>2.2999999999999998</v>
      </c>
      <c r="G43" s="21">
        <v>2.9</v>
      </c>
      <c r="H43" s="21">
        <v>5.8</v>
      </c>
      <c r="I43" s="22">
        <v>8.1999999999999993</v>
      </c>
      <c r="J43" s="74"/>
    </row>
    <row r="44" spans="1:26" ht="18" customHeight="1">
      <c r="A44" s="326">
        <v>6</v>
      </c>
      <c r="B44" s="223"/>
      <c r="C44" s="237" t="s">
        <v>403</v>
      </c>
      <c r="D44" s="20">
        <v>0.63</v>
      </c>
      <c r="E44" s="21">
        <v>1</v>
      </c>
      <c r="F44" s="21">
        <v>5.8</v>
      </c>
      <c r="G44" s="21">
        <v>6.8</v>
      </c>
      <c r="H44" s="21">
        <v>14.5</v>
      </c>
      <c r="I44" s="22">
        <v>11.6</v>
      </c>
      <c r="J44" s="74"/>
    </row>
    <row r="45" spans="1:26" ht="18" customHeight="1">
      <c r="A45" s="326">
        <v>7</v>
      </c>
      <c r="B45" s="223"/>
      <c r="C45" s="237" t="s">
        <v>404</v>
      </c>
      <c r="D45" s="20">
        <v>0</v>
      </c>
      <c r="E45" s="21">
        <v>0.1</v>
      </c>
      <c r="F45" s="21">
        <v>0.1</v>
      </c>
      <c r="G45" s="21">
        <v>0.1</v>
      </c>
      <c r="H45" s="21">
        <v>0.2</v>
      </c>
      <c r="I45" s="22">
        <v>0.2</v>
      </c>
      <c r="J45" s="74"/>
    </row>
    <row r="46" spans="1:26" ht="18" customHeight="1">
      <c r="A46" s="326">
        <v>8</v>
      </c>
      <c r="B46" s="223"/>
      <c r="C46" s="237" t="s">
        <v>405</v>
      </c>
      <c r="D46" s="20">
        <v>0</v>
      </c>
      <c r="E46" s="21">
        <v>0.1</v>
      </c>
      <c r="F46" s="21">
        <v>0.1</v>
      </c>
      <c r="G46" s="21">
        <v>0.1</v>
      </c>
      <c r="H46" s="21">
        <v>0.2</v>
      </c>
      <c r="I46" s="22">
        <v>0.2</v>
      </c>
      <c r="J46" s="74"/>
    </row>
    <row r="47" spans="1:26" ht="18" customHeight="1">
      <c r="A47" s="326">
        <v>9</v>
      </c>
      <c r="B47" s="223"/>
      <c r="C47" s="237" t="s">
        <v>406</v>
      </c>
      <c r="D47" s="20">
        <v>0.2</v>
      </c>
      <c r="E47" s="21">
        <v>0.8</v>
      </c>
      <c r="F47" s="21">
        <v>2.1</v>
      </c>
      <c r="G47" s="21">
        <v>2.7</v>
      </c>
      <c r="H47" s="21">
        <v>6.3</v>
      </c>
      <c r="I47" s="22">
        <v>6.1</v>
      </c>
      <c r="J47" s="74"/>
    </row>
    <row r="48" spans="1:26" ht="18" customHeight="1">
      <c r="A48" s="326">
        <v>10</v>
      </c>
      <c r="B48" s="223"/>
      <c r="C48" s="237" t="s">
        <v>407</v>
      </c>
      <c r="D48" s="20">
        <v>0.8</v>
      </c>
      <c r="E48" s="21">
        <v>0.8</v>
      </c>
      <c r="F48" s="21">
        <v>1.1000000000000001</v>
      </c>
      <c r="G48" s="21">
        <v>1.1000000000000001</v>
      </c>
      <c r="H48" s="21">
        <v>1.2</v>
      </c>
      <c r="I48" s="22">
        <v>1.1000000000000001</v>
      </c>
      <c r="J48" s="74"/>
    </row>
    <row r="49" spans="1:13" ht="18" customHeight="1">
      <c r="A49" s="326">
        <v>11</v>
      </c>
      <c r="B49" s="223"/>
      <c r="C49" s="237" t="s">
        <v>408</v>
      </c>
      <c r="D49" s="20">
        <v>0</v>
      </c>
      <c r="E49" s="21">
        <v>2.2999999999999998</v>
      </c>
      <c r="F49" s="21">
        <v>4.5999999999999996</v>
      </c>
      <c r="G49" s="21">
        <v>5.8</v>
      </c>
      <c r="H49" s="21">
        <v>11.6</v>
      </c>
      <c r="I49" s="22">
        <v>16.399999999999999</v>
      </c>
      <c r="J49" s="74"/>
    </row>
    <row r="50" spans="1:13" ht="18" customHeight="1">
      <c r="A50" s="326">
        <v>12</v>
      </c>
      <c r="B50" s="223"/>
      <c r="C50" s="237" t="s">
        <v>409</v>
      </c>
      <c r="D50" s="20">
        <v>0</v>
      </c>
      <c r="E50" s="21">
        <v>0.1</v>
      </c>
      <c r="F50" s="21">
        <v>0.1</v>
      </c>
      <c r="G50" s="21">
        <v>0.1</v>
      </c>
      <c r="H50" s="21">
        <v>0.2</v>
      </c>
      <c r="I50" s="22">
        <v>0.2</v>
      </c>
      <c r="J50" s="74"/>
    </row>
    <row r="51" spans="1:13" ht="18" customHeight="1">
      <c r="A51" s="326">
        <v>13</v>
      </c>
      <c r="B51" s="223"/>
      <c r="C51" s="237" t="s">
        <v>410</v>
      </c>
      <c r="D51" s="20">
        <v>0</v>
      </c>
      <c r="E51" s="21">
        <v>0.1</v>
      </c>
      <c r="F51" s="21">
        <v>0.1</v>
      </c>
      <c r="G51" s="21">
        <v>0.1</v>
      </c>
      <c r="H51" s="21">
        <v>0.2</v>
      </c>
      <c r="I51" s="22">
        <v>0.2</v>
      </c>
      <c r="J51" s="74"/>
    </row>
    <row r="52" spans="1:13" ht="18" customHeight="1">
      <c r="A52" s="326">
        <v>14</v>
      </c>
      <c r="B52" s="223"/>
      <c r="C52" s="237" t="s">
        <v>411</v>
      </c>
      <c r="D52" s="20">
        <v>0.6</v>
      </c>
      <c r="E52" s="21">
        <v>0.6</v>
      </c>
      <c r="F52" s="21">
        <v>1.2</v>
      </c>
      <c r="G52" s="21">
        <v>2</v>
      </c>
      <c r="H52" s="21">
        <v>3</v>
      </c>
      <c r="I52" s="22">
        <v>4.5</v>
      </c>
      <c r="J52" s="74"/>
    </row>
    <row r="53" spans="1:13" ht="18" customHeight="1">
      <c r="A53" s="326"/>
      <c r="B53" s="222"/>
      <c r="C53" s="47" t="s">
        <v>136</v>
      </c>
      <c r="D53" s="33">
        <f t="shared" ref="D53:I53" si="8">SUBTOTAL(9,D54:D54)</f>
        <v>0</v>
      </c>
      <c r="E53" s="34">
        <f t="shared" si="8"/>
        <v>0.2</v>
      </c>
      <c r="F53" s="34">
        <f t="shared" si="8"/>
        <v>0.2</v>
      </c>
      <c r="G53" s="34">
        <f t="shared" si="8"/>
        <v>0.2</v>
      </c>
      <c r="H53" s="34">
        <f t="shared" si="8"/>
        <v>0.4</v>
      </c>
      <c r="I53" s="35">
        <f t="shared" si="8"/>
        <v>0.4</v>
      </c>
      <c r="J53" s="74"/>
      <c r="L53" s="171"/>
    </row>
    <row r="54" spans="1:13" ht="18" customHeight="1">
      <c r="A54" s="326">
        <v>15</v>
      </c>
      <c r="B54" s="223"/>
      <c r="C54" s="237" t="s">
        <v>412</v>
      </c>
      <c r="D54" s="20">
        <f t="array" ref="D54:I54">ROUNDDOWN(D30:I30*D5*L30,3)</f>
        <v>0</v>
      </c>
      <c r="E54" s="21">
        <v>0.2</v>
      </c>
      <c r="F54" s="21">
        <v>0.2</v>
      </c>
      <c r="G54" s="21">
        <v>0.2</v>
      </c>
      <c r="H54" s="21">
        <v>0.4</v>
      </c>
      <c r="I54" s="22">
        <v>0.4</v>
      </c>
      <c r="J54" s="74"/>
      <c r="L54" s="171"/>
    </row>
    <row r="55" spans="1:13" ht="18" customHeight="1">
      <c r="A55" s="326"/>
      <c r="B55" s="222"/>
      <c r="C55" s="47" t="s">
        <v>352</v>
      </c>
      <c r="D55" s="48">
        <f t="shared" ref="D55:I55" si="9">SUBTOTAL(9,D56:D59)</f>
        <v>8</v>
      </c>
      <c r="E55" s="49">
        <f t="shared" si="9"/>
        <v>8</v>
      </c>
      <c r="F55" s="49">
        <f t="shared" si="9"/>
        <v>8</v>
      </c>
      <c r="G55" s="49">
        <f t="shared" si="9"/>
        <v>16</v>
      </c>
      <c r="H55" s="49">
        <f t="shared" si="9"/>
        <v>16</v>
      </c>
      <c r="I55" s="50">
        <f t="shared" si="9"/>
        <v>16</v>
      </c>
      <c r="J55" s="74"/>
      <c r="L55" s="171"/>
    </row>
    <row r="56" spans="1:13" ht="18" customHeight="1">
      <c r="A56" s="326">
        <v>16</v>
      </c>
      <c r="B56" s="223"/>
      <c r="C56" s="237" t="s">
        <v>353</v>
      </c>
      <c r="D56" s="20">
        <f t="array" ref="D56:I59">ROUNDDOWN(D32:I35*L32:L35*I5,3)</f>
        <v>2</v>
      </c>
      <c r="E56" s="198">
        <v>2</v>
      </c>
      <c r="F56" s="198">
        <v>2</v>
      </c>
      <c r="G56" s="198">
        <v>4</v>
      </c>
      <c r="H56" s="198">
        <v>4</v>
      </c>
      <c r="I56" s="199">
        <v>4</v>
      </c>
      <c r="J56" s="74"/>
      <c r="L56" s="171"/>
    </row>
    <row r="57" spans="1:13" ht="18" customHeight="1">
      <c r="A57" s="326">
        <v>17</v>
      </c>
      <c r="B57" s="223"/>
      <c r="C57" s="237" t="s">
        <v>273</v>
      </c>
      <c r="D57" s="197">
        <v>2</v>
      </c>
      <c r="E57" s="198">
        <v>2</v>
      </c>
      <c r="F57" s="198">
        <v>2</v>
      </c>
      <c r="G57" s="198">
        <v>4</v>
      </c>
      <c r="H57" s="198">
        <v>4</v>
      </c>
      <c r="I57" s="199">
        <v>4</v>
      </c>
      <c r="J57" s="74"/>
      <c r="K57" s="171" t="s">
        <v>14</v>
      </c>
      <c r="L57" s="171"/>
    </row>
    <row r="58" spans="1:13" ht="18" customHeight="1">
      <c r="A58" s="326">
        <v>18</v>
      </c>
      <c r="B58" s="223"/>
      <c r="C58" s="237" t="s">
        <v>275</v>
      </c>
      <c r="D58" s="197">
        <v>2</v>
      </c>
      <c r="E58" s="198">
        <v>2</v>
      </c>
      <c r="F58" s="198">
        <v>2</v>
      </c>
      <c r="G58" s="198">
        <v>4</v>
      </c>
      <c r="H58" s="198">
        <v>4</v>
      </c>
      <c r="I58" s="199">
        <v>4</v>
      </c>
      <c r="J58" s="74"/>
      <c r="K58" s="171" t="s">
        <v>14</v>
      </c>
      <c r="L58" s="171"/>
    </row>
    <row r="59" spans="1:13" ht="18" customHeight="1" thickBot="1">
      <c r="A59" s="326">
        <v>19</v>
      </c>
      <c r="B59" s="388"/>
      <c r="C59" s="401" t="s">
        <v>277</v>
      </c>
      <c r="D59" s="343">
        <v>2</v>
      </c>
      <c r="E59" s="344">
        <v>2</v>
      </c>
      <c r="F59" s="344">
        <v>2</v>
      </c>
      <c r="G59" s="344">
        <v>4</v>
      </c>
      <c r="H59" s="344">
        <v>4</v>
      </c>
      <c r="I59" s="345">
        <v>4</v>
      </c>
      <c r="J59" s="176"/>
      <c r="K59" s="171" t="s">
        <v>14</v>
      </c>
      <c r="L59" s="171"/>
    </row>
    <row r="60" spans="1:13" ht="18" customHeight="1">
      <c r="A60" s="326"/>
      <c r="B60" s="80" t="s">
        <v>15</v>
      </c>
      <c r="C60" s="9" t="s">
        <v>1390</v>
      </c>
      <c r="D60" s="9"/>
      <c r="K60" s="171" t="s">
        <v>14</v>
      </c>
      <c r="L60" s="171"/>
    </row>
    <row r="61" spans="1:13" ht="18" customHeight="1">
      <c r="A61" s="326"/>
      <c r="C61" s="1" t="s">
        <v>1493</v>
      </c>
      <c r="K61" s="171" t="s">
        <v>14</v>
      </c>
      <c r="L61" s="171"/>
    </row>
    <row r="62" spans="1:13" ht="18" customHeight="1">
      <c r="A62" s="326"/>
      <c r="C62" s="9" t="s">
        <v>1494</v>
      </c>
      <c r="D62" s="9"/>
      <c r="K62" s="171" t="s">
        <v>14</v>
      </c>
      <c r="L62" s="171"/>
    </row>
    <row r="63" spans="1:13" ht="18" customHeight="1">
      <c r="A63" s="355"/>
      <c r="C63" s="9"/>
      <c r="D63" s="9"/>
      <c r="K63" s="171" t="s">
        <v>14</v>
      </c>
      <c r="L63" s="171"/>
      <c r="M63" s="171"/>
    </row>
    <row r="64" spans="1:13" ht="18" customHeight="1">
      <c r="A64" s="355"/>
      <c r="B64" s="326"/>
      <c r="D64" s="9"/>
      <c r="K64" s="171" t="s">
        <v>14</v>
      </c>
      <c r="L64" s="171"/>
      <c r="M64" s="171"/>
    </row>
    <row r="65" spans="1:26" ht="18" customHeight="1" thickBot="1">
      <c r="A65" s="355"/>
      <c r="C65" s="9"/>
      <c r="K65" s="171" t="s">
        <v>14</v>
      </c>
      <c r="L65" s="171"/>
      <c r="M65" s="171"/>
      <c r="N65" s="66" t="s">
        <v>18</v>
      </c>
      <c r="O65" s="2"/>
      <c r="P65" s="2"/>
      <c r="Q65" s="2"/>
      <c r="R65" s="3"/>
      <c r="S65" s="4"/>
      <c r="T65" s="3"/>
      <c r="U65" s="4"/>
      <c r="V65" s="3"/>
      <c r="W65" s="4"/>
      <c r="X65" s="3"/>
      <c r="Y65" s="4"/>
      <c r="Z65" s="2"/>
    </row>
    <row r="66" spans="1:26" ht="18" customHeight="1">
      <c r="A66" s="326"/>
      <c r="C66" s="9"/>
      <c r="K66" s="171" t="s">
        <v>14</v>
      </c>
      <c r="L66" s="171"/>
      <c r="M66" s="171"/>
      <c r="N66" s="765" t="s">
        <v>19</v>
      </c>
      <c r="O66" s="755" t="s">
        <v>20</v>
      </c>
      <c r="P66" s="755" t="s">
        <v>21</v>
      </c>
      <c r="Q66" s="755" t="s">
        <v>16</v>
      </c>
      <c r="R66" s="5" t="s">
        <v>22</v>
      </c>
      <c r="S66" s="5"/>
      <c r="T66" s="5" t="s">
        <v>23</v>
      </c>
      <c r="U66" s="5"/>
      <c r="V66" s="5" t="s">
        <v>24</v>
      </c>
      <c r="W66" s="5"/>
      <c r="X66" s="5" t="s">
        <v>25</v>
      </c>
      <c r="Y66" s="5"/>
      <c r="Z66" s="755" t="s">
        <v>26</v>
      </c>
    </row>
    <row r="67" spans="1:26" ht="18" customHeight="1" thickBot="1">
      <c r="A67" s="326"/>
      <c r="C67" s="9"/>
      <c r="K67" s="171" t="s">
        <v>14</v>
      </c>
      <c r="L67" s="171"/>
      <c r="M67" s="171"/>
      <c r="N67" s="766"/>
      <c r="O67" s="756"/>
      <c r="P67" s="756"/>
      <c r="Q67" s="756"/>
      <c r="R67" s="67" t="s">
        <v>27</v>
      </c>
      <c r="S67" s="67" t="s">
        <v>28</v>
      </c>
      <c r="T67" s="67" t="s">
        <v>27</v>
      </c>
      <c r="U67" s="67" t="s">
        <v>28</v>
      </c>
      <c r="V67" s="67" t="s">
        <v>27</v>
      </c>
      <c r="W67" s="67" t="s">
        <v>28</v>
      </c>
      <c r="X67" s="67" t="s">
        <v>27</v>
      </c>
      <c r="Y67" s="67" t="s">
        <v>28</v>
      </c>
      <c r="Z67" s="756"/>
    </row>
    <row r="68" spans="1:26" ht="18" customHeight="1" thickTop="1">
      <c r="A68" s="326"/>
      <c r="C68" s="9"/>
      <c r="K68" s="171" t="s">
        <v>14</v>
      </c>
      <c r="L68" s="171"/>
      <c r="M68" s="171"/>
      <c r="N68" s="318" t="str">
        <f ca="1">"제 " &amp; Z68 &amp; " 호표  "&amp; OFFSET($A$1,MATCH(Z68,$A:$A,0)-1,2)</f>
        <v>제 1 호표  1-1. 관련법규검토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v>1</v>
      </c>
    </row>
    <row r="69" spans="1:26" ht="18" customHeight="1">
      <c r="A69" s="326"/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0</v>
      </c>
      <c r="Q69" s="141" t="s">
        <v>29</v>
      </c>
      <c r="R69" s="142">
        <f t="shared" ref="R69:S74" ca="1" si="10">T69</f>
        <v>467217</v>
      </c>
      <c r="S69" s="142">
        <f t="shared" ca="1" si="10"/>
        <v>0</v>
      </c>
      <c r="T69" s="142">
        <f ca="1">기술사</f>
        <v>467217</v>
      </c>
      <c r="U69" s="142">
        <f t="shared" ref="U69:U74" ca="1" si="11">ROUNDDOWN(P69*R69,0)</f>
        <v>0</v>
      </c>
      <c r="V69" s="142"/>
      <c r="W69" s="142"/>
      <c r="X69" s="142"/>
      <c r="Y69" s="142"/>
      <c r="Z69" s="114"/>
    </row>
    <row r="70" spans="1:26" ht="18" customHeight="1">
      <c r="A70" s="326"/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0.1</v>
      </c>
      <c r="Q70" s="144" t="s">
        <v>29</v>
      </c>
      <c r="R70" s="118">
        <f t="shared" ca="1" si="10"/>
        <v>373353</v>
      </c>
      <c r="S70" s="118">
        <f t="shared" ca="1" si="10"/>
        <v>37335</v>
      </c>
      <c r="T70" s="118">
        <f ca="1">특급</f>
        <v>373353</v>
      </c>
      <c r="U70" s="118">
        <f t="shared" ca="1" si="11"/>
        <v>37335</v>
      </c>
      <c r="V70" s="118"/>
      <c r="W70" s="118"/>
      <c r="X70" s="118"/>
      <c r="Y70" s="118"/>
      <c r="Z70" s="115"/>
    </row>
    <row r="71" spans="1:26" ht="18" customHeight="1">
      <c r="A71" s="326"/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0.1</v>
      </c>
      <c r="Q71" s="144" t="s">
        <v>29</v>
      </c>
      <c r="R71" s="118">
        <f t="shared" ca="1" si="10"/>
        <v>310884</v>
      </c>
      <c r="S71" s="118">
        <f t="shared" ca="1" si="10"/>
        <v>31088</v>
      </c>
      <c r="T71" s="118">
        <f ca="1">고급</f>
        <v>310884</v>
      </c>
      <c r="U71" s="118">
        <f t="shared" ca="1" si="11"/>
        <v>31088</v>
      </c>
      <c r="V71" s="118"/>
      <c r="W71" s="118"/>
      <c r="X71" s="118"/>
      <c r="Y71" s="118"/>
      <c r="Z71" s="115"/>
    </row>
    <row r="72" spans="1:26" ht="18" customHeight="1">
      <c r="A72" s="326"/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0.1</v>
      </c>
      <c r="Q72" s="144" t="s">
        <v>29</v>
      </c>
      <c r="R72" s="118">
        <f t="shared" ca="1" si="10"/>
        <v>295138</v>
      </c>
      <c r="S72" s="118">
        <f t="shared" ca="1" si="10"/>
        <v>29513</v>
      </c>
      <c r="T72" s="118">
        <f ca="1">중급</f>
        <v>295138</v>
      </c>
      <c r="U72" s="118">
        <f t="shared" ca="1" si="11"/>
        <v>29513</v>
      </c>
      <c r="V72" s="118"/>
      <c r="W72" s="118"/>
      <c r="X72" s="118"/>
      <c r="Y72" s="118"/>
      <c r="Z72" s="115"/>
    </row>
    <row r="73" spans="1:26" ht="18" customHeight="1">
      <c r="A73" s="326"/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0.2</v>
      </c>
      <c r="Q73" s="144" t="s">
        <v>29</v>
      </c>
      <c r="R73" s="118">
        <f t="shared" ca="1" si="10"/>
        <v>235459</v>
      </c>
      <c r="S73" s="118">
        <f t="shared" ca="1" si="10"/>
        <v>47091</v>
      </c>
      <c r="T73" s="118">
        <f ca="1">초급</f>
        <v>235459</v>
      </c>
      <c r="U73" s="118">
        <f t="shared" ca="1" si="11"/>
        <v>47091</v>
      </c>
      <c r="V73" s="118"/>
      <c r="W73" s="118"/>
      <c r="X73" s="118"/>
      <c r="Y73" s="118"/>
      <c r="Z73" s="115"/>
    </row>
    <row r="74" spans="1:26" ht="18" customHeight="1">
      <c r="A74" s="326"/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0.2</v>
      </c>
      <c r="Q74" s="322" t="s">
        <v>29</v>
      </c>
      <c r="R74" s="323">
        <f t="shared" ca="1" si="10"/>
        <v>250087</v>
      </c>
      <c r="S74" s="323">
        <f t="shared" ca="1" si="10"/>
        <v>50017</v>
      </c>
      <c r="T74" s="323">
        <f ca="1">보조원</f>
        <v>250087</v>
      </c>
      <c r="U74" s="323">
        <f t="shared" ca="1" si="11"/>
        <v>50017</v>
      </c>
      <c r="V74" s="323"/>
      <c r="W74" s="323"/>
      <c r="X74" s="323"/>
      <c r="Y74" s="323"/>
      <c r="Z74" s="324"/>
    </row>
    <row r="75" spans="1:26" ht="18" customHeight="1">
      <c r="A75" s="326"/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195044</v>
      </c>
      <c r="T75" s="71"/>
      <c r="U75" s="71">
        <f ca="1">SUBTOTAL(9,U69:U74)</f>
        <v>195044</v>
      </c>
      <c r="V75" s="71"/>
      <c r="W75" s="71"/>
      <c r="X75" s="71"/>
      <c r="Y75" s="71"/>
      <c r="Z75" s="68"/>
    </row>
    <row r="76" spans="1:26" ht="18" customHeight="1">
      <c r="A76" s="326"/>
      <c r="K76" s="171" t="s">
        <v>14</v>
      </c>
      <c r="L76" s="171"/>
      <c r="M76" s="171"/>
      <c r="N76" s="318" t="str">
        <f ca="1">"제 " &amp; Z76 &amp; " 호표  "&amp; OFFSET($A$1,MATCH(Z76,$A:$A,0)-1,2)</f>
        <v>제 2 호표  1-2. 관련계획검토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2</v>
      </c>
    </row>
    <row r="77" spans="1:26" ht="18" customHeight="1">
      <c r="A77" s="326"/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0</v>
      </c>
      <c r="Q77" s="141" t="s">
        <v>29</v>
      </c>
      <c r="R77" s="142">
        <f t="shared" ref="R77:S82" ca="1" si="12">T77</f>
        <v>467217</v>
      </c>
      <c r="S77" s="142">
        <f t="shared" ca="1" si="12"/>
        <v>0</v>
      </c>
      <c r="T77" s="142">
        <f ca="1">기술사</f>
        <v>467217</v>
      </c>
      <c r="U77" s="142">
        <f t="shared" ref="U77:U82" ca="1" si="13">ROUNDDOWN(P77*R77,0)</f>
        <v>0</v>
      </c>
      <c r="V77" s="142"/>
      <c r="W77" s="142"/>
      <c r="X77" s="142"/>
      <c r="Y77" s="142"/>
      <c r="Z77" s="114"/>
    </row>
    <row r="78" spans="1:26" ht="18" customHeight="1">
      <c r="A78" s="326"/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0.1</v>
      </c>
      <c r="Q78" s="144" t="s">
        <v>29</v>
      </c>
      <c r="R78" s="118">
        <f t="shared" ca="1" si="12"/>
        <v>373353</v>
      </c>
      <c r="S78" s="118">
        <f t="shared" ca="1" si="12"/>
        <v>37335</v>
      </c>
      <c r="T78" s="118">
        <f ca="1">특급</f>
        <v>373353</v>
      </c>
      <c r="U78" s="118">
        <f t="shared" ca="1" si="13"/>
        <v>37335</v>
      </c>
      <c r="V78" s="118"/>
      <c r="W78" s="118"/>
      <c r="X78" s="118"/>
      <c r="Y78" s="118"/>
      <c r="Z78" s="115"/>
    </row>
    <row r="79" spans="1:26" ht="18" customHeight="1">
      <c r="A79" s="326"/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0.1</v>
      </c>
      <c r="Q79" s="144" t="s">
        <v>29</v>
      </c>
      <c r="R79" s="118">
        <f t="shared" ca="1" si="12"/>
        <v>310884</v>
      </c>
      <c r="S79" s="118">
        <f t="shared" ca="1" si="12"/>
        <v>31088</v>
      </c>
      <c r="T79" s="118">
        <f ca="1">고급</f>
        <v>310884</v>
      </c>
      <c r="U79" s="118">
        <f t="shared" ca="1" si="13"/>
        <v>31088</v>
      </c>
      <c r="V79" s="118"/>
      <c r="W79" s="118"/>
      <c r="X79" s="118"/>
      <c r="Y79" s="118"/>
      <c r="Z79" s="115"/>
    </row>
    <row r="80" spans="1:26" ht="18" customHeight="1">
      <c r="A80" s="326"/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0.1</v>
      </c>
      <c r="Q80" s="144" t="s">
        <v>29</v>
      </c>
      <c r="R80" s="118">
        <f t="shared" ca="1" si="12"/>
        <v>295138</v>
      </c>
      <c r="S80" s="118">
        <f t="shared" ca="1" si="12"/>
        <v>29513</v>
      </c>
      <c r="T80" s="118">
        <f ca="1">중급</f>
        <v>295138</v>
      </c>
      <c r="U80" s="118">
        <f t="shared" ca="1" si="13"/>
        <v>29513</v>
      </c>
      <c r="V80" s="118"/>
      <c r="W80" s="118"/>
      <c r="X80" s="118"/>
      <c r="Y80" s="118"/>
      <c r="Z80" s="115"/>
    </row>
    <row r="81" spans="1:26" ht="18" customHeight="1">
      <c r="A81" s="326"/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0.2</v>
      </c>
      <c r="Q81" s="144" t="s">
        <v>29</v>
      </c>
      <c r="R81" s="118">
        <f t="shared" ca="1" si="12"/>
        <v>235459</v>
      </c>
      <c r="S81" s="118">
        <f t="shared" ca="1" si="12"/>
        <v>47091</v>
      </c>
      <c r="T81" s="118">
        <f ca="1">초급</f>
        <v>235459</v>
      </c>
      <c r="U81" s="118">
        <f t="shared" ca="1" si="13"/>
        <v>47091</v>
      </c>
      <c r="V81" s="118"/>
      <c r="W81" s="118"/>
      <c r="X81" s="118"/>
      <c r="Y81" s="118"/>
      <c r="Z81" s="115"/>
    </row>
    <row r="82" spans="1:26" ht="18" customHeight="1">
      <c r="A82" s="326"/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0.2</v>
      </c>
      <c r="Q82" s="322" t="s">
        <v>29</v>
      </c>
      <c r="R82" s="323">
        <f t="shared" ca="1" si="12"/>
        <v>250087</v>
      </c>
      <c r="S82" s="323">
        <f t="shared" ca="1" si="12"/>
        <v>50017</v>
      </c>
      <c r="T82" s="323">
        <f ca="1">보조원</f>
        <v>250087</v>
      </c>
      <c r="U82" s="323">
        <f t="shared" ca="1" si="13"/>
        <v>50017</v>
      </c>
      <c r="V82" s="323"/>
      <c r="W82" s="323"/>
      <c r="X82" s="323"/>
      <c r="Y82" s="323"/>
      <c r="Z82" s="324"/>
    </row>
    <row r="83" spans="1:26" ht="18" customHeight="1">
      <c r="A83" s="326"/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195044</v>
      </c>
      <c r="T83" s="71"/>
      <c r="U83" s="71">
        <f ca="1">SUBTOTAL(9,U77:U82)</f>
        <v>195044</v>
      </c>
      <c r="V83" s="71"/>
      <c r="W83" s="71"/>
      <c r="X83" s="71"/>
      <c r="Y83" s="71"/>
      <c r="Z83" s="68"/>
    </row>
    <row r="84" spans="1:26" ht="18" customHeight="1">
      <c r="K84" s="171" t="s">
        <v>14</v>
      </c>
      <c r="L84" s="171"/>
      <c r="M84" s="171"/>
      <c r="N84" s="318" t="str">
        <f ca="1">"제 " &amp; Z84 &amp; " 호표  "&amp; OFFSET($A$1,MATCH(Z84,$A:$A,0)-1,2)</f>
        <v>제 3 호표  1-3. 주변지역과의 영향성 검토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3</v>
      </c>
    </row>
    <row r="85" spans="1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0</v>
      </c>
      <c r="Q85" s="141" t="s">
        <v>29</v>
      </c>
      <c r="R85" s="142">
        <f t="shared" ref="R85:S90" ca="1" si="14">T85</f>
        <v>467217</v>
      </c>
      <c r="S85" s="142">
        <f t="shared" ca="1" si="14"/>
        <v>0</v>
      </c>
      <c r="T85" s="142">
        <f ca="1">기술사</f>
        <v>467217</v>
      </c>
      <c r="U85" s="142">
        <f t="shared" ref="U85:U90" ca="1" si="15">ROUNDDOWN(P85*R85,0)</f>
        <v>0</v>
      </c>
      <c r="V85" s="142"/>
      <c r="W85" s="142"/>
      <c r="X85" s="142"/>
      <c r="Y85" s="142"/>
      <c r="Z85" s="114"/>
    </row>
    <row r="86" spans="1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0.1</v>
      </c>
      <c r="Q86" s="144" t="s">
        <v>29</v>
      </c>
      <c r="R86" s="118">
        <f t="shared" ca="1" si="14"/>
        <v>373353</v>
      </c>
      <c r="S86" s="118">
        <f t="shared" ca="1" si="14"/>
        <v>37335</v>
      </c>
      <c r="T86" s="118">
        <f ca="1">특급</f>
        <v>373353</v>
      </c>
      <c r="U86" s="118">
        <f t="shared" ca="1" si="15"/>
        <v>37335</v>
      </c>
      <c r="V86" s="118"/>
      <c r="W86" s="118"/>
      <c r="X86" s="118"/>
      <c r="Y86" s="118"/>
      <c r="Z86" s="115"/>
    </row>
    <row r="87" spans="1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0.1</v>
      </c>
      <c r="Q87" s="144" t="s">
        <v>29</v>
      </c>
      <c r="R87" s="118">
        <f t="shared" ca="1" si="14"/>
        <v>310884</v>
      </c>
      <c r="S87" s="118">
        <f t="shared" ca="1" si="14"/>
        <v>31088</v>
      </c>
      <c r="T87" s="118">
        <f ca="1">고급</f>
        <v>310884</v>
      </c>
      <c r="U87" s="118">
        <f t="shared" ca="1" si="15"/>
        <v>31088</v>
      </c>
      <c r="V87" s="118"/>
      <c r="W87" s="118"/>
      <c r="X87" s="118"/>
      <c r="Y87" s="118"/>
      <c r="Z87" s="115"/>
    </row>
    <row r="88" spans="1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0.1</v>
      </c>
      <c r="Q88" s="144" t="s">
        <v>29</v>
      </c>
      <c r="R88" s="118">
        <f t="shared" ca="1" si="14"/>
        <v>295138</v>
      </c>
      <c r="S88" s="118">
        <f t="shared" ca="1" si="14"/>
        <v>29513</v>
      </c>
      <c r="T88" s="118">
        <f ca="1">중급</f>
        <v>295138</v>
      </c>
      <c r="U88" s="118">
        <f t="shared" ca="1" si="15"/>
        <v>29513</v>
      </c>
      <c r="V88" s="118"/>
      <c r="W88" s="118"/>
      <c r="X88" s="118"/>
      <c r="Y88" s="118"/>
      <c r="Z88" s="115"/>
    </row>
    <row r="89" spans="1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0.2</v>
      </c>
      <c r="Q89" s="144" t="s">
        <v>29</v>
      </c>
      <c r="R89" s="118">
        <f t="shared" ca="1" si="14"/>
        <v>235459</v>
      </c>
      <c r="S89" s="118">
        <f t="shared" ca="1" si="14"/>
        <v>47091</v>
      </c>
      <c r="T89" s="118">
        <f ca="1">초급</f>
        <v>235459</v>
      </c>
      <c r="U89" s="118">
        <f t="shared" ca="1" si="15"/>
        <v>47091</v>
      </c>
      <c r="V89" s="118"/>
      <c r="W89" s="118"/>
      <c r="X89" s="118"/>
      <c r="Y89" s="118"/>
      <c r="Z89" s="115"/>
    </row>
    <row r="90" spans="1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0.2</v>
      </c>
      <c r="Q90" s="322" t="s">
        <v>29</v>
      </c>
      <c r="R90" s="323">
        <f t="shared" ca="1" si="14"/>
        <v>250087</v>
      </c>
      <c r="S90" s="323">
        <f t="shared" ca="1" si="14"/>
        <v>50017</v>
      </c>
      <c r="T90" s="323">
        <f ca="1">보조원</f>
        <v>250087</v>
      </c>
      <c r="U90" s="323">
        <f t="shared" ca="1" si="15"/>
        <v>50017</v>
      </c>
      <c r="V90" s="323"/>
      <c r="W90" s="323"/>
      <c r="X90" s="323"/>
      <c r="Y90" s="323"/>
      <c r="Z90" s="324"/>
    </row>
    <row r="91" spans="1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195044</v>
      </c>
      <c r="T91" s="71"/>
      <c r="U91" s="71">
        <f ca="1">SUBTOTAL(9,U85:U90)</f>
        <v>195044</v>
      </c>
      <c r="V91" s="71"/>
      <c r="W91" s="71"/>
      <c r="X91" s="71"/>
      <c r="Y91" s="71"/>
      <c r="Z91" s="68"/>
    </row>
    <row r="92" spans="1:26" ht="18" customHeight="1">
      <c r="K92" s="171" t="s">
        <v>14</v>
      </c>
      <c r="L92" s="171"/>
      <c r="M92" s="171"/>
      <c r="N92" s="318" t="str">
        <f ca="1">"제 " &amp; Z92 &amp; " 호표  "&amp; OFFSET($A$1,MATCH(Z92,$A:$A,0)-1,2)</f>
        <v>제 4 호표  2-1. 개발행위허가 신청서 작성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4</v>
      </c>
    </row>
    <row r="93" spans="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0</v>
      </c>
      <c r="Q93" s="141" t="s">
        <v>29</v>
      </c>
      <c r="R93" s="142">
        <f t="shared" ref="R93:S98" ca="1" si="16">T93</f>
        <v>467217</v>
      </c>
      <c r="S93" s="142">
        <f t="shared" ca="1" si="16"/>
        <v>0</v>
      </c>
      <c r="T93" s="142">
        <f ca="1">기술사</f>
        <v>467217</v>
      </c>
      <c r="U93" s="142">
        <f t="shared" ref="U93:U98" ca="1" si="17">ROUNDDOWN(P93*R93,0)</f>
        <v>0</v>
      </c>
      <c r="V93" s="142"/>
      <c r="W93" s="142"/>
      <c r="X93" s="142"/>
      <c r="Y93" s="142"/>
      <c r="Z93" s="114"/>
    </row>
    <row r="94" spans="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0.1</v>
      </c>
      <c r="Q94" s="144" t="s">
        <v>29</v>
      </c>
      <c r="R94" s="118">
        <f t="shared" ca="1" si="16"/>
        <v>373353</v>
      </c>
      <c r="S94" s="118">
        <f t="shared" ca="1" si="16"/>
        <v>37335</v>
      </c>
      <c r="T94" s="118">
        <f ca="1">특급</f>
        <v>373353</v>
      </c>
      <c r="U94" s="118">
        <f t="shared" ca="1" si="17"/>
        <v>37335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0.1</v>
      </c>
      <c r="Q95" s="144" t="s">
        <v>29</v>
      </c>
      <c r="R95" s="118">
        <f t="shared" ca="1" si="16"/>
        <v>310884</v>
      </c>
      <c r="S95" s="118">
        <f t="shared" ca="1" si="16"/>
        <v>31088</v>
      </c>
      <c r="T95" s="118">
        <f ca="1">고급</f>
        <v>310884</v>
      </c>
      <c r="U95" s="118">
        <f t="shared" ca="1" si="17"/>
        <v>31088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0.1</v>
      </c>
      <c r="Q96" s="144" t="s">
        <v>29</v>
      </c>
      <c r="R96" s="118">
        <f t="shared" ca="1" si="16"/>
        <v>295138</v>
      </c>
      <c r="S96" s="118">
        <f t="shared" ca="1" si="16"/>
        <v>29513</v>
      </c>
      <c r="T96" s="118">
        <f ca="1">중급</f>
        <v>295138</v>
      </c>
      <c r="U96" s="118">
        <f t="shared" ca="1" si="17"/>
        <v>29513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0.2</v>
      </c>
      <c r="Q97" s="144" t="s">
        <v>29</v>
      </c>
      <c r="R97" s="118">
        <f t="shared" ca="1" si="16"/>
        <v>235459</v>
      </c>
      <c r="S97" s="118">
        <f t="shared" ca="1" si="16"/>
        <v>47091</v>
      </c>
      <c r="T97" s="118">
        <f ca="1">초급</f>
        <v>235459</v>
      </c>
      <c r="U97" s="118">
        <f t="shared" ca="1" si="17"/>
        <v>47091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0.2</v>
      </c>
      <c r="Q98" s="322" t="s">
        <v>29</v>
      </c>
      <c r="R98" s="323">
        <f t="shared" ca="1" si="16"/>
        <v>250087</v>
      </c>
      <c r="S98" s="323">
        <f t="shared" ca="1" si="16"/>
        <v>50017</v>
      </c>
      <c r="T98" s="323">
        <f ca="1">보조원</f>
        <v>250087</v>
      </c>
      <c r="U98" s="323">
        <f t="shared" ca="1" si="17"/>
        <v>50017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195044</v>
      </c>
      <c r="T99" s="71"/>
      <c r="U99" s="71">
        <f ca="1">SUBTOTAL(9,U93:U98)</f>
        <v>195044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OFFSET($A$1,MATCH(Z100,$A:$A,0)-1,2)</f>
        <v>제 5 호표  2-2. 편입토지조서 작성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5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0</v>
      </c>
      <c r="Q101" s="141" t="s">
        <v>29</v>
      </c>
      <c r="R101" s="142">
        <f t="shared" ref="R101:S106" ca="1" si="18">T101</f>
        <v>467217</v>
      </c>
      <c r="S101" s="142">
        <f t="shared" ca="1" si="18"/>
        <v>0</v>
      </c>
      <c r="T101" s="142">
        <f ca="1">기술사</f>
        <v>467217</v>
      </c>
      <c r="U101" s="142">
        <f t="shared" ref="U101:U106" ca="1" si="19">ROUNDDOWN(P101*R101,0)</f>
        <v>0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1.2</v>
      </c>
      <c r="Q102" s="144" t="s">
        <v>29</v>
      </c>
      <c r="R102" s="118">
        <f t="shared" ca="1" si="18"/>
        <v>373353</v>
      </c>
      <c r="S102" s="118">
        <f t="shared" ca="1" si="18"/>
        <v>448023</v>
      </c>
      <c r="T102" s="118">
        <f ca="1">특급</f>
        <v>373353</v>
      </c>
      <c r="U102" s="118">
        <f t="shared" ca="1" si="19"/>
        <v>448023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2.2999999999999998</v>
      </c>
      <c r="Q103" s="144" t="s">
        <v>29</v>
      </c>
      <c r="R103" s="118">
        <f t="shared" ca="1" si="18"/>
        <v>310884</v>
      </c>
      <c r="S103" s="118">
        <f t="shared" ca="1" si="18"/>
        <v>715033</v>
      </c>
      <c r="T103" s="118">
        <f ca="1">고급</f>
        <v>310884</v>
      </c>
      <c r="U103" s="118">
        <f t="shared" ca="1" si="19"/>
        <v>715033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2.9</v>
      </c>
      <c r="Q104" s="144" t="s">
        <v>29</v>
      </c>
      <c r="R104" s="118">
        <f t="shared" ca="1" si="18"/>
        <v>295138</v>
      </c>
      <c r="S104" s="118">
        <f t="shared" ca="1" si="18"/>
        <v>855900</v>
      </c>
      <c r="T104" s="118">
        <f ca="1">중급</f>
        <v>295138</v>
      </c>
      <c r="U104" s="118">
        <f t="shared" ca="1" si="19"/>
        <v>855900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5.8</v>
      </c>
      <c r="Q105" s="144" t="s">
        <v>29</v>
      </c>
      <c r="R105" s="118">
        <f t="shared" ca="1" si="18"/>
        <v>235459</v>
      </c>
      <c r="S105" s="118">
        <f t="shared" ca="1" si="18"/>
        <v>1365662</v>
      </c>
      <c r="T105" s="118">
        <f ca="1">초급</f>
        <v>235459</v>
      </c>
      <c r="U105" s="118">
        <f t="shared" ca="1" si="19"/>
        <v>1365662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8.1999999999999993</v>
      </c>
      <c r="Q106" s="322" t="s">
        <v>29</v>
      </c>
      <c r="R106" s="323">
        <f t="shared" ca="1" si="18"/>
        <v>250087</v>
      </c>
      <c r="S106" s="323">
        <f t="shared" ca="1" si="18"/>
        <v>2050713</v>
      </c>
      <c r="T106" s="323">
        <f ca="1">보조원</f>
        <v>250087</v>
      </c>
      <c r="U106" s="323">
        <f t="shared" ca="1" si="19"/>
        <v>2050713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5435331</v>
      </c>
      <c r="T107" s="71"/>
      <c r="U107" s="71">
        <f ca="1">SUBTOTAL(9,U101:U106)</f>
        <v>5435331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OFFSET($A$1,MATCH(Z108,$A:$A,0)-1,2)</f>
        <v>제 6 호표  2-3. 사업계획서 작성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6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0.63</v>
      </c>
      <c r="Q109" s="141" t="s">
        <v>29</v>
      </c>
      <c r="R109" s="142">
        <f t="shared" ref="R109:S114" ca="1" si="20">T109</f>
        <v>467217</v>
      </c>
      <c r="S109" s="142">
        <f t="shared" ca="1" si="20"/>
        <v>294346</v>
      </c>
      <c r="T109" s="142">
        <f ca="1">기술사</f>
        <v>467217</v>
      </c>
      <c r="U109" s="142">
        <f t="shared" ref="U109:U114" ca="1" si="21">ROUNDDOWN(P109*R109,0)</f>
        <v>294346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1</v>
      </c>
      <c r="Q110" s="144" t="s">
        <v>29</v>
      </c>
      <c r="R110" s="118">
        <f t="shared" ca="1" si="20"/>
        <v>373353</v>
      </c>
      <c r="S110" s="118">
        <f t="shared" ca="1" si="20"/>
        <v>373353</v>
      </c>
      <c r="T110" s="118">
        <f ca="1">특급</f>
        <v>373353</v>
      </c>
      <c r="U110" s="118">
        <f t="shared" ca="1" si="21"/>
        <v>373353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5.8</v>
      </c>
      <c r="Q111" s="144" t="s">
        <v>29</v>
      </c>
      <c r="R111" s="118">
        <f t="shared" ca="1" si="20"/>
        <v>310884</v>
      </c>
      <c r="S111" s="118">
        <f t="shared" ca="1" si="20"/>
        <v>1803127</v>
      </c>
      <c r="T111" s="118">
        <f ca="1">고급</f>
        <v>310884</v>
      </c>
      <c r="U111" s="118">
        <f t="shared" ca="1" si="21"/>
        <v>1803127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6.8</v>
      </c>
      <c r="Q112" s="144" t="s">
        <v>29</v>
      </c>
      <c r="R112" s="118">
        <f t="shared" ca="1" si="20"/>
        <v>295138</v>
      </c>
      <c r="S112" s="118">
        <f t="shared" ca="1" si="20"/>
        <v>2006938</v>
      </c>
      <c r="T112" s="118">
        <f ca="1">중급</f>
        <v>295138</v>
      </c>
      <c r="U112" s="118">
        <f t="shared" ca="1" si="21"/>
        <v>2006938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14.5</v>
      </c>
      <c r="Q113" s="144" t="s">
        <v>29</v>
      </c>
      <c r="R113" s="118">
        <f t="shared" ca="1" si="20"/>
        <v>235459</v>
      </c>
      <c r="S113" s="118">
        <f t="shared" ca="1" si="20"/>
        <v>3414155</v>
      </c>
      <c r="T113" s="118">
        <f ca="1">초급</f>
        <v>235459</v>
      </c>
      <c r="U113" s="118">
        <f t="shared" ca="1" si="21"/>
        <v>3414155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11.6</v>
      </c>
      <c r="Q114" s="322" t="s">
        <v>29</v>
      </c>
      <c r="R114" s="323">
        <f t="shared" ca="1" si="20"/>
        <v>250087</v>
      </c>
      <c r="S114" s="323">
        <f t="shared" ca="1" si="20"/>
        <v>2901009</v>
      </c>
      <c r="T114" s="323">
        <f ca="1">보조원</f>
        <v>250087</v>
      </c>
      <c r="U114" s="323">
        <f t="shared" ca="1" si="21"/>
        <v>2901009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10792928</v>
      </c>
      <c r="T115" s="71"/>
      <c r="U115" s="71">
        <f ca="1">SUBTOTAL(9,U109:U114)</f>
        <v>10792928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OFFSET($A$1,MATCH(Z116,$A:$A,0)-1,2)</f>
        <v>제 7 호표  2-4. 건축물 계획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7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0</v>
      </c>
      <c r="Q117" s="141" t="s">
        <v>29</v>
      </c>
      <c r="R117" s="142">
        <f t="shared" ref="R117:S122" ca="1" si="22">T117</f>
        <v>467217</v>
      </c>
      <c r="S117" s="142">
        <f t="shared" ca="1" si="22"/>
        <v>0</v>
      </c>
      <c r="T117" s="142">
        <f ca="1">기술사</f>
        <v>467217</v>
      </c>
      <c r="U117" s="142">
        <f t="shared" ref="U117:U122" ca="1" si="23">ROUNDDOWN(P117*R117,0)</f>
        <v>0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0.1</v>
      </c>
      <c r="Q118" s="144" t="s">
        <v>29</v>
      </c>
      <c r="R118" s="118">
        <f t="shared" ca="1" si="22"/>
        <v>373353</v>
      </c>
      <c r="S118" s="118">
        <f t="shared" ca="1" si="22"/>
        <v>37335</v>
      </c>
      <c r="T118" s="118">
        <f ca="1">특급</f>
        <v>373353</v>
      </c>
      <c r="U118" s="118">
        <f t="shared" ca="1" si="23"/>
        <v>37335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0.1</v>
      </c>
      <c r="Q119" s="144" t="s">
        <v>29</v>
      </c>
      <c r="R119" s="118">
        <f t="shared" ca="1" si="22"/>
        <v>310884</v>
      </c>
      <c r="S119" s="118">
        <f t="shared" ca="1" si="22"/>
        <v>31088</v>
      </c>
      <c r="T119" s="118">
        <f ca="1">고급</f>
        <v>310884</v>
      </c>
      <c r="U119" s="118">
        <f t="shared" ca="1" si="23"/>
        <v>31088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0.1</v>
      </c>
      <c r="Q120" s="144" t="s">
        <v>29</v>
      </c>
      <c r="R120" s="118">
        <f t="shared" ca="1" si="22"/>
        <v>295138</v>
      </c>
      <c r="S120" s="118">
        <f t="shared" ca="1" si="22"/>
        <v>29513</v>
      </c>
      <c r="T120" s="118">
        <f ca="1">중급</f>
        <v>295138</v>
      </c>
      <c r="U120" s="118">
        <f t="shared" ca="1" si="23"/>
        <v>29513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0.2</v>
      </c>
      <c r="Q121" s="144" t="s">
        <v>29</v>
      </c>
      <c r="R121" s="118">
        <f t="shared" ca="1" si="22"/>
        <v>235459</v>
      </c>
      <c r="S121" s="118">
        <f t="shared" ca="1" si="22"/>
        <v>47091</v>
      </c>
      <c r="T121" s="118">
        <f ca="1">초급</f>
        <v>235459</v>
      </c>
      <c r="U121" s="118">
        <f t="shared" ca="1" si="23"/>
        <v>47091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0.2</v>
      </c>
      <c r="Q122" s="322" t="s">
        <v>29</v>
      </c>
      <c r="R122" s="323">
        <f t="shared" ca="1" si="22"/>
        <v>250087</v>
      </c>
      <c r="S122" s="323">
        <f t="shared" ca="1" si="22"/>
        <v>50017</v>
      </c>
      <c r="T122" s="323">
        <f ca="1">보조원</f>
        <v>250087</v>
      </c>
      <c r="U122" s="323">
        <f t="shared" ca="1" si="23"/>
        <v>50017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195044</v>
      </c>
      <c r="T123" s="71"/>
      <c r="U123" s="71">
        <f ca="1">SUBTOTAL(9,U117:U122)</f>
        <v>195044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OFFSET($A$1,MATCH(Z124,$A:$A,0)-1,2)</f>
        <v>제 8 호표  2-5. 피해방지 계획서 작성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8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0</v>
      </c>
      <c r="Q125" s="141" t="s">
        <v>29</v>
      </c>
      <c r="R125" s="142">
        <f t="shared" ref="R125:S130" ca="1" si="24">T125</f>
        <v>467217</v>
      </c>
      <c r="S125" s="142">
        <f t="shared" ca="1" si="24"/>
        <v>0</v>
      </c>
      <c r="T125" s="142">
        <f ca="1">기술사</f>
        <v>467217</v>
      </c>
      <c r="U125" s="142">
        <f t="shared" ref="U125:U130" ca="1" si="25">ROUNDDOWN(P125*R125,0)</f>
        <v>0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0.1</v>
      </c>
      <c r="Q126" s="144" t="s">
        <v>29</v>
      </c>
      <c r="R126" s="118">
        <f t="shared" ca="1" si="24"/>
        <v>373353</v>
      </c>
      <c r="S126" s="118">
        <f t="shared" ca="1" si="24"/>
        <v>37335</v>
      </c>
      <c r="T126" s="118">
        <f ca="1">특급</f>
        <v>373353</v>
      </c>
      <c r="U126" s="118">
        <f t="shared" ca="1" si="25"/>
        <v>37335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0.1</v>
      </c>
      <c r="Q127" s="144" t="s">
        <v>29</v>
      </c>
      <c r="R127" s="118">
        <f t="shared" ca="1" si="24"/>
        <v>310884</v>
      </c>
      <c r="S127" s="118">
        <f t="shared" ca="1" si="24"/>
        <v>31088</v>
      </c>
      <c r="T127" s="118">
        <f ca="1">고급</f>
        <v>310884</v>
      </c>
      <c r="U127" s="118">
        <f t="shared" ca="1" si="25"/>
        <v>31088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0.1</v>
      </c>
      <c r="Q128" s="144" t="s">
        <v>29</v>
      </c>
      <c r="R128" s="118">
        <f t="shared" ca="1" si="24"/>
        <v>295138</v>
      </c>
      <c r="S128" s="118">
        <f t="shared" ca="1" si="24"/>
        <v>29513</v>
      </c>
      <c r="T128" s="118">
        <f ca="1">중급</f>
        <v>295138</v>
      </c>
      <c r="U128" s="118">
        <f t="shared" ca="1" si="25"/>
        <v>29513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0.2</v>
      </c>
      <c r="Q129" s="144" t="s">
        <v>29</v>
      </c>
      <c r="R129" s="118">
        <f t="shared" ca="1" si="24"/>
        <v>235459</v>
      </c>
      <c r="S129" s="118">
        <f t="shared" ca="1" si="24"/>
        <v>47091</v>
      </c>
      <c r="T129" s="118">
        <f ca="1">초급</f>
        <v>235459</v>
      </c>
      <c r="U129" s="118">
        <f t="shared" ca="1" si="25"/>
        <v>47091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0.2</v>
      </c>
      <c r="Q130" s="322" t="s">
        <v>29</v>
      </c>
      <c r="R130" s="323">
        <f t="shared" ca="1" si="24"/>
        <v>250087</v>
      </c>
      <c r="S130" s="323">
        <f t="shared" ca="1" si="24"/>
        <v>50017</v>
      </c>
      <c r="T130" s="323">
        <f ca="1">보조원</f>
        <v>250087</v>
      </c>
      <c r="U130" s="323">
        <f t="shared" ca="1" si="25"/>
        <v>50017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195044</v>
      </c>
      <c r="T131" s="71"/>
      <c r="U131" s="71">
        <f ca="1">SUBTOTAL(9,U125:U130)</f>
        <v>195044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  <c r="N132" s="318" t="str">
        <f ca="1">"제 " &amp; Z132 &amp; " 호표  "&amp; OFFSET($A$1,MATCH(Z132,$A:$A,0)-1,2)</f>
        <v>제 9 호표  2-6. 경사분석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9</v>
      </c>
    </row>
    <row r="133" spans="11:26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0.2</v>
      </c>
      <c r="Q133" s="141" t="s">
        <v>29</v>
      </c>
      <c r="R133" s="142">
        <f t="shared" ref="R133:S138" ca="1" si="26">T133</f>
        <v>467217</v>
      </c>
      <c r="S133" s="142">
        <f t="shared" ca="1" si="26"/>
        <v>93443</v>
      </c>
      <c r="T133" s="142">
        <f ca="1">기술사</f>
        <v>467217</v>
      </c>
      <c r="U133" s="142">
        <f t="shared" ref="U133:U138" ca="1" si="27">ROUNDDOWN(P133*R133,0)</f>
        <v>93443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0.8</v>
      </c>
      <c r="Q134" s="144" t="s">
        <v>29</v>
      </c>
      <c r="R134" s="118">
        <f t="shared" ca="1" si="26"/>
        <v>373353</v>
      </c>
      <c r="S134" s="118">
        <f t="shared" ca="1" si="26"/>
        <v>298682</v>
      </c>
      <c r="T134" s="118">
        <f ca="1">특급</f>
        <v>373353</v>
      </c>
      <c r="U134" s="118">
        <f t="shared" ca="1" si="27"/>
        <v>298682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2.1</v>
      </c>
      <c r="Q135" s="144" t="s">
        <v>29</v>
      </c>
      <c r="R135" s="118">
        <f t="shared" ca="1" si="26"/>
        <v>310884</v>
      </c>
      <c r="S135" s="118">
        <f t="shared" ca="1" si="26"/>
        <v>652856</v>
      </c>
      <c r="T135" s="118">
        <f ca="1">고급</f>
        <v>310884</v>
      </c>
      <c r="U135" s="118">
        <f t="shared" ca="1" si="27"/>
        <v>652856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2.7</v>
      </c>
      <c r="Q136" s="144" t="s">
        <v>29</v>
      </c>
      <c r="R136" s="118">
        <f t="shared" ca="1" si="26"/>
        <v>295138</v>
      </c>
      <c r="S136" s="118">
        <f t="shared" ca="1" si="26"/>
        <v>796872</v>
      </c>
      <c r="T136" s="118">
        <f ca="1">중급</f>
        <v>295138</v>
      </c>
      <c r="U136" s="118">
        <f t="shared" ca="1" si="27"/>
        <v>796872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6.3</v>
      </c>
      <c r="Q137" s="144" t="s">
        <v>29</v>
      </c>
      <c r="R137" s="118">
        <f t="shared" ca="1" si="26"/>
        <v>235459</v>
      </c>
      <c r="S137" s="118">
        <f t="shared" ca="1" si="26"/>
        <v>1483391</v>
      </c>
      <c r="T137" s="118">
        <f ca="1">초급</f>
        <v>235459</v>
      </c>
      <c r="U137" s="118">
        <f t="shared" ca="1" si="27"/>
        <v>1483391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6.1</v>
      </c>
      <c r="Q138" s="322" t="s">
        <v>29</v>
      </c>
      <c r="R138" s="323">
        <f t="shared" ca="1" si="26"/>
        <v>250087</v>
      </c>
      <c r="S138" s="323">
        <f t="shared" ca="1" si="26"/>
        <v>1525530</v>
      </c>
      <c r="T138" s="323">
        <f ca="1">보조원</f>
        <v>250087</v>
      </c>
      <c r="U138" s="323">
        <f t="shared" ca="1" si="27"/>
        <v>1525530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4850774</v>
      </c>
      <c r="T139" s="71"/>
      <c r="U139" s="71">
        <f ca="1">SUBTOTAL(9,U133:U138)</f>
        <v>4850774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OFFSET($A$1,MATCH(Z140,$A:$A,0)-1,2)</f>
        <v>제 10 호표  2-7. 진입도로/교통처리계획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10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0.8</v>
      </c>
      <c r="Q141" s="141" t="s">
        <v>29</v>
      </c>
      <c r="R141" s="142">
        <f t="shared" ref="R141:S146" ca="1" si="28">T141</f>
        <v>467217</v>
      </c>
      <c r="S141" s="142">
        <f t="shared" ca="1" si="28"/>
        <v>373773</v>
      </c>
      <c r="T141" s="142">
        <f ca="1">기술사</f>
        <v>467217</v>
      </c>
      <c r="U141" s="142">
        <f t="shared" ref="U141:U146" ca="1" si="29">ROUNDDOWN(P141*R141,0)</f>
        <v>373773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0.8</v>
      </c>
      <c r="Q142" s="144" t="s">
        <v>29</v>
      </c>
      <c r="R142" s="118">
        <f t="shared" ca="1" si="28"/>
        <v>373353</v>
      </c>
      <c r="S142" s="118">
        <f t="shared" ca="1" si="28"/>
        <v>298682</v>
      </c>
      <c r="T142" s="118">
        <f ca="1">특급</f>
        <v>373353</v>
      </c>
      <c r="U142" s="118">
        <f t="shared" ca="1" si="29"/>
        <v>298682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1.1000000000000001</v>
      </c>
      <c r="Q143" s="144" t="s">
        <v>29</v>
      </c>
      <c r="R143" s="118">
        <f t="shared" ca="1" si="28"/>
        <v>310884</v>
      </c>
      <c r="S143" s="118">
        <f t="shared" ca="1" si="28"/>
        <v>341972</v>
      </c>
      <c r="T143" s="118">
        <f ca="1">고급</f>
        <v>310884</v>
      </c>
      <c r="U143" s="118">
        <f t="shared" ca="1" si="29"/>
        <v>341972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1.1000000000000001</v>
      </c>
      <c r="Q144" s="144" t="s">
        <v>29</v>
      </c>
      <c r="R144" s="118">
        <f t="shared" ca="1" si="28"/>
        <v>295138</v>
      </c>
      <c r="S144" s="118">
        <f t="shared" ca="1" si="28"/>
        <v>324651</v>
      </c>
      <c r="T144" s="118">
        <f ca="1">중급</f>
        <v>295138</v>
      </c>
      <c r="U144" s="118">
        <f t="shared" ca="1" si="29"/>
        <v>324651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1.2</v>
      </c>
      <c r="Q145" s="144" t="s">
        <v>29</v>
      </c>
      <c r="R145" s="118">
        <f t="shared" ca="1" si="28"/>
        <v>235459</v>
      </c>
      <c r="S145" s="118">
        <f t="shared" ca="1" si="28"/>
        <v>282550</v>
      </c>
      <c r="T145" s="118">
        <f ca="1">초급</f>
        <v>235459</v>
      </c>
      <c r="U145" s="118">
        <f t="shared" ca="1" si="29"/>
        <v>282550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1.1000000000000001</v>
      </c>
      <c r="Q146" s="322" t="s">
        <v>29</v>
      </c>
      <c r="R146" s="323">
        <f t="shared" ca="1" si="28"/>
        <v>250087</v>
      </c>
      <c r="S146" s="323">
        <f t="shared" ca="1" si="28"/>
        <v>275095</v>
      </c>
      <c r="T146" s="323">
        <f ca="1">보조원</f>
        <v>250087</v>
      </c>
      <c r="U146" s="323">
        <f t="shared" ca="1" si="29"/>
        <v>275095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1896723</v>
      </c>
      <c r="T147" s="71"/>
      <c r="U147" s="71">
        <f ca="1">SUBTOTAL(9,U141:U146)</f>
        <v>1896723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N148" s="318" t="str">
        <f ca="1">"제 " &amp; Z148 &amp; " 호표  "&amp; OFFSET($A$1,MATCH(Z148,$A:$A,0)-1,2)</f>
        <v>제 11 호표  2-8. 대체기반시설 계획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11</v>
      </c>
    </row>
    <row r="149" spans="11:26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0</v>
      </c>
      <c r="Q149" s="141" t="s">
        <v>29</v>
      </c>
      <c r="R149" s="142">
        <f t="shared" ref="R149:S154" ca="1" si="30">T149</f>
        <v>467217</v>
      </c>
      <c r="S149" s="142">
        <f t="shared" ca="1" si="30"/>
        <v>0</v>
      </c>
      <c r="T149" s="142">
        <f ca="1">기술사</f>
        <v>467217</v>
      </c>
      <c r="U149" s="142">
        <f t="shared" ref="U149:U154" ca="1" si="31">ROUNDDOWN(P149*R149,0)</f>
        <v>0</v>
      </c>
      <c r="V149" s="142"/>
      <c r="W149" s="142"/>
      <c r="X149" s="142"/>
      <c r="Y149" s="142"/>
      <c r="Z149" s="114"/>
    </row>
    <row r="150" spans="11:26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2.2999999999999998</v>
      </c>
      <c r="Q150" s="144" t="s">
        <v>29</v>
      </c>
      <c r="R150" s="118">
        <f t="shared" ca="1" si="30"/>
        <v>373353</v>
      </c>
      <c r="S150" s="118">
        <f t="shared" ca="1" si="30"/>
        <v>858711</v>
      </c>
      <c r="T150" s="118">
        <f ca="1">특급</f>
        <v>373353</v>
      </c>
      <c r="U150" s="118">
        <f t="shared" ca="1" si="31"/>
        <v>858711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4.5999999999999996</v>
      </c>
      <c r="Q151" s="144" t="s">
        <v>29</v>
      </c>
      <c r="R151" s="118">
        <f t="shared" ca="1" si="30"/>
        <v>310884</v>
      </c>
      <c r="S151" s="118">
        <f t="shared" ca="1" si="30"/>
        <v>1430066</v>
      </c>
      <c r="T151" s="118">
        <f ca="1">고급</f>
        <v>310884</v>
      </c>
      <c r="U151" s="118">
        <f t="shared" ca="1" si="31"/>
        <v>1430066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5.8</v>
      </c>
      <c r="Q152" s="144" t="s">
        <v>29</v>
      </c>
      <c r="R152" s="118">
        <f t="shared" ca="1" si="30"/>
        <v>295138</v>
      </c>
      <c r="S152" s="118">
        <f t="shared" ca="1" si="30"/>
        <v>1711800</v>
      </c>
      <c r="T152" s="118">
        <f ca="1">중급</f>
        <v>295138</v>
      </c>
      <c r="U152" s="118">
        <f t="shared" ca="1" si="31"/>
        <v>1711800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11.6</v>
      </c>
      <c r="Q153" s="144" t="s">
        <v>29</v>
      </c>
      <c r="R153" s="118">
        <f t="shared" ca="1" si="30"/>
        <v>235459</v>
      </c>
      <c r="S153" s="118">
        <f t="shared" ca="1" si="30"/>
        <v>2731324</v>
      </c>
      <c r="T153" s="118">
        <f ca="1">초급</f>
        <v>235459</v>
      </c>
      <c r="U153" s="118">
        <f t="shared" ca="1" si="31"/>
        <v>2731324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16.399999999999999</v>
      </c>
      <c r="Q154" s="322" t="s">
        <v>29</v>
      </c>
      <c r="R154" s="323">
        <f t="shared" ca="1" si="30"/>
        <v>250087</v>
      </c>
      <c r="S154" s="323">
        <f t="shared" ca="1" si="30"/>
        <v>4101426</v>
      </c>
      <c r="T154" s="323">
        <f ca="1">보조원</f>
        <v>250087</v>
      </c>
      <c r="U154" s="323">
        <f t="shared" ca="1" si="31"/>
        <v>4101426</v>
      </c>
      <c r="V154" s="323"/>
      <c r="W154" s="323"/>
      <c r="X154" s="323"/>
      <c r="Y154" s="323"/>
      <c r="Z154" s="324"/>
    </row>
    <row r="155" spans="11:26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10833327</v>
      </c>
      <c r="T155" s="71"/>
      <c r="U155" s="71">
        <f ca="1">SUBTOTAL(9,U149:U154)</f>
        <v>10833327</v>
      </c>
      <c r="V155" s="71"/>
      <c r="W155" s="71"/>
      <c r="X155" s="71"/>
      <c r="Y155" s="71"/>
      <c r="Z155" s="68"/>
    </row>
    <row r="156" spans="11:26" ht="18" customHeight="1">
      <c r="K156" s="171" t="s">
        <v>14</v>
      </c>
      <c r="L156" s="171"/>
      <c r="M156" s="171"/>
      <c r="N156" s="318" t="str">
        <f ca="1">"제 " &amp; Z156 &amp; " 호표  "&amp; OFFSET($A$1,MATCH(Z156,$A:$A,0)-1,2)</f>
        <v>제 12 호표  2-9. 개발행위허가 기준 검토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12</v>
      </c>
    </row>
    <row r="157" spans="11:26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0</v>
      </c>
      <c r="Q157" s="141" t="s">
        <v>29</v>
      </c>
      <c r="R157" s="142">
        <f t="shared" ref="R157:S162" ca="1" si="32">T157</f>
        <v>467217</v>
      </c>
      <c r="S157" s="142">
        <f t="shared" ca="1" si="32"/>
        <v>0</v>
      </c>
      <c r="T157" s="142">
        <f ca="1">기술사</f>
        <v>467217</v>
      </c>
      <c r="U157" s="142">
        <f t="shared" ref="U157:U162" ca="1" si="33">ROUNDDOWN(P157*R157,0)</f>
        <v>0</v>
      </c>
      <c r="V157" s="142"/>
      <c r="W157" s="142"/>
      <c r="X157" s="142"/>
      <c r="Y157" s="142"/>
      <c r="Z157" s="114"/>
    </row>
    <row r="158" spans="11:26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0.1</v>
      </c>
      <c r="Q158" s="144" t="s">
        <v>29</v>
      </c>
      <c r="R158" s="118">
        <f t="shared" ca="1" si="32"/>
        <v>373353</v>
      </c>
      <c r="S158" s="118">
        <f t="shared" ca="1" si="32"/>
        <v>37335</v>
      </c>
      <c r="T158" s="118">
        <f ca="1">특급</f>
        <v>373353</v>
      </c>
      <c r="U158" s="118">
        <f t="shared" ca="1" si="33"/>
        <v>37335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0.1</v>
      </c>
      <c r="Q159" s="144" t="s">
        <v>29</v>
      </c>
      <c r="R159" s="118">
        <f t="shared" ca="1" si="32"/>
        <v>310884</v>
      </c>
      <c r="S159" s="118">
        <f t="shared" ca="1" si="32"/>
        <v>31088</v>
      </c>
      <c r="T159" s="118">
        <f ca="1">고급</f>
        <v>310884</v>
      </c>
      <c r="U159" s="118">
        <f t="shared" ca="1" si="33"/>
        <v>31088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0.1</v>
      </c>
      <c r="Q160" s="144" t="s">
        <v>29</v>
      </c>
      <c r="R160" s="118">
        <f t="shared" ca="1" si="32"/>
        <v>295138</v>
      </c>
      <c r="S160" s="118">
        <f t="shared" ca="1" si="32"/>
        <v>29513</v>
      </c>
      <c r="T160" s="118">
        <f ca="1">중급</f>
        <v>295138</v>
      </c>
      <c r="U160" s="118">
        <f t="shared" ca="1" si="33"/>
        <v>29513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0.2</v>
      </c>
      <c r="Q161" s="144" t="s">
        <v>29</v>
      </c>
      <c r="R161" s="118">
        <f t="shared" ca="1" si="32"/>
        <v>235459</v>
      </c>
      <c r="S161" s="118">
        <f t="shared" ca="1" si="32"/>
        <v>47091</v>
      </c>
      <c r="T161" s="118">
        <f ca="1">초급</f>
        <v>235459</v>
      </c>
      <c r="U161" s="118">
        <f t="shared" ca="1" si="33"/>
        <v>47091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0.2</v>
      </c>
      <c r="Q162" s="322" t="s">
        <v>29</v>
      </c>
      <c r="R162" s="323">
        <f t="shared" ca="1" si="32"/>
        <v>250087</v>
      </c>
      <c r="S162" s="323">
        <f t="shared" ca="1" si="32"/>
        <v>50017</v>
      </c>
      <c r="T162" s="323">
        <f ca="1">보조원</f>
        <v>250087</v>
      </c>
      <c r="U162" s="323">
        <f t="shared" ca="1" si="33"/>
        <v>50017</v>
      </c>
      <c r="V162" s="323"/>
      <c r="W162" s="323"/>
      <c r="X162" s="323"/>
      <c r="Y162" s="323"/>
      <c r="Z162" s="324"/>
    </row>
    <row r="163" spans="11:26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195044</v>
      </c>
      <c r="T163" s="71"/>
      <c r="U163" s="71">
        <f ca="1">SUBTOTAL(9,U157:U162)</f>
        <v>195044</v>
      </c>
      <c r="V163" s="71"/>
      <c r="W163" s="71"/>
      <c r="X163" s="71"/>
      <c r="Y163" s="71"/>
      <c r="Z163" s="68"/>
    </row>
    <row r="164" spans="11:26" ht="18" customHeight="1">
      <c r="K164" s="171" t="s">
        <v>14</v>
      </c>
      <c r="L164" s="171"/>
      <c r="M164" s="171"/>
      <c r="N164" s="318" t="str">
        <f ca="1">"제 " &amp; Z164 &amp; " 호표  "&amp; OFFSET($A$1,MATCH(Z164,$A:$A,0)-1,2)</f>
        <v>제 13 호표  2-10. 경관체크리스트 검토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13</v>
      </c>
    </row>
    <row r="165" spans="11:26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0</v>
      </c>
      <c r="Q165" s="141" t="s">
        <v>29</v>
      </c>
      <c r="R165" s="142">
        <f t="shared" ref="R165:S170" ca="1" si="34">T165</f>
        <v>467217</v>
      </c>
      <c r="S165" s="142">
        <f t="shared" ca="1" si="34"/>
        <v>0</v>
      </c>
      <c r="T165" s="142">
        <f ca="1">기술사</f>
        <v>467217</v>
      </c>
      <c r="U165" s="142">
        <f t="shared" ref="U165:U170" ca="1" si="35">ROUNDDOWN(P165*R165,0)</f>
        <v>0</v>
      </c>
      <c r="V165" s="142"/>
      <c r="W165" s="142"/>
      <c r="X165" s="142"/>
      <c r="Y165" s="142"/>
      <c r="Z165" s="114"/>
    </row>
    <row r="166" spans="11:26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0.1</v>
      </c>
      <c r="Q166" s="144" t="s">
        <v>29</v>
      </c>
      <c r="R166" s="118">
        <f t="shared" ca="1" si="34"/>
        <v>373353</v>
      </c>
      <c r="S166" s="118">
        <f t="shared" ca="1" si="34"/>
        <v>37335</v>
      </c>
      <c r="T166" s="118">
        <f ca="1">특급</f>
        <v>373353</v>
      </c>
      <c r="U166" s="118">
        <f t="shared" ca="1" si="35"/>
        <v>37335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0.1</v>
      </c>
      <c r="Q167" s="144" t="s">
        <v>29</v>
      </c>
      <c r="R167" s="118">
        <f t="shared" ca="1" si="34"/>
        <v>310884</v>
      </c>
      <c r="S167" s="118">
        <f t="shared" ca="1" si="34"/>
        <v>31088</v>
      </c>
      <c r="T167" s="118">
        <f ca="1">고급</f>
        <v>310884</v>
      </c>
      <c r="U167" s="118">
        <f t="shared" ca="1" si="35"/>
        <v>31088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0.1</v>
      </c>
      <c r="Q168" s="144" t="s">
        <v>29</v>
      </c>
      <c r="R168" s="118">
        <f t="shared" ca="1" si="34"/>
        <v>295138</v>
      </c>
      <c r="S168" s="118">
        <f t="shared" ca="1" si="34"/>
        <v>29513</v>
      </c>
      <c r="T168" s="118">
        <f ca="1">중급</f>
        <v>295138</v>
      </c>
      <c r="U168" s="118">
        <f t="shared" ca="1" si="35"/>
        <v>29513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0.2</v>
      </c>
      <c r="Q169" s="144" t="s">
        <v>29</v>
      </c>
      <c r="R169" s="118">
        <f t="shared" ca="1" si="34"/>
        <v>235459</v>
      </c>
      <c r="S169" s="118">
        <f t="shared" ca="1" si="34"/>
        <v>47091</v>
      </c>
      <c r="T169" s="118">
        <f ca="1">초급</f>
        <v>235459</v>
      </c>
      <c r="U169" s="118">
        <f t="shared" ca="1" si="35"/>
        <v>47091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0.2</v>
      </c>
      <c r="Q170" s="322" t="s">
        <v>29</v>
      </c>
      <c r="R170" s="323">
        <f t="shared" ca="1" si="34"/>
        <v>250087</v>
      </c>
      <c r="S170" s="323">
        <f t="shared" ca="1" si="34"/>
        <v>50017</v>
      </c>
      <c r="T170" s="323">
        <f ca="1">보조원</f>
        <v>250087</v>
      </c>
      <c r="U170" s="323">
        <f t="shared" ca="1" si="35"/>
        <v>50017</v>
      </c>
      <c r="V170" s="323"/>
      <c r="W170" s="323"/>
      <c r="X170" s="323"/>
      <c r="Y170" s="323"/>
      <c r="Z170" s="324"/>
    </row>
    <row r="171" spans="11:26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195044</v>
      </c>
      <c r="T171" s="71"/>
      <c r="U171" s="71">
        <f ca="1">SUBTOTAL(9,U165:U170)</f>
        <v>195044</v>
      </c>
      <c r="V171" s="71"/>
      <c r="W171" s="71"/>
      <c r="X171" s="71"/>
      <c r="Y171" s="71"/>
      <c r="Z171" s="68"/>
    </row>
    <row r="172" spans="11:26" ht="18" customHeight="1">
      <c r="K172" s="171" t="s">
        <v>14</v>
      </c>
      <c r="L172" s="171"/>
      <c r="M172" s="171"/>
      <c r="N172" s="318" t="str">
        <f ca="1">"제 " &amp; Z172 &amp; " 호표  "&amp; OFFSET($A$1,MATCH(Z172,$A:$A,0)-1,2)</f>
        <v>제 14 호표  2-11. 예산내역서</v>
      </c>
      <c r="O172" s="221"/>
      <c r="P172" s="148"/>
      <c r="Q172" s="148"/>
      <c r="R172" s="149"/>
      <c r="S172" s="149"/>
      <c r="T172" s="149"/>
      <c r="U172" s="149"/>
      <c r="V172" s="149"/>
      <c r="W172" s="149"/>
      <c r="X172" s="149"/>
      <c r="Y172" s="149"/>
      <c r="Z172" s="325">
        <f>Z164+1</f>
        <v>14</v>
      </c>
    </row>
    <row r="173" spans="11:26" ht="18" customHeight="1">
      <c r="K173" s="171" t="s">
        <v>14</v>
      </c>
      <c r="L173" s="171"/>
      <c r="M173" s="171"/>
      <c r="N173" s="140" t="s">
        <v>43</v>
      </c>
      <c r="O173" s="172">
        <v>3</v>
      </c>
      <c r="P173" s="219">
        <f ca="1">OFFSET($A$1,MATCH(Z172,$A:$A,0)-1,O173)</f>
        <v>0.6</v>
      </c>
      <c r="Q173" s="141" t="s">
        <v>29</v>
      </c>
      <c r="R173" s="142">
        <f t="shared" ref="R173:S178" ca="1" si="36">T173</f>
        <v>467217</v>
      </c>
      <c r="S173" s="142">
        <f t="shared" ca="1" si="36"/>
        <v>280330</v>
      </c>
      <c r="T173" s="142">
        <f ca="1">기술사</f>
        <v>467217</v>
      </c>
      <c r="U173" s="142">
        <f t="shared" ref="U173:U178" ca="1" si="37">ROUNDDOWN(P173*R173,0)</f>
        <v>280330</v>
      </c>
      <c r="V173" s="142"/>
      <c r="W173" s="142"/>
      <c r="X173" s="142"/>
      <c r="Y173" s="142"/>
      <c r="Z173" s="114"/>
    </row>
    <row r="174" spans="11:26" ht="18" customHeight="1">
      <c r="K174" s="171" t="s">
        <v>14</v>
      </c>
      <c r="L174" s="171"/>
      <c r="M174" s="171"/>
      <c r="N174" s="143" t="s">
        <v>32</v>
      </c>
      <c r="O174" s="173">
        <v>4</v>
      </c>
      <c r="P174" s="234">
        <f ca="1">OFFSET($A$1,MATCH(Z172,$A:$A,0)-1,O174)</f>
        <v>0.6</v>
      </c>
      <c r="Q174" s="144" t="s">
        <v>29</v>
      </c>
      <c r="R174" s="118">
        <f t="shared" ca="1" si="36"/>
        <v>373353</v>
      </c>
      <c r="S174" s="118">
        <f t="shared" ca="1" si="36"/>
        <v>224011</v>
      </c>
      <c r="T174" s="118">
        <f ca="1">특급</f>
        <v>373353</v>
      </c>
      <c r="U174" s="118">
        <f t="shared" ca="1" si="37"/>
        <v>224011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39</v>
      </c>
      <c r="O175" s="173">
        <v>5</v>
      </c>
      <c r="P175" s="234">
        <f ca="1">OFFSET($A$1,MATCH(Z172,$A:$A,0)-1,O175)</f>
        <v>1.2</v>
      </c>
      <c r="Q175" s="144" t="s">
        <v>29</v>
      </c>
      <c r="R175" s="118">
        <f t="shared" ca="1" si="36"/>
        <v>310884</v>
      </c>
      <c r="S175" s="118">
        <f t="shared" ca="1" si="36"/>
        <v>373060</v>
      </c>
      <c r="T175" s="118">
        <f ca="1">고급</f>
        <v>310884</v>
      </c>
      <c r="U175" s="118">
        <f t="shared" ca="1" si="37"/>
        <v>373060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40</v>
      </c>
      <c r="O176" s="173">
        <v>6</v>
      </c>
      <c r="P176" s="234">
        <f ca="1">OFFSET($A$1,MATCH(Z172,$A:$A,0)-1,O176)</f>
        <v>2</v>
      </c>
      <c r="Q176" s="144" t="s">
        <v>29</v>
      </c>
      <c r="R176" s="118">
        <f t="shared" ca="1" si="36"/>
        <v>295138</v>
      </c>
      <c r="S176" s="118">
        <f t="shared" ca="1" si="36"/>
        <v>590276</v>
      </c>
      <c r="T176" s="118">
        <f ca="1">중급</f>
        <v>295138</v>
      </c>
      <c r="U176" s="118">
        <f t="shared" ca="1" si="37"/>
        <v>590276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41</v>
      </c>
      <c r="O177" s="173">
        <v>7</v>
      </c>
      <c r="P177" s="234">
        <f ca="1">OFFSET($A$1,MATCH(Z172,$A:$A,0)-1,O177)</f>
        <v>3</v>
      </c>
      <c r="Q177" s="144" t="s">
        <v>29</v>
      </c>
      <c r="R177" s="118">
        <f t="shared" ca="1" si="36"/>
        <v>235459</v>
      </c>
      <c r="S177" s="118">
        <f t="shared" ca="1" si="36"/>
        <v>706377</v>
      </c>
      <c r="T177" s="118">
        <f ca="1">초급</f>
        <v>235459</v>
      </c>
      <c r="U177" s="118">
        <f t="shared" ca="1" si="37"/>
        <v>706377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319" t="s">
        <v>42</v>
      </c>
      <c r="O178" s="174">
        <v>8</v>
      </c>
      <c r="P178" s="235">
        <f ca="1">OFFSET($A$1,MATCH(Z172,$A:$A,0)-1,O178)</f>
        <v>4.5</v>
      </c>
      <c r="Q178" s="322" t="s">
        <v>29</v>
      </c>
      <c r="R178" s="323">
        <f t="shared" ca="1" si="36"/>
        <v>250087</v>
      </c>
      <c r="S178" s="323">
        <f t="shared" ca="1" si="36"/>
        <v>1125391</v>
      </c>
      <c r="T178" s="323">
        <f ca="1">보조원</f>
        <v>250087</v>
      </c>
      <c r="U178" s="323">
        <f t="shared" ca="1" si="37"/>
        <v>1125391</v>
      </c>
      <c r="V178" s="323"/>
      <c r="W178" s="323"/>
      <c r="X178" s="323"/>
      <c r="Y178" s="323"/>
      <c r="Z178" s="324"/>
    </row>
    <row r="179" spans="11:26" ht="18" customHeight="1">
      <c r="K179" s="171" t="s">
        <v>14</v>
      </c>
      <c r="L179" s="171"/>
      <c r="M179" s="171"/>
      <c r="N179" s="139" t="s">
        <v>17</v>
      </c>
      <c r="O179" s="68"/>
      <c r="P179" s="69"/>
      <c r="Q179" s="70"/>
      <c r="R179" s="71"/>
      <c r="S179" s="71">
        <f ca="1">SUBTOTAL(9,S173:S178)</f>
        <v>3299445</v>
      </c>
      <c r="T179" s="71"/>
      <c r="U179" s="71">
        <f ca="1">SUBTOTAL(9,U173:U178)</f>
        <v>3299445</v>
      </c>
      <c r="V179" s="71"/>
      <c r="W179" s="71"/>
      <c r="X179" s="71"/>
      <c r="Y179" s="71"/>
      <c r="Z179" s="68"/>
    </row>
    <row r="180" spans="11:26" ht="18" customHeight="1">
      <c r="K180" s="171" t="s">
        <v>14</v>
      </c>
      <c r="L180" s="171"/>
      <c r="M180" s="171"/>
      <c r="N180" s="318" t="str">
        <f ca="1">"제 " &amp; Z180 &amp; " 호표  "&amp; OFFSET($A$1,MATCH(Z180,$A:$A,0)-1,2)</f>
        <v>제 15 호표  3-1. 관련도서 작성</v>
      </c>
      <c r="O180" s="221"/>
      <c r="P180" s="148"/>
      <c r="Q180" s="148"/>
      <c r="R180" s="149"/>
      <c r="S180" s="149"/>
      <c r="T180" s="149"/>
      <c r="U180" s="149"/>
      <c r="V180" s="149"/>
      <c r="W180" s="149"/>
      <c r="X180" s="149"/>
      <c r="Y180" s="149"/>
      <c r="Z180" s="325">
        <f>Z172+1</f>
        <v>15</v>
      </c>
    </row>
    <row r="181" spans="11:26" ht="18" customHeight="1">
      <c r="K181" s="171" t="s">
        <v>14</v>
      </c>
      <c r="L181" s="171"/>
      <c r="M181" s="171"/>
      <c r="N181" s="140" t="s">
        <v>43</v>
      </c>
      <c r="O181" s="172">
        <v>3</v>
      </c>
      <c r="P181" s="219">
        <f ca="1">OFFSET($A$1,MATCH(Z180,$A:$A,0)-1,O181)</f>
        <v>0</v>
      </c>
      <c r="Q181" s="141" t="s">
        <v>29</v>
      </c>
      <c r="R181" s="142">
        <f t="shared" ref="R181:S186" ca="1" si="38">T181</f>
        <v>467217</v>
      </c>
      <c r="S181" s="142">
        <f t="shared" ca="1" si="38"/>
        <v>0</v>
      </c>
      <c r="T181" s="142">
        <f ca="1">기술사</f>
        <v>467217</v>
      </c>
      <c r="U181" s="142">
        <f t="shared" ref="U181:U186" ca="1" si="39">ROUNDDOWN(P181*R181,0)</f>
        <v>0</v>
      </c>
      <c r="V181" s="142"/>
      <c r="W181" s="142"/>
      <c r="X181" s="142"/>
      <c r="Y181" s="142"/>
      <c r="Z181" s="114"/>
    </row>
    <row r="182" spans="11:26" ht="18" customHeight="1">
      <c r="K182" s="171" t="s">
        <v>14</v>
      </c>
      <c r="L182" s="171"/>
      <c r="M182" s="171"/>
      <c r="N182" s="143" t="s">
        <v>32</v>
      </c>
      <c r="O182" s="173">
        <v>4</v>
      </c>
      <c r="P182" s="234">
        <f ca="1">OFFSET($A$1,MATCH(Z180,$A:$A,0)-1,O182)</f>
        <v>0.2</v>
      </c>
      <c r="Q182" s="144" t="s">
        <v>29</v>
      </c>
      <c r="R182" s="118">
        <f t="shared" ca="1" si="38"/>
        <v>373353</v>
      </c>
      <c r="S182" s="118">
        <f t="shared" ca="1" si="38"/>
        <v>74670</v>
      </c>
      <c r="T182" s="118">
        <f ca="1">특급</f>
        <v>373353</v>
      </c>
      <c r="U182" s="118">
        <f t="shared" ca="1" si="39"/>
        <v>74670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39</v>
      </c>
      <c r="O183" s="173">
        <v>5</v>
      </c>
      <c r="P183" s="234">
        <f ca="1">OFFSET($A$1,MATCH(Z180,$A:$A,0)-1,O183)</f>
        <v>0.2</v>
      </c>
      <c r="Q183" s="144" t="s">
        <v>29</v>
      </c>
      <c r="R183" s="118">
        <f t="shared" ca="1" si="38"/>
        <v>310884</v>
      </c>
      <c r="S183" s="118">
        <f t="shared" ca="1" si="38"/>
        <v>62176</v>
      </c>
      <c r="T183" s="118">
        <f ca="1">고급</f>
        <v>310884</v>
      </c>
      <c r="U183" s="118">
        <f t="shared" ca="1" si="39"/>
        <v>62176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40</v>
      </c>
      <c r="O184" s="173">
        <v>6</v>
      </c>
      <c r="P184" s="234">
        <f ca="1">OFFSET($A$1,MATCH(Z180,$A:$A,0)-1,O184)</f>
        <v>0.2</v>
      </c>
      <c r="Q184" s="144" t="s">
        <v>29</v>
      </c>
      <c r="R184" s="118">
        <f t="shared" ca="1" si="38"/>
        <v>295138</v>
      </c>
      <c r="S184" s="118">
        <f t="shared" ca="1" si="38"/>
        <v>59027</v>
      </c>
      <c r="T184" s="118">
        <f ca="1">중급</f>
        <v>295138</v>
      </c>
      <c r="U184" s="118">
        <f t="shared" ca="1" si="39"/>
        <v>59027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41</v>
      </c>
      <c r="O185" s="173">
        <v>7</v>
      </c>
      <c r="P185" s="234">
        <f ca="1">OFFSET($A$1,MATCH(Z180,$A:$A,0)-1,O185)</f>
        <v>0.4</v>
      </c>
      <c r="Q185" s="144" t="s">
        <v>29</v>
      </c>
      <c r="R185" s="118">
        <f t="shared" ca="1" si="38"/>
        <v>235459</v>
      </c>
      <c r="S185" s="118">
        <f t="shared" ca="1" si="38"/>
        <v>94183</v>
      </c>
      <c r="T185" s="118">
        <f ca="1">초급</f>
        <v>235459</v>
      </c>
      <c r="U185" s="118">
        <f t="shared" ca="1" si="39"/>
        <v>94183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319" t="s">
        <v>42</v>
      </c>
      <c r="O186" s="174">
        <v>8</v>
      </c>
      <c r="P186" s="235">
        <f ca="1">OFFSET($A$1,MATCH(Z180,$A:$A,0)-1,O186)</f>
        <v>0.4</v>
      </c>
      <c r="Q186" s="322" t="s">
        <v>29</v>
      </c>
      <c r="R186" s="323">
        <f t="shared" ca="1" si="38"/>
        <v>250087</v>
      </c>
      <c r="S186" s="323">
        <f t="shared" ca="1" si="38"/>
        <v>100034</v>
      </c>
      <c r="T186" s="323">
        <f ca="1">보조원</f>
        <v>250087</v>
      </c>
      <c r="U186" s="323">
        <f t="shared" ca="1" si="39"/>
        <v>100034</v>
      </c>
      <c r="V186" s="323"/>
      <c r="W186" s="323"/>
      <c r="X186" s="323"/>
      <c r="Y186" s="323"/>
      <c r="Z186" s="324"/>
    </row>
    <row r="187" spans="11:26" ht="18" customHeight="1">
      <c r="K187" s="171" t="s">
        <v>14</v>
      </c>
      <c r="L187" s="171"/>
      <c r="M187" s="171"/>
      <c r="N187" s="139" t="s">
        <v>17</v>
      </c>
      <c r="O187" s="68"/>
      <c r="P187" s="69"/>
      <c r="Q187" s="70"/>
      <c r="R187" s="71"/>
      <c r="S187" s="71">
        <f ca="1">SUBTOTAL(9,S181:S186)</f>
        <v>390090</v>
      </c>
      <c r="T187" s="71"/>
      <c r="U187" s="71">
        <f ca="1">SUBTOTAL(9,U181:U186)</f>
        <v>390090</v>
      </c>
      <c r="V187" s="71"/>
      <c r="W187" s="71"/>
      <c r="X187" s="71"/>
      <c r="Y187" s="71"/>
      <c r="Z187" s="68"/>
    </row>
    <row r="188" spans="11:26" ht="18" customHeight="1">
      <c r="K188" s="171" t="s">
        <v>14</v>
      </c>
      <c r="L188" s="171"/>
      <c r="M188" s="171"/>
      <c r="N188" s="318" t="str">
        <f ca="1">"제 " &amp; Z188 &amp; " 호표  "&amp; OFFSET($A$1,MATCH(Z188,$A:$A,0)-1,2)</f>
        <v>제 16 호표  4-1. 공청회/주민설명회</v>
      </c>
      <c r="O188" s="221"/>
      <c r="P188" s="148"/>
      <c r="Q188" s="148"/>
      <c r="R188" s="149"/>
      <c r="S188" s="149"/>
      <c r="T188" s="149"/>
      <c r="U188" s="149"/>
      <c r="V188" s="149"/>
      <c r="W188" s="149"/>
      <c r="X188" s="149"/>
      <c r="Y188" s="149"/>
      <c r="Z188" s="325">
        <f>Z180+1</f>
        <v>16</v>
      </c>
    </row>
    <row r="189" spans="11:26" ht="18" customHeight="1">
      <c r="K189" s="171" t="s">
        <v>14</v>
      </c>
      <c r="L189" s="171"/>
      <c r="M189" s="171"/>
      <c r="N189" s="140" t="s">
        <v>43</v>
      </c>
      <c r="O189" s="172">
        <v>3</v>
      </c>
      <c r="P189" s="219">
        <f ca="1">OFFSET($A$1,MATCH(Z188,$A:$A,0)-1,O189)</f>
        <v>2</v>
      </c>
      <c r="Q189" s="141" t="s">
        <v>29</v>
      </c>
      <c r="R189" s="142">
        <f t="shared" ref="R189:S194" ca="1" si="40">T189</f>
        <v>467217</v>
      </c>
      <c r="S189" s="142">
        <f t="shared" ca="1" si="40"/>
        <v>934434</v>
      </c>
      <c r="T189" s="142">
        <f ca="1">기술사</f>
        <v>467217</v>
      </c>
      <c r="U189" s="142">
        <f t="shared" ref="U189:U194" ca="1" si="41">ROUNDDOWN(P189*R189,0)</f>
        <v>934434</v>
      </c>
      <c r="V189" s="142"/>
      <c r="W189" s="142"/>
      <c r="X189" s="142"/>
      <c r="Y189" s="142"/>
      <c r="Z189" s="114"/>
    </row>
    <row r="190" spans="11:26" ht="18" customHeight="1">
      <c r="K190" s="171" t="s">
        <v>14</v>
      </c>
      <c r="L190" s="171"/>
      <c r="M190" s="171"/>
      <c r="N190" s="143" t="s">
        <v>32</v>
      </c>
      <c r="O190" s="173">
        <v>4</v>
      </c>
      <c r="P190" s="234">
        <f ca="1">OFFSET($A$1,MATCH(Z188,$A:$A,0)-1,O190)</f>
        <v>2</v>
      </c>
      <c r="Q190" s="144" t="s">
        <v>29</v>
      </c>
      <c r="R190" s="118">
        <f t="shared" ca="1" si="40"/>
        <v>373353</v>
      </c>
      <c r="S190" s="118">
        <f t="shared" ca="1" si="40"/>
        <v>746706</v>
      </c>
      <c r="T190" s="118">
        <f ca="1">특급</f>
        <v>373353</v>
      </c>
      <c r="U190" s="118">
        <f t="shared" ca="1" si="41"/>
        <v>746706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39</v>
      </c>
      <c r="O191" s="173">
        <v>5</v>
      </c>
      <c r="P191" s="234">
        <f ca="1">OFFSET($A$1,MATCH(Z188,$A:$A,0)-1,O191)</f>
        <v>2</v>
      </c>
      <c r="Q191" s="144" t="s">
        <v>29</v>
      </c>
      <c r="R191" s="118">
        <f t="shared" ca="1" si="40"/>
        <v>310884</v>
      </c>
      <c r="S191" s="118">
        <f t="shared" ca="1" si="40"/>
        <v>621768</v>
      </c>
      <c r="T191" s="118">
        <f ca="1">고급</f>
        <v>310884</v>
      </c>
      <c r="U191" s="118">
        <f t="shared" ca="1" si="41"/>
        <v>621768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40</v>
      </c>
      <c r="O192" s="173">
        <v>6</v>
      </c>
      <c r="P192" s="234">
        <f ca="1">OFFSET($A$1,MATCH(Z188,$A:$A,0)-1,O192)</f>
        <v>4</v>
      </c>
      <c r="Q192" s="144" t="s">
        <v>29</v>
      </c>
      <c r="R192" s="118">
        <f t="shared" ca="1" si="40"/>
        <v>295138</v>
      </c>
      <c r="S192" s="118">
        <f t="shared" ca="1" si="40"/>
        <v>1180552</v>
      </c>
      <c r="T192" s="118">
        <f ca="1">중급</f>
        <v>295138</v>
      </c>
      <c r="U192" s="118">
        <f t="shared" ca="1" si="41"/>
        <v>1180552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41</v>
      </c>
      <c r="O193" s="173">
        <v>7</v>
      </c>
      <c r="P193" s="234">
        <f ca="1">OFFSET($A$1,MATCH(Z188,$A:$A,0)-1,O193)</f>
        <v>4</v>
      </c>
      <c r="Q193" s="144" t="s">
        <v>29</v>
      </c>
      <c r="R193" s="118">
        <f t="shared" ca="1" si="40"/>
        <v>235459</v>
      </c>
      <c r="S193" s="118">
        <f t="shared" ca="1" si="40"/>
        <v>941836</v>
      </c>
      <c r="T193" s="118">
        <f ca="1">초급</f>
        <v>235459</v>
      </c>
      <c r="U193" s="118">
        <f t="shared" ca="1" si="41"/>
        <v>941836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319" t="s">
        <v>42</v>
      </c>
      <c r="O194" s="174">
        <v>8</v>
      </c>
      <c r="P194" s="235">
        <f ca="1">OFFSET($A$1,MATCH(Z188,$A:$A,0)-1,O194)</f>
        <v>4</v>
      </c>
      <c r="Q194" s="322" t="s">
        <v>29</v>
      </c>
      <c r="R194" s="323">
        <f t="shared" ca="1" si="40"/>
        <v>250087</v>
      </c>
      <c r="S194" s="323">
        <f t="shared" ca="1" si="40"/>
        <v>1000348</v>
      </c>
      <c r="T194" s="323">
        <f ca="1">보조원</f>
        <v>250087</v>
      </c>
      <c r="U194" s="323">
        <f t="shared" ca="1" si="41"/>
        <v>1000348</v>
      </c>
      <c r="V194" s="323"/>
      <c r="W194" s="323"/>
      <c r="X194" s="323"/>
      <c r="Y194" s="323"/>
      <c r="Z194" s="324"/>
    </row>
    <row r="195" spans="11:26" ht="18" customHeight="1">
      <c r="K195" s="171" t="s">
        <v>14</v>
      </c>
      <c r="L195" s="171"/>
      <c r="M195" s="171"/>
      <c r="N195" s="139" t="s">
        <v>17</v>
      </c>
      <c r="O195" s="68"/>
      <c r="P195" s="69"/>
      <c r="Q195" s="70"/>
      <c r="R195" s="71"/>
      <c r="S195" s="71">
        <f ca="1">SUBTOTAL(9,S189:S194)</f>
        <v>5425644</v>
      </c>
      <c r="T195" s="71"/>
      <c r="U195" s="71">
        <f ca="1">SUBTOTAL(9,U189:U194)</f>
        <v>5425644</v>
      </c>
      <c r="V195" s="71"/>
      <c r="W195" s="71"/>
      <c r="X195" s="71"/>
      <c r="Y195" s="71"/>
      <c r="Z195" s="68"/>
    </row>
    <row r="196" spans="11:26" ht="18" customHeight="1">
      <c r="K196" s="171" t="s">
        <v>14</v>
      </c>
      <c r="L196" s="171"/>
      <c r="M196" s="171"/>
      <c r="N196" s="318" t="str">
        <f ca="1">"제 " &amp; Z196 &amp; " 호표  "&amp; OFFSET($A$1,MATCH(Z196,$A:$A,0)-1,2)</f>
        <v>제 17 호표  4-2. 주민간담회/시민계획단</v>
      </c>
      <c r="O196" s="221"/>
      <c r="P196" s="148"/>
      <c r="Q196" s="148"/>
      <c r="R196" s="149"/>
      <c r="S196" s="149"/>
      <c r="T196" s="149"/>
      <c r="U196" s="149"/>
      <c r="V196" s="149"/>
      <c r="W196" s="149"/>
      <c r="X196" s="149"/>
      <c r="Y196" s="149"/>
      <c r="Z196" s="325">
        <f>Z188+1</f>
        <v>17</v>
      </c>
    </row>
    <row r="197" spans="11:26" ht="18" customHeight="1">
      <c r="K197" s="171" t="s">
        <v>14</v>
      </c>
      <c r="L197" s="171"/>
      <c r="M197" s="171"/>
      <c r="N197" s="140" t="s">
        <v>43</v>
      </c>
      <c r="O197" s="172">
        <v>3</v>
      </c>
      <c r="P197" s="219">
        <f ca="1">OFFSET($A$1,MATCH(Z196,$A:$A,0)-1,O197)</f>
        <v>2</v>
      </c>
      <c r="Q197" s="141" t="s">
        <v>29</v>
      </c>
      <c r="R197" s="142">
        <f t="shared" ref="R197:S202" ca="1" si="42">T197</f>
        <v>467217</v>
      </c>
      <c r="S197" s="142">
        <f t="shared" ca="1" si="42"/>
        <v>934434</v>
      </c>
      <c r="T197" s="142">
        <f ca="1">기술사</f>
        <v>467217</v>
      </c>
      <c r="U197" s="142">
        <f t="shared" ref="U197:U202" ca="1" si="43">ROUNDDOWN(P197*R197,0)</f>
        <v>934434</v>
      </c>
      <c r="V197" s="142"/>
      <c r="W197" s="142"/>
      <c r="X197" s="142"/>
      <c r="Y197" s="142"/>
      <c r="Z197" s="114"/>
    </row>
    <row r="198" spans="11:26" ht="18" customHeight="1">
      <c r="K198" s="171" t="s">
        <v>14</v>
      </c>
      <c r="L198" s="171"/>
      <c r="M198" s="171"/>
      <c r="N198" s="143" t="s">
        <v>32</v>
      </c>
      <c r="O198" s="173">
        <v>4</v>
      </c>
      <c r="P198" s="234">
        <f ca="1">OFFSET($A$1,MATCH(Z196,$A:$A,0)-1,O198)</f>
        <v>2</v>
      </c>
      <c r="Q198" s="144" t="s">
        <v>29</v>
      </c>
      <c r="R198" s="118">
        <f t="shared" ca="1" si="42"/>
        <v>373353</v>
      </c>
      <c r="S198" s="118">
        <f t="shared" ca="1" si="42"/>
        <v>746706</v>
      </c>
      <c r="T198" s="118">
        <f ca="1">특급</f>
        <v>373353</v>
      </c>
      <c r="U198" s="118">
        <f t="shared" ca="1" si="43"/>
        <v>746706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39</v>
      </c>
      <c r="O199" s="173">
        <v>5</v>
      </c>
      <c r="P199" s="234">
        <f ca="1">OFFSET($A$1,MATCH(Z196,$A:$A,0)-1,O199)</f>
        <v>2</v>
      </c>
      <c r="Q199" s="144" t="s">
        <v>29</v>
      </c>
      <c r="R199" s="118">
        <f t="shared" ca="1" si="42"/>
        <v>310884</v>
      </c>
      <c r="S199" s="118">
        <f t="shared" ca="1" si="42"/>
        <v>621768</v>
      </c>
      <c r="T199" s="118">
        <f ca="1">고급</f>
        <v>310884</v>
      </c>
      <c r="U199" s="118">
        <f t="shared" ca="1" si="43"/>
        <v>621768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40</v>
      </c>
      <c r="O200" s="173">
        <v>6</v>
      </c>
      <c r="P200" s="234">
        <f ca="1">OFFSET($A$1,MATCH(Z196,$A:$A,0)-1,O200)</f>
        <v>4</v>
      </c>
      <c r="Q200" s="144" t="s">
        <v>29</v>
      </c>
      <c r="R200" s="118">
        <f t="shared" ca="1" si="42"/>
        <v>295138</v>
      </c>
      <c r="S200" s="118">
        <f t="shared" ca="1" si="42"/>
        <v>1180552</v>
      </c>
      <c r="T200" s="118">
        <f ca="1">중급</f>
        <v>295138</v>
      </c>
      <c r="U200" s="118">
        <f t="shared" ca="1" si="43"/>
        <v>1180552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41</v>
      </c>
      <c r="O201" s="173">
        <v>7</v>
      </c>
      <c r="P201" s="234">
        <f ca="1">OFFSET($A$1,MATCH(Z196,$A:$A,0)-1,O201)</f>
        <v>4</v>
      </c>
      <c r="Q201" s="144" t="s">
        <v>29</v>
      </c>
      <c r="R201" s="118">
        <f t="shared" ca="1" si="42"/>
        <v>235459</v>
      </c>
      <c r="S201" s="118">
        <f t="shared" ca="1" si="42"/>
        <v>941836</v>
      </c>
      <c r="T201" s="118">
        <f ca="1">초급</f>
        <v>235459</v>
      </c>
      <c r="U201" s="118">
        <f t="shared" ca="1" si="43"/>
        <v>941836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319" t="s">
        <v>42</v>
      </c>
      <c r="O202" s="174">
        <v>8</v>
      </c>
      <c r="P202" s="235">
        <f ca="1">OFFSET($A$1,MATCH(Z196,$A:$A,0)-1,O202)</f>
        <v>4</v>
      </c>
      <c r="Q202" s="322" t="s">
        <v>29</v>
      </c>
      <c r="R202" s="323">
        <f t="shared" ca="1" si="42"/>
        <v>250087</v>
      </c>
      <c r="S202" s="323">
        <f t="shared" ca="1" si="42"/>
        <v>1000348</v>
      </c>
      <c r="T202" s="323">
        <f ca="1">보조원</f>
        <v>250087</v>
      </c>
      <c r="U202" s="323">
        <f t="shared" ca="1" si="43"/>
        <v>1000348</v>
      </c>
      <c r="V202" s="323"/>
      <c r="W202" s="323"/>
      <c r="X202" s="323"/>
      <c r="Y202" s="323"/>
      <c r="Z202" s="324"/>
    </row>
    <row r="203" spans="11:26" ht="18" customHeight="1">
      <c r="K203" s="171" t="s">
        <v>14</v>
      </c>
      <c r="L203" s="171"/>
      <c r="M203" s="171"/>
      <c r="N203" s="139" t="s">
        <v>17</v>
      </c>
      <c r="O203" s="68"/>
      <c r="P203" s="69"/>
      <c r="Q203" s="70"/>
      <c r="R203" s="71"/>
      <c r="S203" s="71">
        <f ca="1">SUBTOTAL(9,S197:S202)</f>
        <v>5425644</v>
      </c>
      <c r="T203" s="71"/>
      <c r="U203" s="71">
        <f ca="1">SUBTOTAL(9,U197:U202)</f>
        <v>5425644</v>
      </c>
      <c r="V203" s="71"/>
      <c r="W203" s="71"/>
      <c r="X203" s="71"/>
      <c r="Y203" s="71"/>
      <c r="Z203" s="68"/>
    </row>
    <row r="204" spans="11:26" ht="18" customHeight="1">
      <c r="K204" s="171" t="s">
        <v>14</v>
      </c>
      <c r="L204" s="171"/>
      <c r="M204" s="171"/>
      <c r="N204" s="318" t="str">
        <f ca="1">"제 " &amp; Z204 &amp; " 호표  "&amp; OFFSET($A$1,MATCH(Z204,$A:$A,0)-1,2)</f>
        <v>제 18 호표  4-3. 위원회심의 지원</v>
      </c>
      <c r="O204" s="221"/>
      <c r="P204" s="148"/>
      <c r="Q204" s="148"/>
      <c r="R204" s="149"/>
      <c r="S204" s="149"/>
      <c r="T204" s="149"/>
      <c r="U204" s="149"/>
      <c r="V204" s="149"/>
      <c r="W204" s="149"/>
      <c r="X204" s="149"/>
      <c r="Y204" s="149"/>
      <c r="Z204" s="325">
        <f>Z196+1</f>
        <v>18</v>
      </c>
    </row>
    <row r="205" spans="11:26" ht="18" customHeight="1">
      <c r="K205" s="171" t="s">
        <v>14</v>
      </c>
      <c r="L205" s="171"/>
      <c r="M205" s="171"/>
      <c r="N205" s="140" t="s">
        <v>43</v>
      </c>
      <c r="O205" s="172">
        <v>3</v>
      </c>
      <c r="P205" s="219">
        <f ca="1">OFFSET($A$1,MATCH(Z204,$A:$A,0)-1,O205)</f>
        <v>2</v>
      </c>
      <c r="Q205" s="141" t="s">
        <v>29</v>
      </c>
      <c r="R205" s="142">
        <f t="shared" ref="R205:S210" ca="1" si="44">T205</f>
        <v>467217</v>
      </c>
      <c r="S205" s="142">
        <f t="shared" ca="1" si="44"/>
        <v>934434</v>
      </c>
      <c r="T205" s="142">
        <f ca="1">기술사</f>
        <v>467217</v>
      </c>
      <c r="U205" s="142">
        <f t="shared" ref="U205:U210" ca="1" si="45">ROUNDDOWN(P205*R205,0)</f>
        <v>934434</v>
      </c>
      <c r="V205" s="142"/>
      <c r="W205" s="142"/>
      <c r="X205" s="142"/>
      <c r="Y205" s="142"/>
      <c r="Z205" s="114"/>
    </row>
    <row r="206" spans="11:26" ht="18" customHeight="1">
      <c r="K206" s="171" t="s">
        <v>14</v>
      </c>
      <c r="L206" s="171"/>
      <c r="M206" s="171"/>
      <c r="N206" s="143" t="s">
        <v>32</v>
      </c>
      <c r="O206" s="173">
        <v>4</v>
      </c>
      <c r="P206" s="234">
        <f ca="1">OFFSET($A$1,MATCH(Z204,$A:$A,0)-1,O206)</f>
        <v>2</v>
      </c>
      <c r="Q206" s="144" t="s">
        <v>29</v>
      </c>
      <c r="R206" s="118">
        <f t="shared" ca="1" si="44"/>
        <v>373353</v>
      </c>
      <c r="S206" s="118">
        <f t="shared" ca="1" si="44"/>
        <v>746706</v>
      </c>
      <c r="T206" s="118">
        <f ca="1">특급</f>
        <v>373353</v>
      </c>
      <c r="U206" s="118">
        <f t="shared" ca="1" si="45"/>
        <v>746706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39</v>
      </c>
      <c r="O207" s="173">
        <v>5</v>
      </c>
      <c r="P207" s="234">
        <f ca="1">OFFSET($A$1,MATCH(Z204,$A:$A,0)-1,O207)</f>
        <v>2</v>
      </c>
      <c r="Q207" s="144" t="s">
        <v>29</v>
      </c>
      <c r="R207" s="118">
        <f t="shared" ca="1" si="44"/>
        <v>310884</v>
      </c>
      <c r="S207" s="118">
        <f t="shared" ca="1" si="44"/>
        <v>621768</v>
      </c>
      <c r="T207" s="118">
        <f ca="1">고급</f>
        <v>310884</v>
      </c>
      <c r="U207" s="118">
        <f t="shared" ca="1" si="45"/>
        <v>621768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40</v>
      </c>
      <c r="O208" s="173">
        <v>6</v>
      </c>
      <c r="P208" s="234">
        <f ca="1">OFFSET($A$1,MATCH(Z204,$A:$A,0)-1,O208)</f>
        <v>4</v>
      </c>
      <c r="Q208" s="144" t="s">
        <v>29</v>
      </c>
      <c r="R208" s="118">
        <f t="shared" ca="1" si="44"/>
        <v>295138</v>
      </c>
      <c r="S208" s="118">
        <f t="shared" ca="1" si="44"/>
        <v>1180552</v>
      </c>
      <c r="T208" s="118">
        <f ca="1">중급</f>
        <v>295138</v>
      </c>
      <c r="U208" s="118">
        <f t="shared" ca="1" si="45"/>
        <v>1180552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41</v>
      </c>
      <c r="O209" s="173">
        <v>7</v>
      </c>
      <c r="P209" s="234">
        <f ca="1">OFFSET($A$1,MATCH(Z204,$A:$A,0)-1,O209)</f>
        <v>4</v>
      </c>
      <c r="Q209" s="144" t="s">
        <v>29</v>
      </c>
      <c r="R209" s="118">
        <f t="shared" ca="1" si="44"/>
        <v>235459</v>
      </c>
      <c r="S209" s="118">
        <f t="shared" ca="1" si="44"/>
        <v>941836</v>
      </c>
      <c r="T209" s="118">
        <f ca="1">초급</f>
        <v>235459</v>
      </c>
      <c r="U209" s="118">
        <f t="shared" ca="1" si="45"/>
        <v>941836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319" t="s">
        <v>42</v>
      </c>
      <c r="O210" s="174">
        <v>8</v>
      </c>
      <c r="P210" s="235">
        <f ca="1">OFFSET($A$1,MATCH(Z204,$A:$A,0)-1,O210)</f>
        <v>4</v>
      </c>
      <c r="Q210" s="322" t="s">
        <v>29</v>
      </c>
      <c r="R210" s="323">
        <f t="shared" ca="1" si="44"/>
        <v>250087</v>
      </c>
      <c r="S210" s="323">
        <f t="shared" ca="1" si="44"/>
        <v>1000348</v>
      </c>
      <c r="T210" s="323">
        <f ca="1">보조원</f>
        <v>250087</v>
      </c>
      <c r="U210" s="323">
        <f t="shared" ca="1" si="45"/>
        <v>1000348</v>
      </c>
      <c r="V210" s="323"/>
      <c r="W210" s="323"/>
      <c r="X210" s="323"/>
      <c r="Y210" s="323"/>
      <c r="Z210" s="324"/>
    </row>
    <row r="211" spans="11:26" ht="18" customHeight="1">
      <c r="K211" s="171" t="s">
        <v>14</v>
      </c>
      <c r="L211" s="171"/>
      <c r="M211" s="171"/>
      <c r="N211" s="139" t="s">
        <v>17</v>
      </c>
      <c r="O211" s="68"/>
      <c r="P211" s="69"/>
      <c r="Q211" s="70"/>
      <c r="R211" s="71"/>
      <c r="S211" s="71">
        <f ca="1">SUBTOTAL(9,S205:S210)</f>
        <v>5425644</v>
      </c>
      <c r="T211" s="71"/>
      <c r="U211" s="71">
        <f ca="1">SUBTOTAL(9,U205:U210)</f>
        <v>5425644</v>
      </c>
      <c r="V211" s="71"/>
      <c r="W211" s="71"/>
      <c r="X211" s="71"/>
      <c r="Y211" s="71"/>
      <c r="Z211" s="68"/>
    </row>
    <row r="212" spans="11:26" ht="18" customHeight="1">
      <c r="K212" s="171" t="s">
        <v>14</v>
      </c>
      <c r="L212" s="171"/>
      <c r="M212" s="171"/>
      <c r="N212" s="318" t="str">
        <f ca="1">"제 " &amp; Z212 &amp; " 호표  "&amp; OFFSET($A$1,MATCH(Z212,$A:$A,0)-1,2)</f>
        <v>제 19 호표  4-4. 관계기관 협의</v>
      </c>
      <c r="O212" s="221"/>
      <c r="P212" s="148"/>
      <c r="Q212" s="148"/>
      <c r="R212" s="149"/>
      <c r="S212" s="149"/>
      <c r="T212" s="149"/>
      <c r="U212" s="149"/>
      <c r="V212" s="149"/>
      <c r="W212" s="149"/>
      <c r="X212" s="149"/>
      <c r="Y212" s="149"/>
      <c r="Z212" s="325">
        <f>Z204+1</f>
        <v>19</v>
      </c>
    </row>
    <row r="213" spans="11:26" ht="18" customHeight="1">
      <c r="K213" s="171" t="s">
        <v>14</v>
      </c>
      <c r="L213" s="171"/>
      <c r="M213" s="171"/>
      <c r="N213" s="140" t="s">
        <v>43</v>
      </c>
      <c r="O213" s="172">
        <v>3</v>
      </c>
      <c r="P213" s="219">
        <f ca="1">OFFSET($A$1,MATCH(Z212,$A:$A,0)-1,O213)</f>
        <v>2</v>
      </c>
      <c r="Q213" s="141" t="s">
        <v>29</v>
      </c>
      <c r="R213" s="142">
        <f t="shared" ref="R213:S218" ca="1" si="46">T213</f>
        <v>467217</v>
      </c>
      <c r="S213" s="142">
        <f t="shared" ca="1" si="46"/>
        <v>934434</v>
      </c>
      <c r="T213" s="142">
        <f ca="1">기술사</f>
        <v>467217</v>
      </c>
      <c r="U213" s="142">
        <f t="shared" ref="U213:U218" ca="1" si="47">ROUNDDOWN(P213*R213,0)</f>
        <v>934434</v>
      </c>
      <c r="V213" s="142"/>
      <c r="W213" s="142"/>
      <c r="X213" s="142"/>
      <c r="Y213" s="142"/>
      <c r="Z213" s="114"/>
    </row>
    <row r="214" spans="11:26" ht="18" customHeight="1">
      <c r="K214" s="171" t="s">
        <v>14</v>
      </c>
      <c r="L214" s="171"/>
      <c r="M214" s="171"/>
      <c r="N214" s="143" t="s">
        <v>32</v>
      </c>
      <c r="O214" s="173">
        <v>4</v>
      </c>
      <c r="P214" s="234">
        <f ca="1">OFFSET($A$1,MATCH(Z212,$A:$A,0)-1,O214)</f>
        <v>2</v>
      </c>
      <c r="Q214" s="144" t="s">
        <v>29</v>
      </c>
      <c r="R214" s="118">
        <f t="shared" ca="1" si="46"/>
        <v>373353</v>
      </c>
      <c r="S214" s="118">
        <f t="shared" ca="1" si="46"/>
        <v>746706</v>
      </c>
      <c r="T214" s="118">
        <f ca="1">특급</f>
        <v>373353</v>
      </c>
      <c r="U214" s="118">
        <f t="shared" ca="1" si="47"/>
        <v>746706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39</v>
      </c>
      <c r="O215" s="173">
        <v>5</v>
      </c>
      <c r="P215" s="234">
        <f ca="1">OFFSET($A$1,MATCH(Z212,$A:$A,0)-1,O215)</f>
        <v>2</v>
      </c>
      <c r="Q215" s="144" t="s">
        <v>29</v>
      </c>
      <c r="R215" s="118">
        <f t="shared" ca="1" si="46"/>
        <v>310884</v>
      </c>
      <c r="S215" s="118">
        <f t="shared" ca="1" si="46"/>
        <v>621768</v>
      </c>
      <c r="T215" s="118">
        <f ca="1">고급</f>
        <v>310884</v>
      </c>
      <c r="U215" s="118">
        <f t="shared" ca="1" si="47"/>
        <v>621768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40</v>
      </c>
      <c r="O216" s="173">
        <v>6</v>
      </c>
      <c r="P216" s="234">
        <f ca="1">OFFSET($A$1,MATCH(Z212,$A:$A,0)-1,O216)</f>
        <v>4</v>
      </c>
      <c r="Q216" s="144" t="s">
        <v>29</v>
      </c>
      <c r="R216" s="118">
        <f t="shared" ca="1" si="46"/>
        <v>295138</v>
      </c>
      <c r="S216" s="118">
        <f t="shared" ca="1" si="46"/>
        <v>1180552</v>
      </c>
      <c r="T216" s="118">
        <f ca="1">중급</f>
        <v>295138</v>
      </c>
      <c r="U216" s="118">
        <f t="shared" ca="1" si="47"/>
        <v>1180552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41</v>
      </c>
      <c r="O217" s="173">
        <v>7</v>
      </c>
      <c r="P217" s="234">
        <f ca="1">OFFSET($A$1,MATCH(Z212,$A:$A,0)-1,O217)</f>
        <v>4</v>
      </c>
      <c r="Q217" s="144" t="s">
        <v>29</v>
      </c>
      <c r="R217" s="118">
        <f t="shared" ca="1" si="46"/>
        <v>235459</v>
      </c>
      <c r="S217" s="118">
        <f t="shared" ca="1" si="46"/>
        <v>941836</v>
      </c>
      <c r="T217" s="118">
        <f ca="1">초급</f>
        <v>235459</v>
      </c>
      <c r="U217" s="118">
        <f t="shared" ca="1" si="47"/>
        <v>941836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319" t="s">
        <v>42</v>
      </c>
      <c r="O218" s="174">
        <v>8</v>
      </c>
      <c r="P218" s="235">
        <f ca="1">OFFSET($A$1,MATCH(Z212,$A:$A,0)-1,O218)</f>
        <v>4</v>
      </c>
      <c r="Q218" s="322" t="s">
        <v>29</v>
      </c>
      <c r="R218" s="323">
        <f t="shared" ca="1" si="46"/>
        <v>250087</v>
      </c>
      <c r="S218" s="323">
        <f t="shared" ca="1" si="46"/>
        <v>1000348</v>
      </c>
      <c r="T218" s="323">
        <f ca="1">보조원</f>
        <v>250087</v>
      </c>
      <c r="U218" s="323">
        <f t="shared" ca="1" si="47"/>
        <v>1000348</v>
      </c>
      <c r="V218" s="323"/>
      <c r="W218" s="323"/>
      <c r="X218" s="323"/>
      <c r="Y218" s="323"/>
      <c r="Z218" s="324"/>
    </row>
    <row r="219" spans="11:26" ht="18" customHeight="1">
      <c r="K219" s="171" t="s">
        <v>14</v>
      </c>
      <c r="L219" s="171"/>
      <c r="M219" s="171"/>
      <c r="N219" s="139" t="s">
        <v>17</v>
      </c>
      <c r="O219" s="68"/>
      <c r="P219" s="69"/>
      <c r="Q219" s="70"/>
      <c r="R219" s="71"/>
      <c r="S219" s="71">
        <f ca="1">SUBTOTAL(9,S213:S218)</f>
        <v>5425644</v>
      </c>
      <c r="T219" s="71"/>
      <c r="U219" s="71">
        <f ca="1">SUBTOTAL(9,U213:U218)</f>
        <v>5425644</v>
      </c>
      <c r="V219" s="71"/>
      <c r="W219" s="71"/>
      <c r="X219" s="71"/>
      <c r="Y219" s="71"/>
      <c r="Z219" s="68"/>
    </row>
    <row r="220" spans="11:26" ht="18" customHeight="1">
      <c r="K220" s="171" t="s">
        <v>14</v>
      </c>
      <c r="L220" s="171"/>
      <c r="M220" s="171"/>
      <c r="N220" s="318" t="e">
        <f ca="1">"제 " &amp; Z220 &amp; " 호표  "&amp; OFFSET($A$1,MATCH(Z220,$A:$A,0)-1,2)</f>
        <v>#N/A</v>
      </c>
      <c r="O220" s="221"/>
      <c r="P220" s="148"/>
      <c r="Q220" s="148"/>
      <c r="R220" s="149"/>
      <c r="S220" s="149"/>
      <c r="T220" s="149"/>
      <c r="U220" s="149"/>
      <c r="V220" s="149"/>
      <c r="W220" s="149"/>
      <c r="X220" s="149"/>
      <c r="Y220" s="149"/>
      <c r="Z220" s="325">
        <f>Z212+1</f>
        <v>20</v>
      </c>
    </row>
    <row r="221" spans="11:26" ht="18" customHeight="1">
      <c r="K221" s="171" t="s">
        <v>14</v>
      </c>
      <c r="L221" s="171"/>
      <c r="M221" s="171"/>
      <c r="N221" s="140" t="s">
        <v>43</v>
      </c>
      <c r="O221" s="172">
        <v>3</v>
      </c>
      <c r="P221" s="219" t="e">
        <f ca="1">OFFSET($A$1,MATCH(Z220,$A:$A,0)-1,O221)</f>
        <v>#N/A</v>
      </c>
      <c r="Q221" s="141" t="s">
        <v>29</v>
      </c>
      <c r="R221" s="142">
        <f t="shared" ref="R221:S226" ca="1" si="48">T221</f>
        <v>467217</v>
      </c>
      <c r="S221" s="142" t="e">
        <f t="shared" ca="1" si="48"/>
        <v>#N/A</v>
      </c>
      <c r="T221" s="142">
        <f ca="1">기술사</f>
        <v>467217</v>
      </c>
      <c r="U221" s="142" t="e">
        <f t="shared" ref="U221:U226" ca="1" si="49">ROUNDDOWN(P221*R221,0)</f>
        <v>#N/A</v>
      </c>
      <c r="V221" s="142"/>
      <c r="W221" s="142"/>
      <c r="X221" s="142"/>
      <c r="Y221" s="142"/>
      <c r="Z221" s="114"/>
    </row>
    <row r="222" spans="11:26" ht="18" customHeight="1">
      <c r="K222" s="171" t="s">
        <v>14</v>
      </c>
      <c r="L222" s="171"/>
      <c r="M222" s="171"/>
      <c r="N222" s="143" t="s">
        <v>32</v>
      </c>
      <c r="O222" s="173">
        <v>4</v>
      </c>
      <c r="P222" s="234" t="e">
        <f ca="1">OFFSET($A$1,MATCH(Z220,$A:$A,0)-1,O222)</f>
        <v>#N/A</v>
      </c>
      <c r="Q222" s="144" t="s">
        <v>29</v>
      </c>
      <c r="R222" s="118">
        <f t="shared" ca="1" si="48"/>
        <v>373353</v>
      </c>
      <c r="S222" s="118" t="e">
        <f t="shared" ca="1" si="48"/>
        <v>#N/A</v>
      </c>
      <c r="T222" s="118">
        <f ca="1">특급</f>
        <v>373353</v>
      </c>
      <c r="U222" s="118" t="e">
        <f t="shared" ca="1" si="49"/>
        <v>#N/A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39</v>
      </c>
      <c r="O223" s="173">
        <v>5</v>
      </c>
      <c r="P223" s="234" t="e">
        <f ca="1">OFFSET($A$1,MATCH(Z220,$A:$A,0)-1,O223)</f>
        <v>#N/A</v>
      </c>
      <c r="Q223" s="144" t="s">
        <v>29</v>
      </c>
      <c r="R223" s="118">
        <f t="shared" ca="1" si="48"/>
        <v>310884</v>
      </c>
      <c r="S223" s="118" t="e">
        <f t="shared" ca="1" si="48"/>
        <v>#N/A</v>
      </c>
      <c r="T223" s="118">
        <f ca="1">고급</f>
        <v>310884</v>
      </c>
      <c r="U223" s="118" t="e">
        <f t="shared" ca="1" si="49"/>
        <v>#N/A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40</v>
      </c>
      <c r="O224" s="173">
        <v>6</v>
      </c>
      <c r="P224" s="234" t="e">
        <f ca="1">OFFSET($A$1,MATCH(Z220,$A:$A,0)-1,O224)</f>
        <v>#N/A</v>
      </c>
      <c r="Q224" s="144" t="s">
        <v>29</v>
      </c>
      <c r="R224" s="118">
        <f t="shared" ca="1" si="48"/>
        <v>295138</v>
      </c>
      <c r="S224" s="118" t="e">
        <f t="shared" ca="1" si="48"/>
        <v>#N/A</v>
      </c>
      <c r="T224" s="118">
        <f ca="1">중급</f>
        <v>295138</v>
      </c>
      <c r="U224" s="118" t="e">
        <f t="shared" ca="1" si="49"/>
        <v>#N/A</v>
      </c>
      <c r="V224" s="118"/>
      <c r="W224" s="118"/>
      <c r="X224" s="118"/>
      <c r="Y224" s="118"/>
      <c r="Z224" s="115"/>
    </row>
    <row r="225" spans="11:28" ht="18" customHeight="1">
      <c r="K225" s="171" t="s">
        <v>14</v>
      </c>
      <c r="L225" s="171"/>
      <c r="M225" s="171"/>
      <c r="N225" s="145" t="s">
        <v>41</v>
      </c>
      <c r="O225" s="173">
        <v>7</v>
      </c>
      <c r="P225" s="234" t="e">
        <f ca="1">OFFSET($A$1,MATCH(Z220,$A:$A,0)-1,O225)</f>
        <v>#N/A</v>
      </c>
      <c r="Q225" s="144" t="s">
        <v>29</v>
      </c>
      <c r="R225" s="118">
        <f t="shared" ca="1" si="48"/>
        <v>235459</v>
      </c>
      <c r="S225" s="118" t="e">
        <f t="shared" ca="1" si="48"/>
        <v>#N/A</v>
      </c>
      <c r="T225" s="118">
        <f ca="1">초급</f>
        <v>235459</v>
      </c>
      <c r="U225" s="118" t="e">
        <f t="shared" ca="1" si="49"/>
        <v>#N/A</v>
      </c>
      <c r="V225" s="118"/>
      <c r="W225" s="118"/>
      <c r="X225" s="118"/>
      <c r="Y225" s="118"/>
      <c r="Z225" s="115"/>
    </row>
    <row r="226" spans="11:28" ht="18" customHeight="1">
      <c r="K226" s="171" t="s">
        <v>14</v>
      </c>
      <c r="L226" s="171"/>
      <c r="M226" s="171"/>
      <c r="N226" s="319" t="s">
        <v>42</v>
      </c>
      <c r="O226" s="174">
        <v>8</v>
      </c>
      <c r="P226" s="235" t="e">
        <f ca="1">OFFSET($A$1,MATCH(Z220,$A:$A,0)-1,O226)</f>
        <v>#N/A</v>
      </c>
      <c r="Q226" s="322" t="s">
        <v>29</v>
      </c>
      <c r="R226" s="323">
        <f t="shared" ca="1" si="48"/>
        <v>250087</v>
      </c>
      <c r="S226" s="323" t="e">
        <f t="shared" ca="1" si="48"/>
        <v>#N/A</v>
      </c>
      <c r="T226" s="323">
        <f ca="1">보조원</f>
        <v>250087</v>
      </c>
      <c r="U226" s="323" t="e">
        <f t="shared" ca="1" si="49"/>
        <v>#N/A</v>
      </c>
      <c r="V226" s="323"/>
      <c r="W226" s="323"/>
      <c r="X226" s="323"/>
      <c r="Y226" s="323"/>
      <c r="Z226" s="324"/>
    </row>
    <row r="227" spans="11:28" ht="18" customHeight="1">
      <c r="K227" s="171" t="s">
        <v>14</v>
      </c>
      <c r="L227" s="171"/>
      <c r="M227" s="171"/>
      <c r="N227" s="139" t="s">
        <v>17</v>
      </c>
      <c r="O227" s="68"/>
      <c r="P227" s="69"/>
      <c r="Q227" s="70"/>
      <c r="R227" s="71"/>
      <c r="S227" s="71" t="e">
        <f ca="1">SUBTOTAL(9,S221:S226)</f>
        <v>#N/A</v>
      </c>
      <c r="T227" s="71"/>
      <c r="U227" s="71" t="e">
        <f ca="1">SUBTOTAL(9,U221:U226)</f>
        <v>#N/A</v>
      </c>
      <c r="V227" s="71"/>
      <c r="W227" s="71"/>
      <c r="X227" s="71"/>
      <c r="Y227" s="71"/>
      <c r="Z227" s="68"/>
    </row>
    <row r="228" spans="11:28" ht="18" customHeight="1">
      <c r="K228" s="171" t="s">
        <v>14</v>
      </c>
      <c r="L228" s="171"/>
      <c r="M228" s="171"/>
      <c r="N228" s="318" t="e">
        <f ca="1">"제 " &amp; Z228 &amp; " 호표  "&amp; OFFSET($A$1,MATCH(Z228,$A:$A,0)-1,2)</f>
        <v>#N/A</v>
      </c>
      <c r="O228" s="221"/>
      <c r="P228" s="148"/>
      <c r="Q228" s="148"/>
      <c r="R228" s="149"/>
      <c r="S228" s="149"/>
      <c r="T228" s="149"/>
      <c r="U228" s="149"/>
      <c r="V228" s="149"/>
      <c r="W228" s="149"/>
      <c r="X228" s="149"/>
      <c r="Y228" s="149"/>
      <c r="Z228" s="325">
        <f>Z220+1</f>
        <v>21</v>
      </c>
    </row>
    <row r="229" spans="11:28" ht="18" customHeight="1">
      <c r="K229" s="171" t="s">
        <v>14</v>
      </c>
      <c r="L229" s="171"/>
      <c r="M229" s="171"/>
      <c r="N229" s="140" t="s">
        <v>43</v>
      </c>
      <c r="O229" s="172">
        <v>3</v>
      </c>
      <c r="P229" s="219" t="e">
        <f ca="1">OFFSET($A$1,MATCH(Z228,$A:$A,0)-1,O229)</f>
        <v>#N/A</v>
      </c>
      <c r="Q229" s="141" t="s">
        <v>29</v>
      </c>
      <c r="R229" s="142">
        <f t="shared" ref="R229:S234" ca="1" si="50">T229</f>
        <v>467217</v>
      </c>
      <c r="S229" s="142" t="e">
        <f t="shared" ca="1" si="50"/>
        <v>#N/A</v>
      </c>
      <c r="T229" s="142">
        <f ca="1">기술사</f>
        <v>467217</v>
      </c>
      <c r="U229" s="142" t="e">
        <f t="shared" ref="U229:U234" ca="1" si="51">ROUNDDOWN(P229*R229,0)</f>
        <v>#N/A</v>
      </c>
      <c r="V229" s="142"/>
      <c r="W229" s="142"/>
      <c r="X229" s="142"/>
      <c r="Y229" s="142"/>
      <c r="Z229" s="114"/>
    </row>
    <row r="230" spans="11:28" ht="18" customHeight="1">
      <c r="K230" s="171" t="s">
        <v>14</v>
      </c>
      <c r="L230" s="171"/>
      <c r="M230" s="171"/>
      <c r="N230" s="143" t="s">
        <v>32</v>
      </c>
      <c r="O230" s="173">
        <v>4</v>
      </c>
      <c r="P230" s="234" t="e">
        <f ca="1">OFFSET($A$1,MATCH(Z228,$A:$A,0)-1,O230)</f>
        <v>#N/A</v>
      </c>
      <c r="Q230" s="144" t="s">
        <v>29</v>
      </c>
      <c r="R230" s="118">
        <f t="shared" ca="1" si="50"/>
        <v>373353</v>
      </c>
      <c r="S230" s="118" t="e">
        <f t="shared" ca="1" si="50"/>
        <v>#N/A</v>
      </c>
      <c r="T230" s="118">
        <f ca="1">특급</f>
        <v>373353</v>
      </c>
      <c r="U230" s="118" t="e">
        <f t="shared" ca="1" si="51"/>
        <v>#N/A</v>
      </c>
      <c r="V230" s="118"/>
      <c r="W230" s="118"/>
      <c r="X230" s="118"/>
      <c r="Y230" s="118"/>
      <c r="Z230" s="115"/>
    </row>
    <row r="231" spans="11:28" ht="18" customHeight="1">
      <c r="K231" s="171" t="s">
        <v>14</v>
      </c>
      <c r="L231" s="171"/>
      <c r="M231" s="171"/>
      <c r="N231" s="145" t="s">
        <v>39</v>
      </c>
      <c r="O231" s="173">
        <v>5</v>
      </c>
      <c r="P231" s="234" t="e">
        <f ca="1">OFFSET($A$1,MATCH(Z228,$A:$A,0)-1,O231)</f>
        <v>#N/A</v>
      </c>
      <c r="Q231" s="144" t="s">
        <v>29</v>
      </c>
      <c r="R231" s="118">
        <f t="shared" ca="1" si="50"/>
        <v>310884</v>
      </c>
      <c r="S231" s="118" t="e">
        <f t="shared" ca="1" si="50"/>
        <v>#N/A</v>
      </c>
      <c r="T231" s="118">
        <f ca="1">고급</f>
        <v>310884</v>
      </c>
      <c r="U231" s="118" t="e">
        <f t="shared" ca="1" si="51"/>
        <v>#N/A</v>
      </c>
      <c r="V231" s="118"/>
      <c r="W231" s="118"/>
      <c r="X231" s="118"/>
      <c r="Y231" s="118"/>
      <c r="Z231" s="115"/>
    </row>
    <row r="232" spans="11:28" ht="18" customHeight="1">
      <c r="K232" s="171" t="s">
        <v>14</v>
      </c>
      <c r="L232" s="171"/>
      <c r="M232" s="171"/>
      <c r="N232" s="145" t="s">
        <v>40</v>
      </c>
      <c r="O232" s="173">
        <v>6</v>
      </c>
      <c r="P232" s="234" t="e">
        <f ca="1">OFFSET($A$1,MATCH(Z228,$A:$A,0)-1,O232)</f>
        <v>#N/A</v>
      </c>
      <c r="Q232" s="144" t="s">
        <v>29</v>
      </c>
      <c r="R232" s="118">
        <f t="shared" ca="1" si="50"/>
        <v>295138</v>
      </c>
      <c r="S232" s="118" t="e">
        <f t="shared" ca="1" si="50"/>
        <v>#N/A</v>
      </c>
      <c r="T232" s="118">
        <f ca="1">중급</f>
        <v>295138</v>
      </c>
      <c r="U232" s="118" t="e">
        <f t="shared" ca="1" si="51"/>
        <v>#N/A</v>
      </c>
      <c r="V232" s="118"/>
      <c r="W232" s="118"/>
      <c r="X232" s="118"/>
      <c r="Y232" s="118"/>
      <c r="Z232" s="115"/>
    </row>
    <row r="233" spans="11:28" ht="18" customHeight="1">
      <c r="K233" s="171" t="s">
        <v>14</v>
      </c>
      <c r="L233" s="171"/>
      <c r="M233" s="171"/>
      <c r="N233" s="145" t="s">
        <v>41</v>
      </c>
      <c r="O233" s="173">
        <v>7</v>
      </c>
      <c r="P233" s="234" t="e">
        <f ca="1">OFFSET($A$1,MATCH(Z228,$A:$A,0)-1,O233)</f>
        <v>#N/A</v>
      </c>
      <c r="Q233" s="144" t="s">
        <v>29</v>
      </c>
      <c r="R233" s="118">
        <f t="shared" ca="1" si="50"/>
        <v>235459</v>
      </c>
      <c r="S233" s="118" t="e">
        <f t="shared" ca="1" si="50"/>
        <v>#N/A</v>
      </c>
      <c r="T233" s="118">
        <f ca="1">초급</f>
        <v>235459</v>
      </c>
      <c r="U233" s="118" t="e">
        <f t="shared" ca="1" si="51"/>
        <v>#N/A</v>
      </c>
      <c r="V233" s="118"/>
      <c r="W233" s="118"/>
      <c r="X233" s="118"/>
      <c r="Y233" s="118"/>
      <c r="Z233" s="115"/>
    </row>
    <row r="234" spans="11:28" ht="18" customHeight="1">
      <c r="K234" s="171" t="s">
        <v>14</v>
      </c>
      <c r="L234" s="171"/>
      <c r="M234" s="171"/>
      <c r="N234" s="319" t="s">
        <v>42</v>
      </c>
      <c r="O234" s="174">
        <v>8</v>
      </c>
      <c r="P234" s="235" t="e">
        <f ca="1">OFFSET($A$1,MATCH(Z228,$A:$A,0)-1,O234)</f>
        <v>#N/A</v>
      </c>
      <c r="Q234" s="322" t="s">
        <v>29</v>
      </c>
      <c r="R234" s="323">
        <f t="shared" ca="1" si="50"/>
        <v>250087</v>
      </c>
      <c r="S234" s="323" t="e">
        <f t="shared" ca="1" si="50"/>
        <v>#N/A</v>
      </c>
      <c r="T234" s="323">
        <f ca="1">보조원</f>
        <v>250087</v>
      </c>
      <c r="U234" s="323" t="e">
        <f t="shared" ca="1" si="51"/>
        <v>#N/A</v>
      </c>
      <c r="V234" s="323"/>
      <c r="W234" s="323"/>
      <c r="X234" s="323"/>
      <c r="Y234" s="323"/>
      <c r="Z234" s="324"/>
    </row>
    <row r="235" spans="11:28" ht="18" customHeight="1">
      <c r="K235" s="171" t="s">
        <v>14</v>
      </c>
      <c r="L235" s="171"/>
      <c r="M235" s="171"/>
      <c r="N235" s="139" t="s">
        <v>17</v>
      </c>
      <c r="O235" s="68"/>
      <c r="P235" s="69"/>
      <c r="Q235" s="70"/>
      <c r="R235" s="71"/>
      <c r="S235" s="71" t="e">
        <f ca="1">SUBTOTAL(9,S229:S234)</f>
        <v>#N/A</v>
      </c>
      <c r="T235" s="71"/>
      <c r="U235" s="71" t="e">
        <f ca="1">SUBTOTAL(9,U229:U234)</f>
        <v>#N/A</v>
      </c>
      <c r="V235" s="71"/>
      <c r="W235" s="71"/>
      <c r="X235" s="71"/>
      <c r="Y235" s="71"/>
      <c r="Z235" s="68"/>
    </row>
    <row r="236" spans="11:28" ht="18" customHeight="1">
      <c r="K236" s="171" t="s">
        <v>14</v>
      </c>
      <c r="L236" s="171"/>
      <c r="M236" s="171"/>
      <c r="P236" s="236"/>
    </row>
    <row r="237" spans="11:28" ht="18" customHeight="1">
      <c r="K237" s="171" t="s">
        <v>14</v>
      </c>
      <c r="L237" s="171"/>
      <c r="M237" s="171"/>
      <c r="P237" s="236"/>
      <c r="AA237" s="171"/>
      <c r="AB237" s="171"/>
    </row>
    <row r="238" spans="11:28" ht="18" customHeight="1">
      <c r="K238" s="171" t="s">
        <v>14</v>
      </c>
      <c r="L238" s="171"/>
      <c r="M238" s="171"/>
      <c r="P238" s="236"/>
      <c r="AA238" s="171"/>
      <c r="AB238" s="171"/>
    </row>
    <row r="239" spans="11:28" ht="18" customHeight="1">
      <c r="K239" s="171" t="s">
        <v>14</v>
      </c>
      <c r="L239" s="171"/>
      <c r="M239" s="171"/>
      <c r="P239" s="236"/>
      <c r="AA239" s="171"/>
      <c r="AB239" s="171"/>
    </row>
    <row r="240" spans="11:28" ht="18" customHeight="1">
      <c r="K240" s="171" t="s">
        <v>14</v>
      </c>
      <c r="L240" s="171"/>
      <c r="M240" s="171"/>
      <c r="P240" s="236"/>
      <c r="AA240" s="171"/>
      <c r="AB240" s="171"/>
    </row>
    <row r="241" spans="11:28" ht="18" customHeight="1">
      <c r="K241" s="171" t="s">
        <v>14</v>
      </c>
      <c r="L241" s="171"/>
      <c r="M241" s="171"/>
      <c r="P241" s="236"/>
    </row>
    <row r="242" spans="11:28" ht="18" customHeight="1">
      <c r="K242" s="171" t="s">
        <v>14</v>
      </c>
      <c r="L242" s="171"/>
      <c r="M242" s="171"/>
      <c r="P242" s="236"/>
    </row>
    <row r="243" spans="11:28" ht="18" customHeight="1">
      <c r="K243" s="171" t="s">
        <v>14</v>
      </c>
      <c r="L243" s="171"/>
      <c r="M243" s="171"/>
      <c r="P243" s="236"/>
    </row>
    <row r="244" spans="11:28" ht="18" customHeight="1">
      <c r="K244" s="171" t="s">
        <v>14</v>
      </c>
      <c r="L244" s="171"/>
      <c r="M244" s="171"/>
      <c r="P244" s="236"/>
    </row>
    <row r="245" spans="11:28" ht="18" customHeight="1">
      <c r="K245" s="171" t="s">
        <v>14</v>
      </c>
      <c r="L245" s="171"/>
      <c r="M245" s="171"/>
      <c r="P245" s="236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</row>
    <row r="251" spans="11:28" ht="18" customHeight="1">
      <c r="K251" s="171" t="s">
        <v>14</v>
      </c>
      <c r="L251" s="171"/>
      <c r="M251" s="171"/>
      <c r="P251" s="236"/>
    </row>
    <row r="252" spans="11:28" ht="18" customHeight="1">
      <c r="K252" s="171" t="s">
        <v>14</v>
      </c>
      <c r="L252" s="171"/>
      <c r="M252" s="171"/>
      <c r="P252" s="236"/>
    </row>
    <row r="253" spans="11:28" ht="18" customHeight="1">
      <c r="K253" s="171" t="s">
        <v>14</v>
      </c>
      <c r="L253" s="171"/>
      <c r="M253" s="171"/>
      <c r="P253" s="236"/>
      <c r="AA253" s="171"/>
      <c r="AB253" s="171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  <c r="AA267" s="171"/>
      <c r="AB267" s="171"/>
    </row>
    <row r="268" spans="11:28" ht="18" customHeight="1">
      <c r="K268" s="171" t="s">
        <v>14</v>
      </c>
      <c r="L268" s="171"/>
      <c r="M268" s="171"/>
      <c r="P268" s="236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  <c r="P740" s="236"/>
    </row>
    <row r="741" spans="11:16" ht="18" customHeight="1">
      <c r="K741" s="171" t="s">
        <v>14</v>
      </c>
      <c r="L741" s="171"/>
      <c r="M741" s="171"/>
      <c r="P741" s="236"/>
    </row>
    <row r="742" spans="11:16" ht="18" customHeight="1">
      <c r="K742" s="171" t="s">
        <v>14</v>
      </c>
      <c r="L742" s="171"/>
      <c r="M742" s="171"/>
      <c r="P742" s="236"/>
    </row>
    <row r="743" spans="11:16" ht="18" customHeight="1">
      <c r="K743" s="171" t="s">
        <v>14</v>
      </c>
      <c r="L743" s="171"/>
      <c r="M743" s="171"/>
      <c r="P743" s="236"/>
    </row>
    <row r="744" spans="11:16" ht="18" customHeight="1">
      <c r="K744" s="171" t="s">
        <v>14</v>
      </c>
      <c r="L744" s="171"/>
      <c r="M744" s="171"/>
      <c r="P744" s="236"/>
    </row>
    <row r="745" spans="11:16" ht="18" customHeight="1">
      <c r="K745" s="171" t="s">
        <v>14</v>
      </c>
      <c r="L745" s="171"/>
      <c r="M745" s="171"/>
      <c r="P745" s="236"/>
    </row>
    <row r="746" spans="11:16" ht="18" customHeight="1">
      <c r="K746" s="171" t="s">
        <v>14</v>
      </c>
      <c r="L746" s="171"/>
      <c r="M746" s="171"/>
      <c r="P746" s="236"/>
    </row>
    <row r="747" spans="11:16" ht="18" customHeight="1">
      <c r="K747" s="171" t="s">
        <v>14</v>
      </c>
      <c r="L747" s="171"/>
      <c r="M747" s="171"/>
      <c r="P747" s="236"/>
    </row>
    <row r="748" spans="11:16" ht="18" customHeight="1">
      <c r="K748" s="171" t="s">
        <v>14</v>
      </c>
      <c r="L748" s="171"/>
      <c r="M748" s="171"/>
      <c r="P748" s="236"/>
    </row>
    <row r="749" spans="11:16" ht="18" customHeight="1">
      <c r="K749" s="171" t="s">
        <v>14</v>
      </c>
      <c r="L749" s="171"/>
      <c r="M749" s="171"/>
      <c r="P749" s="236"/>
    </row>
    <row r="750" spans="11:16" ht="18" customHeight="1">
      <c r="K750" s="171" t="s">
        <v>14</v>
      </c>
      <c r="L750" s="171"/>
      <c r="M750" s="171"/>
      <c r="P750" s="236"/>
    </row>
    <row r="751" spans="11:16" ht="18" customHeight="1">
      <c r="K751" s="171" t="s">
        <v>14</v>
      </c>
      <c r="L751" s="171"/>
      <c r="M751" s="171"/>
      <c r="P751" s="236"/>
    </row>
    <row r="752" spans="11:16" ht="18" customHeight="1">
      <c r="K752" s="171" t="s">
        <v>14</v>
      </c>
      <c r="L752" s="171"/>
      <c r="M752" s="171"/>
      <c r="P752" s="236"/>
    </row>
    <row r="753" spans="11:16" ht="18" customHeight="1">
      <c r="K753" s="171" t="s">
        <v>14</v>
      </c>
      <c r="L753" s="171"/>
      <c r="M753" s="171"/>
      <c r="P753" s="236"/>
    </row>
    <row r="754" spans="11:16" ht="18" customHeight="1">
      <c r="K754" s="171" t="s">
        <v>14</v>
      </c>
      <c r="L754" s="171"/>
      <c r="M754" s="171"/>
      <c r="P754" s="236"/>
    </row>
    <row r="755" spans="11:16" ht="18" customHeight="1">
      <c r="K755" s="171" t="s">
        <v>14</v>
      </c>
      <c r="L755" s="171"/>
      <c r="M755" s="171"/>
      <c r="P755" s="236"/>
    </row>
    <row r="756" spans="11:16" ht="18" customHeight="1">
      <c r="K756" s="171" t="s">
        <v>14</v>
      </c>
      <c r="L756" s="171"/>
      <c r="M756" s="171"/>
      <c r="P756" s="236"/>
    </row>
    <row r="757" spans="11:16" ht="18" customHeight="1">
      <c r="K757" s="171" t="s">
        <v>14</v>
      </c>
      <c r="L757" s="171"/>
      <c r="M757" s="171"/>
      <c r="P757" s="236"/>
    </row>
    <row r="758" spans="11:16" ht="18" customHeight="1">
      <c r="K758" s="171" t="s">
        <v>14</v>
      </c>
      <c r="L758" s="171"/>
      <c r="M758" s="171"/>
      <c r="P758" s="236"/>
    </row>
    <row r="759" spans="11:16" ht="18" customHeight="1">
      <c r="K759" s="171" t="s">
        <v>14</v>
      </c>
      <c r="L759" s="171"/>
      <c r="M759" s="171"/>
      <c r="P759" s="236"/>
    </row>
    <row r="760" spans="11:16" ht="18" customHeight="1">
      <c r="K760" s="171" t="s">
        <v>14</v>
      </c>
      <c r="L760" s="171"/>
      <c r="M760" s="171"/>
      <c r="P760" s="236"/>
    </row>
    <row r="761" spans="11:16" ht="18" customHeight="1">
      <c r="K761" s="171" t="s">
        <v>14</v>
      </c>
      <c r="L761" s="171"/>
      <c r="M761" s="171"/>
      <c r="P761" s="236"/>
    </row>
    <row r="762" spans="11:16" ht="18" customHeight="1">
      <c r="K762" s="171" t="s">
        <v>14</v>
      </c>
      <c r="L762" s="171"/>
      <c r="M762" s="171"/>
      <c r="P762" s="236"/>
    </row>
    <row r="763" spans="11:16" ht="18" customHeight="1">
      <c r="K763" s="171" t="s">
        <v>14</v>
      </c>
      <c r="L763" s="171"/>
      <c r="M763" s="171"/>
      <c r="P763" s="236"/>
    </row>
    <row r="764" spans="11:16" ht="18" customHeight="1">
      <c r="K764" s="171" t="s">
        <v>14</v>
      </c>
      <c r="L764" s="171"/>
      <c r="M764" s="171"/>
      <c r="P764" s="236"/>
    </row>
    <row r="765" spans="11:16" ht="18" customHeight="1">
      <c r="K765" s="171" t="s">
        <v>14</v>
      </c>
      <c r="L765" s="171"/>
      <c r="M765" s="171"/>
      <c r="P765" s="236"/>
    </row>
    <row r="766" spans="11:16" ht="18" customHeight="1">
      <c r="K766" s="171" t="s">
        <v>14</v>
      </c>
      <c r="L766" s="171"/>
      <c r="M766" s="171"/>
      <c r="P766" s="236"/>
    </row>
    <row r="767" spans="11:16" ht="18" customHeight="1">
      <c r="K767" s="171" t="s">
        <v>14</v>
      </c>
      <c r="L767" s="171"/>
      <c r="M767" s="171"/>
      <c r="P767" s="236"/>
    </row>
    <row r="768" spans="11:16" ht="18" customHeight="1">
      <c r="K768" s="171" t="s">
        <v>14</v>
      </c>
      <c r="L768" s="171"/>
      <c r="M768" s="171"/>
      <c r="P768" s="236"/>
    </row>
    <row r="769" spans="11:16" ht="18" customHeight="1">
      <c r="K769" s="171" t="s">
        <v>14</v>
      </c>
      <c r="L769" s="171"/>
      <c r="M769" s="171"/>
      <c r="P769" s="236"/>
    </row>
    <row r="770" spans="11:16" ht="18" customHeight="1">
      <c r="K770" s="171" t="s">
        <v>14</v>
      </c>
      <c r="L770" s="171"/>
      <c r="M770" s="171"/>
      <c r="P770" s="236"/>
    </row>
    <row r="771" spans="11:16" ht="18" customHeight="1">
      <c r="K771" s="171" t="s">
        <v>14</v>
      </c>
      <c r="L771" s="171"/>
      <c r="M771" s="171"/>
      <c r="P771" s="236"/>
    </row>
    <row r="772" spans="11:16" ht="18" customHeight="1">
      <c r="K772" s="171" t="s">
        <v>14</v>
      </c>
      <c r="L772" s="171"/>
      <c r="M772" s="171"/>
      <c r="P772" s="236"/>
    </row>
    <row r="773" spans="11:16" ht="18" customHeight="1">
      <c r="K773" s="171" t="s">
        <v>14</v>
      </c>
      <c r="L773" s="171"/>
      <c r="M773" s="171"/>
      <c r="P773" s="236"/>
    </row>
    <row r="774" spans="11:16" ht="18" customHeight="1">
      <c r="K774" s="171" t="s">
        <v>14</v>
      </c>
      <c r="L774" s="171"/>
      <c r="M774" s="171"/>
      <c r="P774" s="236"/>
    </row>
    <row r="775" spans="11:16" ht="18" customHeight="1">
      <c r="K775" s="171" t="s">
        <v>14</v>
      </c>
      <c r="L775" s="171"/>
      <c r="M775" s="171"/>
      <c r="P775" s="236"/>
    </row>
    <row r="776" spans="11:16" ht="18" customHeight="1">
      <c r="K776" s="171" t="s">
        <v>14</v>
      </c>
      <c r="L776" s="171"/>
      <c r="M776" s="171"/>
      <c r="P776" s="236"/>
    </row>
    <row r="777" spans="11:16" ht="18" customHeight="1">
      <c r="K777" s="171" t="s">
        <v>14</v>
      </c>
      <c r="L777" s="171"/>
      <c r="M777" s="171"/>
      <c r="P777" s="236"/>
    </row>
    <row r="778" spans="11:16" ht="18" customHeight="1">
      <c r="K778" s="171" t="s">
        <v>14</v>
      </c>
      <c r="L778" s="171"/>
      <c r="M778" s="171"/>
      <c r="P778" s="236"/>
    </row>
    <row r="779" spans="11:16" ht="18" customHeight="1">
      <c r="K779" s="171" t="s">
        <v>14</v>
      </c>
      <c r="L779" s="171"/>
      <c r="M779" s="171"/>
      <c r="P779" s="236"/>
    </row>
    <row r="780" spans="11:16" ht="18" customHeight="1">
      <c r="K780" s="171" t="s">
        <v>14</v>
      </c>
      <c r="L780" s="171"/>
      <c r="M780" s="171"/>
      <c r="P780" s="236"/>
    </row>
    <row r="781" spans="11:16" ht="18" customHeight="1">
      <c r="K781" s="171" t="s">
        <v>14</v>
      </c>
      <c r="L781" s="171"/>
      <c r="M781" s="171"/>
      <c r="P781" s="236"/>
    </row>
    <row r="782" spans="11:16" ht="18" customHeight="1">
      <c r="K782" s="171" t="s">
        <v>14</v>
      </c>
      <c r="L782" s="171"/>
      <c r="M782" s="171"/>
      <c r="P782" s="236"/>
    </row>
    <row r="783" spans="11:16" ht="18" customHeight="1">
      <c r="K783" s="171" t="s">
        <v>14</v>
      </c>
      <c r="L783" s="171"/>
      <c r="M783" s="171"/>
      <c r="P783" s="236"/>
    </row>
    <row r="784" spans="11:16" ht="18" customHeight="1">
      <c r="K784" s="171" t="s">
        <v>14</v>
      </c>
      <c r="L784" s="171"/>
      <c r="M784" s="171"/>
      <c r="P784" s="236"/>
    </row>
    <row r="785" spans="11:16" ht="18" customHeight="1">
      <c r="K785" s="171" t="s">
        <v>14</v>
      </c>
      <c r="L785" s="171"/>
      <c r="M785" s="171"/>
      <c r="P785" s="236"/>
    </row>
    <row r="786" spans="11:16" ht="18" customHeight="1">
      <c r="K786" s="171" t="s">
        <v>14</v>
      </c>
      <c r="L786" s="171"/>
      <c r="M786" s="171"/>
    </row>
    <row r="787" spans="11:16" ht="18" customHeight="1">
      <c r="K787" s="171" t="s">
        <v>14</v>
      </c>
      <c r="L787" s="171"/>
      <c r="M787" s="171"/>
    </row>
    <row r="788" spans="11:16" ht="18" customHeight="1">
      <c r="K788" s="171" t="s">
        <v>14</v>
      </c>
      <c r="L788" s="171"/>
      <c r="M788" s="171"/>
    </row>
    <row r="789" spans="11:16" ht="18" customHeight="1">
      <c r="K789" s="171" t="s">
        <v>14</v>
      </c>
      <c r="L789" s="171"/>
      <c r="M789" s="171"/>
    </row>
    <row r="790" spans="11:16" ht="18" customHeight="1">
      <c r="K790" s="171" t="s">
        <v>14</v>
      </c>
      <c r="L790" s="171"/>
      <c r="M790" s="171"/>
    </row>
    <row r="791" spans="11:16" ht="18" customHeight="1">
      <c r="K791" s="171" t="s">
        <v>14</v>
      </c>
      <c r="L791" s="171"/>
      <c r="M791" s="171"/>
    </row>
    <row r="792" spans="11:16" ht="18" customHeight="1">
      <c r="K792" s="171" t="s">
        <v>14</v>
      </c>
      <c r="L792" s="171"/>
      <c r="M792" s="171"/>
    </row>
    <row r="793" spans="11:16" ht="18" customHeight="1">
      <c r="K793" s="171" t="s">
        <v>14</v>
      </c>
      <c r="L793" s="171"/>
      <c r="M793" s="171"/>
    </row>
    <row r="794" spans="11:16" ht="18" customHeight="1">
      <c r="K794" s="171" t="s">
        <v>14</v>
      </c>
      <c r="L794" s="171"/>
      <c r="M794" s="171"/>
    </row>
    <row r="795" spans="11:16" ht="18" customHeight="1">
      <c r="K795" s="171" t="s">
        <v>14</v>
      </c>
      <c r="L795" s="171"/>
      <c r="M795" s="171"/>
    </row>
    <row r="796" spans="11:16" ht="18" customHeight="1">
      <c r="K796" s="171" t="s">
        <v>14</v>
      </c>
      <c r="L796" s="171"/>
      <c r="M796" s="171"/>
    </row>
    <row r="797" spans="11:16" ht="18" customHeight="1">
      <c r="K797" s="171" t="s">
        <v>14</v>
      </c>
      <c r="L797" s="171"/>
      <c r="M797" s="171"/>
    </row>
    <row r="798" spans="11:16" ht="18" customHeight="1">
      <c r="K798" s="171" t="s">
        <v>14</v>
      </c>
      <c r="L798" s="171"/>
      <c r="M798" s="171"/>
    </row>
    <row r="799" spans="11:16" ht="18" customHeight="1">
      <c r="K799" s="171" t="s">
        <v>14</v>
      </c>
      <c r="L799" s="171"/>
      <c r="M799" s="171"/>
    </row>
    <row r="800" spans="11:16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M803" s="171"/>
    </row>
    <row r="804" spans="11:13" ht="18" customHeight="1">
      <c r="K804" s="171" t="s">
        <v>14</v>
      </c>
      <c r="M804" s="171"/>
    </row>
    <row r="805" spans="11:13" ht="18" customHeight="1">
      <c r="K805" s="171" t="s">
        <v>14</v>
      </c>
      <c r="M805" s="171"/>
    </row>
    <row r="806" spans="11:13" ht="18" customHeight="1">
      <c r="K806" s="171" t="s">
        <v>14</v>
      </c>
      <c r="M806" s="171"/>
    </row>
    <row r="807" spans="11:13" ht="18" customHeight="1">
      <c r="K807" s="171" t="s">
        <v>14</v>
      </c>
      <c r="M807" s="171"/>
    </row>
    <row r="808" spans="11:13" ht="18" customHeight="1">
      <c r="K808" s="171" t="s">
        <v>14</v>
      </c>
      <c r="M808" s="171"/>
    </row>
    <row r="809" spans="11:13" ht="18" customHeight="1">
      <c r="M809" s="171"/>
    </row>
    <row r="810" spans="11:13" ht="18" customHeight="1">
      <c r="M810" s="171"/>
    </row>
    <row r="811" spans="11:13" ht="18" customHeight="1">
      <c r="M811" s="171"/>
    </row>
    <row r="812" spans="11:13" ht="18" customHeight="1">
      <c r="M812" s="171"/>
    </row>
    <row r="813" spans="11:13" ht="18" customHeight="1">
      <c r="M813" s="171"/>
    </row>
    <row r="814" spans="11:13" ht="18" customHeight="1">
      <c r="M814" s="171"/>
    </row>
  </sheetData>
  <mergeCells count="17">
    <mergeCell ref="B3:C3"/>
    <mergeCell ref="B4:C4"/>
    <mergeCell ref="B5:C5"/>
    <mergeCell ref="O66:O67"/>
    <mergeCell ref="P66:P67"/>
    <mergeCell ref="D3:E3"/>
    <mergeCell ref="D4:E4"/>
    <mergeCell ref="D5:E5"/>
    <mergeCell ref="G3:H3"/>
    <mergeCell ref="G4:H4"/>
    <mergeCell ref="G5:H5"/>
    <mergeCell ref="Q66:Q67"/>
    <mergeCell ref="Z66:Z67"/>
    <mergeCell ref="B11:C12"/>
    <mergeCell ref="J11:J12"/>
    <mergeCell ref="L11:L12"/>
    <mergeCell ref="N66:N67"/>
  </mergeCells>
  <phoneticPr fontId="14" type="noConversion"/>
  <conditionalFormatting sqref="V13:V35">
    <cfRule type="cellIs" dxfId="61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3" min="13" max="28" man="1"/>
    <brk id="80" min="13" max="28" man="1"/>
    <brk id="101" min="13" max="2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58">
    <tabColor rgb="FFFFC000"/>
    <pageSetUpPr fitToPage="1"/>
  </sheetPr>
  <dimension ref="A1:AC761"/>
  <sheetViews>
    <sheetView showGridLines="0" zoomScale="85" zoomScaleNormal="85" zoomScaleSheetLayoutView="75" workbookViewId="0">
      <selection activeCell="G3" sqref="G3:H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420</v>
      </c>
    </row>
    <row r="2" spans="1:26" ht="19.5" thickBot="1">
      <c r="B2" s="66" t="s">
        <v>1</v>
      </c>
    </row>
    <row r="3" spans="1:26" ht="18" customHeight="1">
      <c r="B3" s="773" t="s">
        <v>421</v>
      </c>
      <c r="C3" s="774"/>
      <c r="D3" s="775">
        <v>10</v>
      </c>
      <c r="E3" s="776"/>
      <c r="F3" s="44" t="s">
        <v>414</v>
      </c>
      <c r="G3" s="767" t="s">
        <v>1104</v>
      </c>
      <c r="H3" s="768"/>
      <c r="I3" s="656">
        <v>2</v>
      </c>
      <c r="J3" s="669" t="s">
        <v>1512</v>
      </c>
    </row>
    <row r="4" spans="1:26" ht="18" customHeight="1">
      <c r="B4" s="777" t="s">
        <v>1514</v>
      </c>
      <c r="C4" s="778"/>
      <c r="D4" s="779">
        <v>10</v>
      </c>
      <c r="E4" s="780"/>
      <c r="F4" s="65" t="str">
        <f>F3</f>
        <v>만인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415</v>
      </c>
      <c r="C5" s="782"/>
      <c r="D5" s="783">
        <f>ROUND((IF(D4&lt;=10,10,D4)/D3)^0.5,3)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1513</v>
      </c>
      <c r="C6" s="36"/>
      <c r="D6" s="36"/>
      <c r="E6" s="36"/>
      <c r="F6" s="36"/>
      <c r="G6" s="9" t="s">
        <v>1107</v>
      </c>
      <c r="J6" s="36"/>
    </row>
    <row r="7" spans="1:26" ht="18" customHeight="1">
      <c r="B7" s="9"/>
      <c r="C7" s="9" t="s">
        <v>1511</v>
      </c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SUBTOTAL(9,W11:W38)</f>
        <v>635463143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SUBTOTAL(9,W12:W35)</f>
        <v>231210427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SUBTOTAL(9,W13:W30)</f>
        <v>225210427</v>
      </c>
      <c r="X12" s="160"/>
      <c r="Y12" s="168"/>
      <c r="Z12" s="168"/>
    </row>
    <row r="13" spans="1:26" ht="18" customHeight="1">
      <c r="B13" s="225" t="s">
        <v>1495</v>
      </c>
      <c r="C13" s="72"/>
      <c r="D13" s="203">
        <f t="shared" ref="D13:I13" si="0">SUBTOTAL(9,D14:D15)</f>
        <v>4</v>
      </c>
      <c r="E13" s="204">
        <f t="shared" si="0"/>
        <v>6</v>
      </c>
      <c r="F13" s="204">
        <f t="shared" si="0"/>
        <v>12</v>
      </c>
      <c r="G13" s="204">
        <f t="shared" si="0"/>
        <v>20</v>
      </c>
      <c r="H13" s="204">
        <f t="shared" si="0"/>
        <v>27</v>
      </c>
      <c r="I13" s="205">
        <f t="shared" si="0"/>
        <v>36</v>
      </c>
      <c r="J13" s="73"/>
      <c r="L13" s="232"/>
      <c r="N13" s="294" t="str">
        <f t="shared" ref="N13:N30" si="1">B13</f>
        <v>1. 조사 및 분석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SUBTOTAL(9,W14:W15)</f>
        <v>29102879</v>
      </c>
      <c r="X13" s="194"/>
      <c r="Y13" s="170" t="str">
        <f t="shared" ref="Y13:Y30" si="2">IF(A32&gt;0, "제 " &amp;A32&amp; " 호표","")</f>
        <v/>
      </c>
      <c r="Z13" s="170"/>
    </row>
    <row r="14" spans="1:26" ht="18" customHeight="1">
      <c r="B14" s="223" t="s">
        <v>1496</v>
      </c>
      <c r="C14" s="23"/>
      <c r="D14" s="197">
        <v>3</v>
      </c>
      <c r="E14" s="198">
        <v>4</v>
      </c>
      <c r="F14" s="198">
        <v>9</v>
      </c>
      <c r="G14" s="198">
        <v>16</v>
      </c>
      <c r="H14" s="198">
        <v>21</v>
      </c>
      <c r="I14" s="199">
        <v>30</v>
      </c>
      <c r="J14" s="389" t="s">
        <v>1419</v>
      </c>
      <c r="L14" s="233">
        <v>1</v>
      </c>
      <c r="N14" s="296" t="str">
        <f t="shared" si="1"/>
        <v>1.1 현황조사·분석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SUM((ROUNDDOWN((D33:I33)*단가,0)))</f>
        <v>22862476</v>
      </c>
      <c r="X14" s="154"/>
      <c r="Y14" s="150" t="str">
        <f t="shared" si="2"/>
        <v>제 1 호표</v>
      </c>
      <c r="Z14" s="150"/>
    </row>
    <row r="15" spans="1:26" ht="18" customHeight="1">
      <c r="B15" s="223" t="s">
        <v>1497</v>
      </c>
      <c r="C15" s="23"/>
      <c r="D15" s="197">
        <v>1</v>
      </c>
      <c r="E15" s="198">
        <v>2</v>
      </c>
      <c r="F15" s="198">
        <v>3</v>
      </c>
      <c r="G15" s="198">
        <v>4</v>
      </c>
      <c r="H15" s="198">
        <v>6</v>
      </c>
      <c r="I15" s="199">
        <v>6</v>
      </c>
      <c r="J15" s="389" t="s">
        <v>1090</v>
      </c>
      <c r="L15" s="233">
        <v>1</v>
      </c>
      <c r="N15" s="296" t="str">
        <f t="shared" si="1"/>
        <v>1.2 종합분석 및 과제도출</v>
      </c>
      <c r="O15" s="37"/>
      <c r="P15" s="37"/>
      <c r="Q15" s="37"/>
      <c r="R15" s="37"/>
      <c r="S15" s="37"/>
      <c r="T15" s="37"/>
      <c r="U15" s="226"/>
      <c r="V15" s="231"/>
      <c r="W15" s="153">
        <f t="array" aca="1" ref="W15" ca="1">SUM((ROUNDDOWN((D34:I34)*단가,0)))</f>
        <v>6240403</v>
      </c>
      <c r="X15" s="154"/>
      <c r="Y15" s="150" t="str">
        <f t="shared" si="2"/>
        <v>제 2 호표</v>
      </c>
      <c r="Z15" s="150"/>
    </row>
    <row r="16" spans="1:26" ht="18" customHeight="1">
      <c r="B16" s="222" t="s">
        <v>52</v>
      </c>
      <c r="C16" s="47"/>
      <c r="D16" s="48">
        <f t="shared" ref="D16:I16" si="3">SUBTOTAL(9,D17:D17)</f>
        <v>3</v>
      </c>
      <c r="E16" s="49">
        <f t="shared" si="3"/>
        <v>4</v>
      </c>
      <c r="F16" s="49">
        <f t="shared" si="3"/>
        <v>6</v>
      </c>
      <c r="G16" s="49">
        <f t="shared" si="3"/>
        <v>10</v>
      </c>
      <c r="H16" s="49">
        <f t="shared" si="3"/>
        <v>20</v>
      </c>
      <c r="I16" s="50">
        <f t="shared" si="3"/>
        <v>30</v>
      </c>
      <c r="J16" s="389"/>
      <c r="L16" s="233"/>
      <c r="N16" s="294" t="str">
        <f t="shared" si="1"/>
        <v>2. 기본구상</v>
      </c>
      <c r="O16" s="37"/>
      <c r="P16" s="39"/>
      <c r="Q16" s="37"/>
      <c r="R16" s="117"/>
      <c r="S16" s="37"/>
      <c r="T16" s="37"/>
      <c r="U16" s="226"/>
      <c r="V16" s="231"/>
      <c r="W16" s="195">
        <f ca="1">SUBTOTAL(9,W17:W17)</f>
        <v>19923537</v>
      </c>
      <c r="X16" s="196"/>
      <c r="Y16" s="150" t="str">
        <f t="shared" si="2"/>
        <v/>
      </c>
      <c r="Z16" s="150"/>
    </row>
    <row r="17" spans="2:26" ht="18" customHeight="1">
      <c r="B17" s="223" t="s">
        <v>1498</v>
      </c>
      <c r="C17" s="23"/>
      <c r="D17" s="197">
        <v>3</v>
      </c>
      <c r="E17" s="198">
        <v>4</v>
      </c>
      <c r="F17" s="198">
        <v>6</v>
      </c>
      <c r="G17" s="198">
        <v>10</v>
      </c>
      <c r="H17" s="198">
        <v>20</v>
      </c>
      <c r="I17" s="199">
        <v>30</v>
      </c>
      <c r="J17" s="389" t="s">
        <v>1090</v>
      </c>
      <c r="L17" s="233">
        <v>1</v>
      </c>
      <c r="N17" s="296" t="str">
        <f t="shared" si="1"/>
        <v>2.1 저탄소 녹색도시 구상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SUM((ROUNDDOWN((D36:I36)*단가,0)))</f>
        <v>19923537</v>
      </c>
      <c r="X17" s="154"/>
      <c r="Y17" s="150" t="str">
        <f t="shared" si="2"/>
        <v>제 3 호표</v>
      </c>
      <c r="Z17" s="150"/>
    </row>
    <row r="18" spans="2:26" ht="18" customHeight="1">
      <c r="B18" s="222" t="s">
        <v>1499</v>
      </c>
      <c r="C18" s="47"/>
      <c r="D18" s="48">
        <f t="shared" ref="D18:I18" si="4">SUBTOTAL(9,D19:D20)</f>
        <v>15</v>
      </c>
      <c r="E18" s="49">
        <f t="shared" si="4"/>
        <v>30</v>
      </c>
      <c r="F18" s="49">
        <f t="shared" si="4"/>
        <v>70</v>
      </c>
      <c r="G18" s="49">
        <f t="shared" si="4"/>
        <v>95</v>
      </c>
      <c r="H18" s="49">
        <f t="shared" si="4"/>
        <v>100</v>
      </c>
      <c r="I18" s="50">
        <f t="shared" si="4"/>
        <v>100</v>
      </c>
      <c r="J18" s="389"/>
      <c r="L18" s="233"/>
      <c r="N18" s="294" t="str">
        <f t="shared" si="1"/>
        <v>3. 계획수립</v>
      </c>
      <c r="O18" s="37"/>
      <c r="P18" s="39"/>
      <c r="Q18" s="37"/>
      <c r="R18" s="117"/>
      <c r="S18" s="37"/>
      <c r="T18" s="37"/>
      <c r="U18" s="226"/>
      <c r="V18" s="231"/>
      <c r="W18" s="195">
        <f ca="1">SUBTOTAL(9,W19:W21)</f>
        <v>116563435</v>
      </c>
      <c r="X18" s="154"/>
      <c r="Y18" s="150" t="str">
        <f t="shared" si="2"/>
        <v/>
      </c>
      <c r="Z18" s="150"/>
    </row>
    <row r="19" spans="2:26" ht="18" customHeight="1">
      <c r="B19" s="223" t="s">
        <v>1500</v>
      </c>
      <c r="C19" s="23"/>
      <c r="D19" s="197">
        <v>10</v>
      </c>
      <c r="E19" s="198">
        <v>20</v>
      </c>
      <c r="F19" s="198">
        <v>50</v>
      </c>
      <c r="G19" s="198">
        <v>55</v>
      </c>
      <c r="H19" s="198">
        <v>60</v>
      </c>
      <c r="I19" s="199">
        <v>60</v>
      </c>
      <c r="J19" s="389" t="s">
        <v>1090</v>
      </c>
      <c r="L19" s="233">
        <v>1</v>
      </c>
      <c r="N19" s="296" t="str">
        <f t="shared" si="1"/>
        <v>3.1 부문별 저탄소 녹색도시계획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SUM((ROUNDDOWN((D38:I38)*단가,0)))</f>
        <v>73048780</v>
      </c>
      <c r="X19" s="154"/>
      <c r="Y19" s="150" t="str">
        <f t="shared" si="2"/>
        <v>제 4 호표</v>
      </c>
      <c r="Z19" s="150"/>
    </row>
    <row r="20" spans="2:26" ht="18" customHeight="1">
      <c r="B20" s="223" t="s">
        <v>1501</v>
      </c>
      <c r="C20" s="23"/>
      <c r="D20" s="197">
        <v>5</v>
      </c>
      <c r="E20" s="198">
        <v>10</v>
      </c>
      <c r="F20" s="198">
        <v>20</v>
      </c>
      <c r="G20" s="198">
        <v>40</v>
      </c>
      <c r="H20" s="198">
        <v>40</v>
      </c>
      <c r="I20" s="199">
        <v>40</v>
      </c>
      <c r="J20" s="389" t="s">
        <v>1090</v>
      </c>
      <c r="L20" s="233">
        <v>1</v>
      </c>
      <c r="N20" s="296" t="str">
        <f t="shared" si="1"/>
        <v>3.2 권역별 저탄소 녹색도시계획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SUM((ROUNDDOWN((D39:I39)*단가,0)))</f>
        <v>43514655</v>
      </c>
      <c r="X20" s="154"/>
      <c r="Y20" s="150" t="str">
        <f t="shared" si="2"/>
        <v>제 5 호표</v>
      </c>
      <c r="Z20" s="150"/>
    </row>
    <row r="21" spans="2:26" ht="18" customHeight="1">
      <c r="B21" s="222" t="s">
        <v>423</v>
      </c>
      <c r="C21" s="47"/>
      <c r="D21" s="48">
        <f t="shared" ref="D21:I21" si="5">SUBTOTAL(9,D22:D22)</f>
        <v>3</v>
      </c>
      <c r="E21" s="49">
        <f t="shared" si="5"/>
        <v>4</v>
      </c>
      <c r="F21" s="49">
        <f t="shared" si="5"/>
        <v>9</v>
      </c>
      <c r="G21" s="49">
        <f t="shared" si="5"/>
        <v>16</v>
      </c>
      <c r="H21" s="49">
        <f t="shared" si="5"/>
        <v>21</v>
      </c>
      <c r="I21" s="50">
        <f t="shared" si="5"/>
        <v>30</v>
      </c>
      <c r="J21" s="389"/>
      <c r="L21" s="233"/>
      <c r="N21" s="294" t="str">
        <f t="shared" si="1"/>
        <v>4. 시행전략</v>
      </c>
      <c r="O21" s="37"/>
      <c r="P21" s="39"/>
      <c r="Q21" s="37"/>
      <c r="R21" s="117"/>
      <c r="S21" s="37"/>
      <c r="T21" s="37"/>
      <c r="U21" s="226"/>
      <c r="V21" s="231"/>
      <c r="W21" s="195">
        <f ca="1">SUBTOTAL(9,W22:W22)</f>
        <v>22862476</v>
      </c>
      <c r="X21" s="154"/>
      <c r="Y21" s="150" t="str">
        <f t="shared" si="2"/>
        <v/>
      </c>
      <c r="Z21" s="150"/>
    </row>
    <row r="22" spans="2:26" ht="18" customHeight="1">
      <c r="B22" s="223" t="s">
        <v>1502</v>
      </c>
      <c r="C22" s="23"/>
      <c r="D22" s="197">
        <v>3</v>
      </c>
      <c r="E22" s="198">
        <v>4</v>
      </c>
      <c r="F22" s="198">
        <v>9</v>
      </c>
      <c r="G22" s="198">
        <v>16</v>
      </c>
      <c r="H22" s="198">
        <v>21</v>
      </c>
      <c r="I22" s="199">
        <v>30</v>
      </c>
      <c r="J22" s="389" t="s">
        <v>1090</v>
      </c>
      <c r="L22" s="233">
        <v>1</v>
      </c>
      <c r="N22" s="296" t="str">
        <f t="shared" si="1"/>
        <v>4.1 저탄소 녹색도시계획 시행 전략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SUM((ROUNDDOWN((D41:I41)*단가,0)))</f>
        <v>22862476</v>
      </c>
      <c r="X22" s="154"/>
      <c r="Y22" s="150" t="str">
        <f t="shared" si="2"/>
        <v>제 6 호표</v>
      </c>
      <c r="Z22" s="150"/>
    </row>
    <row r="23" spans="2:26" ht="18" customHeight="1">
      <c r="B23" s="222" t="s">
        <v>424</v>
      </c>
      <c r="C23" s="47"/>
      <c r="D23" s="48">
        <f t="shared" ref="D23:I23" si="6">SUBTOTAL(9,D24:D25)</f>
        <v>2</v>
      </c>
      <c r="E23" s="49">
        <f t="shared" si="6"/>
        <v>3</v>
      </c>
      <c r="F23" s="49">
        <f t="shared" si="6"/>
        <v>7</v>
      </c>
      <c r="G23" s="49">
        <f t="shared" si="6"/>
        <v>12</v>
      </c>
      <c r="H23" s="49">
        <f t="shared" si="6"/>
        <v>15</v>
      </c>
      <c r="I23" s="50">
        <f t="shared" si="6"/>
        <v>15</v>
      </c>
      <c r="J23" s="389"/>
      <c r="L23" s="233"/>
      <c r="N23" s="294" t="str">
        <f t="shared" si="1"/>
        <v>5. 성과품작성</v>
      </c>
      <c r="O23" s="37"/>
      <c r="P23" s="39"/>
      <c r="Q23" s="37"/>
      <c r="R23" s="117"/>
      <c r="S23" s="37"/>
      <c r="T23" s="37"/>
      <c r="U23" s="226"/>
      <c r="V23" s="231"/>
      <c r="W23" s="195">
        <f ca="1">SUBTOTAL(9,W24:W25)</f>
        <v>15055524</v>
      </c>
      <c r="X23" s="154"/>
      <c r="Y23" s="150" t="str">
        <f t="shared" si="2"/>
        <v/>
      </c>
      <c r="Z23" s="150"/>
    </row>
    <row r="24" spans="2:26" ht="18" customHeight="1">
      <c r="B24" s="223" t="s">
        <v>1503</v>
      </c>
      <c r="C24" s="23"/>
      <c r="D24" s="197">
        <v>1</v>
      </c>
      <c r="E24" s="198">
        <v>1.5</v>
      </c>
      <c r="F24" s="198">
        <v>3.5</v>
      </c>
      <c r="G24" s="198">
        <v>6</v>
      </c>
      <c r="H24" s="198">
        <v>7.5</v>
      </c>
      <c r="I24" s="199">
        <v>7.5</v>
      </c>
      <c r="J24" s="389" t="s">
        <v>1090</v>
      </c>
      <c r="L24" s="233">
        <v>1</v>
      </c>
      <c r="N24" s="296" t="str">
        <f t="shared" si="1"/>
        <v>5.1 보고서작성 및 편집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SUM((ROUNDDOWN((D43:I43)*단가,0)))</f>
        <v>7527762</v>
      </c>
      <c r="X24" s="154"/>
      <c r="Y24" s="150" t="str">
        <f t="shared" si="2"/>
        <v>제 7 호표</v>
      </c>
      <c r="Z24" s="150"/>
    </row>
    <row r="25" spans="2:26" ht="18" customHeight="1">
      <c r="B25" s="259" t="s">
        <v>425</v>
      </c>
      <c r="C25" s="43"/>
      <c r="D25" s="206">
        <v>1</v>
      </c>
      <c r="E25" s="207">
        <v>1.5</v>
      </c>
      <c r="F25" s="207">
        <v>3.5</v>
      </c>
      <c r="G25" s="207">
        <v>6</v>
      </c>
      <c r="H25" s="207">
        <v>7.5</v>
      </c>
      <c r="I25" s="208">
        <v>7.5</v>
      </c>
      <c r="J25" s="389" t="s">
        <v>1090</v>
      </c>
      <c r="L25" s="233">
        <v>1</v>
      </c>
      <c r="N25" s="296" t="str">
        <f t="shared" si="1"/>
        <v>5-2. 관련도서작성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SUM((ROUNDDOWN((D44:I44)*단가,0)))</f>
        <v>7527762</v>
      </c>
      <c r="X25" s="154"/>
      <c r="Y25" s="150" t="str">
        <f t="shared" si="2"/>
        <v>제 8 호표</v>
      </c>
      <c r="Z25" s="150"/>
    </row>
    <row r="26" spans="2:26" ht="18" customHeight="1">
      <c r="B26" s="222" t="s">
        <v>426</v>
      </c>
      <c r="C26" s="47"/>
      <c r="D26" s="48">
        <f t="shared" ref="D26:I26" si="7">SUBTOTAL(9,D27:D30)</f>
        <v>8</v>
      </c>
      <c r="E26" s="49">
        <f t="shared" si="7"/>
        <v>8</v>
      </c>
      <c r="F26" s="49">
        <f t="shared" si="7"/>
        <v>8</v>
      </c>
      <c r="G26" s="49">
        <f t="shared" si="7"/>
        <v>16</v>
      </c>
      <c r="H26" s="49">
        <f t="shared" si="7"/>
        <v>16</v>
      </c>
      <c r="I26" s="50">
        <f t="shared" si="7"/>
        <v>16</v>
      </c>
      <c r="J26" s="74"/>
      <c r="L26" s="233"/>
      <c r="N26" s="294" t="str">
        <f t="shared" si="1"/>
        <v>6. 기술협의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SUBTOTAL(9,W27:W30)</f>
        <v>21702576</v>
      </c>
      <c r="X26" s="154"/>
      <c r="Y26" s="150" t="str">
        <f t="shared" si="2"/>
        <v/>
      </c>
      <c r="Z26" s="150"/>
    </row>
    <row r="27" spans="2:26" ht="18" customHeight="1">
      <c r="B27" s="223" t="s">
        <v>427</v>
      </c>
      <c r="C27" s="23"/>
      <c r="D27" s="197">
        <v>2</v>
      </c>
      <c r="E27" s="198">
        <v>2</v>
      </c>
      <c r="F27" s="198">
        <v>2</v>
      </c>
      <c r="G27" s="198">
        <v>4</v>
      </c>
      <c r="H27" s="198">
        <v>4</v>
      </c>
      <c r="I27" s="199">
        <v>4</v>
      </c>
      <c r="J27" s="389" t="s">
        <v>1504</v>
      </c>
      <c r="L27" s="233">
        <v>1</v>
      </c>
      <c r="N27" s="296" t="str">
        <f t="shared" si="1"/>
        <v>6-1. 공청회/주민설명회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SUM((ROUNDDOWN((D46:I46)*단가,0)))</f>
        <v>5425644</v>
      </c>
      <c r="X27" s="154"/>
      <c r="Y27" s="150" t="str">
        <f t="shared" si="2"/>
        <v>제 9 호표</v>
      </c>
      <c r="Z27" s="150"/>
    </row>
    <row r="28" spans="2:26" ht="18" customHeight="1">
      <c r="B28" s="223" t="s">
        <v>428</v>
      </c>
      <c r="C28" s="23"/>
      <c r="D28" s="197">
        <v>2</v>
      </c>
      <c r="E28" s="198">
        <v>2</v>
      </c>
      <c r="F28" s="198">
        <v>2</v>
      </c>
      <c r="G28" s="198">
        <v>4</v>
      </c>
      <c r="H28" s="198">
        <v>4</v>
      </c>
      <c r="I28" s="199">
        <v>4</v>
      </c>
      <c r="J28" s="389" t="s">
        <v>1094</v>
      </c>
      <c r="L28" s="233">
        <v>1</v>
      </c>
      <c r="N28" s="296" t="str">
        <f t="shared" si="1"/>
        <v>6-2. 주민간담회/시민계획단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SUM((ROUNDDOWN((D47:I47)*단가,0)))</f>
        <v>5425644</v>
      </c>
      <c r="X28" s="154"/>
      <c r="Y28" s="150" t="str">
        <f t="shared" si="2"/>
        <v>제 10 호표</v>
      </c>
      <c r="Z28" s="150"/>
    </row>
    <row r="29" spans="2:26" ht="18" customHeight="1">
      <c r="B29" s="223" t="s">
        <v>429</v>
      </c>
      <c r="C29" s="23"/>
      <c r="D29" s="197">
        <v>2</v>
      </c>
      <c r="E29" s="198">
        <v>2</v>
      </c>
      <c r="F29" s="198">
        <v>2</v>
      </c>
      <c r="G29" s="198">
        <v>4</v>
      </c>
      <c r="H29" s="198">
        <v>4</v>
      </c>
      <c r="I29" s="199">
        <v>4</v>
      </c>
      <c r="J29" s="389" t="s">
        <v>1094</v>
      </c>
      <c r="L29" s="233">
        <v>1</v>
      </c>
      <c r="N29" s="296" t="str">
        <f t="shared" si="1"/>
        <v>6-3. 위원회심의 지원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SUM((ROUNDDOWN((D48:I48)*단가,0)))</f>
        <v>5425644</v>
      </c>
      <c r="X29" s="154"/>
      <c r="Y29" s="150" t="str">
        <f t="shared" si="2"/>
        <v>제 11 호표</v>
      </c>
      <c r="Z29" s="150"/>
    </row>
    <row r="30" spans="2:26" ht="18" customHeight="1" thickBot="1">
      <c r="B30" s="223" t="s">
        <v>430</v>
      </c>
      <c r="C30" s="23"/>
      <c r="D30" s="197">
        <v>2</v>
      </c>
      <c r="E30" s="198">
        <v>2</v>
      </c>
      <c r="F30" s="198">
        <v>2</v>
      </c>
      <c r="G30" s="198">
        <v>4</v>
      </c>
      <c r="H30" s="198">
        <v>4</v>
      </c>
      <c r="I30" s="199">
        <v>4</v>
      </c>
      <c r="J30" s="612" t="s">
        <v>1094</v>
      </c>
      <c r="L30" s="233">
        <v>1</v>
      </c>
      <c r="N30" s="296" t="str">
        <f t="shared" si="1"/>
        <v>6-4. 관계기관 협의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SUM((ROUNDDOWN((D49:I49)*단가,0)))</f>
        <v>5425644</v>
      </c>
      <c r="X30" s="154"/>
      <c r="Y30" s="150" t="str">
        <f t="shared" si="2"/>
        <v>제 12 호표</v>
      </c>
      <c r="Z30" s="150"/>
    </row>
    <row r="31" spans="2:26" ht="18" customHeight="1" thickBot="1">
      <c r="B31" s="14" t="s">
        <v>30</v>
      </c>
      <c r="C31" s="16"/>
      <c r="D31" s="14" t="s">
        <v>12</v>
      </c>
      <c r="E31" s="15"/>
      <c r="F31" s="15"/>
      <c r="G31" s="15"/>
      <c r="H31" s="15"/>
      <c r="I31" s="16"/>
      <c r="J31" s="175" t="s">
        <v>31</v>
      </c>
      <c r="N31" s="379"/>
      <c r="P31" s="371"/>
      <c r="R31" s="357"/>
      <c r="S31" s="1"/>
      <c r="T31" s="1"/>
      <c r="U31" s="258"/>
      <c r="V31" s="380"/>
      <c r="W31" s="373"/>
      <c r="X31" s="374"/>
      <c r="Y31" s="378"/>
      <c r="Z31" s="378"/>
    </row>
    <row r="32" spans="2:26" ht="18" customHeight="1">
      <c r="B32" s="225" t="s">
        <v>1089</v>
      </c>
      <c r="C32" s="72"/>
      <c r="D32" s="203">
        <f t="shared" ref="D32:I32" si="8">SUBTOTAL(9,D33:D34)</f>
        <v>4</v>
      </c>
      <c r="E32" s="204">
        <f t="shared" si="8"/>
        <v>6</v>
      </c>
      <c r="F32" s="204">
        <f t="shared" si="8"/>
        <v>12</v>
      </c>
      <c r="G32" s="204">
        <f t="shared" si="8"/>
        <v>20</v>
      </c>
      <c r="H32" s="204">
        <f t="shared" si="8"/>
        <v>27</v>
      </c>
      <c r="I32" s="205">
        <f t="shared" si="8"/>
        <v>36</v>
      </c>
      <c r="J32" s="73"/>
      <c r="N32" s="290" t="s">
        <v>10</v>
      </c>
      <c r="O32" s="129"/>
      <c r="P32" s="130"/>
      <c r="Q32" s="124"/>
      <c r="R32" s="131"/>
      <c r="S32" s="124"/>
      <c r="T32" s="124"/>
      <c r="U32" s="181"/>
      <c r="V32" s="181"/>
      <c r="W32" s="159">
        <f>SUBTOTAL(9,W33:W35)</f>
        <v>6000000</v>
      </c>
      <c r="X32" s="160"/>
      <c r="Y32" s="124"/>
      <c r="Z32" s="124"/>
    </row>
    <row r="33" spans="1:26" ht="18" customHeight="1">
      <c r="A33" s="326">
        <v>1</v>
      </c>
      <c r="B33" s="223" t="s">
        <v>1496</v>
      </c>
      <c r="C33" s="23"/>
      <c r="D33" s="197">
        <f t="array" ref="D33:I34">ROUNDDOWN(D14:I15*D5*L14:L15,3)</f>
        <v>3</v>
      </c>
      <c r="E33" s="198">
        <v>4</v>
      </c>
      <c r="F33" s="198">
        <v>9</v>
      </c>
      <c r="G33" s="198">
        <v>16</v>
      </c>
      <c r="H33" s="198">
        <v>21</v>
      </c>
      <c r="I33" s="199">
        <v>30</v>
      </c>
      <c r="J33" s="389" t="s">
        <v>422</v>
      </c>
      <c r="N33" s="291" t="str">
        <f>"여비("&amp;TEXT(T33,"#인 ×")&amp;TEXT(U33,"#일 ×")&amp;TEXT(V33,"###,###원)")</f>
        <v>여비(3인 ×10일 ×100,000원)</v>
      </c>
      <c r="O33" s="78"/>
      <c r="P33" s="52"/>
      <c r="Q33" s="51"/>
      <c r="T33" s="146">
        <v>3</v>
      </c>
      <c r="U33" s="146">
        <v>10</v>
      </c>
      <c r="V33" s="147">
        <v>100000</v>
      </c>
      <c r="W33" s="161">
        <f>T33*U33*V33</f>
        <v>3000000</v>
      </c>
      <c r="X33" s="162"/>
      <c r="Y33" s="51"/>
      <c r="Z33" s="51"/>
    </row>
    <row r="34" spans="1:26" ht="18" customHeight="1">
      <c r="A34" s="326">
        <v>2</v>
      </c>
      <c r="B34" s="223" t="s">
        <v>1497</v>
      </c>
      <c r="C34" s="23"/>
      <c r="D34" s="197">
        <v>1</v>
      </c>
      <c r="E34" s="198">
        <v>2</v>
      </c>
      <c r="F34" s="198">
        <v>3</v>
      </c>
      <c r="G34" s="198">
        <v>4</v>
      </c>
      <c r="H34" s="198">
        <v>6</v>
      </c>
      <c r="I34" s="199">
        <v>6</v>
      </c>
      <c r="J34" s="389"/>
      <c r="N34" s="292" t="s">
        <v>46</v>
      </c>
      <c r="O34" s="79"/>
      <c r="P34" s="39"/>
      <c r="Q34" s="37"/>
      <c r="R34" s="117"/>
      <c r="S34" s="37"/>
      <c r="T34" s="37"/>
      <c r="U34" s="180"/>
      <c r="V34" s="180"/>
      <c r="W34" s="157">
        <v>2000000</v>
      </c>
      <c r="X34" s="158"/>
      <c r="Y34" s="37"/>
      <c r="Z34" s="37"/>
    </row>
    <row r="35" spans="1:26" ht="18" customHeight="1">
      <c r="B35" s="222" t="s">
        <v>52</v>
      </c>
      <c r="C35" s="47"/>
      <c r="D35" s="48">
        <f t="shared" ref="D35:I35" si="9">SUBTOTAL(9,D36:D36)</f>
        <v>3</v>
      </c>
      <c r="E35" s="49">
        <f t="shared" si="9"/>
        <v>4</v>
      </c>
      <c r="F35" s="49">
        <f t="shared" si="9"/>
        <v>6</v>
      </c>
      <c r="G35" s="49">
        <f t="shared" si="9"/>
        <v>10</v>
      </c>
      <c r="H35" s="49">
        <f t="shared" si="9"/>
        <v>20</v>
      </c>
      <c r="I35" s="50">
        <f t="shared" si="9"/>
        <v>30</v>
      </c>
      <c r="J35" s="74"/>
      <c r="N35" s="293" t="s">
        <v>13</v>
      </c>
      <c r="O35" s="132"/>
      <c r="P35" s="38"/>
      <c r="Q35" s="38"/>
      <c r="R35" s="116"/>
      <c r="S35" s="38"/>
      <c r="T35" s="38"/>
      <c r="U35" s="183"/>
      <c r="V35" s="183"/>
      <c r="W35" s="155">
        <v>1000000</v>
      </c>
      <c r="X35" s="156"/>
      <c r="Y35" s="38"/>
      <c r="Z35" s="38"/>
    </row>
    <row r="36" spans="1:26" ht="18" customHeight="1">
      <c r="A36" s="326">
        <v>3</v>
      </c>
      <c r="B36" s="223" t="s">
        <v>1498</v>
      </c>
      <c r="C36" s="23"/>
      <c r="D36" s="197">
        <f t="array" ref="D36:I36">ROUNDDOWN(D17:I17*D5*L17,3)</f>
        <v>3</v>
      </c>
      <c r="E36" s="198">
        <v>4</v>
      </c>
      <c r="F36" s="198">
        <v>6</v>
      </c>
      <c r="G36" s="198">
        <v>10</v>
      </c>
      <c r="H36" s="198">
        <v>20</v>
      </c>
      <c r="I36" s="199">
        <v>30</v>
      </c>
      <c r="J36" s="390"/>
      <c r="N36" s="127" t="s">
        <v>47</v>
      </c>
      <c r="O36" s="123"/>
      <c r="P36" s="123"/>
      <c r="Q36" s="123"/>
      <c r="R36" s="123"/>
      <c r="S36" s="123"/>
      <c r="T36" s="123"/>
      <c r="U36" s="184"/>
      <c r="V36" s="184"/>
      <c r="W36" s="163">
        <f ca="1">SUBTOTAL(9,W37:W38)</f>
        <v>404252716</v>
      </c>
      <c r="X36" s="164"/>
      <c r="Y36" s="123"/>
      <c r="Z36" s="123"/>
    </row>
    <row r="37" spans="1:26" ht="18" customHeight="1">
      <c r="B37" s="222" t="s">
        <v>1499</v>
      </c>
      <c r="C37" s="47"/>
      <c r="D37" s="48">
        <f t="shared" ref="D37:I37" si="10">SUBTOTAL(9,D38:D39)</f>
        <v>15</v>
      </c>
      <c r="E37" s="49">
        <f t="shared" si="10"/>
        <v>30</v>
      </c>
      <c r="F37" s="49">
        <f t="shared" si="10"/>
        <v>70</v>
      </c>
      <c r="G37" s="49">
        <f t="shared" si="10"/>
        <v>95</v>
      </c>
      <c r="H37" s="49">
        <f t="shared" si="10"/>
        <v>100</v>
      </c>
      <c r="I37" s="50">
        <f t="shared" si="10"/>
        <v>100</v>
      </c>
      <c r="J37" s="74"/>
      <c r="N37" s="133" t="s">
        <v>861</v>
      </c>
      <c r="O37" s="124"/>
      <c r="P37" s="134"/>
      <c r="Q37" s="124"/>
      <c r="R37" s="131"/>
      <c r="S37" s="124"/>
      <c r="T37" s="181"/>
      <c r="U37" s="181"/>
      <c r="V37" s="190">
        <v>1.1499999999999999</v>
      </c>
      <c r="W37" s="159">
        <f ca="1">ROUNDDOWN(W12*V37,0)</f>
        <v>258991991</v>
      </c>
      <c r="X37" s="160"/>
      <c r="Y37" s="124"/>
      <c r="Z37" s="124"/>
    </row>
    <row r="38" spans="1:26" ht="18" customHeight="1" thickBot="1">
      <c r="A38" s="326">
        <v>4</v>
      </c>
      <c r="B38" s="223" t="s">
        <v>1500</v>
      </c>
      <c r="C38" s="23"/>
      <c r="D38" s="197">
        <f t="array" ref="D38:I39">ROUNDDOWN(D19:I20*D5*L19:L20,3)</f>
        <v>10</v>
      </c>
      <c r="E38" s="198">
        <v>20</v>
      </c>
      <c r="F38" s="198">
        <v>50</v>
      </c>
      <c r="G38" s="198">
        <v>55</v>
      </c>
      <c r="H38" s="198">
        <v>60</v>
      </c>
      <c r="I38" s="199">
        <v>60</v>
      </c>
      <c r="J38" s="74"/>
      <c r="N38" s="135" t="s">
        <v>862</v>
      </c>
      <c r="O38" s="136"/>
      <c r="P38" s="137"/>
      <c r="Q38" s="136"/>
      <c r="R38" s="138"/>
      <c r="S38" s="136"/>
      <c r="T38" s="185"/>
      <c r="U38" s="185"/>
      <c r="V38" s="191">
        <v>0.3</v>
      </c>
      <c r="W38" s="165">
        <f ca="1">ROUNDDOWN((W12+W37)*V38,0)</f>
        <v>145260725</v>
      </c>
      <c r="X38" s="166"/>
      <c r="Y38" s="136"/>
      <c r="Z38" s="136"/>
    </row>
    <row r="39" spans="1:26" ht="18" customHeight="1">
      <c r="A39" s="326">
        <v>5</v>
      </c>
      <c r="B39" s="223" t="s">
        <v>1501</v>
      </c>
      <c r="C39" s="23"/>
      <c r="D39" s="197">
        <v>5</v>
      </c>
      <c r="E39" s="198">
        <v>10</v>
      </c>
      <c r="F39" s="198">
        <v>20</v>
      </c>
      <c r="G39" s="198">
        <v>40</v>
      </c>
      <c r="H39" s="198">
        <v>40</v>
      </c>
      <c r="I39" s="199">
        <v>40</v>
      </c>
      <c r="J39" s="74"/>
    </row>
    <row r="40" spans="1:26" ht="18" customHeight="1">
      <c r="B40" s="222" t="s">
        <v>423</v>
      </c>
      <c r="C40" s="47"/>
      <c r="D40" s="48">
        <f t="shared" ref="D40:I40" si="11">SUBTOTAL(9,D41:D41)</f>
        <v>3</v>
      </c>
      <c r="E40" s="49">
        <f t="shared" si="11"/>
        <v>4</v>
      </c>
      <c r="F40" s="49">
        <f t="shared" si="11"/>
        <v>9</v>
      </c>
      <c r="G40" s="49">
        <f t="shared" si="11"/>
        <v>16</v>
      </c>
      <c r="H40" s="49">
        <f t="shared" si="11"/>
        <v>21</v>
      </c>
      <c r="I40" s="50">
        <f t="shared" si="11"/>
        <v>30</v>
      </c>
      <c r="J40" s="74"/>
      <c r="M40" s="171"/>
    </row>
    <row r="41" spans="1:26" ht="18" customHeight="1" thickBot="1">
      <c r="A41" s="326">
        <v>6</v>
      </c>
      <c r="B41" s="223" t="s">
        <v>1502</v>
      </c>
      <c r="C41" s="23"/>
      <c r="D41" s="197">
        <f t="array" ref="D41:I41">ROUNDDOWN(D22:I22*D5*L22,3)</f>
        <v>3</v>
      </c>
      <c r="E41" s="198">
        <v>4</v>
      </c>
      <c r="F41" s="198">
        <v>9</v>
      </c>
      <c r="G41" s="198">
        <v>16</v>
      </c>
      <c r="H41" s="198">
        <v>21</v>
      </c>
      <c r="I41" s="199">
        <v>30</v>
      </c>
      <c r="J41" s="390"/>
      <c r="M41" s="171"/>
      <c r="N41" s="66" t="s">
        <v>18</v>
      </c>
      <c r="O41" s="2"/>
      <c r="P41" s="2"/>
      <c r="Q41" s="2"/>
      <c r="R41" s="3"/>
      <c r="S41" s="4"/>
      <c r="T41" s="3"/>
      <c r="U41" s="4"/>
      <c r="V41" s="3"/>
      <c r="W41" s="4"/>
      <c r="X41" s="3"/>
      <c r="Y41" s="4"/>
      <c r="Z41" s="2"/>
    </row>
    <row r="42" spans="1:26" ht="18" customHeight="1">
      <c r="B42" s="222" t="s">
        <v>424</v>
      </c>
      <c r="C42" s="47"/>
      <c r="D42" s="48">
        <f t="shared" ref="D42:I42" si="12">SUBTOTAL(9,D43:D44)</f>
        <v>2</v>
      </c>
      <c r="E42" s="49">
        <f t="shared" si="12"/>
        <v>3</v>
      </c>
      <c r="F42" s="49">
        <f t="shared" si="12"/>
        <v>7</v>
      </c>
      <c r="G42" s="49">
        <f t="shared" si="12"/>
        <v>12</v>
      </c>
      <c r="H42" s="49">
        <f t="shared" si="12"/>
        <v>15</v>
      </c>
      <c r="I42" s="50">
        <f t="shared" si="12"/>
        <v>15</v>
      </c>
      <c r="J42" s="74"/>
      <c r="M42" s="171"/>
      <c r="N42" s="765" t="s">
        <v>19</v>
      </c>
      <c r="O42" s="755" t="s">
        <v>20</v>
      </c>
      <c r="P42" s="755" t="s">
        <v>21</v>
      </c>
      <c r="Q42" s="755" t="s">
        <v>16</v>
      </c>
      <c r="R42" s="5" t="s">
        <v>22</v>
      </c>
      <c r="S42" s="5"/>
      <c r="T42" s="5" t="s">
        <v>23</v>
      </c>
      <c r="U42" s="5"/>
      <c r="V42" s="5" t="s">
        <v>24</v>
      </c>
      <c r="W42" s="5"/>
      <c r="X42" s="5" t="s">
        <v>25</v>
      </c>
      <c r="Y42" s="5"/>
      <c r="Z42" s="755" t="s">
        <v>26</v>
      </c>
    </row>
    <row r="43" spans="1:26" ht="18" customHeight="1" thickBot="1">
      <c r="A43" s="326">
        <v>7</v>
      </c>
      <c r="B43" s="223" t="s">
        <v>1503</v>
      </c>
      <c r="C43" s="23"/>
      <c r="D43" s="197">
        <f t="array" ref="D43:I44">ROUNDDOWN(D24:I25*D5*L24:L25,3)</f>
        <v>1</v>
      </c>
      <c r="E43" s="198">
        <v>1.5</v>
      </c>
      <c r="F43" s="198">
        <v>3.5</v>
      </c>
      <c r="G43" s="198">
        <v>6</v>
      </c>
      <c r="H43" s="198">
        <v>7.5</v>
      </c>
      <c r="I43" s="199">
        <v>7.5</v>
      </c>
      <c r="J43" s="74"/>
      <c r="M43" s="171"/>
      <c r="N43" s="766"/>
      <c r="O43" s="756"/>
      <c r="P43" s="756"/>
      <c r="Q43" s="756"/>
      <c r="R43" s="67" t="s">
        <v>27</v>
      </c>
      <c r="S43" s="67" t="s">
        <v>28</v>
      </c>
      <c r="T43" s="67" t="s">
        <v>27</v>
      </c>
      <c r="U43" s="67" t="s">
        <v>28</v>
      </c>
      <c r="V43" s="67" t="s">
        <v>27</v>
      </c>
      <c r="W43" s="67" t="s">
        <v>28</v>
      </c>
      <c r="X43" s="67" t="s">
        <v>27</v>
      </c>
      <c r="Y43" s="67" t="s">
        <v>28</v>
      </c>
      <c r="Z43" s="756"/>
    </row>
    <row r="44" spans="1:26" ht="18" customHeight="1" thickTop="1">
      <c r="A44" s="326">
        <v>8</v>
      </c>
      <c r="B44" s="259" t="s">
        <v>425</v>
      </c>
      <c r="C44" s="43"/>
      <c r="D44" s="206">
        <v>1</v>
      </c>
      <c r="E44" s="207">
        <v>1.5</v>
      </c>
      <c r="F44" s="207">
        <v>3.5</v>
      </c>
      <c r="G44" s="207">
        <v>6</v>
      </c>
      <c r="H44" s="207">
        <v>7.5</v>
      </c>
      <c r="I44" s="208">
        <v>7.5</v>
      </c>
      <c r="J44" s="239"/>
      <c r="M44" s="171"/>
      <c r="N44" s="318" t="str">
        <f ca="1">"제 " &amp; Z44 &amp; " 호표  "&amp; OFFSET($A$1,MATCH(Z44,$A:$A,0)-1,1)</f>
        <v>제 1 호표  1.1 현황조사·분석</v>
      </c>
      <c r="O44" s="221"/>
      <c r="P44" s="148"/>
      <c r="Q44" s="148"/>
      <c r="R44" s="149"/>
      <c r="S44" s="149"/>
      <c r="T44" s="149"/>
      <c r="U44" s="149"/>
      <c r="V44" s="149"/>
      <c r="W44" s="149"/>
      <c r="X44" s="149"/>
      <c r="Y44" s="149"/>
      <c r="Z44" s="325">
        <v>1</v>
      </c>
    </row>
    <row r="45" spans="1:26" ht="18" customHeight="1">
      <c r="B45" s="222" t="s">
        <v>426</v>
      </c>
      <c r="C45" s="47"/>
      <c r="D45" s="48">
        <f t="shared" ref="D45:I45" si="13">SUBTOTAL(9,D46:D49)</f>
        <v>8</v>
      </c>
      <c r="E45" s="49">
        <f t="shared" si="13"/>
        <v>8</v>
      </c>
      <c r="F45" s="49">
        <f t="shared" si="13"/>
        <v>8</v>
      </c>
      <c r="G45" s="49">
        <f t="shared" si="13"/>
        <v>16</v>
      </c>
      <c r="H45" s="49">
        <f t="shared" si="13"/>
        <v>16</v>
      </c>
      <c r="I45" s="50">
        <f t="shared" si="13"/>
        <v>16</v>
      </c>
      <c r="J45" s="786" t="s">
        <v>223</v>
      </c>
      <c r="M45" s="171"/>
      <c r="N45" s="140" t="s">
        <v>43</v>
      </c>
      <c r="O45" s="172">
        <v>3</v>
      </c>
      <c r="P45" s="219">
        <f ca="1">OFFSET($A$1,MATCH(Z44,$A:$A,0)-1,O45)</f>
        <v>3</v>
      </c>
      <c r="Q45" s="141" t="s">
        <v>29</v>
      </c>
      <c r="R45" s="142">
        <f t="shared" ref="R45:S50" ca="1" si="14">T45</f>
        <v>467217</v>
      </c>
      <c r="S45" s="142">
        <f t="shared" ca="1" si="14"/>
        <v>1401651</v>
      </c>
      <c r="T45" s="142">
        <f ca="1">기술사</f>
        <v>467217</v>
      </c>
      <c r="U45" s="142">
        <f t="shared" ref="U45:U50" ca="1" si="15">ROUNDDOWN(P45*R45,0)</f>
        <v>1401651</v>
      </c>
      <c r="V45" s="142"/>
      <c r="W45" s="142"/>
      <c r="X45" s="142"/>
      <c r="Y45" s="142"/>
      <c r="Z45" s="114"/>
    </row>
    <row r="46" spans="1:26" ht="18" customHeight="1">
      <c r="A46" s="326">
        <v>9</v>
      </c>
      <c r="B46" s="223" t="s">
        <v>427</v>
      </c>
      <c r="C46" s="23"/>
      <c r="D46" s="197">
        <f t="array" ref="D46:I49">ROUNDDOWN(D27:I30*L27:L30*I5,3)</f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787"/>
      <c r="M46" s="171"/>
      <c r="N46" s="143" t="s">
        <v>32</v>
      </c>
      <c r="O46" s="173">
        <v>4</v>
      </c>
      <c r="P46" s="234">
        <f ca="1">OFFSET($A$1,MATCH(Z44,$A:$A,0)-1,O46)</f>
        <v>4</v>
      </c>
      <c r="Q46" s="144" t="s">
        <v>29</v>
      </c>
      <c r="R46" s="118">
        <f t="shared" ca="1" si="14"/>
        <v>373353</v>
      </c>
      <c r="S46" s="118">
        <f t="shared" ca="1" si="14"/>
        <v>1493412</v>
      </c>
      <c r="T46" s="118">
        <f ca="1">특급</f>
        <v>373353</v>
      </c>
      <c r="U46" s="118">
        <f t="shared" ca="1" si="15"/>
        <v>1493412</v>
      </c>
      <c r="V46" s="118"/>
      <c r="W46" s="118"/>
      <c r="X46" s="118"/>
      <c r="Y46" s="118"/>
      <c r="Z46" s="115"/>
    </row>
    <row r="47" spans="1:26" ht="18" customHeight="1">
      <c r="A47" s="326">
        <v>10</v>
      </c>
      <c r="B47" s="223" t="s">
        <v>428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787"/>
      <c r="M47" s="171"/>
      <c r="N47" s="145" t="s">
        <v>39</v>
      </c>
      <c r="O47" s="173">
        <v>5</v>
      </c>
      <c r="P47" s="234">
        <f ca="1">OFFSET($A$1,MATCH(Z44,$A:$A,0)-1,O47)</f>
        <v>9</v>
      </c>
      <c r="Q47" s="144" t="s">
        <v>29</v>
      </c>
      <c r="R47" s="118">
        <f t="shared" ca="1" si="14"/>
        <v>310884</v>
      </c>
      <c r="S47" s="118">
        <f t="shared" ca="1" si="14"/>
        <v>2797956</v>
      </c>
      <c r="T47" s="118">
        <f ca="1">고급</f>
        <v>310884</v>
      </c>
      <c r="U47" s="118">
        <f t="shared" ca="1" si="15"/>
        <v>2797956</v>
      </c>
      <c r="V47" s="118"/>
      <c r="W47" s="118"/>
      <c r="X47" s="118"/>
      <c r="Y47" s="118"/>
      <c r="Z47" s="115"/>
    </row>
    <row r="48" spans="1:26" ht="18" customHeight="1">
      <c r="A48" s="326">
        <v>11</v>
      </c>
      <c r="B48" s="223" t="s">
        <v>429</v>
      </c>
      <c r="C48" s="23"/>
      <c r="D48" s="197">
        <v>2</v>
      </c>
      <c r="E48" s="198">
        <v>2</v>
      </c>
      <c r="F48" s="198">
        <v>2</v>
      </c>
      <c r="G48" s="198">
        <v>4</v>
      </c>
      <c r="H48" s="198">
        <v>4</v>
      </c>
      <c r="I48" s="199">
        <v>4</v>
      </c>
      <c r="J48" s="787"/>
      <c r="M48" s="171"/>
      <c r="N48" s="145" t="s">
        <v>40</v>
      </c>
      <c r="O48" s="173">
        <v>6</v>
      </c>
      <c r="P48" s="234">
        <f ca="1">OFFSET($A$1,MATCH(Z44,$A:$A,0)-1,O48)</f>
        <v>16</v>
      </c>
      <c r="Q48" s="144" t="s">
        <v>29</v>
      </c>
      <c r="R48" s="118">
        <f t="shared" ca="1" si="14"/>
        <v>295138</v>
      </c>
      <c r="S48" s="118">
        <f t="shared" ca="1" si="14"/>
        <v>4722208</v>
      </c>
      <c r="T48" s="118">
        <f ca="1">중급</f>
        <v>295138</v>
      </c>
      <c r="U48" s="118">
        <f t="shared" ca="1" si="15"/>
        <v>4722208</v>
      </c>
      <c r="V48" s="118"/>
      <c r="W48" s="118"/>
      <c r="X48" s="118"/>
      <c r="Y48" s="118"/>
      <c r="Z48" s="115"/>
    </row>
    <row r="49" spans="1:26" ht="18" customHeight="1" thickBot="1">
      <c r="A49" s="326">
        <v>12</v>
      </c>
      <c r="B49" s="388" t="s">
        <v>430</v>
      </c>
      <c r="C49" s="342"/>
      <c r="D49" s="343">
        <v>2</v>
      </c>
      <c r="E49" s="344">
        <v>2</v>
      </c>
      <c r="F49" s="344">
        <v>2</v>
      </c>
      <c r="G49" s="344">
        <v>4</v>
      </c>
      <c r="H49" s="344">
        <v>4</v>
      </c>
      <c r="I49" s="345">
        <v>4</v>
      </c>
      <c r="J49" s="788"/>
      <c r="M49" s="171"/>
      <c r="N49" s="145" t="s">
        <v>41</v>
      </c>
      <c r="O49" s="173">
        <v>7</v>
      </c>
      <c r="P49" s="234">
        <f ca="1">OFFSET($A$1,MATCH(Z44,$A:$A,0)-1,O49)</f>
        <v>21</v>
      </c>
      <c r="Q49" s="144" t="s">
        <v>29</v>
      </c>
      <c r="R49" s="118">
        <f t="shared" ca="1" si="14"/>
        <v>235459</v>
      </c>
      <c r="S49" s="118">
        <f t="shared" ca="1" si="14"/>
        <v>4944639</v>
      </c>
      <c r="T49" s="118">
        <f ca="1">초급</f>
        <v>235459</v>
      </c>
      <c r="U49" s="118">
        <f t="shared" ca="1" si="15"/>
        <v>4944639</v>
      </c>
      <c r="V49" s="118"/>
      <c r="W49" s="118"/>
      <c r="X49" s="118"/>
      <c r="Y49" s="118"/>
      <c r="Z49" s="115"/>
    </row>
    <row r="50" spans="1:26" ht="18" customHeight="1">
      <c r="B50" s="80" t="s">
        <v>15</v>
      </c>
      <c r="C50" s="9" t="s">
        <v>1505</v>
      </c>
      <c r="L50" s="171"/>
      <c r="M50" s="171"/>
      <c r="N50" s="319" t="s">
        <v>42</v>
      </c>
      <c r="O50" s="174">
        <v>8</v>
      </c>
      <c r="P50" s="235">
        <f ca="1">OFFSET($A$1,MATCH(Z44,$A:$A,0)-1,O50)</f>
        <v>30</v>
      </c>
      <c r="Q50" s="322" t="s">
        <v>29</v>
      </c>
      <c r="R50" s="323">
        <f t="shared" ca="1" si="14"/>
        <v>250087</v>
      </c>
      <c r="S50" s="323">
        <f t="shared" ca="1" si="14"/>
        <v>7502610</v>
      </c>
      <c r="T50" s="323">
        <f ca="1">보조원</f>
        <v>250087</v>
      </c>
      <c r="U50" s="323">
        <f t="shared" ca="1" si="15"/>
        <v>7502610</v>
      </c>
      <c r="V50" s="323"/>
      <c r="W50" s="323"/>
      <c r="X50" s="323"/>
      <c r="Y50" s="323"/>
      <c r="Z50" s="324"/>
    </row>
    <row r="51" spans="1:26" ht="18" customHeight="1">
      <c r="C51" s="1" t="s">
        <v>1506</v>
      </c>
      <c r="L51" s="171"/>
      <c r="M51" s="171"/>
      <c r="N51" s="139" t="s">
        <v>17</v>
      </c>
      <c r="O51" s="68"/>
      <c r="P51" s="69"/>
      <c r="Q51" s="70"/>
      <c r="R51" s="71"/>
      <c r="S51" s="71">
        <f ca="1">SUBTOTAL(9,S45:S50)</f>
        <v>22862476</v>
      </c>
      <c r="T51" s="71"/>
      <c r="U51" s="71">
        <f ca="1">SUBTOTAL(9,U45:U50)</f>
        <v>22862476</v>
      </c>
      <c r="V51" s="71"/>
      <c r="W51" s="71"/>
      <c r="X51" s="71"/>
      <c r="Y51" s="71"/>
      <c r="Z51" s="68"/>
    </row>
    <row r="52" spans="1:26" ht="18" customHeight="1">
      <c r="C52" s="9" t="s">
        <v>1507</v>
      </c>
      <c r="L52" s="171"/>
      <c r="M52" s="171"/>
      <c r="N52" s="318" t="str">
        <f ca="1">"제 " &amp; Z52 &amp; " 호표  "&amp; OFFSET($A$1,MATCH(Z52,$A:$A,0)-1,1)</f>
        <v>제 2 호표  1.2 종합분석 및 과제도출</v>
      </c>
      <c r="O52" s="221"/>
      <c r="P52" s="148"/>
      <c r="Q52" s="148"/>
      <c r="R52" s="149"/>
      <c r="S52" s="149"/>
      <c r="T52" s="149"/>
      <c r="U52" s="149"/>
      <c r="V52" s="149"/>
      <c r="W52" s="149"/>
      <c r="X52" s="149"/>
      <c r="Y52" s="149"/>
      <c r="Z52" s="325">
        <f>Z44+1</f>
        <v>2</v>
      </c>
    </row>
    <row r="53" spans="1:26" ht="18" customHeight="1">
      <c r="C53" s="9" t="s">
        <v>1508</v>
      </c>
      <c r="L53" s="171"/>
      <c r="M53" s="171"/>
      <c r="N53" s="140" t="s">
        <v>43</v>
      </c>
      <c r="O53" s="172">
        <v>3</v>
      </c>
      <c r="P53" s="219">
        <f ca="1">OFFSET($A$1,MATCH(Z52,$A:$A,0)-1,O53)</f>
        <v>1</v>
      </c>
      <c r="Q53" s="141" t="s">
        <v>29</v>
      </c>
      <c r="R53" s="142">
        <f t="shared" ref="R53:S58" ca="1" si="16">T53</f>
        <v>467217</v>
      </c>
      <c r="S53" s="142">
        <f t="shared" ca="1" si="16"/>
        <v>467217</v>
      </c>
      <c r="T53" s="142">
        <f ca="1">기술사</f>
        <v>467217</v>
      </c>
      <c r="U53" s="142">
        <f t="shared" ref="U53:U58" ca="1" si="17">ROUNDDOWN(P53*R53,0)</f>
        <v>467217</v>
      </c>
      <c r="V53" s="142"/>
      <c r="W53" s="142"/>
      <c r="X53" s="142"/>
      <c r="Y53" s="142"/>
      <c r="Z53" s="114"/>
    </row>
    <row r="54" spans="1:26" ht="18" customHeight="1">
      <c r="C54" s="1" t="s">
        <v>1509</v>
      </c>
      <c r="L54" s="171"/>
      <c r="M54" s="171"/>
      <c r="N54" s="143" t="s">
        <v>32</v>
      </c>
      <c r="O54" s="173">
        <v>4</v>
      </c>
      <c r="P54" s="234">
        <f ca="1">OFFSET($A$1,MATCH(Z52,$A:$A,0)-1,O54)</f>
        <v>2</v>
      </c>
      <c r="Q54" s="144" t="s">
        <v>29</v>
      </c>
      <c r="R54" s="118">
        <f t="shared" ca="1" si="16"/>
        <v>373353</v>
      </c>
      <c r="S54" s="118">
        <f t="shared" ca="1" si="16"/>
        <v>746706</v>
      </c>
      <c r="T54" s="118">
        <f ca="1">특급</f>
        <v>373353</v>
      </c>
      <c r="U54" s="118">
        <f t="shared" ca="1" si="17"/>
        <v>746706</v>
      </c>
      <c r="V54" s="118"/>
      <c r="W54" s="118"/>
      <c r="X54" s="118"/>
      <c r="Y54" s="118"/>
      <c r="Z54" s="115"/>
    </row>
    <row r="55" spans="1:26" ht="18" customHeight="1">
      <c r="C55" s="1" t="s">
        <v>1510</v>
      </c>
      <c r="K55" s="171" t="s">
        <v>14</v>
      </c>
      <c r="L55" s="171"/>
      <c r="M55" s="171"/>
      <c r="N55" s="145" t="s">
        <v>39</v>
      </c>
      <c r="O55" s="173">
        <v>5</v>
      </c>
      <c r="P55" s="234">
        <f ca="1">OFFSET($A$1,MATCH(Z52,$A:$A,0)-1,O55)</f>
        <v>3</v>
      </c>
      <c r="Q55" s="144" t="s">
        <v>29</v>
      </c>
      <c r="R55" s="118">
        <f t="shared" ca="1" si="16"/>
        <v>310884</v>
      </c>
      <c r="S55" s="118">
        <f t="shared" ca="1" si="16"/>
        <v>932652</v>
      </c>
      <c r="T55" s="118">
        <f ca="1">고급</f>
        <v>310884</v>
      </c>
      <c r="U55" s="118">
        <f t="shared" ca="1" si="17"/>
        <v>932652</v>
      </c>
      <c r="V55" s="118"/>
      <c r="W55" s="118"/>
      <c r="X55" s="118"/>
      <c r="Y55" s="118"/>
      <c r="Z55" s="115"/>
    </row>
    <row r="56" spans="1:26" ht="18" customHeight="1">
      <c r="K56" s="171" t="s">
        <v>14</v>
      </c>
      <c r="L56" s="171"/>
      <c r="M56" s="171"/>
      <c r="N56" s="145" t="s">
        <v>40</v>
      </c>
      <c r="O56" s="173">
        <v>6</v>
      </c>
      <c r="P56" s="234">
        <f ca="1">OFFSET($A$1,MATCH(Z52,$A:$A,0)-1,O56)</f>
        <v>4</v>
      </c>
      <c r="Q56" s="144" t="s">
        <v>29</v>
      </c>
      <c r="R56" s="118">
        <f t="shared" ca="1" si="16"/>
        <v>295138</v>
      </c>
      <c r="S56" s="118">
        <f t="shared" ca="1" si="16"/>
        <v>1180552</v>
      </c>
      <c r="T56" s="118">
        <f ca="1">중급</f>
        <v>295138</v>
      </c>
      <c r="U56" s="118">
        <f t="shared" ca="1" si="17"/>
        <v>1180552</v>
      </c>
      <c r="V56" s="118"/>
      <c r="W56" s="118"/>
      <c r="X56" s="118"/>
      <c r="Y56" s="118"/>
      <c r="Z56" s="115"/>
    </row>
    <row r="57" spans="1:26" ht="18" customHeight="1">
      <c r="C57" s="9"/>
      <c r="K57" s="171" t="s">
        <v>14</v>
      </c>
      <c r="L57" s="171"/>
      <c r="M57" s="171"/>
      <c r="N57" s="145" t="s">
        <v>41</v>
      </c>
      <c r="O57" s="173">
        <v>7</v>
      </c>
      <c r="P57" s="234">
        <f ca="1">OFFSET($A$1,MATCH(Z52,$A:$A,0)-1,O57)</f>
        <v>6</v>
      </c>
      <c r="Q57" s="144" t="s">
        <v>29</v>
      </c>
      <c r="R57" s="118">
        <f t="shared" ca="1" si="16"/>
        <v>235459</v>
      </c>
      <c r="S57" s="118">
        <f t="shared" ca="1" si="16"/>
        <v>1412754</v>
      </c>
      <c r="T57" s="118">
        <f ca="1">초급</f>
        <v>235459</v>
      </c>
      <c r="U57" s="118">
        <f t="shared" ca="1" si="17"/>
        <v>1412754</v>
      </c>
      <c r="V57" s="118"/>
      <c r="W57" s="118"/>
      <c r="X57" s="118"/>
      <c r="Y57" s="118"/>
      <c r="Z57" s="115"/>
    </row>
    <row r="58" spans="1:26" ht="18" customHeight="1">
      <c r="K58" s="171" t="s">
        <v>14</v>
      </c>
      <c r="L58" s="171"/>
      <c r="M58" s="171"/>
      <c r="N58" s="319" t="s">
        <v>42</v>
      </c>
      <c r="O58" s="174">
        <v>8</v>
      </c>
      <c r="P58" s="235">
        <f ca="1">OFFSET($A$1,MATCH(Z52,$A:$A,0)-1,O58)</f>
        <v>6</v>
      </c>
      <c r="Q58" s="322" t="s">
        <v>29</v>
      </c>
      <c r="R58" s="323">
        <f t="shared" ca="1" si="16"/>
        <v>250087</v>
      </c>
      <c r="S58" s="323">
        <f t="shared" ca="1" si="16"/>
        <v>1500522</v>
      </c>
      <c r="T58" s="323">
        <f ca="1">보조원</f>
        <v>250087</v>
      </c>
      <c r="U58" s="323">
        <f t="shared" ca="1" si="17"/>
        <v>1500522</v>
      </c>
      <c r="V58" s="323"/>
      <c r="W58" s="323"/>
      <c r="X58" s="323"/>
      <c r="Y58" s="323"/>
      <c r="Z58" s="324"/>
    </row>
    <row r="59" spans="1:26" ht="18" customHeight="1">
      <c r="K59" s="171" t="s">
        <v>14</v>
      </c>
      <c r="L59" s="171"/>
      <c r="M59" s="171"/>
      <c r="N59" s="139" t="s">
        <v>17</v>
      </c>
      <c r="O59" s="68"/>
      <c r="P59" s="69"/>
      <c r="Q59" s="70"/>
      <c r="R59" s="71"/>
      <c r="S59" s="71">
        <f ca="1">SUBTOTAL(9,S53:S58)</f>
        <v>6240403</v>
      </c>
      <c r="T59" s="71"/>
      <c r="U59" s="71">
        <f ca="1">SUBTOTAL(9,U53:U58)</f>
        <v>6240403</v>
      </c>
      <c r="V59" s="71"/>
      <c r="W59" s="71"/>
      <c r="X59" s="71"/>
      <c r="Y59" s="71"/>
      <c r="Z59" s="68"/>
    </row>
    <row r="60" spans="1:26" ht="18" customHeight="1">
      <c r="K60" s="171" t="s">
        <v>14</v>
      </c>
      <c r="L60" s="171"/>
      <c r="M60" s="171"/>
      <c r="N60" s="318" t="str">
        <f ca="1">"제 " &amp; Z60 &amp; " 호표  "&amp; OFFSET($A$1,MATCH(Z60,$A:$A,0)-1,1)</f>
        <v>제 3 호표  2.1 저탄소 녹색도시 구상</v>
      </c>
      <c r="O60" s="221"/>
      <c r="P60" s="148"/>
      <c r="Q60" s="148"/>
      <c r="R60" s="149"/>
      <c r="S60" s="149"/>
      <c r="T60" s="149"/>
      <c r="U60" s="149"/>
      <c r="V60" s="149"/>
      <c r="W60" s="149"/>
      <c r="X60" s="149"/>
      <c r="Y60" s="149"/>
      <c r="Z60" s="325">
        <f>Z52+1</f>
        <v>3</v>
      </c>
    </row>
    <row r="61" spans="1:26" ht="18" customHeight="1">
      <c r="K61" s="171" t="s">
        <v>14</v>
      </c>
      <c r="L61" s="171"/>
      <c r="M61" s="171"/>
      <c r="N61" s="140" t="s">
        <v>43</v>
      </c>
      <c r="O61" s="172">
        <v>3</v>
      </c>
      <c r="P61" s="219">
        <f ca="1">OFFSET($A$1,MATCH(Z60,$A:$A,0)-1,O61)</f>
        <v>3</v>
      </c>
      <c r="Q61" s="141" t="s">
        <v>29</v>
      </c>
      <c r="R61" s="142">
        <f t="shared" ref="R61:S66" ca="1" si="18">T61</f>
        <v>467217</v>
      </c>
      <c r="S61" s="142">
        <f t="shared" ca="1" si="18"/>
        <v>1401651</v>
      </c>
      <c r="T61" s="142">
        <f ca="1">기술사</f>
        <v>467217</v>
      </c>
      <c r="U61" s="142">
        <f t="shared" ref="U61:U66" ca="1" si="19">ROUNDDOWN(P61*R61,0)</f>
        <v>1401651</v>
      </c>
      <c r="V61" s="142"/>
      <c r="W61" s="142"/>
      <c r="X61" s="142"/>
      <c r="Y61" s="142"/>
      <c r="Z61" s="114"/>
    </row>
    <row r="62" spans="1:26" ht="18" customHeight="1">
      <c r="K62" s="171" t="s">
        <v>14</v>
      </c>
      <c r="L62" s="171"/>
      <c r="M62" s="171"/>
      <c r="N62" s="143" t="s">
        <v>32</v>
      </c>
      <c r="O62" s="173">
        <v>4</v>
      </c>
      <c r="P62" s="234">
        <f ca="1">OFFSET($A$1,MATCH(Z60,$A:$A,0)-1,O62)</f>
        <v>4</v>
      </c>
      <c r="Q62" s="144" t="s">
        <v>29</v>
      </c>
      <c r="R62" s="118">
        <f t="shared" ca="1" si="18"/>
        <v>373353</v>
      </c>
      <c r="S62" s="118">
        <f t="shared" ca="1" si="18"/>
        <v>1493412</v>
      </c>
      <c r="T62" s="118">
        <f ca="1">특급</f>
        <v>373353</v>
      </c>
      <c r="U62" s="118">
        <f t="shared" ca="1" si="19"/>
        <v>1493412</v>
      </c>
      <c r="V62" s="118"/>
      <c r="W62" s="118"/>
      <c r="X62" s="118"/>
      <c r="Y62" s="118"/>
      <c r="Z62" s="115"/>
    </row>
    <row r="63" spans="1:26" ht="18" customHeight="1">
      <c r="C63" s="9"/>
      <c r="K63" s="171" t="s">
        <v>14</v>
      </c>
      <c r="L63" s="171"/>
      <c r="M63" s="171"/>
      <c r="N63" s="145" t="s">
        <v>39</v>
      </c>
      <c r="O63" s="173">
        <v>5</v>
      </c>
      <c r="P63" s="234">
        <f ca="1">OFFSET($A$1,MATCH(Z60,$A:$A,0)-1,O63)</f>
        <v>6</v>
      </c>
      <c r="Q63" s="144" t="s">
        <v>29</v>
      </c>
      <c r="R63" s="118">
        <f t="shared" ca="1" si="18"/>
        <v>310884</v>
      </c>
      <c r="S63" s="118">
        <f t="shared" ca="1" si="18"/>
        <v>1865304</v>
      </c>
      <c r="T63" s="118">
        <f ca="1">고급</f>
        <v>310884</v>
      </c>
      <c r="U63" s="118">
        <f t="shared" ca="1" si="19"/>
        <v>1865304</v>
      </c>
      <c r="V63" s="118"/>
      <c r="W63" s="118"/>
      <c r="X63" s="118"/>
      <c r="Y63" s="118"/>
      <c r="Z63" s="115"/>
    </row>
    <row r="64" spans="1:26" ht="18" customHeight="1">
      <c r="C64" s="9"/>
      <c r="K64" s="171" t="s">
        <v>14</v>
      </c>
      <c r="L64" s="171"/>
      <c r="M64" s="171"/>
      <c r="N64" s="145" t="s">
        <v>40</v>
      </c>
      <c r="O64" s="173">
        <v>6</v>
      </c>
      <c r="P64" s="234">
        <f ca="1">OFFSET($A$1,MATCH(Z60,$A:$A,0)-1,O64)</f>
        <v>10</v>
      </c>
      <c r="Q64" s="144" t="s">
        <v>29</v>
      </c>
      <c r="R64" s="118">
        <f t="shared" ca="1" si="18"/>
        <v>295138</v>
      </c>
      <c r="S64" s="118">
        <f t="shared" ca="1" si="18"/>
        <v>2951380</v>
      </c>
      <c r="T64" s="118">
        <f ca="1">중급</f>
        <v>295138</v>
      </c>
      <c r="U64" s="118">
        <f t="shared" ca="1" si="19"/>
        <v>2951380</v>
      </c>
      <c r="V64" s="118"/>
      <c r="W64" s="118"/>
      <c r="X64" s="118"/>
      <c r="Y64" s="118"/>
      <c r="Z64" s="115"/>
    </row>
    <row r="65" spans="11:26" ht="18" customHeight="1">
      <c r="K65" s="171" t="s">
        <v>14</v>
      </c>
      <c r="L65" s="171"/>
      <c r="M65" s="171"/>
      <c r="N65" s="145" t="s">
        <v>41</v>
      </c>
      <c r="O65" s="173">
        <v>7</v>
      </c>
      <c r="P65" s="234">
        <f ca="1">OFFSET($A$1,MATCH(Z60,$A:$A,0)-1,O65)</f>
        <v>20</v>
      </c>
      <c r="Q65" s="144" t="s">
        <v>29</v>
      </c>
      <c r="R65" s="118">
        <f t="shared" ca="1" si="18"/>
        <v>235459</v>
      </c>
      <c r="S65" s="118">
        <f t="shared" ca="1" si="18"/>
        <v>4709180</v>
      </c>
      <c r="T65" s="118">
        <f ca="1">초급</f>
        <v>235459</v>
      </c>
      <c r="U65" s="118">
        <f t="shared" ca="1" si="19"/>
        <v>4709180</v>
      </c>
      <c r="V65" s="118"/>
      <c r="W65" s="118"/>
      <c r="X65" s="118"/>
      <c r="Y65" s="118"/>
      <c r="Z65" s="115"/>
    </row>
    <row r="66" spans="11:26" ht="18" customHeight="1">
      <c r="K66" s="171" t="s">
        <v>14</v>
      </c>
      <c r="L66" s="171"/>
      <c r="M66" s="171"/>
      <c r="N66" s="319" t="s">
        <v>42</v>
      </c>
      <c r="O66" s="174">
        <v>8</v>
      </c>
      <c r="P66" s="235">
        <f ca="1">OFFSET($A$1,MATCH(Z60,$A:$A,0)-1,O66)</f>
        <v>30</v>
      </c>
      <c r="Q66" s="322" t="s">
        <v>29</v>
      </c>
      <c r="R66" s="323">
        <f t="shared" ca="1" si="18"/>
        <v>250087</v>
      </c>
      <c r="S66" s="323">
        <f t="shared" ca="1" si="18"/>
        <v>7502610</v>
      </c>
      <c r="T66" s="323">
        <f ca="1">보조원</f>
        <v>250087</v>
      </c>
      <c r="U66" s="323">
        <f t="shared" ca="1" si="19"/>
        <v>7502610</v>
      </c>
      <c r="V66" s="323"/>
      <c r="W66" s="323"/>
      <c r="X66" s="323"/>
      <c r="Y66" s="323"/>
      <c r="Z66" s="324"/>
    </row>
    <row r="67" spans="11:26" ht="18" customHeight="1">
      <c r="K67" s="171" t="s">
        <v>14</v>
      </c>
      <c r="L67" s="171"/>
      <c r="M67" s="171"/>
      <c r="N67" s="139" t="s">
        <v>17</v>
      </c>
      <c r="O67" s="68"/>
      <c r="P67" s="69"/>
      <c r="Q67" s="70"/>
      <c r="R67" s="71"/>
      <c r="S67" s="71">
        <f ca="1">SUBTOTAL(9,S61:S66)</f>
        <v>19923537</v>
      </c>
      <c r="T67" s="71"/>
      <c r="U67" s="71">
        <f ca="1">SUBTOTAL(9,U61:U66)</f>
        <v>19923537</v>
      </c>
      <c r="V67" s="71"/>
      <c r="W67" s="71"/>
      <c r="X67" s="71"/>
      <c r="Y67" s="71"/>
      <c r="Z67" s="68"/>
    </row>
    <row r="68" spans="11:26" ht="18" customHeight="1">
      <c r="K68" s="171" t="s">
        <v>14</v>
      </c>
      <c r="L68" s="171"/>
      <c r="M68" s="171"/>
      <c r="N68" s="318" t="str">
        <f ca="1">"제 " &amp; Z68 &amp; " 호표  "&amp; OFFSET($A$1,MATCH(Z68,$A:$A,0)-1,1)</f>
        <v>제 4 호표  3.1 부문별 저탄소 녹색도시계획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f>Z60+1</f>
        <v>4</v>
      </c>
    </row>
    <row r="69" spans="11:26" ht="18" customHeight="1"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10</v>
      </c>
      <c r="Q69" s="141" t="s">
        <v>29</v>
      </c>
      <c r="R69" s="142">
        <f t="shared" ref="R69:S74" ca="1" si="20">T69</f>
        <v>467217</v>
      </c>
      <c r="S69" s="142">
        <f t="shared" ca="1" si="20"/>
        <v>4672170</v>
      </c>
      <c r="T69" s="142">
        <f ca="1">기술사</f>
        <v>467217</v>
      </c>
      <c r="U69" s="142">
        <f t="shared" ref="U69:U74" ca="1" si="21">ROUNDDOWN(P69*R69,0)</f>
        <v>4672170</v>
      </c>
      <c r="V69" s="142"/>
      <c r="W69" s="142"/>
      <c r="X69" s="142"/>
      <c r="Y69" s="142"/>
      <c r="Z69" s="114"/>
    </row>
    <row r="70" spans="11:26" ht="18" customHeight="1"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20</v>
      </c>
      <c r="Q70" s="144" t="s">
        <v>29</v>
      </c>
      <c r="R70" s="118">
        <f t="shared" ca="1" si="20"/>
        <v>373353</v>
      </c>
      <c r="S70" s="118">
        <f t="shared" ca="1" si="20"/>
        <v>7467060</v>
      </c>
      <c r="T70" s="118">
        <f ca="1">특급</f>
        <v>373353</v>
      </c>
      <c r="U70" s="118">
        <f t="shared" ca="1" si="21"/>
        <v>7467060</v>
      </c>
      <c r="V70" s="118"/>
      <c r="W70" s="118"/>
      <c r="X70" s="118"/>
      <c r="Y70" s="118"/>
      <c r="Z70" s="115"/>
    </row>
    <row r="71" spans="11:26" ht="18" customHeight="1"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50</v>
      </c>
      <c r="Q71" s="144" t="s">
        <v>29</v>
      </c>
      <c r="R71" s="118">
        <f t="shared" ca="1" si="20"/>
        <v>310884</v>
      </c>
      <c r="S71" s="118">
        <f t="shared" ca="1" si="20"/>
        <v>15544200</v>
      </c>
      <c r="T71" s="118">
        <f ca="1">고급</f>
        <v>310884</v>
      </c>
      <c r="U71" s="118">
        <f t="shared" ca="1" si="21"/>
        <v>15544200</v>
      </c>
      <c r="V71" s="118"/>
      <c r="W71" s="118"/>
      <c r="X71" s="118"/>
      <c r="Y71" s="118"/>
      <c r="Z71" s="115"/>
    </row>
    <row r="72" spans="11:26" ht="18" customHeight="1"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55</v>
      </c>
      <c r="Q72" s="144" t="s">
        <v>29</v>
      </c>
      <c r="R72" s="118">
        <f t="shared" ca="1" si="20"/>
        <v>295138</v>
      </c>
      <c r="S72" s="118">
        <f t="shared" ca="1" si="20"/>
        <v>16232590</v>
      </c>
      <c r="T72" s="118">
        <f ca="1">중급</f>
        <v>295138</v>
      </c>
      <c r="U72" s="118">
        <f t="shared" ca="1" si="21"/>
        <v>16232590</v>
      </c>
      <c r="V72" s="118"/>
      <c r="W72" s="118"/>
      <c r="X72" s="118"/>
      <c r="Y72" s="118"/>
      <c r="Z72" s="115"/>
    </row>
    <row r="73" spans="11:26" ht="18" customHeight="1"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60</v>
      </c>
      <c r="Q73" s="144" t="s">
        <v>29</v>
      </c>
      <c r="R73" s="118">
        <f t="shared" ca="1" si="20"/>
        <v>235459</v>
      </c>
      <c r="S73" s="118">
        <f t="shared" ca="1" si="20"/>
        <v>14127540</v>
      </c>
      <c r="T73" s="118">
        <f ca="1">초급</f>
        <v>235459</v>
      </c>
      <c r="U73" s="118">
        <f t="shared" ca="1" si="21"/>
        <v>14127540</v>
      </c>
      <c r="V73" s="118"/>
      <c r="W73" s="118"/>
      <c r="X73" s="118"/>
      <c r="Y73" s="118"/>
      <c r="Z73" s="115"/>
    </row>
    <row r="74" spans="11:26" ht="18" customHeight="1"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60</v>
      </c>
      <c r="Q74" s="322" t="s">
        <v>29</v>
      </c>
      <c r="R74" s="323">
        <f t="shared" ca="1" si="20"/>
        <v>250087</v>
      </c>
      <c r="S74" s="323">
        <f t="shared" ca="1" si="20"/>
        <v>15005220</v>
      </c>
      <c r="T74" s="323">
        <f ca="1">보조원</f>
        <v>250087</v>
      </c>
      <c r="U74" s="323">
        <f t="shared" ca="1" si="21"/>
        <v>15005220</v>
      </c>
      <c r="V74" s="323"/>
      <c r="W74" s="323"/>
      <c r="X74" s="323"/>
      <c r="Y74" s="323"/>
      <c r="Z74" s="324"/>
    </row>
    <row r="75" spans="11:26" ht="18" customHeight="1"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73048780</v>
      </c>
      <c r="T75" s="71"/>
      <c r="U75" s="71">
        <f ca="1">SUBTOTAL(9,U69:U74)</f>
        <v>73048780</v>
      </c>
      <c r="V75" s="71"/>
      <c r="W75" s="71"/>
      <c r="X75" s="71"/>
      <c r="Y75" s="71"/>
      <c r="Z75" s="68"/>
    </row>
    <row r="76" spans="11:26" ht="18" customHeight="1">
      <c r="K76" s="171" t="s">
        <v>14</v>
      </c>
      <c r="L76" s="171"/>
      <c r="M76" s="171"/>
      <c r="N76" s="318" t="str">
        <f ca="1">"제 " &amp; Z76 &amp; " 호표  "&amp; OFFSET($A$1,MATCH(Z76,$A:$A,0)-1,1)</f>
        <v>제 5 호표  3.2 권역별 저탄소 녹색도시계획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5</v>
      </c>
    </row>
    <row r="77" spans="11:26" ht="18" customHeight="1"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5</v>
      </c>
      <c r="Q77" s="141" t="s">
        <v>29</v>
      </c>
      <c r="R77" s="142">
        <f t="shared" ref="R77:S82" ca="1" si="22">T77</f>
        <v>467217</v>
      </c>
      <c r="S77" s="142">
        <f t="shared" ca="1" si="22"/>
        <v>2336085</v>
      </c>
      <c r="T77" s="142">
        <f ca="1">기술사</f>
        <v>467217</v>
      </c>
      <c r="U77" s="142">
        <f t="shared" ref="U77:U82" ca="1" si="23">ROUNDDOWN(P77*R77,0)</f>
        <v>2336085</v>
      </c>
      <c r="V77" s="142"/>
      <c r="W77" s="142"/>
      <c r="X77" s="142"/>
      <c r="Y77" s="142"/>
      <c r="Z77" s="114"/>
    </row>
    <row r="78" spans="11:26" ht="18" customHeight="1"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10</v>
      </c>
      <c r="Q78" s="144" t="s">
        <v>29</v>
      </c>
      <c r="R78" s="118">
        <f t="shared" ca="1" si="22"/>
        <v>373353</v>
      </c>
      <c r="S78" s="118">
        <f t="shared" ca="1" si="22"/>
        <v>3733530</v>
      </c>
      <c r="T78" s="118">
        <f ca="1">특급</f>
        <v>373353</v>
      </c>
      <c r="U78" s="118">
        <f t="shared" ca="1" si="23"/>
        <v>3733530</v>
      </c>
      <c r="V78" s="118"/>
      <c r="W78" s="118"/>
      <c r="X78" s="118"/>
      <c r="Y78" s="118"/>
      <c r="Z78" s="115"/>
    </row>
    <row r="79" spans="11:26" ht="18" customHeight="1"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20</v>
      </c>
      <c r="Q79" s="144" t="s">
        <v>29</v>
      </c>
      <c r="R79" s="118">
        <f t="shared" ca="1" si="22"/>
        <v>310884</v>
      </c>
      <c r="S79" s="118">
        <f t="shared" ca="1" si="22"/>
        <v>6217680</v>
      </c>
      <c r="T79" s="118">
        <f ca="1">고급</f>
        <v>310884</v>
      </c>
      <c r="U79" s="118">
        <f t="shared" ca="1" si="23"/>
        <v>6217680</v>
      </c>
      <c r="V79" s="118"/>
      <c r="W79" s="118"/>
      <c r="X79" s="118"/>
      <c r="Y79" s="118"/>
      <c r="Z79" s="115"/>
    </row>
    <row r="80" spans="11:26" ht="18" customHeight="1"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40</v>
      </c>
      <c r="Q80" s="144" t="s">
        <v>29</v>
      </c>
      <c r="R80" s="118">
        <f t="shared" ca="1" si="22"/>
        <v>295138</v>
      </c>
      <c r="S80" s="118">
        <f t="shared" ca="1" si="22"/>
        <v>11805520</v>
      </c>
      <c r="T80" s="118">
        <f ca="1">중급</f>
        <v>295138</v>
      </c>
      <c r="U80" s="118">
        <f t="shared" ca="1" si="23"/>
        <v>11805520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40</v>
      </c>
      <c r="Q81" s="144" t="s">
        <v>29</v>
      </c>
      <c r="R81" s="118">
        <f t="shared" ca="1" si="22"/>
        <v>235459</v>
      </c>
      <c r="S81" s="118">
        <f t="shared" ca="1" si="22"/>
        <v>9418360</v>
      </c>
      <c r="T81" s="118">
        <f ca="1">초급</f>
        <v>235459</v>
      </c>
      <c r="U81" s="118">
        <f t="shared" ca="1" si="23"/>
        <v>9418360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40</v>
      </c>
      <c r="Q82" s="322" t="s">
        <v>29</v>
      </c>
      <c r="R82" s="323">
        <f t="shared" ca="1" si="22"/>
        <v>250087</v>
      </c>
      <c r="S82" s="323">
        <f t="shared" ca="1" si="22"/>
        <v>10003480</v>
      </c>
      <c r="T82" s="323">
        <f ca="1">보조원</f>
        <v>250087</v>
      </c>
      <c r="U82" s="323">
        <f t="shared" ca="1" si="23"/>
        <v>10003480</v>
      </c>
      <c r="V82" s="323"/>
      <c r="W82" s="323"/>
      <c r="X82" s="323"/>
      <c r="Y82" s="323"/>
      <c r="Z82" s="324"/>
    </row>
    <row r="83" spans="11:26" ht="18" customHeight="1"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43514655</v>
      </c>
      <c r="T83" s="71"/>
      <c r="U83" s="71">
        <f ca="1">SUBTOTAL(9,U77:U82)</f>
        <v>43514655</v>
      </c>
      <c r="V83" s="71"/>
      <c r="W83" s="71"/>
      <c r="X83" s="71"/>
      <c r="Y83" s="71"/>
      <c r="Z83" s="68"/>
    </row>
    <row r="84" spans="11:26" ht="18" customHeight="1">
      <c r="K84" s="171" t="s">
        <v>14</v>
      </c>
      <c r="L84" s="171"/>
      <c r="M84" s="171"/>
      <c r="N84" s="318" t="str">
        <f ca="1">"제 " &amp; Z84 &amp; " 호표  "&amp; OFFSET($A$1,MATCH(Z84,$A:$A,0)-1,1)</f>
        <v>제 6 호표  4.1 저탄소 녹색도시계획 시행 전략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6</v>
      </c>
    </row>
    <row r="85" spans="11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3</v>
      </c>
      <c r="Q85" s="141" t="s">
        <v>29</v>
      </c>
      <c r="R85" s="142">
        <f t="shared" ref="R85:S90" ca="1" si="24">T85</f>
        <v>467217</v>
      </c>
      <c r="S85" s="142">
        <f t="shared" ca="1" si="24"/>
        <v>1401651</v>
      </c>
      <c r="T85" s="142">
        <f ca="1">기술사</f>
        <v>467217</v>
      </c>
      <c r="U85" s="142">
        <f t="shared" ref="U85:U90" ca="1" si="25">ROUNDDOWN(P85*R85,0)</f>
        <v>1401651</v>
      </c>
      <c r="V85" s="142"/>
      <c r="W85" s="142"/>
      <c r="X85" s="142"/>
      <c r="Y85" s="142"/>
      <c r="Z85" s="114"/>
    </row>
    <row r="86" spans="11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4</v>
      </c>
      <c r="Q86" s="144" t="s">
        <v>29</v>
      </c>
      <c r="R86" s="118">
        <f t="shared" ca="1" si="24"/>
        <v>373353</v>
      </c>
      <c r="S86" s="118">
        <f t="shared" ca="1" si="24"/>
        <v>1493412</v>
      </c>
      <c r="T86" s="118">
        <f ca="1">특급</f>
        <v>373353</v>
      </c>
      <c r="U86" s="118">
        <f t="shared" ca="1" si="25"/>
        <v>1493412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9</v>
      </c>
      <c r="Q87" s="144" t="s">
        <v>29</v>
      </c>
      <c r="R87" s="118">
        <f t="shared" ca="1" si="24"/>
        <v>310884</v>
      </c>
      <c r="S87" s="118">
        <f t="shared" ca="1" si="24"/>
        <v>2797956</v>
      </c>
      <c r="T87" s="118">
        <f ca="1">고급</f>
        <v>310884</v>
      </c>
      <c r="U87" s="118">
        <f t="shared" ca="1" si="25"/>
        <v>2797956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16</v>
      </c>
      <c r="Q88" s="144" t="s">
        <v>29</v>
      </c>
      <c r="R88" s="118">
        <f t="shared" ca="1" si="24"/>
        <v>295138</v>
      </c>
      <c r="S88" s="118">
        <f t="shared" ca="1" si="24"/>
        <v>4722208</v>
      </c>
      <c r="T88" s="118">
        <f ca="1">중급</f>
        <v>295138</v>
      </c>
      <c r="U88" s="118">
        <f t="shared" ca="1" si="25"/>
        <v>4722208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21</v>
      </c>
      <c r="Q89" s="144" t="s">
        <v>29</v>
      </c>
      <c r="R89" s="118">
        <f t="shared" ca="1" si="24"/>
        <v>235459</v>
      </c>
      <c r="S89" s="118">
        <f t="shared" ca="1" si="24"/>
        <v>4944639</v>
      </c>
      <c r="T89" s="118">
        <f ca="1">초급</f>
        <v>235459</v>
      </c>
      <c r="U89" s="118">
        <f t="shared" ca="1" si="25"/>
        <v>4944639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30</v>
      </c>
      <c r="Q90" s="322" t="s">
        <v>29</v>
      </c>
      <c r="R90" s="323">
        <f t="shared" ca="1" si="24"/>
        <v>250087</v>
      </c>
      <c r="S90" s="323">
        <f t="shared" ca="1" si="24"/>
        <v>7502610</v>
      </c>
      <c r="T90" s="323">
        <f ca="1">보조원</f>
        <v>250087</v>
      </c>
      <c r="U90" s="323">
        <f t="shared" ca="1" si="25"/>
        <v>7502610</v>
      </c>
      <c r="V90" s="323"/>
      <c r="W90" s="323"/>
      <c r="X90" s="323"/>
      <c r="Y90" s="323"/>
      <c r="Z90" s="324"/>
    </row>
    <row r="91" spans="11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22862476</v>
      </c>
      <c r="T91" s="71"/>
      <c r="U91" s="71">
        <f ca="1">SUBTOTAL(9,U85:U90)</f>
        <v>22862476</v>
      </c>
      <c r="V91" s="71"/>
      <c r="W91" s="71"/>
      <c r="X91" s="71"/>
      <c r="Y91" s="71"/>
      <c r="Z91" s="68"/>
    </row>
    <row r="92" spans="11:26" ht="18" customHeight="1">
      <c r="K92" s="171" t="s">
        <v>14</v>
      </c>
      <c r="L92" s="171"/>
      <c r="M92" s="171"/>
      <c r="N92" s="318" t="str">
        <f ca="1">"제 " &amp; Z92 &amp; " 호표  "&amp; OFFSET($A$1,MATCH(Z92,$A:$A,0)-1,1)</f>
        <v>제 7 호표  5.1 보고서작성 및 편집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7</v>
      </c>
    </row>
    <row r="93" spans="1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1</v>
      </c>
      <c r="Q93" s="141" t="s">
        <v>29</v>
      </c>
      <c r="R93" s="142">
        <f t="shared" ref="R93:S98" ca="1" si="26">T93</f>
        <v>467217</v>
      </c>
      <c r="S93" s="142">
        <f t="shared" ca="1" si="26"/>
        <v>467217</v>
      </c>
      <c r="T93" s="142">
        <f ca="1">기술사</f>
        <v>467217</v>
      </c>
      <c r="U93" s="142">
        <f t="shared" ref="U93:U98" ca="1" si="27">ROUNDDOWN(P93*R93,0)</f>
        <v>467217</v>
      </c>
      <c r="V93" s="142"/>
      <c r="W93" s="142"/>
      <c r="X93" s="142"/>
      <c r="Y93" s="142"/>
      <c r="Z93" s="114"/>
    </row>
    <row r="94" spans="1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1.5</v>
      </c>
      <c r="Q94" s="144" t="s">
        <v>29</v>
      </c>
      <c r="R94" s="118">
        <f t="shared" ca="1" si="26"/>
        <v>373353</v>
      </c>
      <c r="S94" s="118">
        <f t="shared" ca="1" si="26"/>
        <v>560029</v>
      </c>
      <c r="T94" s="118">
        <f ca="1">특급</f>
        <v>373353</v>
      </c>
      <c r="U94" s="118">
        <f t="shared" ca="1" si="27"/>
        <v>560029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3.5</v>
      </c>
      <c r="Q95" s="144" t="s">
        <v>29</v>
      </c>
      <c r="R95" s="118">
        <f t="shared" ca="1" si="26"/>
        <v>310884</v>
      </c>
      <c r="S95" s="118">
        <f t="shared" ca="1" si="26"/>
        <v>1088094</v>
      </c>
      <c r="T95" s="118">
        <f ca="1">고급</f>
        <v>310884</v>
      </c>
      <c r="U95" s="118">
        <f t="shared" ca="1" si="27"/>
        <v>1088094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6</v>
      </c>
      <c r="Q96" s="144" t="s">
        <v>29</v>
      </c>
      <c r="R96" s="118">
        <f t="shared" ca="1" si="26"/>
        <v>295138</v>
      </c>
      <c r="S96" s="118">
        <f t="shared" ca="1" si="26"/>
        <v>1770828</v>
      </c>
      <c r="T96" s="118">
        <f ca="1">중급</f>
        <v>295138</v>
      </c>
      <c r="U96" s="118">
        <f t="shared" ca="1" si="27"/>
        <v>1770828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7.5</v>
      </c>
      <c r="Q97" s="144" t="s">
        <v>29</v>
      </c>
      <c r="R97" s="118">
        <f t="shared" ca="1" si="26"/>
        <v>235459</v>
      </c>
      <c r="S97" s="118">
        <f t="shared" ca="1" si="26"/>
        <v>1765942</v>
      </c>
      <c r="T97" s="118">
        <f ca="1">초급</f>
        <v>235459</v>
      </c>
      <c r="U97" s="118">
        <f t="shared" ca="1" si="27"/>
        <v>1765942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7.5</v>
      </c>
      <c r="Q98" s="322" t="s">
        <v>29</v>
      </c>
      <c r="R98" s="323">
        <f t="shared" ca="1" si="26"/>
        <v>250087</v>
      </c>
      <c r="S98" s="323">
        <f t="shared" ca="1" si="26"/>
        <v>1875652</v>
      </c>
      <c r="T98" s="323">
        <f ca="1">보조원</f>
        <v>250087</v>
      </c>
      <c r="U98" s="323">
        <f t="shared" ca="1" si="27"/>
        <v>1875652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7527762</v>
      </c>
      <c r="T99" s="71"/>
      <c r="U99" s="71">
        <f ca="1">SUBTOTAL(9,U93:U98)</f>
        <v>7527762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8 호표  5-2. 관련도서작성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8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1</v>
      </c>
      <c r="Q101" s="141" t="s">
        <v>29</v>
      </c>
      <c r="R101" s="142">
        <f t="shared" ref="R101:S106" ca="1" si="28">T101</f>
        <v>467217</v>
      </c>
      <c r="S101" s="142">
        <f t="shared" ca="1" si="28"/>
        <v>467217</v>
      </c>
      <c r="T101" s="142">
        <f ca="1">기술사</f>
        <v>467217</v>
      </c>
      <c r="U101" s="142">
        <f t="shared" ref="U101:U106" ca="1" si="29">ROUNDDOWN(P101*R101,0)</f>
        <v>467217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1.5</v>
      </c>
      <c r="Q102" s="144" t="s">
        <v>29</v>
      </c>
      <c r="R102" s="118">
        <f t="shared" ca="1" si="28"/>
        <v>373353</v>
      </c>
      <c r="S102" s="118">
        <f t="shared" ca="1" si="28"/>
        <v>560029</v>
      </c>
      <c r="T102" s="118">
        <f ca="1">특급</f>
        <v>373353</v>
      </c>
      <c r="U102" s="118">
        <f t="shared" ca="1" si="29"/>
        <v>560029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3.5</v>
      </c>
      <c r="Q103" s="144" t="s">
        <v>29</v>
      </c>
      <c r="R103" s="118">
        <f t="shared" ca="1" si="28"/>
        <v>310884</v>
      </c>
      <c r="S103" s="118">
        <f t="shared" ca="1" si="28"/>
        <v>1088094</v>
      </c>
      <c r="T103" s="118">
        <f ca="1">고급</f>
        <v>310884</v>
      </c>
      <c r="U103" s="118">
        <f t="shared" ca="1" si="29"/>
        <v>1088094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6</v>
      </c>
      <c r="Q104" s="144" t="s">
        <v>29</v>
      </c>
      <c r="R104" s="118">
        <f t="shared" ca="1" si="28"/>
        <v>295138</v>
      </c>
      <c r="S104" s="118">
        <f t="shared" ca="1" si="28"/>
        <v>1770828</v>
      </c>
      <c r="T104" s="118">
        <f ca="1">중급</f>
        <v>295138</v>
      </c>
      <c r="U104" s="118">
        <f t="shared" ca="1" si="29"/>
        <v>1770828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7.5</v>
      </c>
      <c r="Q105" s="144" t="s">
        <v>29</v>
      </c>
      <c r="R105" s="118">
        <f t="shared" ca="1" si="28"/>
        <v>235459</v>
      </c>
      <c r="S105" s="118">
        <f t="shared" ca="1" si="28"/>
        <v>1765942</v>
      </c>
      <c r="T105" s="118">
        <f ca="1">초급</f>
        <v>235459</v>
      </c>
      <c r="U105" s="118">
        <f t="shared" ca="1" si="29"/>
        <v>1765942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7.5</v>
      </c>
      <c r="Q106" s="322" t="s">
        <v>29</v>
      </c>
      <c r="R106" s="323">
        <f t="shared" ca="1" si="28"/>
        <v>250087</v>
      </c>
      <c r="S106" s="323">
        <f t="shared" ca="1" si="28"/>
        <v>1875652</v>
      </c>
      <c r="T106" s="323">
        <f ca="1">보조원</f>
        <v>250087</v>
      </c>
      <c r="U106" s="323">
        <f t="shared" ca="1" si="29"/>
        <v>1875652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7527762</v>
      </c>
      <c r="T107" s="71"/>
      <c r="U107" s="71">
        <f ca="1">SUBTOTAL(9,U101:U106)</f>
        <v>7527762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9 호표  6-1. 공청회/주민설명회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9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2</v>
      </c>
      <c r="Q109" s="141" t="s">
        <v>29</v>
      </c>
      <c r="R109" s="142">
        <f t="shared" ref="R109:S114" ca="1" si="30">T109</f>
        <v>467217</v>
      </c>
      <c r="S109" s="142">
        <f t="shared" ca="1" si="30"/>
        <v>934434</v>
      </c>
      <c r="T109" s="142">
        <f ca="1">기술사</f>
        <v>467217</v>
      </c>
      <c r="U109" s="142">
        <f t="shared" ref="U109:U114" ca="1" si="31">ROUNDDOWN(P109*R109,0)</f>
        <v>934434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2</v>
      </c>
      <c r="Q110" s="144" t="s">
        <v>29</v>
      </c>
      <c r="R110" s="118">
        <f t="shared" ca="1" si="30"/>
        <v>373353</v>
      </c>
      <c r="S110" s="118">
        <f t="shared" ca="1" si="30"/>
        <v>746706</v>
      </c>
      <c r="T110" s="118">
        <f ca="1">특급</f>
        <v>373353</v>
      </c>
      <c r="U110" s="118">
        <f t="shared" ca="1" si="31"/>
        <v>746706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2</v>
      </c>
      <c r="Q111" s="144" t="s">
        <v>29</v>
      </c>
      <c r="R111" s="118">
        <f t="shared" ca="1" si="30"/>
        <v>310884</v>
      </c>
      <c r="S111" s="118">
        <f t="shared" ca="1" si="30"/>
        <v>621768</v>
      </c>
      <c r="T111" s="118">
        <f ca="1">고급</f>
        <v>310884</v>
      </c>
      <c r="U111" s="118">
        <f t="shared" ca="1" si="31"/>
        <v>621768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4</v>
      </c>
      <c r="Q112" s="144" t="s">
        <v>29</v>
      </c>
      <c r="R112" s="118">
        <f t="shared" ca="1" si="30"/>
        <v>295138</v>
      </c>
      <c r="S112" s="118">
        <f t="shared" ca="1" si="30"/>
        <v>1180552</v>
      </c>
      <c r="T112" s="118">
        <f ca="1">중급</f>
        <v>295138</v>
      </c>
      <c r="U112" s="118">
        <f t="shared" ca="1" si="31"/>
        <v>1180552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4</v>
      </c>
      <c r="Q113" s="144" t="s">
        <v>29</v>
      </c>
      <c r="R113" s="118">
        <f t="shared" ca="1" si="30"/>
        <v>235459</v>
      </c>
      <c r="S113" s="118">
        <f t="shared" ca="1" si="30"/>
        <v>941836</v>
      </c>
      <c r="T113" s="118">
        <f ca="1">초급</f>
        <v>235459</v>
      </c>
      <c r="U113" s="118">
        <f t="shared" ca="1" si="31"/>
        <v>941836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4</v>
      </c>
      <c r="Q114" s="322" t="s">
        <v>29</v>
      </c>
      <c r="R114" s="323">
        <f t="shared" ca="1" si="30"/>
        <v>250087</v>
      </c>
      <c r="S114" s="323">
        <f t="shared" ca="1" si="30"/>
        <v>1000348</v>
      </c>
      <c r="T114" s="323">
        <f ca="1">보조원</f>
        <v>250087</v>
      </c>
      <c r="U114" s="323">
        <f t="shared" ca="1" si="31"/>
        <v>1000348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5425644</v>
      </c>
      <c r="T115" s="71"/>
      <c r="U115" s="71">
        <f ca="1">SUBTOTAL(9,U109:U114)</f>
        <v>5425644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10 호표  6-2. 주민간담회/시민계획단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10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2</v>
      </c>
      <c r="Q117" s="141" t="s">
        <v>29</v>
      </c>
      <c r="R117" s="142">
        <f t="shared" ref="R117:S122" ca="1" si="32">T117</f>
        <v>467217</v>
      </c>
      <c r="S117" s="142">
        <f t="shared" ca="1" si="32"/>
        <v>934434</v>
      </c>
      <c r="T117" s="142">
        <f ca="1">기술사</f>
        <v>467217</v>
      </c>
      <c r="U117" s="142">
        <f t="shared" ref="U117:U122" ca="1" si="33">ROUNDDOWN(P117*R117,0)</f>
        <v>934434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2</v>
      </c>
      <c r="Q118" s="144" t="s">
        <v>29</v>
      </c>
      <c r="R118" s="118">
        <f t="shared" ca="1" si="32"/>
        <v>373353</v>
      </c>
      <c r="S118" s="118">
        <f t="shared" ca="1" si="32"/>
        <v>746706</v>
      </c>
      <c r="T118" s="118">
        <f ca="1">특급</f>
        <v>373353</v>
      </c>
      <c r="U118" s="118">
        <f t="shared" ca="1" si="33"/>
        <v>746706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2</v>
      </c>
      <c r="Q119" s="144" t="s">
        <v>29</v>
      </c>
      <c r="R119" s="118">
        <f t="shared" ca="1" si="32"/>
        <v>310884</v>
      </c>
      <c r="S119" s="118">
        <f t="shared" ca="1" si="32"/>
        <v>621768</v>
      </c>
      <c r="T119" s="118">
        <f ca="1">고급</f>
        <v>310884</v>
      </c>
      <c r="U119" s="118">
        <f t="shared" ca="1" si="33"/>
        <v>621768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4</v>
      </c>
      <c r="Q120" s="144" t="s">
        <v>29</v>
      </c>
      <c r="R120" s="118">
        <f t="shared" ca="1" si="32"/>
        <v>295138</v>
      </c>
      <c r="S120" s="118">
        <f t="shared" ca="1" si="32"/>
        <v>1180552</v>
      </c>
      <c r="T120" s="118">
        <f ca="1">중급</f>
        <v>295138</v>
      </c>
      <c r="U120" s="118">
        <f t="shared" ca="1" si="33"/>
        <v>1180552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4</v>
      </c>
      <c r="Q121" s="144" t="s">
        <v>29</v>
      </c>
      <c r="R121" s="118">
        <f t="shared" ca="1" si="32"/>
        <v>235459</v>
      </c>
      <c r="S121" s="118">
        <f t="shared" ca="1" si="32"/>
        <v>941836</v>
      </c>
      <c r="T121" s="118">
        <f ca="1">초급</f>
        <v>235459</v>
      </c>
      <c r="U121" s="118">
        <f t="shared" ca="1" si="33"/>
        <v>941836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4</v>
      </c>
      <c r="Q122" s="322" t="s">
        <v>29</v>
      </c>
      <c r="R122" s="323">
        <f t="shared" ca="1" si="32"/>
        <v>250087</v>
      </c>
      <c r="S122" s="323">
        <f t="shared" ca="1" si="32"/>
        <v>1000348</v>
      </c>
      <c r="T122" s="323">
        <f ca="1">보조원</f>
        <v>250087</v>
      </c>
      <c r="U122" s="323">
        <f t="shared" ca="1" si="33"/>
        <v>1000348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5425644</v>
      </c>
      <c r="T123" s="71"/>
      <c r="U123" s="71">
        <f ca="1">SUBTOTAL(9,U117:U122)</f>
        <v>5425644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11 호표  6-3. 위원회심의 지원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11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2</v>
      </c>
      <c r="Q125" s="141" t="s">
        <v>29</v>
      </c>
      <c r="R125" s="142">
        <f t="shared" ref="R125:R130" ca="1" si="34">T125</f>
        <v>467217</v>
      </c>
      <c r="S125" s="142">
        <f t="shared" ref="S125:S130" ca="1" si="35">U125</f>
        <v>934434</v>
      </c>
      <c r="T125" s="142">
        <f ca="1">기술사</f>
        <v>467217</v>
      </c>
      <c r="U125" s="142">
        <f t="shared" ref="U125:U130" ca="1" si="36">ROUNDDOWN(P125*R125,0)</f>
        <v>934434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2</v>
      </c>
      <c r="Q126" s="144" t="s">
        <v>29</v>
      </c>
      <c r="R126" s="118">
        <f t="shared" ca="1" si="34"/>
        <v>373353</v>
      </c>
      <c r="S126" s="118">
        <f t="shared" ca="1" si="35"/>
        <v>746706</v>
      </c>
      <c r="T126" s="118">
        <f ca="1">특급</f>
        <v>373353</v>
      </c>
      <c r="U126" s="118">
        <f t="shared" ca="1" si="36"/>
        <v>746706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2</v>
      </c>
      <c r="Q127" s="144" t="s">
        <v>29</v>
      </c>
      <c r="R127" s="118">
        <f t="shared" ca="1" si="34"/>
        <v>310884</v>
      </c>
      <c r="S127" s="118">
        <f t="shared" ca="1" si="35"/>
        <v>621768</v>
      </c>
      <c r="T127" s="118">
        <f ca="1">고급</f>
        <v>310884</v>
      </c>
      <c r="U127" s="118">
        <f t="shared" ca="1" si="36"/>
        <v>621768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4</v>
      </c>
      <c r="Q128" s="144" t="s">
        <v>29</v>
      </c>
      <c r="R128" s="118">
        <f t="shared" ca="1" si="34"/>
        <v>295138</v>
      </c>
      <c r="S128" s="118">
        <f t="shared" ca="1" si="35"/>
        <v>1180552</v>
      </c>
      <c r="T128" s="118">
        <f ca="1">중급</f>
        <v>295138</v>
      </c>
      <c r="U128" s="118">
        <f t="shared" ca="1" si="36"/>
        <v>1180552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4</v>
      </c>
      <c r="Q129" s="144" t="s">
        <v>29</v>
      </c>
      <c r="R129" s="118">
        <f t="shared" ca="1" si="34"/>
        <v>235459</v>
      </c>
      <c r="S129" s="118">
        <f t="shared" ca="1" si="35"/>
        <v>941836</v>
      </c>
      <c r="T129" s="118">
        <f ca="1">초급</f>
        <v>235459</v>
      </c>
      <c r="U129" s="118">
        <f t="shared" ca="1" si="36"/>
        <v>941836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4</v>
      </c>
      <c r="Q130" s="322" t="s">
        <v>29</v>
      </c>
      <c r="R130" s="323">
        <f t="shared" ca="1" si="34"/>
        <v>250087</v>
      </c>
      <c r="S130" s="323">
        <f t="shared" ca="1" si="35"/>
        <v>1000348</v>
      </c>
      <c r="T130" s="323">
        <f ca="1">보조원</f>
        <v>250087</v>
      </c>
      <c r="U130" s="323">
        <f t="shared" ca="1" si="36"/>
        <v>1000348</v>
      </c>
      <c r="V130" s="323"/>
      <c r="W130" s="323"/>
      <c r="X130" s="323"/>
      <c r="Y130" s="323"/>
      <c r="Z130" s="324"/>
    </row>
    <row r="131" spans="11:29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5425644</v>
      </c>
      <c r="T131" s="71"/>
      <c r="U131" s="71">
        <f ca="1">SUBTOTAL(9,U125:U130)</f>
        <v>5425644</v>
      </c>
      <c r="V131" s="71"/>
      <c r="W131" s="71"/>
      <c r="X131" s="71"/>
      <c r="Y131" s="71"/>
      <c r="Z131" s="68"/>
    </row>
    <row r="132" spans="11:29" ht="18" customHeight="1">
      <c r="K132" s="171" t="s">
        <v>14</v>
      </c>
      <c r="L132" s="171"/>
      <c r="M132" s="171"/>
      <c r="N132" s="318" t="str">
        <f ca="1">"제 " &amp; Z132 &amp; " 호표  "&amp; OFFSET($A$1,MATCH(Z132,$A:$A,0)-1,1)</f>
        <v>제 12 호표  6-4. 관계기관 협의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12</v>
      </c>
    </row>
    <row r="133" spans="11:29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2</v>
      </c>
      <c r="Q133" s="141" t="s">
        <v>29</v>
      </c>
      <c r="R133" s="142">
        <f t="shared" ref="R133:R138" ca="1" si="37">T133</f>
        <v>467217</v>
      </c>
      <c r="S133" s="142">
        <f t="shared" ref="S133:S138" ca="1" si="38">U133</f>
        <v>934434</v>
      </c>
      <c r="T133" s="142">
        <f ca="1">기술사</f>
        <v>467217</v>
      </c>
      <c r="U133" s="142">
        <f t="shared" ref="U133:U138" ca="1" si="39">ROUNDDOWN(P133*R133,0)</f>
        <v>934434</v>
      </c>
      <c r="V133" s="142"/>
      <c r="W133" s="142"/>
      <c r="X133" s="142"/>
      <c r="Y133" s="142"/>
      <c r="Z133" s="114"/>
    </row>
    <row r="134" spans="11:29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2</v>
      </c>
      <c r="Q134" s="144" t="s">
        <v>29</v>
      </c>
      <c r="R134" s="118">
        <f t="shared" ca="1" si="37"/>
        <v>373353</v>
      </c>
      <c r="S134" s="118">
        <f t="shared" ca="1" si="38"/>
        <v>746706</v>
      </c>
      <c r="T134" s="118">
        <f ca="1">특급</f>
        <v>373353</v>
      </c>
      <c r="U134" s="118">
        <f t="shared" ca="1" si="39"/>
        <v>746706</v>
      </c>
      <c r="V134" s="118"/>
      <c r="W134" s="118"/>
      <c r="X134" s="118"/>
      <c r="Y134" s="118"/>
      <c r="Z134" s="115"/>
      <c r="AA134" s="171"/>
    </row>
    <row r="135" spans="11:29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2</v>
      </c>
      <c r="Q135" s="144" t="s">
        <v>29</v>
      </c>
      <c r="R135" s="118">
        <f t="shared" ca="1" si="37"/>
        <v>310884</v>
      </c>
      <c r="S135" s="118">
        <f t="shared" ca="1" si="38"/>
        <v>621768</v>
      </c>
      <c r="T135" s="118">
        <f ca="1">고급</f>
        <v>310884</v>
      </c>
      <c r="U135" s="118">
        <f t="shared" ca="1" si="39"/>
        <v>621768</v>
      </c>
      <c r="V135" s="118"/>
      <c r="W135" s="118"/>
      <c r="X135" s="118"/>
      <c r="Y135" s="118"/>
      <c r="Z135" s="115"/>
      <c r="AA135" s="171"/>
    </row>
    <row r="136" spans="11:29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4</v>
      </c>
      <c r="Q136" s="144" t="s">
        <v>29</v>
      </c>
      <c r="R136" s="118">
        <f t="shared" ca="1" si="37"/>
        <v>295138</v>
      </c>
      <c r="S136" s="118">
        <f t="shared" ca="1" si="38"/>
        <v>1180552</v>
      </c>
      <c r="T136" s="118">
        <f ca="1">중급</f>
        <v>295138</v>
      </c>
      <c r="U136" s="118">
        <f t="shared" ca="1" si="39"/>
        <v>1180552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4</v>
      </c>
      <c r="Q137" s="144" t="s">
        <v>29</v>
      </c>
      <c r="R137" s="118">
        <f t="shared" ca="1" si="37"/>
        <v>235459</v>
      </c>
      <c r="S137" s="118">
        <f t="shared" ca="1" si="38"/>
        <v>941836</v>
      </c>
      <c r="T137" s="118">
        <f ca="1">초급</f>
        <v>235459</v>
      </c>
      <c r="U137" s="118">
        <f t="shared" ca="1" si="39"/>
        <v>941836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4</v>
      </c>
      <c r="Q138" s="322" t="s">
        <v>29</v>
      </c>
      <c r="R138" s="323">
        <f t="shared" ca="1" si="37"/>
        <v>250087</v>
      </c>
      <c r="S138" s="323">
        <f t="shared" ca="1" si="38"/>
        <v>1000348</v>
      </c>
      <c r="T138" s="323">
        <f ca="1">보조원</f>
        <v>250087</v>
      </c>
      <c r="U138" s="323">
        <f t="shared" ca="1" si="39"/>
        <v>1000348</v>
      </c>
      <c r="V138" s="323"/>
      <c r="W138" s="323"/>
      <c r="X138" s="323"/>
      <c r="Y138" s="323"/>
      <c r="Z138" s="324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5425644</v>
      </c>
      <c r="T139" s="71"/>
      <c r="U139" s="71">
        <f ca="1">SUBTOTAL(9,U133:U138)</f>
        <v>5425644</v>
      </c>
      <c r="V139" s="71"/>
      <c r="W139" s="71"/>
      <c r="X139" s="71"/>
      <c r="Y139" s="71"/>
      <c r="Z139" s="68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AB162" s="171"/>
      <c r="AC162" s="171"/>
    </row>
    <row r="163" spans="11:29" ht="18" customHeight="1">
      <c r="K163" s="171" t="s">
        <v>14</v>
      </c>
      <c r="L163" s="171"/>
      <c r="M163" s="171"/>
      <c r="AB163" s="171"/>
      <c r="AC163" s="171"/>
    </row>
    <row r="164" spans="11:29" ht="18" customHeight="1">
      <c r="K164" s="171" t="s">
        <v>14</v>
      </c>
      <c r="L164" s="171"/>
      <c r="M164" s="171"/>
    </row>
    <row r="165" spans="11:29" ht="18" customHeight="1">
      <c r="K165" s="171" t="s">
        <v>14</v>
      </c>
      <c r="L165" s="171"/>
      <c r="M165" s="171"/>
    </row>
    <row r="166" spans="11:29" ht="18" customHeight="1">
      <c r="K166" s="171" t="s">
        <v>14</v>
      </c>
      <c r="L166" s="171"/>
      <c r="M166" s="171"/>
    </row>
    <row r="167" spans="11:29" ht="18" customHeight="1">
      <c r="K167" s="171" t="s">
        <v>14</v>
      </c>
      <c r="L167" s="171"/>
      <c r="M167" s="171"/>
    </row>
    <row r="168" spans="11:29" ht="18" customHeight="1">
      <c r="K168" s="171" t="s">
        <v>14</v>
      </c>
      <c r="L168" s="171"/>
      <c r="M168" s="171"/>
    </row>
    <row r="169" spans="11:29" ht="18" customHeight="1">
      <c r="K169" s="171" t="s">
        <v>14</v>
      </c>
      <c r="L169" s="171"/>
      <c r="M169" s="171"/>
    </row>
    <row r="170" spans="11:29" ht="18" customHeight="1">
      <c r="K170" s="171" t="s">
        <v>14</v>
      </c>
      <c r="L170" s="171"/>
      <c r="M170" s="171"/>
    </row>
    <row r="171" spans="11:29" ht="18" customHeight="1">
      <c r="K171" s="171" t="s">
        <v>14</v>
      </c>
      <c r="L171" s="171"/>
      <c r="M171" s="171"/>
    </row>
    <row r="172" spans="11:29" ht="18" customHeight="1">
      <c r="K172" s="171" t="s">
        <v>14</v>
      </c>
      <c r="L172" s="171"/>
      <c r="M172" s="171"/>
    </row>
    <row r="173" spans="11:29" ht="18" customHeight="1">
      <c r="K173" s="171" t="s">
        <v>14</v>
      </c>
      <c r="L173" s="171"/>
      <c r="M173" s="171"/>
    </row>
    <row r="174" spans="11:29" ht="18" customHeight="1">
      <c r="K174" s="171" t="s">
        <v>14</v>
      </c>
      <c r="L174" s="171"/>
      <c r="M174" s="171"/>
    </row>
    <row r="175" spans="11:29" ht="18" customHeight="1">
      <c r="K175" s="171" t="s">
        <v>14</v>
      </c>
      <c r="L175" s="171"/>
      <c r="M175" s="171"/>
    </row>
    <row r="176" spans="11:29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</sheetData>
  <mergeCells count="18">
    <mergeCell ref="P42:P43"/>
    <mergeCell ref="Q42:Q43"/>
    <mergeCell ref="Z42:Z43"/>
    <mergeCell ref="J45:J49"/>
    <mergeCell ref="B11:C12"/>
    <mergeCell ref="J11:J12"/>
    <mergeCell ref="L11:L12"/>
    <mergeCell ref="N42:N43"/>
    <mergeCell ref="O42:O43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3:V31">
    <cfRule type="cellIs" dxfId="6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59">
    <tabColor rgb="FFFFFF00"/>
    <pageSetUpPr fitToPage="1"/>
  </sheetPr>
  <dimension ref="A1:Z841"/>
  <sheetViews>
    <sheetView showGridLines="0" zoomScale="85" zoomScaleNormal="85" zoomScaleSheetLayoutView="75" workbookViewId="0">
      <selection activeCell="B3" sqref="B3:C3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439</v>
      </c>
    </row>
    <row r="2" spans="1:26" ht="19.5" thickBot="1">
      <c r="B2" s="66" t="s">
        <v>1</v>
      </c>
    </row>
    <row r="3" spans="1:26" ht="19.5" customHeight="1" thickBot="1">
      <c r="B3" s="773" t="s">
        <v>431</v>
      </c>
      <c r="C3" s="774"/>
      <c r="D3" s="775">
        <v>10</v>
      </c>
      <c r="E3" s="776"/>
      <c r="F3" s="316" t="s">
        <v>53</v>
      </c>
      <c r="G3" s="364" t="s">
        <v>1551</v>
      </c>
      <c r="H3" s="365"/>
      <c r="I3" s="691">
        <v>2</v>
      </c>
      <c r="J3" s="689">
        <f>CHOOSE(I3,1,1.25,1.5,1)</f>
        <v>1.25</v>
      </c>
      <c r="R3" s="690" t="s">
        <v>1552</v>
      </c>
    </row>
    <row r="4" spans="1:26" ht="21.75" customHeight="1" thickTop="1">
      <c r="B4" s="777" t="s">
        <v>1550</v>
      </c>
      <c r="C4" s="778"/>
      <c r="D4" s="779">
        <v>99</v>
      </c>
      <c r="E4" s="780"/>
      <c r="F4" s="359" t="str">
        <f>F3</f>
        <v>만㎡</v>
      </c>
      <c r="G4" s="767" t="s">
        <v>1104</v>
      </c>
      <c r="H4" s="768"/>
      <c r="I4" s="656">
        <v>2</v>
      </c>
      <c r="J4" s="669" t="s">
        <v>1512</v>
      </c>
      <c r="R4" s="690" t="s">
        <v>1553</v>
      </c>
    </row>
    <row r="5" spans="1:26" ht="24" customHeight="1">
      <c r="B5" s="777" t="s">
        <v>95</v>
      </c>
      <c r="C5" s="814"/>
      <c r="D5" s="815">
        <f>ROUND((IF(D4&lt;=3,3,D4)/D3)^0.6,3)</f>
        <v>3.9569999999999999</v>
      </c>
      <c r="E5" s="816"/>
      <c r="F5" s="148"/>
      <c r="G5" s="769" t="s">
        <v>1109</v>
      </c>
      <c r="H5" s="770"/>
      <c r="I5" s="298">
        <v>2</v>
      </c>
      <c r="J5" s="670" t="s">
        <v>794</v>
      </c>
      <c r="R5" s="690" t="s">
        <v>1554</v>
      </c>
    </row>
    <row r="6" spans="1:26" ht="23.25" customHeight="1" thickBot="1">
      <c r="B6" s="817" t="s">
        <v>434</v>
      </c>
      <c r="C6" s="818"/>
      <c r="D6" s="819">
        <f>J3</f>
        <v>1.25</v>
      </c>
      <c r="E6" s="802"/>
      <c r="F6" s="370">
        <v>3</v>
      </c>
      <c r="G6" s="771" t="s">
        <v>1102</v>
      </c>
      <c r="H6" s="772"/>
      <c r="I6" s="646">
        <f>ROUND(I5/I4,3)</f>
        <v>1</v>
      </c>
      <c r="J6" s="671"/>
      <c r="R6" s="690" t="s">
        <v>1555</v>
      </c>
    </row>
    <row r="7" spans="1:26" ht="18" customHeight="1">
      <c r="B7" s="9" t="s">
        <v>1556</v>
      </c>
      <c r="C7" s="9"/>
      <c r="D7" s="64"/>
      <c r="E7" s="64"/>
      <c r="G7" s="1" t="s">
        <v>1558</v>
      </c>
      <c r="R7" s="1"/>
      <c r="S7" s="1"/>
      <c r="T7" s="1"/>
    </row>
    <row r="8" spans="1:26" ht="18" customHeight="1">
      <c r="C8" s="1" t="s">
        <v>1557</v>
      </c>
      <c r="G8" s="36" t="s">
        <v>1559</v>
      </c>
      <c r="W8" s="1"/>
      <c r="X8" s="1"/>
    </row>
    <row r="9" spans="1:26" ht="18" customHeight="1">
      <c r="G9" s="36" t="s">
        <v>1605</v>
      </c>
      <c r="W9" s="188" t="s">
        <v>3</v>
      </c>
      <c r="X9" s="189"/>
    </row>
    <row r="10" spans="1:26" ht="18" customHeight="1">
      <c r="G10" s="36"/>
      <c r="W10" s="676"/>
      <c r="X10" s="676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SUBTOTAL(9,W13:W55)</f>
        <v>1525561418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SUBTOTAL(9,W14:W52)</f>
        <v>550955785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SUBTOTAL(9,W15:W47)</f>
        <v>542955785</v>
      </c>
      <c r="X14" s="256"/>
      <c r="Y14" s="220"/>
      <c r="Z14" s="220"/>
    </row>
    <row r="15" spans="1:26" ht="18" customHeight="1">
      <c r="A15" s="279"/>
      <c r="B15" s="222" t="s">
        <v>1515</v>
      </c>
      <c r="C15" s="47"/>
      <c r="D15" s="48">
        <f t="shared" ref="D15:I15" si="0">SUBTOTAL(9,D16:D24)</f>
        <v>1.1000000000000001</v>
      </c>
      <c r="E15" s="49">
        <f t="shared" si="0"/>
        <v>2.8999999999999995</v>
      </c>
      <c r="F15" s="49">
        <f t="shared" si="0"/>
        <v>6.1999999999999993</v>
      </c>
      <c r="G15" s="49">
        <f t="shared" si="0"/>
        <v>14.4</v>
      </c>
      <c r="H15" s="49">
        <f t="shared" si="0"/>
        <v>19.3</v>
      </c>
      <c r="I15" s="50">
        <f t="shared" si="0"/>
        <v>23.4</v>
      </c>
      <c r="J15" s="389"/>
      <c r="L15" s="232"/>
      <c r="N15" s="354" t="str">
        <f>B15</f>
        <v>1. 기초조사 및 여건분석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SUBTOTAL(9,W16:W24)</f>
        <v>89867326</v>
      </c>
      <c r="X15" s="194"/>
      <c r="Y15" s="170" t="str">
        <f t="shared" ref="Y15:Y42" si="1">IF(A49&gt;0, "제 " &amp;A49&amp; " 호표","")</f>
        <v/>
      </c>
      <c r="Z15" s="170"/>
    </row>
    <row r="16" spans="1:26" ht="18" customHeight="1">
      <c r="A16" s="279"/>
      <c r="B16" s="223" t="s">
        <v>1516</v>
      </c>
      <c r="C16" s="23"/>
      <c r="D16" s="197">
        <v>0.1</v>
      </c>
      <c r="E16" s="198">
        <v>0.2</v>
      </c>
      <c r="F16" s="198">
        <v>0.6</v>
      </c>
      <c r="G16" s="198">
        <v>1</v>
      </c>
      <c r="H16" s="198">
        <v>1.3</v>
      </c>
      <c r="I16" s="199">
        <v>2</v>
      </c>
      <c r="J16" s="389" t="s">
        <v>1602</v>
      </c>
      <c r="L16" s="233">
        <v>1</v>
      </c>
      <c r="N16" s="292" t="str">
        <f>B16</f>
        <v>1.1. 자연환경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SUM((ROUNDDOWN((D50:I50)*단가,0)))</f>
        <v>6970056</v>
      </c>
      <c r="X16" s="154"/>
      <c r="Y16" s="170" t="str">
        <f t="shared" si="1"/>
        <v>제 1 호표</v>
      </c>
      <c r="Z16" s="150"/>
    </row>
    <row r="17" spans="1:26" ht="18" customHeight="1">
      <c r="A17" s="279"/>
      <c r="B17" s="223" t="s">
        <v>1517</v>
      </c>
      <c r="C17" s="23"/>
      <c r="D17" s="197">
        <v>0.1</v>
      </c>
      <c r="E17" s="198">
        <v>0.2</v>
      </c>
      <c r="F17" s="198">
        <v>0.6</v>
      </c>
      <c r="G17" s="198">
        <v>1.5</v>
      </c>
      <c r="H17" s="198">
        <v>2.4</v>
      </c>
      <c r="I17" s="199">
        <v>2.5</v>
      </c>
      <c r="J17" s="389" t="s">
        <v>1549</v>
      </c>
      <c r="L17" s="233">
        <v>1</v>
      </c>
      <c r="N17" s="292" t="str">
        <f t="shared" ref="N17:N24" si="2">B17</f>
        <v>1.2. 인구 및 산업현황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SUM((ROUNDDOWN((D51:I51)*단가,0)))</f>
        <v>9599529</v>
      </c>
      <c r="X17" s="154"/>
      <c r="Y17" s="170" t="str">
        <f t="shared" si="1"/>
        <v>제 2 호표</v>
      </c>
      <c r="Z17" s="150"/>
    </row>
    <row r="18" spans="1:26" ht="18" customHeight="1">
      <c r="A18" s="279"/>
      <c r="B18" s="223" t="s">
        <v>1518</v>
      </c>
      <c r="C18" s="23"/>
      <c r="D18" s="197">
        <v>0.2</v>
      </c>
      <c r="E18" s="198">
        <v>0.5</v>
      </c>
      <c r="F18" s="198">
        <v>1.2</v>
      </c>
      <c r="G18" s="198">
        <v>2.2999999999999998</v>
      </c>
      <c r="H18" s="198">
        <v>3.6</v>
      </c>
      <c r="I18" s="199">
        <v>4.5999999999999996</v>
      </c>
      <c r="J18" s="389" t="s">
        <v>1549</v>
      </c>
      <c r="L18" s="233">
        <v>1</v>
      </c>
      <c r="N18" s="292" t="str">
        <f t="shared" si="2"/>
        <v>1.3. 토지소유 및 이용현황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SUM((ROUNDDOWN((D52:I52)*단가,0)))</f>
        <v>16470524</v>
      </c>
      <c r="X18" s="154"/>
      <c r="Y18" s="170" t="str">
        <f t="shared" si="1"/>
        <v>제 3 호표</v>
      </c>
      <c r="Z18" s="150"/>
    </row>
    <row r="19" spans="1:26" ht="18" customHeight="1">
      <c r="A19" s="279"/>
      <c r="B19" s="223" t="s">
        <v>1519</v>
      </c>
      <c r="C19" s="23"/>
      <c r="D19" s="197">
        <v>0.2</v>
      </c>
      <c r="E19" s="198">
        <v>0.5</v>
      </c>
      <c r="F19" s="198">
        <v>1.2</v>
      </c>
      <c r="G19" s="198">
        <v>3.2</v>
      </c>
      <c r="H19" s="198">
        <v>3.7</v>
      </c>
      <c r="I19" s="199">
        <v>4.4000000000000004</v>
      </c>
      <c r="J19" s="389" t="s">
        <v>1549</v>
      </c>
      <c r="L19" s="233">
        <v>1</v>
      </c>
      <c r="N19" s="292" t="str">
        <f t="shared" si="2"/>
        <v>1.4. 건축물 현황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SUM((ROUNDDOWN((D53:I53)*단가,0)))</f>
        <v>17653696</v>
      </c>
      <c r="X19" s="154"/>
      <c r="Y19" s="170" t="str">
        <f t="shared" si="1"/>
        <v>제 4 호표</v>
      </c>
      <c r="Z19" s="150"/>
    </row>
    <row r="20" spans="1:26" ht="18" customHeight="1">
      <c r="A20" s="279"/>
      <c r="B20" s="223" t="s">
        <v>1520</v>
      </c>
      <c r="C20" s="23"/>
      <c r="D20" s="197">
        <v>0.1</v>
      </c>
      <c r="E20" s="198">
        <v>0.3</v>
      </c>
      <c r="F20" s="198">
        <v>0.6</v>
      </c>
      <c r="G20" s="198">
        <v>1.8</v>
      </c>
      <c r="H20" s="198">
        <v>2.4</v>
      </c>
      <c r="I20" s="199">
        <v>3.4</v>
      </c>
      <c r="J20" s="389" t="s">
        <v>1549</v>
      </c>
      <c r="L20" s="233">
        <v>1</v>
      </c>
      <c r="N20" s="292" t="str">
        <f t="shared" si="2"/>
        <v>1.5. 교통현황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SUM((ROUNDDOWN((D54:I54)*단가,0)))</f>
        <v>11335338</v>
      </c>
      <c r="X20" s="154"/>
      <c r="Y20" s="170" t="str">
        <f t="shared" si="1"/>
        <v>제 5 호표</v>
      </c>
      <c r="Z20" s="150"/>
    </row>
    <row r="21" spans="1:26" ht="18" customHeight="1">
      <c r="A21" s="279"/>
      <c r="B21" s="223" t="s">
        <v>1521</v>
      </c>
      <c r="C21" s="23"/>
      <c r="D21" s="197">
        <v>0.1</v>
      </c>
      <c r="E21" s="198">
        <v>0.3</v>
      </c>
      <c r="F21" s="198">
        <v>0.4</v>
      </c>
      <c r="G21" s="198">
        <v>1.1000000000000001</v>
      </c>
      <c r="H21" s="198">
        <v>1.5</v>
      </c>
      <c r="I21" s="199">
        <v>2.5</v>
      </c>
      <c r="J21" s="389" t="s">
        <v>1549</v>
      </c>
      <c r="L21" s="233">
        <v>1</v>
      </c>
      <c r="N21" s="292" t="str">
        <f t="shared" si="2"/>
        <v>1.6. 기반시설현황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SUM((ROUNDDOWN((D55:I55)*단가,0)))</f>
        <v>7844160</v>
      </c>
      <c r="X21" s="154"/>
      <c r="Y21" s="170" t="str">
        <f t="shared" si="1"/>
        <v>제 6 호표</v>
      </c>
      <c r="Z21" s="150"/>
    </row>
    <row r="22" spans="1:26" ht="18" customHeight="1">
      <c r="A22" s="279"/>
      <c r="B22" s="223" t="s">
        <v>1522</v>
      </c>
      <c r="C22" s="23"/>
      <c r="D22" s="197">
        <v>0.1</v>
      </c>
      <c r="E22" s="198">
        <v>0.3</v>
      </c>
      <c r="F22" s="198">
        <v>0.4</v>
      </c>
      <c r="G22" s="198">
        <v>1.3</v>
      </c>
      <c r="H22" s="198">
        <v>1.8</v>
      </c>
      <c r="I22" s="199">
        <v>1.9</v>
      </c>
      <c r="J22" s="389" t="s">
        <v>1549</v>
      </c>
      <c r="L22" s="233">
        <v>1</v>
      </c>
      <c r="N22" s="292" t="str">
        <f t="shared" si="2"/>
        <v>1.7. 도시계획현황 및 관련계획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SUM((ROUNDDOWN((D56:I56)*단가,0)))</f>
        <v>7743510</v>
      </c>
      <c r="X22" s="154"/>
      <c r="Y22" s="170" t="str">
        <f t="shared" si="1"/>
        <v>제 7 호표</v>
      </c>
      <c r="Z22" s="150"/>
    </row>
    <row r="23" spans="1:26" ht="18" customHeight="1">
      <c r="A23" s="279"/>
      <c r="B23" s="223" t="s">
        <v>1523</v>
      </c>
      <c r="C23" s="23"/>
      <c r="D23" s="197">
        <v>0.1</v>
      </c>
      <c r="E23" s="198">
        <v>0.3</v>
      </c>
      <c r="F23" s="198">
        <v>0.6</v>
      </c>
      <c r="G23" s="198">
        <v>1.1000000000000001</v>
      </c>
      <c r="H23" s="198">
        <v>1.3</v>
      </c>
      <c r="I23" s="199">
        <v>2.1</v>
      </c>
      <c r="J23" s="389" t="s">
        <v>1549</v>
      </c>
      <c r="L23" s="233">
        <v>1</v>
      </c>
      <c r="N23" s="292" t="str">
        <f t="shared" si="2"/>
        <v>1.8. 가로시설물 및 조경환경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SUM((ROUNDDOWN((D57:I57)*단가,0)))</f>
        <v>7424083</v>
      </c>
      <c r="X23" s="154"/>
      <c r="Y23" s="170" t="str">
        <f t="shared" si="1"/>
        <v>제 8 호표</v>
      </c>
      <c r="Z23" s="150"/>
    </row>
    <row r="24" spans="1:26" ht="18" customHeight="1">
      <c r="A24" s="279"/>
      <c r="B24" s="223" t="s">
        <v>1524</v>
      </c>
      <c r="C24" s="23"/>
      <c r="D24" s="197">
        <v>0.1</v>
      </c>
      <c r="E24" s="198">
        <v>0.3</v>
      </c>
      <c r="F24" s="198">
        <v>0.6</v>
      </c>
      <c r="G24" s="198">
        <v>1.1000000000000001</v>
      </c>
      <c r="H24" s="198">
        <v>1.3</v>
      </c>
      <c r="I24" s="199">
        <v>0</v>
      </c>
      <c r="J24" s="389" t="s">
        <v>1549</v>
      </c>
      <c r="L24" s="233">
        <v>1</v>
      </c>
      <c r="N24" s="292" t="str">
        <f t="shared" si="2"/>
        <v>1.9. 문제점 및 잠재력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SUM((ROUNDDOWN((D58:I58)*단가,0)))</f>
        <v>4826430</v>
      </c>
      <c r="X24" s="154"/>
      <c r="Y24" s="170" t="str">
        <f t="shared" si="1"/>
        <v>제 9 호표</v>
      </c>
      <c r="Z24" s="150"/>
    </row>
    <row r="25" spans="1:26" ht="18" customHeight="1">
      <c r="A25" s="279"/>
      <c r="B25" s="222" t="s">
        <v>435</v>
      </c>
      <c r="C25" s="47"/>
      <c r="D25" s="48">
        <f t="shared" ref="D25:I25" si="3">SUBTOTAL(9,D26:D30)</f>
        <v>0.8</v>
      </c>
      <c r="E25" s="49">
        <f t="shared" si="3"/>
        <v>1.5</v>
      </c>
      <c r="F25" s="49">
        <f t="shared" si="3"/>
        <v>5</v>
      </c>
      <c r="G25" s="49">
        <f t="shared" si="3"/>
        <v>4.6000000000000005</v>
      </c>
      <c r="H25" s="49">
        <f t="shared" si="3"/>
        <v>10.199999999999999</v>
      </c>
      <c r="I25" s="50">
        <f t="shared" si="3"/>
        <v>14.5</v>
      </c>
      <c r="J25" s="389"/>
      <c r="L25" s="232"/>
      <c r="N25" s="354" t="str">
        <f t="shared" ref="N25:N31" si="4">B25</f>
        <v>2. 기본구상</v>
      </c>
      <c r="O25" s="169"/>
      <c r="P25" s="169"/>
      <c r="Q25" s="169"/>
      <c r="R25" s="169"/>
      <c r="S25" s="169"/>
      <c r="T25" s="169"/>
      <c r="U25" s="226"/>
      <c r="V25" s="248"/>
      <c r="W25" s="193">
        <f ca="1">SUBTOTAL(9,W26:W30)</f>
        <v>48833372</v>
      </c>
      <c r="X25" s="194"/>
      <c r="Y25" s="170" t="str">
        <f t="shared" si="1"/>
        <v/>
      </c>
      <c r="Z25" s="170"/>
    </row>
    <row r="26" spans="1:26" ht="18" customHeight="1">
      <c r="A26" s="279"/>
      <c r="B26" s="223" t="s">
        <v>1525</v>
      </c>
      <c r="C26" s="23"/>
      <c r="D26" s="197">
        <v>0.1</v>
      </c>
      <c r="E26" s="198">
        <v>0.1</v>
      </c>
      <c r="F26" s="198">
        <v>0.7</v>
      </c>
      <c r="G26" s="198">
        <v>0.9</v>
      </c>
      <c r="H26" s="198">
        <v>1.8</v>
      </c>
      <c r="I26" s="199">
        <v>2.5</v>
      </c>
      <c r="J26" s="389" t="s">
        <v>1549</v>
      </c>
      <c r="L26" s="233">
        <v>1</v>
      </c>
      <c r="N26" s="292" t="str">
        <f t="shared" si="4"/>
        <v>2.1. 과제정립 및 목표설정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SUM((ROUNDDOWN((D60:I60)*단가,0)))</f>
        <v>7993796</v>
      </c>
      <c r="X26" s="154"/>
      <c r="Y26" s="170" t="str">
        <f t="shared" si="1"/>
        <v>제 10 호표</v>
      </c>
      <c r="Z26" s="150"/>
    </row>
    <row r="27" spans="1:26" ht="18" customHeight="1">
      <c r="A27" s="279"/>
      <c r="B27" s="223" t="s">
        <v>1526</v>
      </c>
      <c r="C27" s="23"/>
      <c r="D27" s="197">
        <v>0.2</v>
      </c>
      <c r="E27" s="198">
        <v>0.4</v>
      </c>
      <c r="F27" s="198">
        <v>1.1000000000000001</v>
      </c>
      <c r="G27" s="198">
        <v>1</v>
      </c>
      <c r="H27" s="198">
        <v>2.2000000000000002</v>
      </c>
      <c r="I27" s="199">
        <v>3</v>
      </c>
      <c r="J27" s="389" t="s">
        <v>1549</v>
      </c>
      <c r="L27" s="233">
        <v>1</v>
      </c>
      <c r="N27" s="292" t="str">
        <f t="shared" si="4"/>
        <v>2.2. 기본방향 및 지표설정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SUM((ROUNDDOWN((D61:I61)*단가,0)))</f>
        <v>10624348</v>
      </c>
      <c r="X27" s="154"/>
      <c r="Y27" s="170" t="str">
        <f t="shared" si="1"/>
        <v>제 11 호표</v>
      </c>
      <c r="Z27" s="150"/>
    </row>
    <row r="28" spans="1:26" ht="18" customHeight="1">
      <c r="A28" s="279"/>
      <c r="B28" s="223" t="s">
        <v>1527</v>
      </c>
      <c r="C28" s="23"/>
      <c r="D28" s="197">
        <v>0.2</v>
      </c>
      <c r="E28" s="198">
        <v>0.4</v>
      </c>
      <c r="F28" s="198">
        <v>1.2</v>
      </c>
      <c r="G28" s="198">
        <v>1</v>
      </c>
      <c r="H28" s="198">
        <v>2.2000000000000002</v>
      </c>
      <c r="I28" s="199">
        <v>3</v>
      </c>
      <c r="J28" s="389" t="s">
        <v>1549</v>
      </c>
      <c r="L28" s="233">
        <v>1</v>
      </c>
      <c r="N28" s="292" t="str">
        <f t="shared" si="4"/>
        <v>2.3. 토지이용체계구상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SUM((ROUNDDOWN((D62:I62)*단가,0)))</f>
        <v>10778236</v>
      </c>
      <c r="X28" s="154"/>
      <c r="Y28" s="170" t="str">
        <f t="shared" si="1"/>
        <v>제 12 호표</v>
      </c>
      <c r="Z28" s="150"/>
    </row>
    <row r="29" spans="1:26" ht="18" customHeight="1">
      <c r="A29" s="279"/>
      <c r="B29" s="223" t="s">
        <v>1528</v>
      </c>
      <c r="C29" s="23"/>
      <c r="D29" s="197">
        <v>0.1</v>
      </c>
      <c r="E29" s="198">
        <v>0.2</v>
      </c>
      <c r="F29" s="198">
        <v>0.9</v>
      </c>
      <c r="G29" s="198">
        <v>0.8</v>
      </c>
      <c r="H29" s="198">
        <v>1.8</v>
      </c>
      <c r="I29" s="199">
        <v>3</v>
      </c>
      <c r="J29" s="389" t="s">
        <v>1549</v>
      </c>
      <c r="L29" s="233">
        <v>1</v>
      </c>
      <c r="N29" s="292" t="str">
        <f t="shared" si="4"/>
        <v>2.4. 교통동선체계구상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SUM((ROUNDDOWN((D63:I63)*단가,0)))</f>
        <v>8958737</v>
      </c>
      <c r="X29" s="154"/>
      <c r="Y29" s="170" t="str">
        <f t="shared" si="1"/>
        <v>제 13 호표</v>
      </c>
      <c r="Z29" s="150"/>
    </row>
    <row r="30" spans="1:26" ht="18" customHeight="1">
      <c r="A30" s="279"/>
      <c r="B30" s="223" t="s">
        <v>1529</v>
      </c>
      <c r="C30" s="23"/>
      <c r="D30" s="197">
        <v>0.2</v>
      </c>
      <c r="E30" s="198">
        <v>0.4</v>
      </c>
      <c r="F30" s="198">
        <v>1.1000000000000001</v>
      </c>
      <c r="G30" s="198">
        <v>0.9</v>
      </c>
      <c r="H30" s="198">
        <v>2.2000000000000002</v>
      </c>
      <c r="I30" s="199">
        <v>3</v>
      </c>
      <c r="J30" s="389" t="s">
        <v>1549</v>
      </c>
      <c r="L30" s="233">
        <v>1</v>
      </c>
      <c r="N30" s="292" t="str">
        <f t="shared" si="4"/>
        <v>2.5. 공원·녹지체계구상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SUM((ROUNDDOWN((D64:I64)*단가,0)))</f>
        <v>10478255</v>
      </c>
      <c r="X30" s="154"/>
      <c r="Y30" s="170" t="str">
        <f t="shared" si="1"/>
        <v>제 14 호표</v>
      </c>
      <c r="Z30" s="150"/>
    </row>
    <row r="31" spans="1:26" ht="18" customHeight="1">
      <c r="A31" s="279"/>
      <c r="B31" s="222" t="s">
        <v>436</v>
      </c>
      <c r="C31" s="47"/>
      <c r="D31" s="48">
        <f t="shared" ref="D31:I31" si="5">SUBTOTAL(9,D32:D39)</f>
        <v>7</v>
      </c>
      <c r="E31" s="49">
        <f t="shared" si="5"/>
        <v>9.2000000000000011</v>
      </c>
      <c r="F31" s="49">
        <f t="shared" si="5"/>
        <v>22.6</v>
      </c>
      <c r="G31" s="49">
        <f t="shared" si="5"/>
        <v>23.5</v>
      </c>
      <c r="H31" s="49">
        <f t="shared" si="5"/>
        <v>58.400000000000006</v>
      </c>
      <c r="I31" s="50">
        <f t="shared" si="5"/>
        <v>73.099999999999994</v>
      </c>
      <c r="J31" s="389"/>
      <c r="L31" s="232"/>
      <c r="N31" s="354" t="str">
        <f t="shared" si="4"/>
        <v>3. 부문별계획</v>
      </c>
      <c r="O31" s="169"/>
      <c r="P31" s="169"/>
      <c r="Q31" s="169"/>
      <c r="R31" s="169"/>
      <c r="S31" s="169"/>
      <c r="T31" s="169"/>
      <c r="U31" s="226"/>
      <c r="V31" s="248"/>
      <c r="W31" s="193">
        <f ca="1">SUBTOTAL(9,W32:W39)</f>
        <v>260657519</v>
      </c>
      <c r="X31" s="194"/>
      <c r="Y31" s="170" t="str">
        <f t="shared" si="1"/>
        <v/>
      </c>
      <c r="Z31" s="170"/>
    </row>
    <row r="32" spans="1:26" ht="18" customHeight="1">
      <c r="A32" s="279"/>
      <c r="B32" s="223" t="s">
        <v>1530</v>
      </c>
      <c r="C32" s="23"/>
      <c r="D32" s="197">
        <v>0.6</v>
      </c>
      <c r="E32" s="198">
        <v>0.9</v>
      </c>
      <c r="F32" s="198">
        <v>2.5</v>
      </c>
      <c r="G32" s="198">
        <v>1.3</v>
      </c>
      <c r="H32" s="198">
        <v>7.8</v>
      </c>
      <c r="I32" s="199">
        <v>8.8000000000000007</v>
      </c>
      <c r="J32" s="389" t="s">
        <v>1549</v>
      </c>
      <c r="L32" s="233">
        <v>1</v>
      </c>
      <c r="N32" s="292" t="str">
        <f t="shared" ref="N32:N39" si="6">B32</f>
        <v>3.1. 용도지역·지구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SUM((ROUNDDOWN((D66:I66)*단가,0)))</f>
        <v>28759387</v>
      </c>
      <c r="X32" s="154"/>
      <c r="Y32" s="170" t="str">
        <f t="shared" si="1"/>
        <v>제 15 호표</v>
      </c>
      <c r="Z32" s="150"/>
    </row>
    <row r="33" spans="1:26" ht="18" customHeight="1">
      <c r="A33" s="279"/>
      <c r="B33" s="223" t="s">
        <v>1531</v>
      </c>
      <c r="C33" s="23"/>
      <c r="D33" s="197">
        <v>0.9</v>
      </c>
      <c r="E33" s="198">
        <v>1.4</v>
      </c>
      <c r="F33" s="198">
        <v>3</v>
      </c>
      <c r="G33" s="198">
        <v>2.9</v>
      </c>
      <c r="H33" s="198">
        <v>7.5</v>
      </c>
      <c r="I33" s="199">
        <v>12.9</v>
      </c>
      <c r="J33" s="389" t="s">
        <v>1549</v>
      </c>
      <c r="L33" s="233">
        <v>1</v>
      </c>
      <c r="N33" s="292" t="str">
        <f t="shared" si="6"/>
        <v>3.2. 교통처리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SUM((ROUNDDOWN((D67:I67)*단가,0)))</f>
        <v>38202671</v>
      </c>
      <c r="X33" s="154"/>
      <c r="Y33" s="170" t="str">
        <f t="shared" si="1"/>
        <v>제 16 호표</v>
      </c>
      <c r="Z33" s="150"/>
    </row>
    <row r="34" spans="1:26" ht="18" customHeight="1">
      <c r="A34" s="279"/>
      <c r="B34" s="223" t="s">
        <v>1532</v>
      </c>
      <c r="C34" s="23"/>
      <c r="D34" s="197">
        <v>0.3</v>
      </c>
      <c r="E34" s="198">
        <v>0.5</v>
      </c>
      <c r="F34" s="198">
        <v>1.5</v>
      </c>
      <c r="G34" s="198">
        <v>1.3</v>
      </c>
      <c r="H34" s="198">
        <v>2.5</v>
      </c>
      <c r="I34" s="199">
        <v>4.3</v>
      </c>
      <c r="J34" s="389" t="s">
        <v>1549</v>
      </c>
      <c r="L34" s="233">
        <v>1</v>
      </c>
      <c r="N34" s="292" t="str">
        <f t="shared" si="6"/>
        <v>3.3. 공원녹지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SUM((ROUNDDOWN((D68:I68)*단가,0)))</f>
        <v>14050668</v>
      </c>
      <c r="X34" s="154"/>
      <c r="Y34" s="170" t="str">
        <f t="shared" si="1"/>
        <v>제 17 호표</v>
      </c>
      <c r="Z34" s="150"/>
    </row>
    <row r="35" spans="1:26" ht="18" customHeight="1">
      <c r="A35" s="279"/>
      <c r="B35" s="223" t="s">
        <v>1533</v>
      </c>
      <c r="C35" s="23"/>
      <c r="D35" s="197">
        <v>1.1000000000000001</v>
      </c>
      <c r="E35" s="198">
        <v>1.6</v>
      </c>
      <c r="F35" s="198">
        <v>5</v>
      </c>
      <c r="G35" s="198">
        <v>5.7</v>
      </c>
      <c r="H35" s="198">
        <v>10.9</v>
      </c>
      <c r="I35" s="199">
        <v>10.9</v>
      </c>
      <c r="J35" s="389" t="s">
        <v>1549</v>
      </c>
      <c r="L35" s="233">
        <v>1</v>
      </c>
      <c r="N35" s="292" t="str">
        <f t="shared" si="6"/>
        <v>3.4. 기반시설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SUM((ROUNDDOWN((D69:I69)*단가,0)))</f>
        <v>47683398</v>
      </c>
      <c r="X35" s="154"/>
      <c r="Y35" s="170" t="str">
        <f t="shared" si="1"/>
        <v>제 18 호표</v>
      </c>
      <c r="Z35" s="150"/>
    </row>
    <row r="36" spans="1:26" ht="18" customHeight="1">
      <c r="A36" s="279"/>
      <c r="B36" s="223" t="s">
        <v>1534</v>
      </c>
      <c r="C36" s="23"/>
      <c r="D36" s="197">
        <v>1.2</v>
      </c>
      <c r="E36" s="198">
        <v>0.7</v>
      </c>
      <c r="F36" s="198">
        <v>1.8</v>
      </c>
      <c r="G36" s="198">
        <v>1.8</v>
      </c>
      <c r="H36" s="198">
        <v>6.1</v>
      </c>
      <c r="I36" s="199">
        <v>6.9</v>
      </c>
      <c r="J36" s="389" t="s">
        <v>1549</v>
      </c>
      <c r="L36" s="233">
        <v>1</v>
      </c>
      <c r="N36" s="292" t="str">
        <f t="shared" si="6"/>
        <v>3.5. 가구 및 획지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SUM((ROUNDDOWN((D70:I70)*단가,0)))</f>
        <v>25100380</v>
      </c>
      <c r="X36" s="154"/>
      <c r="Y36" s="170" t="str">
        <f t="shared" si="1"/>
        <v>제 19 호표</v>
      </c>
      <c r="Z36" s="150"/>
    </row>
    <row r="37" spans="1:26" ht="18" customHeight="1">
      <c r="A37" s="279"/>
      <c r="B37" s="223" t="s">
        <v>1535</v>
      </c>
      <c r="C37" s="23"/>
      <c r="D37" s="197">
        <v>2.2999999999999998</v>
      </c>
      <c r="E37" s="198">
        <v>3.2</v>
      </c>
      <c r="F37" s="198">
        <v>7</v>
      </c>
      <c r="G37" s="198">
        <v>9</v>
      </c>
      <c r="H37" s="198">
        <v>18.600000000000001</v>
      </c>
      <c r="I37" s="199">
        <v>20.7</v>
      </c>
      <c r="J37" s="389" t="s">
        <v>1549</v>
      </c>
      <c r="L37" s="233">
        <v>1</v>
      </c>
      <c r="N37" s="292" t="str">
        <f t="shared" si="6"/>
        <v>3.6. 건축물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SUM((ROUNDDOWN((D71:I71)*단가,0)))</f>
        <v>82394475</v>
      </c>
      <c r="X37" s="154"/>
      <c r="Y37" s="170" t="str">
        <f t="shared" si="1"/>
        <v>제 20 호표</v>
      </c>
      <c r="Z37" s="150"/>
    </row>
    <row r="38" spans="1:26" ht="18" customHeight="1">
      <c r="A38" s="279"/>
      <c r="B38" s="223" t="s">
        <v>1536</v>
      </c>
      <c r="C38" s="23"/>
      <c r="D38" s="197">
        <v>0.6</v>
      </c>
      <c r="E38" s="198">
        <v>0.9</v>
      </c>
      <c r="F38" s="198">
        <v>1.8</v>
      </c>
      <c r="G38" s="198">
        <v>1.5</v>
      </c>
      <c r="H38" s="198">
        <v>5</v>
      </c>
      <c r="I38" s="199">
        <v>8.6</v>
      </c>
      <c r="J38" s="389" t="s">
        <v>1549</v>
      </c>
      <c r="L38" s="233">
        <v>1</v>
      </c>
      <c r="N38" s="292" t="str">
        <f t="shared" si="6"/>
        <v>3.7. 경관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SUM((ROUNDDOWN((D72:I72)*단가,0)))</f>
        <v>24466540</v>
      </c>
      <c r="X38" s="154"/>
      <c r="Y38" s="170" t="str">
        <f t="shared" si="1"/>
        <v>제 21 호표</v>
      </c>
      <c r="Z38" s="150"/>
    </row>
    <row r="39" spans="1:26" ht="18" customHeight="1">
      <c r="A39" s="279"/>
      <c r="B39" s="223" t="s">
        <v>1537</v>
      </c>
      <c r="C39" s="23"/>
      <c r="D39" s="197"/>
      <c r="E39" s="198" t="s">
        <v>1545</v>
      </c>
      <c r="F39" s="198" t="s">
        <v>1546</v>
      </c>
      <c r="G39" s="198" t="s">
        <v>1547</v>
      </c>
      <c r="H39" s="198" t="s">
        <v>1548</v>
      </c>
      <c r="I39" s="199"/>
      <c r="J39" s="389"/>
      <c r="L39" s="233">
        <v>0</v>
      </c>
      <c r="N39" s="292" t="str">
        <f t="shared" si="6"/>
        <v>3.8. 환경관리</v>
      </c>
      <c r="O39" s="37"/>
      <c r="P39" s="37"/>
      <c r="Q39" s="37"/>
      <c r="R39" s="37"/>
      <c r="S39" s="37"/>
      <c r="T39" s="37"/>
      <c r="U39" s="227"/>
      <c r="V39" s="231"/>
      <c r="W39" s="153">
        <f t="array" aca="1" ref="W39" ca="1">SUM((ROUNDDOWN((D73:I73)*단가,0)))</f>
        <v>0</v>
      </c>
      <c r="X39" s="154"/>
      <c r="Y39" s="170" t="str">
        <f t="shared" si="1"/>
        <v>제 22 호표</v>
      </c>
      <c r="Z39" s="150"/>
    </row>
    <row r="40" spans="1:26" ht="18" customHeight="1">
      <c r="A40" s="279"/>
      <c r="B40" s="222" t="s">
        <v>437</v>
      </c>
      <c r="C40" s="47"/>
      <c r="D40" s="48">
        <f t="shared" ref="D40:I40" si="7">SUBTOTAL(9,D41:D42)</f>
        <v>1.9</v>
      </c>
      <c r="E40" s="49">
        <f t="shared" si="7"/>
        <v>4.5999999999999996</v>
      </c>
      <c r="F40" s="49">
        <f t="shared" si="7"/>
        <v>10.4</v>
      </c>
      <c r="G40" s="49">
        <f t="shared" si="7"/>
        <v>19.3</v>
      </c>
      <c r="H40" s="49">
        <f t="shared" si="7"/>
        <v>27</v>
      </c>
      <c r="I40" s="50">
        <f t="shared" si="7"/>
        <v>27</v>
      </c>
      <c r="J40" s="389"/>
      <c r="L40" s="233"/>
      <c r="N40" s="354" t="str">
        <f t="shared" ref="N40:N47" si="8">B40</f>
        <v>4. 성과품작성</v>
      </c>
      <c r="O40" s="169"/>
      <c r="P40" s="169"/>
      <c r="Q40" s="169"/>
      <c r="R40" s="169"/>
      <c r="S40" s="169"/>
      <c r="T40" s="169"/>
      <c r="U40" s="226"/>
      <c r="V40" s="248"/>
      <c r="W40" s="193">
        <f ca="1">SUBTOTAL(9,W41:W42)</f>
        <v>121894992</v>
      </c>
      <c r="X40" s="257"/>
      <c r="Y40" s="170" t="str">
        <f t="shared" si="1"/>
        <v/>
      </c>
      <c r="Z40" s="169"/>
    </row>
    <row r="41" spans="1:26" ht="18" customHeight="1">
      <c r="A41" s="279"/>
      <c r="B41" s="223" t="s">
        <v>1538</v>
      </c>
      <c r="C41" s="23"/>
      <c r="D41" s="197">
        <v>1.5</v>
      </c>
      <c r="E41" s="198">
        <v>3.1</v>
      </c>
      <c r="F41" s="198">
        <v>6.9</v>
      </c>
      <c r="G41" s="198">
        <v>11.6</v>
      </c>
      <c r="H41" s="198">
        <v>11.6</v>
      </c>
      <c r="I41" s="199">
        <v>7.7</v>
      </c>
      <c r="J41" s="389" t="s">
        <v>1549</v>
      </c>
      <c r="L41" s="233">
        <v>1</v>
      </c>
      <c r="N41" s="292" t="str">
        <f t="shared" si="8"/>
        <v>4.1. 보고서작성 및 편집</v>
      </c>
      <c r="O41" s="37"/>
      <c r="P41" s="37"/>
      <c r="Q41" s="37"/>
      <c r="R41" s="37"/>
      <c r="S41" s="37"/>
      <c r="T41" s="37"/>
      <c r="U41" s="226"/>
      <c r="V41" s="248"/>
      <c r="W41" s="153">
        <f t="array" aca="1" ref="W41" ca="1">SUM((ROUNDDOWN((D75:I75)*단가,0)))</f>
        <v>59769408</v>
      </c>
      <c r="X41" s="113"/>
      <c r="Y41" s="170" t="str">
        <f t="shared" si="1"/>
        <v>제 23 호표</v>
      </c>
      <c r="Z41" s="37"/>
    </row>
    <row r="42" spans="1:26" ht="18" customHeight="1">
      <c r="A42" s="279"/>
      <c r="B42" s="223" t="s">
        <v>1539</v>
      </c>
      <c r="C42" s="43"/>
      <c r="D42" s="206">
        <v>0.4</v>
      </c>
      <c r="E42" s="207">
        <v>1.5</v>
      </c>
      <c r="F42" s="207">
        <v>3.5</v>
      </c>
      <c r="G42" s="207">
        <v>7.7</v>
      </c>
      <c r="H42" s="207">
        <v>15.4</v>
      </c>
      <c r="I42" s="208">
        <v>19.3</v>
      </c>
      <c r="J42" s="390" t="s">
        <v>1549</v>
      </c>
      <c r="L42" s="233">
        <v>1</v>
      </c>
      <c r="N42" s="292" t="str">
        <f t="shared" si="8"/>
        <v>4.2. 관련도서작성</v>
      </c>
      <c r="O42" s="37"/>
      <c r="P42" s="37"/>
      <c r="Q42" s="37"/>
      <c r="R42" s="37"/>
      <c r="S42" s="37"/>
      <c r="T42" s="37"/>
      <c r="U42" s="353"/>
      <c r="V42" s="248"/>
      <c r="W42" s="153">
        <f t="array" aca="1" ref="W42" ca="1">SUM((ROUNDDOWN((D76:I76)*단가,0)))</f>
        <v>62125584</v>
      </c>
      <c r="X42" s="113"/>
      <c r="Y42" s="170" t="str">
        <f t="shared" si="1"/>
        <v>제 24 호표</v>
      </c>
      <c r="Z42" s="37"/>
    </row>
    <row r="43" spans="1:26" ht="18" customHeight="1">
      <c r="A43" s="279"/>
      <c r="B43" s="222" t="s">
        <v>438</v>
      </c>
      <c r="C43" s="47"/>
      <c r="D43" s="48">
        <f t="shared" ref="D43:I43" si="9">SUBTOTAL(9,D44:D47)</f>
        <v>8</v>
      </c>
      <c r="E43" s="49">
        <f t="shared" si="9"/>
        <v>8</v>
      </c>
      <c r="F43" s="49">
        <f t="shared" si="9"/>
        <v>8</v>
      </c>
      <c r="G43" s="49">
        <f t="shared" si="9"/>
        <v>16</v>
      </c>
      <c r="H43" s="49">
        <f t="shared" si="9"/>
        <v>16</v>
      </c>
      <c r="I43" s="50">
        <f t="shared" si="9"/>
        <v>16</v>
      </c>
      <c r="J43" s="389"/>
      <c r="L43" s="232"/>
      <c r="N43" s="354" t="str">
        <f t="shared" si="8"/>
        <v>5. 기술협의</v>
      </c>
      <c r="O43" s="169"/>
      <c r="P43" s="169"/>
      <c r="Q43" s="169"/>
      <c r="R43" s="169"/>
      <c r="S43" s="169"/>
      <c r="T43" s="169"/>
      <c r="U43" s="226"/>
      <c r="V43" s="248"/>
      <c r="W43" s="193">
        <f ca="1">SUBTOTAL(9,W44:W47)</f>
        <v>21702576</v>
      </c>
      <c r="X43" s="194"/>
      <c r="Y43" s="170" t="e">
        <f>IF(#REF!&gt;0, "제 " &amp;#REF!&amp; " 호표","")</f>
        <v>#REF!</v>
      </c>
      <c r="Z43" s="170"/>
    </row>
    <row r="44" spans="1:26" ht="18" customHeight="1">
      <c r="A44" s="279"/>
      <c r="B44" s="223" t="s">
        <v>1540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389" t="s">
        <v>1544</v>
      </c>
      <c r="L44" s="233">
        <v>1</v>
      </c>
      <c r="N44" s="292" t="str">
        <f t="shared" si="8"/>
        <v>5.1. 공청회/주민설명회</v>
      </c>
      <c r="O44" s="37"/>
      <c r="P44" s="37"/>
      <c r="Q44" s="37"/>
      <c r="R44" s="37"/>
      <c r="S44" s="37"/>
      <c r="T44" s="37"/>
      <c r="U44" s="227"/>
      <c r="V44" s="231"/>
      <c r="W44" s="153">
        <f t="array" aca="1" ref="W44" ca="1">SUM((ROUNDDOWN((D78:I78)*단가,0)))</f>
        <v>5425644</v>
      </c>
      <c r="X44" s="154"/>
      <c r="Y44" s="170" t="str">
        <f>IF(A78&gt;0, "제 " &amp;A78&amp; " 호표","")</f>
        <v>제 25 호표</v>
      </c>
      <c r="Z44" s="150"/>
    </row>
    <row r="45" spans="1:26" ht="18" customHeight="1">
      <c r="A45" s="279"/>
      <c r="B45" s="223" t="s">
        <v>1541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389" t="s">
        <v>1094</v>
      </c>
      <c r="L45" s="233">
        <v>1</v>
      </c>
      <c r="N45" s="292" t="str">
        <f t="shared" si="8"/>
        <v>5.2. 주민간담회/시민계획단</v>
      </c>
      <c r="O45" s="37"/>
      <c r="P45" s="37"/>
      <c r="Q45" s="37"/>
      <c r="R45" s="37"/>
      <c r="S45" s="37"/>
      <c r="T45" s="37"/>
      <c r="U45" s="227"/>
      <c r="V45" s="231"/>
      <c r="W45" s="153">
        <f t="array" aca="1" ref="W45" ca="1">SUM((ROUNDDOWN((D79:I79)*단가,0)))</f>
        <v>5425644</v>
      </c>
      <c r="X45" s="154"/>
      <c r="Y45" s="170" t="str">
        <f>IF(A79&gt;0, "제 " &amp;A79&amp; " 호표","")</f>
        <v>제 26 호표</v>
      </c>
      <c r="Z45" s="150"/>
    </row>
    <row r="46" spans="1:26" ht="18" customHeight="1">
      <c r="A46" s="279"/>
      <c r="B46" s="223" t="s">
        <v>1542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389" t="s">
        <v>1094</v>
      </c>
      <c r="L46" s="233">
        <v>1</v>
      </c>
      <c r="N46" s="292" t="str">
        <f t="shared" si="8"/>
        <v>5.3. 위원회심의 지원</v>
      </c>
      <c r="O46" s="37"/>
      <c r="P46" s="37"/>
      <c r="Q46" s="37"/>
      <c r="R46" s="37"/>
      <c r="S46" s="37"/>
      <c r="T46" s="37"/>
      <c r="U46" s="227"/>
      <c r="V46" s="231"/>
      <c r="W46" s="153">
        <f t="array" aca="1" ref="W46" ca="1">SUM((ROUNDDOWN((D80:I80)*단가,0)))</f>
        <v>5425644</v>
      </c>
      <c r="X46" s="154"/>
      <c r="Y46" s="170" t="str">
        <f>IF(A80&gt;0, "제 " &amp;A80&amp; " 호표","")</f>
        <v>제 27 호표</v>
      </c>
      <c r="Z46" s="150"/>
    </row>
    <row r="47" spans="1:26" ht="18" customHeight="1" thickBot="1">
      <c r="A47" s="279"/>
      <c r="B47" s="223" t="s">
        <v>1543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612" t="s">
        <v>1094</v>
      </c>
      <c r="L47" s="233">
        <v>1</v>
      </c>
      <c r="N47" s="292" t="str">
        <f t="shared" si="8"/>
        <v>5.4. 관계기관 협의</v>
      </c>
      <c r="O47" s="37"/>
      <c r="P47" s="37"/>
      <c r="Q47" s="37"/>
      <c r="R47" s="37"/>
      <c r="S47" s="37"/>
      <c r="T47" s="37"/>
      <c r="U47" s="227"/>
      <c r="V47" s="231"/>
      <c r="W47" s="153">
        <f t="array" aca="1" ref="W47" ca="1">SUM((ROUNDDOWN((D81:I81)*단가,0)))</f>
        <v>5425644</v>
      </c>
      <c r="X47" s="154"/>
      <c r="Y47" s="170" t="str">
        <f>IF(A81&gt;0, "제 " &amp;A81&amp; " 호표","")</f>
        <v>제 28 호표</v>
      </c>
      <c r="Z47" s="150"/>
    </row>
    <row r="48" spans="1:26" ht="18" customHeight="1" thickBot="1">
      <c r="A48" s="279"/>
      <c r="B48" s="14" t="s">
        <v>30</v>
      </c>
      <c r="C48" s="16"/>
      <c r="D48" s="14" t="s">
        <v>12</v>
      </c>
      <c r="E48" s="15"/>
      <c r="F48" s="15"/>
      <c r="G48" s="15"/>
      <c r="H48" s="15"/>
      <c r="I48" s="16"/>
      <c r="J48" s="175" t="s">
        <v>31</v>
      </c>
      <c r="N48" s="8"/>
      <c r="P48" s="371"/>
      <c r="R48" s="357"/>
      <c r="S48" s="1"/>
      <c r="T48" s="1"/>
      <c r="U48" s="258"/>
      <c r="V48" s="372"/>
      <c r="W48" s="373"/>
      <c r="X48" s="374"/>
      <c r="Y48" s="375"/>
    </row>
    <row r="49" spans="1:26" ht="18" customHeight="1">
      <c r="A49" s="279"/>
      <c r="B49" s="222" t="s">
        <v>1515</v>
      </c>
      <c r="C49" s="47"/>
      <c r="D49" s="48">
        <f t="shared" ref="D49:I49" si="10">SUBTOTAL(9,D50:D58)</f>
        <v>5.4359999999999991</v>
      </c>
      <c r="E49" s="49">
        <f t="shared" si="10"/>
        <v>14.339000000000002</v>
      </c>
      <c r="F49" s="49">
        <f t="shared" si="10"/>
        <v>30.660999999999998</v>
      </c>
      <c r="G49" s="49">
        <f t="shared" si="10"/>
        <v>71.221999999999994</v>
      </c>
      <c r="H49" s="49">
        <f t="shared" si="10"/>
        <v>95.461000000000013</v>
      </c>
      <c r="I49" s="50">
        <f t="shared" si="10"/>
        <v>115.738</v>
      </c>
      <c r="J49" s="74"/>
      <c r="N49" s="290" t="s">
        <v>10</v>
      </c>
      <c r="O49" s="129"/>
      <c r="P49" s="130"/>
      <c r="Q49" s="124"/>
      <c r="R49" s="131"/>
      <c r="S49" s="124"/>
      <c r="T49" s="124"/>
      <c r="U49" s="181"/>
      <c r="V49" s="181"/>
      <c r="W49" s="159">
        <f>SUBTOTAL(9,W50:W52)</f>
        <v>8000000</v>
      </c>
      <c r="X49" s="160"/>
      <c r="Y49" s="124"/>
      <c r="Z49" s="124"/>
    </row>
    <row r="50" spans="1:26" ht="18" customHeight="1">
      <c r="A50" s="278">
        <v>1</v>
      </c>
      <c r="B50" s="223" t="s">
        <v>1516</v>
      </c>
      <c r="C50" s="23"/>
      <c r="D50" s="383">
        <f t="array" ref="D50:I58">ROUNDDOWN(D16:I24*$D$5*$D$6*L16:L24,3)</f>
        <v>0.49399999999999999</v>
      </c>
      <c r="E50" s="198">
        <v>0.98899999999999999</v>
      </c>
      <c r="F50" s="198">
        <v>2.9670000000000001</v>
      </c>
      <c r="G50" s="198">
        <v>4.9459999999999997</v>
      </c>
      <c r="H50" s="198">
        <v>6.43</v>
      </c>
      <c r="I50" s="199">
        <v>9.8919999999999995</v>
      </c>
      <c r="J50" s="74"/>
      <c r="N50" s="128" t="str">
        <f>"여비("&amp;TEXT(R50,"#인 ×")&amp;TEXT(S50,"#일 ×")&amp;TEXT(T50,"###,###원)")</f>
        <v>여비(3인 ×10일 ×100,000원)</v>
      </c>
      <c r="O50" s="78"/>
      <c r="P50" s="52"/>
      <c r="Q50" s="51"/>
      <c r="R50" s="146">
        <v>3</v>
      </c>
      <c r="S50" s="146">
        <v>10</v>
      </c>
      <c r="T50" s="147">
        <v>100000</v>
      </c>
      <c r="U50" s="182"/>
      <c r="V50" s="182"/>
      <c r="W50" s="161">
        <f>R50*S50*T50</f>
        <v>3000000</v>
      </c>
      <c r="X50" s="162"/>
      <c r="Y50" s="51"/>
      <c r="Z50" s="51"/>
    </row>
    <row r="51" spans="1:26" ht="18" customHeight="1">
      <c r="A51" s="278">
        <v>2</v>
      </c>
      <c r="B51" s="223" t="s">
        <v>1517</v>
      </c>
      <c r="C51" s="23"/>
      <c r="D51" s="197">
        <v>0.49399999999999999</v>
      </c>
      <c r="E51" s="198">
        <v>0.98899999999999999</v>
      </c>
      <c r="F51" s="198">
        <v>2.9670000000000001</v>
      </c>
      <c r="G51" s="198">
        <v>7.4189999999999996</v>
      </c>
      <c r="H51" s="198">
        <v>11.871</v>
      </c>
      <c r="I51" s="199">
        <v>12.365</v>
      </c>
      <c r="J51" s="74"/>
      <c r="N51" s="79" t="s">
        <v>46</v>
      </c>
      <c r="O51" s="79"/>
      <c r="P51" s="39"/>
      <c r="Q51" s="37"/>
      <c r="R51" s="117"/>
      <c r="S51" s="37"/>
      <c r="T51" s="37"/>
      <c r="U51" s="180"/>
      <c r="V51" s="180"/>
      <c r="W51" s="157">
        <v>3000000</v>
      </c>
      <c r="X51" s="158"/>
      <c r="Y51" s="37"/>
      <c r="Z51" s="37"/>
    </row>
    <row r="52" spans="1:26" ht="18" customHeight="1">
      <c r="A52" s="278">
        <v>3</v>
      </c>
      <c r="B52" s="223" t="s">
        <v>1518</v>
      </c>
      <c r="C52" s="23"/>
      <c r="D52" s="197">
        <v>0.98899999999999999</v>
      </c>
      <c r="E52" s="198">
        <v>2.4729999999999999</v>
      </c>
      <c r="F52" s="198">
        <v>5.9349999999999996</v>
      </c>
      <c r="G52" s="198">
        <v>11.375999999999999</v>
      </c>
      <c r="H52" s="198">
        <v>17.806000000000001</v>
      </c>
      <c r="I52" s="199">
        <v>22.751999999999999</v>
      </c>
      <c r="J52" s="74"/>
      <c r="N52" s="132" t="s">
        <v>13</v>
      </c>
      <c r="O52" s="132"/>
      <c r="P52" s="38"/>
      <c r="Q52" s="38"/>
      <c r="R52" s="116"/>
      <c r="S52" s="38"/>
      <c r="T52" s="38"/>
      <c r="U52" s="183"/>
      <c r="V52" s="183"/>
      <c r="W52" s="155">
        <v>2000000</v>
      </c>
      <c r="X52" s="156"/>
      <c r="Y52" s="38"/>
      <c r="Z52" s="38"/>
    </row>
    <row r="53" spans="1:26" ht="18" customHeight="1">
      <c r="A53" s="278">
        <v>4</v>
      </c>
      <c r="B53" s="223" t="s">
        <v>1519</v>
      </c>
      <c r="C53" s="23"/>
      <c r="D53" s="197">
        <v>0.98899999999999999</v>
      </c>
      <c r="E53" s="198">
        <v>2.4729999999999999</v>
      </c>
      <c r="F53" s="198">
        <v>5.9349999999999996</v>
      </c>
      <c r="G53" s="198">
        <v>15.827999999999999</v>
      </c>
      <c r="H53" s="198">
        <v>18.300999999999998</v>
      </c>
      <c r="I53" s="199">
        <v>21.763000000000002</v>
      </c>
      <c r="J53" s="389"/>
      <c r="N53" s="127" t="s">
        <v>47</v>
      </c>
      <c r="O53" s="123"/>
      <c r="P53" s="123"/>
      <c r="Q53" s="123"/>
      <c r="R53" s="123"/>
      <c r="S53" s="123"/>
      <c r="T53" s="123"/>
      <c r="U53" s="184"/>
      <c r="V53" s="184"/>
      <c r="W53" s="163">
        <f ca="1">SUBTOTAL(9,W54:W55)</f>
        <v>974605633</v>
      </c>
      <c r="X53" s="164"/>
      <c r="Y53" s="123"/>
      <c r="Z53" s="123"/>
    </row>
    <row r="54" spans="1:26" ht="18" customHeight="1">
      <c r="A54" s="278">
        <v>5</v>
      </c>
      <c r="B54" s="223" t="s">
        <v>1520</v>
      </c>
      <c r="C54" s="23"/>
      <c r="D54" s="197">
        <v>0.49399999999999999</v>
      </c>
      <c r="E54" s="198">
        <v>1.4830000000000001</v>
      </c>
      <c r="F54" s="198">
        <v>2.9670000000000001</v>
      </c>
      <c r="G54" s="198">
        <v>8.9030000000000005</v>
      </c>
      <c r="H54" s="198">
        <v>11.871</v>
      </c>
      <c r="I54" s="199">
        <v>16.817</v>
      </c>
      <c r="J54" s="389"/>
      <c r="N54" s="133" t="s">
        <v>861</v>
      </c>
      <c r="O54" s="124"/>
      <c r="P54" s="134"/>
      <c r="Q54" s="124"/>
      <c r="R54" s="131"/>
      <c r="S54" s="124"/>
      <c r="T54" s="181"/>
      <c r="U54" s="181"/>
      <c r="V54" s="190">
        <v>1.1499999999999999</v>
      </c>
      <c r="W54" s="159">
        <f ca="1">ROUNDDOWN(W14*V54,0)</f>
        <v>624399152</v>
      </c>
      <c r="X54" s="160"/>
      <c r="Y54" s="124"/>
      <c r="Z54" s="124"/>
    </row>
    <row r="55" spans="1:26" ht="18" customHeight="1" thickBot="1">
      <c r="A55" s="278">
        <v>6</v>
      </c>
      <c r="B55" s="223" t="s">
        <v>1521</v>
      </c>
      <c r="C55" s="23"/>
      <c r="D55" s="197">
        <v>0.49399999999999999</v>
      </c>
      <c r="E55" s="198">
        <v>1.4830000000000001</v>
      </c>
      <c r="F55" s="198">
        <v>1.978</v>
      </c>
      <c r="G55" s="198">
        <v>5.44</v>
      </c>
      <c r="H55" s="198">
        <v>7.4189999999999996</v>
      </c>
      <c r="I55" s="199">
        <v>12.365</v>
      </c>
      <c r="J55" s="389"/>
      <c r="N55" s="135" t="s">
        <v>862</v>
      </c>
      <c r="O55" s="136"/>
      <c r="P55" s="137"/>
      <c r="Q55" s="136"/>
      <c r="R55" s="138"/>
      <c r="S55" s="136"/>
      <c r="T55" s="185"/>
      <c r="U55" s="185"/>
      <c r="V55" s="191">
        <v>0.3</v>
      </c>
      <c r="W55" s="165">
        <f ca="1">ROUNDDOWN((W14+W54)*V55,0)</f>
        <v>350206481</v>
      </c>
      <c r="X55" s="166"/>
      <c r="Y55" s="136"/>
      <c r="Z55" s="136"/>
    </row>
    <row r="56" spans="1:26" ht="18" customHeight="1">
      <c r="A56" s="278">
        <v>7</v>
      </c>
      <c r="B56" s="223" t="s">
        <v>1522</v>
      </c>
      <c r="C56" s="23"/>
      <c r="D56" s="197">
        <v>0.49399999999999999</v>
      </c>
      <c r="E56" s="198">
        <v>1.4830000000000001</v>
      </c>
      <c r="F56" s="198">
        <v>1.978</v>
      </c>
      <c r="G56" s="198">
        <v>6.43</v>
      </c>
      <c r="H56" s="198">
        <v>8.9030000000000005</v>
      </c>
      <c r="I56" s="199">
        <v>9.3970000000000002</v>
      </c>
      <c r="J56" s="389"/>
    </row>
    <row r="57" spans="1:26" ht="18" customHeight="1">
      <c r="A57" s="278">
        <v>8</v>
      </c>
      <c r="B57" s="223" t="s">
        <v>1523</v>
      </c>
      <c r="C57" s="23"/>
      <c r="D57" s="197">
        <v>0.49399999999999999</v>
      </c>
      <c r="E57" s="198">
        <v>1.4830000000000001</v>
      </c>
      <c r="F57" s="198">
        <v>2.9670000000000001</v>
      </c>
      <c r="G57" s="198">
        <v>5.44</v>
      </c>
      <c r="H57" s="198">
        <v>6.43</v>
      </c>
      <c r="I57" s="199">
        <v>10.387</v>
      </c>
      <c r="J57" s="389"/>
      <c r="K57" s="171" t="s">
        <v>14</v>
      </c>
    </row>
    <row r="58" spans="1:26" ht="18" customHeight="1">
      <c r="A58" s="278">
        <v>9</v>
      </c>
      <c r="B58" s="223" t="s">
        <v>1524</v>
      </c>
      <c r="C58" s="23"/>
      <c r="D58" s="197">
        <v>0.49399999999999999</v>
      </c>
      <c r="E58" s="198">
        <v>1.4830000000000001</v>
      </c>
      <c r="F58" s="198">
        <v>2.9670000000000001</v>
      </c>
      <c r="G58" s="198">
        <v>5.44</v>
      </c>
      <c r="H58" s="198">
        <v>6.43</v>
      </c>
      <c r="I58" s="199">
        <v>0</v>
      </c>
      <c r="J58" s="389"/>
      <c r="K58" s="171" t="s">
        <v>14</v>
      </c>
    </row>
    <row r="59" spans="1:26" ht="18" customHeight="1">
      <c r="A59" s="278"/>
      <c r="B59" s="222" t="s">
        <v>52</v>
      </c>
      <c r="C59" s="47"/>
      <c r="D59" s="48">
        <f t="shared" ref="D59:I59" si="11">SUBTOTAL(9,D60:D64)</f>
        <v>3.9550000000000001</v>
      </c>
      <c r="E59" s="49">
        <f t="shared" si="11"/>
        <v>7.4169999999999998</v>
      </c>
      <c r="F59" s="49">
        <f t="shared" si="11"/>
        <v>24.728000000000002</v>
      </c>
      <c r="G59" s="49">
        <f t="shared" si="11"/>
        <v>22.750999999999998</v>
      </c>
      <c r="H59" s="49">
        <f t="shared" si="11"/>
        <v>50.448999999999998</v>
      </c>
      <c r="I59" s="50">
        <f t="shared" si="11"/>
        <v>71.716999999999999</v>
      </c>
      <c r="J59" s="74"/>
      <c r="K59" s="171" t="s">
        <v>14</v>
      </c>
    </row>
    <row r="60" spans="1:26" ht="18" customHeight="1">
      <c r="A60" s="278">
        <v>10</v>
      </c>
      <c r="B60" s="223" t="s">
        <v>1525</v>
      </c>
      <c r="C60" s="23"/>
      <c r="D60" s="197">
        <f t="array" ref="D60:I64">ROUNDDOWN(D26:I30*$D$5*$D$6*L26:L30,3)</f>
        <v>0.49399999999999999</v>
      </c>
      <c r="E60" s="198">
        <v>0.49399999999999999</v>
      </c>
      <c r="F60" s="198">
        <v>3.4620000000000002</v>
      </c>
      <c r="G60" s="198">
        <v>4.4509999999999996</v>
      </c>
      <c r="H60" s="198">
        <v>8.9030000000000005</v>
      </c>
      <c r="I60" s="199">
        <v>12.365</v>
      </c>
      <c r="J60" s="74"/>
      <c r="K60" s="171" t="s">
        <v>14</v>
      </c>
      <c r="L60" s="171"/>
    </row>
    <row r="61" spans="1:26" ht="18" customHeight="1">
      <c r="A61" s="278">
        <v>11</v>
      </c>
      <c r="B61" s="223" t="s">
        <v>1526</v>
      </c>
      <c r="C61" s="23"/>
      <c r="D61" s="197">
        <v>0.98899999999999999</v>
      </c>
      <c r="E61" s="198">
        <v>1.978</v>
      </c>
      <c r="F61" s="198">
        <v>5.44</v>
      </c>
      <c r="G61" s="198">
        <v>4.9459999999999997</v>
      </c>
      <c r="H61" s="198">
        <v>10.881</v>
      </c>
      <c r="I61" s="199">
        <v>14.837999999999999</v>
      </c>
      <c r="J61" s="74"/>
      <c r="K61" s="171"/>
      <c r="L61" s="171"/>
      <c r="R61" s="1"/>
      <c r="S61" s="1"/>
      <c r="T61" s="1"/>
      <c r="U61" s="1"/>
      <c r="V61" s="1"/>
      <c r="W61" s="1"/>
      <c r="X61" s="1"/>
      <c r="Y61" s="1"/>
    </row>
    <row r="62" spans="1:26" ht="18" customHeight="1">
      <c r="A62" s="278">
        <v>12</v>
      </c>
      <c r="B62" s="223" t="s">
        <v>1527</v>
      </c>
      <c r="C62" s="23"/>
      <c r="D62" s="197">
        <v>0.98899999999999999</v>
      </c>
      <c r="E62" s="198">
        <v>1.978</v>
      </c>
      <c r="F62" s="198">
        <v>5.9349999999999996</v>
      </c>
      <c r="G62" s="198">
        <v>4.9459999999999997</v>
      </c>
      <c r="H62" s="198">
        <v>10.881</v>
      </c>
      <c r="I62" s="199">
        <v>14.837999999999999</v>
      </c>
      <c r="J62" s="74"/>
      <c r="K62" s="171" t="s">
        <v>14</v>
      </c>
      <c r="L62" s="171"/>
      <c r="R62" s="1"/>
      <c r="S62" s="1"/>
      <c r="T62" s="1"/>
      <c r="U62" s="1"/>
      <c r="V62" s="1"/>
      <c r="W62" s="1"/>
      <c r="X62" s="1"/>
      <c r="Y62" s="1"/>
    </row>
    <row r="63" spans="1:26" ht="18" customHeight="1">
      <c r="A63" s="278">
        <v>13</v>
      </c>
      <c r="B63" s="223" t="s">
        <v>1528</v>
      </c>
      <c r="C63" s="23"/>
      <c r="D63" s="197">
        <v>0.49399999999999999</v>
      </c>
      <c r="E63" s="198">
        <v>0.98899999999999999</v>
      </c>
      <c r="F63" s="198">
        <v>4.4509999999999996</v>
      </c>
      <c r="G63" s="198">
        <v>3.9569999999999999</v>
      </c>
      <c r="H63" s="198">
        <v>8.9030000000000005</v>
      </c>
      <c r="I63" s="199">
        <v>14.837999999999999</v>
      </c>
      <c r="J63" s="389"/>
      <c r="K63" s="171" t="s">
        <v>14</v>
      </c>
      <c r="L63" s="171"/>
      <c r="R63" s="1"/>
      <c r="S63" s="1"/>
      <c r="T63" s="1"/>
      <c r="U63" s="1"/>
      <c r="V63" s="1"/>
      <c r="W63" s="1"/>
      <c r="X63" s="1"/>
      <c r="Y63" s="1"/>
    </row>
    <row r="64" spans="1:26" ht="18" customHeight="1" thickBot="1">
      <c r="A64" s="278">
        <v>14</v>
      </c>
      <c r="B64" s="223" t="s">
        <v>1529</v>
      </c>
      <c r="C64" s="23"/>
      <c r="D64" s="197">
        <v>0.98899999999999999</v>
      </c>
      <c r="E64" s="198">
        <v>1.978</v>
      </c>
      <c r="F64" s="198">
        <v>5.44</v>
      </c>
      <c r="G64" s="198">
        <v>4.4509999999999996</v>
      </c>
      <c r="H64" s="198">
        <v>10.881</v>
      </c>
      <c r="I64" s="199">
        <v>14.837999999999999</v>
      </c>
      <c r="J64" s="389"/>
      <c r="K64" s="171" t="s">
        <v>14</v>
      </c>
      <c r="L64" s="171"/>
      <c r="N64" s="66" t="s">
        <v>18</v>
      </c>
      <c r="O64" s="2"/>
      <c r="P64" s="2"/>
      <c r="Q64" s="2"/>
      <c r="R64" s="3"/>
      <c r="S64" s="4"/>
      <c r="T64" s="3"/>
      <c r="U64" s="4"/>
      <c r="V64" s="3"/>
      <c r="W64" s="4"/>
      <c r="X64" s="3"/>
      <c r="Y64" s="4"/>
      <c r="Z64" s="2"/>
    </row>
    <row r="65" spans="1:26" ht="18" customHeight="1">
      <c r="A65" s="278"/>
      <c r="B65" s="222" t="s">
        <v>253</v>
      </c>
      <c r="C65" s="47"/>
      <c r="D65" s="48">
        <f t="shared" ref="D65:I65" si="12">SUBTOTAL(9,D66:D73)</f>
        <v>34.619</v>
      </c>
      <c r="E65" s="49">
        <f t="shared" si="12"/>
        <v>45.503</v>
      </c>
      <c r="F65" s="49">
        <f t="shared" si="12"/>
        <v>111.782</v>
      </c>
      <c r="G65" s="49">
        <f t="shared" si="12"/>
        <v>116.235</v>
      </c>
      <c r="H65" s="49">
        <f t="shared" si="12"/>
        <v>288.85799999999995</v>
      </c>
      <c r="I65" s="50">
        <f t="shared" si="12"/>
        <v>361.56799999999993</v>
      </c>
      <c r="J65" s="74"/>
      <c r="K65" s="171" t="s">
        <v>14</v>
      </c>
      <c r="L65" s="171"/>
      <c r="N65" s="765" t="s">
        <v>19</v>
      </c>
      <c r="O65" s="755" t="s">
        <v>20</v>
      </c>
      <c r="P65" s="755" t="s">
        <v>21</v>
      </c>
      <c r="Q65" s="755" t="s">
        <v>16</v>
      </c>
      <c r="R65" s="5" t="s">
        <v>22</v>
      </c>
      <c r="S65" s="5"/>
      <c r="T65" s="5" t="s">
        <v>23</v>
      </c>
      <c r="U65" s="5"/>
      <c r="V65" s="5" t="s">
        <v>24</v>
      </c>
      <c r="W65" s="5"/>
      <c r="X65" s="5" t="s">
        <v>25</v>
      </c>
      <c r="Y65" s="5"/>
      <c r="Z65" s="755" t="s">
        <v>26</v>
      </c>
    </row>
    <row r="66" spans="1:26" ht="18" customHeight="1" thickBot="1">
      <c r="A66" s="278">
        <v>15</v>
      </c>
      <c r="B66" s="223" t="s">
        <v>1530</v>
      </c>
      <c r="C66" s="23"/>
      <c r="D66" s="197">
        <f t="array" ref="D66:I72">ROUNDDOWN(D32:I38*$D$5*$D$6*L32:L38,3)</f>
        <v>2.9670000000000001</v>
      </c>
      <c r="E66" s="198">
        <v>4.4509999999999996</v>
      </c>
      <c r="F66" s="198">
        <v>12.365</v>
      </c>
      <c r="G66" s="198">
        <v>6.43</v>
      </c>
      <c r="H66" s="198">
        <v>38.58</v>
      </c>
      <c r="I66" s="199">
        <v>43.527000000000001</v>
      </c>
      <c r="J66" s="74"/>
      <c r="K66" s="171" t="s">
        <v>14</v>
      </c>
      <c r="L66" s="171"/>
      <c r="N66" s="766"/>
      <c r="O66" s="756"/>
      <c r="P66" s="756"/>
      <c r="Q66" s="756"/>
      <c r="R66" s="67" t="s">
        <v>27</v>
      </c>
      <c r="S66" s="67" t="s">
        <v>28</v>
      </c>
      <c r="T66" s="67" t="s">
        <v>27</v>
      </c>
      <c r="U66" s="67" t="s">
        <v>28</v>
      </c>
      <c r="V66" s="67" t="s">
        <v>27</v>
      </c>
      <c r="W66" s="67" t="s">
        <v>28</v>
      </c>
      <c r="X66" s="67" t="s">
        <v>27</v>
      </c>
      <c r="Y66" s="67" t="s">
        <v>28</v>
      </c>
      <c r="Z66" s="756"/>
    </row>
    <row r="67" spans="1:26" ht="18" customHeight="1" thickTop="1">
      <c r="A67" s="278">
        <v>16</v>
      </c>
      <c r="B67" s="223" t="s">
        <v>1531</v>
      </c>
      <c r="C67" s="23"/>
      <c r="D67" s="197">
        <v>4.4509999999999996</v>
      </c>
      <c r="E67" s="198">
        <v>6.9240000000000004</v>
      </c>
      <c r="F67" s="198">
        <v>14.837999999999999</v>
      </c>
      <c r="G67" s="198">
        <v>14.343999999999999</v>
      </c>
      <c r="H67" s="198">
        <v>37.095999999999997</v>
      </c>
      <c r="I67" s="199">
        <v>63.805999999999997</v>
      </c>
      <c r="J67" s="74"/>
      <c r="K67" s="171" t="s">
        <v>14</v>
      </c>
      <c r="L67" s="171"/>
      <c r="N67" s="318" t="str">
        <f ca="1">"제 " &amp; Z67 &amp; " 호표  "&amp; OFFSET($A$1,MATCH(Z67,$A:$A,0)-1,1)</f>
        <v>제 1 호표  1.1. 자연환경</v>
      </c>
      <c r="O67" s="221"/>
      <c r="P67" s="148"/>
      <c r="Q67" s="148"/>
      <c r="R67" s="149"/>
      <c r="S67" s="149"/>
      <c r="T67" s="149"/>
      <c r="U67" s="149"/>
      <c r="V67" s="149"/>
      <c r="W67" s="149"/>
      <c r="X67" s="149"/>
      <c r="Y67" s="149"/>
      <c r="Z67" s="325">
        <v>1</v>
      </c>
    </row>
    <row r="68" spans="1:26" ht="18" customHeight="1">
      <c r="A68" s="278">
        <v>17</v>
      </c>
      <c r="B68" s="223" t="s">
        <v>1532</v>
      </c>
      <c r="C68" s="23"/>
      <c r="D68" s="197">
        <v>1.4830000000000001</v>
      </c>
      <c r="E68" s="198">
        <v>2.4729999999999999</v>
      </c>
      <c r="F68" s="198">
        <v>7.4189999999999996</v>
      </c>
      <c r="G68" s="198">
        <v>6.43</v>
      </c>
      <c r="H68" s="198">
        <v>12.365</v>
      </c>
      <c r="I68" s="199">
        <v>21.268000000000001</v>
      </c>
      <c r="J68" s="74"/>
      <c r="K68" s="171" t="s">
        <v>14</v>
      </c>
      <c r="L68" s="171"/>
      <c r="N68" s="140" t="s">
        <v>43</v>
      </c>
      <c r="O68" s="172">
        <v>3</v>
      </c>
      <c r="P68" s="219">
        <f ca="1">OFFSET($A$1,MATCH(Z67,$A:$A,0)-1,O68)</f>
        <v>0.49399999999999999</v>
      </c>
      <c r="Q68" s="141" t="s">
        <v>29</v>
      </c>
      <c r="R68" s="142">
        <f t="shared" ref="R68:S73" ca="1" si="13">T68</f>
        <v>467217</v>
      </c>
      <c r="S68" s="142">
        <f t="shared" ca="1" si="13"/>
        <v>230805</v>
      </c>
      <c r="T68" s="142">
        <f ca="1">기술사</f>
        <v>467217</v>
      </c>
      <c r="U68" s="142">
        <f t="shared" ref="U68:U73" ca="1" si="14">ROUNDDOWN(P68*R68,0)</f>
        <v>230805</v>
      </c>
      <c r="V68" s="142"/>
      <c r="W68" s="142"/>
      <c r="X68" s="142"/>
      <c r="Y68" s="142"/>
      <c r="Z68" s="114"/>
    </row>
    <row r="69" spans="1:26" ht="18" customHeight="1">
      <c r="A69" s="278">
        <v>18</v>
      </c>
      <c r="B69" s="223" t="s">
        <v>1533</v>
      </c>
      <c r="C69" s="23"/>
      <c r="D69" s="197">
        <v>5.44</v>
      </c>
      <c r="E69" s="198">
        <v>7.9139999999999997</v>
      </c>
      <c r="F69" s="198">
        <v>24.731000000000002</v>
      </c>
      <c r="G69" s="198">
        <v>28.193000000000001</v>
      </c>
      <c r="H69" s="198">
        <v>53.914000000000001</v>
      </c>
      <c r="I69" s="199">
        <v>53.914000000000001</v>
      </c>
      <c r="J69" s="389"/>
      <c r="K69" s="171" t="s">
        <v>14</v>
      </c>
      <c r="L69" s="171"/>
      <c r="N69" s="143" t="s">
        <v>32</v>
      </c>
      <c r="O69" s="173">
        <v>4</v>
      </c>
      <c r="P69" s="234">
        <f ca="1">OFFSET($A$1,MATCH(Z67,$A:$A,0)-1,O69)</f>
        <v>0.98899999999999999</v>
      </c>
      <c r="Q69" s="144" t="s">
        <v>29</v>
      </c>
      <c r="R69" s="118">
        <f t="shared" ca="1" si="13"/>
        <v>373353</v>
      </c>
      <c r="S69" s="118">
        <f t="shared" ca="1" si="13"/>
        <v>369246</v>
      </c>
      <c r="T69" s="118">
        <f ca="1">특급</f>
        <v>373353</v>
      </c>
      <c r="U69" s="118">
        <f t="shared" ca="1" si="14"/>
        <v>369246</v>
      </c>
      <c r="V69" s="118"/>
      <c r="W69" s="118"/>
      <c r="X69" s="118"/>
      <c r="Y69" s="118"/>
      <c r="Z69" s="115"/>
    </row>
    <row r="70" spans="1:26" ht="18" customHeight="1">
      <c r="A70" s="278">
        <v>19</v>
      </c>
      <c r="B70" s="223" t="s">
        <v>1534</v>
      </c>
      <c r="C70" s="23"/>
      <c r="D70" s="197">
        <v>5.9349999999999996</v>
      </c>
      <c r="E70" s="198">
        <v>3.4620000000000002</v>
      </c>
      <c r="F70" s="198">
        <v>8.9030000000000005</v>
      </c>
      <c r="G70" s="198">
        <v>8.9030000000000005</v>
      </c>
      <c r="H70" s="198">
        <v>30.172000000000001</v>
      </c>
      <c r="I70" s="199">
        <v>34.128999999999998</v>
      </c>
      <c r="J70" s="389"/>
      <c r="K70" s="171" t="s">
        <v>14</v>
      </c>
      <c r="L70" s="171"/>
      <c r="N70" s="145" t="s">
        <v>39</v>
      </c>
      <c r="O70" s="173">
        <v>5</v>
      </c>
      <c r="P70" s="234">
        <f ca="1">OFFSET($A$1,MATCH(Z67,$A:$A,0)-1,O70)</f>
        <v>2.9670000000000001</v>
      </c>
      <c r="Q70" s="144" t="s">
        <v>29</v>
      </c>
      <c r="R70" s="118">
        <f t="shared" ca="1" si="13"/>
        <v>310884</v>
      </c>
      <c r="S70" s="118">
        <f t="shared" ca="1" si="13"/>
        <v>922392</v>
      </c>
      <c r="T70" s="118">
        <f ca="1">고급</f>
        <v>310884</v>
      </c>
      <c r="U70" s="118">
        <f t="shared" ca="1" si="14"/>
        <v>922392</v>
      </c>
      <c r="V70" s="118"/>
      <c r="W70" s="118"/>
      <c r="X70" s="118"/>
      <c r="Y70" s="118"/>
      <c r="Z70" s="115"/>
    </row>
    <row r="71" spans="1:26" ht="18" customHeight="1">
      <c r="A71" s="278">
        <v>20</v>
      </c>
      <c r="B71" s="223" t="s">
        <v>1535</v>
      </c>
      <c r="C71" s="23"/>
      <c r="D71" s="197">
        <v>11.375999999999999</v>
      </c>
      <c r="E71" s="198">
        <v>15.827999999999999</v>
      </c>
      <c r="F71" s="198">
        <v>34.622999999999998</v>
      </c>
      <c r="G71" s="198">
        <v>44.515999999999998</v>
      </c>
      <c r="H71" s="198">
        <v>92</v>
      </c>
      <c r="I71" s="199">
        <v>102.387</v>
      </c>
      <c r="J71" s="389"/>
      <c r="K71" s="171" t="s">
        <v>14</v>
      </c>
      <c r="L71" s="171"/>
      <c r="N71" s="145" t="s">
        <v>40</v>
      </c>
      <c r="O71" s="173">
        <v>6</v>
      </c>
      <c r="P71" s="234">
        <f ca="1">OFFSET($A$1,MATCH(Z67,$A:$A,0)-1,O71)</f>
        <v>4.9459999999999997</v>
      </c>
      <c r="Q71" s="144" t="s">
        <v>29</v>
      </c>
      <c r="R71" s="118">
        <f t="shared" ca="1" si="13"/>
        <v>295138</v>
      </c>
      <c r="S71" s="118">
        <f t="shared" ca="1" si="13"/>
        <v>1459752</v>
      </c>
      <c r="T71" s="118">
        <f ca="1">중급</f>
        <v>295138</v>
      </c>
      <c r="U71" s="118">
        <f t="shared" ca="1" si="14"/>
        <v>1459752</v>
      </c>
      <c r="V71" s="118"/>
      <c r="W71" s="118"/>
      <c r="X71" s="118"/>
      <c r="Y71" s="118"/>
      <c r="Z71" s="115"/>
    </row>
    <row r="72" spans="1:26" ht="18" customHeight="1">
      <c r="A72" s="278">
        <v>21</v>
      </c>
      <c r="B72" s="223" t="s">
        <v>1536</v>
      </c>
      <c r="C72" s="23"/>
      <c r="D72" s="197">
        <v>2.9670000000000001</v>
      </c>
      <c r="E72" s="198">
        <v>4.4509999999999996</v>
      </c>
      <c r="F72" s="198">
        <v>8.9030000000000005</v>
      </c>
      <c r="G72" s="198">
        <v>7.4189999999999996</v>
      </c>
      <c r="H72" s="198">
        <v>24.731000000000002</v>
      </c>
      <c r="I72" s="199">
        <v>42.536999999999999</v>
      </c>
      <c r="J72" s="389"/>
      <c r="K72" s="171" t="s">
        <v>14</v>
      </c>
      <c r="L72" s="171"/>
      <c r="N72" s="145" t="s">
        <v>41</v>
      </c>
      <c r="O72" s="173">
        <v>7</v>
      </c>
      <c r="P72" s="234">
        <f ca="1">OFFSET($A$1,MATCH(Z67,$A:$A,0)-1,O72)</f>
        <v>6.43</v>
      </c>
      <c r="Q72" s="144" t="s">
        <v>29</v>
      </c>
      <c r="R72" s="118">
        <f t="shared" ca="1" si="13"/>
        <v>235459</v>
      </c>
      <c r="S72" s="118">
        <f t="shared" ca="1" si="13"/>
        <v>1514001</v>
      </c>
      <c r="T72" s="118">
        <f ca="1">초급</f>
        <v>235459</v>
      </c>
      <c r="U72" s="118">
        <f t="shared" ca="1" si="14"/>
        <v>1514001</v>
      </c>
      <c r="V72" s="118"/>
      <c r="W72" s="118"/>
      <c r="X72" s="118"/>
      <c r="Y72" s="118"/>
      <c r="Z72" s="115"/>
    </row>
    <row r="73" spans="1:26" ht="18" customHeight="1">
      <c r="A73" s="278">
        <v>22</v>
      </c>
      <c r="B73" s="223" t="s">
        <v>1537</v>
      </c>
      <c r="C73" s="23"/>
      <c r="D73" s="197"/>
      <c r="E73" s="198"/>
      <c r="F73" s="198"/>
      <c r="G73" s="198"/>
      <c r="H73" s="198"/>
      <c r="I73" s="199"/>
      <c r="J73" s="389"/>
      <c r="K73" s="171" t="s">
        <v>14</v>
      </c>
      <c r="L73" s="171"/>
      <c r="N73" s="319" t="s">
        <v>42</v>
      </c>
      <c r="O73" s="174">
        <v>8</v>
      </c>
      <c r="P73" s="235">
        <f ca="1">OFFSET($A$1,MATCH(Z67,$A:$A,0)-1,O73)</f>
        <v>9.8919999999999995</v>
      </c>
      <c r="Q73" s="322" t="s">
        <v>29</v>
      </c>
      <c r="R73" s="323">
        <f t="shared" ca="1" si="13"/>
        <v>250087</v>
      </c>
      <c r="S73" s="323">
        <f t="shared" ca="1" si="13"/>
        <v>2473860</v>
      </c>
      <c r="T73" s="323">
        <f ca="1">보조원</f>
        <v>250087</v>
      </c>
      <c r="U73" s="323">
        <f t="shared" ca="1" si="14"/>
        <v>2473860</v>
      </c>
      <c r="V73" s="323"/>
      <c r="W73" s="323"/>
      <c r="X73" s="323"/>
      <c r="Y73" s="323"/>
      <c r="Z73" s="324"/>
    </row>
    <row r="74" spans="1:26" ht="18" customHeight="1">
      <c r="A74" s="278"/>
      <c r="B74" s="222" t="s">
        <v>98</v>
      </c>
      <c r="C74" s="47"/>
      <c r="D74" s="48">
        <f t="shared" ref="D74:I74" si="15">SUBTOTAL(9,D75:D76)</f>
        <v>9.3970000000000002</v>
      </c>
      <c r="E74" s="49">
        <f t="shared" si="15"/>
        <v>22.751999999999999</v>
      </c>
      <c r="F74" s="49">
        <f t="shared" si="15"/>
        <v>51.44</v>
      </c>
      <c r="G74" s="49">
        <f t="shared" si="15"/>
        <v>95.461999999999989</v>
      </c>
      <c r="H74" s="49">
        <f t="shared" si="15"/>
        <v>133.548</v>
      </c>
      <c r="I74" s="50">
        <f t="shared" si="15"/>
        <v>133.548</v>
      </c>
      <c r="J74" s="74"/>
      <c r="K74" s="171" t="s">
        <v>14</v>
      </c>
      <c r="L74" s="171"/>
      <c r="N74" s="139" t="s">
        <v>17</v>
      </c>
      <c r="O74" s="68"/>
      <c r="P74" s="69"/>
      <c r="Q74" s="70"/>
      <c r="R74" s="71"/>
      <c r="S74" s="71">
        <f ca="1">SUBTOTAL(9,S68:S73)</f>
        <v>6970056</v>
      </c>
      <c r="T74" s="71"/>
      <c r="U74" s="71">
        <f ca="1">SUBTOTAL(9,U68:U73)</f>
        <v>6970056</v>
      </c>
      <c r="V74" s="71"/>
      <c r="W74" s="71"/>
      <c r="X74" s="71"/>
      <c r="Y74" s="71"/>
      <c r="Z74" s="68"/>
    </row>
    <row r="75" spans="1:26" ht="18" customHeight="1">
      <c r="A75" s="278">
        <v>23</v>
      </c>
      <c r="B75" s="223" t="s">
        <v>1538</v>
      </c>
      <c r="C75" s="23"/>
      <c r="D75" s="197">
        <f t="array" ref="D75:I76">ROUNDDOWN(D41:I42*$D$5*$D$6*L41:L42,3)</f>
        <v>7.4189999999999996</v>
      </c>
      <c r="E75" s="198">
        <v>15.333</v>
      </c>
      <c r="F75" s="198">
        <v>34.128999999999998</v>
      </c>
      <c r="G75" s="198">
        <v>57.375999999999998</v>
      </c>
      <c r="H75" s="198">
        <v>57.375999999999998</v>
      </c>
      <c r="I75" s="199">
        <v>38.085999999999999</v>
      </c>
      <c r="J75" s="74"/>
      <c r="K75" s="171" t="s">
        <v>14</v>
      </c>
      <c r="L75" s="171"/>
      <c r="N75" s="318" t="str">
        <f ca="1">"제 " &amp; Z75 &amp; " 호표  "&amp; OFFSET($A$1,MATCH(Z75,$A:$A,0)-1,1)</f>
        <v>제 2 호표  1.2. 인구 및 산업현황</v>
      </c>
      <c r="O75" s="221"/>
      <c r="P75" s="148"/>
      <c r="Q75" s="148"/>
      <c r="R75" s="149"/>
      <c r="S75" s="149"/>
      <c r="T75" s="149"/>
      <c r="U75" s="149"/>
      <c r="V75" s="149"/>
      <c r="W75" s="149"/>
      <c r="X75" s="149"/>
      <c r="Y75" s="149"/>
      <c r="Z75" s="325">
        <f>Z67+1</f>
        <v>2</v>
      </c>
    </row>
    <row r="76" spans="1:26" ht="18" customHeight="1">
      <c r="A76" s="278">
        <v>24</v>
      </c>
      <c r="B76" s="223" t="s">
        <v>1539</v>
      </c>
      <c r="C76" s="43"/>
      <c r="D76" s="206">
        <v>1.978</v>
      </c>
      <c r="E76" s="207">
        <v>7.4189999999999996</v>
      </c>
      <c r="F76" s="207">
        <v>17.311</v>
      </c>
      <c r="G76" s="207">
        <v>38.085999999999999</v>
      </c>
      <c r="H76" s="207">
        <v>76.171999999999997</v>
      </c>
      <c r="I76" s="208">
        <v>95.462000000000003</v>
      </c>
      <c r="J76" s="239"/>
      <c r="K76" s="171" t="s">
        <v>14</v>
      </c>
      <c r="L76" s="171"/>
      <c r="N76" s="140" t="s">
        <v>43</v>
      </c>
      <c r="O76" s="172">
        <v>3</v>
      </c>
      <c r="P76" s="219">
        <f ca="1">OFFSET($A$1,MATCH(Z75,$A:$A,0)-1,O76)</f>
        <v>0.49399999999999999</v>
      </c>
      <c r="Q76" s="141" t="s">
        <v>29</v>
      </c>
      <c r="R76" s="142">
        <f t="shared" ref="R76:S81" ca="1" si="16">T76</f>
        <v>467217</v>
      </c>
      <c r="S76" s="142">
        <f t="shared" ca="1" si="16"/>
        <v>230805</v>
      </c>
      <c r="T76" s="142">
        <f ca="1">기술사</f>
        <v>467217</v>
      </c>
      <c r="U76" s="142">
        <f t="shared" ref="U76:U81" ca="1" si="17">ROUNDDOWN(P76*R76,0)</f>
        <v>230805</v>
      </c>
      <c r="V76" s="142"/>
      <c r="W76" s="142"/>
      <c r="X76" s="142"/>
      <c r="Y76" s="142"/>
      <c r="Z76" s="114"/>
    </row>
    <row r="77" spans="1:26" ht="18" customHeight="1">
      <c r="A77" s="278"/>
      <c r="B77" s="222" t="s">
        <v>232</v>
      </c>
      <c r="C77" s="47"/>
      <c r="D77" s="48">
        <f t="shared" ref="D77:I77" si="18">SUBTOTAL(9,D78:D81)</f>
        <v>8</v>
      </c>
      <c r="E77" s="49">
        <f t="shared" si="18"/>
        <v>8</v>
      </c>
      <c r="F77" s="49">
        <f t="shared" si="18"/>
        <v>8</v>
      </c>
      <c r="G77" s="49">
        <f t="shared" si="18"/>
        <v>16</v>
      </c>
      <c r="H77" s="49">
        <f t="shared" si="18"/>
        <v>16</v>
      </c>
      <c r="I77" s="50">
        <f t="shared" si="18"/>
        <v>16</v>
      </c>
      <c r="J77" s="74"/>
      <c r="K77" s="171" t="s">
        <v>14</v>
      </c>
      <c r="L77" s="171"/>
      <c r="N77" s="143" t="s">
        <v>32</v>
      </c>
      <c r="O77" s="173">
        <v>4</v>
      </c>
      <c r="P77" s="234">
        <f ca="1">OFFSET($A$1,MATCH(Z75,$A:$A,0)-1,O77)</f>
        <v>0.98899999999999999</v>
      </c>
      <c r="Q77" s="144" t="s">
        <v>29</v>
      </c>
      <c r="R77" s="118">
        <f t="shared" ca="1" si="16"/>
        <v>373353</v>
      </c>
      <c r="S77" s="118">
        <f t="shared" ca="1" si="16"/>
        <v>369246</v>
      </c>
      <c r="T77" s="118">
        <f ca="1">특급</f>
        <v>373353</v>
      </c>
      <c r="U77" s="118">
        <f t="shared" ca="1" si="17"/>
        <v>369246</v>
      </c>
      <c r="V77" s="118"/>
      <c r="W77" s="118"/>
      <c r="X77" s="118"/>
      <c r="Y77" s="118"/>
      <c r="Z77" s="115"/>
    </row>
    <row r="78" spans="1:26" ht="18" customHeight="1">
      <c r="A78" s="278">
        <v>25</v>
      </c>
      <c r="B78" s="223" t="s">
        <v>1540</v>
      </c>
      <c r="C78" s="23"/>
      <c r="D78" s="197">
        <f t="array" ref="D78:I81">ROUNDDOWN(D44:I47*$I$6*L44:L47,3)</f>
        <v>2</v>
      </c>
      <c r="E78" s="198">
        <v>2</v>
      </c>
      <c r="F78" s="198">
        <v>2</v>
      </c>
      <c r="G78" s="198">
        <v>4</v>
      </c>
      <c r="H78" s="198">
        <v>4</v>
      </c>
      <c r="I78" s="199">
        <v>4</v>
      </c>
      <c r="J78" s="789"/>
      <c r="K78" s="171" t="s">
        <v>14</v>
      </c>
      <c r="L78" s="171"/>
      <c r="N78" s="145" t="s">
        <v>39</v>
      </c>
      <c r="O78" s="173">
        <v>5</v>
      </c>
      <c r="P78" s="234">
        <f ca="1">OFFSET($A$1,MATCH(Z75,$A:$A,0)-1,O78)</f>
        <v>2.9670000000000001</v>
      </c>
      <c r="Q78" s="144" t="s">
        <v>29</v>
      </c>
      <c r="R78" s="118">
        <f t="shared" ca="1" si="16"/>
        <v>310884</v>
      </c>
      <c r="S78" s="118">
        <f t="shared" ca="1" si="16"/>
        <v>922392</v>
      </c>
      <c r="T78" s="118">
        <f ca="1">고급</f>
        <v>310884</v>
      </c>
      <c r="U78" s="118">
        <f t="shared" ca="1" si="17"/>
        <v>922392</v>
      </c>
      <c r="V78" s="118"/>
      <c r="W78" s="118"/>
      <c r="X78" s="118"/>
      <c r="Y78" s="118"/>
      <c r="Z78" s="115"/>
    </row>
    <row r="79" spans="1:26" ht="18" customHeight="1">
      <c r="A79" s="278">
        <v>26</v>
      </c>
      <c r="B79" s="223" t="s">
        <v>1541</v>
      </c>
      <c r="C79" s="23"/>
      <c r="D79" s="197">
        <v>2</v>
      </c>
      <c r="E79" s="198">
        <v>2</v>
      </c>
      <c r="F79" s="198">
        <v>2</v>
      </c>
      <c r="G79" s="198">
        <v>4</v>
      </c>
      <c r="H79" s="198">
        <v>4</v>
      </c>
      <c r="I79" s="199">
        <v>4</v>
      </c>
      <c r="J79" s="787"/>
      <c r="K79" s="171" t="s">
        <v>14</v>
      </c>
      <c r="L79" s="171"/>
      <c r="N79" s="145" t="s">
        <v>40</v>
      </c>
      <c r="O79" s="173">
        <v>6</v>
      </c>
      <c r="P79" s="234">
        <f ca="1">OFFSET($A$1,MATCH(Z75,$A:$A,0)-1,O79)</f>
        <v>7.4189999999999996</v>
      </c>
      <c r="Q79" s="144" t="s">
        <v>29</v>
      </c>
      <c r="R79" s="118">
        <f t="shared" ca="1" si="16"/>
        <v>295138</v>
      </c>
      <c r="S79" s="118">
        <f t="shared" ca="1" si="16"/>
        <v>2189628</v>
      </c>
      <c r="T79" s="118">
        <f ca="1">중급</f>
        <v>295138</v>
      </c>
      <c r="U79" s="118">
        <f t="shared" ca="1" si="17"/>
        <v>2189628</v>
      </c>
      <c r="V79" s="118"/>
      <c r="W79" s="118"/>
      <c r="X79" s="118"/>
      <c r="Y79" s="118"/>
      <c r="Z79" s="115"/>
    </row>
    <row r="80" spans="1:26" ht="18" customHeight="1">
      <c r="A80" s="278">
        <v>27</v>
      </c>
      <c r="B80" s="223" t="s">
        <v>1542</v>
      </c>
      <c r="C80" s="23"/>
      <c r="D80" s="197">
        <v>2</v>
      </c>
      <c r="E80" s="198">
        <v>2</v>
      </c>
      <c r="F80" s="198">
        <v>2</v>
      </c>
      <c r="G80" s="198">
        <v>4</v>
      </c>
      <c r="H80" s="198">
        <v>4</v>
      </c>
      <c r="I80" s="199">
        <v>4</v>
      </c>
      <c r="J80" s="787"/>
      <c r="K80" s="171" t="s">
        <v>14</v>
      </c>
      <c r="L80" s="171"/>
      <c r="N80" s="145" t="s">
        <v>41</v>
      </c>
      <c r="O80" s="173">
        <v>7</v>
      </c>
      <c r="P80" s="234">
        <f ca="1">OFFSET($A$1,MATCH(Z75,$A:$A,0)-1,O80)</f>
        <v>11.871</v>
      </c>
      <c r="Q80" s="144" t="s">
        <v>29</v>
      </c>
      <c r="R80" s="118">
        <f t="shared" ca="1" si="16"/>
        <v>235459</v>
      </c>
      <c r="S80" s="118">
        <f t="shared" ca="1" si="16"/>
        <v>2795133</v>
      </c>
      <c r="T80" s="118">
        <f ca="1">초급</f>
        <v>235459</v>
      </c>
      <c r="U80" s="118">
        <f t="shared" ca="1" si="17"/>
        <v>2795133</v>
      </c>
      <c r="V80" s="118"/>
      <c r="W80" s="118"/>
      <c r="X80" s="118"/>
      <c r="Y80" s="118"/>
      <c r="Z80" s="115"/>
    </row>
    <row r="81" spans="1:26" ht="18" customHeight="1" thickBot="1">
      <c r="A81" s="278">
        <v>28</v>
      </c>
      <c r="B81" s="388" t="s">
        <v>1543</v>
      </c>
      <c r="C81" s="342"/>
      <c r="D81" s="343">
        <v>2</v>
      </c>
      <c r="E81" s="344">
        <v>2</v>
      </c>
      <c r="F81" s="344">
        <v>2</v>
      </c>
      <c r="G81" s="344">
        <v>4</v>
      </c>
      <c r="H81" s="344">
        <v>4</v>
      </c>
      <c r="I81" s="345">
        <v>4</v>
      </c>
      <c r="J81" s="788"/>
      <c r="K81" s="171" t="s">
        <v>14</v>
      </c>
      <c r="L81" s="171"/>
      <c r="N81" s="319" t="s">
        <v>42</v>
      </c>
      <c r="O81" s="174">
        <v>8</v>
      </c>
      <c r="P81" s="235">
        <f ca="1">OFFSET($A$1,MATCH(Z75,$A:$A,0)-1,O81)</f>
        <v>12.365</v>
      </c>
      <c r="Q81" s="322" t="s">
        <v>29</v>
      </c>
      <c r="R81" s="323">
        <f t="shared" ca="1" si="16"/>
        <v>250087</v>
      </c>
      <c r="S81" s="323">
        <f t="shared" ca="1" si="16"/>
        <v>3092325</v>
      </c>
      <c r="T81" s="323">
        <f ca="1">보조원</f>
        <v>250087</v>
      </c>
      <c r="U81" s="323">
        <f t="shared" ca="1" si="17"/>
        <v>3092325</v>
      </c>
      <c r="V81" s="323"/>
      <c r="W81" s="323"/>
      <c r="X81" s="323"/>
      <c r="Y81" s="323"/>
      <c r="Z81" s="324"/>
    </row>
    <row r="82" spans="1:26" ht="18" customHeight="1">
      <c r="B82" s="80" t="s">
        <v>1561</v>
      </c>
      <c r="C82" s="9" t="s">
        <v>1562</v>
      </c>
      <c r="E82" s="8"/>
      <c r="F82" s="8"/>
      <c r="G82" s="8"/>
      <c r="H82" s="8"/>
      <c r="I82" s="8"/>
      <c r="J82" s="10"/>
      <c r="K82" s="171" t="s">
        <v>14</v>
      </c>
      <c r="L82" s="171"/>
      <c r="N82" s="139" t="s">
        <v>17</v>
      </c>
      <c r="O82" s="68"/>
      <c r="P82" s="69"/>
      <c r="Q82" s="70"/>
      <c r="R82" s="71"/>
      <c r="S82" s="71">
        <f ca="1">SUBTOTAL(9,S76:S81)</f>
        <v>9599529</v>
      </c>
      <c r="T82" s="71"/>
      <c r="U82" s="71">
        <f ca="1">SUBTOTAL(9,U76:U81)</f>
        <v>9599529</v>
      </c>
      <c r="V82" s="71"/>
      <c r="W82" s="71"/>
      <c r="X82" s="71"/>
      <c r="Y82" s="71"/>
      <c r="Z82" s="68"/>
    </row>
    <row r="83" spans="1:26" ht="18" customHeight="1">
      <c r="B83" s="80"/>
      <c r="C83" s="9" t="s">
        <v>1560</v>
      </c>
      <c r="J83" s="8"/>
      <c r="K83" s="171" t="s">
        <v>14</v>
      </c>
      <c r="L83" s="171"/>
      <c r="N83" s="318" t="str">
        <f ca="1">"제 " &amp; Z83 &amp; " 호표  "&amp; OFFSET($A$1,MATCH(Z83,$A:$A,0)-1,1)</f>
        <v>제 3 호표  1.3. 토지소유 및 이용현황</v>
      </c>
      <c r="O83" s="221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325">
        <f>Z75+1</f>
        <v>3</v>
      </c>
    </row>
    <row r="84" spans="1:26" ht="18" customHeight="1">
      <c r="C84" s="1" t="s">
        <v>1563</v>
      </c>
      <c r="J84" s="8"/>
      <c r="K84" s="171" t="s">
        <v>14</v>
      </c>
      <c r="L84" s="171"/>
      <c r="N84" s="140" t="s">
        <v>43</v>
      </c>
      <c r="O84" s="172">
        <v>3</v>
      </c>
      <c r="P84" s="219">
        <f ca="1">OFFSET($A$1,MATCH(Z83,$A:$A,0)-1,O84)</f>
        <v>0.98899999999999999</v>
      </c>
      <c r="Q84" s="141" t="s">
        <v>29</v>
      </c>
      <c r="R84" s="142">
        <f t="shared" ref="R84:S89" ca="1" si="19">T84</f>
        <v>467217</v>
      </c>
      <c r="S84" s="142">
        <f t="shared" ca="1" si="19"/>
        <v>462077</v>
      </c>
      <c r="T84" s="142">
        <f ca="1">기술사</f>
        <v>467217</v>
      </c>
      <c r="U84" s="142">
        <f t="shared" ref="U84:U89" ca="1" si="20">ROUNDDOWN(P84*R84,0)</f>
        <v>462077</v>
      </c>
      <c r="V84" s="142"/>
      <c r="W84" s="142"/>
      <c r="X84" s="142"/>
      <c r="Y84" s="142"/>
      <c r="Z84" s="114"/>
    </row>
    <row r="85" spans="1:26" ht="18" customHeight="1">
      <c r="C85" s="9" t="s">
        <v>1564</v>
      </c>
      <c r="J85" s="8"/>
      <c r="K85" s="171" t="s">
        <v>14</v>
      </c>
      <c r="L85" s="171"/>
      <c r="N85" s="143" t="s">
        <v>32</v>
      </c>
      <c r="O85" s="173">
        <v>4</v>
      </c>
      <c r="P85" s="234">
        <f ca="1">OFFSET($A$1,MATCH(Z83,$A:$A,0)-1,O85)</f>
        <v>2.4729999999999999</v>
      </c>
      <c r="Q85" s="144" t="s">
        <v>29</v>
      </c>
      <c r="R85" s="118">
        <f t="shared" ca="1" si="19"/>
        <v>373353</v>
      </c>
      <c r="S85" s="118">
        <f t="shared" ca="1" si="19"/>
        <v>923301</v>
      </c>
      <c r="T85" s="118">
        <f ca="1">특급</f>
        <v>373353</v>
      </c>
      <c r="U85" s="118">
        <f t="shared" ca="1" si="20"/>
        <v>923301</v>
      </c>
      <c r="V85" s="118"/>
      <c r="W85" s="118"/>
      <c r="X85" s="118"/>
      <c r="Y85" s="118"/>
      <c r="Z85" s="115"/>
    </row>
    <row r="86" spans="1:26" ht="18" customHeight="1">
      <c r="C86" s="36" t="s">
        <v>1565</v>
      </c>
      <c r="K86" s="171" t="s">
        <v>14</v>
      </c>
      <c r="L86" s="171"/>
      <c r="N86" s="145" t="s">
        <v>39</v>
      </c>
      <c r="O86" s="173">
        <v>5</v>
      </c>
      <c r="P86" s="234">
        <f ca="1">OFFSET($A$1,MATCH(Z83,$A:$A,0)-1,O86)</f>
        <v>5.9349999999999996</v>
      </c>
      <c r="Q86" s="144" t="s">
        <v>29</v>
      </c>
      <c r="R86" s="118">
        <f t="shared" ca="1" si="19"/>
        <v>310884</v>
      </c>
      <c r="S86" s="118">
        <f t="shared" ca="1" si="19"/>
        <v>1845096</v>
      </c>
      <c r="T86" s="118">
        <f ca="1">고급</f>
        <v>310884</v>
      </c>
      <c r="U86" s="118">
        <f t="shared" ca="1" si="20"/>
        <v>1845096</v>
      </c>
      <c r="V86" s="118"/>
      <c r="W86" s="118"/>
      <c r="X86" s="118"/>
      <c r="Y86" s="118"/>
      <c r="Z86" s="115"/>
    </row>
    <row r="87" spans="1:26" ht="18" customHeight="1">
      <c r="C87" s="9" t="s">
        <v>1566</v>
      </c>
      <c r="K87" s="171" t="s">
        <v>14</v>
      </c>
      <c r="L87" s="171"/>
      <c r="N87" s="145" t="s">
        <v>40</v>
      </c>
      <c r="O87" s="173">
        <v>6</v>
      </c>
      <c r="P87" s="234">
        <f ca="1">OFFSET($A$1,MATCH(Z83,$A:$A,0)-1,O87)</f>
        <v>11.375999999999999</v>
      </c>
      <c r="Q87" s="144" t="s">
        <v>29</v>
      </c>
      <c r="R87" s="118">
        <f t="shared" ca="1" si="19"/>
        <v>295138</v>
      </c>
      <c r="S87" s="118">
        <f t="shared" ca="1" si="19"/>
        <v>3357489</v>
      </c>
      <c r="T87" s="118">
        <f ca="1">중급</f>
        <v>295138</v>
      </c>
      <c r="U87" s="118">
        <f t="shared" ca="1" si="20"/>
        <v>3357489</v>
      </c>
      <c r="V87" s="118"/>
      <c r="W87" s="118"/>
      <c r="X87" s="118"/>
      <c r="Y87" s="118"/>
      <c r="Z87" s="115"/>
    </row>
    <row r="88" spans="1:26" ht="18" customHeight="1">
      <c r="C88" s="36" t="s">
        <v>1567</v>
      </c>
      <c r="K88" s="171" t="s">
        <v>14</v>
      </c>
      <c r="L88" s="171"/>
      <c r="N88" s="145" t="s">
        <v>41</v>
      </c>
      <c r="O88" s="173">
        <v>7</v>
      </c>
      <c r="P88" s="234">
        <f ca="1">OFFSET($A$1,MATCH(Z83,$A:$A,0)-1,O88)</f>
        <v>17.806000000000001</v>
      </c>
      <c r="Q88" s="144" t="s">
        <v>29</v>
      </c>
      <c r="R88" s="118">
        <f t="shared" ca="1" si="19"/>
        <v>235459</v>
      </c>
      <c r="S88" s="118">
        <f t="shared" ca="1" si="19"/>
        <v>4192582</v>
      </c>
      <c r="T88" s="118">
        <f ca="1">초급</f>
        <v>235459</v>
      </c>
      <c r="U88" s="118">
        <f t="shared" ca="1" si="20"/>
        <v>4192582</v>
      </c>
      <c r="V88" s="118"/>
      <c r="W88" s="118"/>
      <c r="X88" s="118"/>
      <c r="Y88" s="118"/>
      <c r="Z88" s="115"/>
    </row>
    <row r="89" spans="1:26" ht="18" customHeight="1">
      <c r="C89" s="9" t="s">
        <v>1568</v>
      </c>
      <c r="K89" s="171" t="s">
        <v>14</v>
      </c>
      <c r="L89" s="171"/>
      <c r="N89" s="319" t="s">
        <v>42</v>
      </c>
      <c r="O89" s="174">
        <v>8</v>
      </c>
      <c r="P89" s="235">
        <f ca="1">OFFSET($A$1,MATCH(Z83,$A:$A,0)-1,O89)</f>
        <v>22.751999999999999</v>
      </c>
      <c r="Q89" s="322" t="s">
        <v>29</v>
      </c>
      <c r="R89" s="323">
        <f t="shared" ca="1" si="19"/>
        <v>250087</v>
      </c>
      <c r="S89" s="323">
        <f t="shared" ca="1" si="19"/>
        <v>5689979</v>
      </c>
      <c r="T89" s="323">
        <f ca="1">보조원</f>
        <v>250087</v>
      </c>
      <c r="U89" s="323">
        <f t="shared" ca="1" si="20"/>
        <v>5689979</v>
      </c>
      <c r="V89" s="323"/>
      <c r="W89" s="323"/>
      <c r="X89" s="323"/>
      <c r="Y89" s="323"/>
      <c r="Z89" s="324"/>
    </row>
    <row r="90" spans="1:26" ht="18" customHeight="1">
      <c r="C90" s="1" t="s">
        <v>1569</v>
      </c>
      <c r="K90" s="171" t="s">
        <v>14</v>
      </c>
      <c r="L90" s="171"/>
      <c r="N90" s="139" t="s">
        <v>17</v>
      </c>
      <c r="O90" s="68"/>
      <c r="P90" s="69"/>
      <c r="Q90" s="70"/>
      <c r="R90" s="71"/>
      <c r="S90" s="71">
        <f ca="1">SUBTOTAL(9,S84:S89)</f>
        <v>16470524</v>
      </c>
      <c r="T90" s="71"/>
      <c r="U90" s="71">
        <f ca="1">SUBTOTAL(9,U84:U89)</f>
        <v>16470524</v>
      </c>
      <c r="V90" s="71"/>
      <c r="W90" s="71"/>
      <c r="X90" s="71"/>
      <c r="Y90" s="71"/>
      <c r="Z90" s="68"/>
    </row>
    <row r="91" spans="1:26" ht="18" customHeight="1">
      <c r="B91" s="9"/>
      <c r="C91" s="9" t="s">
        <v>1570</v>
      </c>
      <c r="K91" s="171" t="s">
        <v>14</v>
      </c>
      <c r="L91" s="171"/>
      <c r="N91" s="318" t="str">
        <f ca="1">"제 " &amp; Z91 &amp; " 호표  "&amp; OFFSET($A$1,MATCH(Z91,$A:$A,0)-1,1)</f>
        <v>제 4 호표  1.4. 건축물 현황</v>
      </c>
      <c r="O91" s="221"/>
      <c r="P91" s="148"/>
      <c r="Q91" s="148"/>
      <c r="R91" s="149"/>
      <c r="S91" s="149"/>
      <c r="T91" s="149"/>
      <c r="U91" s="149"/>
      <c r="V91" s="149"/>
      <c r="W91" s="149"/>
      <c r="X91" s="149"/>
      <c r="Y91" s="149"/>
      <c r="Z91" s="325">
        <f>Z83+1</f>
        <v>4</v>
      </c>
    </row>
    <row r="92" spans="1:26" ht="18" customHeight="1">
      <c r="B92" s="9"/>
      <c r="C92" s="1" t="s">
        <v>1571</v>
      </c>
      <c r="K92" s="171" t="s">
        <v>14</v>
      </c>
      <c r="L92" s="171"/>
      <c r="N92" s="140" t="s">
        <v>43</v>
      </c>
      <c r="O92" s="172">
        <v>3</v>
      </c>
      <c r="P92" s="219">
        <f ca="1">OFFSET($A$1,MATCH(Z91,$A:$A,0)-1,O92)</f>
        <v>0.98899999999999999</v>
      </c>
      <c r="Q92" s="141" t="s">
        <v>29</v>
      </c>
      <c r="R92" s="142">
        <f t="shared" ref="R92:S97" ca="1" si="21">T92</f>
        <v>467217</v>
      </c>
      <c r="S92" s="142">
        <f t="shared" ca="1" si="21"/>
        <v>462077</v>
      </c>
      <c r="T92" s="142">
        <f ca="1">기술사</f>
        <v>467217</v>
      </c>
      <c r="U92" s="142">
        <f t="shared" ref="U92:U97" ca="1" si="22">ROUNDDOWN(P92*R92,0)</f>
        <v>462077</v>
      </c>
      <c r="V92" s="142"/>
      <c r="W92" s="142"/>
      <c r="X92" s="142"/>
      <c r="Y92" s="142"/>
      <c r="Z92" s="114"/>
    </row>
    <row r="93" spans="1:26" ht="18" customHeight="1">
      <c r="B93" s="9"/>
      <c r="K93" s="171" t="s">
        <v>14</v>
      </c>
      <c r="L93" s="171"/>
      <c r="N93" s="143" t="s">
        <v>32</v>
      </c>
      <c r="O93" s="173">
        <v>4</v>
      </c>
      <c r="P93" s="234">
        <f ca="1">OFFSET($A$1,MATCH(Z91,$A:$A,0)-1,O93)</f>
        <v>2.4729999999999999</v>
      </c>
      <c r="Q93" s="144" t="s">
        <v>29</v>
      </c>
      <c r="R93" s="118">
        <f t="shared" ca="1" si="21"/>
        <v>373353</v>
      </c>
      <c r="S93" s="118">
        <f t="shared" ca="1" si="21"/>
        <v>923301</v>
      </c>
      <c r="T93" s="118">
        <f ca="1">특급</f>
        <v>373353</v>
      </c>
      <c r="U93" s="118">
        <f t="shared" ca="1" si="22"/>
        <v>923301</v>
      </c>
      <c r="V93" s="118"/>
      <c r="W93" s="118"/>
      <c r="X93" s="118"/>
      <c r="Y93" s="118"/>
      <c r="Z93" s="115"/>
    </row>
    <row r="94" spans="1:26" ht="18" customHeight="1">
      <c r="B94" s="9"/>
      <c r="K94" s="171" t="s">
        <v>14</v>
      </c>
      <c r="L94" s="171"/>
      <c r="N94" s="145" t="s">
        <v>39</v>
      </c>
      <c r="O94" s="173">
        <v>5</v>
      </c>
      <c r="P94" s="234">
        <f ca="1">OFFSET($A$1,MATCH(Z91,$A:$A,0)-1,O94)</f>
        <v>5.9349999999999996</v>
      </c>
      <c r="Q94" s="144" t="s">
        <v>29</v>
      </c>
      <c r="R94" s="118">
        <f t="shared" ca="1" si="21"/>
        <v>310884</v>
      </c>
      <c r="S94" s="118">
        <f t="shared" ca="1" si="21"/>
        <v>1845096</v>
      </c>
      <c r="T94" s="118">
        <f ca="1">고급</f>
        <v>310884</v>
      </c>
      <c r="U94" s="118">
        <f t="shared" ca="1" si="22"/>
        <v>1845096</v>
      </c>
      <c r="V94" s="118"/>
      <c r="W94" s="118"/>
      <c r="X94" s="118"/>
      <c r="Y94" s="118"/>
      <c r="Z94" s="115"/>
    </row>
    <row r="95" spans="1:26" ht="18" customHeight="1">
      <c r="B95" s="9"/>
      <c r="K95" s="171" t="s">
        <v>14</v>
      </c>
      <c r="L95" s="171"/>
      <c r="N95" s="145" t="s">
        <v>40</v>
      </c>
      <c r="O95" s="173">
        <v>6</v>
      </c>
      <c r="P95" s="234">
        <f ca="1">OFFSET($A$1,MATCH(Z91,$A:$A,0)-1,O95)</f>
        <v>15.827999999999999</v>
      </c>
      <c r="Q95" s="144" t="s">
        <v>29</v>
      </c>
      <c r="R95" s="118">
        <f t="shared" ca="1" si="21"/>
        <v>295138</v>
      </c>
      <c r="S95" s="118">
        <f t="shared" ca="1" si="21"/>
        <v>4671444</v>
      </c>
      <c r="T95" s="118">
        <f ca="1">중급</f>
        <v>295138</v>
      </c>
      <c r="U95" s="118">
        <f t="shared" ca="1" si="22"/>
        <v>4671444</v>
      </c>
      <c r="V95" s="118"/>
      <c r="W95" s="118"/>
      <c r="X95" s="118"/>
      <c r="Y95" s="118"/>
      <c r="Z95" s="115"/>
    </row>
    <row r="96" spans="1:26" ht="18" customHeight="1">
      <c r="B96" s="9"/>
      <c r="K96" s="171" t="s">
        <v>14</v>
      </c>
      <c r="L96" s="171"/>
      <c r="N96" s="145" t="s">
        <v>41</v>
      </c>
      <c r="O96" s="173">
        <v>7</v>
      </c>
      <c r="P96" s="234">
        <f ca="1">OFFSET($A$1,MATCH(Z91,$A:$A,0)-1,O96)</f>
        <v>18.300999999999998</v>
      </c>
      <c r="Q96" s="144" t="s">
        <v>29</v>
      </c>
      <c r="R96" s="118">
        <f t="shared" ca="1" si="21"/>
        <v>235459</v>
      </c>
      <c r="S96" s="118">
        <f t="shared" ca="1" si="21"/>
        <v>4309135</v>
      </c>
      <c r="T96" s="118">
        <f ca="1">초급</f>
        <v>235459</v>
      </c>
      <c r="U96" s="118">
        <f t="shared" ca="1" si="22"/>
        <v>4309135</v>
      </c>
      <c r="V96" s="118"/>
      <c r="W96" s="118"/>
      <c r="X96" s="118"/>
      <c r="Y96" s="118"/>
      <c r="Z96" s="115"/>
    </row>
    <row r="97" spans="2:26" ht="18" customHeight="1">
      <c r="B97" s="9"/>
      <c r="K97" s="171" t="s">
        <v>14</v>
      </c>
      <c r="L97" s="171"/>
      <c r="N97" s="319" t="s">
        <v>42</v>
      </c>
      <c r="O97" s="174">
        <v>8</v>
      </c>
      <c r="P97" s="235">
        <f ca="1">OFFSET($A$1,MATCH(Z91,$A:$A,0)-1,O97)</f>
        <v>21.763000000000002</v>
      </c>
      <c r="Q97" s="322" t="s">
        <v>29</v>
      </c>
      <c r="R97" s="323">
        <f t="shared" ca="1" si="21"/>
        <v>250087</v>
      </c>
      <c r="S97" s="323">
        <f t="shared" ca="1" si="21"/>
        <v>5442643</v>
      </c>
      <c r="T97" s="323">
        <f ca="1">보조원</f>
        <v>250087</v>
      </c>
      <c r="U97" s="323">
        <f t="shared" ca="1" si="22"/>
        <v>5442643</v>
      </c>
      <c r="V97" s="323"/>
      <c r="W97" s="323"/>
      <c r="X97" s="323"/>
      <c r="Y97" s="323"/>
      <c r="Z97" s="324"/>
    </row>
    <row r="98" spans="2:26" ht="18" customHeight="1">
      <c r="K98" s="171" t="s">
        <v>14</v>
      </c>
      <c r="L98" s="171"/>
      <c r="N98" s="139" t="s">
        <v>17</v>
      </c>
      <c r="O98" s="68"/>
      <c r="P98" s="69"/>
      <c r="Q98" s="70"/>
      <c r="R98" s="71"/>
      <c r="S98" s="71">
        <f ca="1">SUBTOTAL(9,S92:S97)</f>
        <v>17653696</v>
      </c>
      <c r="T98" s="71"/>
      <c r="U98" s="71">
        <f ca="1">SUBTOTAL(9,U92:U97)</f>
        <v>17653696</v>
      </c>
      <c r="V98" s="71"/>
      <c r="W98" s="71"/>
      <c r="X98" s="71"/>
      <c r="Y98" s="71"/>
      <c r="Z98" s="68"/>
    </row>
    <row r="99" spans="2:26" ht="18" customHeight="1">
      <c r="K99" s="171" t="s">
        <v>14</v>
      </c>
      <c r="L99" s="171"/>
      <c r="N99" s="318" t="str">
        <f ca="1">"제 " &amp; Z99 &amp; " 호표  "&amp; OFFSET($A$1,MATCH(Z99,$A:$A,0)-1,1)</f>
        <v>제 5 호표  1.5. 교통현황</v>
      </c>
      <c r="O99" s="221"/>
      <c r="P99" s="148"/>
      <c r="Q99" s="148"/>
      <c r="R99" s="149"/>
      <c r="S99" s="149"/>
      <c r="T99" s="149"/>
      <c r="U99" s="149"/>
      <c r="V99" s="149"/>
      <c r="W99" s="149"/>
      <c r="X99" s="149"/>
      <c r="Y99" s="149"/>
      <c r="Z99" s="325">
        <f>Z91+1</f>
        <v>5</v>
      </c>
    </row>
    <row r="100" spans="2:26" ht="18" customHeight="1">
      <c r="K100" s="171" t="s">
        <v>14</v>
      </c>
      <c r="L100" s="171"/>
      <c r="N100" s="140" t="s">
        <v>43</v>
      </c>
      <c r="O100" s="172">
        <v>3</v>
      </c>
      <c r="P100" s="219">
        <f ca="1">OFFSET($A$1,MATCH(Z99,$A:$A,0)-1,O100)</f>
        <v>0.49399999999999999</v>
      </c>
      <c r="Q100" s="141" t="s">
        <v>29</v>
      </c>
      <c r="R100" s="142">
        <f t="shared" ref="R100:S105" ca="1" si="23">T100</f>
        <v>467217</v>
      </c>
      <c r="S100" s="142">
        <f t="shared" ca="1" si="23"/>
        <v>230805</v>
      </c>
      <c r="T100" s="142">
        <f ca="1">기술사</f>
        <v>467217</v>
      </c>
      <c r="U100" s="142">
        <f t="shared" ref="U100:U105" ca="1" si="24">ROUNDDOWN(P100*R100,0)</f>
        <v>230805</v>
      </c>
      <c r="V100" s="142"/>
      <c r="W100" s="142"/>
      <c r="X100" s="142"/>
      <c r="Y100" s="142"/>
      <c r="Z100" s="114"/>
    </row>
    <row r="101" spans="2:26" ht="18" customHeight="1">
      <c r="K101" s="171" t="s">
        <v>14</v>
      </c>
      <c r="L101" s="171"/>
      <c r="N101" s="143" t="s">
        <v>32</v>
      </c>
      <c r="O101" s="173">
        <v>4</v>
      </c>
      <c r="P101" s="234">
        <f ca="1">OFFSET($A$1,MATCH(Z99,$A:$A,0)-1,O101)</f>
        <v>1.4830000000000001</v>
      </c>
      <c r="Q101" s="144" t="s">
        <v>29</v>
      </c>
      <c r="R101" s="118">
        <f t="shared" ca="1" si="23"/>
        <v>373353</v>
      </c>
      <c r="S101" s="118">
        <f t="shared" ca="1" si="23"/>
        <v>553682</v>
      </c>
      <c r="T101" s="118">
        <f ca="1">특급</f>
        <v>373353</v>
      </c>
      <c r="U101" s="118">
        <f t="shared" ca="1" si="24"/>
        <v>553682</v>
      </c>
      <c r="V101" s="118"/>
      <c r="W101" s="118"/>
      <c r="X101" s="118"/>
      <c r="Y101" s="118"/>
      <c r="Z101" s="115"/>
    </row>
    <row r="102" spans="2:26" ht="18" customHeight="1">
      <c r="K102" s="171" t="s">
        <v>14</v>
      </c>
      <c r="L102" s="171"/>
      <c r="N102" s="145" t="s">
        <v>39</v>
      </c>
      <c r="O102" s="173">
        <v>5</v>
      </c>
      <c r="P102" s="234">
        <f ca="1">OFFSET($A$1,MATCH(Z99,$A:$A,0)-1,O102)</f>
        <v>2.9670000000000001</v>
      </c>
      <c r="Q102" s="144" t="s">
        <v>29</v>
      </c>
      <c r="R102" s="118">
        <f t="shared" ca="1" si="23"/>
        <v>310884</v>
      </c>
      <c r="S102" s="118">
        <f t="shared" ca="1" si="23"/>
        <v>922392</v>
      </c>
      <c r="T102" s="118">
        <f ca="1">고급</f>
        <v>310884</v>
      </c>
      <c r="U102" s="118">
        <f t="shared" ca="1" si="24"/>
        <v>922392</v>
      </c>
      <c r="V102" s="118"/>
      <c r="W102" s="118"/>
      <c r="X102" s="118"/>
      <c r="Y102" s="118"/>
      <c r="Z102" s="115"/>
    </row>
    <row r="103" spans="2:26" ht="18" customHeight="1">
      <c r="K103" s="171" t="s">
        <v>14</v>
      </c>
      <c r="L103" s="171"/>
      <c r="N103" s="145" t="s">
        <v>40</v>
      </c>
      <c r="O103" s="173">
        <v>6</v>
      </c>
      <c r="P103" s="234">
        <f ca="1">OFFSET($A$1,MATCH(Z99,$A:$A,0)-1,O103)</f>
        <v>8.9030000000000005</v>
      </c>
      <c r="Q103" s="144" t="s">
        <v>29</v>
      </c>
      <c r="R103" s="118">
        <f t="shared" ca="1" si="23"/>
        <v>295138</v>
      </c>
      <c r="S103" s="118">
        <f t="shared" ca="1" si="23"/>
        <v>2627613</v>
      </c>
      <c r="T103" s="118">
        <f ca="1">중급</f>
        <v>295138</v>
      </c>
      <c r="U103" s="118">
        <f t="shared" ca="1" si="24"/>
        <v>2627613</v>
      </c>
      <c r="V103" s="118"/>
      <c r="W103" s="118"/>
      <c r="X103" s="118"/>
      <c r="Y103" s="118"/>
      <c r="Z103" s="115"/>
    </row>
    <row r="104" spans="2:26" ht="18" customHeight="1">
      <c r="K104" s="171" t="s">
        <v>14</v>
      </c>
      <c r="L104" s="171"/>
      <c r="N104" s="145" t="s">
        <v>41</v>
      </c>
      <c r="O104" s="173">
        <v>7</v>
      </c>
      <c r="P104" s="234">
        <f ca="1">OFFSET($A$1,MATCH(Z99,$A:$A,0)-1,O104)</f>
        <v>11.871</v>
      </c>
      <c r="Q104" s="144" t="s">
        <v>29</v>
      </c>
      <c r="R104" s="118">
        <f t="shared" ca="1" si="23"/>
        <v>235459</v>
      </c>
      <c r="S104" s="118">
        <f t="shared" ca="1" si="23"/>
        <v>2795133</v>
      </c>
      <c r="T104" s="118">
        <f ca="1">초급</f>
        <v>235459</v>
      </c>
      <c r="U104" s="118">
        <f t="shared" ca="1" si="24"/>
        <v>2795133</v>
      </c>
      <c r="V104" s="118"/>
      <c r="W104" s="118"/>
      <c r="X104" s="118"/>
      <c r="Y104" s="118"/>
      <c r="Z104" s="115"/>
    </row>
    <row r="105" spans="2:26" ht="18" customHeight="1">
      <c r="K105" s="171" t="s">
        <v>14</v>
      </c>
      <c r="L105" s="171"/>
      <c r="N105" s="319" t="s">
        <v>42</v>
      </c>
      <c r="O105" s="174">
        <v>8</v>
      </c>
      <c r="P105" s="235">
        <f ca="1">OFFSET($A$1,MATCH(Z99,$A:$A,0)-1,O105)</f>
        <v>16.817</v>
      </c>
      <c r="Q105" s="322" t="s">
        <v>29</v>
      </c>
      <c r="R105" s="323">
        <f t="shared" ca="1" si="23"/>
        <v>250087</v>
      </c>
      <c r="S105" s="323">
        <f t="shared" ca="1" si="23"/>
        <v>4205713</v>
      </c>
      <c r="T105" s="323">
        <f ca="1">보조원</f>
        <v>250087</v>
      </c>
      <c r="U105" s="323">
        <f t="shared" ca="1" si="24"/>
        <v>4205713</v>
      </c>
      <c r="V105" s="323"/>
      <c r="W105" s="323"/>
      <c r="X105" s="323"/>
      <c r="Y105" s="323"/>
      <c r="Z105" s="324"/>
    </row>
    <row r="106" spans="2:26" ht="18" customHeight="1">
      <c r="K106" s="171" t="s">
        <v>14</v>
      </c>
      <c r="L106" s="171"/>
      <c r="N106" s="139" t="s">
        <v>17</v>
      </c>
      <c r="O106" s="68"/>
      <c r="P106" s="69"/>
      <c r="Q106" s="70"/>
      <c r="R106" s="71"/>
      <c r="S106" s="71">
        <f ca="1">SUBTOTAL(9,S100:S105)</f>
        <v>11335338</v>
      </c>
      <c r="T106" s="71"/>
      <c r="U106" s="71">
        <f ca="1">SUBTOTAL(9,U100:U105)</f>
        <v>11335338</v>
      </c>
      <c r="V106" s="71"/>
      <c r="W106" s="71"/>
      <c r="X106" s="71"/>
      <c r="Y106" s="71"/>
      <c r="Z106" s="68"/>
    </row>
    <row r="107" spans="2:26" ht="18" customHeight="1">
      <c r="K107" s="171" t="s">
        <v>14</v>
      </c>
      <c r="L107" s="171"/>
      <c r="N107" s="318" t="str">
        <f ca="1">"제 " &amp; Z107 &amp; " 호표  "&amp; OFFSET($A$1,MATCH(Z107,$A:$A,0)-1,1)</f>
        <v>제 6 호표  1.6. 기반시설현황</v>
      </c>
      <c r="O107" s="221"/>
      <c r="P107" s="148"/>
      <c r="Q107" s="148"/>
      <c r="R107" s="149"/>
      <c r="S107" s="149"/>
      <c r="T107" s="149"/>
      <c r="U107" s="149"/>
      <c r="V107" s="149"/>
      <c r="W107" s="149"/>
      <c r="X107" s="149"/>
      <c r="Y107" s="149"/>
      <c r="Z107" s="325">
        <f>Z99+1</f>
        <v>6</v>
      </c>
    </row>
    <row r="108" spans="2:26" ht="18" customHeight="1">
      <c r="K108" s="171" t="s">
        <v>14</v>
      </c>
      <c r="L108" s="171"/>
      <c r="N108" s="140" t="s">
        <v>43</v>
      </c>
      <c r="O108" s="172">
        <v>3</v>
      </c>
      <c r="P108" s="219">
        <f ca="1">OFFSET($A$1,MATCH(Z107,$A:$A,0)-1,O108)</f>
        <v>0.49399999999999999</v>
      </c>
      <c r="Q108" s="141" t="s">
        <v>29</v>
      </c>
      <c r="R108" s="142">
        <f t="shared" ref="R108:S113" ca="1" si="25">T108</f>
        <v>467217</v>
      </c>
      <c r="S108" s="142">
        <f t="shared" ca="1" si="25"/>
        <v>230805</v>
      </c>
      <c r="T108" s="142">
        <f ca="1">기술사</f>
        <v>467217</v>
      </c>
      <c r="U108" s="142">
        <f t="shared" ref="U108:U113" ca="1" si="26">ROUNDDOWN(P108*R108,0)</f>
        <v>230805</v>
      </c>
      <c r="V108" s="142"/>
      <c r="W108" s="142"/>
      <c r="X108" s="142"/>
      <c r="Y108" s="142"/>
      <c r="Z108" s="114"/>
    </row>
    <row r="109" spans="2:26" ht="18" customHeight="1">
      <c r="K109" s="171" t="s">
        <v>14</v>
      </c>
      <c r="L109" s="171"/>
      <c r="N109" s="143" t="s">
        <v>32</v>
      </c>
      <c r="O109" s="173">
        <v>4</v>
      </c>
      <c r="P109" s="234">
        <f ca="1">OFFSET($A$1,MATCH(Z107,$A:$A,0)-1,O109)</f>
        <v>1.4830000000000001</v>
      </c>
      <c r="Q109" s="144" t="s">
        <v>29</v>
      </c>
      <c r="R109" s="118">
        <f t="shared" ca="1" si="25"/>
        <v>373353</v>
      </c>
      <c r="S109" s="118">
        <f t="shared" ca="1" si="25"/>
        <v>553682</v>
      </c>
      <c r="T109" s="118">
        <f ca="1">특급</f>
        <v>373353</v>
      </c>
      <c r="U109" s="118">
        <f t="shared" ca="1" si="26"/>
        <v>553682</v>
      </c>
      <c r="V109" s="118"/>
      <c r="W109" s="118"/>
      <c r="X109" s="118"/>
      <c r="Y109" s="118"/>
      <c r="Z109" s="115"/>
    </row>
    <row r="110" spans="2:26" ht="18" customHeight="1">
      <c r="K110" s="171" t="s">
        <v>14</v>
      </c>
      <c r="L110" s="171"/>
      <c r="N110" s="145" t="s">
        <v>39</v>
      </c>
      <c r="O110" s="173">
        <v>5</v>
      </c>
      <c r="P110" s="234">
        <f ca="1">OFFSET($A$1,MATCH(Z107,$A:$A,0)-1,O110)</f>
        <v>1.978</v>
      </c>
      <c r="Q110" s="144" t="s">
        <v>29</v>
      </c>
      <c r="R110" s="118">
        <f t="shared" ca="1" si="25"/>
        <v>310884</v>
      </c>
      <c r="S110" s="118">
        <f t="shared" ca="1" si="25"/>
        <v>614928</v>
      </c>
      <c r="T110" s="118">
        <f ca="1">고급</f>
        <v>310884</v>
      </c>
      <c r="U110" s="118">
        <f t="shared" ca="1" si="26"/>
        <v>614928</v>
      </c>
      <c r="V110" s="118"/>
      <c r="W110" s="118"/>
      <c r="X110" s="118"/>
      <c r="Y110" s="118"/>
      <c r="Z110" s="115"/>
    </row>
    <row r="111" spans="2:26" ht="18" customHeight="1">
      <c r="K111" s="171" t="s">
        <v>14</v>
      </c>
      <c r="L111" s="171"/>
      <c r="N111" s="145" t="s">
        <v>40</v>
      </c>
      <c r="O111" s="173">
        <v>6</v>
      </c>
      <c r="P111" s="234">
        <f ca="1">OFFSET($A$1,MATCH(Z107,$A:$A,0)-1,O111)</f>
        <v>5.44</v>
      </c>
      <c r="Q111" s="144" t="s">
        <v>29</v>
      </c>
      <c r="R111" s="118">
        <f t="shared" ca="1" si="25"/>
        <v>295138</v>
      </c>
      <c r="S111" s="118">
        <f t="shared" ca="1" si="25"/>
        <v>1605550</v>
      </c>
      <c r="T111" s="118">
        <f ca="1">중급</f>
        <v>295138</v>
      </c>
      <c r="U111" s="118">
        <f t="shared" ca="1" si="26"/>
        <v>1605550</v>
      </c>
      <c r="V111" s="118"/>
      <c r="W111" s="118"/>
      <c r="X111" s="118"/>
      <c r="Y111" s="118"/>
      <c r="Z111" s="115"/>
    </row>
    <row r="112" spans="2:26" ht="18" customHeight="1">
      <c r="K112" s="171" t="s">
        <v>14</v>
      </c>
      <c r="L112" s="171"/>
      <c r="N112" s="145" t="s">
        <v>41</v>
      </c>
      <c r="O112" s="173">
        <v>7</v>
      </c>
      <c r="P112" s="234">
        <f ca="1">OFFSET($A$1,MATCH(Z107,$A:$A,0)-1,O112)</f>
        <v>7.4189999999999996</v>
      </c>
      <c r="Q112" s="144" t="s">
        <v>29</v>
      </c>
      <c r="R112" s="118">
        <f t="shared" ca="1" si="25"/>
        <v>235459</v>
      </c>
      <c r="S112" s="118">
        <f t="shared" ca="1" si="25"/>
        <v>1746870</v>
      </c>
      <c r="T112" s="118">
        <f ca="1">초급</f>
        <v>235459</v>
      </c>
      <c r="U112" s="118">
        <f t="shared" ca="1" si="26"/>
        <v>1746870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319" t="s">
        <v>42</v>
      </c>
      <c r="O113" s="174">
        <v>8</v>
      </c>
      <c r="P113" s="235">
        <f ca="1">OFFSET($A$1,MATCH(Z107,$A:$A,0)-1,O113)</f>
        <v>12.365</v>
      </c>
      <c r="Q113" s="322" t="s">
        <v>29</v>
      </c>
      <c r="R113" s="323">
        <f t="shared" ca="1" si="25"/>
        <v>250087</v>
      </c>
      <c r="S113" s="323">
        <f t="shared" ca="1" si="25"/>
        <v>3092325</v>
      </c>
      <c r="T113" s="323">
        <f ca="1">보조원</f>
        <v>250087</v>
      </c>
      <c r="U113" s="323">
        <f t="shared" ca="1" si="26"/>
        <v>3092325</v>
      </c>
      <c r="V113" s="323"/>
      <c r="W113" s="323"/>
      <c r="X113" s="323"/>
      <c r="Y113" s="323"/>
      <c r="Z113" s="324"/>
    </row>
    <row r="114" spans="11:26" ht="18" customHeight="1">
      <c r="K114" s="171" t="s">
        <v>14</v>
      </c>
      <c r="L114" s="171"/>
      <c r="N114" s="139" t="s">
        <v>17</v>
      </c>
      <c r="O114" s="68"/>
      <c r="P114" s="69"/>
      <c r="Q114" s="70"/>
      <c r="R114" s="71"/>
      <c r="S114" s="71">
        <f ca="1">SUBTOTAL(9,S108:S113)</f>
        <v>7844160</v>
      </c>
      <c r="T114" s="71"/>
      <c r="U114" s="71">
        <f ca="1">SUBTOTAL(9,U108:U113)</f>
        <v>7844160</v>
      </c>
      <c r="V114" s="71"/>
      <c r="W114" s="71"/>
      <c r="X114" s="71"/>
      <c r="Y114" s="71"/>
      <c r="Z114" s="68"/>
    </row>
    <row r="115" spans="11:26" ht="18" customHeight="1">
      <c r="K115" s="171" t="s">
        <v>14</v>
      </c>
      <c r="L115" s="171"/>
      <c r="N115" s="318" t="str">
        <f ca="1">"제 " &amp; Z115 &amp; " 호표  "&amp; OFFSET($A$1,MATCH(Z115,$A:$A,0)-1,1)</f>
        <v>제 7 호표  1.7. 도시계획현황 및 관련계획</v>
      </c>
      <c r="O115" s="221"/>
      <c r="P115" s="148"/>
      <c r="Q115" s="148"/>
      <c r="R115" s="149"/>
      <c r="S115" s="149"/>
      <c r="T115" s="149"/>
      <c r="U115" s="149"/>
      <c r="V115" s="149"/>
      <c r="W115" s="149"/>
      <c r="X115" s="149"/>
      <c r="Y115" s="149"/>
      <c r="Z115" s="325">
        <f>Z107+1</f>
        <v>7</v>
      </c>
    </row>
    <row r="116" spans="11:26" ht="18" customHeight="1">
      <c r="K116" s="171" t="s">
        <v>14</v>
      </c>
      <c r="L116" s="171"/>
      <c r="N116" s="140" t="s">
        <v>43</v>
      </c>
      <c r="O116" s="172">
        <v>3</v>
      </c>
      <c r="P116" s="219">
        <f ca="1">OFFSET($A$1,MATCH(Z115,$A:$A,0)-1,O116)</f>
        <v>0.49399999999999999</v>
      </c>
      <c r="Q116" s="141" t="s">
        <v>29</v>
      </c>
      <c r="R116" s="142">
        <f t="shared" ref="R116:S121" ca="1" si="27">T116</f>
        <v>467217</v>
      </c>
      <c r="S116" s="142">
        <f t="shared" ca="1" si="27"/>
        <v>230805</v>
      </c>
      <c r="T116" s="142">
        <f ca="1">기술사</f>
        <v>467217</v>
      </c>
      <c r="U116" s="142">
        <f t="shared" ref="U116:U121" ca="1" si="28">ROUNDDOWN(P116*R116,0)</f>
        <v>230805</v>
      </c>
      <c r="V116" s="142"/>
      <c r="W116" s="142"/>
      <c r="X116" s="142"/>
      <c r="Y116" s="142"/>
      <c r="Z116" s="114"/>
    </row>
    <row r="117" spans="11:26" ht="18" customHeight="1">
      <c r="K117" s="171" t="s">
        <v>14</v>
      </c>
      <c r="L117" s="171"/>
      <c r="N117" s="143" t="s">
        <v>32</v>
      </c>
      <c r="O117" s="173">
        <v>4</v>
      </c>
      <c r="P117" s="234">
        <f ca="1">OFFSET($A$1,MATCH(Z115,$A:$A,0)-1,O117)</f>
        <v>1.4830000000000001</v>
      </c>
      <c r="Q117" s="144" t="s">
        <v>29</v>
      </c>
      <c r="R117" s="118">
        <f t="shared" ca="1" si="27"/>
        <v>373353</v>
      </c>
      <c r="S117" s="118">
        <f t="shared" ca="1" si="27"/>
        <v>553682</v>
      </c>
      <c r="T117" s="118">
        <f ca="1">특급</f>
        <v>373353</v>
      </c>
      <c r="U117" s="118">
        <f t="shared" ca="1" si="28"/>
        <v>553682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145" t="s">
        <v>39</v>
      </c>
      <c r="O118" s="173">
        <v>5</v>
      </c>
      <c r="P118" s="234">
        <f ca="1">OFFSET($A$1,MATCH(Z115,$A:$A,0)-1,O118)</f>
        <v>1.978</v>
      </c>
      <c r="Q118" s="144" t="s">
        <v>29</v>
      </c>
      <c r="R118" s="118">
        <f t="shared" ca="1" si="27"/>
        <v>310884</v>
      </c>
      <c r="S118" s="118">
        <f t="shared" ca="1" si="27"/>
        <v>614928</v>
      </c>
      <c r="T118" s="118">
        <f ca="1">고급</f>
        <v>310884</v>
      </c>
      <c r="U118" s="118">
        <f t="shared" ca="1" si="28"/>
        <v>614928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145" t="s">
        <v>40</v>
      </c>
      <c r="O119" s="173">
        <v>6</v>
      </c>
      <c r="P119" s="234">
        <f ca="1">OFFSET($A$1,MATCH(Z115,$A:$A,0)-1,O119)</f>
        <v>6.43</v>
      </c>
      <c r="Q119" s="144" t="s">
        <v>29</v>
      </c>
      <c r="R119" s="118">
        <f t="shared" ca="1" si="27"/>
        <v>295138</v>
      </c>
      <c r="S119" s="118">
        <f t="shared" ca="1" si="27"/>
        <v>1897737</v>
      </c>
      <c r="T119" s="118">
        <f ca="1">중급</f>
        <v>295138</v>
      </c>
      <c r="U119" s="118">
        <f t="shared" ca="1" si="28"/>
        <v>1897737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41</v>
      </c>
      <c r="O120" s="173">
        <v>7</v>
      </c>
      <c r="P120" s="234">
        <f ca="1">OFFSET($A$1,MATCH(Z115,$A:$A,0)-1,O120)</f>
        <v>8.9030000000000005</v>
      </c>
      <c r="Q120" s="144" t="s">
        <v>29</v>
      </c>
      <c r="R120" s="118">
        <f t="shared" ca="1" si="27"/>
        <v>235459</v>
      </c>
      <c r="S120" s="118">
        <f t="shared" ca="1" si="27"/>
        <v>2096291</v>
      </c>
      <c r="T120" s="118">
        <f ca="1">초급</f>
        <v>235459</v>
      </c>
      <c r="U120" s="118">
        <f t="shared" ca="1" si="28"/>
        <v>2096291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319" t="s">
        <v>42</v>
      </c>
      <c r="O121" s="174">
        <v>8</v>
      </c>
      <c r="P121" s="235">
        <f ca="1">OFFSET($A$1,MATCH(Z115,$A:$A,0)-1,O121)</f>
        <v>9.3970000000000002</v>
      </c>
      <c r="Q121" s="322" t="s">
        <v>29</v>
      </c>
      <c r="R121" s="323">
        <f t="shared" ca="1" si="27"/>
        <v>250087</v>
      </c>
      <c r="S121" s="323">
        <f t="shared" ca="1" si="27"/>
        <v>2350067</v>
      </c>
      <c r="T121" s="323">
        <f ca="1">보조원</f>
        <v>250087</v>
      </c>
      <c r="U121" s="323">
        <f t="shared" ca="1" si="28"/>
        <v>2350067</v>
      </c>
      <c r="V121" s="323"/>
      <c r="W121" s="323"/>
      <c r="X121" s="323"/>
      <c r="Y121" s="323"/>
      <c r="Z121" s="324"/>
    </row>
    <row r="122" spans="11:26" ht="18" customHeight="1">
      <c r="K122" s="171" t="s">
        <v>14</v>
      </c>
      <c r="L122" s="171"/>
      <c r="N122" s="139" t="s">
        <v>17</v>
      </c>
      <c r="O122" s="68"/>
      <c r="P122" s="69"/>
      <c r="Q122" s="70"/>
      <c r="R122" s="71"/>
      <c r="S122" s="71">
        <f ca="1">SUBTOTAL(9,S116:S121)</f>
        <v>7743510</v>
      </c>
      <c r="T122" s="71"/>
      <c r="U122" s="71">
        <f ca="1">SUBTOTAL(9,U116:U121)</f>
        <v>7743510</v>
      </c>
      <c r="V122" s="71"/>
      <c r="W122" s="71"/>
      <c r="X122" s="71"/>
      <c r="Y122" s="71"/>
      <c r="Z122" s="68"/>
    </row>
    <row r="123" spans="11:26" ht="18" customHeight="1">
      <c r="K123" s="171" t="s">
        <v>14</v>
      </c>
      <c r="L123" s="171"/>
      <c r="N123" s="318" t="str">
        <f ca="1">"제 " &amp; Z123 &amp; " 호표  "&amp; OFFSET($A$1,MATCH(Z123,$A:$A,0)-1,1)</f>
        <v>제 8 호표  1.8. 가로시설물 및 조경환경</v>
      </c>
      <c r="O123" s="221"/>
      <c r="P123" s="148"/>
      <c r="Q123" s="148"/>
      <c r="R123" s="149"/>
      <c r="S123" s="149"/>
      <c r="T123" s="149"/>
      <c r="U123" s="149"/>
      <c r="V123" s="149"/>
      <c r="W123" s="149"/>
      <c r="X123" s="149"/>
      <c r="Y123" s="149"/>
      <c r="Z123" s="325">
        <f>Z115+1</f>
        <v>8</v>
      </c>
    </row>
    <row r="124" spans="11:26" ht="18" customHeight="1">
      <c r="K124" s="171" t="s">
        <v>14</v>
      </c>
      <c r="L124" s="171"/>
      <c r="N124" s="140" t="s">
        <v>43</v>
      </c>
      <c r="O124" s="172">
        <v>3</v>
      </c>
      <c r="P124" s="219">
        <f ca="1">OFFSET($A$1,MATCH(Z123,$A:$A,0)-1,O124)</f>
        <v>0.49399999999999999</v>
      </c>
      <c r="Q124" s="141" t="s">
        <v>29</v>
      </c>
      <c r="R124" s="142">
        <f t="shared" ref="R124:S129" ca="1" si="29">T124</f>
        <v>467217</v>
      </c>
      <c r="S124" s="142">
        <f t="shared" ca="1" si="29"/>
        <v>230805</v>
      </c>
      <c r="T124" s="142">
        <f ca="1">기술사</f>
        <v>467217</v>
      </c>
      <c r="U124" s="142">
        <f t="shared" ref="U124:U129" ca="1" si="30">ROUNDDOWN(P124*R124,0)</f>
        <v>230805</v>
      </c>
      <c r="V124" s="142"/>
      <c r="W124" s="142"/>
      <c r="X124" s="142"/>
      <c r="Y124" s="142"/>
      <c r="Z124" s="114"/>
    </row>
    <row r="125" spans="11:26" ht="18" customHeight="1">
      <c r="K125" s="171" t="s">
        <v>14</v>
      </c>
      <c r="L125" s="171"/>
      <c r="N125" s="143" t="s">
        <v>32</v>
      </c>
      <c r="O125" s="173">
        <v>4</v>
      </c>
      <c r="P125" s="234">
        <f ca="1">OFFSET($A$1,MATCH(Z123,$A:$A,0)-1,O125)</f>
        <v>1.4830000000000001</v>
      </c>
      <c r="Q125" s="144" t="s">
        <v>29</v>
      </c>
      <c r="R125" s="118">
        <f t="shared" ca="1" si="29"/>
        <v>373353</v>
      </c>
      <c r="S125" s="118">
        <f t="shared" ca="1" si="29"/>
        <v>553682</v>
      </c>
      <c r="T125" s="118">
        <f ca="1">특급</f>
        <v>373353</v>
      </c>
      <c r="U125" s="118">
        <f t="shared" ca="1" si="30"/>
        <v>553682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145" t="s">
        <v>39</v>
      </c>
      <c r="O126" s="173">
        <v>5</v>
      </c>
      <c r="P126" s="234">
        <f ca="1">OFFSET($A$1,MATCH(Z123,$A:$A,0)-1,O126)</f>
        <v>2.9670000000000001</v>
      </c>
      <c r="Q126" s="144" t="s">
        <v>29</v>
      </c>
      <c r="R126" s="118">
        <f t="shared" ca="1" si="29"/>
        <v>310884</v>
      </c>
      <c r="S126" s="118">
        <f t="shared" ca="1" si="29"/>
        <v>922392</v>
      </c>
      <c r="T126" s="118">
        <f ca="1">고급</f>
        <v>310884</v>
      </c>
      <c r="U126" s="118">
        <f t="shared" ca="1" si="30"/>
        <v>922392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N127" s="145" t="s">
        <v>40</v>
      </c>
      <c r="O127" s="173">
        <v>6</v>
      </c>
      <c r="P127" s="234">
        <f ca="1">OFFSET($A$1,MATCH(Z123,$A:$A,0)-1,O127)</f>
        <v>5.44</v>
      </c>
      <c r="Q127" s="144" t="s">
        <v>29</v>
      </c>
      <c r="R127" s="118">
        <f t="shared" ca="1" si="29"/>
        <v>295138</v>
      </c>
      <c r="S127" s="118">
        <f t="shared" ca="1" si="29"/>
        <v>1605550</v>
      </c>
      <c r="T127" s="118">
        <f ca="1">중급</f>
        <v>295138</v>
      </c>
      <c r="U127" s="118">
        <f t="shared" ca="1" si="30"/>
        <v>1605550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N128" s="145" t="s">
        <v>41</v>
      </c>
      <c r="O128" s="173">
        <v>7</v>
      </c>
      <c r="P128" s="234">
        <f ca="1">OFFSET($A$1,MATCH(Z123,$A:$A,0)-1,O128)</f>
        <v>6.43</v>
      </c>
      <c r="Q128" s="144" t="s">
        <v>29</v>
      </c>
      <c r="R128" s="118">
        <f t="shared" ca="1" si="29"/>
        <v>235459</v>
      </c>
      <c r="S128" s="118">
        <f t="shared" ca="1" si="29"/>
        <v>1514001</v>
      </c>
      <c r="T128" s="118">
        <f ca="1">초급</f>
        <v>235459</v>
      </c>
      <c r="U128" s="118">
        <f t="shared" ca="1" si="30"/>
        <v>1514001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319" t="s">
        <v>42</v>
      </c>
      <c r="O129" s="174">
        <v>8</v>
      </c>
      <c r="P129" s="235">
        <f ca="1">OFFSET($A$1,MATCH(Z123,$A:$A,0)-1,O129)</f>
        <v>10.387</v>
      </c>
      <c r="Q129" s="322" t="s">
        <v>29</v>
      </c>
      <c r="R129" s="323">
        <f t="shared" ca="1" si="29"/>
        <v>250087</v>
      </c>
      <c r="S129" s="323">
        <f t="shared" ca="1" si="29"/>
        <v>2597653</v>
      </c>
      <c r="T129" s="323">
        <f ca="1">보조원</f>
        <v>250087</v>
      </c>
      <c r="U129" s="323">
        <f t="shared" ca="1" si="30"/>
        <v>2597653</v>
      </c>
      <c r="V129" s="323"/>
      <c r="W129" s="323"/>
      <c r="X129" s="323"/>
      <c r="Y129" s="323"/>
      <c r="Z129" s="324"/>
    </row>
    <row r="130" spans="11:26" ht="18" customHeight="1">
      <c r="K130" s="171" t="s">
        <v>14</v>
      </c>
      <c r="L130" s="171"/>
      <c r="N130" s="139" t="s">
        <v>17</v>
      </c>
      <c r="O130" s="68"/>
      <c r="P130" s="69"/>
      <c r="Q130" s="70"/>
      <c r="R130" s="71"/>
      <c r="S130" s="71">
        <f ca="1">SUBTOTAL(9,S124:S129)</f>
        <v>7424083</v>
      </c>
      <c r="T130" s="71"/>
      <c r="U130" s="71">
        <f ca="1">SUBTOTAL(9,U124:U129)</f>
        <v>7424083</v>
      </c>
      <c r="V130" s="71"/>
      <c r="W130" s="71"/>
      <c r="X130" s="71"/>
      <c r="Y130" s="71"/>
      <c r="Z130" s="68"/>
    </row>
    <row r="131" spans="11:26" ht="18" customHeight="1">
      <c r="K131" s="171" t="s">
        <v>14</v>
      </c>
      <c r="L131" s="171"/>
      <c r="N131" s="318" t="str">
        <f ca="1">"제 " &amp; Z131 &amp; " 호표  "&amp; OFFSET($A$1,MATCH(Z131,$A:$A,0)-1,1)</f>
        <v>제 9 호표  1.9. 문제점 및 잠재력</v>
      </c>
      <c r="O131" s="221"/>
      <c r="P131" s="148"/>
      <c r="Q131" s="148"/>
      <c r="R131" s="149"/>
      <c r="S131" s="149"/>
      <c r="T131" s="149"/>
      <c r="U131" s="149"/>
      <c r="V131" s="149"/>
      <c r="W131" s="149"/>
      <c r="X131" s="149"/>
      <c r="Y131" s="149"/>
      <c r="Z131" s="325">
        <f>Z123+1</f>
        <v>9</v>
      </c>
    </row>
    <row r="132" spans="11:26" ht="18" customHeight="1">
      <c r="K132" s="171" t="s">
        <v>14</v>
      </c>
      <c r="L132" s="171"/>
      <c r="N132" s="140" t="s">
        <v>43</v>
      </c>
      <c r="O132" s="172">
        <v>3</v>
      </c>
      <c r="P132" s="219">
        <f ca="1">OFFSET($A$1,MATCH(Z131,$A:$A,0)-1,O132)</f>
        <v>0.49399999999999999</v>
      </c>
      <c r="Q132" s="141" t="s">
        <v>29</v>
      </c>
      <c r="R132" s="142">
        <f t="shared" ref="R132:S137" ca="1" si="31">T132</f>
        <v>467217</v>
      </c>
      <c r="S132" s="142">
        <f t="shared" ca="1" si="31"/>
        <v>230805</v>
      </c>
      <c r="T132" s="142">
        <f ca="1">기술사</f>
        <v>467217</v>
      </c>
      <c r="U132" s="142">
        <f t="shared" ref="U132:U137" ca="1" si="32">ROUNDDOWN(P132*R132,0)</f>
        <v>230805</v>
      </c>
      <c r="V132" s="142"/>
      <c r="W132" s="142"/>
      <c r="X132" s="142"/>
      <c r="Y132" s="142"/>
      <c r="Z132" s="114"/>
    </row>
    <row r="133" spans="11:26" ht="18" customHeight="1">
      <c r="K133" s="171" t="s">
        <v>14</v>
      </c>
      <c r="L133" s="171"/>
      <c r="N133" s="143" t="s">
        <v>32</v>
      </c>
      <c r="O133" s="173">
        <v>4</v>
      </c>
      <c r="P133" s="234">
        <f ca="1">OFFSET($A$1,MATCH(Z131,$A:$A,0)-1,O133)</f>
        <v>1.4830000000000001</v>
      </c>
      <c r="Q133" s="144" t="s">
        <v>29</v>
      </c>
      <c r="R133" s="118">
        <f t="shared" ca="1" si="31"/>
        <v>373353</v>
      </c>
      <c r="S133" s="118">
        <f t="shared" ca="1" si="31"/>
        <v>553682</v>
      </c>
      <c r="T133" s="118">
        <f ca="1">특급</f>
        <v>373353</v>
      </c>
      <c r="U133" s="118">
        <f t="shared" ca="1" si="32"/>
        <v>553682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N134" s="145" t="s">
        <v>39</v>
      </c>
      <c r="O134" s="173">
        <v>5</v>
      </c>
      <c r="P134" s="234">
        <f ca="1">OFFSET($A$1,MATCH(Z131,$A:$A,0)-1,O134)</f>
        <v>2.9670000000000001</v>
      </c>
      <c r="Q134" s="144" t="s">
        <v>29</v>
      </c>
      <c r="R134" s="118">
        <f t="shared" ca="1" si="31"/>
        <v>310884</v>
      </c>
      <c r="S134" s="118">
        <f t="shared" ca="1" si="31"/>
        <v>922392</v>
      </c>
      <c r="T134" s="118">
        <f ca="1">고급</f>
        <v>310884</v>
      </c>
      <c r="U134" s="118">
        <f t="shared" ca="1" si="32"/>
        <v>922392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N135" s="145" t="s">
        <v>40</v>
      </c>
      <c r="O135" s="173">
        <v>6</v>
      </c>
      <c r="P135" s="234">
        <f ca="1">OFFSET($A$1,MATCH(Z131,$A:$A,0)-1,O135)</f>
        <v>5.44</v>
      </c>
      <c r="Q135" s="144" t="s">
        <v>29</v>
      </c>
      <c r="R135" s="118">
        <f t="shared" ca="1" si="31"/>
        <v>295138</v>
      </c>
      <c r="S135" s="118">
        <f t="shared" ca="1" si="31"/>
        <v>1605550</v>
      </c>
      <c r="T135" s="118">
        <f ca="1">중급</f>
        <v>295138</v>
      </c>
      <c r="U135" s="118">
        <f t="shared" ca="1" si="32"/>
        <v>1605550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N136" s="145" t="s">
        <v>41</v>
      </c>
      <c r="O136" s="173">
        <v>7</v>
      </c>
      <c r="P136" s="234">
        <f ca="1">OFFSET($A$1,MATCH(Z131,$A:$A,0)-1,O136)</f>
        <v>6.43</v>
      </c>
      <c r="Q136" s="144" t="s">
        <v>29</v>
      </c>
      <c r="R136" s="118">
        <f t="shared" ca="1" si="31"/>
        <v>235459</v>
      </c>
      <c r="S136" s="118">
        <f t="shared" ca="1" si="31"/>
        <v>1514001</v>
      </c>
      <c r="T136" s="118">
        <f ca="1">초급</f>
        <v>235459</v>
      </c>
      <c r="U136" s="118">
        <f t="shared" ca="1" si="32"/>
        <v>1514001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319" t="s">
        <v>42</v>
      </c>
      <c r="O137" s="174">
        <v>8</v>
      </c>
      <c r="P137" s="235">
        <f ca="1">OFFSET($A$1,MATCH(Z131,$A:$A,0)-1,O137)</f>
        <v>0</v>
      </c>
      <c r="Q137" s="322" t="s">
        <v>29</v>
      </c>
      <c r="R137" s="323">
        <f t="shared" ca="1" si="31"/>
        <v>250087</v>
      </c>
      <c r="S137" s="323">
        <f t="shared" ca="1" si="31"/>
        <v>0</v>
      </c>
      <c r="T137" s="323">
        <f ca="1">보조원</f>
        <v>250087</v>
      </c>
      <c r="U137" s="323">
        <f t="shared" ca="1" si="32"/>
        <v>0</v>
      </c>
      <c r="V137" s="323"/>
      <c r="W137" s="323"/>
      <c r="X137" s="323"/>
      <c r="Y137" s="323"/>
      <c r="Z137" s="324"/>
    </row>
    <row r="138" spans="11:26" ht="18" customHeight="1">
      <c r="K138" s="171" t="s">
        <v>14</v>
      </c>
      <c r="L138" s="171"/>
      <c r="N138" s="139" t="s">
        <v>17</v>
      </c>
      <c r="O138" s="68"/>
      <c r="P138" s="69"/>
      <c r="Q138" s="70"/>
      <c r="R138" s="71"/>
      <c r="S138" s="71">
        <f ca="1">SUBTOTAL(9,S132:S137)</f>
        <v>4826430</v>
      </c>
      <c r="T138" s="71"/>
      <c r="U138" s="71">
        <f ca="1">SUBTOTAL(9,U132:U137)</f>
        <v>4826430</v>
      </c>
      <c r="V138" s="71"/>
      <c r="W138" s="71"/>
      <c r="X138" s="71"/>
      <c r="Y138" s="71"/>
      <c r="Z138" s="68"/>
    </row>
    <row r="139" spans="11:26" ht="18" customHeight="1">
      <c r="K139" s="171" t="s">
        <v>14</v>
      </c>
      <c r="L139" s="171"/>
      <c r="N139" s="318" t="str">
        <f ca="1">"제 " &amp; Z139 &amp; " 호표  "&amp; OFFSET($A$1,MATCH(Z139,$A:$A,0)-1,1)</f>
        <v>제 10 호표  2.1. 과제정립 및 목표설정</v>
      </c>
      <c r="O139" s="221"/>
      <c r="P139" s="148"/>
      <c r="Q139" s="148"/>
      <c r="R139" s="149"/>
      <c r="S139" s="149"/>
      <c r="T139" s="149"/>
      <c r="U139" s="149"/>
      <c r="V139" s="149"/>
      <c r="W139" s="149"/>
      <c r="X139" s="149"/>
      <c r="Y139" s="149"/>
      <c r="Z139" s="325">
        <f>Z131+1</f>
        <v>10</v>
      </c>
    </row>
    <row r="140" spans="11:26" ht="18" customHeight="1">
      <c r="K140" s="171" t="s">
        <v>14</v>
      </c>
      <c r="L140" s="171"/>
      <c r="N140" s="140" t="s">
        <v>43</v>
      </c>
      <c r="O140" s="172">
        <v>3</v>
      </c>
      <c r="P140" s="219">
        <f ca="1">OFFSET($A$1,MATCH(Z139,$A:$A,0)-1,O140)</f>
        <v>0.49399999999999999</v>
      </c>
      <c r="Q140" s="141" t="s">
        <v>29</v>
      </c>
      <c r="R140" s="142">
        <f t="shared" ref="R140:S145" ca="1" si="33">T140</f>
        <v>467217</v>
      </c>
      <c r="S140" s="142">
        <f t="shared" ca="1" si="33"/>
        <v>230805</v>
      </c>
      <c r="T140" s="142">
        <f ca="1">기술사</f>
        <v>467217</v>
      </c>
      <c r="U140" s="142">
        <f t="shared" ref="U140:U145" ca="1" si="34">ROUNDDOWN(P140*R140,0)</f>
        <v>230805</v>
      </c>
      <c r="V140" s="142"/>
      <c r="W140" s="142"/>
      <c r="X140" s="142"/>
      <c r="Y140" s="142"/>
      <c r="Z140" s="114"/>
    </row>
    <row r="141" spans="11:26" ht="18" customHeight="1">
      <c r="K141" s="171" t="s">
        <v>14</v>
      </c>
      <c r="L141" s="171"/>
      <c r="N141" s="143" t="s">
        <v>32</v>
      </c>
      <c r="O141" s="173">
        <v>4</v>
      </c>
      <c r="P141" s="234">
        <f ca="1">OFFSET($A$1,MATCH(Z139,$A:$A,0)-1,O141)</f>
        <v>0.49399999999999999</v>
      </c>
      <c r="Q141" s="144" t="s">
        <v>29</v>
      </c>
      <c r="R141" s="118">
        <f t="shared" ca="1" si="33"/>
        <v>373353</v>
      </c>
      <c r="S141" s="118">
        <f t="shared" ca="1" si="33"/>
        <v>184436</v>
      </c>
      <c r="T141" s="118">
        <f ca="1">특급</f>
        <v>373353</v>
      </c>
      <c r="U141" s="118">
        <f t="shared" ca="1" si="34"/>
        <v>184436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N142" s="145" t="s">
        <v>39</v>
      </c>
      <c r="O142" s="173">
        <v>5</v>
      </c>
      <c r="P142" s="234">
        <f ca="1">OFFSET($A$1,MATCH(Z139,$A:$A,0)-1,O142)</f>
        <v>3.4620000000000002</v>
      </c>
      <c r="Q142" s="144" t="s">
        <v>29</v>
      </c>
      <c r="R142" s="118">
        <f t="shared" ca="1" si="33"/>
        <v>310884</v>
      </c>
      <c r="S142" s="118">
        <f t="shared" ca="1" si="33"/>
        <v>1076280</v>
      </c>
      <c r="T142" s="118">
        <f ca="1">고급</f>
        <v>310884</v>
      </c>
      <c r="U142" s="118">
        <f t="shared" ca="1" si="34"/>
        <v>1076280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40</v>
      </c>
      <c r="O143" s="173">
        <v>6</v>
      </c>
      <c r="P143" s="234">
        <f ca="1">OFFSET($A$1,MATCH(Z139,$A:$A,0)-1,O143)</f>
        <v>4.4509999999999996</v>
      </c>
      <c r="Q143" s="144" t="s">
        <v>29</v>
      </c>
      <c r="R143" s="118">
        <f t="shared" ca="1" si="33"/>
        <v>295138</v>
      </c>
      <c r="S143" s="118">
        <f t="shared" ca="1" si="33"/>
        <v>1313659</v>
      </c>
      <c r="T143" s="118">
        <f ca="1">중급</f>
        <v>295138</v>
      </c>
      <c r="U143" s="118">
        <f t="shared" ca="1" si="34"/>
        <v>1313659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41</v>
      </c>
      <c r="O144" s="173">
        <v>7</v>
      </c>
      <c r="P144" s="234">
        <f ca="1">OFFSET($A$1,MATCH(Z139,$A:$A,0)-1,O144)</f>
        <v>8.9030000000000005</v>
      </c>
      <c r="Q144" s="144" t="s">
        <v>29</v>
      </c>
      <c r="R144" s="118">
        <f t="shared" ca="1" si="33"/>
        <v>235459</v>
      </c>
      <c r="S144" s="118">
        <f t="shared" ca="1" si="33"/>
        <v>2096291</v>
      </c>
      <c r="T144" s="118">
        <f ca="1">초급</f>
        <v>235459</v>
      </c>
      <c r="U144" s="118">
        <f t="shared" ca="1" si="34"/>
        <v>2096291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319" t="s">
        <v>42</v>
      </c>
      <c r="O145" s="174">
        <v>8</v>
      </c>
      <c r="P145" s="235">
        <f ca="1">OFFSET($A$1,MATCH(Z139,$A:$A,0)-1,O145)</f>
        <v>12.365</v>
      </c>
      <c r="Q145" s="322" t="s">
        <v>29</v>
      </c>
      <c r="R145" s="323">
        <f t="shared" ca="1" si="33"/>
        <v>250087</v>
      </c>
      <c r="S145" s="323">
        <f t="shared" ca="1" si="33"/>
        <v>3092325</v>
      </c>
      <c r="T145" s="323">
        <f ca="1">보조원</f>
        <v>250087</v>
      </c>
      <c r="U145" s="323">
        <f t="shared" ca="1" si="34"/>
        <v>3092325</v>
      </c>
      <c r="V145" s="323"/>
      <c r="W145" s="323"/>
      <c r="X145" s="323"/>
      <c r="Y145" s="323"/>
      <c r="Z145" s="324"/>
    </row>
    <row r="146" spans="11:26" ht="18" customHeight="1">
      <c r="K146" s="171" t="s">
        <v>14</v>
      </c>
      <c r="L146" s="171"/>
      <c r="M146" s="171"/>
      <c r="N146" s="139" t="s">
        <v>17</v>
      </c>
      <c r="O146" s="68"/>
      <c r="P146" s="69"/>
      <c r="Q146" s="70"/>
      <c r="R146" s="71"/>
      <c r="S146" s="71">
        <f ca="1">SUBTOTAL(9,S140:S145)</f>
        <v>7993796</v>
      </c>
      <c r="T146" s="71"/>
      <c r="U146" s="71">
        <f ca="1">SUBTOTAL(9,U140:U145)</f>
        <v>7993796</v>
      </c>
      <c r="V146" s="71"/>
      <c r="W146" s="71"/>
      <c r="X146" s="71"/>
      <c r="Y146" s="71"/>
      <c r="Z146" s="68"/>
    </row>
    <row r="147" spans="11:26" ht="18" customHeight="1">
      <c r="K147" s="171" t="s">
        <v>14</v>
      </c>
      <c r="L147" s="171"/>
      <c r="M147" s="171"/>
      <c r="N147" s="318" t="str">
        <f ca="1">"제 " &amp; Z147 &amp; " 호표  "&amp; OFFSET($A$1,MATCH(Z147,$A:$A,0)-1,1)</f>
        <v>제 11 호표  2.2. 기본방향 및 지표설정</v>
      </c>
      <c r="O147" s="221"/>
      <c r="P147" s="148"/>
      <c r="Q147" s="148"/>
      <c r="R147" s="149"/>
      <c r="S147" s="149"/>
      <c r="T147" s="149"/>
      <c r="U147" s="149"/>
      <c r="V147" s="149"/>
      <c r="W147" s="149"/>
      <c r="X147" s="149"/>
      <c r="Y147" s="149"/>
      <c r="Z147" s="325">
        <f>Z139+1</f>
        <v>11</v>
      </c>
    </row>
    <row r="148" spans="11:26" ht="18" customHeight="1">
      <c r="K148" s="171" t="s">
        <v>14</v>
      </c>
      <c r="L148" s="171"/>
      <c r="M148" s="171"/>
      <c r="N148" s="140" t="s">
        <v>43</v>
      </c>
      <c r="O148" s="172">
        <v>3</v>
      </c>
      <c r="P148" s="219">
        <f ca="1">OFFSET($A$1,MATCH(Z147,$A:$A,0)-1,O148)</f>
        <v>0.98899999999999999</v>
      </c>
      <c r="Q148" s="141" t="s">
        <v>29</v>
      </c>
      <c r="R148" s="142">
        <f t="shared" ref="R148:S153" ca="1" si="35">T148</f>
        <v>467217</v>
      </c>
      <c r="S148" s="142">
        <f t="shared" ca="1" si="35"/>
        <v>462077</v>
      </c>
      <c r="T148" s="142">
        <f ca="1">기술사</f>
        <v>467217</v>
      </c>
      <c r="U148" s="142">
        <f t="shared" ref="U148:U153" ca="1" si="36">ROUNDDOWN(P148*R148,0)</f>
        <v>462077</v>
      </c>
      <c r="V148" s="142"/>
      <c r="W148" s="142"/>
      <c r="X148" s="142"/>
      <c r="Y148" s="142"/>
      <c r="Z148" s="114"/>
    </row>
    <row r="149" spans="11:26" ht="18" customHeight="1">
      <c r="K149" s="171" t="s">
        <v>14</v>
      </c>
      <c r="L149" s="171"/>
      <c r="M149" s="171"/>
      <c r="N149" s="143" t="s">
        <v>32</v>
      </c>
      <c r="O149" s="173">
        <v>4</v>
      </c>
      <c r="P149" s="234">
        <f ca="1">OFFSET($A$1,MATCH(Z147,$A:$A,0)-1,O149)</f>
        <v>1.978</v>
      </c>
      <c r="Q149" s="144" t="s">
        <v>29</v>
      </c>
      <c r="R149" s="118">
        <f t="shared" ca="1" si="35"/>
        <v>373353</v>
      </c>
      <c r="S149" s="118">
        <f t="shared" ca="1" si="35"/>
        <v>738492</v>
      </c>
      <c r="T149" s="118">
        <f ca="1">특급</f>
        <v>373353</v>
      </c>
      <c r="U149" s="118">
        <f t="shared" ca="1" si="36"/>
        <v>738492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39</v>
      </c>
      <c r="O150" s="173">
        <v>5</v>
      </c>
      <c r="P150" s="234">
        <f ca="1">OFFSET($A$1,MATCH(Z147,$A:$A,0)-1,O150)</f>
        <v>5.44</v>
      </c>
      <c r="Q150" s="144" t="s">
        <v>29</v>
      </c>
      <c r="R150" s="118">
        <f t="shared" ca="1" si="35"/>
        <v>310884</v>
      </c>
      <c r="S150" s="118">
        <f t="shared" ca="1" si="35"/>
        <v>1691208</v>
      </c>
      <c r="T150" s="118">
        <f ca="1">고급</f>
        <v>310884</v>
      </c>
      <c r="U150" s="118">
        <f t="shared" ca="1" si="36"/>
        <v>1691208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40</v>
      </c>
      <c r="O151" s="173">
        <v>6</v>
      </c>
      <c r="P151" s="234">
        <f ca="1">OFFSET($A$1,MATCH(Z147,$A:$A,0)-1,O151)</f>
        <v>4.9459999999999997</v>
      </c>
      <c r="Q151" s="144" t="s">
        <v>29</v>
      </c>
      <c r="R151" s="118">
        <f t="shared" ca="1" si="35"/>
        <v>295138</v>
      </c>
      <c r="S151" s="118">
        <f t="shared" ca="1" si="35"/>
        <v>1459752</v>
      </c>
      <c r="T151" s="118">
        <f ca="1">중급</f>
        <v>295138</v>
      </c>
      <c r="U151" s="118">
        <f t="shared" ca="1" si="36"/>
        <v>1459752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41</v>
      </c>
      <c r="O152" s="173">
        <v>7</v>
      </c>
      <c r="P152" s="234">
        <f ca="1">OFFSET($A$1,MATCH(Z147,$A:$A,0)-1,O152)</f>
        <v>10.881</v>
      </c>
      <c r="Q152" s="144" t="s">
        <v>29</v>
      </c>
      <c r="R152" s="118">
        <f t="shared" ca="1" si="35"/>
        <v>235459</v>
      </c>
      <c r="S152" s="118">
        <f t="shared" ca="1" si="35"/>
        <v>2562029</v>
      </c>
      <c r="T152" s="118">
        <f ca="1">초급</f>
        <v>235459</v>
      </c>
      <c r="U152" s="118">
        <f t="shared" ca="1" si="36"/>
        <v>2562029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319" t="s">
        <v>42</v>
      </c>
      <c r="O153" s="174">
        <v>8</v>
      </c>
      <c r="P153" s="235">
        <f ca="1">OFFSET($A$1,MATCH(Z147,$A:$A,0)-1,O153)</f>
        <v>14.837999999999999</v>
      </c>
      <c r="Q153" s="322" t="s">
        <v>29</v>
      </c>
      <c r="R153" s="323">
        <f t="shared" ca="1" si="35"/>
        <v>250087</v>
      </c>
      <c r="S153" s="323">
        <f t="shared" ca="1" si="35"/>
        <v>3710790</v>
      </c>
      <c r="T153" s="323">
        <f ca="1">보조원</f>
        <v>250087</v>
      </c>
      <c r="U153" s="323">
        <f t="shared" ca="1" si="36"/>
        <v>3710790</v>
      </c>
      <c r="V153" s="323"/>
      <c r="W153" s="323"/>
      <c r="X153" s="323"/>
      <c r="Y153" s="323"/>
      <c r="Z153" s="324"/>
    </row>
    <row r="154" spans="11:26" ht="18" customHeight="1">
      <c r="K154" s="171" t="s">
        <v>14</v>
      </c>
      <c r="L154" s="171"/>
      <c r="M154" s="171"/>
      <c r="N154" s="139" t="s">
        <v>17</v>
      </c>
      <c r="O154" s="68"/>
      <c r="P154" s="69"/>
      <c r="Q154" s="70"/>
      <c r="R154" s="71"/>
      <c r="S154" s="71">
        <f ca="1">SUBTOTAL(9,S148:S153)</f>
        <v>10624348</v>
      </c>
      <c r="T154" s="71"/>
      <c r="U154" s="71">
        <f ca="1">SUBTOTAL(9,U148:U153)</f>
        <v>10624348</v>
      </c>
      <c r="V154" s="71"/>
      <c r="W154" s="71"/>
      <c r="X154" s="71"/>
      <c r="Y154" s="71"/>
      <c r="Z154" s="68"/>
    </row>
    <row r="155" spans="11:26" ht="18" customHeight="1">
      <c r="K155" s="171" t="s">
        <v>14</v>
      </c>
      <c r="L155" s="171"/>
      <c r="M155" s="171"/>
      <c r="N155" s="318" t="str">
        <f ca="1">"제 " &amp; Z155 &amp; " 호표  "&amp; OFFSET($A$1,MATCH(Z155,$A:$A,0)-1,1)</f>
        <v>제 12 호표  2.3. 토지이용체계구상</v>
      </c>
      <c r="O155" s="221"/>
      <c r="P155" s="148"/>
      <c r="Q155" s="148"/>
      <c r="R155" s="149"/>
      <c r="S155" s="149"/>
      <c r="T155" s="149"/>
      <c r="U155" s="149"/>
      <c r="V155" s="149"/>
      <c r="W155" s="149"/>
      <c r="X155" s="149"/>
      <c r="Y155" s="149"/>
      <c r="Z155" s="325">
        <f>Z147+1</f>
        <v>12</v>
      </c>
    </row>
    <row r="156" spans="11:26" ht="18" customHeight="1">
      <c r="K156" s="171" t="s">
        <v>14</v>
      </c>
      <c r="L156" s="171"/>
      <c r="M156" s="171"/>
      <c r="N156" s="140" t="s">
        <v>43</v>
      </c>
      <c r="O156" s="172">
        <v>3</v>
      </c>
      <c r="P156" s="219">
        <f ca="1">OFFSET($A$1,MATCH(Z155,$A:$A,0)-1,O156)</f>
        <v>0.98899999999999999</v>
      </c>
      <c r="Q156" s="141" t="s">
        <v>29</v>
      </c>
      <c r="R156" s="142">
        <f t="shared" ref="R156:S161" ca="1" si="37">T156</f>
        <v>467217</v>
      </c>
      <c r="S156" s="142">
        <f t="shared" ca="1" si="37"/>
        <v>462077</v>
      </c>
      <c r="T156" s="142">
        <f ca="1">기술사</f>
        <v>467217</v>
      </c>
      <c r="U156" s="142">
        <f t="shared" ref="U156:U161" ca="1" si="38">ROUNDDOWN(P156*R156,0)</f>
        <v>462077</v>
      </c>
      <c r="V156" s="142"/>
      <c r="W156" s="142"/>
      <c r="X156" s="142"/>
      <c r="Y156" s="142"/>
      <c r="Z156" s="114"/>
    </row>
    <row r="157" spans="11:26" ht="18" customHeight="1">
      <c r="K157" s="171" t="s">
        <v>14</v>
      </c>
      <c r="L157" s="171"/>
      <c r="M157" s="171"/>
      <c r="N157" s="143" t="s">
        <v>32</v>
      </c>
      <c r="O157" s="173">
        <v>4</v>
      </c>
      <c r="P157" s="234">
        <f ca="1">OFFSET($A$1,MATCH(Z155,$A:$A,0)-1,O157)</f>
        <v>1.978</v>
      </c>
      <c r="Q157" s="144" t="s">
        <v>29</v>
      </c>
      <c r="R157" s="118">
        <f t="shared" ca="1" si="37"/>
        <v>373353</v>
      </c>
      <c r="S157" s="118">
        <f t="shared" ca="1" si="37"/>
        <v>738492</v>
      </c>
      <c r="T157" s="118">
        <f ca="1">특급</f>
        <v>373353</v>
      </c>
      <c r="U157" s="118">
        <f t="shared" ca="1" si="38"/>
        <v>738492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39</v>
      </c>
      <c r="O158" s="173">
        <v>5</v>
      </c>
      <c r="P158" s="234">
        <f ca="1">OFFSET($A$1,MATCH(Z155,$A:$A,0)-1,O158)</f>
        <v>5.9349999999999996</v>
      </c>
      <c r="Q158" s="144" t="s">
        <v>29</v>
      </c>
      <c r="R158" s="118">
        <f t="shared" ca="1" si="37"/>
        <v>310884</v>
      </c>
      <c r="S158" s="118">
        <f t="shared" ca="1" si="37"/>
        <v>1845096</v>
      </c>
      <c r="T158" s="118">
        <f ca="1">고급</f>
        <v>310884</v>
      </c>
      <c r="U158" s="118">
        <f t="shared" ca="1" si="38"/>
        <v>1845096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40</v>
      </c>
      <c r="O159" s="173">
        <v>6</v>
      </c>
      <c r="P159" s="234">
        <f ca="1">OFFSET($A$1,MATCH(Z155,$A:$A,0)-1,O159)</f>
        <v>4.9459999999999997</v>
      </c>
      <c r="Q159" s="144" t="s">
        <v>29</v>
      </c>
      <c r="R159" s="118">
        <f t="shared" ca="1" si="37"/>
        <v>295138</v>
      </c>
      <c r="S159" s="118">
        <f t="shared" ca="1" si="37"/>
        <v>1459752</v>
      </c>
      <c r="T159" s="118">
        <f ca="1">중급</f>
        <v>295138</v>
      </c>
      <c r="U159" s="118">
        <f t="shared" ca="1" si="38"/>
        <v>1459752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41</v>
      </c>
      <c r="O160" s="173">
        <v>7</v>
      </c>
      <c r="P160" s="234">
        <f ca="1">OFFSET($A$1,MATCH(Z155,$A:$A,0)-1,O160)</f>
        <v>10.881</v>
      </c>
      <c r="Q160" s="144" t="s">
        <v>29</v>
      </c>
      <c r="R160" s="118">
        <f t="shared" ca="1" si="37"/>
        <v>235459</v>
      </c>
      <c r="S160" s="118">
        <f t="shared" ca="1" si="37"/>
        <v>2562029</v>
      </c>
      <c r="T160" s="118">
        <f ca="1">초급</f>
        <v>235459</v>
      </c>
      <c r="U160" s="118">
        <f t="shared" ca="1" si="38"/>
        <v>2562029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319" t="s">
        <v>42</v>
      </c>
      <c r="O161" s="174">
        <v>8</v>
      </c>
      <c r="P161" s="235">
        <f ca="1">OFFSET($A$1,MATCH(Z155,$A:$A,0)-1,O161)</f>
        <v>14.837999999999999</v>
      </c>
      <c r="Q161" s="322" t="s">
        <v>29</v>
      </c>
      <c r="R161" s="323">
        <f t="shared" ca="1" si="37"/>
        <v>250087</v>
      </c>
      <c r="S161" s="323">
        <f t="shared" ca="1" si="37"/>
        <v>3710790</v>
      </c>
      <c r="T161" s="323">
        <f ca="1">보조원</f>
        <v>250087</v>
      </c>
      <c r="U161" s="323">
        <f t="shared" ca="1" si="38"/>
        <v>3710790</v>
      </c>
      <c r="V161" s="323"/>
      <c r="W161" s="323"/>
      <c r="X161" s="323"/>
      <c r="Y161" s="323"/>
      <c r="Z161" s="324"/>
    </row>
    <row r="162" spans="11:26" ht="18" customHeight="1">
      <c r="K162" s="171" t="s">
        <v>14</v>
      </c>
      <c r="L162" s="171"/>
      <c r="M162" s="171"/>
      <c r="N162" s="139" t="s">
        <v>17</v>
      </c>
      <c r="O162" s="68"/>
      <c r="P162" s="69"/>
      <c r="Q162" s="70"/>
      <c r="R162" s="71"/>
      <c r="S162" s="71">
        <f ca="1">SUBTOTAL(9,S156:S161)</f>
        <v>10778236</v>
      </c>
      <c r="T162" s="71"/>
      <c r="U162" s="71">
        <f ca="1">SUBTOTAL(9,U156:U161)</f>
        <v>10778236</v>
      </c>
      <c r="V162" s="71"/>
      <c r="W162" s="71"/>
      <c r="X162" s="71"/>
      <c r="Y162" s="71"/>
      <c r="Z162" s="68"/>
    </row>
    <row r="163" spans="11:26" ht="18" customHeight="1">
      <c r="K163" s="171" t="s">
        <v>14</v>
      </c>
      <c r="L163" s="171"/>
      <c r="M163" s="171"/>
      <c r="N163" s="318" t="str">
        <f ca="1">"제 " &amp; Z163 &amp; " 호표  "&amp; OFFSET($A$1,MATCH(Z163,$A:$A,0)-1,1)</f>
        <v>제 13 호표  2.4. 교통동선체계구상</v>
      </c>
      <c r="O163" s="221"/>
      <c r="P163" s="148"/>
      <c r="Q163" s="148"/>
      <c r="R163" s="149"/>
      <c r="S163" s="149"/>
      <c r="T163" s="149"/>
      <c r="U163" s="149"/>
      <c r="V163" s="149"/>
      <c r="W163" s="149"/>
      <c r="X163" s="149"/>
      <c r="Y163" s="149"/>
      <c r="Z163" s="325">
        <f>Z155+1</f>
        <v>13</v>
      </c>
    </row>
    <row r="164" spans="11:26" ht="18" customHeight="1">
      <c r="K164" s="171" t="s">
        <v>14</v>
      </c>
      <c r="L164" s="171"/>
      <c r="M164" s="171"/>
      <c r="N164" s="140" t="s">
        <v>43</v>
      </c>
      <c r="O164" s="172">
        <v>3</v>
      </c>
      <c r="P164" s="219">
        <f ca="1">OFFSET($A$1,MATCH(Z163,$A:$A,0)-1,O164)</f>
        <v>0.49399999999999999</v>
      </c>
      <c r="Q164" s="141" t="s">
        <v>29</v>
      </c>
      <c r="R164" s="142">
        <f t="shared" ref="R164:R169" ca="1" si="39">T164</f>
        <v>467217</v>
      </c>
      <c r="S164" s="142">
        <f t="shared" ref="S164:S169" ca="1" si="40">U164</f>
        <v>230805</v>
      </c>
      <c r="T164" s="142">
        <f ca="1">기술사</f>
        <v>467217</v>
      </c>
      <c r="U164" s="142">
        <f t="shared" ref="U164:U169" ca="1" si="41">ROUNDDOWN(P164*R164,0)</f>
        <v>230805</v>
      </c>
      <c r="V164" s="142"/>
      <c r="W164" s="142"/>
      <c r="X164" s="142"/>
      <c r="Y164" s="142"/>
      <c r="Z164" s="114"/>
    </row>
    <row r="165" spans="11:26" ht="18" customHeight="1">
      <c r="K165" s="171" t="s">
        <v>14</v>
      </c>
      <c r="L165" s="171"/>
      <c r="M165" s="171"/>
      <c r="N165" s="143" t="s">
        <v>32</v>
      </c>
      <c r="O165" s="173">
        <v>4</v>
      </c>
      <c r="P165" s="234">
        <f ca="1">OFFSET($A$1,MATCH(Z163,$A:$A,0)-1,O165)</f>
        <v>0.98899999999999999</v>
      </c>
      <c r="Q165" s="144" t="s">
        <v>29</v>
      </c>
      <c r="R165" s="118">
        <f t="shared" ca="1" si="39"/>
        <v>373353</v>
      </c>
      <c r="S165" s="118">
        <f t="shared" ca="1" si="40"/>
        <v>369246</v>
      </c>
      <c r="T165" s="118">
        <f ca="1">특급</f>
        <v>373353</v>
      </c>
      <c r="U165" s="118">
        <f t="shared" ca="1" si="41"/>
        <v>369246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39</v>
      </c>
      <c r="O166" s="173">
        <v>5</v>
      </c>
      <c r="P166" s="234">
        <f ca="1">OFFSET($A$1,MATCH(Z163,$A:$A,0)-1,O166)</f>
        <v>4.4509999999999996</v>
      </c>
      <c r="Q166" s="144" t="s">
        <v>29</v>
      </c>
      <c r="R166" s="118">
        <f t="shared" ca="1" si="39"/>
        <v>310884</v>
      </c>
      <c r="S166" s="118">
        <f t="shared" ca="1" si="40"/>
        <v>1383744</v>
      </c>
      <c r="T166" s="118">
        <f ca="1">고급</f>
        <v>310884</v>
      </c>
      <c r="U166" s="118">
        <f t="shared" ca="1" si="41"/>
        <v>1383744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40</v>
      </c>
      <c r="O167" s="173">
        <v>6</v>
      </c>
      <c r="P167" s="234">
        <f ca="1">OFFSET($A$1,MATCH(Z163,$A:$A,0)-1,O167)</f>
        <v>3.9569999999999999</v>
      </c>
      <c r="Q167" s="144" t="s">
        <v>29</v>
      </c>
      <c r="R167" s="118">
        <f t="shared" ca="1" si="39"/>
        <v>295138</v>
      </c>
      <c r="S167" s="118">
        <f t="shared" ca="1" si="40"/>
        <v>1167861</v>
      </c>
      <c r="T167" s="118">
        <f ca="1">중급</f>
        <v>295138</v>
      </c>
      <c r="U167" s="118">
        <f t="shared" ca="1" si="41"/>
        <v>1167861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41</v>
      </c>
      <c r="O168" s="173">
        <v>7</v>
      </c>
      <c r="P168" s="234">
        <f ca="1">OFFSET($A$1,MATCH(Z163,$A:$A,0)-1,O168)</f>
        <v>8.9030000000000005</v>
      </c>
      <c r="Q168" s="144" t="s">
        <v>29</v>
      </c>
      <c r="R168" s="118">
        <f t="shared" ca="1" si="39"/>
        <v>235459</v>
      </c>
      <c r="S168" s="118">
        <f t="shared" ca="1" si="40"/>
        <v>2096291</v>
      </c>
      <c r="T168" s="118">
        <f ca="1">초급</f>
        <v>235459</v>
      </c>
      <c r="U168" s="118">
        <f t="shared" ca="1" si="41"/>
        <v>2096291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319" t="s">
        <v>42</v>
      </c>
      <c r="O169" s="174">
        <v>8</v>
      </c>
      <c r="P169" s="235">
        <f ca="1">OFFSET($A$1,MATCH(Z163,$A:$A,0)-1,O169)</f>
        <v>14.837999999999999</v>
      </c>
      <c r="Q169" s="322" t="s">
        <v>29</v>
      </c>
      <c r="R169" s="323">
        <f t="shared" ca="1" si="39"/>
        <v>250087</v>
      </c>
      <c r="S169" s="323">
        <f t="shared" ca="1" si="40"/>
        <v>3710790</v>
      </c>
      <c r="T169" s="323">
        <f ca="1">보조원</f>
        <v>250087</v>
      </c>
      <c r="U169" s="323">
        <f t="shared" ca="1" si="41"/>
        <v>3710790</v>
      </c>
      <c r="V169" s="323"/>
      <c r="W169" s="323"/>
      <c r="X169" s="323"/>
      <c r="Y169" s="323"/>
      <c r="Z169" s="324"/>
    </row>
    <row r="170" spans="11:26" ht="18" customHeight="1">
      <c r="K170" s="171" t="s">
        <v>14</v>
      </c>
      <c r="L170" s="171"/>
      <c r="M170" s="171"/>
      <c r="N170" s="139" t="s">
        <v>17</v>
      </c>
      <c r="O170" s="68"/>
      <c r="P170" s="69"/>
      <c r="Q170" s="70"/>
      <c r="R170" s="71"/>
      <c r="S170" s="71">
        <f ca="1">SUBTOTAL(9,S164:S169)</f>
        <v>8958737</v>
      </c>
      <c r="T170" s="71"/>
      <c r="U170" s="71">
        <f ca="1">SUBTOTAL(9,U164:U169)</f>
        <v>8958737</v>
      </c>
      <c r="V170" s="71"/>
      <c r="W170" s="71"/>
      <c r="X170" s="71"/>
      <c r="Y170" s="71"/>
      <c r="Z170" s="68"/>
    </row>
    <row r="171" spans="11:26" ht="18" customHeight="1">
      <c r="K171" s="171" t="s">
        <v>14</v>
      </c>
      <c r="L171" s="171"/>
      <c r="M171" s="171"/>
      <c r="N171" s="318" t="str">
        <f ca="1">"제 " &amp; Z171 &amp; " 호표  "&amp; OFFSET($A$1,MATCH(Z171,$A:$A,0)-1,1)</f>
        <v>제 14 호표  2.5. 공원·녹지체계구상</v>
      </c>
      <c r="O171" s="221"/>
      <c r="P171" s="148"/>
      <c r="Q171" s="148"/>
      <c r="R171" s="149"/>
      <c r="S171" s="149"/>
      <c r="T171" s="149"/>
      <c r="U171" s="149"/>
      <c r="V171" s="149"/>
      <c r="W171" s="149"/>
      <c r="X171" s="149"/>
      <c r="Y171" s="149"/>
      <c r="Z171" s="325">
        <f>Z163+1</f>
        <v>14</v>
      </c>
    </row>
    <row r="172" spans="11:26" ht="18" customHeight="1">
      <c r="K172" s="171" t="s">
        <v>14</v>
      </c>
      <c r="L172" s="171"/>
      <c r="M172" s="171"/>
      <c r="N172" s="140" t="s">
        <v>43</v>
      </c>
      <c r="O172" s="172">
        <v>3</v>
      </c>
      <c r="P172" s="219">
        <f ca="1">OFFSET($A$1,MATCH(Z171,$A:$A,0)-1,O172)</f>
        <v>0.98899999999999999</v>
      </c>
      <c r="Q172" s="141" t="s">
        <v>29</v>
      </c>
      <c r="R172" s="142">
        <f t="shared" ref="R172:R177" ca="1" si="42">T172</f>
        <v>467217</v>
      </c>
      <c r="S172" s="142">
        <f t="shared" ref="S172:S177" ca="1" si="43">U172</f>
        <v>462077</v>
      </c>
      <c r="T172" s="142">
        <f ca="1">기술사</f>
        <v>467217</v>
      </c>
      <c r="U172" s="142">
        <f t="shared" ref="U172:U177" ca="1" si="44">ROUNDDOWN(P172*R172,0)</f>
        <v>462077</v>
      </c>
      <c r="V172" s="142"/>
      <c r="W172" s="142"/>
      <c r="X172" s="142"/>
      <c r="Y172" s="142"/>
      <c r="Z172" s="114"/>
    </row>
    <row r="173" spans="11:26" ht="18" customHeight="1">
      <c r="K173" s="171" t="s">
        <v>14</v>
      </c>
      <c r="L173" s="171"/>
      <c r="M173" s="171"/>
      <c r="N173" s="143" t="s">
        <v>32</v>
      </c>
      <c r="O173" s="173">
        <v>4</v>
      </c>
      <c r="P173" s="234">
        <f ca="1">OFFSET($A$1,MATCH(Z171,$A:$A,0)-1,O173)</f>
        <v>1.978</v>
      </c>
      <c r="Q173" s="144" t="s">
        <v>29</v>
      </c>
      <c r="R173" s="118">
        <f t="shared" ca="1" si="42"/>
        <v>373353</v>
      </c>
      <c r="S173" s="118">
        <f t="shared" ca="1" si="43"/>
        <v>738492</v>
      </c>
      <c r="T173" s="118">
        <f ca="1">특급</f>
        <v>373353</v>
      </c>
      <c r="U173" s="118">
        <f t="shared" ca="1" si="44"/>
        <v>738492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39</v>
      </c>
      <c r="O174" s="173">
        <v>5</v>
      </c>
      <c r="P174" s="234">
        <f ca="1">OFFSET($A$1,MATCH(Z171,$A:$A,0)-1,O174)</f>
        <v>5.44</v>
      </c>
      <c r="Q174" s="144" t="s">
        <v>29</v>
      </c>
      <c r="R174" s="118">
        <f t="shared" ca="1" si="42"/>
        <v>310884</v>
      </c>
      <c r="S174" s="118">
        <f t="shared" ca="1" si="43"/>
        <v>1691208</v>
      </c>
      <c r="T174" s="118">
        <f ca="1">고급</f>
        <v>310884</v>
      </c>
      <c r="U174" s="118">
        <f t="shared" ca="1" si="44"/>
        <v>1691208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40</v>
      </c>
      <c r="O175" s="173">
        <v>6</v>
      </c>
      <c r="P175" s="234">
        <f ca="1">OFFSET($A$1,MATCH(Z171,$A:$A,0)-1,O175)</f>
        <v>4.4509999999999996</v>
      </c>
      <c r="Q175" s="144" t="s">
        <v>29</v>
      </c>
      <c r="R175" s="118">
        <f t="shared" ca="1" si="42"/>
        <v>295138</v>
      </c>
      <c r="S175" s="118">
        <f t="shared" ca="1" si="43"/>
        <v>1313659</v>
      </c>
      <c r="T175" s="118">
        <f ca="1">중급</f>
        <v>295138</v>
      </c>
      <c r="U175" s="118">
        <f t="shared" ca="1" si="44"/>
        <v>1313659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41</v>
      </c>
      <c r="O176" s="173">
        <v>7</v>
      </c>
      <c r="P176" s="234">
        <f ca="1">OFFSET($A$1,MATCH(Z171,$A:$A,0)-1,O176)</f>
        <v>10.881</v>
      </c>
      <c r="Q176" s="144" t="s">
        <v>29</v>
      </c>
      <c r="R176" s="118">
        <f t="shared" ca="1" si="42"/>
        <v>235459</v>
      </c>
      <c r="S176" s="118">
        <f t="shared" ca="1" si="43"/>
        <v>2562029</v>
      </c>
      <c r="T176" s="118">
        <f ca="1">초급</f>
        <v>235459</v>
      </c>
      <c r="U176" s="118">
        <f t="shared" ca="1" si="44"/>
        <v>2562029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319" t="s">
        <v>42</v>
      </c>
      <c r="O177" s="174">
        <v>8</v>
      </c>
      <c r="P177" s="235">
        <f ca="1">OFFSET($A$1,MATCH(Z171,$A:$A,0)-1,O177)</f>
        <v>14.837999999999999</v>
      </c>
      <c r="Q177" s="322" t="s">
        <v>29</v>
      </c>
      <c r="R177" s="323">
        <f t="shared" ca="1" si="42"/>
        <v>250087</v>
      </c>
      <c r="S177" s="323">
        <f t="shared" ca="1" si="43"/>
        <v>3710790</v>
      </c>
      <c r="T177" s="323">
        <f ca="1">보조원</f>
        <v>250087</v>
      </c>
      <c r="U177" s="323">
        <f t="shared" ca="1" si="44"/>
        <v>3710790</v>
      </c>
      <c r="V177" s="323"/>
      <c r="W177" s="323"/>
      <c r="X177" s="323"/>
      <c r="Y177" s="323"/>
      <c r="Z177" s="324"/>
    </row>
    <row r="178" spans="11:26" ht="18" customHeight="1">
      <c r="K178" s="171" t="s">
        <v>14</v>
      </c>
      <c r="L178" s="171"/>
      <c r="M178" s="171"/>
      <c r="N178" s="139" t="s">
        <v>17</v>
      </c>
      <c r="O178" s="68"/>
      <c r="P178" s="69"/>
      <c r="Q178" s="70"/>
      <c r="R178" s="71"/>
      <c r="S178" s="71">
        <f ca="1">SUBTOTAL(9,S172:S177)</f>
        <v>10478255</v>
      </c>
      <c r="T178" s="71"/>
      <c r="U178" s="71">
        <f ca="1">SUBTOTAL(9,U172:U177)</f>
        <v>10478255</v>
      </c>
      <c r="V178" s="71"/>
      <c r="W178" s="71"/>
      <c r="X178" s="71"/>
      <c r="Y178" s="71"/>
      <c r="Z178" s="68"/>
    </row>
    <row r="179" spans="11:26" ht="18" customHeight="1">
      <c r="K179" s="171" t="s">
        <v>14</v>
      </c>
      <c r="L179" s="171"/>
      <c r="M179" s="171"/>
      <c r="N179" s="318" t="str">
        <f ca="1">"제 " &amp; Z179 &amp; " 호표  "&amp; OFFSET($A$1,MATCH(Z179,$A:$A,0)-1,1)</f>
        <v>제 15 호표  3.1. 용도지역·지구</v>
      </c>
      <c r="O179" s="221"/>
      <c r="P179" s="148"/>
      <c r="Q179" s="148"/>
      <c r="R179" s="149"/>
      <c r="S179" s="149"/>
      <c r="T179" s="149"/>
      <c r="U179" s="149"/>
      <c r="V179" s="149"/>
      <c r="W179" s="149"/>
      <c r="X179" s="149"/>
      <c r="Y179" s="149"/>
      <c r="Z179" s="325">
        <f>Z171+1</f>
        <v>15</v>
      </c>
    </row>
    <row r="180" spans="11:26" ht="18" customHeight="1">
      <c r="K180" s="171" t="s">
        <v>14</v>
      </c>
      <c r="L180" s="171"/>
      <c r="M180" s="171"/>
      <c r="N180" s="140" t="s">
        <v>43</v>
      </c>
      <c r="O180" s="172">
        <v>3</v>
      </c>
      <c r="P180" s="219">
        <f ca="1">OFFSET($A$1,MATCH(Z179,$A:$A,0)-1,O180)</f>
        <v>2.9670000000000001</v>
      </c>
      <c r="Q180" s="141" t="s">
        <v>29</v>
      </c>
      <c r="R180" s="142">
        <f t="shared" ref="R180:R185" ca="1" si="45">T180</f>
        <v>467217</v>
      </c>
      <c r="S180" s="142">
        <f t="shared" ref="S180:S185" ca="1" si="46">U180</f>
        <v>1386232</v>
      </c>
      <c r="T180" s="142">
        <f ca="1">기술사</f>
        <v>467217</v>
      </c>
      <c r="U180" s="142">
        <f t="shared" ref="U180:U185" ca="1" si="47">ROUNDDOWN(P180*R180,0)</f>
        <v>1386232</v>
      </c>
      <c r="V180" s="142"/>
      <c r="W180" s="142"/>
      <c r="X180" s="142"/>
      <c r="Y180" s="142"/>
      <c r="Z180" s="114"/>
    </row>
    <row r="181" spans="11:26" ht="18" customHeight="1">
      <c r="K181" s="171" t="s">
        <v>14</v>
      </c>
      <c r="L181" s="171"/>
      <c r="M181" s="171"/>
      <c r="N181" s="143" t="s">
        <v>32</v>
      </c>
      <c r="O181" s="173">
        <v>4</v>
      </c>
      <c r="P181" s="234">
        <f ca="1">OFFSET($A$1,MATCH(Z179,$A:$A,0)-1,O181)</f>
        <v>4.4509999999999996</v>
      </c>
      <c r="Q181" s="144" t="s">
        <v>29</v>
      </c>
      <c r="R181" s="118">
        <f t="shared" ca="1" si="45"/>
        <v>373353</v>
      </c>
      <c r="S181" s="118">
        <f t="shared" ca="1" si="46"/>
        <v>1661794</v>
      </c>
      <c r="T181" s="118">
        <f ca="1">특급</f>
        <v>373353</v>
      </c>
      <c r="U181" s="118">
        <f t="shared" ca="1" si="47"/>
        <v>1661794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39</v>
      </c>
      <c r="O182" s="173">
        <v>5</v>
      </c>
      <c r="P182" s="234">
        <f ca="1">OFFSET($A$1,MATCH(Z179,$A:$A,0)-1,O182)</f>
        <v>12.365</v>
      </c>
      <c r="Q182" s="144" t="s">
        <v>29</v>
      </c>
      <c r="R182" s="118">
        <f t="shared" ca="1" si="45"/>
        <v>310884</v>
      </c>
      <c r="S182" s="118">
        <f t="shared" ca="1" si="46"/>
        <v>3844080</v>
      </c>
      <c r="T182" s="118">
        <f ca="1">고급</f>
        <v>310884</v>
      </c>
      <c r="U182" s="118">
        <f t="shared" ca="1" si="47"/>
        <v>3844080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40</v>
      </c>
      <c r="O183" s="173">
        <v>6</v>
      </c>
      <c r="P183" s="234">
        <f ca="1">OFFSET($A$1,MATCH(Z179,$A:$A,0)-1,O183)</f>
        <v>6.43</v>
      </c>
      <c r="Q183" s="144" t="s">
        <v>29</v>
      </c>
      <c r="R183" s="118">
        <f t="shared" ca="1" si="45"/>
        <v>295138</v>
      </c>
      <c r="S183" s="118">
        <f t="shared" ca="1" si="46"/>
        <v>1897737</v>
      </c>
      <c r="T183" s="118">
        <f ca="1">중급</f>
        <v>295138</v>
      </c>
      <c r="U183" s="118">
        <f t="shared" ca="1" si="47"/>
        <v>1897737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41</v>
      </c>
      <c r="O184" s="173">
        <v>7</v>
      </c>
      <c r="P184" s="234">
        <f ca="1">OFFSET($A$1,MATCH(Z179,$A:$A,0)-1,O184)</f>
        <v>38.58</v>
      </c>
      <c r="Q184" s="144" t="s">
        <v>29</v>
      </c>
      <c r="R184" s="118">
        <f t="shared" ca="1" si="45"/>
        <v>235459</v>
      </c>
      <c r="S184" s="118">
        <f t="shared" ca="1" si="46"/>
        <v>9084008</v>
      </c>
      <c r="T184" s="118">
        <f ca="1">초급</f>
        <v>235459</v>
      </c>
      <c r="U184" s="118">
        <f t="shared" ca="1" si="47"/>
        <v>9084008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319" t="s">
        <v>42</v>
      </c>
      <c r="O185" s="174">
        <v>8</v>
      </c>
      <c r="P185" s="235">
        <f ca="1">OFFSET($A$1,MATCH(Z179,$A:$A,0)-1,O185)</f>
        <v>43.527000000000001</v>
      </c>
      <c r="Q185" s="322" t="s">
        <v>29</v>
      </c>
      <c r="R185" s="323">
        <f t="shared" ca="1" si="45"/>
        <v>250087</v>
      </c>
      <c r="S185" s="323">
        <f t="shared" ca="1" si="46"/>
        <v>10885536</v>
      </c>
      <c r="T185" s="323">
        <f ca="1">보조원</f>
        <v>250087</v>
      </c>
      <c r="U185" s="323">
        <f t="shared" ca="1" si="47"/>
        <v>10885536</v>
      </c>
      <c r="V185" s="323"/>
      <c r="W185" s="323"/>
      <c r="X185" s="323"/>
      <c r="Y185" s="323"/>
      <c r="Z185" s="324"/>
    </row>
    <row r="186" spans="11:26" ht="18" customHeight="1">
      <c r="K186" s="171" t="s">
        <v>14</v>
      </c>
      <c r="L186" s="171"/>
      <c r="M186" s="171"/>
      <c r="N186" s="139" t="s">
        <v>17</v>
      </c>
      <c r="O186" s="68"/>
      <c r="P186" s="69"/>
      <c r="Q186" s="70"/>
      <c r="R186" s="71"/>
      <c r="S186" s="71">
        <f ca="1">SUBTOTAL(9,S180:S185)</f>
        <v>28759387</v>
      </c>
      <c r="T186" s="71"/>
      <c r="U186" s="71">
        <f ca="1">SUBTOTAL(9,U180:U185)</f>
        <v>28759387</v>
      </c>
      <c r="V186" s="71"/>
      <c r="W186" s="71"/>
      <c r="X186" s="71"/>
      <c r="Y186" s="71"/>
      <c r="Z186" s="68"/>
    </row>
    <row r="187" spans="11:26" ht="18" customHeight="1">
      <c r="K187" s="171" t="s">
        <v>14</v>
      </c>
      <c r="L187" s="171"/>
      <c r="M187" s="171"/>
      <c r="N187" s="318" t="str">
        <f ca="1">"제 " &amp; Z187 &amp; " 호표  "&amp; OFFSET($A$1,MATCH(Z187,$A:$A,0)-1,1)</f>
        <v>제 16 호표  3.2. 교통처리</v>
      </c>
      <c r="O187" s="221"/>
      <c r="P187" s="148"/>
      <c r="Q187" s="148"/>
      <c r="R187" s="149"/>
      <c r="S187" s="149"/>
      <c r="T187" s="149"/>
      <c r="U187" s="149"/>
      <c r="V187" s="149"/>
      <c r="W187" s="149"/>
      <c r="X187" s="149"/>
      <c r="Y187" s="149"/>
      <c r="Z187" s="325">
        <f>Z179+1</f>
        <v>16</v>
      </c>
    </row>
    <row r="188" spans="11:26" ht="18" customHeight="1">
      <c r="K188" s="171" t="s">
        <v>14</v>
      </c>
      <c r="L188" s="171"/>
      <c r="M188" s="171"/>
      <c r="N188" s="140" t="s">
        <v>43</v>
      </c>
      <c r="O188" s="172">
        <v>3</v>
      </c>
      <c r="P188" s="219">
        <f ca="1">OFFSET($A$1,MATCH(Z187,$A:$A,0)-1,O188)</f>
        <v>4.4509999999999996</v>
      </c>
      <c r="Q188" s="141" t="s">
        <v>29</v>
      </c>
      <c r="R188" s="142">
        <f t="shared" ref="R188:R193" ca="1" si="48">T188</f>
        <v>467217</v>
      </c>
      <c r="S188" s="142">
        <f t="shared" ref="S188:S193" ca="1" si="49">U188</f>
        <v>2079582</v>
      </c>
      <c r="T188" s="142">
        <f ca="1">기술사</f>
        <v>467217</v>
      </c>
      <c r="U188" s="142">
        <f t="shared" ref="U188:U193" ca="1" si="50">ROUNDDOWN(P188*R188,0)</f>
        <v>2079582</v>
      </c>
      <c r="V188" s="142"/>
      <c r="W188" s="142"/>
      <c r="X188" s="142"/>
      <c r="Y188" s="142"/>
      <c r="Z188" s="114"/>
    </row>
    <row r="189" spans="11:26" ht="18" customHeight="1">
      <c r="K189" s="171" t="s">
        <v>14</v>
      </c>
      <c r="L189" s="171"/>
      <c r="M189" s="171"/>
      <c r="N189" s="143" t="s">
        <v>32</v>
      </c>
      <c r="O189" s="173">
        <v>4</v>
      </c>
      <c r="P189" s="234">
        <f ca="1">OFFSET($A$1,MATCH(Z187,$A:$A,0)-1,O189)</f>
        <v>6.9240000000000004</v>
      </c>
      <c r="Q189" s="144" t="s">
        <v>29</v>
      </c>
      <c r="R189" s="118">
        <f t="shared" ca="1" si="48"/>
        <v>373353</v>
      </c>
      <c r="S189" s="118">
        <f t="shared" ca="1" si="49"/>
        <v>2585096</v>
      </c>
      <c r="T189" s="118">
        <f ca="1">특급</f>
        <v>373353</v>
      </c>
      <c r="U189" s="118">
        <f t="shared" ca="1" si="50"/>
        <v>2585096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39</v>
      </c>
      <c r="O190" s="173">
        <v>5</v>
      </c>
      <c r="P190" s="234">
        <f ca="1">OFFSET($A$1,MATCH(Z187,$A:$A,0)-1,O190)</f>
        <v>14.837999999999999</v>
      </c>
      <c r="Q190" s="144" t="s">
        <v>29</v>
      </c>
      <c r="R190" s="118">
        <f t="shared" ca="1" si="48"/>
        <v>310884</v>
      </c>
      <c r="S190" s="118">
        <f t="shared" ca="1" si="49"/>
        <v>4612896</v>
      </c>
      <c r="T190" s="118">
        <f ca="1">고급</f>
        <v>310884</v>
      </c>
      <c r="U190" s="118">
        <f t="shared" ca="1" si="50"/>
        <v>4612896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40</v>
      </c>
      <c r="O191" s="173">
        <v>6</v>
      </c>
      <c r="P191" s="234">
        <f ca="1">OFFSET($A$1,MATCH(Z187,$A:$A,0)-1,O191)</f>
        <v>14.343999999999999</v>
      </c>
      <c r="Q191" s="144" t="s">
        <v>29</v>
      </c>
      <c r="R191" s="118">
        <f t="shared" ca="1" si="48"/>
        <v>295138</v>
      </c>
      <c r="S191" s="118">
        <f t="shared" ca="1" si="49"/>
        <v>4233459</v>
      </c>
      <c r="T191" s="118">
        <f ca="1">중급</f>
        <v>295138</v>
      </c>
      <c r="U191" s="118">
        <f t="shared" ca="1" si="50"/>
        <v>4233459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41</v>
      </c>
      <c r="O192" s="173">
        <v>7</v>
      </c>
      <c r="P192" s="234">
        <f ca="1">OFFSET($A$1,MATCH(Z187,$A:$A,0)-1,O192)</f>
        <v>37.095999999999997</v>
      </c>
      <c r="Q192" s="144" t="s">
        <v>29</v>
      </c>
      <c r="R192" s="118">
        <f t="shared" ca="1" si="48"/>
        <v>235459</v>
      </c>
      <c r="S192" s="118">
        <f t="shared" ca="1" si="49"/>
        <v>8734587</v>
      </c>
      <c r="T192" s="118">
        <f ca="1">초급</f>
        <v>235459</v>
      </c>
      <c r="U192" s="118">
        <f t="shared" ca="1" si="50"/>
        <v>8734587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319" t="s">
        <v>42</v>
      </c>
      <c r="O193" s="174">
        <v>8</v>
      </c>
      <c r="P193" s="235">
        <f ca="1">OFFSET($A$1,MATCH(Z187,$A:$A,0)-1,O193)</f>
        <v>63.805999999999997</v>
      </c>
      <c r="Q193" s="322" t="s">
        <v>29</v>
      </c>
      <c r="R193" s="323">
        <f t="shared" ca="1" si="48"/>
        <v>250087</v>
      </c>
      <c r="S193" s="323">
        <f t="shared" ca="1" si="49"/>
        <v>15957051</v>
      </c>
      <c r="T193" s="323">
        <f ca="1">보조원</f>
        <v>250087</v>
      </c>
      <c r="U193" s="323">
        <f t="shared" ca="1" si="50"/>
        <v>15957051</v>
      </c>
      <c r="V193" s="323"/>
      <c r="W193" s="323"/>
      <c r="X193" s="323"/>
      <c r="Y193" s="323"/>
      <c r="Z193" s="324"/>
    </row>
    <row r="194" spans="11:26" ht="18" customHeight="1">
      <c r="K194" s="171" t="s">
        <v>14</v>
      </c>
      <c r="L194" s="171"/>
      <c r="M194" s="171"/>
      <c r="N194" s="139" t="s">
        <v>17</v>
      </c>
      <c r="O194" s="68"/>
      <c r="P194" s="69"/>
      <c r="Q194" s="70"/>
      <c r="R194" s="71"/>
      <c r="S194" s="71">
        <f ca="1">SUBTOTAL(9,S188:S193)</f>
        <v>38202671</v>
      </c>
      <c r="T194" s="71"/>
      <c r="U194" s="71">
        <f ca="1">SUBTOTAL(9,U188:U193)</f>
        <v>38202671</v>
      </c>
      <c r="V194" s="71"/>
      <c r="W194" s="71"/>
      <c r="X194" s="71"/>
      <c r="Y194" s="71"/>
      <c r="Z194" s="68"/>
    </row>
    <row r="195" spans="11:26" ht="18" customHeight="1">
      <c r="K195" s="171" t="s">
        <v>14</v>
      </c>
      <c r="L195" s="171"/>
      <c r="M195" s="171"/>
      <c r="N195" s="318" t="str">
        <f ca="1">"제 " &amp; Z195 &amp; " 호표  "&amp; OFFSET($A$1,MATCH(Z195,$A:$A,0)-1,1)</f>
        <v>제 17 호표  3.3. 공원녹지</v>
      </c>
      <c r="O195" s="221"/>
      <c r="P195" s="148"/>
      <c r="Q195" s="148"/>
      <c r="R195" s="149"/>
      <c r="S195" s="149"/>
      <c r="T195" s="149"/>
      <c r="U195" s="149"/>
      <c r="V195" s="149"/>
      <c r="W195" s="149"/>
      <c r="X195" s="149"/>
      <c r="Y195" s="149"/>
      <c r="Z195" s="325">
        <f>Z187+1</f>
        <v>17</v>
      </c>
    </row>
    <row r="196" spans="11:26" ht="18" customHeight="1">
      <c r="K196" s="171" t="s">
        <v>14</v>
      </c>
      <c r="L196" s="171"/>
      <c r="M196" s="171"/>
      <c r="N196" s="140" t="s">
        <v>43</v>
      </c>
      <c r="O196" s="172">
        <v>3</v>
      </c>
      <c r="P196" s="219">
        <f ca="1">OFFSET($A$1,MATCH(Z195,$A:$A,0)-1,O196)</f>
        <v>1.4830000000000001</v>
      </c>
      <c r="Q196" s="141" t="s">
        <v>29</v>
      </c>
      <c r="R196" s="142">
        <f t="shared" ref="R196:R201" ca="1" si="51">T196</f>
        <v>467217</v>
      </c>
      <c r="S196" s="142">
        <f t="shared" ref="S196:S201" ca="1" si="52">U196</f>
        <v>692882</v>
      </c>
      <c r="T196" s="142">
        <f ca="1">기술사</f>
        <v>467217</v>
      </c>
      <c r="U196" s="142">
        <f t="shared" ref="U196:U201" ca="1" si="53">ROUNDDOWN(P196*R196,0)</f>
        <v>692882</v>
      </c>
      <c r="V196" s="142"/>
      <c r="W196" s="142"/>
      <c r="X196" s="142"/>
      <c r="Y196" s="142"/>
      <c r="Z196" s="114"/>
    </row>
    <row r="197" spans="11:26" ht="18" customHeight="1">
      <c r="K197" s="171" t="s">
        <v>14</v>
      </c>
      <c r="L197" s="171"/>
      <c r="M197" s="171"/>
      <c r="N197" s="143" t="s">
        <v>32</v>
      </c>
      <c r="O197" s="173">
        <v>4</v>
      </c>
      <c r="P197" s="234">
        <f ca="1">OFFSET($A$1,MATCH(Z195,$A:$A,0)-1,O197)</f>
        <v>2.4729999999999999</v>
      </c>
      <c r="Q197" s="144" t="s">
        <v>29</v>
      </c>
      <c r="R197" s="118">
        <f t="shared" ca="1" si="51"/>
        <v>373353</v>
      </c>
      <c r="S197" s="118">
        <f t="shared" ca="1" si="52"/>
        <v>923301</v>
      </c>
      <c r="T197" s="118">
        <f ca="1">특급</f>
        <v>373353</v>
      </c>
      <c r="U197" s="118">
        <f t="shared" ca="1" si="53"/>
        <v>923301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39</v>
      </c>
      <c r="O198" s="173">
        <v>5</v>
      </c>
      <c r="P198" s="234">
        <f ca="1">OFFSET($A$1,MATCH(Z195,$A:$A,0)-1,O198)</f>
        <v>7.4189999999999996</v>
      </c>
      <c r="Q198" s="144" t="s">
        <v>29</v>
      </c>
      <c r="R198" s="118">
        <f t="shared" ca="1" si="51"/>
        <v>310884</v>
      </c>
      <c r="S198" s="118">
        <f t="shared" ca="1" si="52"/>
        <v>2306448</v>
      </c>
      <c r="T198" s="118">
        <f ca="1">고급</f>
        <v>310884</v>
      </c>
      <c r="U198" s="118">
        <f t="shared" ca="1" si="53"/>
        <v>2306448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40</v>
      </c>
      <c r="O199" s="173">
        <v>6</v>
      </c>
      <c r="P199" s="234">
        <f ca="1">OFFSET($A$1,MATCH(Z195,$A:$A,0)-1,O199)</f>
        <v>6.43</v>
      </c>
      <c r="Q199" s="144" t="s">
        <v>29</v>
      </c>
      <c r="R199" s="118">
        <f t="shared" ca="1" si="51"/>
        <v>295138</v>
      </c>
      <c r="S199" s="118">
        <f t="shared" ca="1" si="52"/>
        <v>1897737</v>
      </c>
      <c r="T199" s="118">
        <f ca="1">중급</f>
        <v>295138</v>
      </c>
      <c r="U199" s="118">
        <f t="shared" ca="1" si="53"/>
        <v>1897737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41</v>
      </c>
      <c r="O200" s="173">
        <v>7</v>
      </c>
      <c r="P200" s="234">
        <f ca="1">OFFSET($A$1,MATCH(Z195,$A:$A,0)-1,O200)</f>
        <v>12.365</v>
      </c>
      <c r="Q200" s="144" t="s">
        <v>29</v>
      </c>
      <c r="R200" s="118">
        <f t="shared" ca="1" si="51"/>
        <v>235459</v>
      </c>
      <c r="S200" s="118">
        <f t="shared" ca="1" si="52"/>
        <v>2911450</v>
      </c>
      <c r="T200" s="118">
        <f ca="1">초급</f>
        <v>235459</v>
      </c>
      <c r="U200" s="118">
        <f t="shared" ca="1" si="53"/>
        <v>2911450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319" t="s">
        <v>42</v>
      </c>
      <c r="O201" s="174">
        <v>8</v>
      </c>
      <c r="P201" s="235">
        <f ca="1">OFFSET($A$1,MATCH(Z195,$A:$A,0)-1,O201)</f>
        <v>21.268000000000001</v>
      </c>
      <c r="Q201" s="322" t="s">
        <v>29</v>
      </c>
      <c r="R201" s="323">
        <f t="shared" ca="1" si="51"/>
        <v>250087</v>
      </c>
      <c r="S201" s="323">
        <f t="shared" ca="1" si="52"/>
        <v>5318850</v>
      </c>
      <c r="T201" s="323">
        <f ca="1">보조원</f>
        <v>250087</v>
      </c>
      <c r="U201" s="323">
        <f t="shared" ca="1" si="53"/>
        <v>5318850</v>
      </c>
      <c r="V201" s="323"/>
      <c r="W201" s="323"/>
      <c r="X201" s="323"/>
      <c r="Y201" s="323"/>
      <c r="Z201" s="324"/>
    </row>
    <row r="202" spans="11:26" ht="18" customHeight="1">
      <c r="K202" s="171" t="s">
        <v>14</v>
      </c>
      <c r="L202" s="171"/>
      <c r="M202" s="171"/>
      <c r="N202" s="139" t="s">
        <v>17</v>
      </c>
      <c r="O202" s="68"/>
      <c r="P202" s="69"/>
      <c r="Q202" s="70"/>
      <c r="R202" s="71"/>
      <c r="S202" s="71">
        <f ca="1">SUBTOTAL(9,S196:S201)</f>
        <v>14050668</v>
      </c>
      <c r="T202" s="71"/>
      <c r="U202" s="71">
        <f ca="1">SUBTOTAL(9,U196:U201)</f>
        <v>14050668</v>
      </c>
      <c r="V202" s="71"/>
      <c r="W202" s="71"/>
      <c r="X202" s="71"/>
      <c r="Y202" s="71"/>
      <c r="Z202" s="68"/>
    </row>
    <row r="203" spans="11:26" ht="18" customHeight="1">
      <c r="K203" s="171" t="s">
        <v>14</v>
      </c>
      <c r="L203" s="171"/>
      <c r="M203" s="171"/>
      <c r="N203" s="318" t="str">
        <f ca="1">"제 " &amp; Z203 &amp; " 호표  "&amp; OFFSET($A$1,MATCH(Z203,$A:$A,0)-1,1)</f>
        <v>제 18 호표  3.4. 기반시설</v>
      </c>
      <c r="O203" s="221"/>
      <c r="P203" s="148"/>
      <c r="Q203" s="148"/>
      <c r="R203" s="149"/>
      <c r="S203" s="149"/>
      <c r="T203" s="149"/>
      <c r="U203" s="149"/>
      <c r="V203" s="149"/>
      <c r="W203" s="149"/>
      <c r="X203" s="149"/>
      <c r="Y203" s="149"/>
      <c r="Z203" s="325">
        <f>Z195+1</f>
        <v>18</v>
      </c>
    </row>
    <row r="204" spans="11:26" ht="18" customHeight="1">
      <c r="K204" s="171" t="s">
        <v>14</v>
      </c>
      <c r="L204" s="171"/>
      <c r="M204" s="171"/>
      <c r="N204" s="140" t="s">
        <v>43</v>
      </c>
      <c r="O204" s="172">
        <v>3</v>
      </c>
      <c r="P204" s="219">
        <f ca="1">OFFSET($A$1,MATCH(Z203,$A:$A,0)-1,O204)</f>
        <v>5.44</v>
      </c>
      <c r="Q204" s="141" t="s">
        <v>29</v>
      </c>
      <c r="R204" s="142">
        <f t="shared" ref="R204:R209" ca="1" si="54">T204</f>
        <v>467217</v>
      </c>
      <c r="S204" s="142">
        <f t="shared" ref="S204:S209" ca="1" si="55">U204</f>
        <v>2541660</v>
      </c>
      <c r="T204" s="142">
        <f ca="1">기술사</f>
        <v>467217</v>
      </c>
      <c r="U204" s="142">
        <f t="shared" ref="U204:U209" ca="1" si="56">ROUNDDOWN(P204*R204,0)</f>
        <v>2541660</v>
      </c>
      <c r="V204" s="142"/>
      <c r="W204" s="142"/>
      <c r="X204" s="142"/>
      <c r="Y204" s="142"/>
      <c r="Z204" s="114"/>
    </row>
    <row r="205" spans="11:26" ht="18" customHeight="1">
      <c r="K205" s="171" t="s">
        <v>14</v>
      </c>
      <c r="L205" s="171"/>
      <c r="M205" s="171"/>
      <c r="N205" s="143" t="s">
        <v>32</v>
      </c>
      <c r="O205" s="173">
        <v>4</v>
      </c>
      <c r="P205" s="234">
        <f ca="1">OFFSET($A$1,MATCH(Z203,$A:$A,0)-1,O205)</f>
        <v>7.9139999999999997</v>
      </c>
      <c r="Q205" s="144" t="s">
        <v>29</v>
      </c>
      <c r="R205" s="118">
        <f t="shared" ca="1" si="54"/>
        <v>373353</v>
      </c>
      <c r="S205" s="118">
        <f t="shared" ca="1" si="55"/>
        <v>2954715</v>
      </c>
      <c r="T205" s="118">
        <f ca="1">특급</f>
        <v>373353</v>
      </c>
      <c r="U205" s="118">
        <f t="shared" ca="1" si="56"/>
        <v>2954715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145" t="s">
        <v>39</v>
      </c>
      <c r="O206" s="173">
        <v>5</v>
      </c>
      <c r="P206" s="234">
        <f ca="1">OFFSET($A$1,MATCH(Z203,$A:$A,0)-1,O206)</f>
        <v>24.731000000000002</v>
      </c>
      <c r="Q206" s="144" t="s">
        <v>29</v>
      </c>
      <c r="R206" s="118">
        <f t="shared" ca="1" si="54"/>
        <v>310884</v>
      </c>
      <c r="S206" s="118">
        <f t="shared" ca="1" si="55"/>
        <v>7688472</v>
      </c>
      <c r="T206" s="118">
        <f ca="1">고급</f>
        <v>310884</v>
      </c>
      <c r="U206" s="118">
        <f t="shared" ca="1" si="56"/>
        <v>7688472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40</v>
      </c>
      <c r="O207" s="173">
        <v>6</v>
      </c>
      <c r="P207" s="234">
        <f ca="1">OFFSET($A$1,MATCH(Z203,$A:$A,0)-1,O207)</f>
        <v>28.193000000000001</v>
      </c>
      <c r="Q207" s="144" t="s">
        <v>29</v>
      </c>
      <c r="R207" s="118">
        <f t="shared" ca="1" si="54"/>
        <v>295138</v>
      </c>
      <c r="S207" s="118">
        <f t="shared" ca="1" si="55"/>
        <v>8320825</v>
      </c>
      <c r="T207" s="118">
        <f ca="1">중급</f>
        <v>295138</v>
      </c>
      <c r="U207" s="118">
        <f t="shared" ca="1" si="56"/>
        <v>8320825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41</v>
      </c>
      <c r="O208" s="173">
        <v>7</v>
      </c>
      <c r="P208" s="234">
        <f ca="1">OFFSET($A$1,MATCH(Z203,$A:$A,0)-1,O208)</f>
        <v>53.914000000000001</v>
      </c>
      <c r="Q208" s="144" t="s">
        <v>29</v>
      </c>
      <c r="R208" s="118">
        <f t="shared" ca="1" si="54"/>
        <v>235459</v>
      </c>
      <c r="S208" s="118">
        <f t="shared" ca="1" si="55"/>
        <v>12694536</v>
      </c>
      <c r="T208" s="118">
        <f ca="1">초급</f>
        <v>235459</v>
      </c>
      <c r="U208" s="118">
        <f t="shared" ca="1" si="56"/>
        <v>12694536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319" t="s">
        <v>42</v>
      </c>
      <c r="O209" s="174">
        <v>8</v>
      </c>
      <c r="P209" s="235">
        <f ca="1">OFFSET($A$1,MATCH(Z203,$A:$A,0)-1,O209)</f>
        <v>53.914000000000001</v>
      </c>
      <c r="Q209" s="322" t="s">
        <v>29</v>
      </c>
      <c r="R209" s="323">
        <f t="shared" ca="1" si="54"/>
        <v>250087</v>
      </c>
      <c r="S209" s="323">
        <f t="shared" ca="1" si="55"/>
        <v>13483190</v>
      </c>
      <c r="T209" s="323">
        <f ca="1">보조원</f>
        <v>250087</v>
      </c>
      <c r="U209" s="323">
        <f t="shared" ca="1" si="56"/>
        <v>13483190</v>
      </c>
      <c r="V209" s="323"/>
      <c r="W209" s="323"/>
      <c r="X209" s="323"/>
      <c r="Y209" s="323"/>
      <c r="Z209" s="324"/>
    </row>
    <row r="210" spans="11:26" ht="18" customHeight="1">
      <c r="K210" s="171" t="s">
        <v>14</v>
      </c>
      <c r="L210" s="171"/>
      <c r="M210" s="171"/>
      <c r="N210" s="139" t="s">
        <v>17</v>
      </c>
      <c r="O210" s="68"/>
      <c r="P210" s="69"/>
      <c r="Q210" s="70"/>
      <c r="R210" s="71"/>
      <c r="S210" s="71">
        <f ca="1">SUBTOTAL(9,S204:S209)</f>
        <v>47683398</v>
      </c>
      <c r="T210" s="71"/>
      <c r="U210" s="71">
        <f ca="1">SUBTOTAL(9,U204:U209)</f>
        <v>47683398</v>
      </c>
      <c r="V210" s="71"/>
      <c r="W210" s="71"/>
      <c r="X210" s="71"/>
      <c r="Y210" s="71"/>
      <c r="Z210" s="68"/>
    </row>
    <row r="211" spans="11:26" ht="18" customHeight="1">
      <c r="K211" s="171" t="s">
        <v>14</v>
      </c>
      <c r="L211" s="171"/>
      <c r="M211" s="171"/>
      <c r="N211" s="318" t="str">
        <f ca="1">"제 " &amp; Z211 &amp; " 호표  "&amp; OFFSET($A$1,MATCH(Z211,$A:$A,0)-1,1)</f>
        <v>제 19 호표  3.5. 가구 및 획지</v>
      </c>
      <c r="O211" s="221"/>
      <c r="P211" s="148"/>
      <c r="Q211" s="148"/>
      <c r="R211" s="149"/>
      <c r="S211" s="149"/>
      <c r="T211" s="149"/>
      <c r="U211" s="149"/>
      <c r="V211" s="149"/>
      <c r="W211" s="149"/>
      <c r="X211" s="149"/>
      <c r="Y211" s="149"/>
      <c r="Z211" s="325">
        <f>Z203+1</f>
        <v>19</v>
      </c>
    </row>
    <row r="212" spans="11:26" ht="18" customHeight="1">
      <c r="K212" s="171" t="s">
        <v>14</v>
      </c>
      <c r="L212" s="171"/>
      <c r="M212" s="171"/>
      <c r="N212" s="140" t="s">
        <v>43</v>
      </c>
      <c r="O212" s="172">
        <v>3</v>
      </c>
      <c r="P212" s="219">
        <f ca="1">OFFSET($A$1,MATCH(Z211,$A:$A,0)-1,O212)</f>
        <v>5.9349999999999996</v>
      </c>
      <c r="Q212" s="141" t="s">
        <v>29</v>
      </c>
      <c r="R212" s="142">
        <f t="shared" ref="R212:R217" ca="1" si="57">T212</f>
        <v>467217</v>
      </c>
      <c r="S212" s="142">
        <f t="shared" ref="S212:S217" ca="1" si="58">U212</f>
        <v>2772932</v>
      </c>
      <c r="T212" s="142">
        <f ca="1">기술사</f>
        <v>467217</v>
      </c>
      <c r="U212" s="142">
        <f t="shared" ref="U212:U217" ca="1" si="59">ROUNDDOWN(P212*R212,0)</f>
        <v>2772932</v>
      </c>
      <c r="V212" s="142"/>
      <c r="W212" s="142"/>
      <c r="X212" s="142"/>
      <c r="Y212" s="142"/>
      <c r="Z212" s="114"/>
    </row>
    <row r="213" spans="11:26" ht="18" customHeight="1">
      <c r="K213" s="171" t="s">
        <v>14</v>
      </c>
      <c r="L213" s="171"/>
      <c r="M213" s="171"/>
      <c r="N213" s="143" t="s">
        <v>32</v>
      </c>
      <c r="O213" s="173">
        <v>4</v>
      </c>
      <c r="P213" s="234">
        <f ca="1">OFFSET($A$1,MATCH(Z211,$A:$A,0)-1,O213)</f>
        <v>3.4620000000000002</v>
      </c>
      <c r="Q213" s="144" t="s">
        <v>29</v>
      </c>
      <c r="R213" s="118">
        <f t="shared" ca="1" si="57"/>
        <v>373353</v>
      </c>
      <c r="S213" s="118">
        <f t="shared" ca="1" si="58"/>
        <v>1292548</v>
      </c>
      <c r="T213" s="118">
        <f ca="1">특급</f>
        <v>373353</v>
      </c>
      <c r="U213" s="118">
        <f t="shared" ca="1" si="59"/>
        <v>1292548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145" t="s">
        <v>39</v>
      </c>
      <c r="O214" s="173">
        <v>5</v>
      </c>
      <c r="P214" s="234">
        <f ca="1">OFFSET($A$1,MATCH(Z211,$A:$A,0)-1,O214)</f>
        <v>8.9030000000000005</v>
      </c>
      <c r="Q214" s="144" t="s">
        <v>29</v>
      </c>
      <c r="R214" s="118">
        <f t="shared" ca="1" si="57"/>
        <v>310884</v>
      </c>
      <c r="S214" s="118">
        <f t="shared" ca="1" si="58"/>
        <v>2767800</v>
      </c>
      <c r="T214" s="118">
        <f ca="1">고급</f>
        <v>310884</v>
      </c>
      <c r="U214" s="118">
        <f t="shared" ca="1" si="59"/>
        <v>2767800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40</v>
      </c>
      <c r="O215" s="173">
        <v>6</v>
      </c>
      <c r="P215" s="234">
        <f ca="1">OFFSET($A$1,MATCH(Z211,$A:$A,0)-1,O215)</f>
        <v>8.9030000000000005</v>
      </c>
      <c r="Q215" s="144" t="s">
        <v>29</v>
      </c>
      <c r="R215" s="118">
        <f t="shared" ca="1" si="57"/>
        <v>295138</v>
      </c>
      <c r="S215" s="118">
        <f t="shared" ca="1" si="58"/>
        <v>2627613</v>
      </c>
      <c r="T215" s="118">
        <f ca="1">중급</f>
        <v>295138</v>
      </c>
      <c r="U215" s="118">
        <f t="shared" ca="1" si="59"/>
        <v>2627613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41</v>
      </c>
      <c r="O216" s="173">
        <v>7</v>
      </c>
      <c r="P216" s="234">
        <f ca="1">OFFSET($A$1,MATCH(Z211,$A:$A,0)-1,O216)</f>
        <v>30.172000000000001</v>
      </c>
      <c r="Q216" s="144" t="s">
        <v>29</v>
      </c>
      <c r="R216" s="118">
        <f t="shared" ca="1" si="57"/>
        <v>235459</v>
      </c>
      <c r="S216" s="118">
        <f t="shared" ca="1" si="58"/>
        <v>7104268</v>
      </c>
      <c r="T216" s="118">
        <f ca="1">초급</f>
        <v>235459</v>
      </c>
      <c r="U216" s="118">
        <f t="shared" ca="1" si="59"/>
        <v>7104268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319" t="s">
        <v>42</v>
      </c>
      <c r="O217" s="174">
        <v>8</v>
      </c>
      <c r="P217" s="235">
        <f ca="1">OFFSET($A$1,MATCH(Z211,$A:$A,0)-1,O217)</f>
        <v>34.128999999999998</v>
      </c>
      <c r="Q217" s="322" t="s">
        <v>29</v>
      </c>
      <c r="R217" s="323">
        <f t="shared" ca="1" si="57"/>
        <v>250087</v>
      </c>
      <c r="S217" s="323">
        <f t="shared" ca="1" si="58"/>
        <v>8535219</v>
      </c>
      <c r="T217" s="323">
        <f ca="1">보조원</f>
        <v>250087</v>
      </c>
      <c r="U217" s="323">
        <f t="shared" ca="1" si="59"/>
        <v>8535219</v>
      </c>
      <c r="V217" s="323"/>
      <c r="W217" s="323"/>
      <c r="X217" s="323"/>
      <c r="Y217" s="323"/>
      <c r="Z217" s="324"/>
    </row>
    <row r="218" spans="11:26" ht="18" customHeight="1">
      <c r="K218" s="171" t="s">
        <v>14</v>
      </c>
      <c r="L218" s="171"/>
      <c r="M218" s="171"/>
      <c r="N218" s="139" t="s">
        <v>17</v>
      </c>
      <c r="O218" s="68"/>
      <c r="P218" s="69"/>
      <c r="Q218" s="70"/>
      <c r="R218" s="71"/>
      <c r="S218" s="71">
        <f ca="1">SUBTOTAL(9,S212:S217)</f>
        <v>25100380</v>
      </c>
      <c r="T218" s="71"/>
      <c r="U218" s="71">
        <f ca="1">SUBTOTAL(9,U212:U217)</f>
        <v>25100380</v>
      </c>
      <c r="V218" s="71"/>
      <c r="W218" s="71"/>
      <c r="X218" s="71"/>
      <c r="Y218" s="71"/>
      <c r="Z218" s="68"/>
    </row>
    <row r="219" spans="11:26" ht="18" customHeight="1">
      <c r="K219" s="171" t="s">
        <v>14</v>
      </c>
      <c r="L219" s="171"/>
      <c r="M219" s="171"/>
      <c r="N219" s="318" t="str">
        <f ca="1">"제 " &amp; Z219 &amp; " 호표  "&amp; OFFSET($A$1,MATCH(Z219,$A:$A,0)-1,1)</f>
        <v>제 20 호표  3.6. 건축물</v>
      </c>
      <c r="O219" s="221"/>
      <c r="P219" s="148"/>
      <c r="Q219" s="148"/>
      <c r="R219" s="149"/>
      <c r="S219" s="149"/>
      <c r="T219" s="149"/>
      <c r="U219" s="149"/>
      <c r="V219" s="149"/>
      <c r="W219" s="149"/>
      <c r="X219" s="149"/>
      <c r="Y219" s="149"/>
      <c r="Z219" s="325">
        <f>Z211+1</f>
        <v>20</v>
      </c>
    </row>
    <row r="220" spans="11:26" ht="18" customHeight="1">
      <c r="K220" s="171" t="s">
        <v>14</v>
      </c>
      <c r="L220" s="171"/>
      <c r="M220" s="171"/>
      <c r="N220" s="140" t="s">
        <v>43</v>
      </c>
      <c r="O220" s="172">
        <v>3</v>
      </c>
      <c r="P220" s="219">
        <f ca="1">OFFSET($A$1,MATCH(Z219,$A:$A,0)-1,O220)</f>
        <v>11.375999999999999</v>
      </c>
      <c r="Q220" s="141" t="s">
        <v>29</v>
      </c>
      <c r="R220" s="142">
        <f t="shared" ref="R220:R225" ca="1" si="60">T220</f>
        <v>467217</v>
      </c>
      <c r="S220" s="142">
        <f t="shared" ref="S220:S225" ca="1" si="61">U220</f>
        <v>5315060</v>
      </c>
      <c r="T220" s="142">
        <f ca="1">기술사</f>
        <v>467217</v>
      </c>
      <c r="U220" s="142">
        <f t="shared" ref="U220:U225" ca="1" si="62">ROUNDDOWN(P220*R220,0)</f>
        <v>5315060</v>
      </c>
      <c r="V220" s="142"/>
      <c r="W220" s="142"/>
      <c r="X220" s="142"/>
      <c r="Y220" s="142"/>
      <c r="Z220" s="114"/>
    </row>
    <row r="221" spans="11:26" ht="18" customHeight="1">
      <c r="K221" s="171" t="s">
        <v>14</v>
      </c>
      <c r="L221" s="171"/>
      <c r="M221" s="171"/>
      <c r="N221" s="143" t="s">
        <v>32</v>
      </c>
      <c r="O221" s="173">
        <v>4</v>
      </c>
      <c r="P221" s="234">
        <f ca="1">OFFSET($A$1,MATCH(Z219,$A:$A,0)-1,O221)</f>
        <v>15.827999999999999</v>
      </c>
      <c r="Q221" s="144" t="s">
        <v>29</v>
      </c>
      <c r="R221" s="118">
        <f t="shared" ca="1" si="60"/>
        <v>373353</v>
      </c>
      <c r="S221" s="118">
        <f t="shared" ca="1" si="61"/>
        <v>5909431</v>
      </c>
      <c r="T221" s="118">
        <f ca="1">특급</f>
        <v>373353</v>
      </c>
      <c r="U221" s="118">
        <f t="shared" ca="1" si="62"/>
        <v>5909431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145" t="s">
        <v>39</v>
      </c>
      <c r="O222" s="173">
        <v>5</v>
      </c>
      <c r="P222" s="234">
        <f ca="1">OFFSET($A$1,MATCH(Z219,$A:$A,0)-1,O222)</f>
        <v>34.622999999999998</v>
      </c>
      <c r="Q222" s="144" t="s">
        <v>29</v>
      </c>
      <c r="R222" s="118">
        <f t="shared" ca="1" si="60"/>
        <v>310884</v>
      </c>
      <c r="S222" s="118">
        <f t="shared" ca="1" si="61"/>
        <v>10763736</v>
      </c>
      <c r="T222" s="118">
        <f ca="1">고급</f>
        <v>310884</v>
      </c>
      <c r="U222" s="118">
        <f t="shared" ca="1" si="62"/>
        <v>10763736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40</v>
      </c>
      <c r="O223" s="173">
        <v>6</v>
      </c>
      <c r="P223" s="234">
        <f ca="1">OFFSET($A$1,MATCH(Z219,$A:$A,0)-1,O223)</f>
        <v>44.515999999999998</v>
      </c>
      <c r="Q223" s="144" t="s">
        <v>29</v>
      </c>
      <c r="R223" s="118">
        <f t="shared" ca="1" si="60"/>
        <v>295138</v>
      </c>
      <c r="S223" s="118">
        <f t="shared" ca="1" si="61"/>
        <v>13138363</v>
      </c>
      <c r="T223" s="118">
        <f ca="1">중급</f>
        <v>295138</v>
      </c>
      <c r="U223" s="118">
        <f t="shared" ca="1" si="62"/>
        <v>13138363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41</v>
      </c>
      <c r="O224" s="173">
        <v>7</v>
      </c>
      <c r="P224" s="234">
        <f ca="1">OFFSET($A$1,MATCH(Z219,$A:$A,0)-1,O224)</f>
        <v>92</v>
      </c>
      <c r="Q224" s="144" t="s">
        <v>29</v>
      </c>
      <c r="R224" s="118">
        <f t="shared" ca="1" si="60"/>
        <v>235459</v>
      </c>
      <c r="S224" s="118">
        <f t="shared" ca="1" si="61"/>
        <v>21662228</v>
      </c>
      <c r="T224" s="118">
        <f ca="1">초급</f>
        <v>235459</v>
      </c>
      <c r="U224" s="118">
        <f t="shared" ca="1" si="62"/>
        <v>21662228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319" t="s">
        <v>42</v>
      </c>
      <c r="O225" s="174">
        <v>8</v>
      </c>
      <c r="P225" s="235">
        <f ca="1">OFFSET($A$1,MATCH(Z219,$A:$A,0)-1,O225)</f>
        <v>102.387</v>
      </c>
      <c r="Q225" s="322" t="s">
        <v>29</v>
      </c>
      <c r="R225" s="323">
        <f t="shared" ca="1" si="60"/>
        <v>250087</v>
      </c>
      <c r="S225" s="323">
        <f t="shared" ca="1" si="61"/>
        <v>25605657</v>
      </c>
      <c r="T225" s="323">
        <f ca="1">보조원</f>
        <v>250087</v>
      </c>
      <c r="U225" s="323">
        <f t="shared" ca="1" si="62"/>
        <v>25605657</v>
      </c>
      <c r="V225" s="323"/>
      <c r="W225" s="323"/>
      <c r="X225" s="323"/>
      <c r="Y225" s="323"/>
      <c r="Z225" s="324"/>
    </row>
    <row r="226" spans="11:26" ht="18" customHeight="1">
      <c r="K226" s="171" t="s">
        <v>14</v>
      </c>
      <c r="L226" s="171"/>
      <c r="M226" s="171"/>
      <c r="N226" s="139" t="s">
        <v>17</v>
      </c>
      <c r="O226" s="68"/>
      <c r="P226" s="69"/>
      <c r="Q226" s="70"/>
      <c r="R226" s="71"/>
      <c r="S226" s="71">
        <f ca="1">SUBTOTAL(9,S220:S225)</f>
        <v>82394475</v>
      </c>
      <c r="T226" s="71"/>
      <c r="U226" s="71">
        <f ca="1">SUBTOTAL(9,U220:U225)</f>
        <v>82394475</v>
      </c>
      <c r="V226" s="71"/>
      <c r="W226" s="71"/>
      <c r="X226" s="71"/>
      <c r="Y226" s="71"/>
      <c r="Z226" s="68"/>
    </row>
    <row r="227" spans="11:26" ht="18" customHeight="1">
      <c r="K227" s="171" t="s">
        <v>14</v>
      </c>
      <c r="L227" s="171"/>
      <c r="M227" s="171"/>
      <c r="N227" s="318" t="str">
        <f ca="1">"제 " &amp; Z227 &amp; " 호표  "&amp; OFFSET($A$1,MATCH(Z227,$A:$A,0)-1,1)</f>
        <v>제 21 호표  3.7. 경관</v>
      </c>
      <c r="O227" s="221"/>
      <c r="P227" s="148"/>
      <c r="Q227" s="148"/>
      <c r="R227" s="149"/>
      <c r="S227" s="149"/>
      <c r="T227" s="149"/>
      <c r="U227" s="149"/>
      <c r="V227" s="149"/>
      <c r="W227" s="149"/>
      <c r="X227" s="149"/>
      <c r="Y227" s="149"/>
      <c r="Z227" s="325">
        <f>Z219+1</f>
        <v>21</v>
      </c>
    </row>
    <row r="228" spans="11:26" ht="18" customHeight="1">
      <c r="K228" s="171" t="s">
        <v>14</v>
      </c>
      <c r="L228" s="171"/>
      <c r="M228" s="171"/>
      <c r="N228" s="140" t="s">
        <v>43</v>
      </c>
      <c r="O228" s="172">
        <v>3</v>
      </c>
      <c r="P228" s="219">
        <f ca="1">OFFSET($A$1,MATCH(Z227,$A:$A,0)-1,O228)</f>
        <v>2.9670000000000001</v>
      </c>
      <c r="Q228" s="141" t="s">
        <v>29</v>
      </c>
      <c r="R228" s="142">
        <f t="shared" ref="R228:R233" ca="1" si="63">T228</f>
        <v>467217</v>
      </c>
      <c r="S228" s="142">
        <f t="shared" ref="S228:S233" ca="1" si="64">U228</f>
        <v>1386232</v>
      </c>
      <c r="T228" s="142">
        <f ca="1">기술사</f>
        <v>467217</v>
      </c>
      <c r="U228" s="142">
        <f t="shared" ref="U228:U233" ca="1" si="65">ROUNDDOWN(P228*R228,0)</f>
        <v>1386232</v>
      </c>
      <c r="V228" s="142"/>
      <c r="W228" s="142"/>
      <c r="X228" s="142"/>
      <c r="Y228" s="142"/>
      <c r="Z228" s="114"/>
    </row>
    <row r="229" spans="11:26" ht="18" customHeight="1">
      <c r="K229" s="171" t="s">
        <v>14</v>
      </c>
      <c r="L229" s="171"/>
      <c r="M229" s="171"/>
      <c r="N229" s="143" t="s">
        <v>32</v>
      </c>
      <c r="O229" s="173">
        <v>4</v>
      </c>
      <c r="P229" s="234">
        <f ca="1">OFFSET($A$1,MATCH(Z227,$A:$A,0)-1,O229)</f>
        <v>4.4509999999999996</v>
      </c>
      <c r="Q229" s="144" t="s">
        <v>29</v>
      </c>
      <c r="R229" s="118">
        <f t="shared" ca="1" si="63"/>
        <v>373353</v>
      </c>
      <c r="S229" s="118">
        <f t="shared" ca="1" si="64"/>
        <v>1661794</v>
      </c>
      <c r="T229" s="118">
        <f ca="1">특급</f>
        <v>373353</v>
      </c>
      <c r="U229" s="118">
        <f t="shared" ca="1" si="65"/>
        <v>1661794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145" t="s">
        <v>39</v>
      </c>
      <c r="O230" s="173">
        <v>5</v>
      </c>
      <c r="P230" s="234">
        <f ca="1">OFFSET($A$1,MATCH(Z227,$A:$A,0)-1,O230)</f>
        <v>8.9030000000000005</v>
      </c>
      <c r="Q230" s="144" t="s">
        <v>29</v>
      </c>
      <c r="R230" s="118">
        <f t="shared" ca="1" si="63"/>
        <v>310884</v>
      </c>
      <c r="S230" s="118">
        <f t="shared" ca="1" si="64"/>
        <v>2767800</v>
      </c>
      <c r="T230" s="118">
        <f ca="1">고급</f>
        <v>310884</v>
      </c>
      <c r="U230" s="118">
        <f t="shared" ca="1" si="65"/>
        <v>2767800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40</v>
      </c>
      <c r="O231" s="173">
        <v>6</v>
      </c>
      <c r="P231" s="234">
        <f ca="1">OFFSET($A$1,MATCH(Z227,$A:$A,0)-1,O231)</f>
        <v>7.4189999999999996</v>
      </c>
      <c r="Q231" s="144" t="s">
        <v>29</v>
      </c>
      <c r="R231" s="118">
        <f t="shared" ca="1" si="63"/>
        <v>295138</v>
      </c>
      <c r="S231" s="118">
        <f t="shared" ca="1" si="64"/>
        <v>2189628</v>
      </c>
      <c r="T231" s="118">
        <f ca="1">중급</f>
        <v>295138</v>
      </c>
      <c r="U231" s="118">
        <f t="shared" ca="1" si="65"/>
        <v>2189628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41</v>
      </c>
      <c r="O232" s="173">
        <v>7</v>
      </c>
      <c r="P232" s="234">
        <f ca="1">OFFSET($A$1,MATCH(Z227,$A:$A,0)-1,O232)</f>
        <v>24.731000000000002</v>
      </c>
      <c r="Q232" s="144" t="s">
        <v>29</v>
      </c>
      <c r="R232" s="118">
        <f t="shared" ca="1" si="63"/>
        <v>235459</v>
      </c>
      <c r="S232" s="118">
        <f t="shared" ca="1" si="64"/>
        <v>5823136</v>
      </c>
      <c r="T232" s="118">
        <f ca="1">초급</f>
        <v>235459</v>
      </c>
      <c r="U232" s="118">
        <f t="shared" ca="1" si="65"/>
        <v>5823136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319" t="s">
        <v>42</v>
      </c>
      <c r="O233" s="174">
        <v>8</v>
      </c>
      <c r="P233" s="235">
        <f ca="1">OFFSET($A$1,MATCH(Z227,$A:$A,0)-1,O233)</f>
        <v>42.536999999999999</v>
      </c>
      <c r="Q233" s="322" t="s">
        <v>29</v>
      </c>
      <c r="R233" s="323">
        <f t="shared" ca="1" si="63"/>
        <v>250087</v>
      </c>
      <c r="S233" s="323">
        <f t="shared" ca="1" si="64"/>
        <v>10637950</v>
      </c>
      <c r="T233" s="323">
        <f ca="1">보조원</f>
        <v>250087</v>
      </c>
      <c r="U233" s="323">
        <f t="shared" ca="1" si="65"/>
        <v>10637950</v>
      </c>
      <c r="V233" s="323"/>
      <c r="W233" s="323"/>
      <c r="X233" s="323"/>
      <c r="Y233" s="323"/>
      <c r="Z233" s="324"/>
    </row>
    <row r="234" spans="11:26" ht="18" customHeight="1">
      <c r="K234" s="171" t="s">
        <v>14</v>
      </c>
      <c r="L234" s="171"/>
      <c r="M234" s="171"/>
      <c r="N234" s="139" t="s">
        <v>17</v>
      </c>
      <c r="O234" s="68"/>
      <c r="P234" s="69"/>
      <c r="Q234" s="70"/>
      <c r="R234" s="71"/>
      <c r="S234" s="71">
        <f ca="1">SUBTOTAL(9,S228:S233)</f>
        <v>24466540</v>
      </c>
      <c r="T234" s="71"/>
      <c r="U234" s="71">
        <f ca="1">SUBTOTAL(9,U228:U233)</f>
        <v>24466540</v>
      </c>
      <c r="V234" s="71"/>
      <c r="W234" s="71"/>
      <c r="X234" s="71"/>
      <c r="Y234" s="71"/>
      <c r="Z234" s="68"/>
    </row>
    <row r="235" spans="11:26" ht="18" customHeight="1">
      <c r="K235" s="171" t="s">
        <v>14</v>
      </c>
      <c r="L235" s="171"/>
      <c r="M235" s="171"/>
      <c r="N235" s="318" t="str">
        <f ca="1">"제 " &amp; Z235 &amp; " 호표  "&amp; OFFSET($A$1,MATCH(Z235,$A:$A,0)-1,1)</f>
        <v>제 22 호표  3.8. 환경관리</v>
      </c>
      <c r="O235" s="221"/>
      <c r="P235" s="148"/>
      <c r="Q235" s="148"/>
      <c r="R235" s="149"/>
      <c r="S235" s="149"/>
      <c r="T235" s="149"/>
      <c r="U235" s="149"/>
      <c r="V235" s="149"/>
      <c r="W235" s="149"/>
      <c r="X235" s="149"/>
      <c r="Y235" s="149"/>
      <c r="Z235" s="325">
        <f>Z227+1</f>
        <v>22</v>
      </c>
    </row>
    <row r="236" spans="11:26" ht="18" customHeight="1">
      <c r="K236" s="171" t="s">
        <v>14</v>
      </c>
      <c r="L236" s="171"/>
      <c r="M236" s="171"/>
      <c r="N236" s="140" t="s">
        <v>43</v>
      </c>
      <c r="O236" s="172">
        <v>3</v>
      </c>
      <c r="P236" s="219">
        <f ca="1">OFFSET($A$1,MATCH(Z235,$A:$A,0)-1,O236)</f>
        <v>0</v>
      </c>
      <c r="Q236" s="141" t="s">
        <v>29</v>
      </c>
      <c r="R236" s="142">
        <f t="shared" ref="R236:R241" ca="1" si="66">T236</f>
        <v>467217</v>
      </c>
      <c r="S236" s="142">
        <f t="shared" ref="S236:S241" ca="1" si="67">U236</f>
        <v>0</v>
      </c>
      <c r="T236" s="142">
        <f ca="1">기술사</f>
        <v>467217</v>
      </c>
      <c r="U236" s="142">
        <f t="shared" ref="U236:U241" ca="1" si="68">ROUNDDOWN(P236*R236,0)</f>
        <v>0</v>
      </c>
      <c r="V236" s="142"/>
      <c r="W236" s="142"/>
      <c r="X236" s="142"/>
      <c r="Y236" s="142"/>
      <c r="Z236" s="114"/>
    </row>
    <row r="237" spans="11:26" ht="18" customHeight="1">
      <c r="K237" s="171" t="s">
        <v>14</v>
      </c>
      <c r="L237" s="171"/>
      <c r="M237" s="171"/>
      <c r="N237" s="143" t="s">
        <v>32</v>
      </c>
      <c r="O237" s="173">
        <v>4</v>
      </c>
      <c r="P237" s="234">
        <f ca="1">OFFSET($A$1,MATCH(Z235,$A:$A,0)-1,O237)</f>
        <v>0</v>
      </c>
      <c r="Q237" s="144" t="s">
        <v>29</v>
      </c>
      <c r="R237" s="118">
        <f t="shared" ca="1" si="66"/>
        <v>373353</v>
      </c>
      <c r="S237" s="118">
        <f t="shared" ca="1" si="67"/>
        <v>0</v>
      </c>
      <c r="T237" s="118">
        <f ca="1">특급</f>
        <v>373353</v>
      </c>
      <c r="U237" s="118">
        <f t="shared" ca="1" si="68"/>
        <v>0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145" t="s">
        <v>39</v>
      </c>
      <c r="O238" s="173">
        <v>5</v>
      </c>
      <c r="P238" s="234">
        <f ca="1">OFFSET($A$1,MATCH(Z235,$A:$A,0)-1,O238)</f>
        <v>0</v>
      </c>
      <c r="Q238" s="144" t="s">
        <v>29</v>
      </c>
      <c r="R238" s="118">
        <f t="shared" ca="1" si="66"/>
        <v>310884</v>
      </c>
      <c r="S238" s="118">
        <f t="shared" ca="1" si="67"/>
        <v>0</v>
      </c>
      <c r="T238" s="118">
        <f ca="1">고급</f>
        <v>310884</v>
      </c>
      <c r="U238" s="118">
        <f t="shared" ca="1" si="68"/>
        <v>0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40</v>
      </c>
      <c r="O239" s="173">
        <v>6</v>
      </c>
      <c r="P239" s="234">
        <f ca="1">OFFSET($A$1,MATCH(Z235,$A:$A,0)-1,O239)</f>
        <v>0</v>
      </c>
      <c r="Q239" s="144" t="s">
        <v>29</v>
      </c>
      <c r="R239" s="118">
        <f t="shared" ca="1" si="66"/>
        <v>295138</v>
      </c>
      <c r="S239" s="118">
        <f t="shared" ca="1" si="67"/>
        <v>0</v>
      </c>
      <c r="T239" s="118">
        <f ca="1">중급</f>
        <v>295138</v>
      </c>
      <c r="U239" s="118">
        <f t="shared" ca="1" si="68"/>
        <v>0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41</v>
      </c>
      <c r="O240" s="173">
        <v>7</v>
      </c>
      <c r="P240" s="234">
        <f ca="1">OFFSET($A$1,MATCH(Z235,$A:$A,0)-1,O240)</f>
        <v>0</v>
      </c>
      <c r="Q240" s="144" t="s">
        <v>29</v>
      </c>
      <c r="R240" s="118">
        <f t="shared" ca="1" si="66"/>
        <v>235459</v>
      </c>
      <c r="S240" s="118">
        <f t="shared" ca="1" si="67"/>
        <v>0</v>
      </c>
      <c r="T240" s="118">
        <f ca="1">초급</f>
        <v>235459</v>
      </c>
      <c r="U240" s="118">
        <f t="shared" ca="1" si="68"/>
        <v>0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319" t="s">
        <v>42</v>
      </c>
      <c r="O241" s="174">
        <v>8</v>
      </c>
      <c r="P241" s="235">
        <f ca="1">OFFSET($A$1,MATCH(Z235,$A:$A,0)-1,O241)</f>
        <v>0</v>
      </c>
      <c r="Q241" s="322" t="s">
        <v>29</v>
      </c>
      <c r="R241" s="323">
        <f t="shared" ca="1" si="66"/>
        <v>250087</v>
      </c>
      <c r="S241" s="323">
        <f t="shared" ca="1" si="67"/>
        <v>0</v>
      </c>
      <c r="T241" s="323">
        <f ca="1">보조원</f>
        <v>250087</v>
      </c>
      <c r="U241" s="323">
        <f t="shared" ca="1" si="68"/>
        <v>0</v>
      </c>
      <c r="V241" s="323"/>
      <c r="W241" s="323"/>
      <c r="X241" s="323"/>
      <c r="Y241" s="323"/>
      <c r="Z241" s="324"/>
    </row>
    <row r="242" spans="11:26" ht="18" customHeight="1">
      <c r="K242" s="171" t="s">
        <v>14</v>
      </c>
      <c r="L242" s="171"/>
      <c r="M242" s="171"/>
      <c r="N242" s="139" t="s">
        <v>17</v>
      </c>
      <c r="O242" s="68"/>
      <c r="P242" s="69"/>
      <c r="Q242" s="70"/>
      <c r="R242" s="71"/>
      <c r="S242" s="71">
        <f ca="1">SUBTOTAL(9,S236:S241)</f>
        <v>0</v>
      </c>
      <c r="T242" s="71"/>
      <c r="U242" s="71">
        <f ca="1">SUBTOTAL(9,U236:U241)</f>
        <v>0</v>
      </c>
      <c r="V242" s="71"/>
      <c r="W242" s="71"/>
      <c r="X242" s="71"/>
      <c r="Y242" s="71"/>
      <c r="Z242" s="68"/>
    </row>
    <row r="243" spans="11:26" ht="18" customHeight="1">
      <c r="K243" s="171" t="s">
        <v>14</v>
      </c>
      <c r="L243" s="171"/>
      <c r="M243" s="171"/>
      <c r="N243" s="318" t="str">
        <f ca="1">"제 " &amp; Z243 &amp; " 호표  "&amp; OFFSET($A$1,MATCH(Z243,$A:$A,0)-1,1)</f>
        <v>제 23 호표  4.1. 보고서작성 및 편집</v>
      </c>
      <c r="O243" s="221"/>
      <c r="P243" s="148"/>
      <c r="Q243" s="148"/>
      <c r="R243" s="149"/>
      <c r="S243" s="149"/>
      <c r="T243" s="149"/>
      <c r="U243" s="149"/>
      <c r="V243" s="149"/>
      <c r="W243" s="149"/>
      <c r="X243" s="149"/>
      <c r="Y243" s="149"/>
      <c r="Z243" s="325">
        <f>Z235+1</f>
        <v>23</v>
      </c>
    </row>
    <row r="244" spans="11:26" ht="18" customHeight="1">
      <c r="K244" s="171" t="s">
        <v>14</v>
      </c>
      <c r="L244" s="171"/>
      <c r="M244" s="171"/>
      <c r="N244" s="140" t="s">
        <v>43</v>
      </c>
      <c r="O244" s="172">
        <v>3</v>
      </c>
      <c r="P244" s="219">
        <f ca="1">OFFSET($A$1,MATCH(Z243,$A:$A,0)-1,O244)</f>
        <v>7.4189999999999996</v>
      </c>
      <c r="Q244" s="141" t="s">
        <v>29</v>
      </c>
      <c r="R244" s="142">
        <f t="shared" ref="R244:R249" ca="1" si="69">T244</f>
        <v>467217</v>
      </c>
      <c r="S244" s="142">
        <f t="shared" ref="S244:S249" ca="1" si="70">U244</f>
        <v>3466282</v>
      </c>
      <c r="T244" s="142">
        <f ca="1">기술사</f>
        <v>467217</v>
      </c>
      <c r="U244" s="142">
        <f t="shared" ref="U244:U249" ca="1" si="71">ROUNDDOWN(P244*R244,0)</f>
        <v>3466282</v>
      </c>
      <c r="V244" s="142"/>
      <c r="W244" s="142"/>
      <c r="X244" s="142"/>
      <c r="Y244" s="142"/>
      <c r="Z244" s="114"/>
    </row>
    <row r="245" spans="11:26" ht="18" customHeight="1">
      <c r="K245" s="171" t="s">
        <v>14</v>
      </c>
      <c r="L245" s="171"/>
      <c r="M245" s="171"/>
      <c r="N245" s="143" t="s">
        <v>32</v>
      </c>
      <c r="O245" s="173">
        <v>4</v>
      </c>
      <c r="P245" s="234">
        <f ca="1">OFFSET($A$1,MATCH(Z243,$A:$A,0)-1,O245)</f>
        <v>15.333</v>
      </c>
      <c r="Q245" s="144" t="s">
        <v>29</v>
      </c>
      <c r="R245" s="118">
        <f t="shared" ca="1" si="69"/>
        <v>373353</v>
      </c>
      <c r="S245" s="118">
        <f t="shared" ca="1" si="70"/>
        <v>5724621</v>
      </c>
      <c r="T245" s="118">
        <f ca="1">특급</f>
        <v>373353</v>
      </c>
      <c r="U245" s="118">
        <f t="shared" ca="1" si="71"/>
        <v>5724621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145" t="s">
        <v>39</v>
      </c>
      <c r="O246" s="173">
        <v>5</v>
      </c>
      <c r="P246" s="234">
        <f ca="1">OFFSET($A$1,MATCH(Z243,$A:$A,0)-1,O246)</f>
        <v>34.128999999999998</v>
      </c>
      <c r="Q246" s="144" t="s">
        <v>29</v>
      </c>
      <c r="R246" s="118">
        <f t="shared" ca="1" si="69"/>
        <v>310884</v>
      </c>
      <c r="S246" s="118">
        <f t="shared" ca="1" si="70"/>
        <v>10610160</v>
      </c>
      <c r="T246" s="118">
        <f ca="1">고급</f>
        <v>310884</v>
      </c>
      <c r="U246" s="118">
        <f t="shared" ca="1" si="71"/>
        <v>10610160</v>
      </c>
      <c r="V246" s="118"/>
      <c r="W246" s="118"/>
      <c r="X246" s="118"/>
      <c r="Y246" s="118"/>
      <c r="Z246" s="115"/>
    </row>
    <row r="247" spans="11:26" ht="18" customHeight="1">
      <c r="K247" s="171" t="s">
        <v>14</v>
      </c>
      <c r="L247" s="171"/>
      <c r="M247" s="171"/>
      <c r="N247" s="145" t="s">
        <v>40</v>
      </c>
      <c r="O247" s="173">
        <v>6</v>
      </c>
      <c r="P247" s="234">
        <f ca="1">OFFSET($A$1,MATCH(Z243,$A:$A,0)-1,O247)</f>
        <v>57.375999999999998</v>
      </c>
      <c r="Q247" s="144" t="s">
        <v>29</v>
      </c>
      <c r="R247" s="118">
        <f t="shared" ca="1" si="69"/>
        <v>295138</v>
      </c>
      <c r="S247" s="118">
        <f t="shared" ca="1" si="70"/>
        <v>16933837</v>
      </c>
      <c r="T247" s="118">
        <f ca="1">중급</f>
        <v>295138</v>
      </c>
      <c r="U247" s="118">
        <f t="shared" ca="1" si="71"/>
        <v>16933837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41</v>
      </c>
      <c r="O248" s="173">
        <v>7</v>
      </c>
      <c r="P248" s="234">
        <f ca="1">OFFSET($A$1,MATCH(Z243,$A:$A,0)-1,O248)</f>
        <v>57.375999999999998</v>
      </c>
      <c r="Q248" s="144" t="s">
        <v>29</v>
      </c>
      <c r="R248" s="118">
        <f t="shared" ca="1" si="69"/>
        <v>235459</v>
      </c>
      <c r="S248" s="118">
        <f t="shared" ca="1" si="70"/>
        <v>13509695</v>
      </c>
      <c r="T248" s="118">
        <f ca="1">초급</f>
        <v>235459</v>
      </c>
      <c r="U248" s="118">
        <f t="shared" ca="1" si="71"/>
        <v>13509695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319" t="s">
        <v>42</v>
      </c>
      <c r="O249" s="174">
        <v>8</v>
      </c>
      <c r="P249" s="235">
        <f ca="1">OFFSET($A$1,MATCH(Z243,$A:$A,0)-1,O249)</f>
        <v>38.085999999999999</v>
      </c>
      <c r="Q249" s="322" t="s">
        <v>29</v>
      </c>
      <c r="R249" s="323">
        <f t="shared" ca="1" si="69"/>
        <v>250087</v>
      </c>
      <c r="S249" s="323">
        <f t="shared" ca="1" si="70"/>
        <v>9524813</v>
      </c>
      <c r="T249" s="323">
        <f ca="1">보조원</f>
        <v>250087</v>
      </c>
      <c r="U249" s="323">
        <f t="shared" ca="1" si="71"/>
        <v>9524813</v>
      </c>
      <c r="V249" s="323"/>
      <c r="W249" s="323"/>
      <c r="X249" s="323"/>
      <c r="Y249" s="323"/>
      <c r="Z249" s="324"/>
    </row>
    <row r="250" spans="11:26" ht="18" customHeight="1">
      <c r="K250" s="171" t="s">
        <v>14</v>
      </c>
      <c r="L250" s="171"/>
      <c r="M250" s="171"/>
      <c r="N250" s="139" t="s">
        <v>17</v>
      </c>
      <c r="O250" s="68"/>
      <c r="P250" s="69"/>
      <c r="Q250" s="70"/>
      <c r="R250" s="71"/>
      <c r="S250" s="71">
        <f ca="1">SUBTOTAL(9,S244:S249)</f>
        <v>59769408</v>
      </c>
      <c r="T250" s="71"/>
      <c r="U250" s="71">
        <f ca="1">SUBTOTAL(9,U244:U249)</f>
        <v>59769408</v>
      </c>
      <c r="V250" s="71"/>
      <c r="W250" s="71"/>
      <c r="X250" s="71"/>
      <c r="Y250" s="71"/>
      <c r="Z250" s="68"/>
    </row>
    <row r="251" spans="11:26" ht="18" customHeight="1">
      <c r="K251" s="171" t="s">
        <v>14</v>
      </c>
      <c r="L251" s="171"/>
      <c r="M251" s="171"/>
      <c r="N251" s="318" t="str">
        <f ca="1">"제 " &amp; Z251 &amp; " 호표  "&amp; OFFSET($A$1,MATCH(Z251,$A:$A,0)-1,1)</f>
        <v>제 24 호표  4.2. 관련도서작성</v>
      </c>
      <c r="O251" s="221"/>
      <c r="P251" s="148"/>
      <c r="Q251" s="148"/>
      <c r="R251" s="149"/>
      <c r="S251" s="149"/>
      <c r="T251" s="149"/>
      <c r="U251" s="149"/>
      <c r="V251" s="149"/>
      <c r="W251" s="149"/>
      <c r="X251" s="149"/>
      <c r="Y251" s="149"/>
      <c r="Z251" s="325">
        <f>Z243+1</f>
        <v>24</v>
      </c>
    </row>
    <row r="252" spans="11:26" ht="18" customHeight="1">
      <c r="K252" s="171" t="s">
        <v>14</v>
      </c>
      <c r="L252" s="171"/>
      <c r="M252" s="171"/>
      <c r="N252" s="140" t="s">
        <v>43</v>
      </c>
      <c r="O252" s="172">
        <v>3</v>
      </c>
      <c r="P252" s="219">
        <f ca="1">OFFSET($A$1,MATCH(Z251,$A:$A,0)-1,O252)</f>
        <v>1.978</v>
      </c>
      <c r="Q252" s="141" t="s">
        <v>29</v>
      </c>
      <c r="R252" s="142">
        <f t="shared" ref="R252:R257" ca="1" si="72">T252</f>
        <v>467217</v>
      </c>
      <c r="S252" s="142">
        <f t="shared" ref="S252:S257" ca="1" si="73">U252</f>
        <v>924155</v>
      </c>
      <c r="T252" s="142">
        <f ca="1">기술사</f>
        <v>467217</v>
      </c>
      <c r="U252" s="142">
        <f t="shared" ref="U252:U257" ca="1" si="74">ROUNDDOWN(P252*R252,0)</f>
        <v>924155</v>
      </c>
      <c r="V252" s="142"/>
      <c r="W252" s="142"/>
      <c r="X252" s="142"/>
      <c r="Y252" s="142"/>
      <c r="Z252" s="114"/>
    </row>
    <row r="253" spans="11:26" ht="18" customHeight="1">
      <c r="K253" s="171" t="s">
        <v>14</v>
      </c>
      <c r="L253" s="171"/>
      <c r="M253" s="171"/>
      <c r="N253" s="143" t="s">
        <v>32</v>
      </c>
      <c r="O253" s="173">
        <v>4</v>
      </c>
      <c r="P253" s="234">
        <f ca="1">OFFSET($A$1,MATCH(Z251,$A:$A,0)-1,O253)</f>
        <v>7.4189999999999996</v>
      </c>
      <c r="Q253" s="144" t="s">
        <v>29</v>
      </c>
      <c r="R253" s="118">
        <f t="shared" ca="1" si="72"/>
        <v>373353</v>
      </c>
      <c r="S253" s="118">
        <f t="shared" ca="1" si="73"/>
        <v>2769905</v>
      </c>
      <c r="T253" s="118">
        <f ca="1">특급</f>
        <v>373353</v>
      </c>
      <c r="U253" s="118">
        <f t="shared" ca="1" si="74"/>
        <v>2769905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145" t="s">
        <v>39</v>
      </c>
      <c r="O254" s="173">
        <v>5</v>
      </c>
      <c r="P254" s="234">
        <f ca="1">OFFSET($A$1,MATCH(Z251,$A:$A,0)-1,O254)</f>
        <v>17.311</v>
      </c>
      <c r="Q254" s="144" t="s">
        <v>29</v>
      </c>
      <c r="R254" s="118">
        <f t="shared" ca="1" si="72"/>
        <v>310884</v>
      </c>
      <c r="S254" s="118">
        <f t="shared" ca="1" si="73"/>
        <v>5381712</v>
      </c>
      <c r="T254" s="118">
        <f ca="1">고급</f>
        <v>310884</v>
      </c>
      <c r="U254" s="118">
        <f t="shared" ca="1" si="74"/>
        <v>5381712</v>
      </c>
      <c r="V254" s="118"/>
      <c r="W254" s="118"/>
      <c r="X254" s="118"/>
      <c r="Y254" s="118"/>
      <c r="Z254" s="115"/>
    </row>
    <row r="255" spans="11:26" ht="18" customHeight="1">
      <c r="K255" s="171" t="s">
        <v>14</v>
      </c>
      <c r="L255" s="171"/>
      <c r="M255" s="171"/>
      <c r="N255" s="145" t="s">
        <v>40</v>
      </c>
      <c r="O255" s="173">
        <v>6</v>
      </c>
      <c r="P255" s="234">
        <f ca="1">OFFSET($A$1,MATCH(Z251,$A:$A,0)-1,O255)</f>
        <v>38.085999999999999</v>
      </c>
      <c r="Q255" s="144" t="s">
        <v>29</v>
      </c>
      <c r="R255" s="118">
        <f t="shared" ca="1" si="72"/>
        <v>295138</v>
      </c>
      <c r="S255" s="118">
        <f t="shared" ca="1" si="73"/>
        <v>11240625</v>
      </c>
      <c r="T255" s="118">
        <f ca="1">중급</f>
        <v>295138</v>
      </c>
      <c r="U255" s="118">
        <f t="shared" ca="1" si="74"/>
        <v>11240625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41</v>
      </c>
      <c r="O256" s="173">
        <v>7</v>
      </c>
      <c r="P256" s="234">
        <f ca="1">OFFSET($A$1,MATCH(Z251,$A:$A,0)-1,O256)</f>
        <v>76.171999999999997</v>
      </c>
      <c r="Q256" s="144" t="s">
        <v>29</v>
      </c>
      <c r="R256" s="118">
        <f t="shared" ca="1" si="72"/>
        <v>235459</v>
      </c>
      <c r="S256" s="118">
        <f t="shared" ca="1" si="73"/>
        <v>17935382</v>
      </c>
      <c r="T256" s="118">
        <f ca="1">초급</f>
        <v>235459</v>
      </c>
      <c r="U256" s="118">
        <f t="shared" ca="1" si="74"/>
        <v>17935382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319" t="s">
        <v>42</v>
      </c>
      <c r="O257" s="174">
        <v>8</v>
      </c>
      <c r="P257" s="235">
        <f ca="1">OFFSET($A$1,MATCH(Z251,$A:$A,0)-1,O257)</f>
        <v>95.462000000000003</v>
      </c>
      <c r="Q257" s="322" t="s">
        <v>29</v>
      </c>
      <c r="R257" s="323">
        <f t="shared" ca="1" si="72"/>
        <v>250087</v>
      </c>
      <c r="S257" s="323">
        <f t="shared" ca="1" si="73"/>
        <v>23873805</v>
      </c>
      <c r="T257" s="323">
        <f ca="1">보조원</f>
        <v>250087</v>
      </c>
      <c r="U257" s="323">
        <f t="shared" ca="1" si="74"/>
        <v>23873805</v>
      </c>
      <c r="V257" s="323"/>
      <c r="W257" s="323"/>
      <c r="X257" s="323"/>
      <c r="Y257" s="323"/>
      <c r="Z257" s="324"/>
    </row>
    <row r="258" spans="11:26" ht="18" customHeight="1">
      <c r="K258" s="171" t="s">
        <v>14</v>
      </c>
      <c r="L258" s="171"/>
      <c r="M258" s="171"/>
      <c r="N258" s="139" t="s">
        <v>17</v>
      </c>
      <c r="O258" s="68"/>
      <c r="P258" s="69"/>
      <c r="Q258" s="70"/>
      <c r="R258" s="71"/>
      <c r="S258" s="71">
        <f ca="1">SUBTOTAL(9,S252:S257)</f>
        <v>62125584</v>
      </c>
      <c r="T258" s="71"/>
      <c r="U258" s="71">
        <f ca="1">SUBTOTAL(9,U252:U257)</f>
        <v>62125584</v>
      </c>
      <c r="V258" s="71"/>
      <c r="W258" s="71"/>
      <c r="X258" s="71"/>
      <c r="Y258" s="71"/>
      <c r="Z258" s="68"/>
    </row>
    <row r="259" spans="11:26" ht="18" customHeight="1">
      <c r="K259" s="171" t="s">
        <v>14</v>
      </c>
      <c r="L259" s="171"/>
      <c r="M259" s="171"/>
      <c r="N259" s="318" t="str">
        <f ca="1">"제 " &amp; Z259 &amp; " 호표  "&amp; OFFSET($A$1,MATCH(Z259,$A:$A,0)-1,1)</f>
        <v>제 25 호표  5.1. 공청회/주민설명회</v>
      </c>
      <c r="O259" s="221"/>
      <c r="P259" s="148"/>
      <c r="Q259" s="148"/>
      <c r="R259" s="149"/>
      <c r="S259" s="149"/>
      <c r="T259" s="149"/>
      <c r="U259" s="149"/>
      <c r="V259" s="149"/>
      <c r="W259" s="149"/>
      <c r="X259" s="149"/>
      <c r="Y259" s="149"/>
      <c r="Z259" s="325">
        <f>Z251+1</f>
        <v>25</v>
      </c>
    </row>
    <row r="260" spans="11:26" ht="18" customHeight="1">
      <c r="K260" s="171" t="s">
        <v>14</v>
      </c>
      <c r="L260" s="171"/>
      <c r="M260" s="171"/>
      <c r="N260" s="140" t="s">
        <v>43</v>
      </c>
      <c r="O260" s="172">
        <v>3</v>
      </c>
      <c r="P260" s="219">
        <f ca="1">OFFSET($A$1,MATCH(Z259,$A:$A,0)-1,O260)</f>
        <v>2</v>
      </c>
      <c r="Q260" s="141" t="s">
        <v>29</v>
      </c>
      <c r="R260" s="142">
        <f t="shared" ref="R260:R265" ca="1" si="75">T260</f>
        <v>467217</v>
      </c>
      <c r="S260" s="142">
        <f t="shared" ref="S260:S265" ca="1" si="76">U260</f>
        <v>934434</v>
      </c>
      <c r="T260" s="142">
        <f ca="1">기술사</f>
        <v>467217</v>
      </c>
      <c r="U260" s="142">
        <f t="shared" ref="U260:U265" ca="1" si="77">ROUNDDOWN(P260*R260,0)</f>
        <v>934434</v>
      </c>
      <c r="V260" s="142"/>
      <c r="W260" s="142"/>
      <c r="X260" s="142"/>
      <c r="Y260" s="142"/>
      <c r="Z260" s="114"/>
    </row>
    <row r="261" spans="11:26" ht="18" customHeight="1">
      <c r="K261" s="171" t="s">
        <v>14</v>
      </c>
      <c r="L261" s="171"/>
      <c r="M261" s="171"/>
      <c r="N261" s="143" t="s">
        <v>32</v>
      </c>
      <c r="O261" s="173">
        <v>4</v>
      </c>
      <c r="P261" s="234">
        <f ca="1">OFFSET($A$1,MATCH(Z259,$A:$A,0)-1,O261)</f>
        <v>2</v>
      </c>
      <c r="Q261" s="144" t="s">
        <v>29</v>
      </c>
      <c r="R261" s="118">
        <f t="shared" ca="1" si="75"/>
        <v>373353</v>
      </c>
      <c r="S261" s="118">
        <f t="shared" ca="1" si="76"/>
        <v>746706</v>
      </c>
      <c r="T261" s="118">
        <f ca="1">특급</f>
        <v>373353</v>
      </c>
      <c r="U261" s="118">
        <f t="shared" ca="1" si="77"/>
        <v>746706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145" t="s">
        <v>39</v>
      </c>
      <c r="O262" s="173">
        <v>5</v>
      </c>
      <c r="P262" s="234">
        <f ca="1">OFFSET($A$1,MATCH(Z259,$A:$A,0)-1,O262)</f>
        <v>2</v>
      </c>
      <c r="Q262" s="144" t="s">
        <v>29</v>
      </c>
      <c r="R262" s="118">
        <f t="shared" ca="1" si="75"/>
        <v>310884</v>
      </c>
      <c r="S262" s="118">
        <f t="shared" ca="1" si="76"/>
        <v>621768</v>
      </c>
      <c r="T262" s="118">
        <f ca="1">고급</f>
        <v>310884</v>
      </c>
      <c r="U262" s="118">
        <f t="shared" ca="1" si="77"/>
        <v>621768</v>
      </c>
      <c r="V262" s="118"/>
      <c r="W262" s="118"/>
      <c r="X262" s="118"/>
      <c r="Y262" s="118"/>
      <c r="Z262" s="115"/>
    </row>
    <row r="263" spans="11:26" ht="18" customHeight="1">
      <c r="K263" s="171" t="s">
        <v>14</v>
      </c>
      <c r="L263" s="171"/>
      <c r="M263" s="171"/>
      <c r="N263" s="145" t="s">
        <v>40</v>
      </c>
      <c r="O263" s="173">
        <v>6</v>
      </c>
      <c r="P263" s="234">
        <f ca="1">OFFSET($A$1,MATCH(Z259,$A:$A,0)-1,O263)</f>
        <v>4</v>
      </c>
      <c r="Q263" s="144" t="s">
        <v>29</v>
      </c>
      <c r="R263" s="118">
        <f t="shared" ca="1" si="75"/>
        <v>295138</v>
      </c>
      <c r="S263" s="118">
        <f t="shared" ca="1" si="76"/>
        <v>1180552</v>
      </c>
      <c r="T263" s="118">
        <f ca="1">중급</f>
        <v>295138</v>
      </c>
      <c r="U263" s="118">
        <f t="shared" ca="1" si="77"/>
        <v>1180552</v>
      </c>
      <c r="V263" s="118"/>
      <c r="W263" s="118"/>
      <c r="X263" s="118"/>
      <c r="Y263" s="118"/>
      <c r="Z263" s="115"/>
    </row>
    <row r="264" spans="11:26" ht="18" customHeight="1">
      <c r="K264" s="171" t="s">
        <v>14</v>
      </c>
      <c r="L264" s="171"/>
      <c r="M264" s="171"/>
      <c r="N264" s="145" t="s">
        <v>41</v>
      </c>
      <c r="O264" s="173">
        <v>7</v>
      </c>
      <c r="P264" s="234">
        <f ca="1">OFFSET($A$1,MATCH(Z259,$A:$A,0)-1,O264)</f>
        <v>4</v>
      </c>
      <c r="Q264" s="144" t="s">
        <v>29</v>
      </c>
      <c r="R264" s="118">
        <f t="shared" ca="1" si="75"/>
        <v>235459</v>
      </c>
      <c r="S264" s="118">
        <f t="shared" ca="1" si="76"/>
        <v>941836</v>
      </c>
      <c r="T264" s="118">
        <f ca="1">초급</f>
        <v>235459</v>
      </c>
      <c r="U264" s="118">
        <f t="shared" ca="1" si="77"/>
        <v>941836</v>
      </c>
      <c r="V264" s="118"/>
      <c r="W264" s="118"/>
      <c r="X264" s="118"/>
      <c r="Y264" s="118"/>
      <c r="Z264" s="115"/>
    </row>
    <row r="265" spans="11:26" ht="18" customHeight="1">
      <c r="K265" s="171" t="s">
        <v>14</v>
      </c>
      <c r="L265" s="171"/>
      <c r="M265" s="171"/>
      <c r="N265" s="319" t="s">
        <v>42</v>
      </c>
      <c r="O265" s="174">
        <v>8</v>
      </c>
      <c r="P265" s="235">
        <f ca="1">OFFSET($A$1,MATCH(Z259,$A:$A,0)-1,O265)</f>
        <v>4</v>
      </c>
      <c r="Q265" s="322" t="s">
        <v>29</v>
      </c>
      <c r="R265" s="323">
        <f t="shared" ca="1" si="75"/>
        <v>250087</v>
      </c>
      <c r="S265" s="323">
        <f t="shared" ca="1" si="76"/>
        <v>1000348</v>
      </c>
      <c r="T265" s="323">
        <f ca="1">보조원</f>
        <v>250087</v>
      </c>
      <c r="U265" s="323">
        <f t="shared" ca="1" si="77"/>
        <v>1000348</v>
      </c>
      <c r="V265" s="323"/>
      <c r="W265" s="323"/>
      <c r="X265" s="323"/>
      <c r="Y265" s="323"/>
      <c r="Z265" s="324"/>
    </row>
    <row r="266" spans="11:26" ht="18" customHeight="1">
      <c r="K266" s="171" t="s">
        <v>14</v>
      </c>
      <c r="L266" s="171"/>
      <c r="M266" s="171"/>
      <c r="N266" s="139" t="s">
        <v>17</v>
      </c>
      <c r="O266" s="68"/>
      <c r="P266" s="69"/>
      <c r="Q266" s="70"/>
      <c r="R266" s="71"/>
      <c r="S266" s="71">
        <f ca="1">SUBTOTAL(9,S260:S265)</f>
        <v>5425644</v>
      </c>
      <c r="T266" s="71"/>
      <c r="U266" s="71">
        <f ca="1">SUBTOTAL(9,U260:U265)</f>
        <v>5425644</v>
      </c>
      <c r="V266" s="71"/>
      <c r="W266" s="71"/>
      <c r="X266" s="71"/>
      <c r="Y266" s="71"/>
      <c r="Z266" s="68"/>
    </row>
    <row r="267" spans="11:26" ht="18" customHeight="1">
      <c r="K267" s="171" t="s">
        <v>14</v>
      </c>
      <c r="L267" s="171"/>
      <c r="M267" s="171"/>
      <c r="N267" s="318" t="str">
        <f ca="1">"제 " &amp; Z267 &amp; " 호표  "&amp; OFFSET($A$1,MATCH(Z267,$A:$A,0)-1,1)</f>
        <v>제 26 호표  5.2. 주민간담회/시민계획단</v>
      </c>
      <c r="O267" s="221"/>
      <c r="P267" s="148"/>
      <c r="Q267" s="148"/>
      <c r="R267" s="149"/>
      <c r="S267" s="149"/>
      <c r="T267" s="149"/>
      <c r="U267" s="149"/>
      <c r="V267" s="149"/>
      <c r="W267" s="149"/>
      <c r="X267" s="149"/>
      <c r="Y267" s="149"/>
      <c r="Z267" s="325">
        <f>Z259+1</f>
        <v>26</v>
      </c>
    </row>
    <row r="268" spans="11:26" ht="18" customHeight="1">
      <c r="K268" s="171" t="s">
        <v>14</v>
      </c>
      <c r="L268" s="171"/>
      <c r="M268" s="171"/>
      <c r="N268" s="140" t="s">
        <v>43</v>
      </c>
      <c r="O268" s="172">
        <v>3</v>
      </c>
      <c r="P268" s="219">
        <f ca="1">OFFSET($A$1,MATCH(Z267,$A:$A,0)-1,O268)</f>
        <v>2</v>
      </c>
      <c r="Q268" s="141" t="s">
        <v>29</v>
      </c>
      <c r="R268" s="142">
        <f t="shared" ref="R268:R273" ca="1" si="78">T268</f>
        <v>467217</v>
      </c>
      <c r="S268" s="142">
        <f t="shared" ref="S268:S273" ca="1" si="79">U268</f>
        <v>934434</v>
      </c>
      <c r="T268" s="142">
        <f ca="1">기술사</f>
        <v>467217</v>
      </c>
      <c r="U268" s="142">
        <f t="shared" ref="U268:U273" ca="1" si="80">ROUNDDOWN(P268*R268,0)</f>
        <v>934434</v>
      </c>
      <c r="V268" s="142"/>
      <c r="W268" s="142"/>
      <c r="X268" s="142"/>
      <c r="Y268" s="142"/>
      <c r="Z268" s="114"/>
    </row>
    <row r="269" spans="11:26" ht="18" customHeight="1">
      <c r="K269" s="171" t="s">
        <v>14</v>
      </c>
      <c r="L269" s="171"/>
      <c r="M269" s="171"/>
      <c r="N269" s="143" t="s">
        <v>32</v>
      </c>
      <c r="O269" s="173">
        <v>4</v>
      </c>
      <c r="P269" s="234">
        <f ca="1">OFFSET($A$1,MATCH(Z267,$A:$A,0)-1,O269)</f>
        <v>2</v>
      </c>
      <c r="Q269" s="144" t="s">
        <v>29</v>
      </c>
      <c r="R269" s="118">
        <f t="shared" ca="1" si="78"/>
        <v>373353</v>
      </c>
      <c r="S269" s="118">
        <f t="shared" ca="1" si="79"/>
        <v>746706</v>
      </c>
      <c r="T269" s="118">
        <f ca="1">특급</f>
        <v>373353</v>
      </c>
      <c r="U269" s="118">
        <f t="shared" ca="1" si="80"/>
        <v>746706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145" t="s">
        <v>39</v>
      </c>
      <c r="O270" s="173">
        <v>5</v>
      </c>
      <c r="P270" s="234">
        <f ca="1">OFFSET($A$1,MATCH(Z267,$A:$A,0)-1,O270)</f>
        <v>2</v>
      </c>
      <c r="Q270" s="144" t="s">
        <v>29</v>
      </c>
      <c r="R270" s="118">
        <f t="shared" ca="1" si="78"/>
        <v>310884</v>
      </c>
      <c r="S270" s="118">
        <f t="shared" ca="1" si="79"/>
        <v>621768</v>
      </c>
      <c r="T270" s="118">
        <f ca="1">고급</f>
        <v>310884</v>
      </c>
      <c r="U270" s="118">
        <f t="shared" ca="1" si="80"/>
        <v>621768</v>
      </c>
      <c r="V270" s="118"/>
      <c r="W270" s="118"/>
      <c r="X270" s="118"/>
      <c r="Y270" s="118"/>
      <c r="Z270" s="115"/>
    </row>
    <row r="271" spans="11:26" ht="18" customHeight="1">
      <c r="K271" s="171" t="s">
        <v>14</v>
      </c>
      <c r="L271" s="171"/>
      <c r="M271" s="171"/>
      <c r="N271" s="145" t="s">
        <v>40</v>
      </c>
      <c r="O271" s="173">
        <v>6</v>
      </c>
      <c r="P271" s="234">
        <f ca="1">OFFSET($A$1,MATCH(Z267,$A:$A,0)-1,O271)</f>
        <v>4</v>
      </c>
      <c r="Q271" s="144" t="s">
        <v>29</v>
      </c>
      <c r="R271" s="118">
        <f t="shared" ca="1" si="78"/>
        <v>295138</v>
      </c>
      <c r="S271" s="118">
        <f t="shared" ca="1" si="79"/>
        <v>1180552</v>
      </c>
      <c r="T271" s="118">
        <f ca="1">중급</f>
        <v>295138</v>
      </c>
      <c r="U271" s="118">
        <f t="shared" ca="1" si="80"/>
        <v>1180552</v>
      </c>
      <c r="V271" s="118"/>
      <c r="W271" s="118"/>
      <c r="X271" s="118"/>
      <c r="Y271" s="118"/>
      <c r="Z271" s="115"/>
    </row>
    <row r="272" spans="11:26" ht="18" customHeight="1">
      <c r="K272" s="171" t="s">
        <v>14</v>
      </c>
      <c r="L272" s="171"/>
      <c r="M272" s="171"/>
      <c r="N272" s="145" t="s">
        <v>41</v>
      </c>
      <c r="O272" s="173">
        <v>7</v>
      </c>
      <c r="P272" s="234">
        <f ca="1">OFFSET($A$1,MATCH(Z267,$A:$A,0)-1,O272)</f>
        <v>4</v>
      </c>
      <c r="Q272" s="144" t="s">
        <v>29</v>
      </c>
      <c r="R272" s="118">
        <f t="shared" ca="1" si="78"/>
        <v>235459</v>
      </c>
      <c r="S272" s="118">
        <f t="shared" ca="1" si="79"/>
        <v>941836</v>
      </c>
      <c r="T272" s="118">
        <f ca="1">초급</f>
        <v>235459</v>
      </c>
      <c r="U272" s="118">
        <f t="shared" ca="1" si="80"/>
        <v>941836</v>
      </c>
      <c r="V272" s="118"/>
      <c r="W272" s="118"/>
      <c r="X272" s="118"/>
      <c r="Y272" s="118"/>
      <c r="Z272" s="115"/>
    </row>
    <row r="273" spans="11:26" ht="18" customHeight="1">
      <c r="K273" s="171" t="s">
        <v>14</v>
      </c>
      <c r="L273" s="171"/>
      <c r="M273" s="171"/>
      <c r="N273" s="319" t="s">
        <v>42</v>
      </c>
      <c r="O273" s="174">
        <v>8</v>
      </c>
      <c r="P273" s="235">
        <f ca="1">OFFSET($A$1,MATCH(Z267,$A:$A,0)-1,O273)</f>
        <v>4</v>
      </c>
      <c r="Q273" s="322" t="s">
        <v>29</v>
      </c>
      <c r="R273" s="323">
        <f t="shared" ca="1" si="78"/>
        <v>250087</v>
      </c>
      <c r="S273" s="323">
        <f t="shared" ca="1" si="79"/>
        <v>1000348</v>
      </c>
      <c r="T273" s="323">
        <f ca="1">보조원</f>
        <v>250087</v>
      </c>
      <c r="U273" s="323">
        <f t="shared" ca="1" si="80"/>
        <v>1000348</v>
      </c>
      <c r="V273" s="323"/>
      <c r="W273" s="323"/>
      <c r="X273" s="323"/>
      <c r="Y273" s="323"/>
      <c r="Z273" s="324"/>
    </row>
    <row r="274" spans="11:26" ht="18" customHeight="1">
      <c r="K274" s="171" t="s">
        <v>14</v>
      </c>
      <c r="L274" s="171"/>
      <c r="M274" s="171"/>
      <c r="N274" s="139" t="s">
        <v>17</v>
      </c>
      <c r="O274" s="68"/>
      <c r="P274" s="69"/>
      <c r="Q274" s="70"/>
      <c r="R274" s="71"/>
      <c r="S274" s="71">
        <f ca="1">SUBTOTAL(9,S268:S273)</f>
        <v>5425644</v>
      </c>
      <c r="T274" s="71"/>
      <c r="U274" s="71">
        <f ca="1">SUBTOTAL(9,U268:U273)</f>
        <v>5425644</v>
      </c>
      <c r="V274" s="71"/>
      <c r="W274" s="71"/>
      <c r="X274" s="71"/>
      <c r="Y274" s="71"/>
      <c r="Z274" s="68"/>
    </row>
    <row r="275" spans="11:26" ht="18" customHeight="1">
      <c r="K275" s="171" t="s">
        <v>14</v>
      </c>
      <c r="L275" s="171"/>
      <c r="M275" s="171"/>
      <c r="N275" s="318" t="str">
        <f ca="1">"제 " &amp; Z275 &amp; " 호표  "&amp; OFFSET($A$1,MATCH(Z275,$A:$A,0)-1,1)</f>
        <v>제 27 호표  5.3. 위원회심의 지원</v>
      </c>
      <c r="O275" s="221"/>
      <c r="P275" s="148"/>
      <c r="Q275" s="148"/>
      <c r="R275" s="149"/>
      <c r="S275" s="149"/>
      <c r="T275" s="149"/>
      <c r="U275" s="149"/>
      <c r="V275" s="149"/>
      <c r="W275" s="149"/>
      <c r="X275" s="149"/>
      <c r="Y275" s="149"/>
      <c r="Z275" s="325">
        <f>Z267+1</f>
        <v>27</v>
      </c>
    </row>
    <row r="276" spans="11:26" ht="18" customHeight="1">
      <c r="K276" s="171" t="s">
        <v>14</v>
      </c>
      <c r="L276" s="171"/>
      <c r="M276" s="171"/>
      <c r="N276" s="140" t="s">
        <v>43</v>
      </c>
      <c r="O276" s="172">
        <v>3</v>
      </c>
      <c r="P276" s="219">
        <f ca="1">OFFSET($A$1,MATCH(Z275,$A:$A,0)-1,O276)</f>
        <v>2</v>
      </c>
      <c r="Q276" s="141" t="s">
        <v>29</v>
      </c>
      <c r="R276" s="142">
        <f t="shared" ref="R276:R281" ca="1" si="81">T276</f>
        <v>467217</v>
      </c>
      <c r="S276" s="142">
        <f t="shared" ref="S276:S281" ca="1" si="82">U276</f>
        <v>934434</v>
      </c>
      <c r="T276" s="142">
        <f ca="1">기술사</f>
        <v>467217</v>
      </c>
      <c r="U276" s="142">
        <f t="shared" ref="U276:U281" ca="1" si="83">ROUNDDOWN(P276*R276,0)</f>
        <v>934434</v>
      </c>
      <c r="V276" s="142"/>
      <c r="W276" s="142"/>
      <c r="X276" s="142"/>
      <c r="Y276" s="142"/>
      <c r="Z276" s="114"/>
    </row>
    <row r="277" spans="11:26" ht="18" customHeight="1">
      <c r="K277" s="171" t="s">
        <v>14</v>
      </c>
      <c r="L277" s="171"/>
      <c r="M277" s="171"/>
      <c r="N277" s="143" t="s">
        <v>32</v>
      </c>
      <c r="O277" s="173">
        <v>4</v>
      </c>
      <c r="P277" s="234">
        <f ca="1">OFFSET($A$1,MATCH(Z275,$A:$A,0)-1,O277)</f>
        <v>2</v>
      </c>
      <c r="Q277" s="144" t="s">
        <v>29</v>
      </c>
      <c r="R277" s="118">
        <f t="shared" ca="1" si="81"/>
        <v>373353</v>
      </c>
      <c r="S277" s="118">
        <f t="shared" ca="1" si="82"/>
        <v>746706</v>
      </c>
      <c r="T277" s="118">
        <f ca="1">특급</f>
        <v>373353</v>
      </c>
      <c r="U277" s="118">
        <f t="shared" ca="1" si="83"/>
        <v>746706</v>
      </c>
      <c r="V277" s="118"/>
      <c r="W277" s="118"/>
      <c r="X277" s="118"/>
      <c r="Y277" s="118"/>
      <c r="Z277" s="115"/>
    </row>
    <row r="278" spans="11:26" ht="18" customHeight="1">
      <c r="K278" s="171" t="s">
        <v>14</v>
      </c>
      <c r="L278" s="171"/>
      <c r="M278" s="171"/>
      <c r="N278" s="145" t="s">
        <v>39</v>
      </c>
      <c r="O278" s="173">
        <v>5</v>
      </c>
      <c r="P278" s="234">
        <f ca="1">OFFSET($A$1,MATCH(Z275,$A:$A,0)-1,O278)</f>
        <v>2</v>
      </c>
      <c r="Q278" s="144" t="s">
        <v>29</v>
      </c>
      <c r="R278" s="118">
        <f t="shared" ca="1" si="81"/>
        <v>310884</v>
      </c>
      <c r="S278" s="118">
        <f t="shared" ca="1" si="82"/>
        <v>621768</v>
      </c>
      <c r="T278" s="118">
        <f ca="1">고급</f>
        <v>310884</v>
      </c>
      <c r="U278" s="118">
        <f t="shared" ca="1" si="83"/>
        <v>621768</v>
      </c>
      <c r="V278" s="118"/>
      <c r="W278" s="118"/>
      <c r="X278" s="118"/>
      <c r="Y278" s="118"/>
      <c r="Z278" s="115"/>
    </row>
    <row r="279" spans="11:26" ht="18" customHeight="1">
      <c r="K279" s="171" t="s">
        <v>14</v>
      </c>
      <c r="L279" s="171"/>
      <c r="M279" s="171"/>
      <c r="N279" s="145" t="s">
        <v>40</v>
      </c>
      <c r="O279" s="173">
        <v>6</v>
      </c>
      <c r="P279" s="234">
        <f ca="1">OFFSET($A$1,MATCH(Z275,$A:$A,0)-1,O279)</f>
        <v>4</v>
      </c>
      <c r="Q279" s="144" t="s">
        <v>29</v>
      </c>
      <c r="R279" s="118">
        <f t="shared" ca="1" si="81"/>
        <v>295138</v>
      </c>
      <c r="S279" s="118">
        <f t="shared" ca="1" si="82"/>
        <v>1180552</v>
      </c>
      <c r="T279" s="118">
        <f ca="1">중급</f>
        <v>295138</v>
      </c>
      <c r="U279" s="118">
        <f t="shared" ca="1" si="83"/>
        <v>1180552</v>
      </c>
      <c r="V279" s="118"/>
      <c r="W279" s="118"/>
      <c r="X279" s="118"/>
      <c r="Y279" s="118"/>
      <c r="Z279" s="115"/>
    </row>
    <row r="280" spans="11:26" ht="18" customHeight="1">
      <c r="K280" s="171" t="s">
        <v>14</v>
      </c>
      <c r="L280" s="171"/>
      <c r="M280" s="171"/>
      <c r="N280" s="145" t="s">
        <v>41</v>
      </c>
      <c r="O280" s="173">
        <v>7</v>
      </c>
      <c r="P280" s="234">
        <f ca="1">OFFSET($A$1,MATCH(Z275,$A:$A,0)-1,O280)</f>
        <v>4</v>
      </c>
      <c r="Q280" s="144" t="s">
        <v>29</v>
      </c>
      <c r="R280" s="118">
        <f t="shared" ca="1" si="81"/>
        <v>235459</v>
      </c>
      <c r="S280" s="118">
        <f t="shared" ca="1" si="82"/>
        <v>941836</v>
      </c>
      <c r="T280" s="118">
        <f ca="1">초급</f>
        <v>235459</v>
      </c>
      <c r="U280" s="118">
        <f t="shared" ca="1" si="83"/>
        <v>941836</v>
      </c>
      <c r="V280" s="118"/>
      <c r="W280" s="118"/>
      <c r="X280" s="118"/>
      <c r="Y280" s="118"/>
      <c r="Z280" s="115"/>
    </row>
    <row r="281" spans="11:26" ht="18" customHeight="1">
      <c r="K281" s="171" t="s">
        <v>14</v>
      </c>
      <c r="L281" s="171"/>
      <c r="M281" s="171"/>
      <c r="N281" s="319" t="s">
        <v>42</v>
      </c>
      <c r="O281" s="174">
        <v>8</v>
      </c>
      <c r="P281" s="235">
        <f ca="1">OFFSET($A$1,MATCH(Z275,$A:$A,0)-1,O281)</f>
        <v>4</v>
      </c>
      <c r="Q281" s="322" t="s">
        <v>29</v>
      </c>
      <c r="R281" s="323">
        <f t="shared" ca="1" si="81"/>
        <v>250087</v>
      </c>
      <c r="S281" s="323">
        <f t="shared" ca="1" si="82"/>
        <v>1000348</v>
      </c>
      <c r="T281" s="323">
        <f ca="1">보조원</f>
        <v>250087</v>
      </c>
      <c r="U281" s="323">
        <f t="shared" ca="1" si="83"/>
        <v>1000348</v>
      </c>
      <c r="V281" s="323"/>
      <c r="W281" s="323"/>
      <c r="X281" s="323"/>
      <c r="Y281" s="323"/>
      <c r="Z281" s="324"/>
    </row>
    <row r="282" spans="11:26" ht="18" customHeight="1">
      <c r="K282" s="171" t="s">
        <v>14</v>
      </c>
      <c r="L282" s="171"/>
      <c r="M282" s="171"/>
      <c r="N282" s="139" t="s">
        <v>17</v>
      </c>
      <c r="O282" s="68"/>
      <c r="P282" s="69"/>
      <c r="Q282" s="70"/>
      <c r="R282" s="71"/>
      <c r="S282" s="71">
        <f ca="1">SUBTOTAL(9,S276:S281)</f>
        <v>5425644</v>
      </c>
      <c r="T282" s="71"/>
      <c r="U282" s="71">
        <f ca="1">SUBTOTAL(9,U276:U281)</f>
        <v>5425644</v>
      </c>
      <c r="V282" s="71"/>
      <c r="W282" s="71"/>
      <c r="X282" s="71"/>
      <c r="Y282" s="71"/>
      <c r="Z282" s="68"/>
    </row>
    <row r="283" spans="11:26" ht="18" customHeight="1">
      <c r="K283" s="171" t="s">
        <v>14</v>
      </c>
      <c r="L283" s="171"/>
      <c r="M283" s="171"/>
      <c r="N283" s="318" t="str">
        <f ca="1">"제 " &amp; Z283 &amp; " 호표  "&amp; OFFSET($A$1,MATCH(Z283,$A:$A,0)-1,1)</f>
        <v>제 28 호표  5.4. 관계기관 협의</v>
      </c>
      <c r="O283" s="221"/>
      <c r="P283" s="148"/>
      <c r="Q283" s="148"/>
      <c r="R283" s="149"/>
      <c r="S283" s="149"/>
      <c r="T283" s="149"/>
      <c r="U283" s="149"/>
      <c r="V283" s="149"/>
      <c r="W283" s="149"/>
      <c r="X283" s="149"/>
      <c r="Y283" s="149"/>
      <c r="Z283" s="325">
        <f>Z275+1</f>
        <v>28</v>
      </c>
    </row>
    <row r="284" spans="11:26" ht="18" customHeight="1">
      <c r="K284" s="171" t="s">
        <v>14</v>
      </c>
      <c r="L284" s="171"/>
      <c r="M284" s="171"/>
      <c r="N284" s="140" t="s">
        <v>43</v>
      </c>
      <c r="O284" s="172">
        <v>3</v>
      </c>
      <c r="P284" s="219">
        <f ca="1">OFFSET($A$1,MATCH(Z283,$A:$A,0)-1,O284)</f>
        <v>2</v>
      </c>
      <c r="Q284" s="141" t="s">
        <v>29</v>
      </c>
      <c r="R284" s="142">
        <f t="shared" ref="R284:R289" ca="1" si="84">T284</f>
        <v>467217</v>
      </c>
      <c r="S284" s="142">
        <f t="shared" ref="S284:S289" ca="1" si="85">U284</f>
        <v>934434</v>
      </c>
      <c r="T284" s="142">
        <f ca="1">기술사</f>
        <v>467217</v>
      </c>
      <c r="U284" s="142">
        <f t="shared" ref="U284:U289" ca="1" si="86">ROUNDDOWN(P284*R284,0)</f>
        <v>934434</v>
      </c>
      <c r="V284" s="142"/>
      <c r="W284" s="142"/>
      <c r="X284" s="142"/>
      <c r="Y284" s="142"/>
      <c r="Z284" s="114"/>
    </row>
    <row r="285" spans="11:26" ht="18" customHeight="1">
      <c r="K285" s="171" t="s">
        <v>14</v>
      </c>
      <c r="L285" s="171"/>
      <c r="M285" s="171"/>
      <c r="N285" s="143" t="s">
        <v>32</v>
      </c>
      <c r="O285" s="173">
        <v>4</v>
      </c>
      <c r="P285" s="234">
        <f ca="1">OFFSET($A$1,MATCH(Z283,$A:$A,0)-1,O285)</f>
        <v>2</v>
      </c>
      <c r="Q285" s="144" t="s">
        <v>29</v>
      </c>
      <c r="R285" s="118">
        <f t="shared" ca="1" si="84"/>
        <v>373353</v>
      </c>
      <c r="S285" s="118">
        <f t="shared" ca="1" si="85"/>
        <v>746706</v>
      </c>
      <c r="T285" s="118">
        <f ca="1">특급</f>
        <v>373353</v>
      </c>
      <c r="U285" s="118">
        <f t="shared" ca="1" si="86"/>
        <v>746706</v>
      </c>
      <c r="V285" s="118"/>
      <c r="W285" s="118"/>
      <c r="X285" s="118"/>
      <c r="Y285" s="118"/>
      <c r="Z285" s="115"/>
    </row>
    <row r="286" spans="11:26" ht="18" customHeight="1">
      <c r="K286" s="171" t="s">
        <v>14</v>
      </c>
      <c r="L286" s="171"/>
      <c r="M286" s="171"/>
      <c r="N286" s="145" t="s">
        <v>39</v>
      </c>
      <c r="O286" s="173">
        <v>5</v>
      </c>
      <c r="P286" s="234">
        <f ca="1">OFFSET($A$1,MATCH(Z283,$A:$A,0)-1,O286)</f>
        <v>2</v>
      </c>
      <c r="Q286" s="144" t="s">
        <v>29</v>
      </c>
      <c r="R286" s="118">
        <f t="shared" ca="1" si="84"/>
        <v>310884</v>
      </c>
      <c r="S286" s="118">
        <f t="shared" ca="1" si="85"/>
        <v>621768</v>
      </c>
      <c r="T286" s="118">
        <f ca="1">고급</f>
        <v>310884</v>
      </c>
      <c r="U286" s="118">
        <f t="shared" ca="1" si="86"/>
        <v>621768</v>
      </c>
      <c r="V286" s="118"/>
      <c r="W286" s="118"/>
      <c r="X286" s="118"/>
      <c r="Y286" s="118"/>
      <c r="Z286" s="115"/>
    </row>
    <row r="287" spans="11:26" ht="18" customHeight="1">
      <c r="K287" s="171" t="s">
        <v>14</v>
      </c>
      <c r="L287" s="171"/>
      <c r="M287" s="171"/>
      <c r="N287" s="145" t="s">
        <v>40</v>
      </c>
      <c r="O287" s="173">
        <v>6</v>
      </c>
      <c r="P287" s="234">
        <f ca="1">OFFSET($A$1,MATCH(Z283,$A:$A,0)-1,O287)</f>
        <v>4</v>
      </c>
      <c r="Q287" s="144" t="s">
        <v>29</v>
      </c>
      <c r="R287" s="118">
        <f t="shared" ca="1" si="84"/>
        <v>295138</v>
      </c>
      <c r="S287" s="118">
        <f t="shared" ca="1" si="85"/>
        <v>1180552</v>
      </c>
      <c r="T287" s="118">
        <f ca="1">중급</f>
        <v>295138</v>
      </c>
      <c r="U287" s="118">
        <f t="shared" ca="1" si="86"/>
        <v>1180552</v>
      </c>
      <c r="V287" s="118"/>
      <c r="W287" s="118"/>
      <c r="X287" s="118"/>
      <c r="Y287" s="118"/>
      <c r="Z287" s="115"/>
    </row>
    <row r="288" spans="11:26" ht="18" customHeight="1">
      <c r="K288" s="171" t="s">
        <v>14</v>
      </c>
      <c r="L288" s="171"/>
      <c r="M288" s="171"/>
      <c r="N288" s="145" t="s">
        <v>41</v>
      </c>
      <c r="O288" s="173">
        <v>7</v>
      </c>
      <c r="P288" s="234">
        <f ca="1">OFFSET($A$1,MATCH(Z283,$A:$A,0)-1,O288)</f>
        <v>4</v>
      </c>
      <c r="Q288" s="144" t="s">
        <v>29</v>
      </c>
      <c r="R288" s="118">
        <f t="shared" ca="1" si="84"/>
        <v>235459</v>
      </c>
      <c r="S288" s="118">
        <f t="shared" ca="1" si="85"/>
        <v>941836</v>
      </c>
      <c r="T288" s="118">
        <f ca="1">초급</f>
        <v>235459</v>
      </c>
      <c r="U288" s="118">
        <f t="shared" ca="1" si="86"/>
        <v>941836</v>
      </c>
      <c r="V288" s="118"/>
      <c r="W288" s="118"/>
      <c r="X288" s="118"/>
      <c r="Y288" s="118"/>
      <c r="Z288" s="115"/>
    </row>
    <row r="289" spans="11:26" ht="18" customHeight="1">
      <c r="K289" s="171" t="s">
        <v>14</v>
      </c>
      <c r="L289" s="171"/>
      <c r="M289" s="171"/>
      <c r="N289" s="319" t="s">
        <v>42</v>
      </c>
      <c r="O289" s="174">
        <v>8</v>
      </c>
      <c r="P289" s="235">
        <f ca="1">OFFSET($A$1,MATCH(Z283,$A:$A,0)-1,O289)</f>
        <v>4</v>
      </c>
      <c r="Q289" s="322" t="s">
        <v>29</v>
      </c>
      <c r="R289" s="323">
        <f t="shared" ca="1" si="84"/>
        <v>250087</v>
      </c>
      <c r="S289" s="323">
        <f t="shared" ca="1" si="85"/>
        <v>1000348</v>
      </c>
      <c r="T289" s="323">
        <f ca="1">보조원</f>
        <v>250087</v>
      </c>
      <c r="U289" s="323">
        <f t="shared" ca="1" si="86"/>
        <v>1000348</v>
      </c>
      <c r="V289" s="323"/>
      <c r="W289" s="323"/>
      <c r="X289" s="323"/>
      <c r="Y289" s="323"/>
      <c r="Z289" s="324"/>
    </row>
    <row r="290" spans="11:26" ht="18" customHeight="1">
      <c r="K290" s="171" t="s">
        <v>14</v>
      </c>
      <c r="L290" s="171"/>
      <c r="M290" s="171"/>
      <c r="N290" s="139" t="s">
        <v>17</v>
      </c>
      <c r="O290" s="68"/>
      <c r="P290" s="69"/>
      <c r="Q290" s="70"/>
      <c r="R290" s="71"/>
      <c r="S290" s="71">
        <f ca="1">SUBTOTAL(9,S284:S289)</f>
        <v>5425644</v>
      </c>
      <c r="T290" s="71"/>
      <c r="U290" s="71">
        <f ca="1">SUBTOTAL(9,U284:U289)</f>
        <v>5425644</v>
      </c>
      <c r="V290" s="71"/>
      <c r="W290" s="71"/>
      <c r="X290" s="71"/>
      <c r="Y290" s="71"/>
      <c r="Z290" s="68"/>
    </row>
    <row r="291" spans="11:26" ht="18" customHeight="1">
      <c r="K291" s="171" t="s">
        <v>14</v>
      </c>
      <c r="L291" s="171"/>
      <c r="M291" s="171"/>
    </row>
    <row r="292" spans="11:26" ht="18" customHeight="1">
      <c r="K292" s="171" t="s">
        <v>14</v>
      </c>
      <c r="L292" s="171"/>
      <c r="M292" s="171"/>
    </row>
    <row r="293" spans="11:26" ht="18" customHeight="1">
      <c r="K293" s="171" t="s">
        <v>14</v>
      </c>
      <c r="L293" s="171"/>
      <c r="M293" s="171"/>
    </row>
    <row r="294" spans="11:26" ht="18" customHeight="1">
      <c r="K294" s="171" t="s">
        <v>14</v>
      </c>
      <c r="L294" s="171"/>
      <c r="M294" s="171"/>
    </row>
    <row r="295" spans="11:26" ht="18" customHeight="1">
      <c r="K295" s="171" t="s">
        <v>14</v>
      </c>
      <c r="L295" s="171"/>
      <c r="M295" s="171"/>
    </row>
    <row r="296" spans="11:26" ht="18" customHeight="1">
      <c r="K296" s="171" t="s">
        <v>14</v>
      </c>
      <c r="L296" s="171"/>
      <c r="M296" s="171"/>
    </row>
    <row r="297" spans="11:26" ht="18" customHeight="1">
      <c r="K297" s="171" t="s">
        <v>14</v>
      </c>
      <c r="L297" s="171"/>
      <c r="M297" s="171"/>
    </row>
    <row r="298" spans="11:26" ht="18" customHeight="1">
      <c r="K298" s="171" t="s">
        <v>14</v>
      </c>
      <c r="L298" s="171"/>
      <c r="M298" s="171"/>
    </row>
    <row r="299" spans="11:26" ht="18" customHeight="1">
      <c r="K299" s="171" t="s">
        <v>14</v>
      </c>
      <c r="L299" s="171"/>
      <c r="M299" s="171"/>
    </row>
    <row r="300" spans="11:26" ht="18" customHeight="1">
      <c r="K300" s="171" t="s">
        <v>14</v>
      </c>
      <c r="L300" s="171"/>
      <c r="M300" s="171"/>
    </row>
    <row r="301" spans="11:26" ht="18" customHeight="1">
      <c r="K301" s="171" t="s">
        <v>14</v>
      </c>
      <c r="L301" s="171"/>
      <c r="M301" s="171"/>
    </row>
    <row r="302" spans="11:26" ht="18" customHeight="1">
      <c r="K302" s="171" t="s">
        <v>14</v>
      </c>
      <c r="L302" s="171"/>
      <c r="M302" s="171"/>
    </row>
    <row r="303" spans="11:26" ht="18" customHeight="1">
      <c r="K303" s="171" t="s">
        <v>14</v>
      </c>
      <c r="L303" s="171"/>
      <c r="M303" s="171"/>
    </row>
    <row r="304" spans="11:26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  <c r="M828" s="171"/>
    </row>
    <row r="829" spans="11:13" ht="18" customHeight="1">
      <c r="K829" s="171" t="s">
        <v>14</v>
      </c>
      <c r="L829" s="171"/>
      <c r="M829" s="171"/>
    </row>
    <row r="830" spans="11:13" ht="18" customHeight="1">
      <c r="K830" s="171" t="s">
        <v>14</v>
      </c>
      <c r="L830" s="171"/>
      <c r="M830" s="171"/>
    </row>
    <row r="831" spans="11:13" ht="18" customHeight="1">
      <c r="K831" s="171" t="s">
        <v>14</v>
      </c>
      <c r="L831" s="171"/>
      <c r="M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L839" s="171"/>
    </row>
    <row r="840" spans="11:12" ht="18" customHeight="1">
      <c r="L840" s="171"/>
    </row>
    <row r="841" spans="11:12" ht="18" customHeight="1">
      <c r="L841" s="171"/>
    </row>
  </sheetData>
  <mergeCells count="20">
    <mergeCell ref="Q65:Q66"/>
    <mergeCell ref="Z65:Z66"/>
    <mergeCell ref="J78:J81"/>
    <mergeCell ref="N65:N66"/>
    <mergeCell ref="B13:C14"/>
    <mergeCell ref="J13:J14"/>
    <mergeCell ref="L13:L14"/>
    <mergeCell ref="O65:O66"/>
    <mergeCell ref="P65:P66"/>
    <mergeCell ref="G4:H4"/>
    <mergeCell ref="G5:H5"/>
    <mergeCell ref="G6:H6"/>
    <mergeCell ref="B3:C3"/>
    <mergeCell ref="D3:E3"/>
    <mergeCell ref="B4:C4"/>
    <mergeCell ref="D4:E4"/>
    <mergeCell ref="B5:C5"/>
    <mergeCell ref="D5:E5"/>
    <mergeCell ref="B6:C6"/>
    <mergeCell ref="D6:E6"/>
  </mergeCells>
  <phoneticPr fontId="14" type="noConversion"/>
  <conditionalFormatting sqref="V15:V48">
    <cfRule type="cellIs" dxfId="59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3" manualBreakCount="3">
    <brk id="37" min="13" max="28" man="1"/>
    <brk id="64" min="13" max="28" man="1"/>
    <brk id="85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8369" r:id="rId4" name="Drop Down 1">
              <controlPr defaultSize="0" autoLine="0" autoPict="0">
                <anchor moveWithCells="1">
                  <from>
                    <xdr:col>6</xdr:col>
                    <xdr:colOff>9525</xdr:colOff>
                    <xdr:row>0</xdr:row>
                    <xdr:rowOff>209550</xdr:rowOff>
                  </from>
                  <to>
                    <xdr:col>10</xdr:col>
                    <xdr:colOff>9525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0">
    <tabColor rgb="FFFFFF00"/>
    <pageSetUpPr fitToPage="1"/>
  </sheetPr>
  <dimension ref="A1:Z846"/>
  <sheetViews>
    <sheetView showGridLines="0" zoomScale="85" zoomScaleNormal="85" zoomScaleSheetLayoutView="75" workbookViewId="0">
      <selection activeCell="J3" sqref="J3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440</v>
      </c>
    </row>
    <row r="2" spans="1:26" ht="19.5" thickBot="1">
      <c r="B2" s="66" t="s">
        <v>1</v>
      </c>
    </row>
    <row r="3" spans="1:26" ht="19.5" customHeight="1" thickBot="1">
      <c r="B3" s="773" t="s">
        <v>431</v>
      </c>
      <c r="C3" s="774"/>
      <c r="D3" s="775">
        <v>10</v>
      </c>
      <c r="E3" s="776"/>
      <c r="F3" s="316" t="s">
        <v>53</v>
      </c>
      <c r="G3" s="364" t="s">
        <v>1551</v>
      </c>
      <c r="H3" s="365"/>
      <c r="I3" s="691">
        <v>4</v>
      </c>
      <c r="J3" s="689">
        <f>CHOOSE(I3,1,1.25,1.5,1)</f>
        <v>1</v>
      </c>
      <c r="R3" s="690" t="s">
        <v>1552</v>
      </c>
    </row>
    <row r="4" spans="1:26" ht="21.75" customHeight="1" thickTop="1">
      <c r="B4" s="777" t="s">
        <v>1329</v>
      </c>
      <c r="C4" s="778"/>
      <c r="D4" s="779">
        <v>10</v>
      </c>
      <c r="E4" s="780"/>
      <c r="F4" s="359" t="str">
        <f>F3</f>
        <v>만㎡</v>
      </c>
      <c r="G4" s="767" t="s">
        <v>1104</v>
      </c>
      <c r="H4" s="768"/>
      <c r="I4" s="656">
        <v>2</v>
      </c>
      <c r="J4" s="669" t="s">
        <v>1512</v>
      </c>
      <c r="R4" s="690" t="s">
        <v>1553</v>
      </c>
    </row>
    <row r="5" spans="1:26" ht="24" customHeight="1">
      <c r="B5" s="777" t="s">
        <v>95</v>
      </c>
      <c r="C5" s="814"/>
      <c r="D5" s="815">
        <f>ROUND((IF(D4&lt;=3,3,D4)/D3)^0.6,3)</f>
        <v>1</v>
      </c>
      <c r="E5" s="816"/>
      <c r="F5" s="148"/>
      <c r="G5" s="769" t="s">
        <v>1109</v>
      </c>
      <c r="H5" s="770"/>
      <c r="I5" s="298">
        <v>2</v>
      </c>
      <c r="J5" s="670" t="s">
        <v>794</v>
      </c>
      <c r="R5" s="690" t="s">
        <v>1554</v>
      </c>
    </row>
    <row r="6" spans="1:26" ht="23.25" customHeight="1" thickBot="1">
      <c r="B6" s="817" t="s">
        <v>434</v>
      </c>
      <c r="C6" s="818"/>
      <c r="D6" s="819">
        <f>J3</f>
        <v>1</v>
      </c>
      <c r="E6" s="802"/>
      <c r="F6" s="370">
        <v>2</v>
      </c>
      <c r="G6" s="771" t="s">
        <v>1102</v>
      </c>
      <c r="H6" s="772"/>
      <c r="I6" s="646">
        <f>ROUND(I5/I4,3)</f>
        <v>1</v>
      </c>
      <c r="J6" s="671"/>
      <c r="R6" s="690" t="s">
        <v>1555</v>
      </c>
    </row>
    <row r="7" spans="1:26" ht="18" customHeight="1">
      <c r="B7" s="9" t="s">
        <v>1556</v>
      </c>
      <c r="C7" s="9"/>
      <c r="D7" s="64"/>
      <c r="E7" s="64"/>
      <c r="G7" s="1" t="s">
        <v>1558</v>
      </c>
      <c r="R7" s="1"/>
      <c r="S7" s="1"/>
      <c r="T7" s="1"/>
    </row>
    <row r="8" spans="1:26" ht="18" customHeight="1">
      <c r="C8" s="1" t="s">
        <v>1557</v>
      </c>
      <c r="G8" s="36" t="s">
        <v>1559</v>
      </c>
      <c r="W8" s="1"/>
      <c r="X8" s="1"/>
    </row>
    <row r="9" spans="1:26" ht="18" customHeight="1">
      <c r="G9" s="36" t="s">
        <v>1604</v>
      </c>
      <c r="W9" s="676"/>
      <c r="X9" s="676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SUBTOTAL(9,W13:W60)</f>
        <v>955309182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SUBTOTAL(9,W14:W57)</f>
        <v>346929940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SUBTOTAL(9,W15:W52)</f>
        <v>338929940</v>
      </c>
      <c r="X14" s="256"/>
      <c r="Y14" s="220"/>
      <c r="Z14" s="220"/>
    </row>
    <row r="15" spans="1:26" ht="18" customHeight="1">
      <c r="A15" s="279"/>
      <c r="B15" s="222" t="s">
        <v>1515</v>
      </c>
      <c r="C15" s="47"/>
      <c r="D15" s="48">
        <f t="shared" ref="D15:I15" si="0">SUBTOTAL(9,D16:D24)</f>
        <v>4.0999999999999996</v>
      </c>
      <c r="E15" s="49">
        <f t="shared" si="0"/>
        <v>8.4</v>
      </c>
      <c r="F15" s="49">
        <f t="shared" si="0"/>
        <v>18.800000000000004</v>
      </c>
      <c r="G15" s="49">
        <f t="shared" si="0"/>
        <v>43.5</v>
      </c>
      <c r="H15" s="49">
        <f t="shared" si="0"/>
        <v>57.599999999999994</v>
      </c>
      <c r="I15" s="50">
        <f t="shared" si="0"/>
        <v>69.800000000000011</v>
      </c>
      <c r="J15" s="389"/>
      <c r="L15" s="232"/>
      <c r="N15" s="354" t="str">
        <f>B15</f>
        <v>1. 기초조사 및 여건분석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SUBTOTAL(9,W16:W24)</f>
        <v>54753365</v>
      </c>
      <c r="X15" s="194"/>
      <c r="Y15" s="170" t="str">
        <f>IF(A54&gt;0, "제 " &amp;A54&amp; " 호표","")</f>
        <v/>
      </c>
      <c r="Z15" s="170"/>
    </row>
    <row r="16" spans="1:26" ht="18" customHeight="1">
      <c r="A16" s="279"/>
      <c r="B16" s="223" t="s">
        <v>1572</v>
      </c>
      <c r="C16" s="23"/>
      <c r="D16" s="197">
        <v>0.4</v>
      </c>
      <c r="E16" s="198">
        <v>0.7</v>
      </c>
      <c r="F16" s="198">
        <v>1.8</v>
      </c>
      <c r="G16" s="198">
        <v>2.9</v>
      </c>
      <c r="H16" s="198">
        <v>3.9</v>
      </c>
      <c r="I16" s="199">
        <v>6</v>
      </c>
      <c r="J16" s="389" t="s">
        <v>1549</v>
      </c>
      <c r="L16" s="233">
        <v>1</v>
      </c>
      <c r="N16" s="292" t="str">
        <f>B16</f>
        <v>1.1. 자연환경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SUM((ROUNDDOWN((D55:I55)*단가,0)))</f>
        <v>4282536</v>
      </c>
      <c r="X16" s="154"/>
      <c r="Y16" s="170" t="str">
        <f>IF(A55&gt;0, "제 " &amp;A55&amp; " 호표","")</f>
        <v>제 1 호표</v>
      </c>
      <c r="Z16" s="150"/>
    </row>
    <row r="17" spans="1:26" ht="18" customHeight="1">
      <c r="A17" s="279"/>
      <c r="B17" s="223" t="s">
        <v>1573</v>
      </c>
      <c r="C17" s="23"/>
      <c r="D17" s="197">
        <v>0.4</v>
      </c>
      <c r="E17" s="198">
        <v>0.7</v>
      </c>
      <c r="F17" s="198">
        <v>1.8</v>
      </c>
      <c r="G17" s="198">
        <v>4.4000000000000004</v>
      </c>
      <c r="H17" s="198">
        <v>7.1</v>
      </c>
      <c r="I17" s="199">
        <v>7.4</v>
      </c>
      <c r="J17" s="389" t="s">
        <v>1549</v>
      </c>
      <c r="L17" s="233">
        <v>1</v>
      </c>
      <c r="N17" s="292" t="str">
        <f t="shared" ref="N17:N24" si="1">B17</f>
        <v>1.2. 인구 및 산업현황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SUM((ROUNDDOWN((D56:I56)*단가,0)))</f>
        <v>5828832</v>
      </c>
      <c r="X17" s="154"/>
      <c r="Y17" s="170" t="str">
        <f t="shared" ref="Y17:Y52" si="2">IF(A56&gt;0, "제 " &amp;A56&amp; " 호표","")</f>
        <v>제 2 호표</v>
      </c>
      <c r="Z17" s="150"/>
    </row>
    <row r="18" spans="1:26" ht="18" customHeight="1">
      <c r="A18" s="279"/>
      <c r="B18" s="223" t="s">
        <v>1574</v>
      </c>
      <c r="C18" s="23"/>
      <c r="D18" s="197">
        <v>0.7</v>
      </c>
      <c r="E18" s="198">
        <v>1.5</v>
      </c>
      <c r="F18" s="198">
        <v>3.6</v>
      </c>
      <c r="G18" s="198">
        <v>8.8000000000000007</v>
      </c>
      <c r="H18" s="198">
        <v>10.9</v>
      </c>
      <c r="I18" s="199">
        <v>13.7</v>
      </c>
      <c r="J18" s="389" t="s">
        <v>1549</v>
      </c>
      <c r="L18" s="233">
        <v>1</v>
      </c>
      <c r="N18" s="292" t="str">
        <f t="shared" si="1"/>
        <v>1.3. 토지소유 및 이용현황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SUM((ROUNDDOWN((D57:I57)*단가,0)))</f>
        <v>10596170</v>
      </c>
      <c r="X18" s="154"/>
      <c r="Y18" s="170" t="str">
        <f t="shared" si="2"/>
        <v>제 3 호표</v>
      </c>
      <c r="Z18" s="150"/>
    </row>
    <row r="19" spans="1:26" ht="18" customHeight="1">
      <c r="A19" s="279"/>
      <c r="B19" s="223" t="s">
        <v>1575</v>
      </c>
      <c r="C19" s="23"/>
      <c r="D19" s="197">
        <v>0.6</v>
      </c>
      <c r="E19" s="198">
        <v>1.5</v>
      </c>
      <c r="F19" s="198">
        <v>3.6</v>
      </c>
      <c r="G19" s="198">
        <v>9.5</v>
      </c>
      <c r="H19" s="198">
        <v>11.1</v>
      </c>
      <c r="I19" s="199">
        <v>13.3</v>
      </c>
      <c r="J19" s="389" t="s">
        <v>1549</v>
      </c>
      <c r="L19" s="233">
        <v>1</v>
      </c>
      <c r="N19" s="292" t="str">
        <f t="shared" si="1"/>
        <v>1.4. 건축물 현황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SUM((ROUNDDOWN((D58:I58)*단가,0)))</f>
        <v>10703103</v>
      </c>
      <c r="X19" s="154"/>
      <c r="Y19" s="170" t="str">
        <f t="shared" si="2"/>
        <v>제 4 호표</v>
      </c>
      <c r="Z19" s="150"/>
    </row>
    <row r="20" spans="1:26" ht="18" customHeight="1">
      <c r="A20" s="279"/>
      <c r="B20" s="223" t="s">
        <v>1576</v>
      </c>
      <c r="C20" s="23"/>
      <c r="D20" s="197">
        <v>0.4</v>
      </c>
      <c r="E20" s="198">
        <v>0.8</v>
      </c>
      <c r="F20" s="198">
        <v>1.8</v>
      </c>
      <c r="G20" s="198">
        <v>5.3</v>
      </c>
      <c r="H20" s="198">
        <v>7.2</v>
      </c>
      <c r="I20" s="199">
        <v>10.199999999999999</v>
      </c>
      <c r="J20" s="389" t="s">
        <v>1549</v>
      </c>
      <c r="L20" s="233">
        <v>1</v>
      </c>
      <c r="N20" s="292" t="str">
        <f t="shared" si="1"/>
        <v>1.5. 교통현황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SUM((ROUNDDOWN((D59:I59)*단가,0)))</f>
        <v>6855581</v>
      </c>
      <c r="X20" s="154"/>
      <c r="Y20" s="170" t="str">
        <f t="shared" si="2"/>
        <v>제 5 호표</v>
      </c>
      <c r="Z20" s="150"/>
    </row>
    <row r="21" spans="1:26" ht="18" customHeight="1">
      <c r="A21" s="279"/>
      <c r="B21" s="223" t="s">
        <v>1521</v>
      </c>
      <c r="C21" s="23"/>
      <c r="D21" s="197">
        <v>0.4</v>
      </c>
      <c r="E21" s="198">
        <v>0.8</v>
      </c>
      <c r="F21" s="198">
        <v>1.3</v>
      </c>
      <c r="G21" s="198">
        <v>3.2</v>
      </c>
      <c r="H21" s="198">
        <v>4.3</v>
      </c>
      <c r="I21" s="199">
        <v>7.4</v>
      </c>
      <c r="J21" s="389" t="s">
        <v>1549</v>
      </c>
      <c r="L21" s="233">
        <v>1</v>
      </c>
      <c r="N21" s="292" t="str">
        <f t="shared" si="1"/>
        <v>1.6. 기반시설현황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SUM((ROUNDDOWN((D60:I60)*단가,0)))</f>
        <v>4697274</v>
      </c>
      <c r="X21" s="154"/>
      <c r="Y21" s="170" t="str">
        <f t="shared" si="2"/>
        <v>제 6 호표</v>
      </c>
      <c r="Z21" s="150"/>
    </row>
    <row r="22" spans="1:26" ht="18" customHeight="1">
      <c r="A22" s="279"/>
      <c r="B22" s="223" t="s">
        <v>1522</v>
      </c>
      <c r="C22" s="23"/>
      <c r="D22" s="197">
        <v>0.4</v>
      </c>
      <c r="E22" s="198">
        <v>0.8</v>
      </c>
      <c r="F22" s="198">
        <v>1.3</v>
      </c>
      <c r="G22" s="198">
        <v>3.6</v>
      </c>
      <c r="H22" s="198">
        <v>5.3</v>
      </c>
      <c r="I22" s="199">
        <v>5.6</v>
      </c>
      <c r="J22" s="389" t="s">
        <v>1549</v>
      </c>
      <c r="L22" s="233">
        <v>1</v>
      </c>
      <c r="N22" s="292" t="str">
        <f t="shared" si="1"/>
        <v>1.7. 도시계획현황 및 관련계획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SUM((ROUNDDOWN((D61:I61)*단가,0)))</f>
        <v>4600632</v>
      </c>
      <c r="X22" s="154"/>
      <c r="Y22" s="170" t="str">
        <f t="shared" si="2"/>
        <v>제 7 호표</v>
      </c>
      <c r="Z22" s="150"/>
    </row>
    <row r="23" spans="1:26" ht="18" customHeight="1">
      <c r="A23" s="279"/>
      <c r="B23" s="223" t="s">
        <v>1577</v>
      </c>
      <c r="C23" s="23"/>
      <c r="D23" s="197">
        <v>0.4</v>
      </c>
      <c r="E23" s="198">
        <v>0.8</v>
      </c>
      <c r="F23" s="198">
        <v>1.8</v>
      </c>
      <c r="G23" s="198">
        <v>2.9</v>
      </c>
      <c r="H23" s="198">
        <v>3.9</v>
      </c>
      <c r="I23" s="199">
        <v>6.2</v>
      </c>
      <c r="J23" s="389" t="s">
        <v>1549</v>
      </c>
      <c r="L23" s="233">
        <v>1</v>
      </c>
      <c r="N23" s="292" t="str">
        <f t="shared" si="1"/>
        <v>1.8. 가로시설물 및 조경환경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SUM((ROUNDDOWN((D62:I62)*단가,0)))</f>
        <v>4369888</v>
      </c>
      <c r="X23" s="154"/>
      <c r="Y23" s="170" t="str">
        <f t="shared" si="2"/>
        <v>제 8 호표</v>
      </c>
      <c r="Z23" s="150"/>
    </row>
    <row r="24" spans="1:26" ht="18" customHeight="1">
      <c r="A24" s="279"/>
      <c r="B24" s="223" t="s">
        <v>1578</v>
      </c>
      <c r="C24" s="23"/>
      <c r="D24" s="197">
        <v>0.4</v>
      </c>
      <c r="E24" s="198">
        <v>0.8</v>
      </c>
      <c r="F24" s="198">
        <v>1.8</v>
      </c>
      <c r="G24" s="198">
        <v>2.9</v>
      </c>
      <c r="H24" s="198">
        <v>3.9</v>
      </c>
      <c r="I24" s="199">
        <v>0</v>
      </c>
      <c r="J24" s="389" t="s">
        <v>1549</v>
      </c>
      <c r="L24" s="233">
        <v>1</v>
      </c>
      <c r="N24" s="292" t="str">
        <f t="shared" si="1"/>
        <v>1.9. 문제점 및 잠재력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SUM((ROUNDDOWN((D63:I63)*단가,0)))</f>
        <v>2819349</v>
      </c>
      <c r="X24" s="154"/>
      <c r="Y24" s="170" t="str">
        <f t="shared" si="2"/>
        <v>제 9 호표</v>
      </c>
      <c r="Z24" s="150"/>
    </row>
    <row r="25" spans="1:26" ht="18" customHeight="1">
      <c r="A25" s="279"/>
      <c r="B25" s="222" t="s">
        <v>435</v>
      </c>
      <c r="C25" s="47"/>
      <c r="D25" s="48">
        <f t="shared" ref="D25:I25" si="3">SUBTOTAL(9,D26:D30)</f>
        <v>2.4</v>
      </c>
      <c r="E25" s="49">
        <f t="shared" si="3"/>
        <v>4.2</v>
      </c>
      <c r="F25" s="49">
        <f t="shared" si="3"/>
        <v>15.2</v>
      </c>
      <c r="G25" s="49">
        <f t="shared" si="3"/>
        <v>13.700000000000001</v>
      </c>
      <c r="H25" s="49">
        <f t="shared" si="3"/>
        <v>31.3</v>
      </c>
      <c r="I25" s="50">
        <f t="shared" si="3"/>
        <v>43.4</v>
      </c>
      <c r="J25" s="389"/>
      <c r="L25" s="232"/>
      <c r="N25" s="354" t="str">
        <f t="shared" ref="N25:N31" si="4">B25</f>
        <v>2. 기본구상</v>
      </c>
      <c r="O25" s="169"/>
      <c r="P25" s="169"/>
      <c r="Q25" s="169"/>
      <c r="R25" s="169"/>
      <c r="S25" s="169"/>
      <c r="T25" s="169"/>
      <c r="U25" s="226"/>
      <c r="V25" s="248"/>
      <c r="W25" s="193">
        <f ca="1">SUBTOTAL(9,W26:W30)</f>
        <v>29681865</v>
      </c>
      <c r="X25" s="194"/>
      <c r="Y25" s="170" t="str">
        <f t="shared" si="2"/>
        <v/>
      </c>
      <c r="Z25" s="170"/>
    </row>
    <row r="26" spans="1:26" ht="18" customHeight="1">
      <c r="A26" s="279"/>
      <c r="B26" s="223" t="s">
        <v>1579</v>
      </c>
      <c r="C26" s="23"/>
      <c r="D26" s="197">
        <v>0.3</v>
      </c>
      <c r="E26" s="198">
        <v>0.5</v>
      </c>
      <c r="F26" s="198">
        <v>2.2000000000000002</v>
      </c>
      <c r="G26" s="198">
        <v>2.5</v>
      </c>
      <c r="H26" s="198">
        <v>5.6</v>
      </c>
      <c r="I26" s="199">
        <v>7.4</v>
      </c>
      <c r="J26" s="389" t="s">
        <v>1549</v>
      </c>
      <c r="L26" s="233">
        <v>1</v>
      </c>
      <c r="N26" s="292" t="str">
        <f t="shared" si="4"/>
        <v>2.1. 과제정립 및 목표설정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SUM((ROUNDDOWN((D65:I65)*단가,0)))</f>
        <v>4917843</v>
      </c>
      <c r="X26" s="154"/>
      <c r="Y26" s="170" t="str">
        <f t="shared" si="2"/>
        <v>제 10 호표</v>
      </c>
      <c r="Z26" s="150"/>
    </row>
    <row r="27" spans="1:26" ht="18" customHeight="1">
      <c r="A27" s="279"/>
      <c r="B27" s="223" t="s">
        <v>1526</v>
      </c>
      <c r="C27" s="23"/>
      <c r="D27" s="197">
        <v>0.6</v>
      </c>
      <c r="E27" s="198">
        <v>1</v>
      </c>
      <c r="F27" s="198">
        <v>3.4</v>
      </c>
      <c r="G27" s="198">
        <v>2.9</v>
      </c>
      <c r="H27" s="198">
        <v>6.7</v>
      </c>
      <c r="I27" s="199">
        <v>9</v>
      </c>
      <c r="J27" s="389" t="s">
        <v>1549</v>
      </c>
      <c r="L27" s="233">
        <v>1</v>
      </c>
      <c r="N27" s="292" t="str">
        <f t="shared" si="4"/>
        <v>2.2. 기본방향 및 지표설정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SUM((ROUNDDOWN((D66:I66)*단가,0)))</f>
        <v>6394946</v>
      </c>
      <c r="X27" s="154"/>
      <c r="Y27" s="170" t="str">
        <f t="shared" si="2"/>
        <v>제 11 호표</v>
      </c>
      <c r="Z27" s="150"/>
    </row>
    <row r="28" spans="1:26" ht="18" customHeight="1">
      <c r="A28" s="279"/>
      <c r="B28" s="223" t="s">
        <v>1580</v>
      </c>
      <c r="C28" s="23"/>
      <c r="D28" s="197">
        <v>0.6</v>
      </c>
      <c r="E28" s="198">
        <v>1.1000000000000001</v>
      </c>
      <c r="F28" s="198">
        <v>3.4</v>
      </c>
      <c r="G28" s="198">
        <v>2.9</v>
      </c>
      <c r="H28" s="198">
        <v>6.7</v>
      </c>
      <c r="I28" s="199">
        <v>9</v>
      </c>
      <c r="J28" s="389" t="s">
        <v>1549</v>
      </c>
      <c r="L28" s="233">
        <v>1</v>
      </c>
      <c r="N28" s="292" t="str">
        <f t="shared" si="4"/>
        <v>2.3. 토지이용체계구상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SUM((ROUNDDOWN((D67:I67)*단가,0)))</f>
        <v>6432281</v>
      </c>
      <c r="X28" s="154"/>
      <c r="Y28" s="170" t="str">
        <f t="shared" si="2"/>
        <v>제 12 호표</v>
      </c>
      <c r="Z28" s="150"/>
    </row>
    <row r="29" spans="1:26" ht="18" customHeight="1">
      <c r="A29" s="279"/>
      <c r="B29" s="223" t="s">
        <v>1581</v>
      </c>
      <c r="C29" s="23"/>
      <c r="D29" s="197">
        <v>0.3</v>
      </c>
      <c r="E29" s="198">
        <v>0.6</v>
      </c>
      <c r="F29" s="198">
        <v>2.9</v>
      </c>
      <c r="G29" s="198">
        <v>2.5</v>
      </c>
      <c r="H29" s="198">
        <v>5.6</v>
      </c>
      <c r="I29" s="199">
        <v>9</v>
      </c>
      <c r="J29" s="389" t="s">
        <v>1549</v>
      </c>
      <c r="L29" s="233">
        <v>1</v>
      </c>
      <c r="N29" s="292" t="str">
        <f t="shared" si="4"/>
        <v>2.4. 교통동선체계구상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SUM((ROUNDDOWN((D68:I68)*단가,0)))</f>
        <v>5572937</v>
      </c>
      <c r="X29" s="154"/>
      <c r="Y29" s="170" t="str">
        <f t="shared" si="2"/>
        <v>제 13 호표</v>
      </c>
      <c r="Z29" s="150"/>
    </row>
    <row r="30" spans="1:26" ht="18" customHeight="1">
      <c r="A30" s="279"/>
      <c r="B30" s="223" t="s">
        <v>1582</v>
      </c>
      <c r="C30" s="23"/>
      <c r="D30" s="197">
        <v>0.6</v>
      </c>
      <c r="E30" s="198">
        <v>1</v>
      </c>
      <c r="F30" s="198">
        <v>3.3</v>
      </c>
      <c r="G30" s="198">
        <v>2.9</v>
      </c>
      <c r="H30" s="198">
        <v>6.7</v>
      </c>
      <c r="I30" s="199">
        <v>9</v>
      </c>
      <c r="J30" s="389" t="s">
        <v>1549</v>
      </c>
      <c r="L30" s="233">
        <v>1</v>
      </c>
      <c r="N30" s="292" t="str">
        <f t="shared" si="4"/>
        <v>2.5. 공원·녹지체계구상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SUM((ROUNDDOWN((D69:I69)*단가,0)))</f>
        <v>6363858</v>
      </c>
      <c r="X30" s="154"/>
      <c r="Y30" s="170" t="str">
        <f t="shared" si="2"/>
        <v>제 14 호표</v>
      </c>
      <c r="Z30" s="150"/>
    </row>
    <row r="31" spans="1:26" ht="18" customHeight="1">
      <c r="A31" s="279"/>
      <c r="B31" s="222" t="s">
        <v>436</v>
      </c>
      <c r="C31" s="47"/>
      <c r="D31" s="48">
        <f t="shared" ref="D31:I31" si="5">SUBTOTAL(9,D32:D41)</f>
        <v>20.7</v>
      </c>
      <c r="E31" s="49">
        <f t="shared" si="5"/>
        <v>30.300000000000004</v>
      </c>
      <c r="F31" s="49">
        <f t="shared" si="5"/>
        <v>75.600000000000009</v>
      </c>
      <c r="G31" s="49">
        <f t="shared" si="5"/>
        <v>77.399999999999991</v>
      </c>
      <c r="H31" s="49">
        <f t="shared" si="5"/>
        <v>198.8</v>
      </c>
      <c r="I31" s="50">
        <f t="shared" si="5"/>
        <v>255.2</v>
      </c>
      <c r="J31" s="389"/>
      <c r="L31" s="232"/>
      <c r="N31" s="354" t="str">
        <f t="shared" si="4"/>
        <v>3. 부문별계획</v>
      </c>
      <c r="O31" s="169"/>
      <c r="P31" s="169"/>
      <c r="Q31" s="169"/>
      <c r="R31" s="169"/>
      <c r="S31" s="169"/>
      <c r="T31" s="169"/>
      <c r="U31" s="226"/>
      <c r="V31" s="248"/>
      <c r="W31" s="193">
        <f ca="1">SUBTOTAL(9,W32:W41)</f>
        <v>177961930</v>
      </c>
      <c r="X31" s="194"/>
      <c r="Y31" s="170" t="str">
        <f t="shared" si="2"/>
        <v/>
      </c>
      <c r="Z31" s="170"/>
    </row>
    <row r="32" spans="1:26" ht="18" customHeight="1">
      <c r="A32" s="279"/>
      <c r="B32" s="223" t="s">
        <v>1583</v>
      </c>
      <c r="C32" s="23"/>
      <c r="D32" s="197">
        <v>1.9</v>
      </c>
      <c r="E32" s="198">
        <v>2.9</v>
      </c>
      <c r="F32" s="198">
        <v>7.4</v>
      </c>
      <c r="G32" s="198">
        <v>3.9</v>
      </c>
      <c r="H32" s="198">
        <v>23.4</v>
      </c>
      <c r="I32" s="199">
        <v>26.5</v>
      </c>
      <c r="J32" s="389" t="s">
        <v>1549</v>
      </c>
      <c r="L32" s="233">
        <v>1</v>
      </c>
      <c r="N32" s="292" t="str">
        <f t="shared" ref="N32:N41" si="6">B32</f>
        <v>3.1. 용도지역·지구계획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SUM((ROUNDDOWN((D71:I71)*단가,0)))</f>
        <v>17559059</v>
      </c>
      <c r="X32" s="154"/>
      <c r="Y32" s="170" t="str">
        <f t="shared" si="2"/>
        <v>제 15 호표</v>
      </c>
      <c r="Z32" s="150"/>
    </row>
    <row r="33" spans="1:26" ht="18" customHeight="1">
      <c r="A33" s="279"/>
      <c r="B33" s="223" t="s">
        <v>1584</v>
      </c>
      <c r="C33" s="23"/>
      <c r="D33" s="197">
        <v>2.8</v>
      </c>
      <c r="E33" s="198">
        <v>4.2</v>
      </c>
      <c r="F33" s="198">
        <v>9.8000000000000007</v>
      </c>
      <c r="G33" s="198">
        <v>8.5</v>
      </c>
      <c r="H33" s="198">
        <v>22.6</v>
      </c>
      <c r="I33" s="199">
        <v>38.6</v>
      </c>
      <c r="J33" s="389" t="s">
        <v>1549</v>
      </c>
      <c r="L33" s="233">
        <v>1</v>
      </c>
      <c r="N33" s="292" t="str">
        <f t="shared" si="6"/>
        <v>3.2. 교통처리계획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SUM((ROUNDDOWN((D72:I72)*단가,0)))</f>
        <v>23406356</v>
      </c>
      <c r="X33" s="154"/>
      <c r="Y33" s="170" t="str">
        <f t="shared" si="2"/>
        <v>제 16 호표</v>
      </c>
      <c r="Z33" s="150"/>
    </row>
    <row r="34" spans="1:26" ht="18" customHeight="1">
      <c r="A34" s="279"/>
      <c r="B34" s="223" t="s">
        <v>1585</v>
      </c>
      <c r="C34" s="23"/>
      <c r="D34" s="197">
        <v>0.9</v>
      </c>
      <c r="E34" s="198">
        <v>1.4</v>
      </c>
      <c r="F34" s="198">
        <v>4.4000000000000004</v>
      </c>
      <c r="G34" s="198">
        <v>4</v>
      </c>
      <c r="H34" s="198">
        <v>7.4</v>
      </c>
      <c r="I34" s="199">
        <v>12.9</v>
      </c>
      <c r="J34" s="389" t="s">
        <v>1549</v>
      </c>
      <c r="L34" s="233">
        <v>1</v>
      </c>
      <c r="N34" s="292" t="str">
        <f t="shared" si="6"/>
        <v>3.3. 공원녹지계획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SUM((ROUNDDOWN((D73:I73)*단가,0)))</f>
        <v>8460148</v>
      </c>
      <c r="X34" s="154"/>
      <c r="Y34" s="170" t="str">
        <f t="shared" si="2"/>
        <v>제 17 호표</v>
      </c>
      <c r="Z34" s="150"/>
    </row>
    <row r="35" spans="1:26" ht="18" customHeight="1">
      <c r="A35" s="279"/>
      <c r="B35" s="223" t="s">
        <v>1586</v>
      </c>
      <c r="C35" s="23"/>
      <c r="D35" s="197">
        <v>3.4</v>
      </c>
      <c r="E35" s="198">
        <v>4.8</v>
      </c>
      <c r="F35" s="198">
        <v>14.8</v>
      </c>
      <c r="G35" s="198">
        <v>17.399999999999999</v>
      </c>
      <c r="H35" s="198">
        <v>32.5</v>
      </c>
      <c r="I35" s="199">
        <v>32.6</v>
      </c>
      <c r="J35" s="389" t="s">
        <v>1549</v>
      </c>
      <c r="L35" s="233">
        <v>1</v>
      </c>
      <c r="N35" s="292" t="str">
        <f t="shared" si="6"/>
        <v>3.4. 기반시설계획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SUM((ROUNDDOWN((D74:I74)*단가,0)))</f>
        <v>28922368</v>
      </c>
      <c r="X35" s="154"/>
      <c r="Y35" s="170" t="str">
        <f t="shared" si="2"/>
        <v>제 18 호표</v>
      </c>
      <c r="Z35" s="150"/>
    </row>
    <row r="36" spans="1:26" ht="18" customHeight="1">
      <c r="A36" s="279"/>
      <c r="B36" s="223" t="s">
        <v>1587</v>
      </c>
      <c r="C36" s="23"/>
      <c r="D36" s="197">
        <v>1.4</v>
      </c>
      <c r="E36" s="198">
        <v>2.1</v>
      </c>
      <c r="F36" s="198">
        <v>5.3</v>
      </c>
      <c r="G36" s="198">
        <v>5.2</v>
      </c>
      <c r="H36" s="198">
        <v>18.2</v>
      </c>
      <c r="I36" s="199">
        <v>20.9</v>
      </c>
      <c r="J36" s="389" t="s">
        <v>1549</v>
      </c>
      <c r="L36" s="233">
        <v>1</v>
      </c>
      <c r="N36" s="292" t="str">
        <f t="shared" si="6"/>
        <v>3.5. 가구 및 획지계획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SUM((ROUNDDOWN((D75:I75)*단가,0)))</f>
        <v>14132717</v>
      </c>
      <c r="X36" s="154"/>
      <c r="Y36" s="170" t="str">
        <f t="shared" si="2"/>
        <v>제 19 호표</v>
      </c>
      <c r="Z36" s="150"/>
    </row>
    <row r="37" spans="1:26" ht="18" customHeight="1">
      <c r="A37" s="279"/>
      <c r="B37" s="223" t="s">
        <v>1588</v>
      </c>
      <c r="C37" s="23"/>
      <c r="D37" s="197">
        <v>7</v>
      </c>
      <c r="E37" s="198">
        <v>9.6999999999999993</v>
      </c>
      <c r="F37" s="198">
        <v>21.1</v>
      </c>
      <c r="G37" s="198">
        <v>27.1</v>
      </c>
      <c r="H37" s="198">
        <v>55.7</v>
      </c>
      <c r="I37" s="199">
        <v>62.6</v>
      </c>
      <c r="J37" s="389" t="s">
        <v>1549</v>
      </c>
      <c r="L37" s="233">
        <v>1</v>
      </c>
      <c r="N37" s="292" t="str">
        <f t="shared" si="6"/>
        <v>3.6. 건축물에 관한 계획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SUM((ROUNDDOWN((D76:I76)*단가,0)))</f>
        <v>50220446</v>
      </c>
      <c r="X37" s="154"/>
      <c r="Y37" s="170" t="str">
        <f t="shared" si="2"/>
        <v>제 20 호표</v>
      </c>
      <c r="Z37" s="150"/>
    </row>
    <row r="38" spans="1:26" ht="18" customHeight="1">
      <c r="A38" s="279"/>
      <c r="B38" s="223" t="s">
        <v>1589</v>
      </c>
      <c r="C38" s="23"/>
      <c r="D38" s="197">
        <v>1.9</v>
      </c>
      <c r="E38" s="198">
        <v>2.8</v>
      </c>
      <c r="F38" s="198">
        <v>5.3</v>
      </c>
      <c r="G38" s="198">
        <v>4.5</v>
      </c>
      <c r="H38" s="198">
        <v>15.1</v>
      </c>
      <c r="I38" s="199">
        <v>25.7</v>
      </c>
      <c r="J38" s="389" t="s">
        <v>1549</v>
      </c>
      <c r="L38" s="233">
        <v>1</v>
      </c>
      <c r="N38" s="292" t="str">
        <f t="shared" si="6"/>
        <v>3.7. 경관계획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SUM((ROUNDDOWN((D77:I77)*단가,0)))</f>
        <v>14891571</v>
      </c>
      <c r="X38" s="154"/>
      <c r="Y38" s="170" t="str">
        <f t="shared" si="2"/>
        <v>제 21 호표</v>
      </c>
      <c r="Z38" s="150"/>
    </row>
    <row r="39" spans="1:26" ht="18" customHeight="1">
      <c r="A39" s="279"/>
      <c r="B39" s="223" t="s">
        <v>1590</v>
      </c>
      <c r="C39" s="23"/>
      <c r="D39" s="197">
        <v>0.8</v>
      </c>
      <c r="E39" s="198">
        <v>1.3</v>
      </c>
      <c r="F39" s="198">
        <v>3</v>
      </c>
      <c r="G39" s="198">
        <v>2.5</v>
      </c>
      <c r="H39" s="198">
        <v>8.8000000000000007</v>
      </c>
      <c r="I39" s="199">
        <v>10.1</v>
      </c>
      <c r="J39" s="389" t="s">
        <v>1549</v>
      </c>
      <c r="L39" s="233">
        <v>1</v>
      </c>
      <c r="N39" s="292" t="str">
        <f t="shared" si="6"/>
        <v>3.8. 특별계획구역 계획</v>
      </c>
      <c r="O39" s="37"/>
      <c r="P39" s="37"/>
      <c r="Q39" s="37"/>
      <c r="R39" s="37"/>
      <c r="S39" s="37"/>
      <c r="T39" s="37"/>
      <c r="U39" s="227"/>
      <c r="V39" s="231"/>
      <c r="W39" s="153">
        <f t="array" aca="1" ref="W39" ca="1">SUM((ROUNDDOWN((D78:I78)*단가,0)))</f>
        <v>7127545</v>
      </c>
      <c r="X39" s="154"/>
      <c r="Y39" s="170" t="str">
        <f t="shared" si="2"/>
        <v>제 22 호표</v>
      </c>
      <c r="Z39" s="150"/>
    </row>
    <row r="40" spans="1:26" ht="18" customHeight="1">
      <c r="A40" s="279"/>
      <c r="B40" s="223" t="s">
        <v>1591</v>
      </c>
      <c r="C40" s="23"/>
      <c r="D40" s="197">
        <v>0.6</v>
      </c>
      <c r="E40" s="198">
        <v>1.1000000000000001</v>
      </c>
      <c r="F40" s="198">
        <v>4.5</v>
      </c>
      <c r="G40" s="198">
        <v>4.3</v>
      </c>
      <c r="H40" s="198">
        <v>15.1</v>
      </c>
      <c r="I40" s="199">
        <v>25.3</v>
      </c>
      <c r="J40" s="389" t="s">
        <v>1549</v>
      </c>
      <c r="L40" s="233">
        <v>1</v>
      </c>
      <c r="N40" s="292" t="str">
        <f t="shared" si="6"/>
        <v>3.9. 주요지구스케치모델</v>
      </c>
      <c r="O40" s="37"/>
      <c r="P40" s="37"/>
      <c r="Q40" s="37"/>
      <c r="R40" s="37"/>
      <c r="S40" s="37"/>
      <c r="T40" s="37"/>
      <c r="U40" s="227"/>
      <c r="V40" s="231"/>
      <c r="W40" s="153">
        <f t="array" aca="1" ref="W40" ca="1">SUM((ROUNDDOWN((D79:I79)*단가,0)))</f>
        <v>13241720</v>
      </c>
      <c r="X40" s="154"/>
      <c r="Y40" s="170" t="str">
        <f t="shared" si="2"/>
        <v>제 23 호표</v>
      </c>
      <c r="Z40" s="150"/>
    </row>
    <row r="41" spans="1:26" ht="18" customHeight="1">
      <c r="A41" s="279"/>
      <c r="B41" s="223" t="s">
        <v>1592</v>
      </c>
      <c r="C41" s="23"/>
      <c r="D41" s="197">
        <v>0</v>
      </c>
      <c r="E41" s="198">
        <v>0</v>
      </c>
      <c r="F41" s="198">
        <v>0</v>
      </c>
      <c r="G41" s="198">
        <v>0</v>
      </c>
      <c r="H41" s="198">
        <v>0</v>
      </c>
      <c r="I41" s="199">
        <v>0</v>
      </c>
      <c r="J41" s="389" t="s">
        <v>1597</v>
      </c>
      <c r="L41" s="233">
        <v>1</v>
      </c>
      <c r="N41" s="292" t="str">
        <f t="shared" si="6"/>
        <v>3.10. 환경관리계획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SUM((ROUNDDOWN((D80:I80)*단가,0)))</f>
        <v>0</v>
      </c>
      <c r="X41" s="154"/>
      <c r="Y41" s="170" t="str">
        <f t="shared" si="2"/>
        <v>제 24 호표</v>
      </c>
      <c r="Z41" s="150"/>
    </row>
    <row r="42" spans="1:26" ht="18" customHeight="1">
      <c r="A42" s="279"/>
      <c r="B42" s="222" t="s">
        <v>441</v>
      </c>
      <c r="C42" s="47"/>
      <c r="D42" s="48">
        <f t="shared" ref="D42:I42" si="7">SUBTOTAL(9,D43:D44)</f>
        <v>4</v>
      </c>
      <c r="E42" s="49">
        <f t="shared" si="7"/>
        <v>5.6</v>
      </c>
      <c r="F42" s="49">
        <f t="shared" si="7"/>
        <v>12.4</v>
      </c>
      <c r="G42" s="49">
        <f t="shared" si="7"/>
        <v>8.9</v>
      </c>
      <c r="H42" s="49">
        <f t="shared" si="7"/>
        <v>29.9</v>
      </c>
      <c r="I42" s="50">
        <f t="shared" si="7"/>
        <v>50.8</v>
      </c>
      <c r="J42" s="389"/>
      <c r="L42" s="233"/>
      <c r="N42" s="354" t="str">
        <f t="shared" ref="N42:N52" si="8">B42</f>
        <v>4. 시행계획</v>
      </c>
      <c r="O42" s="169"/>
      <c r="P42" s="169"/>
      <c r="Q42" s="169"/>
      <c r="R42" s="169"/>
      <c r="S42" s="169"/>
      <c r="T42" s="169"/>
      <c r="U42" s="226"/>
      <c r="V42" s="248"/>
      <c r="W42" s="193">
        <f ca="1">SUBTOTAL(9,W43:W44)</f>
        <v>30185975</v>
      </c>
      <c r="X42" s="257"/>
      <c r="Y42" s="170" t="str">
        <f t="shared" si="2"/>
        <v/>
      </c>
      <c r="Z42" s="169"/>
    </row>
    <row r="43" spans="1:26" ht="18" customHeight="1">
      <c r="A43" s="279"/>
      <c r="B43" s="223" t="s">
        <v>1593</v>
      </c>
      <c r="C43" s="23"/>
      <c r="D43" s="197">
        <v>2</v>
      </c>
      <c r="E43" s="198">
        <v>2.8</v>
      </c>
      <c r="F43" s="198">
        <v>6.2</v>
      </c>
      <c r="G43" s="198">
        <v>4.4000000000000004</v>
      </c>
      <c r="H43" s="198">
        <v>15</v>
      </c>
      <c r="I43" s="199">
        <v>25.5</v>
      </c>
      <c r="J43" s="389" t="s">
        <v>1549</v>
      </c>
      <c r="L43" s="233">
        <v>1</v>
      </c>
      <c r="N43" s="292" t="str">
        <f t="shared" si="8"/>
        <v>4.1. 도시계획결정</v>
      </c>
      <c r="O43" s="37"/>
      <c r="P43" s="37"/>
      <c r="Q43" s="37"/>
      <c r="R43" s="37"/>
      <c r="S43" s="37"/>
      <c r="T43" s="37"/>
      <c r="U43" s="226"/>
      <c r="V43" s="248"/>
      <c r="W43" s="153">
        <f t="array" aca="1" ref="W43" ca="1">SUM((ROUNDDOWN((D82:I82)*단가,0)))</f>
        <v>15115012</v>
      </c>
      <c r="X43" s="113"/>
      <c r="Y43" s="170" t="str">
        <f t="shared" si="2"/>
        <v>제 25 호표</v>
      </c>
      <c r="Z43" s="37"/>
    </row>
    <row r="44" spans="1:26" ht="18" customHeight="1">
      <c r="A44" s="279"/>
      <c r="B44" s="223" t="s">
        <v>1594</v>
      </c>
      <c r="C44" s="43"/>
      <c r="D44" s="206">
        <v>2</v>
      </c>
      <c r="E44" s="207">
        <v>2.8</v>
      </c>
      <c r="F44" s="207">
        <v>6.2</v>
      </c>
      <c r="G44" s="207">
        <v>4.5</v>
      </c>
      <c r="H44" s="207">
        <v>14.9</v>
      </c>
      <c r="I44" s="208">
        <v>25.3</v>
      </c>
      <c r="J44" s="390" t="s">
        <v>1549</v>
      </c>
      <c r="L44" s="233">
        <v>1</v>
      </c>
      <c r="N44" s="292" t="str">
        <f t="shared" si="8"/>
        <v>4.2. 집행계획</v>
      </c>
      <c r="O44" s="37"/>
      <c r="P44" s="37"/>
      <c r="Q44" s="37"/>
      <c r="R44" s="37"/>
      <c r="S44" s="37"/>
      <c r="T44" s="37"/>
      <c r="U44" s="353"/>
      <c r="V44" s="248"/>
      <c r="W44" s="153">
        <f t="array" aca="1" ref="W44" ca="1">SUM((ROUNDDOWN((D83:I83)*단가,0)))</f>
        <v>15070963</v>
      </c>
      <c r="X44" s="113"/>
      <c r="Y44" s="170" t="str">
        <f t="shared" si="2"/>
        <v>제 26 호표</v>
      </c>
      <c r="Z44" s="37"/>
    </row>
    <row r="45" spans="1:26" ht="18" customHeight="1">
      <c r="A45" s="279"/>
      <c r="B45" s="222" t="s">
        <v>424</v>
      </c>
      <c r="C45" s="47"/>
      <c r="D45" s="48">
        <f t="shared" ref="D45:I45" si="9">SUBTOTAL(9,D46:D47)</f>
        <v>1.9</v>
      </c>
      <c r="E45" s="49">
        <f t="shared" si="9"/>
        <v>4.5999999999999996</v>
      </c>
      <c r="F45" s="49">
        <f t="shared" si="9"/>
        <v>10.4</v>
      </c>
      <c r="G45" s="49">
        <f t="shared" si="9"/>
        <v>19.3</v>
      </c>
      <c r="H45" s="49">
        <f t="shared" si="9"/>
        <v>27</v>
      </c>
      <c r="I45" s="50">
        <f t="shared" si="9"/>
        <v>27</v>
      </c>
      <c r="J45" s="389"/>
      <c r="L45" s="233"/>
      <c r="N45" s="354" t="str">
        <f t="shared" si="8"/>
        <v>5. 성과품작성</v>
      </c>
      <c r="O45" s="169"/>
      <c r="P45" s="169"/>
      <c r="Q45" s="169"/>
      <c r="R45" s="169"/>
      <c r="S45" s="169"/>
      <c r="T45" s="169"/>
      <c r="U45" s="226"/>
      <c r="V45" s="248"/>
      <c r="W45" s="193">
        <f ca="1">SUBTOTAL(9,W46:W47)</f>
        <v>24644229</v>
      </c>
      <c r="X45" s="257"/>
      <c r="Y45" s="170" t="str">
        <f t="shared" si="2"/>
        <v/>
      </c>
      <c r="Z45" s="169"/>
    </row>
    <row r="46" spans="1:26" ht="18" customHeight="1">
      <c r="A46" s="279"/>
      <c r="B46" s="223" t="s">
        <v>1595</v>
      </c>
      <c r="C46" s="23"/>
      <c r="D46" s="197">
        <v>1.5</v>
      </c>
      <c r="E46" s="198">
        <v>3.1</v>
      </c>
      <c r="F46" s="198">
        <v>6.9</v>
      </c>
      <c r="G46" s="198">
        <v>11.6</v>
      </c>
      <c r="H46" s="198">
        <v>11.6</v>
      </c>
      <c r="I46" s="199">
        <v>7.7</v>
      </c>
      <c r="J46" s="389" t="s">
        <v>1549</v>
      </c>
      <c r="L46" s="233">
        <v>1</v>
      </c>
      <c r="N46" s="292" t="str">
        <f t="shared" si="8"/>
        <v>5.1. 보고서작성 및 편집</v>
      </c>
      <c r="O46" s="37"/>
      <c r="P46" s="37"/>
      <c r="Q46" s="37"/>
      <c r="R46" s="37"/>
      <c r="S46" s="37"/>
      <c r="T46" s="37"/>
      <c r="U46" s="226"/>
      <c r="V46" s="248"/>
      <c r="W46" s="153">
        <f t="array" aca="1" ref="W46" ca="1">SUM((ROUNDDOWN((D85:I85)*단가,0)))</f>
        <v>12083911</v>
      </c>
      <c r="X46" s="113"/>
      <c r="Y46" s="170" t="str">
        <f t="shared" si="2"/>
        <v>제 27 호표</v>
      </c>
      <c r="Z46" s="37"/>
    </row>
    <row r="47" spans="1:26" ht="18" customHeight="1">
      <c r="A47" s="279"/>
      <c r="B47" s="223" t="s">
        <v>1596</v>
      </c>
      <c r="C47" s="43"/>
      <c r="D47" s="206">
        <v>0.4</v>
      </c>
      <c r="E47" s="207">
        <v>1.5</v>
      </c>
      <c r="F47" s="207">
        <v>3.5</v>
      </c>
      <c r="G47" s="207">
        <v>7.7</v>
      </c>
      <c r="H47" s="207">
        <v>15.4</v>
      </c>
      <c r="I47" s="208">
        <v>19.3</v>
      </c>
      <c r="J47" s="390" t="s">
        <v>1549</v>
      </c>
      <c r="L47" s="233">
        <v>1</v>
      </c>
      <c r="N47" s="292" t="str">
        <f t="shared" si="8"/>
        <v>5.2. 관련도서작성</v>
      </c>
      <c r="O47" s="37"/>
      <c r="P47" s="37"/>
      <c r="Q47" s="37"/>
      <c r="R47" s="37"/>
      <c r="S47" s="37"/>
      <c r="T47" s="37"/>
      <c r="U47" s="353"/>
      <c r="V47" s="248"/>
      <c r="W47" s="153">
        <f t="array" aca="1" ref="W47" ca="1">SUM((ROUNDDOWN((D86:I86)*단가,0)))</f>
        <v>12560318</v>
      </c>
      <c r="X47" s="113"/>
      <c r="Y47" s="170" t="str">
        <f t="shared" si="2"/>
        <v>제 28 호표</v>
      </c>
      <c r="Z47" s="37"/>
    </row>
    <row r="48" spans="1:26" ht="18" customHeight="1">
      <c r="A48" s="279"/>
      <c r="B48" s="222" t="s">
        <v>426</v>
      </c>
      <c r="C48" s="47"/>
      <c r="D48" s="48">
        <f t="shared" ref="D48:I48" si="10">SUBTOTAL(9,D49:D52)</f>
        <v>8</v>
      </c>
      <c r="E48" s="49">
        <f t="shared" si="10"/>
        <v>8</v>
      </c>
      <c r="F48" s="49">
        <f t="shared" si="10"/>
        <v>8</v>
      </c>
      <c r="G48" s="49">
        <f t="shared" si="10"/>
        <v>16</v>
      </c>
      <c r="H48" s="49">
        <f t="shared" si="10"/>
        <v>16</v>
      </c>
      <c r="I48" s="50">
        <f t="shared" si="10"/>
        <v>16</v>
      </c>
      <c r="J48" s="389"/>
      <c r="L48" s="232"/>
      <c r="N48" s="354" t="str">
        <f t="shared" si="8"/>
        <v>6. 기술협의</v>
      </c>
      <c r="O48" s="169"/>
      <c r="P48" s="169"/>
      <c r="Q48" s="169"/>
      <c r="R48" s="169"/>
      <c r="S48" s="169"/>
      <c r="T48" s="169"/>
      <c r="U48" s="226"/>
      <c r="V48" s="248"/>
      <c r="W48" s="193">
        <f ca="1">SUBTOTAL(9,W49:W52)</f>
        <v>21702576</v>
      </c>
      <c r="X48" s="194"/>
      <c r="Y48" s="170" t="str">
        <f t="shared" si="2"/>
        <v/>
      </c>
      <c r="Z48" s="170"/>
    </row>
    <row r="49" spans="1:26" ht="18" customHeight="1">
      <c r="A49" s="279"/>
      <c r="B49" s="223" t="s">
        <v>1598</v>
      </c>
      <c r="C49" s="23"/>
      <c r="D49" s="197">
        <v>2</v>
      </c>
      <c r="E49" s="198">
        <v>2</v>
      </c>
      <c r="F49" s="198">
        <v>2</v>
      </c>
      <c r="G49" s="198">
        <v>4</v>
      </c>
      <c r="H49" s="198">
        <v>4</v>
      </c>
      <c r="I49" s="199">
        <v>4</v>
      </c>
      <c r="J49" s="389" t="s">
        <v>1603</v>
      </c>
      <c r="L49" s="233">
        <v>1</v>
      </c>
      <c r="N49" s="292" t="str">
        <f t="shared" si="8"/>
        <v>6.1. 공청회/주민설명회</v>
      </c>
      <c r="O49" s="37"/>
      <c r="P49" s="37"/>
      <c r="Q49" s="37"/>
      <c r="R49" s="37"/>
      <c r="S49" s="37"/>
      <c r="T49" s="37"/>
      <c r="U49" s="227"/>
      <c r="V49" s="231"/>
      <c r="W49" s="153">
        <f t="array" aca="1" ref="W49" ca="1">SUM((ROUNDDOWN((D88:I88)*단가,0)))</f>
        <v>5425644</v>
      </c>
      <c r="X49" s="154"/>
      <c r="Y49" s="170" t="str">
        <f t="shared" si="2"/>
        <v>제 29 호표</v>
      </c>
      <c r="Z49" s="150"/>
    </row>
    <row r="50" spans="1:26" ht="18" customHeight="1">
      <c r="A50" s="279"/>
      <c r="B50" s="223" t="s">
        <v>1599</v>
      </c>
      <c r="C50" s="23"/>
      <c r="D50" s="197">
        <v>2</v>
      </c>
      <c r="E50" s="198">
        <v>2</v>
      </c>
      <c r="F50" s="198">
        <v>2</v>
      </c>
      <c r="G50" s="198">
        <v>4</v>
      </c>
      <c r="H50" s="198">
        <v>4</v>
      </c>
      <c r="I50" s="199">
        <v>4</v>
      </c>
      <c r="J50" s="389" t="s">
        <v>1094</v>
      </c>
      <c r="L50" s="233">
        <v>1</v>
      </c>
      <c r="N50" s="292" t="str">
        <f t="shared" si="8"/>
        <v>6.2. 주민간담회/시민계획단</v>
      </c>
      <c r="O50" s="37"/>
      <c r="P50" s="37"/>
      <c r="Q50" s="37"/>
      <c r="R50" s="37"/>
      <c r="S50" s="37"/>
      <c r="T50" s="37"/>
      <c r="U50" s="227"/>
      <c r="V50" s="231"/>
      <c r="W50" s="153">
        <f t="array" aca="1" ref="W50" ca="1">SUM((ROUNDDOWN((D89:I89)*단가,0)))</f>
        <v>5425644</v>
      </c>
      <c r="X50" s="154"/>
      <c r="Y50" s="170" t="str">
        <f t="shared" si="2"/>
        <v>제 30 호표</v>
      </c>
      <c r="Z50" s="150"/>
    </row>
    <row r="51" spans="1:26" ht="18" customHeight="1">
      <c r="A51" s="279"/>
      <c r="B51" s="223" t="s">
        <v>1600</v>
      </c>
      <c r="C51" s="23"/>
      <c r="D51" s="197">
        <v>2</v>
      </c>
      <c r="E51" s="198">
        <v>2</v>
      </c>
      <c r="F51" s="198">
        <v>2</v>
      </c>
      <c r="G51" s="198">
        <v>4</v>
      </c>
      <c r="H51" s="198">
        <v>4</v>
      </c>
      <c r="I51" s="199">
        <v>4</v>
      </c>
      <c r="J51" s="389" t="s">
        <v>1094</v>
      </c>
      <c r="L51" s="233">
        <v>1</v>
      </c>
      <c r="N51" s="292" t="str">
        <f t="shared" si="8"/>
        <v>6.3. 위원회심의 지원</v>
      </c>
      <c r="O51" s="37"/>
      <c r="P51" s="37"/>
      <c r="Q51" s="37"/>
      <c r="R51" s="37"/>
      <c r="S51" s="37"/>
      <c r="T51" s="37"/>
      <c r="U51" s="227"/>
      <c r="V51" s="231"/>
      <c r="W51" s="153">
        <f t="array" aca="1" ref="W51" ca="1">SUM((ROUNDDOWN((D90:I90)*단가,0)))</f>
        <v>5425644</v>
      </c>
      <c r="X51" s="154"/>
      <c r="Y51" s="170" t="str">
        <f t="shared" si="2"/>
        <v>제 31 호표</v>
      </c>
      <c r="Z51" s="150"/>
    </row>
    <row r="52" spans="1:26" ht="18" customHeight="1" thickBot="1">
      <c r="A52" s="279"/>
      <c r="B52" s="223" t="s">
        <v>1601</v>
      </c>
      <c r="C52" s="23"/>
      <c r="D52" s="197">
        <v>2</v>
      </c>
      <c r="E52" s="198">
        <v>2</v>
      </c>
      <c r="F52" s="198">
        <v>2</v>
      </c>
      <c r="G52" s="198">
        <v>4</v>
      </c>
      <c r="H52" s="198">
        <v>4</v>
      </c>
      <c r="I52" s="199">
        <v>4</v>
      </c>
      <c r="J52" s="612" t="s">
        <v>1094</v>
      </c>
      <c r="L52" s="233">
        <v>1</v>
      </c>
      <c r="N52" s="292" t="str">
        <f t="shared" si="8"/>
        <v>6.4. 관계기관 협의</v>
      </c>
      <c r="O52" s="37"/>
      <c r="P52" s="37"/>
      <c r="Q52" s="37"/>
      <c r="R52" s="37"/>
      <c r="S52" s="37"/>
      <c r="T52" s="37"/>
      <c r="U52" s="227"/>
      <c r="V52" s="231"/>
      <c r="W52" s="153">
        <f t="array" aca="1" ref="W52" ca="1">SUM((ROUNDDOWN((D91:I91)*단가,0)))</f>
        <v>5425644</v>
      </c>
      <c r="X52" s="154"/>
      <c r="Y52" s="170" t="str">
        <f t="shared" si="2"/>
        <v>제 32 호표</v>
      </c>
      <c r="Z52" s="150"/>
    </row>
    <row r="53" spans="1:26" ht="18" customHeight="1" thickBot="1">
      <c r="A53" s="279"/>
      <c r="B53" s="14" t="s">
        <v>30</v>
      </c>
      <c r="C53" s="16"/>
      <c r="D53" s="14" t="s">
        <v>12</v>
      </c>
      <c r="E53" s="15"/>
      <c r="F53" s="15"/>
      <c r="G53" s="15"/>
      <c r="H53" s="15"/>
      <c r="I53" s="16"/>
      <c r="J53" s="175" t="s">
        <v>31</v>
      </c>
      <c r="N53" s="8"/>
      <c r="P53" s="371"/>
      <c r="R53" s="357"/>
      <c r="S53" s="1"/>
      <c r="T53" s="1"/>
      <c r="U53" s="258"/>
      <c r="V53" s="372"/>
      <c r="W53" s="373"/>
      <c r="X53" s="374"/>
      <c r="Y53" s="375"/>
    </row>
    <row r="54" spans="1:26" ht="18" customHeight="1">
      <c r="A54" s="279"/>
      <c r="B54" s="222" t="s">
        <v>1515</v>
      </c>
      <c r="C54" s="47"/>
      <c r="D54" s="48">
        <f t="shared" ref="D54:I54" si="11">SUBTOTAL(9,D55:D63)</f>
        <v>4.0999999999999996</v>
      </c>
      <c r="E54" s="49">
        <f t="shared" si="11"/>
        <v>8.4</v>
      </c>
      <c r="F54" s="49">
        <f t="shared" si="11"/>
        <v>18.800000000000004</v>
      </c>
      <c r="G54" s="49">
        <f t="shared" si="11"/>
        <v>43.5</v>
      </c>
      <c r="H54" s="49">
        <f t="shared" si="11"/>
        <v>57.599999999999994</v>
      </c>
      <c r="I54" s="50">
        <f t="shared" si="11"/>
        <v>69.800000000000011</v>
      </c>
      <c r="J54" s="74"/>
      <c r="N54" s="290" t="s">
        <v>10</v>
      </c>
      <c r="O54" s="129"/>
      <c r="P54" s="130"/>
      <c r="Q54" s="124"/>
      <c r="R54" s="131"/>
      <c r="S54" s="124"/>
      <c r="T54" s="124"/>
      <c r="U54" s="181"/>
      <c r="V54" s="181"/>
      <c r="W54" s="159">
        <f>SUBTOTAL(9,W55:W57)</f>
        <v>8000000</v>
      </c>
      <c r="X54" s="160"/>
      <c r="Y54" s="124"/>
      <c r="Z54" s="124"/>
    </row>
    <row r="55" spans="1:26" ht="18" customHeight="1">
      <c r="A55" s="278">
        <v>1</v>
      </c>
      <c r="B55" s="223" t="s">
        <v>1572</v>
      </c>
      <c r="C55" s="23"/>
      <c r="D55" s="383">
        <f t="array" ref="D55:I63">ROUNDDOWN(D16:I24*$D$5*$D$6*L16:L24,3)</f>
        <v>0.4</v>
      </c>
      <c r="E55" s="198">
        <v>0.7</v>
      </c>
      <c r="F55" s="198">
        <v>1.8</v>
      </c>
      <c r="G55" s="198">
        <v>2.9</v>
      </c>
      <c r="H55" s="198">
        <v>3.9</v>
      </c>
      <c r="I55" s="199">
        <v>6</v>
      </c>
      <c r="J55" s="74"/>
      <c r="N55" s="128" t="str">
        <f>"여비("&amp;TEXT(R55,"#인 ×")&amp;TEXT(S55,"#일 ×")&amp;TEXT(T55,"###,###원)")</f>
        <v>여비(3인 ×10일 ×100,000원)</v>
      </c>
      <c r="O55" s="78"/>
      <c r="P55" s="52"/>
      <c r="Q55" s="51"/>
      <c r="R55" s="146">
        <v>3</v>
      </c>
      <c r="S55" s="146">
        <v>10</v>
      </c>
      <c r="T55" s="147">
        <v>100000</v>
      </c>
      <c r="U55" s="182"/>
      <c r="V55" s="182"/>
      <c r="W55" s="161">
        <f>R55*S55*T55</f>
        <v>3000000</v>
      </c>
      <c r="X55" s="162"/>
      <c r="Y55" s="51"/>
      <c r="Z55" s="51"/>
    </row>
    <row r="56" spans="1:26" ht="18" customHeight="1">
      <c r="A56" s="278">
        <v>2</v>
      </c>
      <c r="B56" s="223" t="s">
        <v>1573</v>
      </c>
      <c r="C56" s="23"/>
      <c r="D56" s="197">
        <v>0.4</v>
      </c>
      <c r="E56" s="198">
        <v>0.7</v>
      </c>
      <c r="F56" s="198">
        <v>1.8</v>
      </c>
      <c r="G56" s="198">
        <v>4.4000000000000004</v>
      </c>
      <c r="H56" s="198">
        <v>7.1</v>
      </c>
      <c r="I56" s="199">
        <v>7.4</v>
      </c>
      <c r="J56" s="74"/>
      <c r="N56" s="79" t="s">
        <v>46</v>
      </c>
      <c r="O56" s="79"/>
      <c r="P56" s="39"/>
      <c r="Q56" s="37"/>
      <c r="R56" s="117"/>
      <c r="S56" s="37"/>
      <c r="T56" s="37"/>
      <c r="U56" s="180"/>
      <c r="V56" s="180"/>
      <c r="W56" s="157">
        <v>3000000</v>
      </c>
      <c r="X56" s="158"/>
      <c r="Y56" s="37"/>
      <c r="Z56" s="37"/>
    </row>
    <row r="57" spans="1:26" ht="18" customHeight="1">
      <c r="A57" s="278">
        <v>3</v>
      </c>
      <c r="B57" s="223" t="s">
        <v>1574</v>
      </c>
      <c r="C57" s="23"/>
      <c r="D57" s="197">
        <v>0.7</v>
      </c>
      <c r="E57" s="198">
        <v>1.5</v>
      </c>
      <c r="F57" s="198">
        <v>3.6</v>
      </c>
      <c r="G57" s="198">
        <v>8.8000000000000007</v>
      </c>
      <c r="H57" s="198">
        <v>10.9</v>
      </c>
      <c r="I57" s="199">
        <v>13.7</v>
      </c>
      <c r="J57" s="74"/>
      <c r="N57" s="132" t="s">
        <v>13</v>
      </c>
      <c r="O57" s="132"/>
      <c r="P57" s="38"/>
      <c r="Q57" s="38"/>
      <c r="R57" s="116"/>
      <c r="S57" s="38"/>
      <c r="T57" s="38"/>
      <c r="U57" s="183"/>
      <c r="V57" s="183"/>
      <c r="W57" s="155">
        <v>2000000</v>
      </c>
      <c r="X57" s="156"/>
      <c r="Y57" s="38"/>
      <c r="Z57" s="38"/>
    </row>
    <row r="58" spans="1:26" ht="18" customHeight="1">
      <c r="A58" s="278">
        <v>4</v>
      </c>
      <c r="B58" s="223" t="s">
        <v>1575</v>
      </c>
      <c r="C58" s="23"/>
      <c r="D58" s="197">
        <v>0.6</v>
      </c>
      <c r="E58" s="198">
        <v>1.5</v>
      </c>
      <c r="F58" s="198">
        <v>3.6</v>
      </c>
      <c r="G58" s="198">
        <v>9.5</v>
      </c>
      <c r="H58" s="198">
        <v>11.1</v>
      </c>
      <c r="I58" s="199">
        <v>13.3</v>
      </c>
      <c r="J58" s="389"/>
      <c r="N58" s="127" t="s">
        <v>47</v>
      </c>
      <c r="O58" s="123"/>
      <c r="P58" s="123"/>
      <c r="Q58" s="123"/>
      <c r="R58" s="123"/>
      <c r="S58" s="123"/>
      <c r="T58" s="123"/>
      <c r="U58" s="184"/>
      <c r="V58" s="184"/>
      <c r="W58" s="163">
        <f ca="1">SUBTOTAL(9,W59:W60)</f>
        <v>608379242</v>
      </c>
      <c r="X58" s="164"/>
      <c r="Y58" s="123"/>
      <c r="Z58" s="123"/>
    </row>
    <row r="59" spans="1:26" ht="18" customHeight="1">
      <c r="A59" s="278">
        <v>5</v>
      </c>
      <c r="B59" s="223" t="s">
        <v>1576</v>
      </c>
      <c r="C59" s="23"/>
      <c r="D59" s="197">
        <v>0.4</v>
      </c>
      <c r="E59" s="198">
        <v>0.8</v>
      </c>
      <c r="F59" s="198">
        <v>1.8</v>
      </c>
      <c r="G59" s="198">
        <v>5.3</v>
      </c>
      <c r="H59" s="198">
        <v>7.2</v>
      </c>
      <c r="I59" s="199">
        <v>10.199999999999999</v>
      </c>
      <c r="J59" s="389"/>
      <c r="N59" s="133" t="s">
        <v>861</v>
      </c>
      <c r="O59" s="124"/>
      <c r="P59" s="134"/>
      <c r="Q59" s="124"/>
      <c r="R59" s="131"/>
      <c r="S59" s="124"/>
      <c r="T59" s="181"/>
      <c r="U59" s="181"/>
      <c r="V59" s="190">
        <v>1.1499999999999999</v>
      </c>
      <c r="W59" s="159">
        <f ca="1">ROUNDDOWN(W14*V59,0)</f>
        <v>389769431</v>
      </c>
      <c r="X59" s="160"/>
      <c r="Y59" s="124"/>
      <c r="Z59" s="124"/>
    </row>
    <row r="60" spans="1:26" ht="18" customHeight="1" thickBot="1">
      <c r="A60" s="278">
        <v>6</v>
      </c>
      <c r="B60" s="223" t="s">
        <v>1521</v>
      </c>
      <c r="C60" s="23"/>
      <c r="D60" s="197">
        <v>0.4</v>
      </c>
      <c r="E60" s="198">
        <v>0.8</v>
      </c>
      <c r="F60" s="198">
        <v>1.3</v>
      </c>
      <c r="G60" s="198">
        <v>3.2</v>
      </c>
      <c r="H60" s="198">
        <v>4.3</v>
      </c>
      <c r="I60" s="199">
        <v>7.4</v>
      </c>
      <c r="J60" s="389"/>
      <c r="N60" s="135" t="s">
        <v>862</v>
      </c>
      <c r="O60" s="136"/>
      <c r="P60" s="137"/>
      <c r="Q60" s="136"/>
      <c r="R60" s="138"/>
      <c r="S60" s="136"/>
      <c r="T60" s="185"/>
      <c r="U60" s="185"/>
      <c r="V60" s="191">
        <v>0.3</v>
      </c>
      <c r="W60" s="165">
        <f ca="1">ROUNDDOWN((W14+W59)*V60,0)</f>
        <v>218609811</v>
      </c>
      <c r="X60" s="166"/>
      <c r="Y60" s="136"/>
      <c r="Z60" s="136"/>
    </row>
    <row r="61" spans="1:26" ht="18" customHeight="1">
      <c r="A61" s="278">
        <v>7</v>
      </c>
      <c r="B61" s="223" t="s">
        <v>1522</v>
      </c>
      <c r="C61" s="23"/>
      <c r="D61" s="197">
        <v>0.4</v>
      </c>
      <c r="E61" s="198">
        <v>0.8</v>
      </c>
      <c r="F61" s="198">
        <v>1.3</v>
      </c>
      <c r="G61" s="198">
        <v>3.6</v>
      </c>
      <c r="H61" s="198">
        <v>5.3</v>
      </c>
      <c r="I61" s="199">
        <v>5.6</v>
      </c>
      <c r="J61" s="389"/>
    </row>
    <row r="62" spans="1:26" ht="18" customHeight="1">
      <c r="A62" s="278">
        <v>8</v>
      </c>
      <c r="B62" s="223" t="s">
        <v>1577</v>
      </c>
      <c r="C62" s="23"/>
      <c r="D62" s="197">
        <v>0.4</v>
      </c>
      <c r="E62" s="198">
        <v>0.8</v>
      </c>
      <c r="F62" s="198">
        <v>1.8</v>
      </c>
      <c r="G62" s="198">
        <v>2.9</v>
      </c>
      <c r="H62" s="198">
        <v>3.9</v>
      </c>
      <c r="I62" s="199">
        <v>6.2</v>
      </c>
      <c r="J62" s="389"/>
      <c r="K62" s="171" t="s">
        <v>14</v>
      </c>
    </row>
    <row r="63" spans="1:26" ht="18" customHeight="1">
      <c r="A63" s="278">
        <v>9</v>
      </c>
      <c r="B63" s="223" t="s">
        <v>1578</v>
      </c>
      <c r="C63" s="23"/>
      <c r="D63" s="197">
        <v>0.4</v>
      </c>
      <c r="E63" s="198">
        <v>0.8</v>
      </c>
      <c r="F63" s="198">
        <v>1.8</v>
      </c>
      <c r="G63" s="198">
        <v>2.9</v>
      </c>
      <c r="H63" s="198">
        <v>3.9</v>
      </c>
      <c r="I63" s="199">
        <v>0</v>
      </c>
      <c r="J63" s="389"/>
      <c r="K63" s="171" t="s">
        <v>14</v>
      </c>
    </row>
    <row r="64" spans="1:26" ht="18" customHeight="1">
      <c r="A64" s="278"/>
      <c r="B64" s="222" t="s">
        <v>52</v>
      </c>
      <c r="C64" s="47"/>
      <c r="D64" s="48">
        <f t="shared" ref="D64:I64" si="12">SUBTOTAL(9,D65:D69)</f>
        <v>2.4</v>
      </c>
      <c r="E64" s="49">
        <f t="shared" si="12"/>
        <v>4.2</v>
      </c>
      <c r="F64" s="49">
        <f t="shared" si="12"/>
        <v>15.2</v>
      </c>
      <c r="G64" s="49">
        <f t="shared" si="12"/>
        <v>13.700000000000001</v>
      </c>
      <c r="H64" s="49">
        <f t="shared" si="12"/>
        <v>31.3</v>
      </c>
      <c r="I64" s="50">
        <f t="shared" si="12"/>
        <v>43.4</v>
      </c>
      <c r="J64" s="74"/>
      <c r="K64" s="171" t="s">
        <v>14</v>
      </c>
    </row>
    <row r="65" spans="1:26" ht="18" customHeight="1">
      <c r="A65" s="278">
        <v>10</v>
      </c>
      <c r="B65" s="223" t="s">
        <v>1579</v>
      </c>
      <c r="C65" s="23"/>
      <c r="D65" s="383">
        <f t="array" ref="D65:I69">ROUNDDOWN(D26:I30*$D$5*$D$6*L26:L30,3)</f>
        <v>0.3</v>
      </c>
      <c r="E65" s="198">
        <v>0.5</v>
      </c>
      <c r="F65" s="198">
        <v>2.2000000000000002</v>
      </c>
      <c r="G65" s="198">
        <v>2.5</v>
      </c>
      <c r="H65" s="198">
        <v>5.6</v>
      </c>
      <c r="I65" s="199">
        <v>7.4</v>
      </c>
      <c r="J65" s="74"/>
      <c r="K65" s="171" t="s">
        <v>14</v>
      </c>
      <c r="L65" s="171"/>
    </row>
    <row r="66" spans="1:26" ht="18" customHeight="1">
      <c r="A66" s="278">
        <v>11</v>
      </c>
      <c r="B66" s="223" t="s">
        <v>1526</v>
      </c>
      <c r="C66" s="23"/>
      <c r="D66" s="197">
        <v>0.6</v>
      </c>
      <c r="E66" s="198">
        <v>1</v>
      </c>
      <c r="F66" s="198">
        <v>3.4</v>
      </c>
      <c r="G66" s="198">
        <v>2.9</v>
      </c>
      <c r="H66" s="198">
        <v>6.7</v>
      </c>
      <c r="I66" s="199">
        <v>9</v>
      </c>
      <c r="J66" s="74"/>
      <c r="K66" s="171"/>
      <c r="L66" s="171"/>
      <c r="R66" s="1"/>
      <c r="S66" s="1"/>
      <c r="T66" s="1"/>
      <c r="U66" s="1"/>
      <c r="V66" s="1"/>
      <c r="W66" s="1"/>
      <c r="X66" s="1"/>
      <c r="Y66" s="1"/>
    </row>
    <row r="67" spans="1:26" ht="18" customHeight="1">
      <c r="A67" s="278">
        <v>12</v>
      </c>
      <c r="B67" s="223" t="s">
        <v>1580</v>
      </c>
      <c r="C67" s="23"/>
      <c r="D67" s="197">
        <v>0.6</v>
      </c>
      <c r="E67" s="198">
        <v>1.1000000000000001</v>
      </c>
      <c r="F67" s="198">
        <v>3.4</v>
      </c>
      <c r="G67" s="198">
        <v>2.9</v>
      </c>
      <c r="H67" s="198">
        <v>6.7</v>
      </c>
      <c r="I67" s="199">
        <v>9</v>
      </c>
      <c r="J67" s="74"/>
      <c r="K67" s="171" t="s">
        <v>14</v>
      </c>
      <c r="L67" s="171"/>
      <c r="R67" s="1"/>
      <c r="S67" s="1"/>
      <c r="T67" s="1"/>
      <c r="U67" s="1"/>
      <c r="V67" s="1"/>
      <c r="W67" s="1"/>
      <c r="X67" s="1"/>
      <c r="Y67" s="1"/>
    </row>
    <row r="68" spans="1:26" ht="18" customHeight="1">
      <c r="A68" s="278">
        <v>13</v>
      </c>
      <c r="B68" s="223" t="s">
        <v>1581</v>
      </c>
      <c r="C68" s="23"/>
      <c r="D68" s="197">
        <v>0.3</v>
      </c>
      <c r="E68" s="198">
        <v>0.6</v>
      </c>
      <c r="F68" s="198">
        <v>2.9</v>
      </c>
      <c r="G68" s="198">
        <v>2.5</v>
      </c>
      <c r="H68" s="198">
        <v>5.6</v>
      </c>
      <c r="I68" s="199">
        <v>9</v>
      </c>
      <c r="J68" s="389"/>
      <c r="K68" s="171" t="s">
        <v>14</v>
      </c>
      <c r="L68" s="171"/>
      <c r="R68" s="1"/>
      <c r="S68" s="1"/>
      <c r="T68" s="1"/>
      <c r="U68" s="1"/>
      <c r="V68" s="1"/>
      <c r="W68" s="1"/>
      <c r="X68" s="1"/>
      <c r="Y68" s="1"/>
    </row>
    <row r="69" spans="1:26" ht="18" customHeight="1" thickBot="1">
      <c r="A69" s="278">
        <v>14</v>
      </c>
      <c r="B69" s="223" t="s">
        <v>1582</v>
      </c>
      <c r="C69" s="23"/>
      <c r="D69" s="197">
        <v>0.6</v>
      </c>
      <c r="E69" s="198">
        <v>1</v>
      </c>
      <c r="F69" s="198">
        <v>3.3</v>
      </c>
      <c r="G69" s="198">
        <v>2.9</v>
      </c>
      <c r="H69" s="198">
        <v>6.7</v>
      </c>
      <c r="I69" s="199">
        <v>9</v>
      </c>
      <c r="J69" s="389"/>
      <c r="K69" s="171" t="s">
        <v>14</v>
      </c>
      <c r="L69" s="171"/>
      <c r="N69" s="66" t="s">
        <v>18</v>
      </c>
      <c r="O69" s="2"/>
      <c r="P69" s="2"/>
      <c r="Q69" s="2"/>
      <c r="R69" s="3"/>
      <c r="S69" s="4"/>
      <c r="T69" s="3"/>
      <c r="U69" s="4"/>
      <c r="V69" s="3"/>
      <c r="W69" s="4"/>
      <c r="X69" s="3"/>
      <c r="Y69" s="4"/>
      <c r="Z69" s="2"/>
    </row>
    <row r="70" spans="1:26" ht="18" customHeight="1">
      <c r="A70" s="278"/>
      <c r="B70" s="222" t="s">
        <v>253</v>
      </c>
      <c r="C70" s="47"/>
      <c r="D70" s="48">
        <f t="shared" ref="D70:I70" si="13">SUBTOTAL(9,D71:D80)</f>
        <v>20.7</v>
      </c>
      <c r="E70" s="49">
        <f t="shared" si="13"/>
        <v>30.300000000000004</v>
      </c>
      <c r="F70" s="49">
        <f t="shared" si="13"/>
        <v>75.600000000000009</v>
      </c>
      <c r="G70" s="49">
        <f t="shared" si="13"/>
        <v>77.399999999999991</v>
      </c>
      <c r="H70" s="49">
        <f t="shared" si="13"/>
        <v>198.8</v>
      </c>
      <c r="I70" s="50">
        <f t="shared" si="13"/>
        <v>255.2</v>
      </c>
      <c r="J70" s="74"/>
      <c r="K70" s="171" t="s">
        <v>14</v>
      </c>
      <c r="L70" s="171"/>
      <c r="N70" s="765" t="s">
        <v>19</v>
      </c>
      <c r="O70" s="755" t="s">
        <v>20</v>
      </c>
      <c r="P70" s="755" t="s">
        <v>21</v>
      </c>
      <c r="Q70" s="755" t="s">
        <v>16</v>
      </c>
      <c r="R70" s="5" t="s">
        <v>22</v>
      </c>
      <c r="S70" s="5"/>
      <c r="T70" s="5" t="s">
        <v>23</v>
      </c>
      <c r="U70" s="5"/>
      <c r="V70" s="5" t="s">
        <v>24</v>
      </c>
      <c r="W70" s="5"/>
      <c r="X70" s="5" t="s">
        <v>25</v>
      </c>
      <c r="Y70" s="5"/>
      <c r="Z70" s="755" t="s">
        <v>26</v>
      </c>
    </row>
    <row r="71" spans="1:26" ht="18" customHeight="1" thickBot="1">
      <c r="A71" s="278">
        <v>15</v>
      </c>
      <c r="B71" s="223" t="s">
        <v>1583</v>
      </c>
      <c r="C71" s="23"/>
      <c r="D71" s="383">
        <f t="array" ref="D71:I80">ROUNDDOWN(D32:I41*$D$5*$D$6*L32:L41,3)</f>
        <v>1.9</v>
      </c>
      <c r="E71" s="198">
        <v>2.9</v>
      </c>
      <c r="F71" s="198">
        <v>7.4</v>
      </c>
      <c r="G71" s="198">
        <v>3.9</v>
      </c>
      <c r="H71" s="198">
        <v>23.4</v>
      </c>
      <c r="I71" s="199">
        <v>26.5</v>
      </c>
      <c r="J71" s="74"/>
      <c r="K71" s="171" t="s">
        <v>14</v>
      </c>
      <c r="L71" s="171"/>
      <c r="N71" s="766"/>
      <c r="O71" s="756"/>
      <c r="P71" s="756"/>
      <c r="Q71" s="756"/>
      <c r="R71" s="67" t="s">
        <v>27</v>
      </c>
      <c r="S71" s="67" t="s">
        <v>28</v>
      </c>
      <c r="T71" s="67" t="s">
        <v>27</v>
      </c>
      <c r="U71" s="67" t="s">
        <v>28</v>
      </c>
      <c r="V71" s="67" t="s">
        <v>27</v>
      </c>
      <c r="W71" s="67" t="s">
        <v>28</v>
      </c>
      <c r="X71" s="67" t="s">
        <v>27</v>
      </c>
      <c r="Y71" s="67" t="s">
        <v>28</v>
      </c>
      <c r="Z71" s="756"/>
    </row>
    <row r="72" spans="1:26" ht="18" customHeight="1" thickTop="1">
      <c r="A72" s="278">
        <v>16</v>
      </c>
      <c r="B72" s="223" t="s">
        <v>1584</v>
      </c>
      <c r="C72" s="23"/>
      <c r="D72" s="197">
        <v>2.8</v>
      </c>
      <c r="E72" s="198">
        <v>4.2</v>
      </c>
      <c r="F72" s="198">
        <v>9.8000000000000007</v>
      </c>
      <c r="G72" s="198">
        <v>8.5</v>
      </c>
      <c r="H72" s="198">
        <v>22.6</v>
      </c>
      <c r="I72" s="199">
        <v>38.6</v>
      </c>
      <c r="J72" s="74"/>
      <c r="K72" s="171" t="s">
        <v>14</v>
      </c>
      <c r="L72" s="171"/>
      <c r="N72" s="318" t="str">
        <f ca="1">"제 " &amp; Z72 &amp; " 호표  "&amp; OFFSET($A$1,MATCH(Z72,$A:$A,0)-1,1)</f>
        <v>제 1 호표  1.1. 자연환경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v>1</v>
      </c>
    </row>
    <row r="73" spans="1:26" ht="18" customHeight="1">
      <c r="A73" s="278">
        <v>17</v>
      </c>
      <c r="B73" s="223" t="s">
        <v>1585</v>
      </c>
      <c r="C73" s="23"/>
      <c r="D73" s="197">
        <v>0.9</v>
      </c>
      <c r="E73" s="198">
        <v>1.4</v>
      </c>
      <c r="F73" s="198">
        <v>4.4000000000000004</v>
      </c>
      <c r="G73" s="198">
        <v>4</v>
      </c>
      <c r="H73" s="198">
        <v>7.4</v>
      </c>
      <c r="I73" s="199">
        <v>12.9</v>
      </c>
      <c r="J73" s="74"/>
      <c r="K73" s="171" t="s">
        <v>14</v>
      </c>
      <c r="L73" s="171"/>
      <c r="N73" s="140" t="s">
        <v>43</v>
      </c>
      <c r="O73" s="172">
        <v>3</v>
      </c>
      <c r="P73" s="219">
        <f ca="1">OFFSET($A$1,MATCH(Z72,$A:$A,0)-1,O73)</f>
        <v>0.4</v>
      </c>
      <c r="Q73" s="141" t="s">
        <v>29</v>
      </c>
      <c r="R73" s="142">
        <f t="shared" ref="R73:S78" ca="1" si="14">T73</f>
        <v>467217</v>
      </c>
      <c r="S73" s="142">
        <f t="shared" ca="1" si="14"/>
        <v>186886</v>
      </c>
      <c r="T73" s="142">
        <f ca="1">기술사</f>
        <v>467217</v>
      </c>
      <c r="U73" s="142">
        <f t="shared" ref="U73:U78" ca="1" si="15">ROUNDDOWN(P73*R73,0)</f>
        <v>186886</v>
      </c>
      <c r="V73" s="142"/>
      <c r="W73" s="142"/>
      <c r="X73" s="142"/>
      <c r="Y73" s="142"/>
      <c r="Z73" s="114"/>
    </row>
    <row r="74" spans="1:26" ht="18" customHeight="1">
      <c r="A74" s="278">
        <v>18</v>
      </c>
      <c r="B74" s="223" t="s">
        <v>1586</v>
      </c>
      <c r="C74" s="23"/>
      <c r="D74" s="197">
        <v>3.4</v>
      </c>
      <c r="E74" s="198">
        <v>4.8</v>
      </c>
      <c r="F74" s="198">
        <v>14.8</v>
      </c>
      <c r="G74" s="198">
        <v>17.399999999999999</v>
      </c>
      <c r="H74" s="198">
        <v>32.5</v>
      </c>
      <c r="I74" s="199">
        <v>32.6</v>
      </c>
      <c r="J74" s="389"/>
      <c r="K74" s="171" t="s">
        <v>14</v>
      </c>
      <c r="L74" s="171"/>
      <c r="N74" s="143" t="s">
        <v>32</v>
      </c>
      <c r="O74" s="173">
        <v>4</v>
      </c>
      <c r="P74" s="234">
        <f ca="1">OFFSET($A$1,MATCH(Z72,$A:$A,0)-1,O74)</f>
        <v>0.7</v>
      </c>
      <c r="Q74" s="144" t="s">
        <v>29</v>
      </c>
      <c r="R74" s="118">
        <f t="shared" ca="1" si="14"/>
        <v>373353</v>
      </c>
      <c r="S74" s="118">
        <f t="shared" ca="1" si="14"/>
        <v>261347</v>
      </c>
      <c r="T74" s="118">
        <f ca="1">특급</f>
        <v>373353</v>
      </c>
      <c r="U74" s="118">
        <f t="shared" ca="1" si="15"/>
        <v>261347</v>
      </c>
      <c r="V74" s="118"/>
      <c r="W74" s="118"/>
      <c r="X74" s="118"/>
      <c r="Y74" s="118"/>
      <c r="Z74" s="115"/>
    </row>
    <row r="75" spans="1:26" ht="18" customHeight="1">
      <c r="A75" s="278">
        <v>19</v>
      </c>
      <c r="B75" s="223" t="s">
        <v>1587</v>
      </c>
      <c r="C75" s="23"/>
      <c r="D75" s="197">
        <v>1.4</v>
      </c>
      <c r="E75" s="198">
        <v>2.1</v>
      </c>
      <c r="F75" s="198">
        <v>5.3</v>
      </c>
      <c r="G75" s="198">
        <v>5.2</v>
      </c>
      <c r="H75" s="198">
        <v>18.2</v>
      </c>
      <c r="I75" s="199">
        <v>20.9</v>
      </c>
      <c r="J75" s="389"/>
      <c r="K75" s="171" t="s">
        <v>14</v>
      </c>
      <c r="L75" s="171"/>
      <c r="N75" s="145" t="s">
        <v>39</v>
      </c>
      <c r="O75" s="173">
        <v>5</v>
      </c>
      <c r="P75" s="234">
        <f ca="1">OFFSET($A$1,MATCH(Z72,$A:$A,0)-1,O75)</f>
        <v>1.8</v>
      </c>
      <c r="Q75" s="144" t="s">
        <v>29</v>
      </c>
      <c r="R75" s="118">
        <f t="shared" ca="1" si="14"/>
        <v>310884</v>
      </c>
      <c r="S75" s="118">
        <f t="shared" ca="1" si="14"/>
        <v>559591</v>
      </c>
      <c r="T75" s="118">
        <f ca="1">고급</f>
        <v>310884</v>
      </c>
      <c r="U75" s="118">
        <f t="shared" ca="1" si="15"/>
        <v>559591</v>
      </c>
      <c r="V75" s="118"/>
      <c r="W75" s="118"/>
      <c r="X75" s="118"/>
      <c r="Y75" s="118"/>
      <c r="Z75" s="115"/>
    </row>
    <row r="76" spans="1:26" ht="18" customHeight="1">
      <c r="A76" s="278">
        <v>20</v>
      </c>
      <c r="B76" s="223" t="s">
        <v>1588</v>
      </c>
      <c r="C76" s="23"/>
      <c r="D76" s="197">
        <v>7</v>
      </c>
      <c r="E76" s="198">
        <v>9.6999999999999993</v>
      </c>
      <c r="F76" s="198">
        <v>21.1</v>
      </c>
      <c r="G76" s="198">
        <v>27.1</v>
      </c>
      <c r="H76" s="198">
        <v>55.7</v>
      </c>
      <c r="I76" s="199">
        <v>62.6</v>
      </c>
      <c r="J76" s="389"/>
      <c r="K76" s="171" t="s">
        <v>14</v>
      </c>
      <c r="L76" s="171"/>
      <c r="N76" s="145" t="s">
        <v>40</v>
      </c>
      <c r="O76" s="173">
        <v>6</v>
      </c>
      <c r="P76" s="234">
        <f ca="1">OFFSET($A$1,MATCH(Z72,$A:$A,0)-1,O76)</f>
        <v>2.9</v>
      </c>
      <c r="Q76" s="144" t="s">
        <v>29</v>
      </c>
      <c r="R76" s="118">
        <f t="shared" ca="1" si="14"/>
        <v>295138</v>
      </c>
      <c r="S76" s="118">
        <f t="shared" ca="1" si="14"/>
        <v>855900</v>
      </c>
      <c r="T76" s="118">
        <f ca="1">중급</f>
        <v>295138</v>
      </c>
      <c r="U76" s="118">
        <f t="shared" ca="1" si="15"/>
        <v>855900</v>
      </c>
      <c r="V76" s="118"/>
      <c r="W76" s="118"/>
      <c r="X76" s="118"/>
      <c r="Y76" s="118"/>
      <c r="Z76" s="115"/>
    </row>
    <row r="77" spans="1:26" ht="18" customHeight="1">
      <c r="A77" s="278">
        <v>21</v>
      </c>
      <c r="B77" s="223" t="s">
        <v>1589</v>
      </c>
      <c r="C77" s="23"/>
      <c r="D77" s="197">
        <v>1.9</v>
      </c>
      <c r="E77" s="198">
        <v>2.8</v>
      </c>
      <c r="F77" s="198">
        <v>5.3</v>
      </c>
      <c r="G77" s="198">
        <v>4.5</v>
      </c>
      <c r="H77" s="198">
        <v>15.1</v>
      </c>
      <c r="I77" s="199">
        <v>25.7</v>
      </c>
      <c r="J77" s="389"/>
      <c r="K77" s="171" t="s">
        <v>14</v>
      </c>
      <c r="L77" s="171"/>
      <c r="N77" s="145" t="s">
        <v>41</v>
      </c>
      <c r="O77" s="173">
        <v>7</v>
      </c>
      <c r="P77" s="234">
        <f ca="1">OFFSET($A$1,MATCH(Z72,$A:$A,0)-1,O77)</f>
        <v>3.9</v>
      </c>
      <c r="Q77" s="144" t="s">
        <v>29</v>
      </c>
      <c r="R77" s="118">
        <f t="shared" ca="1" si="14"/>
        <v>235459</v>
      </c>
      <c r="S77" s="118">
        <f t="shared" ca="1" si="14"/>
        <v>918290</v>
      </c>
      <c r="T77" s="118">
        <f ca="1">초급</f>
        <v>235459</v>
      </c>
      <c r="U77" s="118">
        <f t="shared" ca="1" si="15"/>
        <v>918290</v>
      </c>
      <c r="V77" s="118"/>
      <c r="W77" s="118"/>
      <c r="X77" s="118"/>
      <c r="Y77" s="118"/>
      <c r="Z77" s="115"/>
    </row>
    <row r="78" spans="1:26" ht="18" customHeight="1">
      <c r="A78" s="278">
        <v>22</v>
      </c>
      <c r="B78" s="223" t="s">
        <v>1590</v>
      </c>
      <c r="C78" s="23"/>
      <c r="D78" s="197">
        <v>0.8</v>
      </c>
      <c r="E78" s="198">
        <v>1.3</v>
      </c>
      <c r="F78" s="198">
        <v>3</v>
      </c>
      <c r="G78" s="198">
        <v>2.5</v>
      </c>
      <c r="H78" s="198">
        <v>8.8000000000000007</v>
      </c>
      <c r="I78" s="199">
        <v>10.1</v>
      </c>
      <c r="J78" s="389"/>
      <c r="K78" s="171" t="s">
        <v>14</v>
      </c>
      <c r="L78" s="171"/>
      <c r="N78" s="319" t="s">
        <v>42</v>
      </c>
      <c r="O78" s="174">
        <v>8</v>
      </c>
      <c r="P78" s="235">
        <f ca="1">OFFSET($A$1,MATCH(Z72,$A:$A,0)-1,O78)</f>
        <v>6</v>
      </c>
      <c r="Q78" s="322" t="s">
        <v>29</v>
      </c>
      <c r="R78" s="323">
        <f t="shared" ca="1" si="14"/>
        <v>250087</v>
      </c>
      <c r="S78" s="323">
        <f t="shared" ca="1" si="14"/>
        <v>1500522</v>
      </c>
      <c r="T78" s="323">
        <f ca="1">보조원</f>
        <v>250087</v>
      </c>
      <c r="U78" s="323">
        <f t="shared" ca="1" si="15"/>
        <v>1500522</v>
      </c>
      <c r="V78" s="323"/>
      <c r="W78" s="323"/>
      <c r="X78" s="323"/>
      <c r="Y78" s="323"/>
      <c r="Z78" s="324"/>
    </row>
    <row r="79" spans="1:26" ht="18" customHeight="1">
      <c r="A79" s="278">
        <v>23</v>
      </c>
      <c r="B79" s="223" t="s">
        <v>1591</v>
      </c>
      <c r="C79" s="23"/>
      <c r="D79" s="197">
        <v>0.6</v>
      </c>
      <c r="E79" s="198">
        <v>1.1000000000000001</v>
      </c>
      <c r="F79" s="198">
        <v>4.5</v>
      </c>
      <c r="G79" s="198">
        <v>4.3</v>
      </c>
      <c r="H79" s="198">
        <v>15.1</v>
      </c>
      <c r="I79" s="199">
        <v>25.3</v>
      </c>
      <c r="J79" s="389"/>
      <c r="K79" s="171" t="s">
        <v>14</v>
      </c>
      <c r="L79" s="171"/>
      <c r="N79" s="139" t="s">
        <v>17</v>
      </c>
      <c r="O79" s="68"/>
      <c r="P79" s="69"/>
      <c r="Q79" s="70"/>
      <c r="R79" s="71"/>
      <c r="S79" s="71">
        <f ca="1">SUBTOTAL(9,S73:S78)</f>
        <v>4282536</v>
      </c>
      <c r="T79" s="71"/>
      <c r="U79" s="71">
        <f ca="1">SUBTOTAL(9,U73:U78)</f>
        <v>4282536</v>
      </c>
      <c r="V79" s="71"/>
      <c r="W79" s="71"/>
      <c r="X79" s="71"/>
      <c r="Y79" s="71"/>
      <c r="Z79" s="68"/>
    </row>
    <row r="80" spans="1:26" ht="18" customHeight="1">
      <c r="A80" s="278">
        <v>24</v>
      </c>
      <c r="B80" s="223" t="s">
        <v>1592</v>
      </c>
      <c r="C80" s="23"/>
      <c r="D80" s="197">
        <v>0</v>
      </c>
      <c r="E80" s="198">
        <v>0</v>
      </c>
      <c r="F80" s="198">
        <v>0</v>
      </c>
      <c r="G80" s="198">
        <v>0</v>
      </c>
      <c r="H80" s="198">
        <v>0</v>
      </c>
      <c r="I80" s="199">
        <v>0</v>
      </c>
      <c r="J80" s="389" t="s">
        <v>1597</v>
      </c>
      <c r="K80" s="171" t="s">
        <v>14</v>
      </c>
      <c r="L80" s="171"/>
      <c r="N80" s="318" t="str">
        <f ca="1">"제 " &amp; Z80 &amp; " 호표  "&amp; OFFSET($A$1,MATCH(Z80,$A:$A,0)-1,1)</f>
        <v>제 2 호표  1.2. 인구 및 산업현황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2</v>
      </c>
    </row>
    <row r="81" spans="1:26" ht="18" customHeight="1">
      <c r="A81" s="278"/>
      <c r="B81" s="222" t="s">
        <v>441</v>
      </c>
      <c r="C81" s="47"/>
      <c r="D81" s="48">
        <f t="shared" ref="D81:I81" si="16">SUBTOTAL(9,D82:D83)</f>
        <v>4</v>
      </c>
      <c r="E81" s="49">
        <f t="shared" si="16"/>
        <v>5.6</v>
      </c>
      <c r="F81" s="49">
        <f t="shared" si="16"/>
        <v>12.4</v>
      </c>
      <c r="G81" s="49">
        <f t="shared" si="16"/>
        <v>8.9</v>
      </c>
      <c r="H81" s="49">
        <f t="shared" si="16"/>
        <v>29.9</v>
      </c>
      <c r="I81" s="50">
        <f t="shared" si="16"/>
        <v>50.8</v>
      </c>
      <c r="J81" s="74"/>
      <c r="K81" s="171" t="s">
        <v>14</v>
      </c>
      <c r="L81" s="171"/>
      <c r="N81" s="140" t="s">
        <v>43</v>
      </c>
      <c r="O81" s="172">
        <v>3</v>
      </c>
      <c r="P81" s="219">
        <f ca="1">OFFSET($A$1,MATCH(Z80,$A:$A,0)-1,O81)</f>
        <v>0.4</v>
      </c>
      <c r="Q81" s="141" t="s">
        <v>29</v>
      </c>
      <c r="R81" s="142">
        <f t="shared" ref="R81:S86" ca="1" si="17">T81</f>
        <v>467217</v>
      </c>
      <c r="S81" s="142">
        <f t="shared" ca="1" si="17"/>
        <v>186886</v>
      </c>
      <c r="T81" s="142">
        <f ca="1">기술사</f>
        <v>467217</v>
      </c>
      <c r="U81" s="142">
        <f t="shared" ref="U81:U86" ca="1" si="18">ROUNDDOWN(P81*R81,0)</f>
        <v>186886</v>
      </c>
      <c r="V81" s="142"/>
      <c r="W81" s="142"/>
      <c r="X81" s="142"/>
      <c r="Y81" s="142"/>
      <c r="Z81" s="114"/>
    </row>
    <row r="82" spans="1:26" ht="18" customHeight="1">
      <c r="A82" s="278">
        <v>25</v>
      </c>
      <c r="B82" s="223" t="s">
        <v>1593</v>
      </c>
      <c r="C82" s="23"/>
      <c r="D82" s="383">
        <f t="array" ref="D82:I83">ROUNDDOWN(D43:I44*$D$5*$D$6*L43:L44,3)</f>
        <v>2</v>
      </c>
      <c r="E82" s="198">
        <v>2.8</v>
      </c>
      <c r="F82" s="198">
        <v>6.2</v>
      </c>
      <c r="G82" s="198">
        <v>4.4000000000000004</v>
      </c>
      <c r="H82" s="198">
        <v>15</v>
      </c>
      <c r="I82" s="199">
        <v>25.5</v>
      </c>
      <c r="J82" s="74"/>
      <c r="K82" s="171" t="s">
        <v>14</v>
      </c>
      <c r="L82" s="171"/>
      <c r="N82" s="143" t="s">
        <v>32</v>
      </c>
      <c r="O82" s="173">
        <v>4</v>
      </c>
      <c r="P82" s="234">
        <f ca="1">OFFSET($A$1,MATCH(Z80,$A:$A,0)-1,O82)</f>
        <v>0.7</v>
      </c>
      <c r="Q82" s="144" t="s">
        <v>29</v>
      </c>
      <c r="R82" s="118">
        <f t="shared" ca="1" si="17"/>
        <v>373353</v>
      </c>
      <c r="S82" s="118">
        <f t="shared" ca="1" si="17"/>
        <v>261347</v>
      </c>
      <c r="T82" s="118">
        <f ca="1">특급</f>
        <v>373353</v>
      </c>
      <c r="U82" s="118">
        <f t="shared" ca="1" si="18"/>
        <v>261347</v>
      </c>
      <c r="V82" s="118"/>
      <c r="W82" s="118"/>
      <c r="X82" s="118"/>
      <c r="Y82" s="118"/>
      <c r="Z82" s="115"/>
    </row>
    <row r="83" spans="1:26" ht="18" customHeight="1">
      <c r="A83" s="278">
        <v>26</v>
      </c>
      <c r="B83" s="223" t="s">
        <v>1594</v>
      </c>
      <c r="C83" s="43"/>
      <c r="D83" s="206">
        <v>2</v>
      </c>
      <c r="E83" s="207">
        <v>2.8</v>
      </c>
      <c r="F83" s="207">
        <v>6.2</v>
      </c>
      <c r="G83" s="207">
        <v>4.5</v>
      </c>
      <c r="H83" s="207">
        <v>14.9</v>
      </c>
      <c r="I83" s="208">
        <v>25.3</v>
      </c>
      <c r="J83" s="239"/>
      <c r="K83" s="171" t="s">
        <v>14</v>
      </c>
      <c r="L83" s="171"/>
      <c r="N83" s="145" t="s">
        <v>39</v>
      </c>
      <c r="O83" s="173">
        <v>5</v>
      </c>
      <c r="P83" s="234">
        <f ca="1">OFFSET($A$1,MATCH(Z80,$A:$A,0)-1,O83)</f>
        <v>1.8</v>
      </c>
      <c r="Q83" s="144" t="s">
        <v>29</v>
      </c>
      <c r="R83" s="118">
        <f t="shared" ca="1" si="17"/>
        <v>310884</v>
      </c>
      <c r="S83" s="118">
        <f t="shared" ca="1" si="17"/>
        <v>559591</v>
      </c>
      <c r="T83" s="118">
        <f ca="1">고급</f>
        <v>310884</v>
      </c>
      <c r="U83" s="118">
        <f t="shared" ca="1" si="18"/>
        <v>559591</v>
      </c>
      <c r="V83" s="118"/>
      <c r="W83" s="118"/>
      <c r="X83" s="118"/>
      <c r="Y83" s="118"/>
      <c r="Z83" s="115"/>
    </row>
    <row r="84" spans="1:26" ht="18" customHeight="1">
      <c r="A84" s="278"/>
      <c r="B84" s="222" t="s">
        <v>424</v>
      </c>
      <c r="C84" s="47"/>
      <c r="D84" s="48">
        <f t="shared" ref="D84:I84" si="19">SUBTOTAL(9,D85:D86)</f>
        <v>1.9</v>
      </c>
      <c r="E84" s="49">
        <f t="shared" si="19"/>
        <v>4.5999999999999996</v>
      </c>
      <c r="F84" s="49">
        <f t="shared" si="19"/>
        <v>10.4</v>
      </c>
      <c r="G84" s="49">
        <f t="shared" si="19"/>
        <v>19.3</v>
      </c>
      <c r="H84" s="49">
        <f t="shared" si="19"/>
        <v>27</v>
      </c>
      <c r="I84" s="50">
        <f t="shared" si="19"/>
        <v>27</v>
      </c>
      <c r="J84" s="74"/>
      <c r="K84" s="171" t="s">
        <v>14</v>
      </c>
      <c r="L84" s="171"/>
      <c r="N84" s="145" t="s">
        <v>40</v>
      </c>
      <c r="O84" s="173">
        <v>6</v>
      </c>
      <c r="P84" s="234">
        <f ca="1">OFFSET($A$1,MATCH(Z80,$A:$A,0)-1,O84)</f>
        <v>4.4000000000000004</v>
      </c>
      <c r="Q84" s="144" t="s">
        <v>29</v>
      </c>
      <c r="R84" s="118">
        <f t="shared" ca="1" si="17"/>
        <v>295138</v>
      </c>
      <c r="S84" s="118">
        <f t="shared" ca="1" si="17"/>
        <v>1298607</v>
      </c>
      <c r="T84" s="118">
        <f ca="1">중급</f>
        <v>295138</v>
      </c>
      <c r="U84" s="118">
        <f t="shared" ca="1" si="18"/>
        <v>1298607</v>
      </c>
      <c r="V84" s="118"/>
      <c r="W84" s="118"/>
      <c r="X84" s="118"/>
      <c r="Y84" s="118"/>
      <c r="Z84" s="115"/>
    </row>
    <row r="85" spans="1:26" ht="18" customHeight="1">
      <c r="A85" s="278">
        <v>27</v>
      </c>
      <c r="B85" s="223" t="s">
        <v>1595</v>
      </c>
      <c r="C85" s="23"/>
      <c r="D85" s="383">
        <f t="array" ref="D85:I86">ROUNDDOWN(D46:I47*$D$5*$D$6*L46:L47,3)</f>
        <v>1.5</v>
      </c>
      <c r="E85" s="198">
        <v>3.1</v>
      </c>
      <c r="F85" s="198">
        <v>6.9</v>
      </c>
      <c r="G85" s="198">
        <v>11.6</v>
      </c>
      <c r="H85" s="198">
        <v>11.6</v>
      </c>
      <c r="I85" s="199">
        <v>7.7</v>
      </c>
      <c r="J85" s="74"/>
      <c r="K85" s="171" t="s">
        <v>14</v>
      </c>
      <c r="L85" s="171"/>
      <c r="N85" s="145" t="s">
        <v>41</v>
      </c>
      <c r="O85" s="173">
        <v>7</v>
      </c>
      <c r="P85" s="234">
        <f ca="1">OFFSET($A$1,MATCH(Z80,$A:$A,0)-1,O85)</f>
        <v>7.1</v>
      </c>
      <c r="Q85" s="144" t="s">
        <v>29</v>
      </c>
      <c r="R85" s="118">
        <f t="shared" ca="1" si="17"/>
        <v>235459</v>
      </c>
      <c r="S85" s="118">
        <f t="shared" ca="1" si="17"/>
        <v>1671758</v>
      </c>
      <c r="T85" s="118">
        <f ca="1">초급</f>
        <v>235459</v>
      </c>
      <c r="U85" s="118">
        <f t="shared" ca="1" si="18"/>
        <v>1671758</v>
      </c>
      <c r="V85" s="118"/>
      <c r="W85" s="118"/>
      <c r="X85" s="118"/>
      <c r="Y85" s="118"/>
      <c r="Z85" s="115"/>
    </row>
    <row r="86" spans="1:26" ht="18" customHeight="1" thickBot="1">
      <c r="A86" s="278">
        <v>28</v>
      </c>
      <c r="B86" s="223" t="s">
        <v>1596</v>
      </c>
      <c r="C86" s="43"/>
      <c r="D86" s="206">
        <v>0.4</v>
      </c>
      <c r="E86" s="207">
        <v>1.5</v>
      </c>
      <c r="F86" s="207">
        <v>3.5</v>
      </c>
      <c r="G86" s="207">
        <v>7.7</v>
      </c>
      <c r="H86" s="207">
        <v>15.4</v>
      </c>
      <c r="I86" s="208">
        <v>19.3</v>
      </c>
      <c r="J86" s="239"/>
      <c r="K86" s="171" t="s">
        <v>14</v>
      </c>
      <c r="L86" s="171"/>
      <c r="N86" s="319" t="s">
        <v>42</v>
      </c>
      <c r="O86" s="174">
        <v>8</v>
      </c>
      <c r="P86" s="235">
        <f ca="1">OFFSET($A$1,MATCH(Z80,$A:$A,0)-1,O86)</f>
        <v>7.4</v>
      </c>
      <c r="Q86" s="322" t="s">
        <v>29</v>
      </c>
      <c r="R86" s="323">
        <f t="shared" ca="1" si="17"/>
        <v>250087</v>
      </c>
      <c r="S86" s="323">
        <f t="shared" ca="1" si="17"/>
        <v>1850643</v>
      </c>
      <c r="T86" s="323">
        <f ca="1">보조원</f>
        <v>250087</v>
      </c>
      <c r="U86" s="323">
        <f t="shared" ca="1" si="18"/>
        <v>1850643</v>
      </c>
      <c r="V86" s="323"/>
      <c r="W86" s="323"/>
      <c r="X86" s="323"/>
      <c r="Y86" s="323"/>
      <c r="Z86" s="324"/>
    </row>
    <row r="87" spans="1:26" ht="18" customHeight="1">
      <c r="B87" s="222" t="s">
        <v>426</v>
      </c>
      <c r="C87" s="72"/>
      <c r="D87" s="402">
        <f t="shared" ref="D87:I87" si="20">SUBTOTAL(9,D88:D91)</f>
        <v>8</v>
      </c>
      <c r="E87" s="403">
        <f t="shared" si="20"/>
        <v>8</v>
      </c>
      <c r="F87" s="403">
        <f t="shared" si="20"/>
        <v>8</v>
      </c>
      <c r="G87" s="403">
        <f t="shared" si="20"/>
        <v>16</v>
      </c>
      <c r="H87" s="403">
        <f t="shared" si="20"/>
        <v>16</v>
      </c>
      <c r="I87" s="404">
        <f t="shared" si="20"/>
        <v>16</v>
      </c>
      <c r="J87" s="73"/>
      <c r="K87" s="171" t="s">
        <v>14</v>
      </c>
      <c r="L87" s="171"/>
      <c r="N87" s="139" t="s">
        <v>17</v>
      </c>
      <c r="O87" s="68"/>
      <c r="P87" s="69"/>
      <c r="Q87" s="70"/>
      <c r="R87" s="71"/>
      <c r="S87" s="71">
        <f ca="1">SUBTOTAL(9,S81:S86)</f>
        <v>5828832</v>
      </c>
      <c r="T87" s="71"/>
      <c r="U87" s="71">
        <f ca="1">SUBTOTAL(9,U81:U86)</f>
        <v>5828832</v>
      </c>
      <c r="V87" s="71"/>
      <c r="W87" s="71"/>
      <c r="X87" s="71"/>
      <c r="Y87" s="71"/>
      <c r="Z87" s="68"/>
    </row>
    <row r="88" spans="1:26" ht="18" customHeight="1">
      <c r="A88" s="278">
        <v>29</v>
      </c>
      <c r="B88" s="223" t="s">
        <v>1598</v>
      </c>
      <c r="C88" s="23"/>
      <c r="D88" s="383">
        <f t="array" ref="D88:I91">ROUNDDOWN(D49:I52*L49:L52*I6,3)</f>
        <v>2</v>
      </c>
      <c r="E88" s="198">
        <v>2</v>
      </c>
      <c r="F88" s="198">
        <v>2</v>
      </c>
      <c r="G88" s="198">
        <v>4</v>
      </c>
      <c r="H88" s="198">
        <v>4</v>
      </c>
      <c r="I88" s="199">
        <v>4</v>
      </c>
      <c r="J88" s="74"/>
      <c r="K88" s="171" t="s">
        <v>14</v>
      </c>
      <c r="L88" s="171"/>
      <c r="N88" s="318" t="str">
        <f ca="1">"제 " &amp; Z88 &amp; " 호표  "&amp; OFFSET($A$1,MATCH(Z88,$A:$A,0)-1,1)</f>
        <v>제 3 호표  1.3. 토지소유 및 이용현황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3</v>
      </c>
    </row>
    <row r="89" spans="1:26" ht="18" customHeight="1">
      <c r="A89" s="278">
        <v>30</v>
      </c>
      <c r="B89" s="223" t="s">
        <v>1599</v>
      </c>
      <c r="C89" s="23"/>
      <c r="D89" s="197">
        <v>2</v>
      </c>
      <c r="E89" s="198">
        <v>2</v>
      </c>
      <c r="F89" s="198">
        <v>2</v>
      </c>
      <c r="G89" s="198">
        <v>4</v>
      </c>
      <c r="H89" s="198">
        <v>4</v>
      </c>
      <c r="I89" s="199">
        <v>4</v>
      </c>
      <c r="J89" s="74"/>
      <c r="K89" s="171" t="s">
        <v>14</v>
      </c>
      <c r="L89" s="171"/>
      <c r="N89" s="140" t="s">
        <v>43</v>
      </c>
      <c r="O89" s="172">
        <v>3</v>
      </c>
      <c r="P89" s="219">
        <f ca="1">OFFSET($A$1,MATCH(Z88,$A:$A,0)-1,O89)</f>
        <v>0.7</v>
      </c>
      <c r="Q89" s="141" t="s">
        <v>29</v>
      </c>
      <c r="R89" s="142">
        <f t="shared" ref="R89:S94" ca="1" si="21">T89</f>
        <v>467217</v>
      </c>
      <c r="S89" s="142">
        <f t="shared" ca="1" si="21"/>
        <v>327051</v>
      </c>
      <c r="T89" s="142">
        <f ca="1">기술사</f>
        <v>467217</v>
      </c>
      <c r="U89" s="142">
        <f t="shared" ref="U89:U94" ca="1" si="22">ROUNDDOWN(P89*R89,0)</f>
        <v>327051</v>
      </c>
      <c r="V89" s="142"/>
      <c r="W89" s="142"/>
      <c r="X89" s="142"/>
      <c r="Y89" s="142"/>
      <c r="Z89" s="114"/>
    </row>
    <row r="90" spans="1:26" ht="18" customHeight="1">
      <c r="A90" s="278">
        <v>31</v>
      </c>
      <c r="B90" s="223" t="s">
        <v>1600</v>
      </c>
      <c r="C90" s="23"/>
      <c r="D90" s="197">
        <v>2</v>
      </c>
      <c r="E90" s="198">
        <v>2</v>
      </c>
      <c r="F90" s="198">
        <v>2</v>
      </c>
      <c r="G90" s="198">
        <v>4</v>
      </c>
      <c r="H90" s="198">
        <v>4</v>
      </c>
      <c r="I90" s="199">
        <v>4</v>
      </c>
      <c r="J90" s="74"/>
      <c r="K90" s="171" t="s">
        <v>14</v>
      </c>
      <c r="L90" s="171"/>
      <c r="N90" s="143" t="s">
        <v>32</v>
      </c>
      <c r="O90" s="173">
        <v>4</v>
      </c>
      <c r="P90" s="234">
        <f ca="1">OFFSET($A$1,MATCH(Z88,$A:$A,0)-1,O90)</f>
        <v>1.5</v>
      </c>
      <c r="Q90" s="144" t="s">
        <v>29</v>
      </c>
      <c r="R90" s="118">
        <f t="shared" ca="1" si="21"/>
        <v>373353</v>
      </c>
      <c r="S90" s="118">
        <f t="shared" ca="1" si="21"/>
        <v>560029</v>
      </c>
      <c r="T90" s="118">
        <f ca="1">특급</f>
        <v>373353</v>
      </c>
      <c r="U90" s="118">
        <f t="shared" ca="1" si="22"/>
        <v>560029</v>
      </c>
      <c r="V90" s="118"/>
      <c r="W90" s="118"/>
      <c r="X90" s="118"/>
      <c r="Y90" s="118"/>
      <c r="Z90" s="115"/>
    </row>
    <row r="91" spans="1:26" ht="18" customHeight="1" thickBot="1">
      <c r="A91" s="278">
        <v>32</v>
      </c>
      <c r="B91" s="388" t="s">
        <v>1601</v>
      </c>
      <c r="C91" s="342"/>
      <c r="D91" s="343">
        <v>2</v>
      </c>
      <c r="E91" s="344">
        <v>2</v>
      </c>
      <c r="F91" s="344">
        <v>2</v>
      </c>
      <c r="G91" s="344">
        <v>4</v>
      </c>
      <c r="H91" s="344">
        <v>4</v>
      </c>
      <c r="I91" s="345">
        <v>4</v>
      </c>
      <c r="J91" s="176"/>
      <c r="K91" s="171" t="s">
        <v>14</v>
      </c>
      <c r="L91" s="171"/>
      <c r="N91" s="145" t="s">
        <v>39</v>
      </c>
      <c r="O91" s="173">
        <v>5</v>
      </c>
      <c r="P91" s="234">
        <f ca="1">OFFSET($A$1,MATCH(Z88,$A:$A,0)-1,O91)</f>
        <v>3.6</v>
      </c>
      <c r="Q91" s="144" t="s">
        <v>29</v>
      </c>
      <c r="R91" s="118">
        <f t="shared" ca="1" si="21"/>
        <v>310884</v>
      </c>
      <c r="S91" s="118">
        <f t="shared" ca="1" si="21"/>
        <v>1119182</v>
      </c>
      <c r="T91" s="118">
        <f ca="1">고급</f>
        <v>310884</v>
      </c>
      <c r="U91" s="118">
        <f t="shared" ca="1" si="22"/>
        <v>1119182</v>
      </c>
      <c r="V91" s="118"/>
      <c r="W91" s="118"/>
      <c r="X91" s="118"/>
      <c r="Y91" s="118"/>
      <c r="Z91" s="115"/>
    </row>
    <row r="92" spans="1:26" ht="18" customHeight="1">
      <c r="B92" s="80" t="s">
        <v>1561</v>
      </c>
      <c r="C92" s="9" t="s">
        <v>1562</v>
      </c>
      <c r="E92" s="8"/>
      <c r="F92" s="8"/>
      <c r="G92" s="8"/>
      <c r="H92" s="8"/>
      <c r="I92" s="8"/>
      <c r="J92" s="10"/>
      <c r="K92" s="171" t="s">
        <v>14</v>
      </c>
      <c r="L92" s="171"/>
      <c r="N92" s="145" t="s">
        <v>40</v>
      </c>
      <c r="O92" s="173">
        <v>6</v>
      </c>
      <c r="P92" s="234">
        <f ca="1">OFFSET($A$1,MATCH(Z88,$A:$A,0)-1,O92)</f>
        <v>8.8000000000000007</v>
      </c>
      <c r="Q92" s="144" t="s">
        <v>29</v>
      </c>
      <c r="R92" s="118">
        <f t="shared" ca="1" si="21"/>
        <v>295138</v>
      </c>
      <c r="S92" s="118">
        <f t="shared" ca="1" si="21"/>
        <v>2597214</v>
      </c>
      <c r="T92" s="118">
        <f ca="1">중급</f>
        <v>295138</v>
      </c>
      <c r="U92" s="118">
        <f t="shared" ca="1" si="22"/>
        <v>2597214</v>
      </c>
      <c r="V92" s="118"/>
      <c r="W92" s="118"/>
      <c r="X92" s="118"/>
      <c r="Y92" s="118"/>
      <c r="Z92" s="115"/>
    </row>
    <row r="93" spans="1:26" ht="18" customHeight="1">
      <c r="B93" s="80"/>
      <c r="C93" s="9" t="s">
        <v>1560</v>
      </c>
      <c r="J93" s="8"/>
      <c r="K93" s="171" t="s">
        <v>14</v>
      </c>
      <c r="L93" s="171"/>
      <c r="N93" s="145" t="s">
        <v>41</v>
      </c>
      <c r="O93" s="173">
        <v>7</v>
      </c>
      <c r="P93" s="234">
        <f ca="1">OFFSET($A$1,MATCH(Z88,$A:$A,0)-1,O93)</f>
        <v>10.9</v>
      </c>
      <c r="Q93" s="144" t="s">
        <v>29</v>
      </c>
      <c r="R93" s="118">
        <f t="shared" ca="1" si="21"/>
        <v>235459</v>
      </c>
      <c r="S93" s="118">
        <f t="shared" ca="1" si="21"/>
        <v>2566503</v>
      </c>
      <c r="T93" s="118">
        <f ca="1">초급</f>
        <v>235459</v>
      </c>
      <c r="U93" s="118">
        <f t="shared" ca="1" si="22"/>
        <v>2566503</v>
      </c>
      <c r="V93" s="118"/>
      <c r="W93" s="118"/>
      <c r="X93" s="118"/>
      <c r="Y93" s="118"/>
      <c r="Z93" s="115"/>
    </row>
    <row r="94" spans="1:26" ht="18" customHeight="1">
      <c r="C94" s="1" t="s">
        <v>1563</v>
      </c>
      <c r="J94" s="8"/>
      <c r="K94" s="171" t="s">
        <v>14</v>
      </c>
      <c r="L94" s="171"/>
      <c r="N94" s="319" t="s">
        <v>42</v>
      </c>
      <c r="O94" s="174">
        <v>8</v>
      </c>
      <c r="P94" s="235">
        <f ca="1">OFFSET($A$1,MATCH(Z88,$A:$A,0)-1,O94)</f>
        <v>13.7</v>
      </c>
      <c r="Q94" s="322" t="s">
        <v>29</v>
      </c>
      <c r="R94" s="323">
        <f t="shared" ca="1" si="21"/>
        <v>250087</v>
      </c>
      <c r="S94" s="323">
        <f t="shared" ca="1" si="21"/>
        <v>3426191</v>
      </c>
      <c r="T94" s="323">
        <f ca="1">보조원</f>
        <v>250087</v>
      </c>
      <c r="U94" s="323">
        <f t="shared" ca="1" si="22"/>
        <v>3426191</v>
      </c>
      <c r="V94" s="323"/>
      <c r="W94" s="323"/>
      <c r="X94" s="323"/>
      <c r="Y94" s="323"/>
      <c r="Z94" s="324"/>
    </row>
    <row r="95" spans="1:26" ht="18" customHeight="1">
      <c r="C95" s="9" t="s">
        <v>1564</v>
      </c>
      <c r="J95" s="8"/>
      <c r="K95" s="171" t="s">
        <v>14</v>
      </c>
      <c r="L95" s="171"/>
      <c r="N95" s="139" t="s">
        <v>17</v>
      </c>
      <c r="O95" s="68"/>
      <c r="P95" s="69"/>
      <c r="Q95" s="70"/>
      <c r="R95" s="71"/>
      <c r="S95" s="71">
        <f ca="1">SUBTOTAL(9,S89:S94)</f>
        <v>10596170</v>
      </c>
      <c r="T95" s="71"/>
      <c r="U95" s="71">
        <f ca="1">SUBTOTAL(9,U89:U94)</f>
        <v>10596170</v>
      </c>
      <c r="V95" s="71"/>
      <c r="W95" s="71"/>
      <c r="X95" s="71"/>
      <c r="Y95" s="71"/>
      <c r="Z95" s="68"/>
    </row>
    <row r="96" spans="1:26" ht="18" customHeight="1">
      <c r="C96" s="36" t="s">
        <v>1565</v>
      </c>
      <c r="K96" s="171" t="s">
        <v>14</v>
      </c>
      <c r="L96" s="171"/>
      <c r="N96" s="318" t="str">
        <f ca="1">"제 " &amp; Z96 &amp; " 호표  "&amp; OFFSET($A$1,MATCH(Z96,$A:$A,0)-1,1)</f>
        <v>제 4 호표  1.4. 건축물 현황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4</v>
      </c>
    </row>
    <row r="97" spans="2:26" ht="18" customHeight="1">
      <c r="C97" s="9" t="s">
        <v>1566</v>
      </c>
      <c r="K97" s="171" t="s">
        <v>14</v>
      </c>
      <c r="L97" s="171"/>
      <c r="N97" s="140" t="s">
        <v>43</v>
      </c>
      <c r="O97" s="172">
        <v>3</v>
      </c>
      <c r="P97" s="219">
        <f ca="1">OFFSET($A$1,MATCH(Z96,$A:$A,0)-1,O97)</f>
        <v>0.6</v>
      </c>
      <c r="Q97" s="141" t="s">
        <v>29</v>
      </c>
      <c r="R97" s="142">
        <f t="shared" ref="R97:S102" ca="1" si="23">T97</f>
        <v>467217</v>
      </c>
      <c r="S97" s="142">
        <f t="shared" ca="1" si="23"/>
        <v>280330</v>
      </c>
      <c r="T97" s="142">
        <f ca="1">기술사</f>
        <v>467217</v>
      </c>
      <c r="U97" s="142">
        <f t="shared" ref="U97:U102" ca="1" si="24">ROUNDDOWN(P97*R97,0)</f>
        <v>280330</v>
      </c>
      <c r="V97" s="142"/>
      <c r="W97" s="142"/>
      <c r="X97" s="142"/>
      <c r="Y97" s="142"/>
      <c r="Z97" s="114"/>
    </row>
    <row r="98" spans="2:26" ht="18" customHeight="1">
      <c r="C98" s="36" t="s">
        <v>1567</v>
      </c>
      <c r="K98" s="171" t="s">
        <v>14</v>
      </c>
      <c r="L98" s="171"/>
      <c r="N98" s="143" t="s">
        <v>32</v>
      </c>
      <c r="O98" s="173">
        <v>4</v>
      </c>
      <c r="P98" s="234">
        <f ca="1">OFFSET($A$1,MATCH(Z96,$A:$A,0)-1,O98)</f>
        <v>1.5</v>
      </c>
      <c r="Q98" s="144" t="s">
        <v>29</v>
      </c>
      <c r="R98" s="118">
        <f t="shared" ca="1" si="23"/>
        <v>373353</v>
      </c>
      <c r="S98" s="118">
        <f t="shared" ca="1" si="23"/>
        <v>560029</v>
      </c>
      <c r="T98" s="118">
        <f ca="1">특급</f>
        <v>373353</v>
      </c>
      <c r="U98" s="118">
        <f t="shared" ca="1" si="24"/>
        <v>560029</v>
      </c>
      <c r="V98" s="118"/>
      <c r="W98" s="118"/>
      <c r="X98" s="118"/>
      <c r="Y98" s="118"/>
      <c r="Z98" s="115"/>
    </row>
    <row r="99" spans="2:26" ht="18" customHeight="1">
      <c r="C99" s="9" t="s">
        <v>1568</v>
      </c>
      <c r="K99" s="171" t="s">
        <v>14</v>
      </c>
      <c r="L99" s="171"/>
      <c r="N99" s="145" t="s">
        <v>39</v>
      </c>
      <c r="O99" s="173">
        <v>5</v>
      </c>
      <c r="P99" s="234">
        <f ca="1">OFFSET($A$1,MATCH(Z96,$A:$A,0)-1,O99)</f>
        <v>3.6</v>
      </c>
      <c r="Q99" s="144" t="s">
        <v>29</v>
      </c>
      <c r="R99" s="118">
        <f t="shared" ca="1" si="23"/>
        <v>310884</v>
      </c>
      <c r="S99" s="118">
        <f t="shared" ca="1" si="23"/>
        <v>1119182</v>
      </c>
      <c r="T99" s="118">
        <f ca="1">고급</f>
        <v>310884</v>
      </c>
      <c r="U99" s="118">
        <f t="shared" ca="1" si="24"/>
        <v>1119182</v>
      </c>
      <c r="V99" s="118"/>
      <c r="W99" s="118"/>
      <c r="X99" s="118"/>
      <c r="Y99" s="118"/>
      <c r="Z99" s="115"/>
    </row>
    <row r="100" spans="2:26" ht="18" customHeight="1">
      <c r="C100" s="1" t="s">
        <v>1569</v>
      </c>
      <c r="K100" s="171" t="s">
        <v>14</v>
      </c>
      <c r="L100" s="171"/>
      <c r="N100" s="145" t="s">
        <v>40</v>
      </c>
      <c r="O100" s="173">
        <v>6</v>
      </c>
      <c r="P100" s="234">
        <f ca="1">OFFSET($A$1,MATCH(Z96,$A:$A,0)-1,O100)</f>
        <v>9.5</v>
      </c>
      <c r="Q100" s="144" t="s">
        <v>29</v>
      </c>
      <c r="R100" s="118">
        <f t="shared" ca="1" si="23"/>
        <v>295138</v>
      </c>
      <c r="S100" s="118">
        <f t="shared" ca="1" si="23"/>
        <v>2803811</v>
      </c>
      <c r="T100" s="118">
        <f ca="1">중급</f>
        <v>295138</v>
      </c>
      <c r="U100" s="118">
        <f t="shared" ca="1" si="24"/>
        <v>2803811</v>
      </c>
      <c r="V100" s="118"/>
      <c r="W100" s="118"/>
      <c r="X100" s="118"/>
      <c r="Y100" s="118"/>
      <c r="Z100" s="115"/>
    </row>
    <row r="101" spans="2:26" ht="18" customHeight="1">
      <c r="B101" s="9"/>
      <c r="C101" s="9" t="s">
        <v>1570</v>
      </c>
      <c r="K101" s="171" t="s">
        <v>14</v>
      </c>
      <c r="L101" s="171"/>
      <c r="N101" s="145" t="s">
        <v>41</v>
      </c>
      <c r="O101" s="173">
        <v>7</v>
      </c>
      <c r="P101" s="234">
        <f ca="1">OFFSET($A$1,MATCH(Z96,$A:$A,0)-1,O101)</f>
        <v>11.1</v>
      </c>
      <c r="Q101" s="144" t="s">
        <v>29</v>
      </c>
      <c r="R101" s="118">
        <f t="shared" ca="1" si="23"/>
        <v>235459</v>
      </c>
      <c r="S101" s="118">
        <f t="shared" ca="1" si="23"/>
        <v>2613594</v>
      </c>
      <c r="T101" s="118">
        <f ca="1">초급</f>
        <v>235459</v>
      </c>
      <c r="U101" s="118">
        <f t="shared" ca="1" si="24"/>
        <v>2613594</v>
      </c>
      <c r="V101" s="118"/>
      <c r="W101" s="118"/>
      <c r="X101" s="118"/>
      <c r="Y101" s="118"/>
      <c r="Z101" s="115"/>
    </row>
    <row r="102" spans="2:26" ht="18" customHeight="1">
      <c r="B102" s="9"/>
      <c r="C102" s="1" t="s">
        <v>1606</v>
      </c>
      <c r="K102" s="171" t="s">
        <v>14</v>
      </c>
      <c r="L102" s="171"/>
      <c r="N102" s="319" t="s">
        <v>42</v>
      </c>
      <c r="O102" s="174">
        <v>8</v>
      </c>
      <c r="P102" s="235">
        <f ca="1">OFFSET($A$1,MATCH(Z96,$A:$A,0)-1,O102)</f>
        <v>13.3</v>
      </c>
      <c r="Q102" s="322" t="s">
        <v>29</v>
      </c>
      <c r="R102" s="323">
        <f t="shared" ca="1" si="23"/>
        <v>250087</v>
      </c>
      <c r="S102" s="323">
        <f t="shared" ca="1" si="23"/>
        <v>3326157</v>
      </c>
      <c r="T102" s="323">
        <f ca="1">보조원</f>
        <v>250087</v>
      </c>
      <c r="U102" s="323">
        <f t="shared" ca="1" si="24"/>
        <v>3326157</v>
      </c>
      <c r="V102" s="323"/>
      <c r="W102" s="323"/>
      <c r="X102" s="323"/>
      <c r="Y102" s="323"/>
      <c r="Z102" s="324"/>
    </row>
    <row r="103" spans="2:26" ht="18" customHeight="1">
      <c r="B103" s="9"/>
      <c r="C103" s="1" t="s">
        <v>1607</v>
      </c>
      <c r="K103" s="171" t="s">
        <v>14</v>
      </c>
      <c r="L103" s="171"/>
      <c r="N103" s="139" t="s">
        <v>17</v>
      </c>
      <c r="O103" s="68"/>
      <c r="P103" s="69"/>
      <c r="Q103" s="70"/>
      <c r="R103" s="71"/>
      <c r="S103" s="71">
        <f ca="1">SUBTOTAL(9,S97:S102)</f>
        <v>10703103</v>
      </c>
      <c r="T103" s="71"/>
      <c r="U103" s="71">
        <f ca="1">SUBTOTAL(9,U97:U102)</f>
        <v>10703103</v>
      </c>
      <c r="V103" s="71"/>
      <c r="W103" s="71"/>
      <c r="X103" s="71"/>
      <c r="Y103" s="71"/>
      <c r="Z103" s="68"/>
    </row>
    <row r="104" spans="2:26" ht="18" customHeight="1">
      <c r="B104" s="9"/>
      <c r="C104" s="1" t="s">
        <v>1608</v>
      </c>
      <c r="K104" s="171" t="s">
        <v>14</v>
      </c>
      <c r="L104" s="171"/>
      <c r="N104" s="318" t="str">
        <f ca="1">"제 " &amp; Z104 &amp; " 호표  "&amp; OFFSET($A$1,MATCH(Z104,$A:$A,0)-1,1)</f>
        <v>제 5 호표  1.5. 교통현황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5</v>
      </c>
    </row>
    <row r="105" spans="2:26" ht="18" customHeight="1">
      <c r="B105" s="9"/>
      <c r="C105" s="1" t="s">
        <v>1609</v>
      </c>
      <c r="K105" s="171" t="s">
        <v>14</v>
      </c>
      <c r="L105" s="171"/>
      <c r="N105" s="140" t="s">
        <v>43</v>
      </c>
      <c r="O105" s="172">
        <v>3</v>
      </c>
      <c r="P105" s="219">
        <f ca="1">OFFSET($A$1,MATCH(Z104,$A:$A,0)-1,O105)</f>
        <v>0.4</v>
      </c>
      <c r="Q105" s="141" t="s">
        <v>29</v>
      </c>
      <c r="R105" s="142">
        <f t="shared" ref="R105:S110" ca="1" si="25">T105</f>
        <v>467217</v>
      </c>
      <c r="S105" s="142">
        <f t="shared" ca="1" si="25"/>
        <v>186886</v>
      </c>
      <c r="T105" s="142">
        <f ca="1">기술사</f>
        <v>467217</v>
      </c>
      <c r="U105" s="142">
        <f t="shared" ref="U105:U110" ca="1" si="26">ROUNDDOWN(P105*R105,0)</f>
        <v>186886</v>
      </c>
      <c r="V105" s="142"/>
      <c r="W105" s="142"/>
      <c r="X105" s="142"/>
      <c r="Y105" s="142"/>
      <c r="Z105" s="114"/>
    </row>
    <row r="106" spans="2:26" ht="18" customHeight="1">
      <c r="B106" s="9"/>
      <c r="C106" s="1" t="s">
        <v>1610</v>
      </c>
      <c r="K106" s="171" t="s">
        <v>14</v>
      </c>
      <c r="L106" s="171"/>
      <c r="N106" s="143" t="s">
        <v>32</v>
      </c>
      <c r="O106" s="173">
        <v>4</v>
      </c>
      <c r="P106" s="234">
        <f ca="1">OFFSET($A$1,MATCH(Z104,$A:$A,0)-1,O106)</f>
        <v>0.8</v>
      </c>
      <c r="Q106" s="144" t="s">
        <v>29</v>
      </c>
      <c r="R106" s="118">
        <f t="shared" ca="1" si="25"/>
        <v>373353</v>
      </c>
      <c r="S106" s="118">
        <f t="shared" ca="1" si="25"/>
        <v>298682</v>
      </c>
      <c r="T106" s="118">
        <f ca="1">특급</f>
        <v>373353</v>
      </c>
      <c r="U106" s="118">
        <f t="shared" ca="1" si="26"/>
        <v>298682</v>
      </c>
      <c r="V106" s="118"/>
      <c r="W106" s="118"/>
      <c r="X106" s="118"/>
      <c r="Y106" s="118"/>
      <c r="Z106" s="115"/>
    </row>
    <row r="107" spans="2:26" ht="18" customHeight="1">
      <c r="B107" s="9"/>
      <c r="C107" s="1" t="s">
        <v>1611</v>
      </c>
      <c r="K107" s="171" t="s">
        <v>14</v>
      </c>
      <c r="L107" s="171"/>
      <c r="N107" s="145" t="s">
        <v>39</v>
      </c>
      <c r="O107" s="173">
        <v>5</v>
      </c>
      <c r="P107" s="234">
        <f ca="1">OFFSET($A$1,MATCH(Z104,$A:$A,0)-1,O107)</f>
        <v>1.8</v>
      </c>
      <c r="Q107" s="144" t="s">
        <v>29</v>
      </c>
      <c r="R107" s="118">
        <f t="shared" ca="1" si="25"/>
        <v>310884</v>
      </c>
      <c r="S107" s="118">
        <f t="shared" ca="1" si="25"/>
        <v>559591</v>
      </c>
      <c r="T107" s="118">
        <f ca="1">고급</f>
        <v>310884</v>
      </c>
      <c r="U107" s="118">
        <f t="shared" ca="1" si="26"/>
        <v>559591</v>
      </c>
      <c r="V107" s="118"/>
      <c r="W107" s="118"/>
      <c r="X107" s="118"/>
      <c r="Y107" s="118"/>
      <c r="Z107" s="115"/>
    </row>
    <row r="108" spans="2:26" ht="18" customHeight="1">
      <c r="C108" s="1" t="s">
        <v>1612</v>
      </c>
      <c r="K108" s="171" t="s">
        <v>14</v>
      </c>
      <c r="L108" s="171"/>
      <c r="N108" s="145" t="s">
        <v>40</v>
      </c>
      <c r="O108" s="173">
        <v>6</v>
      </c>
      <c r="P108" s="234">
        <f ca="1">OFFSET($A$1,MATCH(Z104,$A:$A,0)-1,O108)</f>
        <v>5.3</v>
      </c>
      <c r="Q108" s="144" t="s">
        <v>29</v>
      </c>
      <c r="R108" s="118">
        <f t="shared" ca="1" si="25"/>
        <v>295138</v>
      </c>
      <c r="S108" s="118">
        <f t="shared" ca="1" si="25"/>
        <v>1564231</v>
      </c>
      <c r="T108" s="118">
        <f ca="1">중급</f>
        <v>295138</v>
      </c>
      <c r="U108" s="118">
        <f t="shared" ca="1" si="26"/>
        <v>1564231</v>
      </c>
      <c r="V108" s="118"/>
      <c r="W108" s="118"/>
      <c r="X108" s="118"/>
      <c r="Y108" s="118"/>
      <c r="Z108" s="115"/>
    </row>
    <row r="109" spans="2:26" ht="18" customHeight="1">
      <c r="K109" s="171" t="s">
        <v>14</v>
      </c>
      <c r="L109" s="171"/>
      <c r="N109" s="145" t="s">
        <v>41</v>
      </c>
      <c r="O109" s="173">
        <v>7</v>
      </c>
      <c r="P109" s="234">
        <f ca="1">OFFSET($A$1,MATCH(Z104,$A:$A,0)-1,O109)</f>
        <v>7.2</v>
      </c>
      <c r="Q109" s="144" t="s">
        <v>29</v>
      </c>
      <c r="R109" s="118">
        <f t="shared" ca="1" si="25"/>
        <v>235459</v>
      </c>
      <c r="S109" s="118">
        <f t="shared" ca="1" si="25"/>
        <v>1695304</v>
      </c>
      <c r="T109" s="118">
        <f ca="1">초급</f>
        <v>235459</v>
      </c>
      <c r="U109" s="118">
        <f t="shared" ca="1" si="26"/>
        <v>1695304</v>
      </c>
      <c r="V109" s="118"/>
      <c r="W109" s="118"/>
      <c r="X109" s="118"/>
      <c r="Y109" s="118"/>
      <c r="Z109" s="115"/>
    </row>
    <row r="110" spans="2:26" ht="18" customHeight="1">
      <c r="K110" s="171" t="s">
        <v>14</v>
      </c>
      <c r="L110" s="171"/>
      <c r="N110" s="319" t="s">
        <v>42</v>
      </c>
      <c r="O110" s="174">
        <v>8</v>
      </c>
      <c r="P110" s="235">
        <f ca="1">OFFSET($A$1,MATCH(Z104,$A:$A,0)-1,O110)</f>
        <v>10.199999999999999</v>
      </c>
      <c r="Q110" s="322" t="s">
        <v>29</v>
      </c>
      <c r="R110" s="323">
        <f t="shared" ca="1" si="25"/>
        <v>250087</v>
      </c>
      <c r="S110" s="323">
        <f t="shared" ca="1" si="25"/>
        <v>2550887</v>
      </c>
      <c r="T110" s="323">
        <f ca="1">보조원</f>
        <v>250087</v>
      </c>
      <c r="U110" s="323">
        <f t="shared" ca="1" si="26"/>
        <v>2550887</v>
      </c>
      <c r="V110" s="323"/>
      <c r="W110" s="323"/>
      <c r="X110" s="323"/>
      <c r="Y110" s="323"/>
      <c r="Z110" s="324"/>
    </row>
    <row r="111" spans="2:26" ht="18" customHeight="1">
      <c r="K111" s="171" t="s">
        <v>14</v>
      </c>
      <c r="L111" s="171"/>
      <c r="N111" s="139" t="s">
        <v>17</v>
      </c>
      <c r="O111" s="68"/>
      <c r="P111" s="69"/>
      <c r="Q111" s="70"/>
      <c r="R111" s="71"/>
      <c r="S111" s="71">
        <f ca="1">SUBTOTAL(9,S105:S110)</f>
        <v>6855581</v>
      </c>
      <c r="T111" s="71"/>
      <c r="U111" s="71">
        <f ca="1">SUBTOTAL(9,U105:U110)</f>
        <v>6855581</v>
      </c>
      <c r="V111" s="71"/>
      <c r="W111" s="71"/>
      <c r="X111" s="71"/>
      <c r="Y111" s="71"/>
      <c r="Z111" s="68"/>
    </row>
    <row r="112" spans="2:26" ht="18" customHeight="1">
      <c r="K112" s="171" t="s">
        <v>14</v>
      </c>
      <c r="L112" s="171"/>
      <c r="N112" s="318" t="str">
        <f ca="1">"제 " &amp; Z112 &amp; " 호표  "&amp; OFFSET($A$1,MATCH(Z112,$A:$A,0)-1,1)</f>
        <v>제 6 호표  1.6. 기반시설현황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6</v>
      </c>
    </row>
    <row r="113" spans="11:26" ht="18" customHeight="1">
      <c r="K113" s="171" t="s">
        <v>14</v>
      </c>
      <c r="L113" s="171"/>
      <c r="N113" s="140" t="s">
        <v>43</v>
      </c>
      <c r="O113" s="172">
        <v>3</v>
      </c>
      <c r="P113" s="219">
        <f ca="1">OFFSET($A$1,MATCH(Z112,$A:$A,0)-1,O113)</f>
        <v>0.4</v>
      </c>
      <c r="Q113" s="141" t="s">
        <v>29</v>
      </c>
      <c r="R113" s="142">
        <f t="shared" ref="R113:S118" ca="1" si="27">T113</f>
        <v>467217</v>
      </c>
      <c r="S113" s="142">
        <f t="shared" ca="1" si="27"/>
        <v>186886</v>
      </c>
      <c r="T113" s="142">
        <f ca="1">기술사</f>
        <v>467217</v>
      </c>
      <c r="U113" s="142">
        <f t="shared" ref="U113:U118" ca="1" si="28">ROUNDDOWN(P113*R113,0)</f>
        <v>186886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N114" s="143" t="s">
        <v>32</v>
      </c>
      <c r="O114" s="173">
        <v>4</v>
      </c>
      <c r="P114" s="234">
        <f ca="1">OFFSET($A$1,MATCH(Z112,$A:$A,0)-1,O114)</f>
        <v>0.8</v>
      </c>
      <c r="Q114" s="144" t="s">
        <v>29</v>
      </c>
      <c r="R114" s="118">
        <f t="shared" ca="1" si="27"/>
        <v>373353</v>
      </c>
      <c r="S114" s="118">
        <f t="shared" ca="1" si="27"/>
        <v>298682</v>
      </c>
      <c r="T114" s="118">
        <f ca="1">특급</f>
        <v>373353</v>
      </c>
      <c r="U114" s="118">
        <f t="shared" ca="1" si="28"/>
        <v>298682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39</v>
      </c>
      <c r="O115" s="173">
        <v>5</v>
      </c>
      <c r="P115" s="234">
        <f ca="1">OFFSET($A$1,MATCH(Z112,$A:$A,0)-1,O115)</f>
        <v>1.3</v>
      </c>
      <c r="Q115" s="144" t="s">
        <v>29</v>
      </c>
      <c r="R115" s="118">
        <f t="shared" ca="1" si="27"/>
        <v>310884</v>
      </c>
      <c r="S115" s="118">
        <f t="shared" ca="1" si="27"/>
        <v>404149</v>
      </c>
      <c r="T115" s="118">
        <f ca="1">고급</f>
        <v>310884</v>
      </c>
      <c r="U115" s="118">
        <f t="shared" ca="1" si="28"/>
        <v>404149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40</v>
      </c>
      <c r="O116" s="173">
        <v>6</v>
      </c>
      <c r="P116" s="234">
        <f ca="1">OFFSET($A$1,MATCH(Z112,$A:$A,0)-1,O116)</f>
        <v>3.2</v>
      </c>
      <c r="Q116" s="144" t="s">
        <v>29</v>
      </c>
      <c r="R116" s="118">
        <f t="shared" ca="1" si="27"/>
        <v>295138</v>
      </c>
      <c r="S116" s="118">
        <f t="shared" ca="1" si="27"/>
        <v>944441</v>
      </c>
      <c r="T116" s="118">
        <f ca="1">중급</f>
        <v>295138</v>
      </c>
      <c r="U116" s="118">
        <f t="shared" ca="1" si="28"/>
        <v>944441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41</v>
      </c>
      <c r="O117" s="173">
        <v>7</v>
      </c>
      <c r="P117" s="234">
        <f ca="1">OFFSET($A$1,MATCH(Z112,$A:$A,0)-1,O117)</f>
        <v>4.3</v>
      </c>
      <c r="Q117" s="144" t="s">
        <v>29</v>
      </c>
      <c r="R117" s="118">
        <f t="shared" ca="1" si="27"/>
        <v>235459</v>
      </c>
      <c r="S117" s="118">
        <f t="shared" ca="1" si="27"/>
        <v>1012473</v>
      </c>
      <c r="T117" s="118">
        <f ca="1">초급</f>
        <v>235459</v>
      </c>
      <c r="U117" s="118">
        <f t="shared" ca="1" si="28"/>
        <v>1012473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319" t="s">
        <v>42</v>
      </c>
      <c r="O118" s="174">
        <v>8</v>
      </c>
      <c r="P118" s="235">
        <f ca="1">OFFSET($A$1,MATCH(Z112,$A:$A,0)-1,O118)</f>
        <v>7.4</v>
      </c>
      <c r="Q118" s="322" t="s">
        <v>29</v>
      </c>
      <c r="R118" s="323">
        <f t="shared" ca="1" si="27"/>
        <v>250087</v>
      </c>
      <c r="S118" s="323">
        <f t="shared" ca="1" si="27"/>
        <v>1850643</v>
      </c>
      <c r="T118" s="323">
        <f ca="1">보조원</f>
        <v>250087</v>
      </c>
      <c r="U118" s="323">
        <f t="shared" ca="1" si="28"/>
        <v>1850643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N119" s="139" t="s">
        <v>17</v>
      </c>
      <c r="O119" s="68"/>
      <c r="P119" s="69"/>
      <c r="Q119" s="70"/>
      <c r="R119" s="71"/>
      <c r="S119" s="71">
        <f ca="1">SUBTOTAL(9,S113:S118)</f>
        <v>4697274</v>
      </c>
      <c r="T119" s="71"/>
      <c r="U119" s="71">
        <f ca="1">SUBTOTAL(9,U113:U118)</f>
        <v>4697274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N120" s="318" t="str">
        <f ca="1">"제 " &amp; Z120 &amp; " 호표  "&amp; OFFSET($A$1,MATCH(Z120,$A:$A,0)-1,1)</f>
        <v>제 7 호표  1.7. 도시계획현황 및 관련계획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7</v>
      </c>
    </row>
    <row r="121" spans="11:26" ht="18" customHeight="1">
      <c r="K121" s="171" t="s">
        <v>14</v>
      </c>
      <c r="L121" s="171"/>
      <c r="N121" s="140" t="s">
        <v>43</v>
      </c>
      <c r="O121" s="172">
        <v>3</v>
      </c>
      <c r="P121" s="219">
        <f ca="1">OFFSET($A$1,MATCH(Z120,$A:$A,0)-1,O121)</f>
        <v>0.4</v>
      </c>
      <c r="Q121" s="141" t="s">
        <v>29</v>
      </c>
      <c r="R121" s="142">
        <f t="shared" ref="R121:S126" ca="1" si="29">T121</f>
        <v>467217</v>
      </c>
      <c r="S121" s="142">
        <f t="shared" ca="1" si="29"/>
        <v>186886</v>
      </c>
      <c r="T121" s="142">
        <f ca="1">기술사</f>
        <v>467217</v>
      </c>
      <c r="U121" s="142">
        <f t="shared" ref="U121:U126" ca="1" si="30">ROUNDDOWN(P121*R121,0)</f>
        <v>186886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N122" s="143" t="s">
        <v>32</v>
      </c>
      <c r="O122" s="173">
        <v>4</v>
      </c>
      <c r="P122" s="234">
        <f ca="1">OFFSET($A$1,MATCH(Z120,$A:$A,0)-1,O122)</f>
        <v>0.8</v>
      </c>
      <c r="Q122" s="144" t="s">
        <v>29</v>
      </c>
      <c r="R122" s="118">
        <f t="shared" ca="1" si="29"/>
        <v>373353</v>
      </c>
      <c r="S122" s="118">
        <f t="shared" ca="1" si="29"/>
        <v>298682</v>
      </c>
      <c r="T122" s="118">
        <f ca="1">특급</f>
        <v>373353</v>
      </c>
      <c r="U122" s="118">
        <f t="shared" ca="1" si="30"/>
        <v>298682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39</v>
      </c>
      <c r="O123" s="173">
        <v>5</v>
      </c>
      <c r="P123" s="234">
        <f ca="1">OFFSET($A$1,MATCH(Z120,$A:$A,0)-1,O123)</f>
        <v>1.3</v>
      </c>
      <c r="Q123" s="144" t="s">
        <v>29</v>
      </c>
      <c r="R123" s="118">
        <f t="shared" ca="1" si="29"/>
        <v>310884</v>
      </c>
      <c r="S123" s="118">
        <f t="shared" ca="1" si="29"/>
        <v>404149</v>
      </c>
      <c r="T123" s="118">
        <f ca="1">고급</f>
        <v>310884</v>
      </c>
      <c r="U123" s="118">
        <f t="shared" ca="1" si="30"/>
        <v>404149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145" t="s">
        <v>40</v>
      </c>
      <c r="O124" s="173">
        <v>6</v>
      </c>
      <c r="P124" s="234">
        <f ca="1">OFFSET($A$1,MATCH(Z120,$A:$A,0)-1,O124)</f>
        <v>3.6</v>
      </c>
      <c r="Q124" s="144" t="s">
        <v>29</v>
      </c>
      <c r="R124" s="118">
        <f t="shared" ca="1" si="29"/>
        <v>295138</v>
      </c>
      <c r="S124" s="118">
        <f t="shared" ca="1" si="29"/>
        <v>1062496</v>
      </c>
      <c r="T124" s="118">
        <f ca="1">중급</f>
        <v>295138</v>
      </c>
      <c r="U124" s="118">
        <f t="shared" ca="1" si="30"/>
        <v>1062496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N125" s="145" t="s">
        <v>41</v>
      </c>
      <c r="O125" s="173">
        <v>7</v>
      </c>
      <c r="P125" s="234">
        <f ca="1">OFFSET($A$1,MATCH(Z120,$A:$A,0)-1,O125)</f>
        <v>5.3</v>
      </c>
      <c r="Q125" s="144" t="s">
        <v>29</v>
      </c>
      <c r="R125" s="118">
        <f t="shared" ca="1" si="29"/>
        <v>235459</v>
      </c>
      <c r="S125" s="118">
        <f t="shared" ca="1" si="29"/>
        <v>1247932</v>
      </c>
      <c r="T125" s="118">
        <f ca="1">초급</f>
        <v>235459</v>
      </c>
      <c r="U125" s="118">
        <f t="shared" ca="1" si="30"/>
        <v>1247932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319" t="s">
        <v>42</v>
      </c>
      <c r="O126" s="174">
        <v>8</v>
      </c>
      <c r="P126" s="235">
        <f ca="1">OFFSET($A$1,MATCH(Z120,$A:$A,0)-1,O126)</f>
        <v>5.6</v>
      </c>
      <c r="Q126" s="322" t="s">
        <v>29</v>
      </c>
      <c r="R126" s="323">
        <f t="shared" ca="1" si="29"/>
        <v>250087</v>
      </c>
      <c r="S126" s="323">
        <f t="shared" ca="1" si="29"/>
        <v>1400487</v>
      </c>
      <c r="T126" s="323">
        <f ca="1">보조원</f>
        <v>250087</v>
      </c>
      <c r="U126" s="323">
        <f t="shared" ca="1" si="30"/>
        <v>1400487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N127" s="139" t="s">
        <v>17</v>
      </c>
      <c r="O127" s="68"/>
      <c r="P127" s="69"/>
      <c r="Q127" s="70"/>
      <c r="R127" s="71"/>
      <c r="S127" s="71">
        <f ca="1">SUBTOTAL(9,S121:S126)</f>
        <v>4600632</v>
      </c>
      <c r="T127" s="71"/>
      <c r="U127" s="71">
        <f ca="1">SUBTOTAL(9,U121:U126)</f>
        <v>4600632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N128" s="318" t="str">
        <f ca="1">"제 " &amp; Z128 &amp; " 호표  "&amp; OFFSET($A$1,MATCH(Z128,$A:$A,0)-1,1)</f>
        <v>제 8 호표  1.8. 가로시설물 및 조경환경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8</v>
      </c>
    </row>
    <row r="129" spans="11:26" ht="18" customHeight="1">
      <c r="K129" s="171" t="s">
        <v>14</v>
      </c>
      <c r="L129" s="171"/>
      <c r="N129" s="140" t="s">
        <v>43</v>
      </c>
      <c r="O129" s="172">
        <v>3</v>
      </c>
      <c r="P129" s="219">
        <f ca="1">OFFSET($A$1,MATCH(Z128,$A:$A,0)-1,O129)</f>
        <v>0.4</v>
      </c>
      <c r="Q129" s="141" t="s">
        <v>29</v>
      </c>
      <c r="R129" s="142">
        <f t="shared" ref="R129:S134" ca="1" si="31">T129</f>
        <v>467217</v>
      </c>
      <c r="S129" s="142">
        <f t="shared" ca="1" si="31"/>
        <v>186886</v>
      </c>
      <c r="T129" s="142">
        <f ca="1">기술사</f>
        <v>467217</v>
      </c>
      <c r="U129" s="142">
        <f t="shared" ref="U129:U134" ca="1" si="32">ROUNDDOWN(P129*R129,0)</f>
        <v>186886</v>
      </c>
      <c r="V129" s="142"/>
      <c r="W129" s="142"/>
      <c r="X129" s="142"/>
      <c r="Y129" s="142"/>
      <c r="Z129" s="114"/>
    </row>
    <row r="130" spans="11:26" ht="18" customHeight="1">
      <c r="K130" s="171" t="s">
        <v>14</v>
      </c>
      <c r="L130" s="171"/>
      <c r="N130" s="143" t="s">
        <v>32</v>
      </c>
      <c r="O130" s="173">
        <v>4</v>
      </c>
      <c r="P130" s="234">
        <f ca="1">OFFSET($A$1,MATCH(Z128,$A:$A,0)-1,O130)</f>
        <v>0.8</v>
      </c>
      <c r="Q130" s="144" t="s">
        <v>29</v>
      </c>
      <c r="R130" s="118">
        <f t="shared" ca="1" si="31"/>
        <v>373353</v>
      </c>
      <c r="S130" s="118">
        <f t="shared" ca="1" si="31"/>
        <v>298682</v>
      </c>
      <c r="T130" s="118">
        <f ca="1">특급</f>
        <v>373353</v>
      </c>
      <c r="U130" s="118">
        <f t="shared" ca="1" si="32"/>
        <v>298682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145" t="s">
        <v>39</v>
      </c>
      <c r="O131" s="173">
        <v>5</v>
      </c>
      <c r="P131" s="234">
        <f ca="1">OFFSET($A$1,MATCH(Z128,$A:$A,0)-1,O131)</f>
        <v>1.8</v>
      </c>
      <c r="Q131" s="144" t="s">
        <v>29</v>
      </c>
      <c r="R131" s="118">
        <f t="shared" ca="1" si="31"/>
        <v>310884</v>
      </c>
      <c r="S131" s="118">
        <f t="shared" ca="1" si="31"/>
        <v>559591</v>
      </c>
      <c r="T131" s="118">
        <f ca="1">고급</f>
        <v>310884</v>
      </c>
      <c r="U131" s="118">
        <f t="shared" ca="1" si="32"/>
        <v>559591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N132" s="145" t="s">
        <v>40</v>
      </c>
      <c r="O132" s="173">
        <v>6</v>
      </c>
      <c r="P132" s="234">
        <f ca="1">OFFSET($A$1,MATCH(Z128,$A:$A,0)-1,O132)</f>
        <v>2.9</v>
      </c>
      <c r="Q132" s="144" t="s">
        <v>29</v>
      </c>
      <c r="R132" s="118">
        <f t="shared" ca="1" si="31"/>
        <v>295138</v>
      </c>
      <c r="S132" s="118">
        <f t="shared" ca="1" si="31"/>
        <v>855900</v>
      </c>
      <c r="T132" s="118">
        <f ca="1">중급</f>
        <v>295138</v>
      </c>
      <c r="U132" s="118">
        <f t="shared" ca="1" si="32"/>
        <v>855900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N133" s="145" t="s">
        <v>41</v>
      </c>
      <c r="O133" s="173">
        <v>7</v>
      </c>
      <c r="P133" s="234">
        <f ca="1">OFFSET($A$1,MATCH(Z128,$A:$A,0)-1,O133)</f>
        <v>3.9</v>
      </c>
      <c r="Q133" s="144" t="s">
        <v>29</v>
      </c>
      <c r="R133" s="118">
        <f t="shared" ca="1" si="31"/>
        <v>235459</v>
      </c>
      <c r="S133" s="118">
        <f t="shared" ca="1" si="31"/>
        <v>918290</v>
      </c>
      <c r="T133" s="118">
        <f ca="1">초급</f>
        <v>235459</v>
      </c>
      <c r="U133" s="118">
        <f t="shared" ca="1" si="32"/>
        <v>918290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N134" s="319" t="s">
        <v>42</v>
      </c>
      <c r="O134" s="174">
        <v>8</v>
      </c>
      <c r="P134" s="235">
        <f ca="1">OFFSET($A$1,MATCH(Z128,$A:$A,0)-1,O134)</f>
        <v>6.2</v>
      </c>
      <c r="Q134" s="322" t="s">
        <v>29</v>
      </c>
      <c r="R134" s="323">
        <f t="shared" ca="1" si="31"/>
        <v>250087</v>
      </c>
      <c r="S134" s="323">
        <f t="shared" ca="1" si="31"/>
        <v>1550539</v>
      </c>
      <c r="T134" s="323">
        <f ca="1">보조원</f>
        <v>250087</v>
      </c>
      <c r="U134" s="323">
        <f t="shared" ca="1" si="32"/>
        <v>1550539</v>
      </c>
      <c r="V134" s="323"/>
      <c r="W134" s="323"/>
      <c r="X134" s="323"/>
      <c r="Y134" s="323"/>
      <c r="Z134" s="324"/>
    </row>
    <row r="135" spans="11:26" ht="18" customHeight="1">
      <c r="K135" s="171" t="s">
        <v>14</v>
      </c>
      <c r="L135" s="171"/>
      <c r="N135" s="139" t="s">
        <v>17</v>
      </c>
      <c r="O135" s="68"/>
      <c r="P135" s="69"/>
      <c r="Q135" s="70"/>
      <c r="R135" s="71"/>
      <c r="S135" s="71">
        <f ca="1">SUBTOTAL(9,S129:S134)</f>
        <v>4369888</v>
      </c>
      <c r="T135" s="71"/>
      <c r="U135" s="71">
        <f ca="1">SUBTOTAL(9,U129:U134)</f>
        <v>4369888</v>
      </c>
      <c r="V135" s="71"/>
      <c r="W135" s="71"/>
      <c r="X135" s="71"/>
      <c r="Y135" s="71"/>
      <c r="Z135" s="68"/>
    </row>
    <row r="136" spans="11:26" ht="18" customHeight="1">
      <c r="K136" s="171" t="s">
        <v>14</v>
      </c>
      <c r="L136" s="171"/>
      <c r="N136" s="318" t="str">
        <f ca="1">"제 " &amp; Z136 &amp; " 호표  "&amp; OFFSET($A$1,MATCH(Z136,$A:$A,0)-1,1)</f>
        <v>제 9 호표  1.9. 문제점 및 잠재력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9</v>
      </c>
    </row>
    <row r="137" spans="11:26" ht="18" customHeight="1">
      <c r="K137" s="171" t="s">
        <v>14</v>
      </c>
      <c r="L137" s="171"/>
      <c r="N137" s="140" t="s">
        <v>43</v>
      </c>
      <c r="O137" s="172">
        <v>3</v>
      </c>
      <c r="P137" s="219">
        <f ca="1">OFFSET($A$1,MATCH(Z136,$A:$A,0)-1,O137)</f>
        <v>0.4</v>
      </c>
      <c r="Q137" s="141" t="s">
        <v>29</v>
      </c>
      <c r="R137" s="142">
        <f t="shared" ref="R137:S142" ca="1" si="33">T137</f>
        <v>467217</v>
      </c>
      <c r="S137" s="142">
        <f t="shared" ca="1" si="33"/>
        <v>186886</v>
      </c>
      <c r="T137" s="142">
        <f ca="1">기술사</f>
        <v>467217</v>
      </c>
      <c r="U137" s="142">
        <f t="shared" ref="U137:U142" ca="1" si="34">ROUNDDOWN(P137*R137,0)</f>
        <v>186886</v>
      </c>
      <c r="V137" s="142"/>
      <c r="W137" s="142"/>
      <c r="X137" s="142"/>
      <c r="Y137" s="142"/>
      <c r="Z137" s="114"/>
    </row>
    <row r="138" spans="11:26" ht="18" customHeight="1">
      <c r="K138" s="171" t="s">
        <v>14</v>
      </c>
      <c r="L138" s="171"/>
      <c r="N138" s="143" t="s">
        <v>32</v>
      </c>
      <c r="O138" s="173">
        <v>4</v>
      </c>
      <c r="P138" s="234">
        <f ca="1">OFFSET($A$1,MATCH(Z136,$A:$A,0)-1,O138)</f>
        <v>0.8</v>
      </c>
      <c r="Q138" s="144" t="s">
        <v>29</v>
      </c>
      <c r="R138" s="118">
        <f t="shared" ca="1" si="33"/>
        <v>373353</v>
      </c>
      <c r="S138" s="118">
        <f t="shared" ca="1" si="33"/>
        <v>298682</v>
      </c>
      <c r="T138" s="118">
        <f ca="1">특급</f>
        <v>373353</v>
      </c>
      <c r="U138" s="118">
        <f t="shared" ca="1" si="34"/>
        <v>298682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N139" s="145" t="s">
        <v>39</v>
      </c>
      <c r="O139" s="173">
        <v>5</v>
      </c>
      <c r="P139" s="234">
        <f ca="1">OFFSET($A$1,MATCH(Z136,$A:$A,0)-1,O139)</f>
        <v>1.8</v>
      </c>
      <c r="Q139" s="144" t="s">
        <v>29</v>
      </c>
      <c r="R139" s="118">
        <f t="shared" ca="1" si="33"/>
        <v>310884</v>
      </c>
      <c r="S139" s="118">
        <f t="shared" ca="1" si="33"/>
        <v>559591</v>
      </c>
      <c r="T139" s="118">
        <f ca="1">고급</f>
        <v>310884</v>
      </c>
      <c r="U139" s="118">
        <f t="shared" ca="1" si="34"/>
        <v>559591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N140" s="145" t="s">
        <v>40</v>
      </c>
      <c r="O140" s="173">
        <v>6</v>
      </c>
      <c r="P140" s="234">
        <f ca="1">OFFSET($A$1,MATCH(Z136,$A:$A,0)-1,O140)</f>
        <v>2.9</v>
      </c>
      <c r="Q140" s="144" t="s">
        <v>29</v>
      </c>
      <c r="R140" s="118">
        <f t="shared" ca="1" si="33"/>
        <v>295138</v>
      </c>
      <c r="S140" s="118">
        <f t="shared" ca="1" si="33"/>
        <v>855900</v>
      </c>
      <c r="T140" s="118">
        <f ca="1">중급</f>
        <v>295138</v>
      </c>
      <c r="U140" s="118">
        <f t="shared" ca="1" si="34"/>
        <v>855900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N141" s="145" t="s">
        <v>41</v>
      </c>
      <c r="O141" s="173">
        <v>7</v>
      </c>
      <c r="P141" s="234">
        <f ca="1">OFFSET($A$1,MATCH(Z136,$A:$A,0)-1,O141)</f>
        <v>3.9</v>
      </c>
      <c r="Q141" s="144" t="s">
        <v>29</v>
      </c>
      <c r="R141" s="118">
        <f t="shared" ca="1" si="33"/>
        <v>235459</v>
      </c>
      <c r="S141" s="118">
        <f t="shared" ca="1" si="33"/>
        <v>918290</v>
      </c>
      <c r="T141" s="118">
        <f ca="1">초급</f>
        <v>235459</v>
      </c>
      <c r="U141" s="118">
        <f t="shared" ca="1" si="34"/>
        <v>918290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N142" s="319" t="s">
        <v>42</v>
      </c>
      <c r="O142" s="174">
        <v>8</v>
      </c>
      <c r="P142" s="235">
        <f ca="1">OFFSET($A$1,MATCH(Z136,$A:$A,0)-1,O142)</f>
        <v>0</v>
      </c>
      <c r="Q142" s="322" t="s">
        <v>29</v>
      </c>
      <c r="R142" s="323">
        <f t="shared" ca="1" si="33"/>
        <v>250087</v>
      </c>
      <c r="S142" s="323">
        <f t="shared" ca="1" si="33"/>
        <v>0</v>
      </c>
      <c r="T142" s="323">
        <f ca="1">보조원</f>
        <v>250087</v>
      </c>
      <c r="U142" s="323">
        <f t="shared" ca="1" si="34"/>
        <v>0</v>
      </c>
      <c r="V142" s="323"/>
      <c r="W142" s="323"/>
      <c r="X142" s="323"/>
      <c r="Y142" s="323"/>
      <c r="Z142" s="324"/>
    </row>
    <row r="143" spans="11:26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2819349</v>
      </c>
      <c r="T143" s="71"/>
      <c r="U143" s="71">
        <f ca="1">SUBTOTAL(9,U137:U142)</f>
        <v>2819349</v>
      </c>
      <c r="V143" s="71"/>
      <c r="W143" s="71"/>
      <c r="X143" s="71"/>
      <c r="Y143" s="71"/>
      <c r="Z143" s="68"/>
    </row>
    <row r="144" spans="11:26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10 호표  2.1. 과제정립 및 목표설정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10</v>
      </c>
    </row>
    <row r="145" spans="11:26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0.3</v>
      </c>
      <c r="Q145" s="141" t="s">
        <v>29</v>
      </c>
      <c r="R145" s="142">
        <f t="shared" ref="R145:S150" ca="1" si="35">T145</f>
        <v>467217</v>
      </c>
      <c r="S145" s="142">
        <f t="shared" ca="1" si="35"/>
        <v>140165</v>
      </c>
      <c r="T145" s="142">
        <f ca="1">기술사</f>
        <v>467217</v>
      </c>
      <c r="U145" s="142">
        <f t="shared" ref="U145:U150" ca="1" si="36">ROUNDDOWN(P145*R145,0)</f>
        <v>140165</v>
      </c>
      <c r="V145" s="142"/>
      <c r="W145" s="142"/>
      <c r="X145" s="142"/>
      <c r="Y145" s="142"/>
      <c r="Z145" s="114"/>
    </row>
    <row r="146" spans="11:26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0.5</v>
      </c>
      <c r="Q146" s="144" t="s">
        <v>29</v>
      </c>
      <c r="R146" s="118">
        <f t="shared" ca="1" si="35"/>
        <v>373353</v>
      </c>
      <c r="S146" s="118">
        <f t="shared" ca="1" si="35"/>
        <v>186676</v>
      </c>
      <c r="T146" s="118">
        <f ca="1">특급</f>
        <v>373353</v>
      </c>
      <c r="U146" s="118">
        <f t="shared" ca="1" si="36"/>
        <v>186676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2.2000000000000002</v>
      </c>
      <c r="Q147" s="144" t="s">
        <v>29</v>
      </c>
      <c r="R147" s="118">
        <f t="shared" ca="1" si="35"/>
        <v>310884</v>
      </c>
      <c r="S147" s="118">
        <f t="shared" ca="1" si="35"/>
        <v>683944</v>
      </c>
      <c r="T147" s="118">
        <f ca="1">고급</f>
        <v>310884</v>
      </c>
      <c r="U147" s="118">
        <f t="shared" ca="1" si="36"/>
        <v>683944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2.5</v>
      </c>
      <c r="Q148" s="144" t="s">
        <v>29</v>
      </c>
      <c r="R148" s="118">
        <f t="shared" ca="1" si="35"/>
        <v>295138</v>
      </c>
      <c r="S148" s="118">
        <f t="shared" ca="1" si="35"/>
        <v>737845</v>
      </c>
      <c r="T148" s="118">
        <f ca="1">중급</f>
        <v>295138</v>
      </c>
      <c r="U148" s="118">
        <f t="shared" ca="1" si="36"/>
        <v>737845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5.6</v>
      </c>
      <c r="Q149" s="144" t="s">
        <v>29</v>
      </c>
      <c r="R149" s="118">
        <f t="shared" ca="1" si="35"/>
        <v>235459</v>
      </c>
      <c r="S149" s="118">
        <f t="shared" ca="1" si="35"/>
        <v>1318570</v>
      </c>
      <c r="T149" s="118">
        <f ca="1">초급</f>
        <v>235459</v>
      </c>
      <c r="U149" s="118">
        <f t="shared" ca="1" si="36"/>
        <v>1318570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7.4</v>
      </c>
      <c r="Q150" s="322" t="s">
        <v>29</v>
      </c>
      <c r="R150" s="323">
        <f t="shared" ca="1" si="35"/>
        <v>250087</v>
      </c>
      <c r="S150" s="323">
        <f t="shared" ca="1" si="35"/>
        <v>1850643</v>
      </c>
      <c r="T150" s="323">
        <f ca="1">보조원</f>
        <v>250087</v>
      </c>
      <c r="U150" s="323">
        <f t="shared" ca="1" si="36"/>
        <v>1850643</v>
      </c>
      <c r="V150" s="323"/>
      <c r="W150" s="323"/>
      <c r="X150" s="323"/>
      <c r="Y150" s="323"/>
      <c r="Z150" s="324"/>
    </row>
    <row r="151" spans="11:26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4917843</v>
      </c>
      <c r="T151" s="71"/>
      <c r="U151" s="71">
        <f ca="1">SUBTOTAL(9,U145:U150)</f>
        <v>4917843</v>
      </c>
      <c r="V151" s="71"/>
      <c r="W151" s="71"/>
      <c r="X151" s="71"/>
      <c r="Y151" s="71"/>
      <c r="Z151" s="68"/>
    </row>
    <row r="152" spans="11:26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11 호표  2.2. 기본방향 및 지표설정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11</v>
      </c>
    </row>
    <row r="153" spans="11:26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0.6</v>
      </c>
      <c r="Q153" s="141" t="s">
        <v>29</v>
      </c>
      <c r="R153" s="142">
        <f t="shared" ref="R153:S158" ca="1" si="37">T153</f>
        <v>467217</v>
      </c>
      <c r="S153" s="142">
        <f t="shared" ca="1" si="37"/>
        <v>280330</v>
      </c>
      <c r="T153" s="142">
        <f ca="1">기술사</f>
        <v>467217</v>
      </c>
      <c r="U153" s="142">
        <f t="shared" ref="U153:U158" ca="1" si="38">ROUNDDOWN(P153*R153,0)</f>
        <v>280330</v>
      </c>
      <c r="V153" s="142"/>
      <c r="W153" s="142"/>
      <c r="X153" s="142"/>
      <c r="Y153" s="142"/>
      <c r="Z153" s="114"/>
    </row>
    <row r="154" spans="11:26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1</v>
      </c>
      <c r="Q154" s="144" t="s">
        <v>29</v>
      </c>
      <c r="R154" s="118">
        <f t="shared" ca="1" si="37"/>
        <v>373353</v>
      </c>
      <c r="S154" s="118">
        <f t="shared" ca="1" si="37"/>
        <v>373353</v>
      </c>
      <c r="T154" s="118">
        <f ca="1">특급</f>
        <v>373353</v>
      </c>
      <c r="U154" s="118">
        <f t="shared" ca="1" si="38"/>
        <v>373353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3.4</v>
      </c>
      <c r="Q155" s="144" t="s">
        <v>29</v>
      </c>
      <c r="R155" s="118">
        <f t="shared" ca="1" si="37"/>
        <v>310884</v>
      </c>
      <c r="S155" s="118">
        <f t="shared" ca="1" si="37"/>
        <v>1057005</v>
      </c>
      <c r="T155" s="118">
        <f ca="1">고급</f>
        <v>310884</v>
      </c>
      <c r="U155" s="118">
        <f t="shared" ca="1" si="38"/>
        <v>1057005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2.9</v>
      </c>
      <c r="Q156" s="144" t="s">
        <v>29</v>
      </c>
      <c r="R156" s="118">
        <f t="shared" ca="1" si="37"/>
        <v>295138</v>
      </c>
      <c r="S156" s="118">
        <f t="shared" ca="1" si="37"/>
        <v>855900</v>
      </c>
      <c r="T156" s="118">
        <f ca="1">중급</f>
        <v>295138</v>
      </c>
      <c r="U156" s="118">
        <f t="shared" ca="1" si="38"/>
        <v>855900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6.7</v>
      </c>
      <c r="Q157" s="144" t="s">
        <v>29</v>
      </c>
      <c r="R157" s="118">
        <f t="shared" ca="1" si="37"/>
        <v>235459</v>
      </c>
      <c r="S157" s="118">
        <f t="shared" ca="1" si="37"/>
        <v>1577575</v>
      </c>
      <c r="T157" s="118">
        <f ca="1">초급</f>
        <v>235459</v>
      </c>
      <c r="U157" s="118">
        <f t="shared" ca="1" si="38"/>
        <v>1577575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9</v>
      </c>
      <c r="Q158" s="322" t="s">
        <v>29</v>
      </c>
      <c r="R158" s="323">
        <f t="shared" ca="1" si="37"/>
        <v>250087</v>
      </c>
      <c r="S158" s="323">
        <f t="shared" ca="1" si="37"/>
        <v>2250783</v>
      </c>
      <c r="T158" s="323">
        <f ca="1">보조원</f>
        <v>250087</v>
      </c>
      <c r="U158" s="323">
        <f t="shared" ca="1" si="38"/>
        <v>2250783</v>
      </c>
      <c r="V158" s="323"/>
      <c r="W158" s="323"/>
      <c r="X158" s="323"/>
      <c r="Y158" s="323"/>
      <c r="Z158" s="324"/>
    </row>
    <row r="159" spans="11:26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6394946</v>
      </c>
      <c r="T159" s="71"/>
      <c r="U159" s="71">
        <f ca="1">SUBTOTAL(9,U153:U158)</f>
        <v>6394946</v>
      </c>
      <c r="V159" s="71"/>
      <c r="W159" s="71"/>
      <c r="X159" s="71"/>
      <c r="Y159" s="71"/>
      <c r="Z159" s="68"/>
    </row>
    <row r="160" spans="11:26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12 호표  2.3. 토지이용체계구상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12</v>
      </c>
    </row>
    <row r="161" spans="11:26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0.6</v>
      </c>
      <c r="Q161" s="141" t="s">
        <v>29</v>
      </c>
      <c r="R161" s="142">
        <f t="shared" ref="R161:S166" ca="1" si="39">T161</f>
        <v>467217</v>
      </c>
      <c r="S161" s="142">
        <f t="shared" ca="1" si="39"/>
        <v>280330</v>
      </c>
      <c r="T161" s="142">
        <f ca="1">기술사</f>
        <v>467217</v>
      </c>
      <c r="U161" s="142">
        <f t="shared" ref="U161:U166" ca="1" si="40">ROUNDDOWN(P161*R161,0)</f>
        <v>280330</v>
      </c>
      <c r="V161" s="142"/>
      <c r="W161" s="142"/>
      <c r="X161" s="142"/>
      <c r="Y161" s="142"/>
      <c r="Z161" s="114"/>
    </row>
    <row r="162" spans="11:26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1.1000000000000001</v>
      </c>
      <c r="Q162" s="144" t="s">
        <v>29</v>
      </c>
      <c r="R162" s="118">
        <f t="shared" ca="1" si="39"/>
        <v>373353</v>
      </c>
      <c r="S162" s="118">
        <f t="shared" ca="1" si="39"/>
        <v>410688</v>
      </c>
      <c r="T162" s="118">
        <f ca="1">특급</f>
        <v>373353</v>
      </c>
      <c r="U162" s="118">
        <f t="shared" ca="1" si="40"/>
        <v>410688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3.4</v>
      </c>
      <c r="Q163" s="144" t="s">
        <v>29</v>
      </c>
      <c r="R163" s="118">
        <f t="shared" ca="1" si="39"/>
        <v>310884</v>
      </c>
      <c r="S163" s="118">
        <f t="shared" ca="1" si="39"/>
        <v>1057005</v>
      </c>
      <c r="T163" s="118">
        <f ca="1">고급</f>
        <v>310884</v>
      </c>
      <c r="U163" s="118">
        <f t="shared" ca="1" si="40"/>
        <v>1057005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2.9</v>
      </c>
      <c r="Q164" s="144" t="s">
        <v>29</v>
      </c>
      <c r="R164" s="118">
        <f t="shared" ca="1" si="39"/>
        <v>295138</v>
      </c>
      <c r="S164" s="118">
        <f t="shared" ca="1" si="39"/>
        <v>855900</v>
      </c>
      <c r="T164" s="118">
        <f ca="1">중급</f>
        <v>295138</v>
      </c>
      <c r="U164" s="118">
        <f t="shared" ca="1" si="40"/>
        <v>855900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6.7</v>
      </c>
      <c r="Q165" s="144" t="s">
        <v>29</v>
      </c>
      <c r="R165" s="118">
        <f t="shared" ca="1" si="39"/>
        <v>235459</v>
      </c>
      <c r="S165" s="118">
        <f t="shared" ca="1" si="39"/>
        <v>1577575</v>
      </c>
      <c r="T165" s="118">
        <f ca="1">초급</f>
        <v>235459</v>
      </c>
      <c r="U165" s="118">
        <f t="shared" ca="1" si="40"/>
        <v>1577575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9</v>
      </c>
      <c r="Q166" s="322" t="s">
        <v>29</v>
      </c>
      <c r="R166" s="323">
        <f t="shared" ca="1" si="39"/>
        <v>250087</v>
      </c>
      <c r="S166" s="323">
        <f t="shared" ca="1" si="39"/>
        <v>2250783</v>
      </c>
      <c r="T166" s="323">
        <f ca="1">보조원</f>
        <v>250087</v>
      </c>
      <c r="U166" s="323">
        <f t="shared" ca="1" si="40"/>
        <v>2250783</v>
      </c>
      <c r="V166" s="323"/>
      <c r="W166" s="323"/>
      <c r="X166" s="323"/>
      <c r="Y166" s="323"/>
      <c r="Z166" s="324"/>
    </row>
    <row r="167" spans="11:26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6432281</v>
      </c>
      <c r="T167" s="71"/>
      <c r="U167" s="71">
        <f ca="1">SUBTOTAL(9,U161:U166)</f>
        <v>6432281</v>
      </c>
      <c r="V167" s="71"/>
      <c r="W167" s="71"/>
      <c r="X167" s="71"/>
      <c r="Y167" s="71"/>
      <c r="Z167" s="68"/>
    </row>
    <row r="168" spans="11:26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13 호표  2.4. 교통동선체계구상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13</v>
      </c>
    </row>
    <row r="169" spans="11:26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0.3</v>
      </c>
      <c r="Q169" s="141" t="s">
        <v>29</v>
      </c>
      <c r="R169" s="142">
        <f t="shared" ref="R169:S174" ca="1" si="41">T169</f>
        <v>467217</v>
      </c>
      <c r="S169" s="142">
        <f t="shared" ca="1" si="41"/>
        <v>140165</v>
      </c>
      <c r="T169" s="142">
        <f ca="1">기술사</f>
        <v>467217</v>
      </c>
      <c r="U169" s="142">
        <f t="shared" ref="U169:U174" ca="1" si="42">ROUNDDOWN(P169*R169,0)</f>
        <v>140165</v>
      </c>
      <c r="V169" s="142"/>
      <c r="W169" s="142"/>
      <c r="X169" s="142"/>
      <c r="Y169" s="142"/>
      <c r="Z169" s="114"/>
    </row>
    <row r="170" spans="11:26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0.6</v>
      </c>
      <c r="Q170" s="144" t="s">
        <v>29</v>
      </c>
      <c r="R170" s="118">
        <f t="shared" ca="1" si="41"/>
        <v>373353</v>
      </c>
      <c r="S170" s="118">
        <f t="shared" ca="1" si="41"/>
        <v>224011</v>
      </c>
      <c r="T170" s="118">
        <f ca="1">특급</f>
        <v>373353</v>
      </c>
      <c r="U170" s="118">
        <f t="shared" ca="1" si="42"/>
        <v>224011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2.9</v>
      </c>
      <c r="Q171" s="144" t="s">
        <v>29</v>
      </c>
      <c r="R171" s="118">
        <f t="shared" ca="1" si="41"/>
        <v>310884</v>
      </c>
      <c r="S171" s="118">
        <f t="shared" ca="1" si="41"/>
        <v>901563</v>
      </c>
      <c r="T171" s="118">
        <f ca="1">고급</f>
        <v>310884</v>
      </c>
      <c r="U171" s="118">
        <f t="shared" ca="1" si="42"/>
        <v>901563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2.5</v>
      </c>
      <c r="Q172" s="144" t="s">
        <v>29</v>
      </c>
      <c r="R172" s="118">
        <f t="shared" ca="1" si="41"/>
        <v>295138</v>
      </c>
      <c r="S172" s="118">
        <f t="shared" ca="1" si="41"/>
        <v>737845</v>
      </c>
      <c r="T172" s="118">
        <f ca="1">중급</f>
        <v>295138</v>
      </c>
      <c r="U172" s="118">
        <f t="shared" ca="1" si="42"/>
        <v>737845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5.6</v>
      </c>
      <c r="Q173" s="144" t="s">
        <v>29</v>
      </c>
      <c r="R173" s="118">
        <f t="shared" ca="1" si="41"/>
        <v>235459</v>
      </c>
      <c r="S173" s="118">
        <f t="shared" ca="1" si="41"/>
        <v>1318570</v>
      </c>
      <c r="T173" s="118">
        <f ca="1">초급</f>
        <v>235459</v>
      </c>
      <c r="U173" s="118">
        <f t="shared" ca="1" si="42"/>
        <v>1318570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9</v>
      </c>
      <c r="Q174" s="322" t="s">
        <v>29</v>
      </c>
      <c r="R174" s="323">
        <f t="shared" ca="1" si="41"/>
        <v>250087</v>
      </c>
      <c r="S174" s="323">
        <f t="shared" ca="1" si="41"/>
        <v>2250783</v>
      </c>
      <c r="T174" s="323">
        <f ca="1">보조원</f>
        <v>250087</v>
      </c>
      <c r="U174" s="323">
        <f t="shared" ca="1" si="42"/>
        <v>2250783</v>
      </c>
      <c r="V174" s="323"/>
      <c r="W174" s="323"/>
      <c r="X174" s="323"/>
      <c r="Y174" s="323"/>
      <c r="Z174" s="324"/>
    </row>
    <row r="175" spans="11:26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5572937</v>
      </c>
      <c r="T175" s="71"/>
      <c r="U175" s="71">
        <f ca="1">SUBTOTAL(9,U169:U174)</f>
        <v>5572937</v>
      </c>
      <c r="V175" s="71"/>
      <c r="W175" s="71"/>
      <c r="X175" s="71"/>
      <c r="Y175" s="71"/>
      <c r="Z175" s="68"/>
    </row>
    <row r="176" spans="11:26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14 호표  2.5. 공원·녹지체계구상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14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0.6</v>
      </c>
      <c r="Q177" s="141" t="s">
        <v>29</v>
      </c>
      <c r="R177" s="142">
        <f t="shared" ref="R177:S182" ca="1" si="43">T177</f>
        <v>467217</v>
      </c>
      <c r="S177" s="142">
        <f t="shared" ca="1" si="43"/>
        <v>280330</v>
      </c>
      <c r="T177" s="142">
        <f ca="1">기술사</f>
        <v>467217</v>
      </c>
      <c r="U177" s="142">
        <f t="shared" ref="U177:U182" ca="1" si="44">ROUNDDOWN(P177*R177,0)</f>
        <v>280330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1</v>
      </c>
      <c r="Q178" s="144" t="s">
        <v>29</v>
      </c>
      <c r="R178" s="118">
        <f t="shared" ca="1" si="43"/>
        <v>373353</v>
      </c>
      <c r="S178" s="118">
        <f t="shared" ca="1" si="43"/>
        <v>373353</v>
      </c>
      <c r="T178" s="118">
        <f ca="1">특급</f>
        <v>373353</v>
      </c>
      <c r="U178" s="118">
        <f t="shared" ca="1" si="44"/>
        <v>373353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3.3</v>
      </c>
      <c r="Q179" s="144" t="s">
        <v>29</v>
      </c>
      <c r="R179" s="118">
        <f t="shared" ca="1" si="43"/>
        <v>310884</v>
      </c>
      <c r="S179" s="118">
        <f t="shared" ca="1" si="43"/>
        <v>1025917</v>
      </c>
      <c r="T179" s="118">
        <f ca="1">고급</f>
        <v>310884</v>
      </c>
      <c r="U179" s="118">
        <f t="shared" ca="1" si="44"/>
        <v>1025917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2.9</v>
      </c>
      <c r="Q180" s="144" t="s">
        <v>29</v>
      </c>
      <c r="R180" s="118">
        <f t="shared" ca="1" si="43"/>
        <v>295138</v>
      </c>
      <c r="S180" s="118">
        <f t="shared" ca="1" si="43"/>
        <v>855900</v>
      </c>
      <c r="T180" s="118">
        <f ca="1">중급</f>
        <v>295138</v>
      </c>
      <c r="U180" s="118">
        <f t="shared" ca="1" si="44"/>
        <v>855900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6.7</v>
      </c>
      <c r="Q181" s="144" t="s">
        <v>29</v>
      </c>
      <c r="R181" s="118">
        <f t="shared" ca="1" si="43"/>
        <v>235459</v>
      </c>
      <c r="S181" s="118">
        <f t="shared" ca="1" si="43"/>
        <v>1577575</v>
      </c>
      <c r="T181" s="118">
        <f ca="1">초급</f>
        <v>235459</v>
      </c>
      <c r="U181" s="118">
        <f t="shared" ca="1" si="44"/>
        <v>1577575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9</v>
      </c>
      <c r="Q182" s="322" t="s">
        <v>29</v>
      </c>
      <c r="R182" s="323">
        <f t="shared" ca="1" si="43"/>
        <v>250087</v>
      </c>
      <c r="S182" s="323">
        <f t="shared" ca="1" si="43"/>
        <v>2250783</v>
      </c>
      <c r="T182" s="323">
        <f ca="1">보조원</f>
        <v>250087</v>
      </c>
      <c r="U182" s="323">
        <f t="shared" ca="1" si="44"/>
        <v>2250783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6363858</v>
      </c>
      <c r="T183" s="71"/>
      <c r="U183" s="71">
        <f ca="1">SUBTOTAL(9,U177:U182)</f>
        <v>6363858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15 호표  3.1. 용도지역·지구계획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15</v>
      </c>
    </row>
    <row r="185" spans="11:26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1.9</v>
      </c>
      <c r="Q185" s="141" t="s">
        <v>29</v>
      </c>
      <c r="R185" s="142">
        <f t="shared" ref="R185:S190" ca="1" si="45">T185</f>
        <v>467217</v>
      </c>
      <c r="S185" s="142">
        <f t="shared" ca="1" si="45"/>
        <v>887712</v>
      </c>
      <c r="T185" s="142">
        <f ca="1">기술사</f>
        <v>467217</v>
      </c>
      <c r="U185" s="142">
        <f t="shared" ref="U185:U190" ca="1" si="46">ROUNDDOWN(P185*R185,0)</f>
        <v>887712</v>
      </c>
      <c r="V185" s="142"/>
      <c r="W185" s="142"/>
      <c r="X185" s="142"/>
      <c r="Y185" s="142"/>
      <c r="Z185" s="114"/>
    </row>
    <row r="186" spans="11:26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2.9</v>
      </c>
      <c r="Q186" s="144" t="s">
        <v>29</v>
      </c>
      <c r="R186" s="118">
        <f t="shared" ca="1" si="45"/>
        <v>373353</v>
      </c>
      <c r="S186" s="118">
        <f t="shared" ca="1" si="45"/>
        <v>1082723</v>
      </c>
      <c r="T186" s="118">
        <f ca="1">특급</f>
        <v>373353</v>
      </c>
      <c r="U186" s="118">
        <f t="shared" ca="1" si="46"/>
        <v>1082723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7.4</v>
      </c>
      <c r="Q187" s="144" t="s">
        <v>29</v>
      </c>
      <c r="R187" s="118">
        <f t="shared" ca="1" si="45"/>
        <v>310884</v>
      </c>
      <c r="S187" s="118">
        <f t="shared" ca="1" si="45"/>
        <v>2300541</v>
      </c>
      <c r="T187" s="118">
        <f ca="1">고급</f>
        <v>310884</v>
      </c>
      <c r="U187" s="118">
        <f t="shared" ca="1" si="46"/>
        <v>2300541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3.9</v>
      </c>
      <c r="Q188" s="144" t="s">
        <v>29</v>
      </c>
      <c r="R188" s="118">
        <f t="shared" ca="1" si="45"/>
        <v>295138</v>
      </c>
      <c r="S188" s="118">
        <f t="shared" ca="1" si="45"/>
        <v>1151038</v>
      </c>
      <c r="T188" s="118">
        <f ca="1">중급</f>
        <v>295138</v>
      </c>
      <c r="U188" s="118">
        <f t="shared" ca="1" si="46"/>
        <v>1151038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23.4</v>
      </c>
      <c r="Q189" s="144" t="s">
        <v>29</v>
      </c>
      <c r="R189" s="118">
        <f t="shared" ca="1" si="45"/>
        <v>235459</v>
      </c>
      <c r="S189" s="118">
        <f t="shared" ca="1" si="45"/>
        <v>5509740</v>
      </c>
      <c r="T189" s="118">
        <f ca="1">초급</f>
        <v>235459</v>
      </c>
      <c r="U189" s="118">
        <f t="shared" ca="1" si="46"/>
        <v>5509740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26.5</v>
      </c>
      <c r="Q190" s="322" t="s">
        <v>29</v>
      </c>
      <c r="R190" s="323">
        <f t="shared" ca="1" si="45"/>
        <v>250087</v>
      </c>
      <c r="S190" s="323">
        <f t="shared" ca="1" si="45"/>
        <v>6627305</v>
      </c>
      <c r="T190" s="323">
        <f ca="1">보조원</f>
        <v>250087</v>
      </c>
      <c r="U190" s="323">
        <f t="shared" ca="1" si="46"/>
        <v>6627305</v>
      </c>
      <c r="V190" s="323"/>
      <c r="W190" s="323"/>
      <c r="X190" s="323"/>
      <c r="Y190" s="323"/>
      <c r="Z190" s="324"/>
    </row>
    <row r="191" spans="11:26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17559059</v>
      </c>
      <c r="T191" s="71"/>
      <c r="U191" s="71">
        <f ca="1">SUBTOTAL(9,U185:U190)</f>
        <v>17559059</v>
      </c>
      <c r="V191" s="71"/>
      <c r="W191" s="71"/>
      <c r="X191" s="71"/>
      <c r="Y191" s="71"/>
      <c r="Z191" s="68"/>
    </row>
    <row r="192" spans="11:26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16 호표  3.2. 교통처리계획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16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2.8</v>
      </c>
      <c r="Q193" s="141" t="s">
        <v>29</v>
      </c>
      <c r="R193" s="142">
        <f t="shared" ref="R193:S198" ca="1" si="47">T193</f>
        <v>467217</v>
      </c>
      <c r="S193" s="142">
        <f t="shared" ca="1" si="47"/>
        <v>1308207</v>
      </c>
      <c r="T193" s="142">
        <f ca="1">기술사</f>
        <v>467217</v>
      </c>
      <c r="U193" s="142">
        <f t="shared" ref="U193:U198" ca="1" si="48">ROUNDDOWN(P193*R193,0)</f>
        <v>1308207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4.2</v>
      </c>
      <c r="Q194" s="144" t="s">
        <v>29</v>
      </c>
      <c r="R194" s="118">
        <f t="shared" ca="1" si="47"/>
        <v>373353</v>
      </c>
      <c r="S194" s="118">
        <f t="shared" ca="1" si="47"/>
        <v>1568082</v>
      </c>
      <c r="T194" s="118">
        <f ca="1">특급</f>
        <v>373353</v>
      </c>
      <c r="U194" s="118">
        <f t="shared" ca="1" si="48"/>
        <v>1568082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9.8000000000000007</v>
      </c>
      <c r="Q195" s="144" t="s">
        <v>29</v>
      </c>
      <c r="R195" s="118">
        <f t="shared" ca="1" si="47"/>
        <v>310884</v>
      </c>
      <c r="S195" s="118">
        <f t="shared" ca="1" si="47"/>
        <v>3046663</v>
      </c>
      <c r="T195" s="118">
        <f ca="1">고급</f>
        <v>310884</v>
      </c>
      <c r="U195" s="118">
        <f t="shared" ca="1" si="48"/>
        <v>3046663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8.5</v>
      </c>
      <c r="Q196" s="144" t="s">
        <v>29</v>
      </c>
      <c r="R196" s="118">
        <f t="shared" ca="1" si="47"/>
        <v>295138</v>
      </c>
      <c r="S196" s="118">
        <f t="shared" ca="1" si="47"/>
        <v>2508673</v>
      </c>
      <c r="T196" s="118">
        <f ca="1">중급</f>
        <v>295138</v>
      </c>
      <c r="U196" s="118">
        <f t="shared" ca="1" si="48"/>
        <v>2508673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22.6</v>
      </c>
      <c r="Q197" s="144" t="s">
        <v>29</v>
      </c>
      <c r="R197" s="118">
        <f t="shared" ca="1" si="47"/>
        <v>235459</v>
      </c>
      <c r="S197" s="118">
        <f t="shared" ca="1" si="47"/>
        <v>5321373</v>
      </c>
      <c r="T197" s="118">
        <f ca="1">초급</f>
        <v>235459</v>
      </c>
      <c r="U197" s="118">
        <f t="shared" ca="1" si="48"/>
        <v>5321373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38.6</v>
      </c>
      <c r="Q198" s="322" t="s">
        <v>29</v>
      </c>
      <c r="R198" s="323">
        <f t="shared" ca="1" si="47"/>
        <v>250087</v>
      </c>
      <c r="S198" s="323">
        <f t="shared" ca="1" si="47"/>
        <v>9653358</v>
      </c>
      <c r="T198" s="323">
        <f ca="1">보조원</f>
        <v>250087</v>
      </c>
      <c r="U198" s="323">
        <f t="shared" ca="1" si="48"/>
        <v>9653358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23406356</v>
      </c>
      <c r="T199" s="71"/>
      <c r="U199" s="71">
        <f ca="1">SUBTOTAL(9,U193:U198)</f>
        <v>23406356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17 호표  3.3. 공원녹지계획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17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0.9</v>
      </c>
      <c r="Q201" s="141" t="s">
        <v>29</v>
      </c>
      <c r="R201" s="142">
        <f t="shared" ref="R201:S206" ca="1" si="49">T201</f>
        <v>467217</v>
      </c>
      <c r="S201" s="142">
        <f t="shared" ca="1" si="49"/>
        <v>420495</v>
      </c>
      <c r="T201" s="142">
        <f ca="1">기술사</f>
        <v>467217</v>
      </c>
      <c r="U201" s="142">
        <f t="shared" ref="U201:U206" ca="1" si="50">ROUNDDOWN(P201*R201,0)</f>
        <v>420495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1.4</v>
      </c>
      <c r="Q202" s="144" t="s">
        <v>29</v>
      </c>
      <c r="R202" s="118">
        <f t="shared" ca="1" si="49"/>
        <v>373353</v>
      </c>
      <c r="S202" s="118">
        <f t="shared" ca="1" si="49"/>
        <v>522694</v>
      </c>
      <c r="T202" s="118">
        <f ca="1">특급</f>
        <v>373353</v>
      </c>
      <c r="U202" s="118">
        <f t="shared" ca="1" si="50"/>
        <v>522694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4.4000000000000004</v>
      </c>
      <c r="Q203" s="144" t="s">
        <v>29</v>
      </c>
      <c r="R203" s="118">
        <f t="shared" ca="1" si="49"/>
        <v>310884</v>
      </c>
      <c r="S203" s="118">
        <f t="shared" ca="1" si="49"/>
        <v>1367889</v>
      </c>
      <c r="T203" s="118">
        <f ca="1">고급</f>
        <v>310884</v>
      </c>
      <c r="U203" s="118">
        <f t="shared" ca="1" si="50"/>
        <v>1367889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4</v>
      </c>
      <c r="Q204" s="144" t="s">
        <v>29</v>
      </c>
      <c r="R204" s="118">
        <f t="shared" ca="1" si="49"/>
        <v>295138</v>
      </c>
      <c r="S204" s="118">
        <f t="shared" ca="1" si="49"/>
        <v>1180552</v>
      </c>
      <c r="T204" s="118">
        <f ca="1">중급</f>
        <v>295138</v>
      </c>
      <c r="U204" s="118">
        <f t="shared" ca="1" si="50"/>
        <v>1180552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7.4</v>
      </c>
      <c r="Q205" s="144" t="s">
        <v>29</v>
      </c>
      <c r="R205" s="118">
        <f t="shared" ca="1" si="49"/>
        <v>235459</v>
      </c>
      <c r="S205" s="118">
        <f t="shared" ca="1" si="49"/>
        <v>1742396</v>
      </c>
      <c r="T205" s="118">
        <f ca="1">초급</f>
        <v>235459</v>
      </c>
      <c r="U205" s="118">
        <f t="shared" ca="1" si="50"/>
        <v>1742396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12.9</v>
      </c>
      <c r="Q206" s="322" t="s">
        <v>29</v>
      </c>
      <c r="R206" s="323">
        <f t="shared" ca="1" si="49"/>
        <v>250087</v>
      </c>
      <c r="S206" s="323">
        <f t="shared" ca="1" si="49"/>
        <v>3226122</v>
      </c>
      <c r="T206" s="323">
        <f ca="1">보조원</f>
        <v>250087</v>
      </c>
      <c r="U206" s="323">
        <f t="shared" ca="1" si="50"/>
        <v>3226122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8460148</v>
      </c>
      <c r="T207" s="71"/>
      <c r="U207" s="71">
        <f ca="1">SUBTOTAL(9,U201:U206)</f>
        <v>8460148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18 호표  3.4. 기반시설계획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18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3.4</v>
      </c>
      <c r="Q209" s="141" t="s">
        <v>29</v>
      </c>
      <c r="R209" s="142">
        <f t="shared" ref="R209:S214" ca="1" si="51">T209</f>
        <v>467217</v>
      </c>
      <c r="S209" s="142">
        <f t="shared" ca="1" si="51"/>
        <v>1588537</v>
      </c>
      <c r="T209" s="142">
        <f ca="1">기술사</f>
        <v>467217</v>
      </c>
      <c r="U209" s="142">
        <f t="shared" ref="U209:U214" ca="1" si="52">ROUNDDOWN(P209*R209,0)</f>
        <v>1588537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4.8</v>
      </c>
      <c r="Q210" s="144" t="s">
        <v>29</v>
      </c>
      <c r="R210" s="118">
        <f t="shared" ca="1" si="51"/>
        <v>373353</v>
      </c>
      <c r="S210" s="118">
        <f t="shared" ca="1" si="51"/>
        <v>1792094</v>
      </c>
      <c r="T210" s="118">
        <f ca="1">특급</f>
        <v>373353</v>
      </c>
      <c r="U210" s="118">
        <f t="shared" ca="1" si="52"/>
        <v>1792094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14.8</v>
      </c>
      <c r="Q211" s="144" t="s">
        <v>29</v>
      </c>
      <c r="R211" s="118">
        <f t="shared" ca="1" si="51"/>
        <v>310884</v>
      </c>
      <c r="S211" s="118">
        <f t="shared" ca="1" si="51"/>
        <v>4601083</v>
      </c>
      <c r="T211" s="118">
        <f ca="1">고급</f>
        <v>310884</v>
      </c>
      <c r="U211" s="118">
        <f t="shared" ca="1" si="52"/>
        <v>4601083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17.399999999999999</v>
      </c>
      <c r="Q212" s="144" t="s">
        <v>29</v>
      </c>
      <c r="R212" s="118">
        <f t="shared" ca="1" si="51"/>
        <v>295138</v>
      </c>
      <c r="S212" s="118">
        <f t="shared" ca="1" si="51"/>
        <v>5135401</v>
      </c>
      <c r="T212" s="118">
        <f ca="1">중급</f>
        <v>295138</v>
      </c>
      <c r="U212" s="118">
        <f t="shared" ca="1" si="52"/>
        <v>5135401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32.5</v>
      </c>
      <c r="Q213" s="144" t="s">
        <v>29</v>
      </c>
      <c r="R213" s="118">
        <f t="shared" ca="1" si="51"/>
        <v>235459</v>
      </c>
      <c r="S213" s="118">
        <f t="shared" ca="1" si="51"/>
        <v>7652417</v>
      </c>
      <c r="T213" s="118">
        <f ca="1">초급</f>
        <v>235459</v>
      </c>
      <c r="U213" s="118">
        <f t="shared" ca="1" si="52"/>
        <v>7652417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32.6</v>
      </c>
      <c r="Q214" s="322" t="s">
        <v>29</v>
      </c>
      <c r="R214" s="323">
        <f t="shared" ca="1" si="51"/>
        <v>250087</v>
      </c>
      <c r="S214" s="323">
        <f t="shared" ca="1" si="51"/>
        <v>8152836</v>
      </c>
      <c r="T214" s="323">
        <f ca="1">보조원</f>
        <v>250087</v>
      </c>
      <c r="U214" s="323">
        <f t="shared" ca="1" si="52"/>
        <v>8152836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28922368</v>
      </c>
      <c r="T215" s="71"/>
      <c r="U215" s="71">
        <f ca="1">SUBTOTAL(9,U209:U214)</f>
        <v>28922368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19 호표  3.5. 가구 및 획지계획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19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1.4</v>
      </c>
      <c r="Q217" s="141" t="s">
        <v>29</v>
      </c>
      <c r="R217" s="142">
        <f t="shared" ref="R217:S222" ca="1" si="53">T217</f>
        <v>467217</v>
      </c>
      <c r="S217" s="142">
        <f t="shared" ca="1" si="53"/>
        <v>654103</v>
      </c>
      <c r="T217" s="142">
        <f ca="1">기술사</f>
        <v>467217</v>
      </c>
      <c r="U217" s="142">
        <f t="shared" ref="U217:U222" ca="1" si="54">ROUNDDOWN(P217*R217,0)</f>
        <v>654103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2.1</v>
      </c>
      <c r="Q218" s="144" t="s">
        <v>29</v>
      </c>
      <c r="R218" s="118">
        <f t="shared" ca="1" si="53"/>
        <v>373353</v>
      </c>
      <c r="S218" s="118">
        <f t="shared" ca="1" si="53"/>
        <v>784041</v>
      </c>
      <c r="T218" s="118">
        <f ca="1">특급</f>
        <v>373353</v>
      </c>
      <c r="U218" s="118">
        <f t="shared" ca="1" si="54"/>
        <v>784041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5.3</v>
      </c>
      <c r="Q219" s="144" t="s">
        <v>29</v>
      </c>
      <c r="R219" s="118">
        <f t="shared" ca="1" si="53"/>
        <v>310884</v>
      </c>
      <c r="S219" s="118">
        <f t="shared" ca="1" si="53"/>
        <v>1647685</v>
      </c>
      <c r="T219" s="118">
        <f ca="1">고급</f>
        <v>310884</v>
      </c>
      <c r="U219" s="118">
        <f t="shared" ca="1" si="54"/>
        <v>1647685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5.2</v>
      </c>
      <c r="Q220" s="144" t="s">
        <v>29</v>
      </c>
      <c r="R220" s="118">
        <f t="shared" ca="1" si="53"/>
        <v>295138</v>
      </c>
      <c r="S220" s="118">
        <f t="shared" ca="1" si="53"/>
        <v>1534717</v>
      </c>
      <c r="T220" s="118">
        <f ca="1">중급</f>
        <v>295138</v>
      </c>
      <c r="U220" s="118">
        <f t="shared" ca="1" si="54"/>
        <v>1534717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18.2</v>
      </c>
      <c r="Q221" s="144" t="s">
        <v>29</v>
      </c>
      <c r="R221" s="118">
        <f t="shared" ca="1" si="53"/>
        <v>235459</v>
      </c>
      <c r="S221" s="118">
        <f t="shared" ca="1" si="53"/>
        <v>4285353</v>
      </c>
      <c r="T221" s="118">
        <f ca="1">초급</f>
        <v>235459</v>
      </c>
      <c r="U221" s="118">
        <f t="shared" ca="1" si="54"/>
        <v>4285353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20.9</v>
      </c>
      <c r="Q222" s="322" t="s">
        <v>29</v>
      </c>
      <c r="R222" s="323">
        <f t="shared" ca="1" si="53"/>
        <v>250087</v>
      </c>
      <c r="S222" s="323">
        <f t="shared" ca="1" si="53"/>
        <v>5226818</v>
      </c>
      <c r="T222" s="323">
        <f ca="1">보조원</f>
        <v>250087</v>
      </c>
      <c r="U222" s="323">
        <f t="shared" ca="1" si="54"/>
        <v>5226818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14132717</v>
      </c>
      <c r="T223" s="71"/>
      <c r="U223" s="71">
        <f ca="1">SUBTOTAL(9,U217:U222)</f>
        <v>14132717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  <c r="N224" s="318" t="str">
        <f ca="1">"제 " &amp; Z224 &amp; " 호표  "&amp; OFFSET($A$1,MATCH(Z224,$A:$A,0)-1,1)</f>
        <v>제 20 호표  3.6. 건축물에 관한 계획</v>
      </c>
      <c r="O224" s="221"/>
      <c r="P224" s="148"/>
      <c r="Q224" s="148"/>
      <c r="R224" s="149"/>
      <c r="S224" s="149"/>
      <c r="T224" s="149"/>
      <c r="U224" s="149"/>
      <c r="V224" s="149"/>
      <c r="W224" s="149"/>
      <c r="X224" s="149"/>
      <c r="Y224" s="149"/>
      <c r="Z224" s="325">
        <f>Z216+1</f>
        <v>20</v>
      </c>
    </row>
    <row r="225" spans="11:26" ht="18" customHeight="1">
      <c r="K225" s="171" t="s">
        <v>14</v>
      </c>
      <c r="L225" s="171"/>
      <c r="M225" s="171"/>
      <c r="N225" s="140" t="s">
        <v>43</v>
      </c>
      <c r="O225" s="172">
        <v>3</v>
      </c>
      <c r="P225" s="219">
        <f ca="1">OFFSET($A$1,MATCH(Z224,$A:$A,0)-1,O225)</f>
        <v>7</v>
      </c>
      <c r="Q225" s="141" t="s">
        <v>29</v>
      </c>
      <c r="R225" s="142">
        <f t="shared" ref="R225:S230" ca="1" si="55">T225</f>
        <v>467217</v>
      </c>
      <c r="S225" s="142">
        <f t="shared" ca="1" si="55"/>
        <v>3270519</v>
      </c>
      <c r="T225" s="142">
        <f ca="1">기술사</f>
        <v>467217</v>
      </c>
      <c r="U225" s="142">
        <f t="shared" ref="U225:U230" ca="1" si="56">ROUNDDOWN(P225*R225,0)</f>
        <v>3270519</v>
      </c>
      <c r="V225" s="142"/>
      <c r="W225" s="142"/>
      <c r="X225" s="142"/>
      <c r="Y225" s="142"/>
      <c r="Z225" s="114"/>
    </row>
    <row r="226" spans="11:26" ht="18" customHeight="1">
      <c r="K226" s="171" t="s">
        <v>14</v>
      </c>
      <c r="L226" s="171"/>
      <c r="M226" s="171"/>
      <c r="N226" s="143" t="s">
        <v>32</v>
      </c>
      <c r="O226" s="173">
        <v>4</v>
      </c>
      <c r="P226" s="234">
        <f ca="1">OFFSET($A$1,MATCH(Z224,$A:$A,0)-1,O226)</f>
        <v>9.6999999999999993</v>
      </c>
      <c r="Q226" s="144" t="s">
        <v>29</v>
      </c>
      <c r="R226" s="118">
        <f t="shared" ca="1" si="55"/>
        <v>373353</v>
      </c>
      <c r="S226" s="118">
        <f t="shared" ca="1" si="55"/>
        <v>3621524</v>
      </c>
      <c r="T226" s="118">
        <f ca="1">특급</f>
        <v>373353</v>
      </c>
      <c r="U226" s="118">
        <f t="shared" ca="1" si="56"/>
        <v>3621524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39</v>
      </c>
      <c r="O227" s="173">
        <v>5</v>
      </c>
      <c r="P227" s="234">
        <f ca="1">OFFSET($A$1,MATCH(Z224,$A:$A,0)-1,O227)</f>
        <v>21.1</v>
      </c>
      <c r="Q227" s="144" t="s">
        <v>29</v>
      </c>
      <c r="R227" s="118">
        <f t="shared" ca="1" si="55"/>
        <v>310884</v>
      </c>
      <c r="S227" s="118">
        <f t="shared" ca="1" si="55"/>
        <v>6559652</v>
      </c>
      <c r="T227" s="118">
        <f ca="1">고급</f>
        <v>310884</v>
      </c>
      <c r="U227" s="118">
        <f t="shared" ca="1" si="56"/>
        <v>6559652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40</v>
      </c>
      <c r="O228" s="173">
        <v>6</v>
      </c>
      <c r="P228" s="234">
        <f ca="1">OFFSET($A$1,MATCH(Z224,$A:$A,0)-1,O228)</f>
        <v>27.1</v>
      </c>
      <c r="Q228" s="144" t="s">
        <v>29</v>
      </c>
      <c r="R228" s="118">
        <f t="shared" ca="1" si="55"/>
        <v>295138</v>
      </c>
      <c r="S228" s="118">
        <f t="shared" ca="1" si="55"/>
        <v>7998239</v>
      </c>
      <c r="T228" s="118">
        <f ca="1">중급</f>
        <v>295138</v>
      </c>
      <c r="U228" s="118">
        <f t="shared" ca="1" si="56"/>
        <v>7998239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41</v>
      </c>
      <c r="O229" s="173">
        <v>7</v>
      </c>
      <c r="P229" s="234">
        <f ca="1">OFFSET($A$1,MATCH(Z224,$A:$A,0)-1,O229)</f>
        <v>55.7</v>
      </c>
      <c r="Q229" s="144" t="s">
        <v>29</v>
      </c>
      <c r="R229" s="118">
        <f t="shared" ca="1" si="55"/>
        <v>235459</v>
      </c>
      <c r="S229" s="118">
        <f t="shared" ca="1" si="55"/>
        <v>13115066</v>
      </c>
      <c r="T229" s="118">
        <f ca="1">초급</f>
        <v>235459</v>
      </c>
      <c r="U229" s="118">
        <f t="shared" ca="1" si="56"/>
        <v>13115066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319" t="s">
        <v>42</v>
      </c>
      <c r="O230" s="174">
        <v>8</v>
      </c>
      <c r="P230" s="235">
        <f ca="1">OFFSET($A$1,MATCH(Z224,$A:$A,0)-1,O230)</f>
        <v>62.6</v>
      </c>
      <c r="Q230" s="322" t="s">
        <v>29</v>
      </c>
      <c r="R230" s="323">
        <f t="shared" ca="1" si="55"/>
        <v>250087</v>
      </c>
      <c r="S230" s="323">
        <f t="shared" ca="1" si="55"/>
        <v>15655446</v>
      </c>
      <c r="T230" s="323">
        <f ca="1">보조원</f>
        <v>250087</v>
      </c>
      <c r="U230" s="323">
        <f t="shared" ca="1" si="56"/>
        <v>15655446</v>
      </c>
      <c r="V230" s="323"/>
      <c r="W230" s="323"/>
      <c r="X230" s="323"/>
      <c r="Y230" s="323"/>
      <c r="Z230" s="324"/>
    </row>
    <row r="231" spans="11:26" ht="18" customHeight="1">
      <c r="K231" s="171" t="s">
        <v>14</v>
      </c>
      <c r="L231" s="171"/>
      <c r="M231" s="171"/>
      <c r="N231" s="139" t="s">
        <v>17</v>
      </c>
      <c r="O231" s="68"/>
      <c r="P231" s="69"/>
      <c r="Q231" s="70"/>
      <c r="R231" s="71"/>
      <c r="S231" s="71">
        <f ca="1">SUBTOTAL(9,S225:S230)</f>
        <v>50220446</v>
      </c>
      <c r="T231" s="71"/>
      <c r="U231" s="71">
        <f ca="1">SUBTOTAL(9,U225:U230)</f>
        <v>50220446</v>
      </c>
      <c r="V231" s="71"/>
      <c r="W231" s="71"/>
      <c r="X231" s="71"/>
      <c r="Y231" s="71"/>
      <c r="Z231" s="68"/>
    </row>
    <row r="232" spans="11:26" ht="18" customHeight="1">
      <c r="K232" s="171" t="s">
        <v>14</v>
      </c>
      <c r="L232" s="171"/>
      <c r="M232" s="171"/>
      <c r="N232" s="318" t="str">
        <f ca="1">"제 " &amp; Z232 &amp; " 호표  "&amp; OFFSET($A$1,MATCH(Z232,$A:$A,0)-1,1)</f>
        <v>제 21 호표  3.7. 경관계획</v>
      </c>
      <c r="O232" s="221"/>
      <c r="P232" s="148"/>
      <c r="Q232" s="148"/>
      <c r="R232" s="149"/>
      <c r="S232" s="149"/>
      <c r="T232" s="149"/>
      <c r="U232" s="149"/>
      <c r="V232" s="149"/>
      <c r="W232" s="149"/>
      <c r="X232" s="149"/>
      <c r="Y232" s="149"/>
      <c r="Z232" s="325">
        <f>Z224+1</f>
        <v>21</v>
      </c>
    </row>
    <row r="233" spans="11:26" ht="18" customHeight="1">
      <c r="K233" s="171" t="s">
        <v>14</v>
      </c>
      <c r="L233" s="171"/>
      <c r="M233" s="171"/>
      <c r="N233" s="140" t="s">
        <v>43</v>
      </c>
      <c r="O233" s="172">
        <v>3</v>
      </c>
      <c r="P233" s="219">
        <f ca="1">OFFSET($A$1,MATCH(Z232,$A:$A,0)-1,O233)</f>
        <v>1.9</v>
      </c>
      <c r="Q233" s="141" t="s">
        <v>29</v>
      </c>
      <c r="R233" s="142">
        <f t="shared" ref="R233:S238" ca="1" si="57">T233</f>
        <v>467217</v>
      </c>
      <c r="S233" s="142">
        <f t="shared" ca="1" si="57"/>
        <v>887712</v>
      </c>
      <c r="T233" s="142">
        <f ca="1">기술사</f>
        <v>467217</v>
      </c>
      <c r="U233" s="142">
        <f t="shared" ref="U233:U238" ca="1" si="58">ROUNDDOWN(P233*R233,0)</f>
        <v>887712</v>
      </c>
      <c r="V233" s="142"/>
      <c r="W233" s="142"/>
      <c r="X233" s="142"/>
      <c r="Y233" s="142"/>
      <c r="Z233" s="114"/>
    </row>
    <row r="234" spans="11:26" ht="18" customHeight="1">
      <c r="K234" s="171" t="s">
        <v>14</v>
      </c>
      <c r="L234" s="171"/>
      <c r="M234" s="171"/>
      <c r="N234" s="143" t="s">
        <v>32</v>
      </c>
      <c r="O234" s="173">
        <v>4</v>
      </c>
      <c r="P234" s="234">
        <f ca="1">OFFSET($A$1,MATCH(Z232,$A:$A,0)-1,O234)</f>
        <v>2.8</v>
      </c>
      <c r="Q234" s="144" t="s">
        <v>29</v>
      </c>
      <c r="R234" s="118">
        <f t="shared" ca="1" si="57"/>
        <v>373353</v>
      </c>
      <c r="S234" s="118">
        <f t="shared" ca="1" si="57"/>
        <v>1045388</v>
      </c>
      <c r="T234" s="118">
        <f ca="1">특급</f>
        <v>373353</v>
      </c>
      <c r="U234" s="118">
        <f t="shared" ca="1" si="58"/>
        <v>1045388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39</v>
      </c>
      <c r="O235" s="173">
        <v>5</v>
      </c>
      <c r="P235" s="234">
        <f ca="1">OFFSET($A$1,MATCH(Z232,$A:$A,0)-1,O235)</f>
        <v>5.3</v>
      </c>
      <c r="Q235" s="144" t="s">
        <v>29</v>
      </c>
      <c r="R235" s="118">
        <f t="shared" ca="1" si="57"/>
        <v>310884</v>
      </c>
      <c r="S235" s="118">
        <f t="shared" ca="1" si="57"/>
        <v>1647685</v>
      </c>
      <c r="T235" s="118">
        <f ca="1">고급</f>
        <v>310884</v>
      </c>
      <c r="U235" s="118">
        <f t="shared" ca="1" si="58"/>
        <v>1647685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40</v>
      </c>
      <c r="O236" s="173">
        <v>6</v>
      </c>
      <c r="P236" s="234">
        <f ca="1">OFFSET($A$1,MATCH(Z232,$A:$A,0)-1,O236)</f>
        <v>4.5</v>
      </c>
      <c r="Q236" s="144" t="s">
        <v>29</v>
      </c>
      <c r="R236" s="118">
        <f t="shared" ca="1" si="57"/>
        <v>295138</v>
      </c>
      <c r="S236" s="118">
        <f t="shared" ca="1" si="57"/>
        <v>1328121</v>
      </c>
      <c r="T236" s="118">
        <f ca="1">중급</f>
        <v>295138</v>
      </c>
      <c r="U236" s="118">
        <f t="shared" ca="1" si="58"/>
        <v>1328121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41</v>
      </c>
      <c r="O237" s="173">
        <v>7</v>
      </c>
      <c r="P237" s="234">
        <f ca="1">OFFSET($A$1,MATCH(Z232,$A:$A,0)-1,O237)</f>
        <v>15.1</v>
      </c>
      <c r="Q237" s="144" t="s">
        <v>29</v>
      </c>
      <c r="R237" s="118">
        <f t="shared" ca="1" si="57"/>
        <v>235459</v>
      </c>
      <c r="S237" s="118">
        <f t="shared" ca="1" si="57"/>
        <v>3555430</v>
      </c>
      <c r="T237" s="118">
        <f ca="1">초급</f>
        <v>235459</v>
      </c>
      <c r="U237" s="118">
        <f t="shared" ca="1" si="58"/>
        <v>3555430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319" t="s">
        <v>42</v>
      </c>
      <c r="O238" s="174">
        <v>8</v>
      </c>
      <c r="P238" s="235">
        <f ca="1">OFFSET($A$1,MATCH(Z232,$A:$A,0)-1,O238)</f>
        <v>25.7</v>
      </c>
      <c r="Q238" s="322" t="s">
        <v>29</v>
      </c>
      <c r="R238" s="323">
        <f t="shared" ca="1" si="57"/>
        <v>250087</v>
      </c>
      <c r="S238" s="323">
        <f t="shared" ca="1" si="57"/>
        <v>6427235</v>
      </c>
      <c r="T238" s="323">
        <f ca="1">보조원</f>
        <v>250087</v>
      </c>
      <c r="U238" s="323">
        <f t="shared" ca="1" si="58"/>
        <v>6427235</v>
      </c>
      <c r="V238" s="323"/>
      <c r="W238" s="323"/>
      <c r="X238" s="323"/>
      <c r="Y238" s="323"/>
      <c r="Z238" s="324"/>
    </row>
    <row r="239" spans="11:26" ht="18" customHeight="1">
      <c r="K239" s="171" t="s">
        <v>14</v>
      </c>
      <c r="L239" s="171"/>
      <c r="M239" s="171"/>
      <c r="N239" s="139" t="s">
        <v>17</v>
      </c>
      <c r="O239" s="68"/>
      <c r="P239" s="69"/>
      <c r="Q239" s="70"/>
      <c r="R239" s="71"/>
      <c r="S239" s="71">
        <f ca="1">SUBTOTAL(9,S233:S238)</f>
        <v>14891571</v>
      </c>
      <c r="T239" s="71"/>
      <c r="U239" s="71">
        <f ca="1">SUBTOTAL(9,U233:U238)</f>
        <v>14891571</v>
      </c>
      <c r="V239" s="71"/>
      <c r="W239" s="71"/>
      <c r="X239" s="71"/>
      <c r="Y239" s="71"/>
      <c r="Z239" s="68"/>
    </row>
    <row r="240" spans="11:26" ht="18" customHeight="1">
      <c r="K240" s="171" t="s">
        <v>14</v>
      </c>
      <c r="L240" s="171"/>
      <c r="M240" s="171"/>
      <c r="N240" s="318" t="str">
        <f ca="1">"제 " &amp; Z240 &amp; " 호표  "&amp; OFFSET($A$1,MATCH(Z240,$A:$A,0)-1,1)</f>
        <v>제 22 호표  3.8. 특별계획구역 계획</v>
      </c>
      <c r="O240" s="221"/>
      <c r="P240" s="148"/>
      <c r="Q240" s="148"/>
      <c r="R240" s="149"/>
      <c r="S240" s="149"/>
      <c r="T240" s="149"/>
      <c r="U240" s="149"/>
      <c r="V240" s="149"/>
      <c r="W240" s="149"/>
      <c r="X240" s="149"/>
      <c r="Y240" s="149"/>
      <c r="Z240" s="325">
        <f>Z232+1</f>
        <v>22</v>
      </c>
    </row>
    <row r="241" spans="11:26" ht="18" customHeight="1">
      <c r="K241" s="171" t="s">
        <v>14</v>
      </c>
      <c r="L241" s="171"/>
      <c r="M241" s="171"/>
      <c r="N241" s="140" t="s">
        <v>43</v>
      </c>
      <c r="O241" s="172">
        <v>3</v>
      </c>
      <c r="P241" s="219">
        <f ca="1">OFFSET($A$1,MATCH(Z240,$A:$A,0)-1,O241)</f>
        <v>0.8</v>
      </c>
      <c r="Q241" s="141" t="s">
        <v>29</v>
      </c>
      <c r="R241" s="142">
        <f t="shared" ref="R241:S246" ca="1" si="59">T241</f>
        <v>467217</v>
      </c>
      <c r="S241" s="142">
        <f t="shared" ca="1" si="59"/>
        <v>373773</v>
      </c>
      <c r="T241" s="142">
        <f ca="1">기술사</f>
        <v>467217</v>
      </c>
      <c r="U241" s="142">
        <f t="shared" ref="U241:U246" ca="1" si="60">ROUNDDOWN(P241*R241,0)</f>
        <v>373773</v>
      </c>
      <c r="V241" s="142"/>
      <c r="W241" s="142"/>
      <c r="X241" s="142"/>
      <c r="Y241" s="142"/>
      <c r="Z241" s="114"/>
    </row>
    <row r="242" spans="11:26" ht="18" customHeight="1">
      <c r="K242" s="171" t="s">
        <v>14</v>
      </c>
      <c r="L242" s="171"/>
      <c r="M242" s="171"/>
      <c r="N242" s="143" t="s">
        <v>32</v>
      </c>
      <c r="O242" s="173">
        <v>4</v>
      </c>
      <c r="P242" s="234">
        <f ca="1">OFFSET($A$1,MATCH(Z240,$A:$A,0)-1,O242)</f>
        <v>1.3</v>
      </c>
      <c r="Q242" s="144" t="s">
        <v>29</v>
      </c>
      <c r="R242" s="118">
        <f t="shared" ca="1" si="59"/>
        <v>373353</v>
      </c>
      <c r="S242" s="118">
        <f t="shared" ca="1" si="59"/>
        <v>485358</v>
      </c>
      <c r="T242" s="118">
        <f ca="1">특급</f>
        <v>373353</v>
      </c>
      <c r="U242" s="118">
        <f t="shared" ca="1" si="60"/>
        <v>485358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145" t="s">
        <v>39</v>
      </c>
      <c r="O243" s="173">
        <v>5</v>
      </c>
      <c r="P243" s="234">
        <f ca="1">OFFSET($A$1,MATCH(Z240,$A:$A,0)-1,O243)</f>
        <v>3</v>
      </c>
      <c r="Q243" s="144" t="s">
        <v>29</v>
      </c>
      <c r="R243" s="118">
        <f t="shared" ca="1" si="59"/>
        <v>310884</v>
      </c>
      <c r="S243" s="118">
        <f t="shared" ca="1" si="59"/>
        <v>932652</v>
      </c>
      <c r="T243" s="118">
        <f ca="1">고급</f>
        <v>310884</v>
      </c>
      <c r="U243" s="118">
        <f t="shared" ca="1" si="60"/>
        <v>932652</v>
      </c>
      <c r="V243" s="118"/>
      <c r="W243" s="118"/>
      <c r="X243" s="118"/>
      <c r="Y243" s="118"/>
      <c r="Z243" s="115"/>
    </row>
    <row r="244" spans="11:26" ht="18" customHeight="1">
      <c r="K244" s="171" t="s">
        <v>14</v>
      </c>
      <c r="L244" s="171"/>
      <c r="M244" s="171"/>
      <c r="N244" s="145" t="s">
        <v>40</v>
      </c>
      <c r="O244" s="173">
        <v>6</v>
      </c>
      <c r="P244" s="234">
        <f ca="1">OFFSET($A$1,MATCH(Z240,$A:$A,0)-1,O244)</f>
        <v>2.5</v>
      </c>
      <c r="Q244" s="144" t="s">
        <v>29</v>
      </c>
      <c r="R244" s="118">
        <f t="shared" ca="1" si="59"/>
        <v>295138</v>
      </c>
      <c r="S244" s="118">
        <f t="shared" ca="1" si="59"/>
        <v>737845</v>
      </c>
      <c r="T244" s="118">
        <f ca="1">중급</f>
        <v>295138</v>
      </c>
      <c r="U244" s="118">
        <f t="shared" ca="1" si="60"/>
        <v>737845</v>
      </c>
      <c r="V244" s="118"/>
      <c r="W244" s="118"/>
      <c r="X244" s="118"/>
      <c r="Y244" s="118"/>
      <c r="Z244" s="115"/>
    </row>
    <row r="245" spans="11:26" ht="18" customHeight="1">
      <c r="K245" s="171" t="s">
        <v>14</v>
      </c>
      <c r="L245" s="171"/>
      <c r="M245" s="171"/>
      <c r="N245" s="145" t="s">
        <v>41</v>
      </c>
      <c r="O245" s="173">
        <v>7</v>
      </c>
      <c r="P245" s="234">
        <f ca="1">OFFSET($A$1,MATCH(Z240,$A:$A,0)-1,O245)</f>
        <v>8.8000000000000007</v>
      </c>
      <c r="Q245" s="144" t="s">
        <v>29</v>
      </c>
      <c r="R245" s="118">
        <f t="shared" ca="1" si="59"/>
        <v>235459</v>
      </c>
      <c r="S245" s="118">
        <f t="shared" ca="1" si="59"/>
        <v>2072039</v>
      </c>
      <c r="T245" s="118">
        <f ca="1">초급</f>
        <v>235459</v>
      </c>
      <c r="U245" s="118">
        <f t="shared" ca="1" si="60"/>
        <v>2072039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319" t="s">
        <v>42</v>
      </c>
      <c r="O246" s="174">
        <v>8</v>
      </c>
      <c r="P246" s="235">
        <f ca="1">OFFSET($A$1,MATCH(Z240,$A:$A,0)-1,O246)</f>
        <v>10.1</v>
      </c>
      <c r="Q246" s="322" t="s">
        <v>29</v>
      </c>
      <c r="R246" s="323">
        <f t="shared" ca="1" si="59"/>
        <v>250087</v>
      </c>
      <c r="S246" s="323">
        <f t="shared" ca="1" si="59"/>
        <v>2525878</v>
      </c>
      <c r="T246" s="323">
        <f ca="1">보조원</f>
        <v>250087</v>
      </c>
      <c r="U246" s="323">
        <f t="shared" ca="1" si="60"/>
        <v>2525878</v>
      </c>
      <c r="V246" s="323"/>
      <c r="W246" s="323"/>
      <c r="X246" s="323"/>
      <c r="Y246" s="323"/>
      <c r="Z246" s="324"/>
    </row>
    <row r="247" spans="11:26" ht="18" customHeight="1">
      <c r="K247" s="171" t="s">
        <v>14</v>
      </c>
      <c r="L247" s="171"/>
      <c r="M247" s="171"/>
      <c r="N247" s="139" t="s">
        <v>17</v>
      </c>
      <c r="O247" s="68"/>
      <c r="P247" s="69"/>
      <c r="Q247" s="70"/>
      <c r="R247" s="71"/>
      <c r="S247" s="71">
        <f ca="1">SUBTOTAL(9,S241:S246)</f>
        <v>7127545</v>
      </c>
      <c r="T247" s="71"/>
      <c r="U247" s="71">
        <f ca="1">SUBTOTAL(9,U241:U246)</f>
        <v>7127545</v>
      </c>
      <c r="V247" s="71"/>
      <c r="W247" s="71"/>
      <c r="X247" s="71"/>
      <c r="Y247" s="71"/>
      <c r="Z247" s="68"/>
    </row>
    <row r="248" spans="11:26" ht="18" customHeight="1">
      <c r="K248" s="171" t="s">
        <v>14</v>
      </c>
      <c r="L248" s="171"/>
      <c r="M248" s="171"/>
      <c r="N248" s="318" t="str">
        <f ca="1">"제 " &amp; Z248 &amp; " 호표  "&amp; OFFSET($A$1,MATCH(Z248,$A:$A,0)-1,1)</f>
        <v>제 23 호표  3.9. 주요지구스케치모델</v>
      </c>
      <c r="O248" s="221"/>
      <c r="P248" s="148"/>
      <c r="Q248" s="148"/>
      <c r="R248" s="149"/>
      <c r="S248" s="149"/>
      <c r="T248" s="149"/>
      <c r="U248" s="149"/>
      <c r="V248" s="149"/>
      <c r="W248" s="149"/>
      <c r="X248" s="149"/>
      <c r="Y248" s="149"/>
      <c r="Z248" s="325">
        <f>Z240+1</f>
        <v>23</v>
      </c>
    </row>
    <row r="249" spans="11:26" ht="18" customHeight="1">
      <c r="K249" s="171" t="s">
        <v>14</v>
      </c>
      <c r="L249" s="171"/>
      <c r="M249" s="171"/>
      <c r="N249" s="140" t="s">
        <v>43</v>
      </c>
      <c r="O249" s="172">
        <v>3</v>
      </c>
      <c r="P249" s="219">
        <f ca="1">OFFSET($A$1,MATCH(Z248,$A:$A,0)-1,O249)</f>
        <v>0.6</v>
      </c>
      <c r="Q249" s="141" t="s">
        <v>29</v>
      </c>
      <c r="R249" s="142">
        <f t="shared" ref="R249:S254" ca="1" si="61">T249</f>
        <v>467217</v>
      </c>
      <c r="S249" s="142">
        <f t="shared" ca="1" si="61"/>
        <v>280330</v>
      </c>
      <c r="T249" s="142">
        <f ca="1">기술사</f>
        <v>467217</v>
      </c>
      <c r="U249" s="142">
        <f t="shared" ref="U249:U254" ca="1" si="62">ROUNDDOWN(P249*R249,0)</f>
        <v>280330</v>
      </c>
      <c r="V249" s="142"/>
      <c r="W249" s="142"/>
      <c r="X249" s="142"/>
      <c r="Y249" s="142"/>
      <c r="Z249" s="114"/>
    </row>
    <row r="250" spans="11:26" ht="18" customHeight="1">
      <c r="K250" s="171" t="s">
        <v>14</v>
      </c>
      <c r="L250" s="171"/>
      <c r="M250" s="171"/>
      <c r="N250" s="143" t="s">
        <v>32</v>
      </c>
      <c r="O250" s="173">
        <v>4</v>
      </c>
      <c r="P250" s="234">
        <f ca="1">OFFSET($A$1,MATCH(Z248,$A:$A,0)-1,O250)</f>
        <v>1.1000000000000001</v>
      </c>
      <c r="Q250" s="144" t="s">
        <v>29</v>
      </c>
      <c r="R250" s="118">
        <f t="shared" ca="1" si="61"/>
        <v>373353</v>
      </c>
      <c r="S250" s="118">
        <f t="shared" ca="1" si="61"/>
        <v>410688</v>
      </c>
      <c r="T250" s="118">
        <f ca="1">특급</f>
        <v>373353</v>
      </c>
      <c r="U250" s="118">
        <f t="shared" ca="1" si="62"/>
        <v>410688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145" t="s">
        <v>39</v>
      </c>
      <c r="O251" s="173">
        <v>5</v>
      </c>
      <c r="P251" s="234">
        <f ca="1">OFFSET($A$1,MATCH(Z248,$A:$A,0)-1,O251)</f>
        <v>4.5</v>
      </c>
      <c r="Q251" s="144" t="s">
        <v>29</v>
      </c>
      <c r="R251" s="118">
        <f t="shared" ca="1" si="61"/>
        <v>310884</v>
      </c>
      <c r="S251" s="118">
        <f t="shared" ca="1" si="61"/>
        <v>1398978</v>
      </c>
      <c r="T251" s="118">
        <f ca="1">고급</f>
        <v>310884</v>
      </c>
      <c r="U251" s="118">
        <f t="shared" ca="1" si="62"/>
        <v>1398978</v>
      </c>
      <c r="V251" s="118"/>
      <c r="W251" s="118"/>
      <c r="X251" s="118"/>
      <c r="Y251" s="118"/>
      <c r="Z251" s="115"/>
    </row>
    <row r="252" spans="11:26" ht="18" customHeight="1">
      <c r="K252" s="171" t="s">
        <v>14</v>
      </c>
      <c r="L252" s="171"/>
      <c r="M252" s="171"/>
      <c r="N252" s="145" t="s">
        <v>40</v>
      </c>
      <c r="O252" s="173">
        <v>6</v>
      </c>
      <c r="P252" s="234">
        <f ca="1">OFFSET($A$1,MATCH(Z248,$A:$A,0)-1,O252)</f>
        <v>4.3</v>
      </c>
      <c r="Q252" s="144" t="s">
        <v>29</v>
      </c>
      <c r="R252" s="118">
        <f t="shared" ca="1" si="61"/>
        <v>295138</v>
      </c>
      <c r="S252" s="118">
        <f t="shared" ca="1" si="61"/>
        <v>1269093</v>
      </c>
      <c r="T252" s="118">
        <f ca="1">중급</f>
        <v>295138</v>
      </c>
      <c r="U252" s="118">
        <f t="shared" ca="1" si="62"/>
        <v>1269093</v>
      </c>
      <c r="V252" s="118"/>
      <c r="W252" s="118"/>
      <c r="X252" s="118"/>
      <c r="Y252" s="118"/>
      <c r="Z252" s="115"/>
    </row>
    <row r="253" spans="11:26" ht="18" customHeight="1">
      <c r="K253" s="171" t="s">
        <v>14</v>
      </c>
      <c r="L253" s="171"/>
      <c r="M253" s="171"/>
      <c r="N253" s="145" t="s">
        <v>41</v>
      </c>
      <c r="O253" s="173">
        <v>7</v>
      </c>
      <c r="P253" s="234">
        <f ca="1">OFFSET($A$1,MATCH(Z248,$A:$A,0)-1,O253)</f>
        <v>15.1</v>
      </c>
      <c r="Q253" s="144" t="s">
        <v>29</v>
      </c>
      <c r="R253" s="118">
        <f t="shared" ca="1" si="61"/>
        <v>235459</v>
      </c>
      <c r="S253" s="118">
        <f t="shared" ca="1" si="61"/>
        <v>3555430</v>
      </c>
      <c r="T253" s="118">
        <f ca="1">초급</f>
        <v>235459</v>
      </c>
      <c r="U253" s="118">
        <f t="shared" ca="1" si="62"/>
        <v>3555430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319" t="s">
        <v>42</v>
      </c>
      <c r="O254" s="174">
        <v>8</v>
      </c>
      <c r="P254" s="235">
        <f ca="1">OFFSET($A$1,MATCH(Z248,$A:$A,0)-1,O254)</f>
        <v>25.3</v>
      </c>
      <c r="Q254" s="322" t="s">
        <v>29</v>
      </c>
      <c r="R254" s="323">
        <f t="shared" ca="1" si="61"/>
        <v>250087</v>
      </c>
      <c r="S254" s="323">
        <f t="shared" ca="1" si="61"/>
        <v>6327201</v>
      </c>
      <c r="T254" s="323">
        <f ca="1">보조원</f>
        <v>250087</v>
      </c>
      <c r="U254" s="323">
        <f t="shared" ca="1" si="62"/>
        <v>6327201</v>
      </c>
      <c r="V254" s="323"/>
      <c r="W254" s="323"/>
      <c r="X254" s="323"/>
      <c r="Y254" s="323"/>
      <c r="Z254" s="324"/>
    </row>
    <row r="255" spans="11:26" ht="18" customHeight="1">
      <c r="K255" s="171" t="s">
        <v>14</v>
      </c>
      <c r="L255" s="171"/>
      <c r="M255" s="171"/>
      <c r="N255" s="139" t="s">
        <v>17</v>
      </c>
      <c r="O255" s="68"/>
      <c r="P255" s="69"/>
      <c r="Q255" s="70"/>
      <c r="R255" s="71"/>
      <c r="S255" s="71">
        <f ca="1">SUBTOTAL(9,S249:S254)</f>
        <v>13241720</v>
      </c>
      <c r="T255" s="71"/>
      <c r="U255" s="71">
        <f ca="1">SUBTOTAL(9,U249:U254)</f>
        <v>13241720</v>
      </c>
      <c r="V255" s="71"/>
      <c r="W255" s="71"/>
      <c r="X255" s="71"/>
      <c r="Y255" s="71"/>
      <c r="Z255" s="68"/>
    </row>
    <row r="256" spans="11:26" ht="18" customHeight="1">
      <c r="K256" s="171" t="s">
        <v>14</v>
      </c>
      <c r="L256" s="171"/>
      <c r="M256" s="171"/>
      <c r="N256" s="318" t="str">
        <f ca="1">"제 " &amp; Z256 &amp; " 호표  "&amp; OFFSET($A$1,MATCH(Z256,$A:$A,0)-1,1)</f>
        <v>제 24 호표  3.10. 환경관리계획</v>
      </c>
      <c r="O256" s="221"/>
      <c r="P256" s="148"/>
      <c r="Q256" s="148"/>
      <c r="R256" s="149"/>
      <c r="S256" s="149"/>
      <c r="T256" s="149"/>
      <c r="U256" s="149"/>
      <c r="V256" s="149"/>
      <c r="W256" s="149"/>
      <c r="X256" s="149"/>
      <c r="Y256" s="149"/>
      <c r="Z256" s="325">
        <f>Z248+1</f>
        <v>24</v>
      </c>
    </row>
    <row r="257" spans="11:26" ht="18" customHeight="1">
      <c r="K257" s="171" t="s">
        <v>14</v>
      </c>
      <c r="L257" s="171"/>
      <c r="M257" s="171"/>
      <c r="N257" s="140" t="s">
        <v>43</v>
      </c>
      <c r="O257" s="172">
        <v>3</v>
      </c>
      <c r="P257" s="219">
        <f ca="1">OFFSET($A$1,MATCH(Z256,$A:$A,0)-1,O257)</f>
        <v>0</v>
      </c>
      <c r="Q257" s="141" t="s">
        <v>29</v>
      </c>
      <c r="R257" s="142">
        <f t="shared" ref="R257:S262" ca="1" si="63">T257</f>
        <v>467217</v>
      </c>
      <c r="S257" s="142">
        <f t="shared" ca="1" si="63"/>
        <v>0</v>
      </c>
      <c r="T257" s="142">
        <f ca="1">기술사</f>
        <v>467217</v>
      </c>
      <c r="U257" s="142">
        <f t="shared" ref="U257:U262" ca="1" si="64">ROUNDDOWN(P257*R257,0)</f>
        <v>0</v>
      </c>
      <c r="V257" s="142"/>
      <c r="W257" s="142"/>
      <c r="X257" s="142"/>
      <c r="Y257" s="142"/>
      <c r="Z257" s="114"/>
    </row>
    <row r="258" spans="11:26" ht="18" customHeight="1">
      <c r="K258" s="171" t="s">
        <v>14</v>
      </c>
      <c r="L258" s="171"/>
      <c r="M258" s="171"/>
      <c r="N258" s="143" t="s">
        <v>32</v>
      </c>
      <c r="O258" s="173">
        <v>4</v>
      </c>
      <c r="P258" s="234">
        <f ca="1">OFFSET($A$1,MATCH(Z256,$A:$A,0)-1,O258)</f>
        <v>0</v>
      </c>
      <c r="Q258" s="144" t="s">
        <v>29</v>
      </c>
      <c r="R258" s="118">
        <f t="shared" ca="1" si="63"/>
        <v>373353</v>
      </c>
      <c r="S258" s="118">
        <f t="shared" ca="1" si="63"/>
        <v>0</v>
      </c>
      <c r="T258" s="118">
        <f ca="1">특급</f>
        <v>373353</v>
      </c>
      <c r="U258" s="118">
        <f t="shared" ca="1" si="64"/>
        <v>0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145" t="s">
        <v>39</v>
      </c>
      <c r="O259" s="173">
        <v>5</v>
      </c>
      <c r="P259" s="234">
        <f ca="1">OFFSET($A$1,MATCH(Z256,$A:$A,0)-1,O259)</f>
        <v>0</v>
      </c>
      <c r="Q259" s="144" t="s">
        <v>29</v>
      </c>
      <c r="R259" s="118">
        <f t="shared" ca="1" si="63"/>
        <v>310884</v>
      </c>
      <c r="S259" s="118">
        <f t="shared" ca="1" si="63"/>
        <v>0</v>
      </c>
      <c r="T259" s="118">
        <f ca="1">고급</f>
        <v>310884</v>
      </c>
      <c r="U259" s="118">
        <f t="shared" ca="1" si="64"/>
        <v>0</v>
      </c>
      <c r="V259" s="118"/>
      <c r="W259" s="118"/>
      <c r="X259" s="118"/>
      <c r="Y259" s="118"/>
      <c r="Z259" s="115"/>
    </row>
    <row r="260" spans="11:26" ht="18" customHeight="1">
      <c r="K260" s="171" t="s">
        <v>14</v>
      </c>
      <c r="L260" s="171"/>
      <c r="M260" s="171"/>
      <c r="N260" s="145" t="s">
        <v>40</v>
      </c>
      <c r="O260" s="173">
        <v>6</v>
      </c>
      <c r="P260" s="234">
        <f ca="1">OFFSET($A$1,MATCH(Z256,$A:$A,0)-1,O260)</f>
        <v>0</v>
      </c>
      <c r="Q260" s="144" t="s">
        <v>29</v>
      </c>
      <c r="R260" s="118">
        <f t="shared" ca="1" si="63"/>
        <v>295138</v>
      </c>
      <c r="S260" s="118">
        <f t="shared" ca="1" si="63"/>
        <v>0</v>
      </c>
      <c r="T260" s="118">
        <f ca="1">중급</f>
        <v>295138</v>
      </c>
      <c r="U260" s="118">
        <f t="shared" ca="1" si="64"/>
        <v>0</v>
      </c>
      <c r="V260" s="118"/>
      <c r="W260" s="118"/>
      <c r="X260" s="118"/>
      <c r="Y260" s="118"/>
      <c r="Z260" s="115"/>
    </row>
    <row r="261" spans="11:26" ht="18" customHeight="1">
      <c r="K261" s="171" t="s">
        <v>14</v>
      </c>
      <c r="L261" s="171"/>
      <c r="M261" s="171"/>
      <c r="N261" s="145" t="s">
        <v>41</v>
      </c>
      <c r="O261" s="173">
        <v>7</v>
      </c>
      <c r="P261" s="234">
        <f ca="1">OFFSET($A$1,MATCH(Z256,$A:$A,0)-1,O261)</f>
        <v>0</v>
      </c>
      <c r="Q261" s="144" t="s">
        <v>29</v>
      </c>
      <c r="R261" s="118">
        <f t="shared" ca="1" si="63"/>
        <v>235459</v>
      </c>
      <c r="S261" s="118">
        <f t="shared" ca="1" si="63"/>
        <v>0</v>
      </c>
      <c r="T261" s="118">
        <f ca="1">초급</f>
        <v>235459</v>
      </c>
      <c r="U261" s="118">
        <f t="shared" ca="1" si="64"/>
        <v>0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319" t="s">
        <v>42</v>
      </c>
      <c r="O262" s="174">
        <v>8</v>
      </c>
      <c r="P262" s="235">
        <f ca="1">OFFSET($A$1,MATCH(Z256,$A:$A,0)-1,O262)</f>
        <v>0</v>
      </c>
      <c r="Q262" s="322" t="s">
        <v>29</v>
      </c>
      <c r="R262" s="323">
        <f t="shared" ca="1" si="63"/>
        <v>250087</v>
      </c>
      <c r="S262" s="323">
        <f t="shared" ca="1" si="63"/>
        <v>0</v>
      </c>
      <c r="T262" s="323">
        <f ca="1">보조원</f>
        <v>250087</v>
      </c>
      <c r="U262" s="323">
        <f t="shared" ca="1" si="64"/>
        <v>0</v>
      </c>
      <c r="V262" s="323"/>
      <c r="W262" s="323"/>
      <c r="X262" s="323"/>
      <c r="Y262" s="323"/>
      <c r="Z262" s="324"/>
    </row>
    <row r="263" spans="11:26" ht="18" customHeight="1">
      <c r="K263" s="171" t="s">
        <v>14</v>
      </c>
      <c r="L263" s="171"/>
      <c r="M263" s="171"/>
      <c r="N263" s="139" t="s">
        <v>17</v>
      </c>
      <c r="O263" s="68"/>
      <c r="P263" s="69"/>
      <c r="Q263" s="70"/>
      <c r="R263" s="71"/>
      <c r="S263" s="71">
        <f ca="1">SUBTOTAL(9,S257:S262)</f>
        <v>0</v>
      </c>
      <c r="T263" s="71"/>
      <c r="U263" s="71">
        <f ca="1">SUBTOTAL(9,U257:U262)</f>
        <v>0</v>
      </c>
      <c r="V263" s="71"/>
      <c r="W263" s="71"/>
      <c r="X263" s="71"/>
      <c r="Y263" s="71"/>
      <c r="Z263" s="68"/>
    </row>
    <row r="264" spans="11:26" ht="18" customHeight="1">
      <c r="K264" s="171" t="s">
        <v>14</v>
      </c>
      <c r="L264" s="171"/>
      <c r="M264" s="171"/>
      <c r="N264" s="318" t="str">
        <f ca="1">"제 " &amp; Z264 &amp; " 호표  "&amp; OFFSET($A$1,MATCH(Z264,$A:$A,0)-1,1)</f>
        <v>제 25 호표  4.1. 도시계획결정</v>
      </c>
      <c r="O264" s="221"/>
      <c r="P264" s="148"/>
      <c r="Q264" s="148"/>
      <c r="R264" s="149"/>
      <c r="S264" s="149"/>
      <c r="T264" s="149"/>
      <c r="U264" s="149"/>
      <c r="V264" s="149"/>
      <c r="W264" s="149"/>
      <c r="X264" s="149"/>
      <c r="Y264" s="149"/>
      <c r="Z264" s="325">
        <f>Z256+1</f>
        <v>25</v>
      </c>
    </row>
    <row r="265" spans="11:26" ht="18" customHeight="1">
      <c r="K265" s="171" t="s">
        <v>14</v>
      </c>
      <c r="L265" s="171"/>
      <c r="M265" s="171"/>
      <c r="N265" s="140" t="s">
        <v>43</v>
      </c>
      <c r="O265" s="172">
        <v>3</v>
      </c>
      <c r="P265" s="219">
        <f ca="1">OFFSET($A$1,MATCH(Z264,$A:$A,0)-1,O265)</f>
        <v>2</v>
      </c>
      <c r="Q265" s="141" t="s">
        <v>29</v>
      </c>
      <c r="R265" s="142">
        <f t="shared" ref="R265:S270" ca="1" si="65">T265</f>
        <v>467217</v>
      </c>
      <c r="S265" s="142">
        <f t="shared" ca="1" si="65"/>
        <v>934434</v>
      </c>
      <c r="T265" s="142">
        <f ca="1">기술사</f>
        <v>467217</v>
      </c>
      <c r="U265" s="142">
        <f t="shared" ref="U265:U270" ca="1" si="66">ROUNDDOWN(P265*R265,0)</f>
        <v>934434</v>
      </c>
      <c r="V265" s="142"/>
      <c r="W265" s="142"/>
      <c r="X265" s="142"/>
      <c r="Y265" s="142"/>
      <c r="Z265" s="114"/>
    </row>
    <row r="266" spans="11:26" ht="18" customHeight="1">
      <c r="K266" s="171" t="s">
        <v>14</v>
      </c>
      <c r="L266" s="171"/>
      <c r="M266" s="171"/>
      <c r="N266" s="143" t="s">
        <v>32</v>
      </c>
      <c r="O266" s="173">
        <v>4</v>
      </c>
      <c r="P266" s="234">
        <f ca="1">OFFSET($A$1,MATCH(Z264,$A:$A,0)-1,O266)</f>
        <v>2.8</v>
      </c>
      <c r="Q266" s="144" t="s">
        <v>29</v>
      </c>
      <c r="R266" s="118">
        <f t="shared" ca="1" si="65"/>
        <v>373353</v>
      </c>
      <c r="S266" s="118">
        <f t="shared" ca="1" si="65"/>
        <v>1045388</v>
      </c>
      <c r="T266" s="118">
        <f ca="1">특급</f>
        <v>373353</v>
      </c>
      <c r="U266" s="118">
        <f t="shared" ca="1" si="66"/>
        <v>1045388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145" t="s">
        <v>39</v>
      </c>
      <c r="O267" s="173">
        <v>5</v>
      </c>
      <c r="P267" s="234">
        <f ca="1">OFFSET($A$1,MATCH(Z264,$A:$A,0)-1,O267)</f>
        <v>6.2</v>
      </c>
      <c r="Q267" s="144" t="s">
        <v>29</v>
      </c>
      <c r="R267" s="118">
        <f t="shared" ca="1" si="65"/>
        <v>310884</v>
      </c>
      <c r="S267" s="118">
        <f t="shared" ca="1" si="65"/>
        <v>1927480</v>
      </c>
      <c r="T267" s="118">
        <f ca="1">고급</f>
        <v>310884</v>
      </c>
      <c r="U267" s="118">
        <f t="shared" ca="1" si="66"/>
        <v>1927480</v>
      </c>
      <c r="V267" s="118"/>
      <c r="W267" s="118"/>
      <c r="X267" s="118"/>
      <c r="Y267" s="118"/>
      <c r="Z267" s="115"/>
    </row>
    <row r="268" spans="11:26" ht="18" customHeight="1">
      <c r="K268" s="171" t="s">
        <v>14</v>
      </c>
      <c r="L268" s="171"/>
      <c r="M268" s="171"/>
      <c r="N268" s="145" t="s">
        <v>40</v>
      </c>
      <c r="O268" s="173">
        <v>6</v>
      </c>
      <c r="P268" s="234">
        <f ca="1">OFFSET($A$1,MATCH(Z264,$A:$A,0)-1,O268)</f>
        <v>4.4000000000000004</v>
      </c>
      <c r="Q268" s="144" t="s">
        <v>29</v>
      </c>
      <c r="R268" s="118">
        <f t="shared" ca="1" si="65"/>
        <v>295138</v>
      </c>
      <c r="S268" s="118">
        <f t="shared" ca="1" si="65"/>
        <v>1298607</v>
      </c>
      <c r="T268" s="118">
        <f ca="1">중급</f>
        <v>295138</v>
      </c>
      <c r="U268" s="118">
        <f t="shared" ca="1" si="66"/>
        <v>1298607</v>
      </c>
      <c r="V268" s="118"/>
      <c r="W268" s="118"/>
      <c r="X268" s="118"/>
      <c r="Y268" s="118"/>
      <c r="Z268" s="115"/>
    </row>
    <row r="269" spans="11:26" ht="18" customHeight="1">
      <c r="K269" s="171" t="s">
        <v>14</v>
      </c>
      <c r="L269" s="171"/>
      <c r="M269" s="171"/>
      <c r="N269" s="145" t="s">
        <v>41</v>
      </c>
      <c r="O269" s="173">
        <v>7</v>
      </c>
      <c r="P269" s="234">
        <f ca="1">OFFSET($A$1,MATCH(Z264,$A:$A,0)-1,O269)</f>
        <v>15</v>
      </c>
      <c r="Q269" s="144" t="s">
        <v>29</v>
      </c>
      <c r="R269" s="118">
        <f t="shared" ca="1" si="65"/>
        <v>235459</v>
      </c>
      <c r="S269" s="118">
        <f t="shared" ca="1" si="65"/>
        <v>3531885</v>
      </c>
      <c r="T269" s="118">
        <f ca="1">초급</f>
        <v>235459</v>
      </c>
      <c r="U269" s="118">
        <f t="shared" ca="1" si="66"/>
        <v>3531885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319" t="s">
        <v>42</v>
      </c>
      <c r="O270" s="174">
        <v>8</v>
      </c>
      <c r="P270" s="235">
        <f ca="1">OFFSET($A$1,MATCH(Z264,$A:$A,0)-1,O270)</f>
        <v>25.5</v>
      </c>
      <c r="Q270" s="322" t="s">
        <v>29</v>
      </c>
      <c r="R270" s="323">
        <f t="shared" ca="1" si="65"/>
        <v>250087</v>
      </c>
      <c r="S270" s="323">
        <f t="shared" ca="1" si="65"/>
        <v>6377218</v>
      </c>
      <c r="T270" s="323">
        <f ca="1">보조원</f>
        <v>250087</v>
      </c>
      <c r="U270" s="323">
        <f t="shared" ca="1" si="66"/>
        <v>6377218</v>
      </c>
      <c r="V270" s="323"/>
      <c r="W270" s="323"/>
      <c r="X270" s="323"/>
      <c r="Y270" s="323"/>
      <c r="Z270" s="324"/>
    </row>
    <row r="271" spans="11:26" ht="18" customHeight="1">
      <c r="K271" s="171" t="s">
        <v>14</v>
      </c>
      <c r="L271" s="171"/>
      <c r="M271" s="171"/>
      <c r="N271" s="139" t="s">
        <v>17</v>
      </c>
      <c r="O271" s="68"/>
      <c r="P271" s="69"/>
      <c r="Q271" s="70"/>
      <c r="R271" s="71"/>
      <c r="S271" s="71">
        <f ca="1">SUBTOTAL(9,S265:S270)</f>
        <v>15115012</v>
      </c>
      <c r="T271" s="71"/>
      <c r="U271" s="71">
        <f ca="1">SUBTOTAL(9,U265:U270)</f>
        <v>15115012</v>
      </c>
      <c r="V271" s="71"/>
      <c r="W271" s="71"/>
      <c r="X271" s="71"/>
      <c r="Y271" s="71"/>
      <c r="Z271" s="68"/>
    </row>
    <row r="272" spans="11:26" ht="18" customHeight="1">
      <c r="K272" s="171" t="s">
        <v>14</v>
      </c>
      <c r="L272" s="171"/>
      <c r="M272" s="171"/>
      <c r="N272" s="318" t="str">
        <f ca="1">"제 " &amp; Z272 &amp; " 호표  "&amp; OFFSET($A$1,MATCH(Z272,$A:$A,0)-1,1)</f>
        <v>제 26 호표  4.2. 집행계획</v>
      </c>
      <c r="O272" s="221"/>
      <c r="P272" s="148"/>
      <c r="Q272" s="148"/>
      <c r="R272" s="149"/>
      <c r="S272" s="149"/>
      <c r="T272" s="149"/>
      <c r="U272" s="149"/>
      <c r="V272" s="149"/>
      <c r="W272" s="149"/>
      <c r="X272" s="149"/>
      <c r="Y272" s="149"/>
      <c r="Z272" s="325">
        <f>Z264+1</f>
        <v>26</v>
      </c>
    </row>
    <row r="273" spans="11:26" ht="18" customHeight="1">
      <c r="K273" s="171" t="s">
        <v>14</v>
      </c>
      <c r="L273" s="171"/>
      <c r="M273" s="171"/>
      <c r="N273" s="140" t="s">
        <v>43</v>
      </c>
      <c r="O273" s="172">
        <v>3</v>
      </c>
      <c r="P273" s="219">
        <f ca="1">OFFSET($A$1,MATCH(Z272,$A:$A,0)-1,O273)</f>
        <v>2</v>
      </c>
      <c r="Q273" s="141" t="s">
        <v>29</v>
      </c>
      <c r="R273" s="142">
        <f t="shared" ref="R273:S278" ca="1" si="67">T273</f>
        <v>467217</v>
      </c>
      <c r="S273" s="142">
        <f t="shared" ca="1" si="67"/>
        <v>934434</v>
      </c>
      <c r="T273" s="142">
        <f ca="1">기술사</f>
        <v>467217</v>
      </c>
      <c r="U273" s="142">
        <f t="shared" ref="U273:U278" ca="1" si="68">ROUNDDOWN(P273*R273,0)</f>
        <v>934434</v>
      </c>
      <c r="V273" s="142"/>
      <c r="W273" s="142"/>
      <c r="X273" s="142"/>
      <c r="Y273" s="142"/>
      <c r="Z273" s="114"/>
    </row>
    <row r="274" spans="11:26" ht="18" customHeight="1">
      <c r="K274" s="171" t="s">
        <v>14</v>
      </c>
      <c r="L274" s="171"/>
      <c r="M274" s="171"/>
      <c r="N274" s="143" t="s">
        <v>32</v>
      </c>
      <c r="O274" s="173">
        <v>4</v>
      </c>
      <c r="P274" s="234">
        <f ca="1">OFFSET($A$1,MATCH(Z272,$A:$A,0)-1,O274)</f>
        <v>2.8</v>
      </c>
      <c r="Q274" s="144" t="s">
        <v>29</v>
      </c>
      <c r="R274" s="118">
        <f t="shared" ca="1" si="67"/>
        <v>373353</v>
      </c>
      <c r="S274" s="118">
        <f t="shared" ca="1" si="67"/>
        <v>1045388</v>
      </c>
      <c r="T274" s="118">
        <f ca="1">특급</f>
        <v>373353</v>
      </c>
      <c r="U274" s="118">
        <f t="shared" ca="1" si="68"/>
        <v>1045388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145" t="s">
        <v>39</v>
      </c>
      <c r="O275" s="173">
        <v>5</v>
      </c>
      <c r="P275" s="234">
        <f ca="1">OFFSET($A$1,MATCH(Z272,$A:$A,0)-1,O275)</f>
        <v>6.2</v>
      </c>
      <c r="Q275" s="144" t="s">
        <v>29</v>
      </c>
      <c r="R275" s="118">
        <f t="shared" ca="1" si="67"/>
        <v>310884</v>
      </c>
      <c r="S275" s="118">
        <f t="shared" ca="1" si="67"/>
        <v>1927480</v>
      </c>
      <c r="T275" s="118">
        <f ca="1">고급</f>
        <v>310884</v>
      </c>
      <c r="U275" s="118">
        <f t="shared" ca="1" si="68"/>
        <v>1927480</v>
      </c>
      <c r="V275" s="118"/>
      <c r="W275" s="118"/>
      <c r="X275" s="118"/>
      <c r="Y275" s="118"/>
      <c r="Z275" s="115"/>
    </row>
    <row r="276" spans="11:26" ht="18" customHeight="1">
      <c r="K276" s="171" t="s">
        <v>14</v>
      </c>
      <c r="L276" s="171"/>
      <c r="M276" s="171"/>
      <c r="N276" s="145" t="s">
        <v>40</v>
      </c>
      <c r="O276" s="173">
        <v>6</v>
      </c>
      <c r="P276" s="234">
        <f ca="1">OFFSET($A$1,MATCH(Z272,$A:$A,0)-1,O276)</f>
        <v>4.5</v>
      </c>
      <c r="Q276" s="144" t="s">
        <v>29</v>
      </c>
      <c r="R276" s="118">
        <f t="shared" ca="1" si="67"/>
        <v>295138</v>
      </c>
      <c r="S276" s="118">
        <f t="shared" ca="1" si="67"/>
        <v>1328121</v>
      </c>
      <c r="T276" s="118">
        <f ca="1">중급</f>
        <v>295138</v>
      </c>
      <c r="U276" s="118">
        <f t="shared" ca="1" si="68"/>
        <v>1328121</v>
      </c>
      <c r="V276" s="118"/>
      <c r="W276" s="118"/>
      <c r="X276" s="118"/>
      <c r="Y276" s="118"/>
      <c r="Z276" s="115"/>
    </row>
    <row r="277" spans="11:26" ht="18" customHeight="1">
      <c r="K277" s="171" t="s">
        <v>14</v>
      </c>
      <c r="L277" s="171"/>
      <c r="M277" s="171"/>
      <c r="N277" s="145" t="s">
        <v>41</v>
      </c>
      <c r="O277" s="173">
        <v>7</v>
      </c>
      <c r="P277" s="234">
        <f ca="1">OFFSET($A$1,MATCH(Z272,$A:$A,0)-1,O277)</f>
        <v>14.9</v>
      </c>
      <c r="Q277" s="144" t="s">
        <v>29</v>
      </c>
      <c r="R277" s="118">
        <f t="shared" ca="1" si="67"/>
        <v>235459</v>
      </c>
      <c r="S277" s="118">
        <f t="shared" ca="1" si="67"/>
        <v>3508339</v>
      </c>
      <c r="T277" s="118">
        <f ca="1">초급</f>
        <v>235459</v>
      </c>
      <c r="U277" s="118">
        <f t="shared" ca="1" si="68"/>
        <v>3508339</v>
      </c>
      <c r="V277" s="118"/>
      <c r="W277" s="118"/>
      <c r="X277" s="118"/>
      <c r="Y277" s="118"/>
      <c r="Z277" s="115"/>
    </row>
    <row r="278" spans="11:26" ht="18" customHeight="1">
      <c r="K278" s="171" t="s">
        <v>14</v>
      </c>
      <c r="L278" s="171"/>
      <c r="M278" s="171"/>
      <c r="N278" s="319" t="s">
        <v>42</v>
      </c>
      <c r="O278" s="174">
        <v>8</v>
      </c>
      <c r="P278" s="235">
        <f ca="1">OFFSET($A$1,MATCH(Z272,$A:$A,0)-1,O278)</f>
        <v>25.3</v>
      </c>
      <c r="Q278" s="322" t="s">
        <v>29</v>
      </c>
      <c r="R278" s="323">
        <f t="shared" ca="1" si="67"/>
        <v>250087</v>
      </c>
      <c r="S278" s="323">
        <f t="shared" ca="1" si="67"/>
        <v>6327201</v>
      </c>
      <c r="T278" s="323">
        <f ca="1">보조원</f>
        <v>250087</v>
      </c>
      <c r="U278" s="323">
        <f t="shared" ca="1" si="68"/>
        <v>6327201</v>
      </c>
      <c r="V278" s="323"/>
      <c r="W278" s="323"/>
      <c r="X278" s="323"/>
      <c r="Y278" s="323"/>
      <c r="Z278" s="324"/>
    </row>
    <row r="279" spans="11:26" ht="18" customHeight="1">
      <c r="K279" s="171" t="s">
        <v>14</v>
      </c>
      <c r="L279" s="171"/>
      <c r="M279" s="171"/>
      <c r="N279" s="139" t="s">
        <v>17</v>
      </c>
      <c r="O279" s="68"/>
      <c r="P279" s="69"/>
      <c r="Q279" s="70"/>
      <c r="R279" s="71"/>
      <c r="S279" s="71">
        <f ca="1">SUBTOTAL(9,S273:S278)</f>
        <v>15070963</v>
      </c>
      <c r="T279" s="71"/>
      <c r="U279" s="71">
        <f ca="1">SUBTOTAL(9,U273:U278)</f>
        <v>15070963</v>
      </c>
      <c r="V279" s="71"/>
      <c r="W279" s="71"/>
      <c r="X279" s="71"/>
      <c r="Y279" s="71"/>
      <c r="Z279" s="68"/>
    </row>
    <row r="280" spans="11:26" ht="18" customHeight="1">
      <c r="K280" s="171" t="s">
        <v>14</v>
      </c>
      <c r="L280" s="171"/>
      <c r="M280" s="171"/>
      <c r="N280" s="318" t="str">
        <f ca="1">"제 " &amp; Z280 &amp; " 호표  "&amp; OFFSET($A$1,MATCH(Z280,$A:$A,0)-1,1)</f>
        <v>제 27 호표  5.1. 보고서작성 및 편집</v>
      </c>
      <c r="O280" s="221"/>
      <c r="P280" s="148"/>
      <c r="Q280" s="148"/>
      <c r="R280" s="149"/>
      <c r="S280" s="149"/>
      <c r="T280" s="149"/>
      <c r="U280" s="149"/>
      <c r="V280" s="149"/>
      <c r="W280" s="149"/>
      <c r="X280" s="149"/>
      <c r="Y280" s="149"/>
      <c r="Z280" s="325">
        <f>Z272+1</f>
        <v>27</v>
      </c>
    </row>
    <row r="281" spans="11:26" ht="18" customHeight="1">
      <c r="K281" s="171" t="s">
        <v>14</v>
      </c>
      <c r="L281" s="171"/>
      <c r="M281" s="171"/>
      <c r="N281" s="140" t="s">
        <v>43</v>
      </c>
      <c r="O281" s="172">
        <v>3</v>
      </c>
      <c r="P281" s="219">
        <f ca="1">OFFSET($A$1,MATCH(Z280,$A:$A,0)-1,O281)</f>
        <v>1.5</v>
      </c>
      <c r="Q281" s="141" t="s">
        <v>29</v>
      </c>
      <c r="R281" s="142">
        <f t="shared" ref="R281:S286" ca="1" si="69">T281</f>
        <v>467217</v>
      </c>
      <c r="S281" s="142">
        <f t="shared" ca="1" si="69"/>
        <v>700825</v>
      </c>
      <c r="T281" s="142">
        <f ca="1">기술사</f>
        <v>467217</v>
      </c>
      <c r="U281" s="142">
        <f t="shared" ref="U281:U286" ca="1" si="70">ROUNDDOWN(P281*R281,0)</f>
        <v>700825</v>
      </c>
      <c r="V281" s="142"/>
      <c r="W281" s="142"/>
      <c r="X281" s="142"/>
      <c r="Y281" s="142"/>
      <c r="Z281" s="114"/>
    </row>
    <row r="282" spans="11:26" ht="18" customHeight="1">
      <c r="K282" s="171" t="s">
        <v>14</v>
      </c>
      <c r="L282" s="171"/>
      <c r="M282" s="171"/>
      <c r="N282" s="143" t="s">
        <v>32</v>
      </c>
      <c r="O282" s="173">
        <v>4</v>
      </c>
      <c r="P282" s="234">
        <f ca="1">OFFSET($A$1,MATCH(Z280,$A:$A,0)-1,O282)</f>
        <v>3.1</v>
      </c>
      <c r="Q282" s="144" t="s">
        <v>29</v>
      </c>
      <c r="R282" s="118">
        <f t="shared" ca="1" si="69"/>
        <v>373353</v>
      </c>
      <c r="S282" s="118">
        <f t="shared" ca="1" si="69"/>
        <v>1157394</v>
      </c>
      <c r="T282" s="118">
        <f ca="1">특급</f>
        <v>373353</v>
      </c>
      <c r="U282" s="118">
        <f t="shared" ca="1" si="70"/>
        <v>1157394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145" t="s">
        <v>39</v>
      </c>
      <c r="O283" s="173">
        <v>5</v>
      </c>
      <c r="P283" s="234">
        <f ca="1">OFFSET($A$1,MATCH(Z280,$A:$A,0)-1,O283)</f>
        <v>6.9</v>
      </c>
      <c r="Q283" s="144" t="s">
        <v>29</v>
      </c>
      <c r="R283" s="118">
        <f t="shared" ca="1" si="69"/>
        <v>310884</v>
      </c>
      <c r="S283" s="118">
        <f t="shared" ca="1" si="69"/>
        <v>2145099</v>
      </c>
      <c r="T283" s="118">
        <f ca="1">고급</f>
        <v>310884</v>
      </c>
      <c r="U283" s="118">
        <f t="shared" ca="1" si="70"/>
        <v>2145099</v>
      </c>
      <c r="V283" s="118"/>
      <c r="W283" s="118"/>
      <c r="X283" s="118"/>
      <c r="Y283" s="118"/>
      <c r="Z283" s="115"/>
    </row>
    <row r="284" spans="11:26" ht="18" customHeight="1">
      <c r="K284" s="171" t="s">
        <v>14</v>
      </c>
      <c r="L284" s="171"/>
      <c r="M284" s="171"/>
      <c r="N284" s="145" t="s">
        <v>40</v>
      </c>
      <c r="O284" s="173">
        <v>6</v>
      </c>
      <c r="P284" s="234">
        <f ca="1">OFFSET($A$1,MATCH(Z280,$A:$A,0)-1,O284)</f>
        <v>11.6</v>
      </c>
      <c r="Q284" s="144" t="s">
        <v>29</v>
      </c>
      <c r="R284" s="118">
        <f t="shared" ca="1" si="69"/>
        <v>295138</v>
      </c>
      <c r="S284" s="118">
        <f t="shared" ca="1" si="69"/>
        <v>3423600</v>
      </c>
      <c r="T284" s="118">
        <f ca="1">중급</f>
        <v>295138</v>
      </c>
      <c r="U284" s="118">
        <f t="shared" ca="1" si="70"/>
        <v>3423600</v>
      </c>
      <c r="V284" s="118"/>
      <c r="W284" s="118"/>
      <c r="X284" s="118"/>
      <c r="Y284" s="118"/>
      <c r="Z284" s="115"/>
    </row>
    <row r="285" spans="11:26" ht="18" customHeight="1">
      <c r="K285" s="171" t="s">
        <v>14</v>
      </c>
      <c r="L285" s="171"/>
      <c r="M285" s="171"/>
      <c r="N285" s="145" t="s">
        <v>41</v>
      </c>
      <c r="O285" s="173">
        <v>7</v>
      </c>
      <c r="P285" s="234">
        <f ca="1">OFFSET($A$1,MATCH(Z280,$A:$A,0)-1,O285)</f>
        <v>11.6</v>
      </c>
      <c r="Q285" s="144" t="s">
        <v>29</v>
      </c>
      <c r="R285" s="118">
        <f t="shared" ca="1" si="69"/>
        <v>235459</v>
      </c>
      <c r="S285" s="118">
        <f t="shared" ca="1" si="69"/>
        <v>2731324</v>
      </c>
      <c r="T285" s="118">
        <f ca="1">초급</f>
        <v>235459</v>
      </c>
      <c r="U285" s="118">
        <f t="shared" ca="1" si="70"/>
        <v>2731324</v>
      </c>
      <c r="V285" s="118"/>
      <c r="W285" s="118"/>
      <c r="X285" s="118"/>
      <c r="Y285" s="118"/>
      <c r="Z285" s="115"/>
    </row>
    <row r="286" spans="11:26" ht="18" customHeight="1">
      <c r="K286" s="171" t="s">
        <v>14</v>
      </c>
      <c r="L286" s="171"/>
      <c r="M286" s="171"/>
      <c r="N286" s="319" t="s">
        <v>42</v>
      </c>
      <c r="O286" s="174">
        <v>8</v>
      </c>
      <c r="P286" s="235">
        <f ca="1">OFFSET($A$1,MATCH(Z280,$A:$A,0)-1,O286)</f>
        <v>7.7</v>
      </c>
      <c r="Q286" s="322" t="s">
        <v>29</v>
      </c>
      <c r="R286" s="323">
        <f t="shared" ca="1" si="69"/>
        <v>250087</v>
      </c>
      <c r="S286" s="323">
        <f t="shared" ca="1" si="69"/>
        <v>1925669</v>
      </c>
      <c r="T286" s="323">
        <f ca="1">보조원</f>
        <v>250087</v>
      </c>
      <c r="U286" s="323">
        <f t="shared" ca="1" si="70"/>
        <v>1925669</v>
      </c>
      <c r="V286" s="323"/>
      <c r="W286" s="323"/>
      <c r="X286" s="323"/>
      <c r="Y286" s="323"/>
      <c r="Z286" s="324"/>
    </row>
    <row r="287" spans="11:26" ht="18" customHeight="1">
      <c r="K287" s="171" t="s">
        <v>14</v>
      </c>
      <c r="L287" s="171"/>
      <c r="M287" s="171"/>
      <c r="N287" s="139" t="s">
        <v>17</v>
      </c>
      <c r="O287" s="68"/>
      <c r="P287" s="69"/>
      <c r="Q287" s="70"/>
      <c r="R287" s="71"/>
      <c r="S287" s="71">
        <f ca="1">SUBTOTAL(9,S281:S286)</f>
        <v>12083911</v>
      </c>
      <c r="T287" s="71"/>
      <c r="U287" s="71">
        <f ca="1">SUBTOTAL(9,U281:U286)</f>
        <v>12083911</v>
      </c>
      <c r="V287" s="71"/>
      <c r="W287" s="71"/>
      <c r="X287" s="71"/>
      <c r="Y287" s="71"/>
      <c r="Z287" s="68"/>
    </row>
    <row r="288" spans="11:26" ht="18" customHeight="1">
      <c r="K288" s="171" t="s">
        <v>14</v>
      </c>
      <c r="L288" s="171"/>
      <c r="M288" s="171"/>
      <c r="N288" s="318" t="str">
        <f ca="1">"제 " &amp; Z288 &amp; " 호표  "&amp; OFFSET($A$1,MATCH(Z288,$A:$A,0)-1,1)</f>
        <v>제 28 호표  5.2. 관련도서작성</v>
      </c>
      <c r="O288" s="221"/>
      <c r="P288" s="148"/>
      <c r="Q288" s="148"/>
      <c r="R288" s="149"/>
      <c r="S288" s="149"/>
      <c r="T288" s="149"/>
      <c r="U288" s="149"/>
      <c r="V288" s="149"/>
      <c r="W288" s="149"/>
      <c r="X288" s="149"/>
      <c r="Y288" s="149"/>
      <c r="Z288" s="325">
        <f>Z280+1</f>
        <v>28</v>
      </c>
    </row>
    <row r="289" spans="11:26" ht="18" customHeight="1">
      <c r="K289" s="171" t="s">
        <v>14</v>
      </c>
      <c r="L289" s="171"/>
      <c r="M289" s="171"/>
      <c r="N289" s="140" t="s">
        <v>43</v>
      </c>
      <c r="O289" s="172">
        <v>3</v>
      </c>
      <c r="P289" s="219">
        <f ca="1">OFFSET($A$1,MATCH(Z288,$A:$A,0)-1,O289)</f>
        <v>0.4</v>
      </c>
      <c r="Q289" s="141" t="s">
        <v>29</v>
      </c>
      <c r="R289" s="142">
        <f t="shared" ref="R289:S294" ca="1" si="71">T289</f>
        <v>467217</v>
      </c>
      <c r="S289" s="142">
        <f t="shared" ca="1" si="71"/>
        <v>186886</v>
      </c>
      <c r="T289" s="142">
        <f ca="1">기술사</f>
        <v>467217</v>
      </c>
      <c r="U289" s="142">
        <f t="shared" ref="U289:U294" ca="1" si="72">ROUNDDOWN(P289*R289,0)</f>
        <v>186886</v>
      </c>
      <c r="V289" s="142"/>
      <c r="W289" s="142"/>
      <c r="X289" s="142"/>
      <c r="Y289" s="142"/>
      <c r="Z289" s="114"/>
    </row>
    <row r="290" spans="11:26" ht="18" customHeight="1">
      <c r="K290" s="171" t="s">
        <v>14</v>
      </c>
      <c r="L290" s="171"/>
      <c r="M290" s="171"/>
      <c r="N290" s="143" t="s">
        <v>32</v>
      </c>
      <c r="O290" s="173">
        <v>4</v>
      </c>
      <c r="P290" s="234">
        <f ca="1">OFFSET($A$1,MATCH(Z288,$A:$A,0)-1,O290)</f>
        <v>1.5</v>
      </c>
      <c r="Q290" s="144" t="s">
        <v>29</v>
      </c>
      <c r="R290" s="118">
        <f t="shared" ca="1" si="71"/>
        <v>373353</v>
      </c>
      <c r="S290" s="118">
        <f t="shared" ca="1" si="71"/>
        <v>560029</v>
      </c>
      <c r="T290" s="118">
        <f ca="1">특급</f>
        <v>373353</v>
      </c>
      <c r="U290" s="118">
        <f t="shared" ca="1" si="72"/>
        <v>560029</v>
      </c>
      <c r="V290" s="118"/>
      <c r="W290" s="118"/>
      <c r="X290" s="118"/>
      <c r="Y290" s="118"/>
      <c r="Z290" s="115"/>
    </row>
    <row r="291" spans="11:26" ht="18" customHeight="1">
      <c r="K291" s="171" t="s">
        <v>14</v>
      </c>
      <c r="L291" s="171"/>
      <c r="M291" s="171"/>
      <c r="N291" s="145" t="s">
        <v>39</v>
      </c>
      <c r="O291" s="173">
        <v>5</v>
      </c>
      <c r="P291" s="234">
        <f ca="1">OFFSET($A$1,MATCH(Z288,$A:$A,0)-1,O291)</f>
        <v>3.5</v>
      </c>
      <c r="Q291" s="144" t="s">
        <v>29</v>
      </c>
      <c r="R291" s="118">
        <f t="shared" ca="1" si="71"/>
        <v>310884</v>
      </c>
      <c r="S291" s="118">
        <f t="shared" ca="1" si="71"/>
        <v>1088094</v>
      </c>
      <c r="T291" s="118">
        <f ca="1">고급</f>
        <v>310884</v>
      </c>
      <c r="U291" s="118">
        <f t="shared" ca="1" si="72"/>
        <v>1088094</v>
      </c>
      <c r="V291" s="118"/>
      <c r="W291" s="118"/>
      <c r="X291" s="118"/>
      <c r="Y291" s="118"/>
      <c r="Z291" s="115"/>
    </row>
    <row r="292" spans="11:26" ht="18" customHeight="1">
      <c r="K292" s="171" t="s">
        <v>14</v>
      </c>
      <c r="L292" s="171"/>
      <c r="M292" s="171"/>
      <c r="N292" s="145" t="s">
        <v>40</v>
      </c>
      <c r="O292" s="173">
        <v>6</v>
      </c>
      <c r="P292" s="234">
        <f ca="1">OFFSET($A$1,MATCH(Z288,$A:$A,0)-1,O292)</f>
        <v>7.7</v>
      </c>
      <c r="Q292" s="144" t="s">
        <v>29</v>
      </c>
      <c r="R292" s="118">
        <f t="shared" ca="1" si="71"/>
        <v>295138</v>
      </c>
      <c r="S292" s="118">
        <f t="shared" ca="1" si="71"/>
        <v>2272562</v>
      </c>
      <c r="T292" s="118">
        <f ca="1">중급</f>
        <v>295138</v>
      </c>
      <c r="U292" s="118">
        <f t="shared" ca="1" si="72"/>
        <v>2272562</v>
      </c>
      <c r="V292" s="118"/>
      <c r="W292" s="118"/>
      <c r="X292" s="118"/>
      <c r="Y292" s="118"/>
      <c r="Z292" s="115"/>
    </row>
    <row r="293" spans="11:26" ht="18" customHeight="1">
      <c r="K293" s="171" t="s">
        <v>14</v>
      </c>
      <c r="L293" s="171"/>
      <c r="M293" s="171"/>
      <c r="N293" s="145" t="s">
        <v>41</v>
      </c>
      <c r="O293" s="173">
        <v>7</v>
      </c>
      <c r="P293" s="234">
        <f ca="1">OFFSET($A$1,MATCH(Z288,$A:$A,0)-1,O293)</f>
        <v>15.4</v>
      </c>
      <c r="Q293" s="144" t="s">
        <v>29</v>
      </c>
      <c r="R293" s="118">
        <f t="shared" ca="1" si="71"/>
        <v>235459</v>
      </c>
      <c r="S293" s="118">
        <f t="shared" ca="1" si="71"/>
        <v>3626068</v>
      </c>
      <c r="T293" s="118">
        <f ca="1">초급</f>
        <v>235459</v>
      </c>
      <c r="U293" s="118">
        <f t="shared" ca="1" si="72"/>
        <v>3626068</v>
      </c>
      <c r="V293" s="118"/>
      <c r="W293" s="118"/>
      <c r="X293" s="118"/>
      <c r="Y293" s="118"/>
      <c r="Z293" s="115"/>
    </row>
    <row r="294" spans="11:26" ht="18" customHeight="1">
      <c r="K294" s="171" t="s">
        <v>14</v>
      </c>
      <c r="L294" s="171"/>
      <c r="M294" s="171"/>
      <c r="N294" s="319" t="s">
        <v>42</v>
      </c>
      <c r="O294" s="174">
        <v>8</v>
      </c>
      <c r="P294" s="235">
        <f ca="1">OFFSET($A$1,MATCH(Z288,$A:$A,0)-1,O294)</f>
        <v>19.3</v>
      </c>
      <c r="Q294" s="322" t="s">
        <v>29</v>
      </c>
      <c r="R294" s="323">
        <f t="shared" ca="1" si="71"/>
        <v>250087</v>
      </c>
      <c r="S294" s="323">
        <f t="shared" ca="1" si="71"/>
        <v>4826679</v>
      </c>
      <c r="T294" s="323">
        <f ca="1">보조원</f>
        <v>250087</v>
      </c>
      <c r="U294" s="323">
        <f t="shared" ca="1" si="72"/>
        <v>4826679</v>
      </c>
      <c r="V294" s="323"/>
      <c r="W294" s="323"/>
      <c r="X294" s="323"/>
      <c r="Y294" s="323"/>
      <c r="Z294" s="324"/>
    </row>
    <row r="295" spans="11:26" ht="18" customHeight="1">
      <c r="K295" s="171" t="s">
        <v>14</v>
      </c>
      <c r="L295" s="171"/>
      <c r="M295" s="171"/>
      <c r="N295" s="139" t="s">
        <v>17</v>
      </c>
      <c r="O295" s="68"/>
      <c r="P295" s="69"/>
      <c r="Q295" s="70"/>
      <c r="R295" s="71"/>
      <c r="S295" s="71">
        <f ca="1">SUBTOTAL(9,S289:S294)</f>
        <v>12560318</v>
      </c>
      <c r="T295" s="71"/>
      <c r="U295" s="71">
        <f ca="1">SUBTOTAL(9,U289:U294)</f>
        <v>12560318</v>
      </c>
      <c r="V295" s="71"/>
      <c r="W295" s="71"/>
      <c r="X295" s="71"/>
      <c r="Y295" s="71"/>
      <c r="Z295" s="68"/>
    </row>
    <row r="296" spans="11:26" ht="18" customHeight="1">
      <c r="K296" s="171" t="s">
        <v>14</v>
      </c>
      <c r="L296" s="171"/>
      <c r="M296" s="171"/>
      <c r="N296" s="318" t="str">
        <f ca="1">"제 " &amp; Z296 &amp; " 호표  "&amp; OFFSET($A$1,MATCH(Z296,$A:$A,0)-1,1)</f>
        <v>제 29 호표  6.1. 공청회/주민설명회</v>
      </c>
      <c r="O296" s="221"/>
      <c r="P296" s="148"/>
      <c r="Q296" s="148"/>
      <c r="R296" s="149"/>
      <c r="S296" s="149"/>
      <c r="T296" s="149"/>
      <c r="U296" s="149"/>
      <c r="V296" s="149"/>
      <c r="W296" s="149"/>
      <c r="X296" s="149"/>
      <c r="Y296" s="149"/>
      <c r="Z296" s="325">
        <f>Z288+1</f>
        <v>29</v>
      </c>
    </row>
    <row r="297" spans="11:26" ht="18" customHeight="1">
      <c r="K297" s="171" t="s">
        <v>14</v>
      </c>
      <c r="L297" s="171"/>
      <c r="M297" s="171"/>
      <c r="N297" s="140" t="s">
        <v>43</v>
      </c>
      <c r="O297" s="172">
        <v>3</v>
      </c>
      <c r="P297" s="219">
        <f ca="1">OFFSET($A$1,MATCH(Z296,$A:$A,0)-1,O297)</f>
        <v>2</v>
      </c>
      <c r="Q297" s="141" t="s">
        <v>29</v>
      </c>
      <c r="R297" s="142">
        <f t="shared" ref="R297:R302" ca="1" si="73">T297</f>
        <v>467217</v>
      </c>
      <c r="S297" s="142">
        <f t="shared" ref="S297:S302" ca="1" si="74">U297</f>
        <v>934434</v>
      </c>
      <c r="T297" s="142">
        <f ca="1">기술사</f>
        <v>467217</v>
      </c>
      <c r="U297" s="142">
        <f t="shared" ref="U297:U302" ca="1" si="75">ROUNDDOWN(P297*R297,0)</f>
        <v>934434</v>
      </c>
      <c r="V297" s="142"/>
      <c r="W297" s="142"/>
      <c r="X297" s="142"/>
      <c r="Y297" s="142"/>
      <c r="Z297" s="114"/>
    </row>
    <row r="298" spans="11:26" ht="18" customHeight="1">
      <c r="K298" s="171" t="s">
        <v>14</v>
      </c>
      <c r="L298" s="171"/>
      <c r="M298" s="171"/>
      <c r="N298" s="143" t="s">
        <v>32</v>
      </c>
      <c r="O298" s="173">
        <v>4</v>
      </c>
      <c r="P298" s="234">
        <f ca="1">OFFSET($A$1,MATCH(Z296,$A:$A,0)-1,O298)</f>
        <v>2</v>
      </c>
      <c r="Q298" s="144" t="s">
        <v>29</v>
      </c>
      <c r="R298" s="118">
        <f t="shared" ca="1" si="73"/>
        <v>373353</v>
      </c>
      <c r="S298" s="118">
        <f t="shared" ca="1" si="74"/>
        <v>746706</v>
      </c>
      <c r="T298" s="118">
        <f ca="1">특급</f>
        <v>373353</v>
      </c>
      <c r="U298" s="118">
        <f t="shared" ca="1" si="75"/>
        <v>746706</v>
      </c>
      <c r="V298" s="118"/>
      <c r="W298" s="118"/>
      <c r="X298" s="118"/>
      <c r="Y298" s="118"/>
      <c r="Z298" s="115"/>
    </row>
    <row r="299" spans="11:26" ht="18" customHeight="1">
      <c r="K299" s="171" t="s">
        <v>14</v>
      </c>
      <c r="L299" s="171"/>
      <c r="M299" s="171"/>
      <c r="N299" s="145" t="s">
        <v>39</v>
      </c>
      <c r="O299" s="173">
        <v>5</v>
      </c>
      <c r="P299" s="234">
        <f ca="1">OFFSET($A$1,MATCH(Z296,$A:$A,0)-1,O299)</f>
        <v>2</v>
      </c>
      <c r="Q299" s="144" t="s">
        <v>29</v>
      </c>
      <c r="R299" s="118">
        <f t="shared" ca="1" si="73"/>
        <v>310884</v>
      </c>
      <c r="S299" s="118">
        <f t="shared" ca="1" si="74"/>
        <v>621768</v>
      </c>
      <c r="T299" s="118">
        <f ca="1">고급</f>
        <v>310884</v>
      </c>
      <c r="U299" s="118">
        <f t="shared" ca="1" si="75"/>
        <v>621768</v>
      </c>
      <c r="V299" s="118"/>
      <c r="W299" s="118"/>
      <c r="X299" s="118"/>
      <c r="Y299" s="118"/>
      <c r="Z299" s="115"/>
    </row>
    <row r="300" spans="11:26" ht="18" customHeight="1">
      <c r="K300" s="171" t="s">
        <v>14</v>
      </c>
      <c r="L300" s="171"/>
      <c r="M300" s="171"/>
      <c r="N300" s="145" t="s">
        <v>40</v>
      </c>
      <c r="O300" s="173">
        <v>6</v>
      </c>
      <c r="P300" s="234">
        <f ca="1">OFFSET($A$1,MATCH(Z296,$A:$A,0)-1,O300)</f>
        <v>4</v>
      </c>
      <c r="Q300" s="144" t="s">
        <v>29</v>
      </c>
      <c r="R300" s="118">
        <f t="shared" ca="1" si="73"/>
        <v>295138</v>
      </c>
      <c r="S300" s="118">
        <f t="shared" ca="1" si="74"/>
        <v>1180552</v>
      </c>
      <c r="T300" s="118">
        <f ca="1">중급</f>
        <v>295138</v>
      </c>
      <c r="U300" s="118">
        <f t="shared" ca="1" si="75"/>
        <v>1180552</v>
      </c>
      <c r="V300" s="118"/>
      <c r="W300" s="118"/>
      <c r="X300" s="118"/>
      <c r="Y300" s="118"/>
      <c r="Z300" s="115"/>
    </row>
    <row r="301" spans="11:26" ht="18" customHeight="1">
      <c r="K301" s="171" t="s">
        <v>14</v>
      </c>
      <c r="L301" s="171"/>
      <c r="M301" s="171"/>
      <c r="N301" s="145" t="s">
        <v>41</v>
      </c>
      <c r="O301" s="173">
        <v>7</v>
      </c>
      <c r="P301" s="234">
        <f ca="1">OFFSET($A$1,MATCH(Z296,$A:$A,0)-1,O301)</f>
        <v>4</v>
      </c>
      <c r="Q301" s="144" t="s">
        <v>29</v>
      </c>
      <c r="R301" s="118">
        <f t="shared" ca="1" si="73"/>
        <v>235459</v>
      </c>
      <c r="S301" s="118">
        <f t="shared" ca="1" si="74"/>
        <v>941836</v>
      </c>
      <c r="T301" s="118">
        <f ca="1">초급</f>
        <v>235459</v>
      </c>
      <c r="U301" s="118">
        <f t="shared" ca="1" si="75"/>
        <v>941836</v>
      </c>
      <c r="V301" s="118"/>
      <c r="W301" s="118"/>
      <c r="X301" s="118"/>
      <c r="Y301" s="118"/>
      <c r="Z301" s="115"/>
    </row>
    <row r="302" spans="11:26" ht="18" customHeight="1">
      <c r="K302" s="171" t="s">
        <v>14</v>
      </c>
      <c r="L302" s="171"/>
      <c r="M302" s="171"/>
      <c r="N302" s="319" t="s">
        <v>42</v>
      </c>
      <c r="O302" s="174">
        <v>8</v>
      </c>
      <c r="P302" s="235">
        <f ca="1">OFFSET($A$1,MATCH(Z296,$A:$A,0)-1,O302)</f>
        <v>4</v>
      </c>
      <c r="Q302" s="322" t="s">
        <v>29</v>
      </c>
      <c r="R302" s="323">
        <f t="shared" ca="1" si="73"/>
        <v>250087</v>
      </c>
      <c r="S302" s="323">
        <f t="shared" ca="1" si="74"/>
        <v>1000348</v>
      </c>
      <c r="T302" s="323">
        <f ca="1">보조원</f>
        <v>250087</v>
      </c>
      <c r="U302" s="323">
        <f t="shared" ca="1" si="75"/>
        <v>1000348</v>
      </c>
      <c r="V302" s="323"/>
      <c r="W302" s="323"/>
      <c r="X302" s="323"/>
      <c r="Y302" s="323"/>
      <c r="Z302" s="324"/>
    </row>
    <row r="303" spans="11:26" ht="18" customHeight="1">
      <c r="K303" s="171" t="s">
        <v>14</v>
      </c>
      <c r="L303" s="171"/>
      <c r="M303" s="171"/>
      <c r="N303" s="139" t="s">
        <v>17</v>
      </c>
      <c r="O303" s="68"/>
      <c r="P303" s="69"/>
      <c r="Q303" s="70"/>
      <c r="R303" s="71"/>
      <c r="S303" s="71">
        <f ca="1">SUBTOTAL(9,S297:S302)</f>
        <v>5425644</v>
      </c>
      <c r="T303" s="71"/>
      <c r="U303" s="71">
        <f ca="1">SUBTOTAL(9,U297:U302)</f>
        <v>5425644</v>
      </c>
      <c r="V303" s="71"/>
      <c r="W303" s="71"/>
      <c r="X303" s="71"/>
      <c r="Y303" s="71"/>
      <c r="Z303" s="68"/>
    </row>
    <row r="304" spans="11:26" ht="18" customHeight="1">
      <c r="K304" s="171" t="s">
        <v>14</v>
      </c>
      <c r="L304" s="171"/>
      <c r="M304" s="171"/>
      <c r="N304" s="318" t="str">
        <f ca="1">"제 " &amp; Z304 &amp; " 호표  "&amp; OFFSET($A$1,MATCH(Z304,$A:$A,0)-1,1)</f>
        <v>제 30 호표  6.2. 주민간담회/시민계획단</v>
      </c>
      <c r="O304" s="221"/>
      <c r="P304" s="148"/>
      <c r="Q304" s="148"/>
      <c r="R304" s="149"/>
      <c r="S304" s="149"/>
      <c r="T304" s="149"/>
      <c r="U304" s="149"/>
      <c r="V304" s="149"/>
      <c r="W304" s="149"/>
      <c r="X304" s="149"/>
      <c r="Y304" s="149"/>
      <c r="Z304" s="325">
        <f>Z296+1</f>
        <v>30</v>
      </c>
    </row>
    <row r="305" spans="11:26" ht="18" customHeight="1">
      <c r="K305" s="171" t="s">
        <v>14</v>
      </c>
      <c r="L305" s="171"/>
      <c r="M305" s="171"/>
      <c r="N305" s="140" t="s">
        <v>43</v>
      </c>
      <c r="O305" s="172">
        <v>3</v>
      </c>
      <c r="P305" s="219">
        <f ca="1">OFFSET($A$1,MATCH(Z304,$A:$A,0)-1,O305)</f>
        <v>2</v>
      </c>
      <c r="Q305" s="141" t="s">
        <v>29</v>
      </c>
      <c r="R305" s="142">
        <f t="shared" ref="R305:R310" ca="1" si="76">T305</f>
        <v>467217</v>
      </c>
      <c r="S305" s="142">
        <f t="shared" ref="S305:S310" ca="1" si="77">U305</f>
        <v>934434</v>
      </c>
      <c r="T305" s="142">
        <f ca="1">기술사</f>
        <v>467217</v>
      </c>
      <c r="U305" s="142">
        <f t="shared" ref="U305:U310" ca="1" si="78">ROUNDDOWN(P305*R305,0)</f>
        <v>934434</v>
      </c>
      <c r="V305" s="142"/>
      <c r="W305" s="142"/>
      <c r="X305" s="142"/>
      <c r="Y305" s="142"/>
      <c r="Z305" s="114"/>
    </row>
    <row r="306" spans="11:26" ht="18" customHeight="1">
      <c r="K306" s="171" t="s">
        <v>14</v>
      </c>
      <c r="L306" s="171"/>
      <c r="M306" s="171"/>
      <c r="N306" s="143" t="s">
        <v>32</v>
      </c>
      <c r="O306" s="173">
        <v>4</v>
      </c>
      <c r="P306" s="234">
        <f ca="1">OFFSET($A$1,MATCH(Z304,$A:$A,0)-1,O306)</f>
        <v>2</v>
      </c>
      <c r="Q306" s="144" t="s">
        <v>29</v>
      </c>
      <c r="R306" s="118">
        <f t="shared" ca="1" si="76"/>
        <v>373353</v>
      </c>
      <c r="S306" s="118">
        <f t="shared" ca="1" si="77"/>
        <v>746706</v>
      </c>
      <c r="T306" s="118">
        <f ca="1">특급</f>
        <v>373353</v>
      </c>
      <c r="U306" s="118">
        <f t="shared" ca="1" si="78"/>
        <v>746706</v>
      </c>
      <c r="V306" s="118"/>
      <c r="W306" s="118"/>
      <c r="X306" s="118"/>
      <c r="Y306" s="118"/>
      <c r="Z306" s="115"/>
    </row>
    <row r="307" spans="11:26" ht="18" customHeight="1">
      <c r="K307" s="171" t="s">
        <v>14</v>
      </c>
      <c r="L307" s="171"/>
      <c r="M307" s="171"/>
      <c r="N307" s="145" t="s">
        <v>39</v>
      </c>
      <c r="O307" s="173">
        <v>5</v>
      </c>
      <c r="P307" s="234">
        <f ca="1">OFFSET($A$1,MATCH(Z304,$A:$A,0)-1,O307)</f>
        <v>2</v>
      </c>
      <c r="Q307" s="144" t="s">
        <v>29</v>
      </c>
      <c r="R307" s="118">
        <f t="shared" ca="1" si="76"/>
        <v>310884</v>
      </c>
      <c r="S307" s="118">
        <f t="shared" ca="1" si="77"/>
        <v>621768</v>
      </c>
      <c r="T307" s="118">
        <f ca="1">고급</f>
        <v>310884</v>
      </c>
      <c r="U307" s="118">
        <f t="shared" ca="1" si="78"/>
        <v>621768</v>
      </c>
      <c r="V307" s="118"/>
      <c r="W307" s="118"/>
      <c r="X307" s="118"/>
      <c r="Y307" s="118"/>
      <c r="Z307" s="115"/>
    </row>
    <row r="308" spans="11:26" ht="18" customHeight="1">
      <c r="K308" s="171" t="s">
        <v>14</v>
      </c>
      <c r="L308" s="171"/>
      <c r="M308" s="171"/>
      <c r="N308" s="145" t="s">
        <v>40</v>
      </c>
      <c r="O308" s="173">
        <v>6</v>
      </c>
      <c r="P308" s="234">
        <f ca="1">OFFSET($A$1,MATCH(Z304,$A:$A,0)-1,O308)</f>
        <v>4</v>
      </c>
      <c r="Q308" s="144" t="s">
        <v>29</v>
      </c>
      <c r="R308" s="118">
        <f t="shared" ca="1" si="76"/>
        <v>295138</v>
      </c>
      <c r="S308" s="118">
        <f t="shared" ca="1" si="77"/>
        <v>1180552</v>
      </c>
      <c r="T308" s="118">
        <f ca="1">중급</f>
        <v>295138</v>
      </c>
      <c r="U308" s="118">
        <f t="shared" ca="1" si="78"/>
        <v>1180552</v>
      </c>
      <c r="V308" s="118"/>
      <c r="W308" s="118"/>
      <c r="X308" s="118"/>
      <c r="Y308" s="118"/>
      <c r="Z308" s="115"/>
    </row>
    <row r="309" spans="11:26" ht="18" customHeight="1">
      <c r="K309" s="171" t="s">
        <v>14</v>
      </c>
      <c r="L309" s="171"/>
      <c r="M309" s="171"/>
      <c r="N309" s="145" t="s">
        <v>41</v>
      </c>
      <c r="O309" s="173">
        <v>7</v>
      </c>
      <c r="P309" s="234">
        <f ca="1">OFFSET($A$1,MATCH(Z304,$A:$A,0)-1,O309)</f>
        <v>4</v>
      </c>
      <c r="Q309" s="144" t="s">
        <v>29</v>
      </c>
      <c r="R309" s="118">
        <f t="shared" ca="1" si="76"/>
        <v>235459</v>
      </c>
      <c r="S309" s="118">
        <f t="shared" ca="1" si="77"/>
        <v>941836</v>
      </c>
      <c r="T309" s="118">
        <f ca="1">초급</f>
        <v>235459</v>
      </c>
      <c r="U309" s="118">
        <f t="shared" ca="1" si="78"/>
        <v>941836</v>
      </c>
      <c r="V309" s="118"/>
      <c r="W309" s="118"/>
      <c r="X309" s="118"/>
      <c r="Y309" s="118"/>
      <c r="Z309" s="115"/>
    </row>
    <row r="310" spans="11:26" ht="18" customHeight="1">
      <c r="K310" s="171" t="s">
        <v>14</v>
      </c>
      <c r="L310" s="171"/>
      <c r="M310" s="171"/>
      <c r="N310" s="319" t="s">
        <v>42</v>
      </c>
      <c r="O310" s="174">
        <v>8</v>
      </c>
      <c r="P310" s="235">
        <f ca="1">OFFSET($A$1,MATCH(Z304,$A:$A,0)-1,O310)</f>
        <v>4</v>
      </c>
      <c r="Q310" s="322" t="s">
        <v>29</v>
      </c>
      <c r="R310" s="323">
        <f t="shared" ca="1" si="76"/>
        <v>250087</v>
      </c>
      <c r="S310" s="323">
        <f t="shared" ca="1" si="77"/>
        <v>1000348</v>
      </c>
      <c r="T310" s="323">
        <f ca="1">보조원</f>
        <v>250087</v>
      </c>
      <c r="U310" s="323">
        <f t="shared" ca="1" si="78"/>
        <v>1000348</v>
      </c>
      <c r="V310" s="323"/>
      <c r="W310" s="323"/>
      <c r="X310" s="323"/>
      <c r="Y310" s="323"/>
      <c r="Z310" s="324"/>
    </row>
    <row r="311" spans="11:26" ht="18" customHeight="1">
      <c r="K311" s="171" t="s">
        <v>14</v>
      </c>
      <c r="L311" s="171"/>
      <c r="M311" s="171"/>
      <c r="N311" s="139" t="s">
        <v>17</v>
      </c>
      <c r="O311" s="68"/>
      <c r="P311" s="69"/>
      <c r="Q311" s="70"/>
      <c r="R311" s="71"/>
      <c r="S311" s="71">
        <f ca="1">SUBTOTAL(9,S305:S310)</f>
        <v>5425644</v>
      </c>
      <c r="T311" s="71"/>
      <c r="U311" s="71">
        <f ca="1">SUBTOTAL(9,U305:U310)</f>
        <v>5425644</v>
      </c>
      <c r="V311" s="71"/>
      <c r="W311" s="71"/>
      <c r="X311" s="71"/>
      <c r="Y311" s="71"/>
      <c r="Z311" s="68"/>
    </row>
    <row r="312" spans="11:26" ht="18" customHeight="1">
      <c r="K312" s="171" t="s">
        <v>14</v>
      </c>
      <c r="L312" s="171"/>
      <c r="M312" s="171"/>
      <c r="N312" s="318" t="str">
        <f ca="1">"제 " &amp; Z312 &amp; " 호표  "&amp; OFFSET($A$1,MATCH(Z312,$A:$A,0)-1,1)</f>
        <v>제 31 호표  6.3. 위원회심의 지원</v>
      </c>
      <c r="O312" s="221"/>
      <c r="P312" s="148"/>
      <c r="Q312" s="148"/>
      <c r="R312" s="149"/>
      <c r="S312" s="149"/>
      <c r="T312" s="149"/>
      <c r="U312" s="149"/>
      <c r="V312" s="149"/>
      <c r="W312" s="149"/>
      <c r="X312" s="149"/>
      <c r="Y312" s="149"/>
      <c r="Z312" s="325">
        <f>Z304+1</f>
        <v>31</v>
      </c>
    </row>
    <row r="313" spans="11:26" ht="18" customHeight="1">
      <c r="K313" s="171" t="s">
        <v>14</v>
      </c>
      <c r="L313" s="171"/>
      <c r="M313" s="171"/>
      <c r="N313" s="140" t="s">
        <v>43</v>
      </c>
      <c r="O313" s="172">
        <v>3</v>
      </c>
      <c r="P313" s="219">
        <f ca="1">OFFSET($A$1,MATCH(Z312,$A:$A,0)-1,O313)</f>
        <v>2</v>
      </c>
      <c r="Q313" s="141" t="s">
        <v>29</v>
      </c>
      <c r="R313" s="142">
        <f t="shared" ref="R313:R318" ca="1" si="79">T313</f>
        <v>467217</v>
      </c>
      <c r="S313" s="142">
        <f t="shared" ref="S313:S318" ca="1" si="80">U313</f>
        <v>934434</v>
      </c>
      <c r="T313" s="142">
        <f ca="1">기술사</f>
        <v>467217</v>
      </c>
      <c r="U313" s="142">
        <f t="shared" ref="U313:U318" ca="1" si="81">ROUNDDOWN(P313*R313,0)</f>
        <v>934434</v>
      </c>
      <c r="V313" s="142"/>
      <c r="W313" s="142"/>
      <c r="X313" s="142"/>
      <c r="Y313" s="142"/>
      <c r="Z313" s="114"/>
    </row>
    <row r="314" spans="11:26" ht="18" customHeight="1">
      <c r="K314" s="171" t="s">
        <v>14</v>
      </c>
      <c r="L314" s="171"/>
      <c r="M314" s="171"/>
      <c r="N314" s="143" t="s">
        <v>32</v>
      </c>
      <c r="O314" s="173">
        <v>4</v>
      </c>
      <c r="P314" s="234">
        <f ca="1">OFFSET($A$1,MATCH(Z312,$A:$A,0)-1,O314)</f>
        <v>2</v>
      </c>
      <c r="Q314" s="144" t="s">
        <v>29</v>
      </c>
      <c r="R314" s="118">
        <f t="shared" ca="1" si="79"/>
        <v>373353</v>
      </c>
      <c r="S314" s="118">
        <f t="shared" ca="1" si="80"/>
        <v>746706</v>
      </c>
      <c r="T314" s="118">
        <f ca="1">특급</f>
        <v>373353</v>
      </c>
      <c r="U314" s="118">
        <f t="shared" ca="1" si="81"/>
        <v>746706</v>
      </c>
      <c r="V314" s="118"/>
      <c r="W314" s="118"/>
      <c r="X314" s="118"/>
      <c r="Y314" s="118"/>
      <c r="Z314" s="115"/>
    </row>
    <row r="315" spans="11:26" ht="18" customHeight="1">
      <c r="K315" s="171" t="s">
        <v>14</v>
      </c>
      <c r="L315" s="171"/>
      <c r="M315" s="171"/>
      <c r="N315" s="145" t="s">
        <v>39</v>
      </c>
      <c r="O315" s="173">
        <v>5</v>
      </c>
      <c r="P315" s="234">
        <f ca="1">OFFSET($A$1,MATCH(Z312,$A:$A,0)-1,O315)</f>
        <v>2</v>
      </c>
      <c r="Q315" s="144" t="s">
        <v>29</v>
      </c>
      <c r="R315" s="118">
        <f t="shared" ca="1" si="79"/>
        <v>310884</v>
      </c>
      <c r="S315" s="118">
        <f t="shared" ca="1" si="80"/>
        <v>621768</v>
      </c>
      <c r="T315" s="118">
        <f ca="1">고급</f>
        <v>310884</v>
      </c>
      <c r="U315" s="118">
        <f t="shared" ca="1" si="81"/>
        <v>621768</v>
      </c>
      <c r="V315" s="118"/>
      <c r="W315" s="118"/>
      <c r="X315" s="118"/>
      <c r="Y315" s="118"/>
      <c r="Z315" s="115"/>
    </row>
    <row r="316" spans="11:26" ht="18" customHeight="1">
      <c r="K316" s="171" t="s">
        <v>14</v>
      </c>
      <c r="L316" s="171"/>
      <c r="M316" s="171"/>
      <c r="N316" s="145" t="s">
        <v>40</v>
      </c>
      <c r="O316" s="173">
        <v>6</v>
      </c>
      <c r="P316" s="234">
        <f ca="1">OFFSET($A$1,MATCH(Z312,$A:$A,0)-1,O316)</f>
        <v>4</v>
      </c>
      <c r="Q316" s="144" t="s">
        <v>29</v>
      </c>
      <c r="R316" s="118">
        <f t="shared" ca="1" si="79"/>
        <v>295138</v>
      </c>
      <c r="S316" s="118">
        <f t="shared" ca="1" si="80"/>
        <v>1180552</v>
      </c>
      <c r="T316" s="118">
        <f ca="1">중급</f>
        <v>295138</v>
      </c>
      <c r="U316" s="118">
        <f t="shared" ca="1" si="81"/>
        <v>1180552</v>
      </c>
      <c r="V316" s="118"/>
      <c r="W316" s="118"/>
      <c r="X316" s="118"/>
      <c r="Y316" s="118"/>
      <c r="Z316" s="115"/>
    </row>
    <row r="317" spans="11:26" ht="18" customHeight="1">
      <c r="K317" s="171" t="s">
        <v>14</v>
      </c>
      <c r="L317" s="171"/>
      <c r="M317" s="171"/>
      <c r="N317" s="145" t="s">
        <v>41</v>
      </c>
      <c r="O317" s="173">
        <v>7</v>
      </c>
      <c r="P317" s="234">
        <f ca="1">OFFSET($A$1,MATCH(Z312,$A:$A,0)-1,O317)</f>
        <v>4</v>
      </c>
      <c r="Q317" s="144" t="s">
        <v>29</v>
      </c>
      <c r="R317" s="118">
        <f t="shared" ca="1" si="79"/>
        <v>235459</v>
      </c>
      <c r="S317" s="118">
        <f t="shared" ca="1" si="80"/>
        <v>941836</v>
      </c>
      <c r="T317" s="118">
        <f ca="1">초급</f>
        <v>235459</v>
      </c>
      <c r="U317" s="118">
        <f t="shared" ca="1" si="81"/>
        <v>941836</v>
      </c>
      <c r="V317" s="118"/>
      <c r="W317" s="118"/>
      <c r="X317" s="118"/>
      <c r="Y317" s="118"/>
      <c r="Z317" s="115"/>
    </row>
    <row r="318" spans="11:26" ht="18" customHeight="1">
      <c r="K318" s="171" t="s">
        <v>14</v>
      </c>
      <c r="L318" s="171"/>
      <c r="M318" s="171"/>
      <c r="N318" s="319" t="s">
        <v>42</v>
      </c>
      <c r="O318" s="174">
        <v>8</v>
      </c>
      <c r="P318" s="235">
        <f ca="1">OFFSET($A$1,MATCH(Z312,$A:$A,0)-1,O318)</f>
        <v>4</v>
      </c>
      <c r="Q318" s="322" t="s">
        <v>29</v>
      </c>
      <c r="R318" s="323">
        <f t="shared" ca="1" si="79"/>
        <v>250087</v>
      </c>
      <c r="S318" s="323">
        <f t="shared" ca="1" si="80"/>
        <v>1000348</v>
      </c>
      <c r="T318" s="323">
        <f ca="1">보조원</f>
        <v>250087</v>
      </c>
      <c r="U318" s="323">
        <f t="shared" ca="1" si="81"/>
        <v>1000348</v>
      </c>
      <c r="V318" s="323"/>
      <c r="W318" s="323"/>
      <c r="X318" s="323"/>
      <c r="Y318" s="323"/>
      <c r="Z318" s="324"/>
    </row>
    <row r="319" spans="11:26" ht="18" customHeight="1">
      <c r="K319" s="171" t="s">
        <v>14</v>
      </c>
      <c r="L319" s="171"/>
      <c r="M319" s="171"/>
      <c r="N319" s="139" t="s">
        <v>17</v>
      </c>
      <c r="O319" s="68"/>
      <c r="P319" s="69"/>
      <c r="Q319" s="70"/>
      <c r="R319" s="71"/>
      <c r="S319" s="71">
        <f ca="1">SUBTOTAL(9,S313:S318)</f>
        <v>5425644</v>
      </c>
      <c r="T319" s="71"/>
      <c r="U319" s="71">
        <f ca="1">SUBTOTAL(9,U313:U318)</f>
        <v>5425644</v>
      </c>
      <c r="V319" s="71"/>
      <c r="W319" s="71"/>
      <c r="X319" s="71"/>
      <c r="Y319" s="71"/>
      <c r="Z319" s="68"/>
    </row>
    <row r="320" spans="11:26" ht="18" customHeight="1">
      <c r="K320" s="171" t="s">
        <v>14</v>
      </c>
      <c r="L320" s="171"/>
      <c r="M320" s="171"/>
      <c r="N320" s="318" t="str">
        <f ca="1">"제 " &amp; Z320 &amp; " 호표  "&amp; OFFSET($A$1,MATCH(Z320,$A:$A,0)-1,1)</f>
        <v>제 32 호표  6.4. 관계기관 협의</v>
      </c>
      <c r="O320" s="221"/>
      <c r="P320" s="148"/>
      <c r="Q320" s="148"/>
      <c r="R320" s="149"/>
      <c r="S320" s="149"/>
      <c r="T320" s="149"/>
      <c r="U320" s="149"/>
      <c r="V320" s="149"/>
      <c r="W320" s="149"/>
      <c r="X320" s="149"/>
      <c r="Y320" s="149"/>
      <c r="Z320" s="325">
        <f>Z312+1</f>
        <v>32</v>
      </c>
    </row>
    <row r="321" spans="11:26" ht="18" customHeight="1">
      <c r="K321" s="171" t="s">
        <v>14</v>
      </c>
      <c r="L321" s="171"/>
      <c r="M321" s="171"/>
      <c r="N321" s="140" t="s">
        <v>43</v>
      </c>
      <c r="O321" s="172">
        <v>3</v>
      </c>
      <c r="P321" s="219">
        <f ca="1">OFFSET($A$1,MATCH(Z320,$A:$A,0)-1,O321)</f>
        <v>2</v>
      </c>
      <c r="Q321" s="141" t="s">
        <v>29</v>
      </c>
      <c r="R321" s="142">
        <f t="shared" ref="R321:R326" ca="1" si="82">T321</f>
        <v>467217</v>
      </c>
      <c r="S321" s="142">
        <f t="shared" ref="S321:S326" ca="1" si="83">U321</f>
        <v>934434</v>
      </c>
      <c r="T321" s="142">
        <f ca="1">기술사</f>
        <v>467217</v>
      </c>
      <c r="U321" s="142">
        <f t="shared" ref="U321:U326" ca="1" si="84">ROUNDDOWN(P321*R321,0)</f>
        <v>934434</v>
      </c>
      <c r="V321" s="142"/>
      <c r="W321" s="142"/>
      <c r="X321" s="142"/>
      <c r="Y321" s="142"/>
      <c r="Z321" s="114"/>
    </row>
    <row r="322" spans="11:26" ht="18" customHeight="1">
      <c r="K322" s="171" t="s">
        <v>14</v>
      </c>
      <c r="L322" s="171"/>
      <c r="M322" s="171"/>
      <c r="N322" s="143" t="s">
        <v>32</v>
      </c>
      <c r="O322" s="173">
        <v>4</v>
      </c>
      <c r="P322" s="234">
        <f ca="1">OFFSET($A$1,MATCH(Z320,$A:$A,0)-1,O322)</f>
        <v>2</v>
      </c>
      <c r="Q322" s="144" t="s">
        <v>29</v>
      </c>
      <c r="R322" s="118">
        <f t="shared" ca="1" si="82"/>
        <v>373353</v>
      </c>
      <c r="S322" s="118">
        <f t="shared" ca="1" si="83"/>
        <v>746706</v>
      </c>
      <c r="T322" s="118">
        <f ca="1">특급</f>
        <v>373353</v>
      </c>
      <c r="U322" s="118">
        <f t="shared" ca="1" si="84"/>
        <v>746706</v>
      </c>
      <c r="V322" s="118"/>
      <c r="W322" s="118"/>
      <c r="X322" s="118"/>
      <c r="Y322" s="118"/>
      <c r="Z322" s="115"/>
    </row>
    <row r="323" spans="11:26" ht="18" customHeight="1">
      <c r="K323" s="171" t="s">
        <v>14</v>
      </c>
      <c r="L323" s="171"/>
      <c r="M323" s="171"/>
      <c r="N323" s="145" t="s">
        <v>39</v>
      </c>
      <c r="O323" s="173">
        <v>5</v>
      </c>
      <c r="P323" s="234">
        <f ca="1">OFFSET($A$1,MATCH(Z320,$A:$A,0)-1,O323)</f>
        <v>2</v>
      </c>
      <c r="Q323" s="144" t="s">
        <v>29</v>
      </c>
      <c r="R323" s="118">
        <f t="shared" ca="1" si="82"/>
        <v>310884</v>
      </c>
      <c r="S323" s="118">
        <f t="shared" ca="1" si="83"/>
        <v>621768</v>
      </c>
      <c r="T323" s="118">
        <f ca="1">고급</f>
        <v>310884</v>
      </c>
      <c r="U323" s="118">
        <f t="shared" ca="1" si="84"/>
        <v>621768</v>
      </c>
      <c r="V323" s="118"/>
      <c r="W323" s="118"/>
      <c r="X323" s="118"/>
      <c r="Y323" s="118"/>
      <c r="Z323" s="115"/>
    </row>
    <row r="324" spans="11:26" ht="18" customHeight="1">
      <c r="K324" s="171" t="s">
        <v>14</v>
      </c>
      <c r="L324" s="171"/>
      <c r="M324" s="171"/>
      <c r="N324" s="145" t="s">
        <v>40</v>
      </c>
      <c r="O324" s="173">
        <v>6</v>
      </c>
      <c r="P324" s="234">
        <f ca="1">OFFSET($A$1,MATCH(Z320,$A:$A,0)-1,O324)</f>
        <v>4</v>
      </c>
      <c r="Q324" s="144" t="s">
        <v>29</v>
      </c>
      <c r="R324" s="118">
        <f t="shared" ca="1" si="82"/>
        <v>295138</v>
      </c>
      <c r="S324" s="118">
        <f t="shared" ca="1" si="83"/>
        <v>1180552</v>
      </c>
      <c r="T324" s="118">
        <f ca="1">중급</f>
        <v>295138</v>
      </c>
      <c r="U324" s="118">
        <f t="shared" ca="1" si="84"/>
        <v>1180552</v>
      </c>
      <c r="V324" s="118"/>
      <c r="W324" s="118"/>
      <c r="X324" s="118"/>
      <c r="Y324" s="118"/>
      <c r="Z324" s="115"/>
    </row>
    <row r="325" spans="11:26" ht="18" customHeight="1">
      <c r="K325" s="171" t="s">
        <v>14</v>
      </c>
      <c r="L325" s="171"/>
      <c r="M325" s="171"/>
      <c r="N325" s="145" t="s">
        <v>41</v>
      </c>
      <c r="O325" s="173">
        <v>7</v>
      </c>
      <c r="P325" s="234">
        <f ca="1">OFFSET($A$1,MATCH(Z320,$A:$A,0)-1,O325)</f>
        <v>4</v>
      </c>
      <c r="Q325" s="144" t="s">
        <v>29</v>
      </c>
      <c r="R325" s="118">
        <f t="shared" ca="1" si="82"/>
        <v>235459</v>
      </c>
      <c r="S325" s="118">
        <f t="shared" ca="1" si="83"/>
        <v>941836</v>
      </c>
      <c r="T325" s="118">
        <f ca="1">초급</f>
        <v>235459</v>
      </c>
      <c r="U325" s="118">
        <f t="shared" ca="1" si="84"/>
        <v>941836</v>
      </c>
      <c r="V325" s="118"/>
      <c r="W325" s="118"/>
      <c r="X325" s="118"/>
      <c r="Y325" s="118"/>
      <c r="Z325" s="115"/>
    </row>
    <row r="326" spans="11:26" ht="18" customHeight="1">
      <c r="K326" s="171" t="s">
        <v>14</v>
      </c>
      <c r="L326" s="171"/>
      <c r="M326" s="171"/>
      <c r="N326" s="319" t="s">
        <v>42</v>
      </c>
      <c r="O326" s="174">
        <v>8</v>
      </c>
      <c r="P326" s="235">
        <f ca="1">OFFSET($A$1,MATCH(Z320,$A:$A,0)-1,O326)</f>
        <v>4</v>
      </c>
      <c r="Q326" s="322" t="s">
        <v>29</v>
      </c>
      <c r="R326" s="323">
        <f t="shared" ca="1" si="82"/>
        <v>250087</v>
      </c>
      <c r="S326" s="323">
        <f t="shared" ca="1" si="83"/>
        <v>1000348</v>
      </c>
      <c r="T326" s="323">
        <f ca="1">보조원</f>
        <v>250087</v>
      </c>
      <c r="U326" s="323">
        <f t="shared" ca="1" si="84"/>
        <v>1000348</v>
      </c>
      <c r="V326" s="323"/>
      <c r="W326" s="323"/>
      <c r="X326" s="323"/>
      <c r="Y326" s="323"/>
      <c r="Z326" s="324"/>
    </row>
    <row r="327" spans="11:26" ht="18" customHeight="1">
      <c r="K327" s="171" t="s">
        <v>14</v>
      </c>
      <c r="L327" s="171"/>
      <c r="M327" s="171"/>
      <c r="N327" s="139" t="s">
        <v>17</v>
      </c>
      <c r="O327" s="68"/>
      <c r="P327" s="69"/>
      <c r="Q327" s="70"/>
      <c r="R327" s="71"/>
      <c r="S327" s="71">
        <f ca="1">SUBTOTAL(9,S321:S326)</f>
        <v>5425644</v>
      </c>
      <c r="T327" s="71"/>
      <c r="U327" s="71">
        <f ca="1">SUBTOTAL(9,U321:U326)</f>
        <v>5425644</v>
      </c>
      <c r="V327" s="71"/>
      <c r="W327" s="71"/>
      <c r="X327" s="71"/>
      <c r="Y327" s="71"/>
      <c r="Z327" s="68"/>
    </row>
    <row r="328" spans="11:26" ht="18" customHeight="1">
      <c r="K328" s="171" t="s">
        <v>14</v>
      </c>
      <c r="L328" s="171"/>
      <c r="M328" s="171"/>
    </row>
    <row r="329" spans="11:26" ht="18" customHeight="1">
      <c r="K329" s="171" t="s">
        <v>14</v>
      </c>
      <c r="L329" s="171"/>
      <c r="M329" s="171"/>
    </row>
    <row r="330" spans="11:26" ht="18" customHeight="1">
      <c r="K330" s="171" t="s">
        <v>14</v>
      </c>
      <c r="L330" s="171"/>
      <c r="M330" s="171"/>
    </row>
    <row r="331" spans="11:26" ht="18" customHeight="1">
      <c r="K331" s="171" t="s">
        <v>14</v>
      </c>
      <c r="L331" s="171"/>
      <c r="M331" s="171"/>
    </row>
    <row r="332" spans="11:26" ht="18" customHeight="1">
      <c r="K332" s="171" t="s">
        <v>14</v>
      </c>
      <c r="L332" s="171"/>
      <c r="M332" s="171"/>
    </row>
    <row r="333" spans="11:26" ht="18" customHeight="1">
      <c r="K333" s="171" t="s">
        <v>14</v>
      </c>
      <c r="L333" s="171"/>
      <c r="M333" s="171"/>
    </row>
    <row r="334" spans="11:26" ht="18" customHeight="1">
      <c r="K334" s="171" t="s">
        <v>14</v>
      </c>
      <c r="L334" s="171"/>
      <c r="M334" s="171"/>
    </row>
    <row r="335" spans="11:26" ht="18" customHeight="1">
      <c r="K335" s="171" t="s">
        <v>14</v>
      </c>
      <c r="L335" s="171"/>
      <c r="M335" s="171"/>
    </row>
    <row r="336" spans="11:26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  <c r="M828" s="171"/>
    </row>
    <row r="829" spans="11:13" ht="18" customHeight="1">
      <c r="K829" s="171" t="s">
        <v>14</v>
      </c>
      <c r="L829" s="171"/>
      <c r="M829" s="171"/>
    </row>
    <row r="830" spans="11:13" ht="18" customHeight="1">
      <c r="K830" s="171" t="s">
        <v>14</v>
      </c>
      <c r="L830" s="171"/>
      <c r="M830" s="171"/>
    </row>
    <row r="831" spans="11:13" ht="18" customHeight="1">
      <c r="K831" s="171" t="s">
        <v>14</v>
      </c>
      <c r="L831" s="171"/>
      <c r="M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K839" s="171" t="s">
        <v>14</v>
      </c>
      <c r="L839" s="171"/>
    </row>
    <row r="840" spans="11:12" ht="18" customHeight="1">
      <c r="K840" s="171" t="s">
        <v>14</v>
      </c>
      <c r="L840" s="171"/>
    </row>
    <row r="841" spans="11:12" ht="18" customHeight="1">
      <c r="K841" s="171" t="s">
        <v>14</v>
      </c>
      <c r="L841" s="171"/>
    </row>
    <row r="842" spans="11:12" ht="18" customHeight="1">
      <c r="K842" s="171" t="s">
        <v>14</v>
      </c>
      <c r="L842" s="171"/>
    </row>
    <row r="843" spans="11:12" ht="18" customHeight="1">
      <c r="K843" s="171" t="s">
        <v>14</v>
      </c>
      <c r="L843" s="171"/>
    </row>
    <row r="844" spans="11:12" ht="18" customHeight="1">
      <c r="L844" s="171"/>
    </row>
    <row r="845" spans="11:12" ht="18" customHeight="1">
      <c r="L845" s="171"/>
    </row>
    <row r="846" spans="11:12" ht="18" customHeight="1">
      <c r="L846" s="171"/>
    </row>
  </sheetData>
  <mergeCells count="19">
    <mergeCell ref="N70:N71"/>
    <mergeCell ref="O70:O71"/>
    <mergeCell ref="P70:P71"/>
    <mergeCell ref="Q70:Q71"/>
    <mergeCell ref="Z70:Z71"/>
    <mergeCell ref="L13:L14"/>
    <mergeCell ref="B3:C3"/>
    <mergeCell ref="D3:E3"/>
    <mergeCell ref="B4:C4"/>
    <mergeCell ref="D4:E4"/>
    <mergeCell ref="B5:C5"/>
    <mergeCell ref="D5:E5"/>
    <mergeCell ref="G5:H5"/>
    <mergeCell ref="G6:H6"/>
    <mergeCell ref="G4:H4"/>
    <mergeCell ref="B6:C6"/>
    <mergeCell ref="D6:E6"/>
    <mergeCell ref="B13:C14"/>
    <mergeCell ref="J13:J14"/>
  </mergeCells>
  <phoneticPr fontId="14" type="noConversion"/>
  <conditionalFormatting sqref="V15:V53">
    <cfRule type="cellIs" dxfId="58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3" manualBreakCount="3">
    <brk id="37" min="13" max="28" man="1"/>
    <brk id="64" min="13" max="28" man="1"/>
    <brk id="85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9395" r:id="rId4" name="Drop Down 3">
              <controlPr defaultSize="0" autoLine="0" autoPict="0">
                <anchor moveWithCells="1">
                  <from>
                    <xdr:col>6</xdr:col>
                    <xdr:colOff>9525</xdr:colOff>
                    <xdr:row>0</xdr:row>
                    <xdr:rowOff>209550</xdr:rowOff>
                  </from>
                  <to>
                    <xdr:col>10</xdr:col>
                    <xdr:colOff>9525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5">
    <tabColor rgb="FFFFFF00"/>
    <pageSetUpPr fitToPage="1"/>
  </sheetPr>
  <dimension ref="A1:AC751"/>
  <sheetViews>
    <sheetView showGridLines="0" zoomScale="85" zoomScaleNormal="85" zoomScaleSheetLayoutView="75" workbookViewId="0">
      <selection activeCell="G3" sqref="G3:H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1613</v>
      </c>
    </row>
    <row r="2" spans="1:26" ht="19.5" thickBot="1">
      <c r="B2" s="66" t="s">
        <v>1</v>
      </c>
    </row>
    <row r="3" spans="1:26" ht="18" customHeight="1">
      <c r="B3" s="773" t="s">
        <v>70</v>
      </c>
      <c r="C3" s="774"/>
      <c r="D3" s="775">
        <v>50</v>
      </c>
      <c r="E3" s="776"/>
      <c r="F3" s="44" t="s">
        <v>53</v>
      </c>
      <c r="G3" s="767" t="s">
        <v>1104</v>
      </c>
      <c r="H3" s="768"/>
      <c r="I3" s="656">
        <v>2</v>
      </c>
      <c r="J3" s="669" t="s">
        <v>1512</v>
      </c>
    </row>
    <row r="4" spans="1:26" ht="18" customHeight="1">
      <c r="B4" s="777" t="s">
        <v>1617</v>
      </c>
      <c r="C4" s="778"/>
      <c r="D4" s="779">
        <v>50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1614</v>
      </c>
      <c r="C5" s="782"/>
      <c r="D5" s="783">
        <f>ROUND((IF(D4&lt;=3,3,D4)/D3)^0.6,3)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1615</v>
      </c>
      <c r="C6" s="36"/>
      <c r="D6" s="36"/>
      <c r="E6" s="36"/>
      <c r="F6" s="36"/>
      <c r="G6" s="9" t="s">
        <v>1107</v>
      </c>
      <c r="J6" s="36"/>
    </row>
    <row r="7" spans="1:26" ht="18" customHeight="1">
      <c r="B7" s="9"/>
      <c r="C7" s="9" t="s">
        <v>1616</v>
      </c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SUBTOTAL(9,W11:W34)</f>
        <v>633370000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SUBTOTAL(9,W12:W31)</f>
        <v>230461539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SUBTOTAL(9,W13:W26)</f>
        <v>224461539</v>
      </c>
      <c r="X12" s="160"/>
      <c r="Y12" s="168"/>
      <c r="Z12" s="168"/>
    </row>
    <row r="13" spans="1:26" ht="18" customHeight="1">
      <c r="B13" s="225" t="s">
        <v>1618</v>
      </c>
      <c r="C13" s="72"/>
      <c r="D13" s="203">
        <f t="shared" ref="D13:I13" si="0">SUBTOTAL(9,D14:D14)</f>
        <v>0.4</v>
      </c>
      <c r="E13" s="204">
        <f t="shared" si="0"/>
        <v>1.8</v>
      </c>
      <c r="F13" s="204">
        <f t="shared" si="0"/>
        <v>3.2</v>
      </c>
      <c r="G13" s="204">
        <f t="shared" si="0"/>
        <v>4.4000000000000004</v>
      </c>
      <c r="H13" s="204">
        <f t="shared" si="0"/>
        <v>9.1</v>
      </c>
      <c r="I13" s="205">
        <f t="shared" si="0"/>
        <v>9.1</v>
      </c>
      <c r="J13" s="654"/>
      <c r="L13" s="232"/>
      <c r="N13" s="294" t="str">
        <f t="shared" ref="N13:N26" si="1">B13</f>
        <v>1. 현황조사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SUBTOTAL(9,W14:W14)</f>
        <v>7570823</v>
      </c>
      <c r="X13" s="194"/>
      <c r="Y13" s="170"/>
      <c r="Z13" s="170"/>
    </row>
    <row r="14" spans="1:26" ht="18" customHeight="1">
      <c r="B14" s="223" t="s">
        <v>1619</v>
      </c>
      <c r="C14" s="23"/>
      <c r="D14" s="197">
        <v>0.4</v>
      </c>
      <c r="E14" s="198">
        <v>1.8</v>
      </c>
      <c r="F14" s="198">
        <v>3.2</v>
      </c>
      <c r="G14" s="198">
        <v>4.4000000000000004</v>
      </c>
      <c r="H14" s="198">
        <v>9.1</v>
      </c>
      <c r="I14" s="199">
        <v>9.1</v>
      </c>
      <c r="J14" s="389" t="s">
        <v>1091</v>
      </c>
      <c r="L14" s="233">
        <v>1</v>
      </c>
      <c r="N14" s="296" t="str">
        <f t="shared" si="1"/>
        <v>1.1. 자료검토 및 현장조사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SUM((ROUNDDOWN((D29:I29)*단가,0)))</f>
        <v>7570823</v>
      </c>
      <c r="X14" s="154"/>
      <c r="Y14" s="150" t="str">
        <f>IF(A29&gt;0, "제 " &amp;A29&amp; " 호표","")</f>
        <v>제 1 호표</v>
      </c>
      <c r="Z14" s="150"/>
    </row>
    <row r="15" spans="1:26" ht="18" customHeight="1">
      <c r="B15" s="222" t="s">
        <v>1620</v>
      </c>
      <c r="C15" s="47"/>
      <c r="D15" s="48">
        <f t="shared" ref="D15:I15" si="2">SUBTOTAL(9,D16:D19)</f>
        <v>31.900000000000002</v>
      </c>
      <c r="E15" s="49">
        <f t="shared" si="2"/>
        <v>53.800000000000011</v>
      </c>
      <c r="F15" s="49">
        <f t="shared" si="2"/>
        <v>100.8</v>
      </c>
      <c r="G15" s="49">
        <f t="shared" si="2"/>
        <v>120</v>
      </c>
      <c r="H15" s="49">
        <f t="shared" si="2"/>
        <v>173.70000000000002</v>
      </c>
      <c r="I15" s="50">
        <f t="shared" si="2"/>
        <v>181.10000000000002</v>
      </c>
      <c r="J15" s="389"/>
      <c r="L15" s="233"/>
      <c r="N15" s="294" t="str">
        <f t="shared" si="1"/>
        <v>2. 입체적 도시공간 계획수립</v>
      </c>
      <c r="O15" s="37"/>
      <c r="P15" s="39"/>
      <c r="Q15" s="37"/>
      <c r="R15" s="117"/>
      <c r="S15" s="37"/>
      <c r="T15" s="37"/>
      <c r="U15" s="226"/>
      <c r="V15" s="231"/>
      <c r="W15" s="195">
        <f ca="1">SUBTOTAL(9,W16:W19)</f>
        <v>187934256</v>
      </c>
      <c r="X15" s="154"/>
      <c r="Y15" s="150" t="str">
        <f t="shared" ref="Y15:Y26" si="3">IF(A30&gt;0, "제 " &amp;A30&amp; " 호표","")</f>
        <v/>
      </c>
      <c r="Z15" s="150"/>
    </row>
    <row r="16" spans="1:26" ht="18" customHeight="1">
      <c r="B16" s="223" t="s">
        <v>1621</v>
      </c>
      <c r="C16" s="23"/>
      <c r="D16" s="197">
        <v>8.8000000000000007</v>
      </c>
      <c r="E16" s="198">
        <v>16.3</v>
      </c>
      <c r="F16" s="198">
        <v>26.9</v>
      </c>
      <c r="G16" s="198">
        <v>31.4</v>
      </c>
      <c r="H16" s="198">
        <v>28.7</v>
      </c>
      <c r="I16" s="199">
        <v>20.6</v>
      </c>
      <c r="J16" s="389" t="s">
        <v>1090</v>
      </c>
      <c r="L16" s="233">
        <v>1</v>
      </c>
      <c r="N16" s="296" t="str">
        <f t="shared" si="1"/>
        <v>2.1. 입체적 실현전략 수립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SUM((ROUNDDOWN((D31:I31)*단가,0)))</f>
        <v>39736739</v>
      </c>
      <c r="X16" s="154"/>
      <c r="Y16" s="150" t="str">
        <f t="shared" si="3"/>
        <v>제 2 호표</v>
      </c>
      <c r="Z16" s="150"/>
    </row>
    <row r="17" spans="1:26" ht="18" customHeight="1">
      <c r="B17" s="223" t="s">
        <v>1623</v>
      </c>
      <c r="C17" s="23"/>
      <c r="D17" s="197">
        <v>11.5</v>
      </c>
      <c r="E17" s="198">
        <v>21.1</v>
      </c>
      <c r="F17" s="198">
        <v>35</v>
      </c>
      <c r="G17" s="198">
        <v>40.9</v>
      </c>
      <c r="H17" s="198">
        <v>37.299999999999997</v>
      </c>
      <c r="I17" s="199">
        <v>26.8</v>
      </c>
      <c r="J17" s="389" t="s">
        <v>1090</v>
      </c>
      <c r="L17" s="233">
        <v>1</v>
      </c>
      <c r="N17" s="296" t="str">
        <f t="shared" si="1"/>
        <v>2.2. 입체적 토지이용계획 수립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SUM((ROUNDDOWN((D32:I32)*단가,0)))</f>
        <v>51687778</v>
      </c>
      <c r="X17" s="154"/>
      <c r="Y17" s="150" t="str">
        <f t="shared" si="3"/>
        <v>제 3 호표</v>
      </c>
      <c r="Z17" s="150"/>
    </row>
    <row r="18" spans="1:26" ht="18" customHeight="1">
      <c r="B18" s="223" t="s">
        <v>1622</v>
      </c>
      <c r="C18" s="23"/>
      <c r="D18" s="197">
        <v>8.3000000000000007</v>
      </c>
      <c r="E18" s="198">
        <v>11.7</v>
      </c>
      <c r="F18" s="198">
        <v>27.8</v>
      </c>
      <c r="G18" s="198">
        <v>34.1</v>
      </c>
      <c r="H18" s="198">
        <v>76.900000000000006</v>
      </c>
      <c r="I18" s="199">
        <v>95.5</v>
      </c>
      <c r="J18" s="389" t="s">
        <v>1090</v>
      </c>
      <c r="L18" s="233">
        <v>1</v>
      </c>
      <c r="N18" s="296" t="str">
        <f t="shared" si="1"/>
        <v>2.3. 입체적 건축 구상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SUM((ROUNDDOWN((D33:I33)*단가,0)))</f>
        <v>68943016</v>
      </c>
      <c r="X18" s="154"/>
      <c r="Y18" s="150" t="str">
        <f t="shared" si="3"/>
        <v>제 4 호표</v>
      </c>
      <c r="Z18" s="150"/>
    </row>
    <row r="19" spans="1:26" ht="18" customHeight="1">
      <c r="B19" s="223" t="s">
        <v>1624</v>
      </c>
      <c r="C19" s="23"/>
      <c r="D19" s="197">
        <v>3.3</v>
      </c>
      <c r="E19" s="198">
        <v>4.7</v>
      </c>
      <c r="F19" s="198">
        <v>11.1</v>
      </c>
      <c r="G19" s="198">
        <v>13.6</v>
      </c>
      <c r="H19" s="198">
        <v>30.8</v>
      </c>
      <c r="I19" s="199">
        <v>38.200000000000003</v>
      </c>
      <c r="J19" s="389" t="s">
        <v>1090</v>
      </c>
      <c r="L19" s="233">
        <v>1</v>
      </c>
      <c r="N19" s="296" t="str">
        <f t="shared" si="1"/>
        <v>2.4. 입체적 특화구역 선정 및 기본방향 설정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SUM((ROUNDDOWN((D34:I34)*단가,0)))</f>
        <v>27566723</v>
      </c>
      <c r="X19" s="154"/>
      <c r="Y19" s="150" t="str">
        <f t="shared" si="3"/>
        <v>제 5 호표</v>
      </c>
      <c r="Z19" s="150"/>
    </row>
    <row r="20" spans="1:26" ht="18" customHeight="1">
      <c r="B20" s="222" t="s">
        <v>51</v>
      </c>
      <c r="C20" s="47"/>
      <c r="D20" s="48">
        <f t="shared" ref="D20:I20" si="4">SUBTOTAL(9,D21:D21)</f>
        <v>0.7</v>
      </c>
      <c r="E20" s="49">
        <f t="shared" si="4"/>
        <v>2.2999999999999998</v>
      </c>
      <c r="F20" s="49">
        <f t="shared" si="4"/>
        <v>5.0999999999999996</v>
      </c>
      <c r="G20" s="49">
        <f t="shared" si="4"/>
        <v>4.3</v>
      </c>
      <c r="H20" s="49">
        <f t="shared" si="4"/>
        <v>7.7</v>
      </c>
      <c r="I20" s="50">
        <f t="shared" si="4"/>
        <v>5.6</v>
      </c>
      <c r="J20" s="389"/>
      <c r="L20" s="233"/>
      <c r="N20" s="294" t="str">
        <f t="shared" si="1"/>
        <v>3. 성과품작성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SUBTOTAL(9,W21:W21)</f>
        <v>7253884</v>
      </c>
      <c r="X20" s="154"/>
      <c r="Y20" s="150" t="str">
        <f t="shared" si="3"/>
        <v/>
      </c>
      <c r="Z20" s="150"/>
    </row>
    <row r="21" spans="1:26" ht="18" customHeight="1">
      <c r="B21" s="259" t="s">
        <v>1625</v>
      </c>
      <c r="C21" s="43"/>
      <c r="D21" s="206">
        <v>0.7</v>
      </c>
      <c r="E21" s="207">
        <v>2.2999999999999998</v>
      </c>
      <c r="F21" s="207">
        <v>5.0999999999999996</v>
      </c>
      <c r="G21" s="207">
        <v>4.3</v>
      </c>
      <c r="H21" s="207">
        <v>7.7</v>
      </c>
      <c r="I21" s="208">
        <v>5.6</v>
      </c>
      <c r="J21" s="389" t="s">
        <v>1090</v>
      </c>
      <c r="L21" s="233">
        <v>1</v>
      </c>
      <c r="N21" s="296" t="str">
        <f t="shared" si="1"/>
        <v>3.1. 성과품 작성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SUM((ROUNDDOWN((D36:I36)*단가,0)))</f>
        <v>7253884</v>
      </c>
      <c r="X21" s="154"/>
      <c r="Y21" s="150" t="str">
        <f t="shared" si="3"/>
        <v>제 6 호표</v>
      </c>
      <c r="Z21" s="150"/>
    </row>
    <row r="22" spans="1:26" ht="18" customHeight="1">
      <c r="B22" s="222" t="s">
        <v>269</v>
      </c>
      <c r="C22" s="47"/>
      <c r="D22" s="48">
        <f t="shared" ref="D22:I22" si="5">SUBTOTAL(9,D23:D26)</f>
        <v>8</v>
      </c>
      <c r="E22" s="49">
        <f t="shared" si="5"/>
        <v>8</v>
      </c>
      <c r="F22" s="49">
        <f t="shared" si="5"/>
        <v>8</v>
      </c>
      <c r="G22" s="49">
        <f t="shared" si="5"/>
        <v>16</v>
      </c>
      <c r="H22" s="49">
        <f t="shared" si="5"/>
        <v>16</v>
      </c>
      <c r="I22" s="50">
        <f t="shared" si="5"/>
        <v>16</v>
      </c>
      <c r="J22" s="389"/>
      <c r="L22" s="233"/>
      <c r="N22" s="294" t="str">
        <f t="shared" si="1"/>
        <v>4. 기술협의</v>
      </c>
      <c r="O22" s="37"/>
      <c r="P22" s="39"/>
      <c r="Q22" s="37"/>
      <c r="R22" s="117"/>
      <c r="S22" s="37"/>
      <c r="T22" s="37"/>
      <c r="U22" s="226"/>
      <c r="V22" s="231"/>
      <c r="W22" s="195">
        <f ca="1">SUBTOTAL(9,W23:W26)</f>
        <v>21702576</v>
      </c>
      <c r="X22" s="154"/>
      <c r="Y22" s="150" t="str">
        <f t="shared" si="3"/>
        <v/>
      </c>
      <c r="Z22" s="150"/>
    </row>
    <row r="23" spans="1:26" ht="18" customHeight="1">
      <c r="B23" s="223" t="s">
        <v>1626</v>
      </c>
      <c r="C23" s="23"/>
      <c r="D23" s="197">
        <v>2</v>
      </c>
      <c r="E23" s="198">
        <v>2</v>
      </c>
      <c r="F23" s="198">
        <v>2</v>
      </c>
      <c r="G23" s="198">
        <v>4</v>
      </c>
      <c r="H23" s="198">
        <v>4</v>
      </c>
      <c r="I23" s="199">
        <v>4</v>
      </c>
      <c r="J23" s="389" t="s">
        <v>1630</v>
      </c>
      <c r="L23" s="233">
        <v>1</v>
      </c>
      <c r="N23" s="296" t="str">
        <f t="shared" si="1"/>
        <v>4.1. 공청회/주민설명회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SUM((ROUNDDOWN((D38:I38)*단가,0)))</f>
        <v>5425644</v>
      </c>
      <c r="X23" s="154"/>
      <c r="Y23" s="150" t="str">
        <f t="shared" si="3"/>
        <v>제 7 호표</v>
      </c>
      <c r="Z23" s="150"/>
    </row>
    <row r="24" spans="1:26" ht="18" customHeight="1">
      <c r="B24" s="223" t="s">
        <v>1627</v>
      </c>
      <c r="C24" s="23"/>
      <c r="D24" s="197">
        <v>2</v>
      </c>
      <c r="E24" s="198">
        <v>2</v>
      </c>
      <c r="F24" s="198">
        <v>2</v>
      </c>
      <c r="G24" s="198">
        <v>4</v>
      </c>
      <c r="H24" s="198">
        <v>4</v>
      </c>
      <c r="I24" s="199">
        <v>4</v>
      </c>
      <c r="J24" s="389" t="s">
        <v>1094</v>
      </c>
      <c r="L24" s="233">
        <v>1</v>
      </c>
      <c r="N24" s="296" t="str">
        <f t="shared" si="1"/>
        <v>4.2. 주민간담회/시민계획단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SUM((ROUNDDOWN((D39:I39)*단가,0)))</f>
        <v>5425644</v>
      </c>
      <c r="X24" s="154"/>
      <c r="Y24" s="150" t="str">
        <f t="shared" si="3"/>
        <v>제 8 호표</v>
      </c>
      <c r="Z24" s="150"/>
    </row>
    <row r="25" spans="1:26" ht="18" customHeight="1">
      <c r="B25" s="223" t="s">
        <v>1628</v>
      </c>
      <c r="C25" s="23"/>
      <c r="D25" s="197">
        <v>2</v>
      </c>
      <c r="E25" s="198">
        <v>2</v>
      </c>
      <c r="F25" s="198">
        <v>2</v>
      </c>
      <c r="G25" s="198">
        <v>4</v>
      </c>
      <c r="H25" s="198">
        <v>4</v>
      </c>
      <c r="I25" s="199">
        <v>4</v>
      </c>
      <c r="J25" s="389" t="s">
        <v>1094</v>
      </c>
      <c r="L25" s="233">
        <v>1</v>
      </c>
      <c r="N25" s="296" t="str">
        <f t="shared" si="1"/>
        <v>4.3. 위원회심의 지원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SUM((ROUNDDOWN((D40:I40)*단가,0)))</f>
        <v>5425644</v>
      </c>
      <c r="X25" s="154"/>
      <c r="Y25" s="150" t="str">
        <f t="shared" si="3"/>
        <v>제 9 호표</v>
      </c>
      <c r="Z25" s="150"/>
    </row>
    <row r="26" spans="1:26" ht="18" customHeight="1" thickBot="1">
      <c r="B26" s="223" t="s">
        <v>1629</v>
      </c>
      <c r="C26" s="23"/>
      <c r="D26" s="197">
        <v>2</v>
      </c>
      <c r="E26" s="198">
        <v>2</v>
      </c>
      <c r="F26" s="198">
        <v>2</v>
      </c>
      <c r="G26" s="198">
        <v>4</v>
      </c>
      <c r="H26" s="198">
        <v>4</v>
      </c>
      <c r="I26" s="199">
        <v>4</v>
      </c>
      <c r="J26" s="612" t="s">
        <v>1094</v>
      </c>
      <c r="L26" s="233">
        <v>1</v>
      </c>
      <c r="N26" s="296" t="str">
        <f t="shared" si="1"/>
        <v>4.4. 관계기관 협의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SUM((ROUNDDOWN((D41:I41)*단가,0)))</f>
        <v>5425644</v>
      </c>
      <c r="X26" s="154"/>
      <c r="Y26" s="150" t="str">
        <f t="shared" si="3"/>
        <v>제 10 호표</v>
      </c>
      <c r="Z26" s="150"/>
    </row>
    <row r="27" spans="1:26" ht="18" customHeight="1" thickBot="1">
      <c r="B27" s="14" t="s">
        <v>30</v>
      </c>
      <c r="C27" s="16"/>
      <c r="D27" s="14" t="s">
        <v>12</v>
      </c>
      <c r="E27" s="15"/>
      <c r="F27" s="15"/>
      <c r="G27" s="15"/>
      <c r="H27" s="15"/>
      <c r="I27" s="16"/>
      <c r="J27" s="175" t="s">
        <v>31</v>
      </c>
      <c r="N27" s="379"/>
      <c r="P27" s="371"/>
      <c r="R27" s="357"/>
      <c r="S27" s="1"/>
      <c r="T27" s="1"/>
      <c r="U27" s="258"/>
      <c r="V27" s="380"/>
      <c r="W27" s="373"/>
      <c r="X27" s="374"/>
      <c r="Y27" s="378"/>
      <c r="Z27" s="378"/>
    </row>
    <row r="28" spans="1:26" ht="18" customHeight="1">
      <c r="B28" s="225" t="s">
        <v>445</v>
      </c>
      <c r="C28" s="72"/>
      <c r="D28" s="203">
        <f t="shared" ref="D28:I28" si="6">SUBTOTAL(9,D29:D29)</f>
        <v>0.4</v>
      </c>
      <c r="E28" s="204">
        <f t="shared" si="6"/>
        <v>1.8</v>
      </c>
      <c r="F28" s="204">
        <f t="shared" si="6"/>
        <v>3.2</v>
      </c>
      <c r="G28" s="204">
        <f t="shared" si="6"/>
        <v>4.4000000000000004</v>
      </c>
      <c r="H28" s="204">
        <f t="shared" si="6"/>
        <v>9.1</v>
      </c>
      <c r="I28" s="205">
        <f t="shared" si="6"/>
        <v>9.1</v>
      </c>
      <c r="J28" s="73"/>
      <c r="N28" s="290" t="s">
        <v>10</v>
      </c>
      <c r="O28" s="129"/>
      <c r="P28" s="130"/>
      <c r="Q28" s="124"/>
      <c r="R28" s="131"/>
      <c r="S28" s="124"/>
      <c r="T28" s="124"/>
      <c r="U28" s="181"/>
      <c r="V28" s="181"/>
      <c r="W28" s="159">
        <f>SUBTOTAL(9,W29:W31)</f>
        <v>6000000</v>
      </c>
      <c r="X28" s="160"/>
      <c r="Y28" s="124"/>
      <c r="Z28" s="124"/>
    </row>
    <row r="29" spans="1:26" ht="18" customHeight="1">
      <c r="A29" s="326">
        <v>1</v>
      </c>
      <c r="B29" s="223" t="s">
        <v>446</v>
      </c>
      <c r="C29" s="23"/>
      <c r="D29" s="197">
        <f t="array" ref="D29:I29">ROUNDDOWN(D14:I14*L14*D5,3)</f>
        <v>0.4</v>
      </c>
      <c r="E29" s="198">
        <v>1.8</v>
      </c>
      <c r="F29" s="198">
        <v>3.2</v>
      </c>
      <c r="G29" s="198">
        <v>4.4000000000000004</v>
      </c>
      <c r="H29" s="198">
        <v>9.1</v>
      </c>
      <c r="I29" s="199">
        <v>9.1</v>
      </c>
      <c r="J29" s="74"/>
      <c r="N29" s="291" t="str">
        <f>"여비("&amp;TEXT(T29,"#인 ×")&amp;TEXT(U29,"#일 ×")&amp;TEXT(V29,"###,###원)")</f>
        <v>여비(3인 ×10일 ×100,000원)</v>
      </c>
      <c r="O29" s="78"/>
      <c r="P29" s="52"/>
      <c r="Q29" s="51"/>
      <c r="T29" s="146">
        <v>3</v>
      </c>
      <c r="U29" s="146">
        <v>10</v>
      </c>
      <c r="V29" s="147">
        <v>100000</v>
      </c>
      <c r="W29" s="161">
        <f>T29*U29*V29</f>
        <v>3000000</v>
      </c>
      <c r="X29" s="162"/>
      <c r="Y29" s="51"/>
      <c r="Z29" s="51"/>
    </row>
    <row r="30" spans="1:26" ht="18" customHeight="1">
      <c r="B30" s="222" t="s">
        <v>1620</v>
      </c>
      <c r="C30" s="47"/>
      <c r="D30" s="48">
        <f t="shared" ref="D30:I30" si="7">SUBTOTAL(9,D31:D34)</f>
        <v>31.900000000000002</v>
      </c>
      <c r="E30" s="49">
        <f t="shared" si="7"/>
        <v>53.800000000000011</v>
      </c>
      <c r="F30" s="49">
        <f t="shared" si="7"/>
        <v>100.8</v>
      </c>
      <c r="G30" s="49">
        <f t="shared" si="7"/>
        <v>120</v>
      </c>
      <c r="H30" s="49">
        <f t="shared" si="7"/>
        <v>173.70000000000002</v>
      </c>
      <c r="I30" s="50">
        <f t="shared" si="7"/>
        <v>181.10000000000002</v>
      </c>
      <c r="J30" s="74"/>
      <c r="N30" s="292" t="s">
        <v>46</v>
      </c>
      <c r="O30" s="79"/>
      <c r="P30" s="39"/>
      <c r="Q30" s="37"/>
      <c r="R30" s="117"/>
      <c r="S30" s="37"/>
      <c r="T30" s="37"/>
      <c r="U30" s="180"/>
      <c r="V30" s="180"/>
      <c r="W30" s="157">
        <v>2000000</v>
      </c>
      <c r="X30" s="158"/>
      <c r="Y30" s="37"/>
      <c r="Z30" s="37"/>
    </row>
    <row r="31" spans="1:26" ht="18" customHeight="1">
      <c r="A31" s="326">
        <v>2</v>
      </c>
      <c r="B31" s="223" t="s">
        <v>1621</v>
      </c>
      <c r="C31" s="23"/>
      <c r="D31" s="197">
        <f t="array" ref="D31:I34">ROUNDDOWN(D16:I19*L16:L19*D5,3)</f>
        <v>8.8000000000000007</v>
      </c>
      <c r="E31" s="198">
        <v>16.3</v>
      </c>
      <c r="F31" s="198">
        <v>26.9</v>
      </c>
      <c r="G31" s="198">
        <v>31.4</v>
      </c>
      <c r="H31" s="198">
        <v>28.7</v>
      </c>
      <c r="I31" s="199">
        <v>20.6</v>
      </c>
      <c r="J31" s="74"/>
      <c r="N31" s="293" t="s">
        <v>13</v>
      </c>
      <c r="O31" s="132"/>
      <c r="P31" s="38"/>
      <c r="Q31" s="38"/>
      <c r="R31" s="116"/>
      <c r="S31" s="38"/>
      <c r="T31" s="38"/>
      <c r="U31" s="183"/>
      <c r="V31" s="183"/>
      <c r="W31" s="155">
        <v>1000000</v>
      </c>
      <c r="X31" s="156"/>
      <c r="Y31" s="38"/>
      <c r="Z31" s="38"/>
    </row>
    <row r="32" spans="1:26" ht="18" customHeight="1">
      <c r="A32" s="326">
        <v>3</v>
      </c>
      <c r="B32" s="223" t="s">
        <v>1623</v>
      </c>
      <c r="C32" s="23"/>
      <c r="D32" s="197">
        <v>11.5</v>
      </c>
      <c r="E32" s="198">
        <v>21.1</v>
      </c>
      <c r="F32" s="198">
        <v>35</v>
      </c>
      <c r="G32" s="198">
        <v>40.9</v>
      </c>
      <c r="H32" s="198">
        <v>37.299999999999997</v>
      </c>
      <c r="I32" s="199">
        <v>26.8</v>
      </c>
      <c r="J32" s="74"/>
      <c r="N32" s="127" t="s">
        <v>47</v>
      </c>
      <c r="O32" s="123"/>
      <c r="P32" s="123"/>
      <c r="Q32" s="123"/>
      <c r="R32" s="123"/>
      <c r="S32" s="123"/>
      <c r="T32" s="123"/>
      <c r="U32" s="184"/>
      <c r="V32" s="184"/>
      <c r="W32" s="163">
        <f ca="1">SUBTOTAL(9,W33:W34)</f>
        <v>402908461</v>
      </c>
      <c r="X32" s="164"/>
      <c r="Y32" s="123"/>
      <c r="Z32" s="123"/>
    </row>
    <row r="33" spans="1:26" ht="18" customHeight="1">
      <c r="A33" s="326">
        <v>4</v>
      </c>
      <c r="B33" s="223" t="s">
        <v>1622</v>
      </c>
      <c r="C33" s="23"/>
      <c r="D33" s="197">
        <v>8.3000000000000007</v>
      </c>
      <c r="E33" s="198">
        <v>11.7</v>
      </c>
      <c r="F33" s="198">
        <v>27.8</v>
      </c>
      <c r="G33" s="198">
        <v>34.1</v>
      </c>
      <c r="H33" s="198">
        <v>76.900000000000006</v>
      </c>
      <c r="I33" s="199">
        <v>95.5</v>
      </c>
      <c r="J33" s="389"/>
      <c r="N33" s="133" t="s">
        <v>861</v>
      </c>
      <c r="O33" s="124"/>
      <c r="P33" s="134"/>
      <c r="Q33" s="124"/>
      <c r="R33" s="131"/>
      <c r="S33" s="124"/>
      <c r="T33" s="181"/>
      <c r="U33" s="181"/>
      <c r="V33" s="190">
        <v>1.1499999999999999</v>
      </c>
      <c r="W33" s="159">
        <f ca="1">ROUNDDOWN(W12*V33,0)</f>
        <v>258130769</v>
      </c>
      <c r="X33" s="160"/>
      <c r="Y33" s="124"/>
      <c r="Z33" s="124"/>
    </row>
    <row r="34" spans="1:26" ht="18" customHeight="1" thickBot="1">
      <c r="A34" s="326">
        <v>5</v>
      </c>
      <c r="B34" s="223" t="s">
        <v>1624</v>
      </c>
      <c r="C34" s="23"/>
      <c r="D34" s="197">
        <v>3.3</v>
      </c>
      <c r="E34" s="198">
        <v>4.7</v>
      </c>
      <c r="F34" s="198">
        <v>11.1</v>
      </c>
      <c r="G34" s="198">
        <v>13.6</v>
      </c>
      <c r="H34" s="198">
        <v>30.8</v>
      </c>
      <c r="I34" s="199">
        <v>38.200000000000003</v>
      </c>
      <c r="J34" s="389"/>
      <c r="N34" s="135" t="s">
        <v>862</v>
      </c>
      <c r="O34" s="136"/>
      <c r="P34" s="137"/>
      <c r="Q34" s="136"/>
      <c r="R34" s="138"/>
      <c r="S34" s="136"/>
      <c r="T34" s="185"/>
      <c r="U34" s="185"/>
      <c r="V34" s="191">
        <v>0.3</v>
      </c>
      <c r="W34" s="165">
        <f ca="1">ROUNDDOWN((W12+W33)*V34,0)</f>
        <v>144777692</v>
      </c>
      <c r="X34" s="166"/>
      <c r="Y34" s="136"/>
      <c r="Z34" s="136"/>
    </row>
    <row r="35" spans="1:26" ht="18" customHeight="1">
      <c r="B35" s="222" t="s">
        <v>51</v>
      </c>
      <c r="C35" s="47"/>
      <c r="D35" s="48">
        <f t="shared" ref="D35:I35" si="8">SUBTOTAL(9,D36:D36)</f>
        <v>0.7</v>
      </c>
      <c r="E35" s="49">
        <f t="shared" si="8"/>
        <v>2.2999999999999998</v>
      </c>
      <c r="F35" s="49">
        <f t="shared" si="8"/>
        <v>5.0999999999999996</v>
      </c>
      <c r="G35" s="49">
        <f t="shared" si="8"/>
        <v>4.3</v>
      </c>
      <c r="H35" s="49">
        <f t="shared" si="8"/>
        <v>7.7</v>
      </c>
      <c r="I35" s="50">
        <f t="shared" si="8"/>
        <v>5.6</v>
      </c>
      <c r="J35" s="74"/>
    </row>
    <row r="36" spans="1:26" ht="18" customHeight="1">
      <c r="A36" s="326">
        <v>6</v>
      </c>
      <c r="B36" s="259" t="s">
        <v>1625</v>
      </c>
      <c r="C36" s="23"/>
      <c r="D36" s="197">
        <f t="array" ref="D36:I36">ROUNDDOWN(D21:I21*L21*D5,3)</f>
        <v>0.7</v>
      </c>
      <c r="E36" s="198">
        <v>2.2999999999999998</v>
      </c>
      <c r="F36" s="198">
        <v>5.0999999999999996</v>
      </c>
      <c r="G36" s="198">
        <v>4.3</v>
      </c>
      <c r="H36" s="198">
        <v>7.7</v>
      </c>
      <c r="I36" s="199">
        <v>5.6</v>
      </c>
      <c r="J36" s="74"/>
    </row>
    <row r="37" spans="1:26" ht="18" customHeight="1" thickBot="1">
      <c r="B37" s="222" t="s">
        <v>269</v>
      </c>
      <c r="C37" s="47"/>
      <c r="D37" s="48">
        <f t="shared" ref="D37:I37" si="9">SUBTOTAL(9,D38:D41)</f>
        <v>8</v>
      </c>
      <c r="E37" s="49">
        <f t="shared" si="9"/>
        <v>8</v>
      </c>
      <c r="F37" s="49">
        <f t="shared" si="9"/>
        <v>8</v>
      </c>
      <c r="G37" s="49">
        <f t="shared" si="9"/>
        <v>16</v>
      </c>
      <c r="H37" s="49">
        <f t="shared" si="9"/>
        <v>16</v>
      </c>
      <c r="I37" s="50">
        <f t="shared" si="9"/>
        <v>16</v>
      </c>
      <c r="J37" s="287"/>
      <c r="K37" s="171" t="s">
        <v>14</v>
      </c>
      <c r="L37" s="171"/>
      <c r="N37" s="66" t="s">
        <v>18</v>
      </c>
      <c r="O37" s="2"/>
      <c r="P37" s="2"/>
      <c r="Q37" s="2"/>
      <c r="R37" s="3"/>
      <c r="S37" s="4"/>
      <c r="T37" s="3"/>
      <c r="U37" s="4"/>
      <c r="V37" s="3"/>
      <c r="W37" s="4"/>
      <c r="X37" s="3"/>
      <c r="Y37" s="4"/>
      <c r="Z37" s="2"/>
    </row>
    <row r="38" spans="1:26" ht="18" customHeight="1">
      <c r="A38" s="326">
        <v>7</v>
      </c>
      <c r="B38" s="223" t="s">
        <v>1626</v>
      </c>
      <c r="C38" s="23"/>
      <c r="D38" s="197">
        <f t="array" ref="D38:I41">ROUNDDOWN(D23:I26*L23:L26*I5,3)</f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74"/>
      <c r="K38" s="171" t="s">
        <v>14</v>
      </c>
      <c r="L38" s="171"/>
      <c r="N38" s="765" t="s">
        <v>19</v>
      </c>
      <c r="O38" s="755" t="s">
        <v>20</v>
      </c>
      <c r="P38" s="755" t="s">
        <v>21</v>
      </c>
      <c r="Q38" s="755" t="s">
        <v>16</v>
      </c>
      <c r="R38" s="5" t="s">
        <v>22</v>
      </c>
      <c r="S38" s="5"/>
      <c r="T38" s="5" t="s">
        <v>23</v>
      </c>
      <c r="U38" s="5"/>
      <c r="V38" s="5" t="s">
        <v>24</v>
      </c>
      <c r="W38" s="5"/>
      <c r="X38" s="5" t="s">
        <v>25</v>
      </c>
      <c r="Y38" s="5"/>
      <c r="Z38" s="755" t="s">
        <v>26</v>
      </c>
    </row>
    <row r="39" spans="1:26" ht="18" customHeight="1" thickBot="1">
      <c r="A39" s="326">
        <v>8</v>
      </c>
      <c r="B39" s="223" t="s">
        <v>1627</v>
      </c>
      <c r="C39" s="23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74"/>
      <c r="K39" s="171" t="s">
        <v>14</v>
      </c>
      <c r="L39" s="171"/>
      <c r="N39" s="766"/>
      <c r="O39" s="756"/>
      <c r="P39" s="756"/>
      <c r="Q39" s="756"/>
      <c r="R39" s="67" t="s">
        <v>27</v>
      </c>
      <c r="S39" s="67" t="s">
        <v>28</v>
      </c>
      <c r="T39" s="67" t="s">
        <v>27</v>
      </c>
      <c r="U39" s="67" t="s">
        <v>28</v>
      </c>
      <c r="V39" s="67" t="s">
        <v>27</v>
      </c>
      <c r="W39" s="67" t="s">
        <v>28</v>
      </c>
      <c r="X39" s="67" t="s">
        <v>27</v>
      </c>
      <c r="Y39" s="67" t="s">
        <v>28</v>
      </c>
      <c r="Z39" s="756"/>
    </row>
    <row r="40" spans="1:26" ht="18" customHeight="1" thickTop="1">
      <c r="A40" s="326">
        <v>9</v>
      </c>
      <c r="B40" s="223" t="s">
        <v>1628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74"/>
      <c r="K40" s="171" t="s">
        <v>14</v>
      </c>
      <c r="L40" s="171"/>
      <c r="M40" s="171"/>
      <c r="N40" s="318" t="str">
        <f ca="1">"제 " &amp; Z40 &amp; " 호표  "&amp; OFFSET($A$1,MATCH(Z40,$A:$A,0)-1,1)</f>
        <v>제 1 호표  1-1. 지역자산조사</v>
      </c>
      <c r="O40" s="221"/>
      <c r="P40" s="148"/>
      <c r="Q40" s="148"/>
      <c r="R40" s="149"/>
      <c r="S40" s="149"/>
      <c r="T40" s="149"/>
      <c r="U40" s="149"/>
      <c r="V40" s="149"/>
      <c r="W40" s="149"/>
      <c r="X40" s="149"/>
      <c r="Y40" s="149"/>
      <c r="Z40" s="325">
        <v>1</v>
      </c>
    </row>
    <row r="41" spans="1:26" ht="18" customHeight="1" thickBot="1">
      <c r="A41" s="326">
        <v>10</v>
      </c>
      <c r="B41" s="388" t="s">
        <v>1629</v>
      </c>
      <c r="C41" s="342"/>
      <c r="D41" s="343">
        <v>2</v>
      </c>
      <c r="E41" s="344">
        <v>2</v>
      </c>
      <c r="F41" s="344">
        <v>2</v>
      </c>
      <c r="G41" s="344">
        <v>4</v>
      </c>
      <c r="H41" s="344">
        <v>4</v>
      </c>
      <c r="I41" s="345">
        <v>4</v>
      </c>
      <c r="J41" s="176"/>
      <c r="K41" s="171" t="s">
        <v>14</v>
      </c>
      <c r="L41" s="171"/>
      <c r="M41" s="171"/>
      <c r="N41" s="140" t="s">
        <v>43</v>
      </c>
      <c r="O41" s="172">
        <v>3</v>
      </c>
      <c r="P41" s="219">
        <f ca="1">OFFSET($A$1,MATCH(Z40,$A:$A,0)-1,O41)</f>
        <v>0.4</v>
      </c>
      <c r="Q41" s="141" t="s">
        <v>29</v>
      </c>
      <c r="R41" s="142">
        <f t="shared" ref="R41:S46" ca="1" si="10">T41</f>
        <v>467217</v>
      </c>
      <c r="S41" s="142">
        <f t="shared" ca="1" si="10"/>
        <v>186886</v>
      </c>
      <c r="T41" s="142">
        <f ca="1">기술사</f>
        <v>467217</v>
      </c>
      <c r="U41" s="142">
        <f t="shared" ref="U41:U46" ca="1" si="11">ROUNDDOWN(P41*R41,0)</f>
        <v>186886</v>
      </c>
      <c r="V41" s="142"/>
      <c r="W41" s="142"/>
      <c r="X41" s="142"/>
      <c r="Y41" s="142"/>
      <c r="Z41" s="114"/>
    </row>
    <row r="42" spans="1:26" ht="18" customHeight="1">
      <c r="B42" s="80" t="s">
        <v>652</v>
      </c>
      <c r="C42" s="9" t="s">
        <v>1631</v>
      </c>
      <c r="K42" s="171" t="s">
        <v>14</v>
      </c>
      <c r="L42" s="171"/>
      <c r="M42" s="171"/>
      <c r="N42" s="143" t="s">
        <v>32</v>
      </c>
      <c r="O42" s="173">
        <v>4</v>
      </c>
      <c r="P42" s="234">
        <f ca="1">OFFSET($A$1,MATCH(Z40,$A:$A,0)-1,O42)</f>
        <v>1.8</v>
      </c>
      <c r="Q42" s="144" t="s">
        <v>29</v>
      </c>
      <c r="R42" s="118">
        <f t="shared" ca="1" si="10"/>
        <v>373353</v>
      </c>
      <c r="S42" s="118">
        <f t="shared" ca="1" si="10"/>
        <v>672035</v>
      </c>
      <c r="T42" s="118">
        <f ca="1">특급</f>
        <v>373353</v>
      </c>
      <c r="U42" s="118">
        <f t="shared" ca="1" si="11"/>
        <v>672035</v>
      </c>
      <c r="V42" s="118"/>
      <c r="W42" s="118"/>
      <c r="X42" s="118"/>
      <c r="Y42" s="118"/>
      <c r="Z42" s="115"/>
    </row>
    <row r="43" spans="1:26" ht="18" customHeight="1">
      <c r="C43" s="9" t="s">
        <v>1632</v>
      </c>
      <c r="K43" s="171" t="s">
        <v>14</v>
      </c>
      <c r="L43" s="171"/>
      <c r="M43" s="171"/>
      <c r="N43" s="145" t="s">
        <v>39</v>
      </c>
      <c r="O43" s="173">
        <v>5</v>
      </c>
      <c r="P43" s="234">
        <f ca="1">OFFSET($A$1,MATCH(Z40,$A:$A,0)-1,O43)</f>
        <v>3.2</v>
      </c>
      <c r="Q43" s="144" t="s">
        <v>29</v>
      </c>
      <c r="R43" s="118">
        <f t="shared" ca="1" si="10"/>
        <v>310884</v>
      </c>
      <c r="S43" s="118">
        <f t="shared" ca="1" si="10"/>
        <v>994828</v>
      </c>
      <c r="T43" s="118">
        <f ca="1">고급</f>
        <v>310884</v>
      </c>
      <c r="U43" s="118">
        <f t="shared" ca="1" si="11"/>
        <v>994828</v>
      </c>
      <c r="V43" s="118"/>
      <c r="W43" s="118"/>
      <c r="X43" s="118"/>
      <c r="Y43" s="118"/>
      <c r="Z43" s="115"/>
    </row>
    <row r="44" spans="1:26" ht="18" customHeight="1">
      <c r="C44" s="9" t="s">
        <v>1217</v>
      </c>
      <c r="K44" s="171" t="s">
        <v>14</v>
      </c>
      <c r="L44" s="171"/>
      <c r="M44" s="171"/>
      <c r="N44" s="145" t="s">
        <v>40</v>
      </c>
      <c r="O44" s="173">
        <v>6</v>
      </c>
      <c r="P44" s="234">
        <f ca="1">OFFSET($A$1,MATCH(Z40,$A:$A,0)-1,O44)</f>
        <v>4.4000000000000004</v>
      </c>
      <c r="Q44" s="144" t="s">
        <v>29</v>
      </c>
      <c r="R44" s="118">
        <f t="shared" ca="1" si="10"/>
        <v>295138</v>
      </c>
      <c r="S44" s="118">
        <f t="shared" ca="1" si="10"/>
        <v>1298607</v>
      </c>
      <c r="T44" s="118">
        <f ca="1">중급</f>
        <v>295138</v>
      </c>
      <c r="U44" s="118">
        <f t="shared" ca="1" si="11"/>
        <v>1298607</v>
      </c>
      <c r="V44" s="118"/>
      <c r="W44" s="118"/>
      <c r="X44" s="118"/>
      <c r="Y44" s="118"/>
      <c r="Z44" s="115"/>
    </row>
    <row r="45" spans="1:26" ht="18" customHeight="1">
      <c r="C45" s="9"/>
      <c r="K45" s="171" t="s">
        <v>14</v>
      </c>
      <c r="L45" s="171"/>
      <c r="M45" s="171"/>
      <c r="N45" s="145" t="s">
        <v>41</v>
      </c>
      <c r="O45" s="173">
        <v>7</v>
      </c>
      <c r="P45" s="234">
        <f ca="1">OFFSET($A$1,MATCH(Z40,$A:$A,0)-1,O45)</f>
        <v>9.1</v>
      </c>
      <c r="Q45" s="144" t="s">
        <v>29</v>
      </c>
      <c r="R45" s="118">
        <f t="shared" ca="1" si="10"/>
        <v>235459</v>
      </c>
      <c r="S45" s="118">
        <f t="shared" ca="1" si="10"/>
        <v>2142676</v>
      </c>
      <c r="T45" s="118">
        <f ca="1">초급</f>
        <v>235459</v>
      </c>
      <c r="U45" s="118">
        <f t="shared" ca="1" si="11"/>
        <v>2142676</v>
      </c>
      <c r="V45" s="118"/>
      <c r="W45" s="118"/>
      <c r="X45" s="118"/>
      <c r="Y45" s="118"/>
      <c r="Z45" s="115"/>
    </row>
    <row r="46" spans="1:26" ht="18" customHeight="1">
      <c r="C46" s="9"/>
      <c r="K46" s="171" t="s">
        <v>14</v>
      </c>
      <c r="L46" s="171"/>
      <c r="M46" s="171"/>
      <c r="N46" s="319" t="s">
        <v>42</v>
      </c>
      <c r="O46" s="174">
        <v>8</v>
      </c>
      <c r="P46" s="235">
        <f ca="1">OFFSET($A$1,MATCH(Z40,$A:$A,0)-1,O46)</f>
        <v>9.1</v>
      </c>
      <c r="Q46" s="322" t="s">
        <v>29</v>
      </c>
      <c r="R46" s="323">
        <f t="shared" ca="1" si="10"/>
        <v>250087</v>
      </c>
      <c r="S46" s="323">
        <f t="shared" ca="1" si="10"/>
        <v>2275791</v>
      </c>
      <c r="T46" s="323">
        <f ca="1">보조원</f>
        <v>250087</v>
      </c>
      <c r="U46" s="323">
        <f t="shared" ca="1" si="11"/>
        <v>2275791</v>
      </c>
      <c r="V46" s="323"/>
      <c r="W46" s="323"/>
      <c r="X46" s="323"/>
      <c r="Y46" s="323"/>
      <c r="Z46" s="324"/>
    </row>
    <row r="47" spans="1:26" ht="18" customHeight="1">
      <c r="K47" s="171" t="s">
        <v>14</v>
      </c>
      <c r="L47" s="171"/>
      <c r="M47" s="171"/>
      <c r="N47" s="139" t="s">
        <v>17</v>
      </c>
      <c r="O47" s="68"/>
      <c r="P47" s="69"/>
      <c r="Q47" s="70"/>
      <c r="R47" s="71"/>
      <c r="S47" s="71">
        <f ca="1">SUBTOTAL(9,S41:S46)</f>
        <v>7570823</v>
      </c>
      <c r="T47" s="71"/>
      <c r="U47" s="71">
        <f ca="1">SUBTOTAL(9,U41:U46)</f>
        <v>7570823</v>
      </c>
      <c r="V47" s="71"/>
      <c r="W47" s="71"/>
      <c r="X47" s="71"/>
      <c r="Y47" s="71"/>
      <c r="Z47" s="68"/>
    </row>
    <row r="48" spans="1:26" ht="18" customHeight="1">
      <c r="K48" s="171" t="s">
        <v>14</v>
      </c>
      <c r="L48" s="171"/>
      <c r="M48" s="171"/>
      <c r="N48" s="318" t="str">
        <f ca="1">"제 " &amp; Z48 &amp; " 호표  "&amp; OFFSET($A$1,MATCH(Z48,$A:$A,0)-1,1)</f>
        <v>제 2 호표  2.1. 입체적 실현전략 수립</v>
      </c>
      <c r="O48" s="221"/>
      <c r="P48" s="148"/>
      <c r="Q48" s="148"/>
      <c r="R48" s="149"/>
      <c r="S48" s="149"/>
      <c r="T48" s="149"/>
      <c r="U48" s="149"/>
      <c r="V48" s="149"/>
      <c r="W48" s="149"/>
      <c r="X48" s="149"/>
      <c r="Y48" s="149"/>
      <c r="Z48" s="325">
        <f>Z40+1</f>
        <v>2</v>
      </c>
    </row>
    <row r="49" spans="11:26" ht="18" customHeight="1">
      <c r="K49" s="171" t="s">
        <v>14</v>
      </c>
      <c r="L49" s="171"/>
      <c r="M49" s="171"/>
      <c r="N49" s="140" t="s">
        <v>43</v>
      </c>
      <c r="O49" s="172">
        <v>3</v>
      </c>
      <c r="P49" s="219">
        <f ca="1">OFFSET($A$1,MATCH(Z48,$A:$A,0)-1,O49)</f>
        <v>8.8000000000000007</v>
      </c>
      <c r="Q49" s="141" t="s">
        <v>29</v>
      </c>
      <c r="R49" s="142">
        <f t="shared" ref="R49:S54" ca="1" si="12">T49</f>
        <v>467217</v>
      </c>
      <c r="S49" s="142">
        <f t="shared" ca="1" si="12"/>
        <v>4111509</v>
      </c>
      <c r="T49" s="142">
        <f ca="1">기술사</f>
        <v>467217</v>
      </c>
      <c r="U49" s="142">
        <f t="shared" ref="U49:U54" ca="1" si="13">ROUNDDOWN(P49*R49,0)</f>
        <v>4111509</v>
      </c>
      <c r="V49" s="142"/>
      <c r="W49" s="142"/>
      <c r="X49" s="142"/>
      <c r="Y49" s="142"/>
      <c r="Z49" s="114"/>
    </row>
    <row r="50" spans="11:26" ht="18" customHeight="1">
      <c r="K50" s="171" t="s">
        <v>14</v>
      </c>
      <c r="L50" s="171"/>
      <c r="M50" s="171"/>
      <c r="N50" s="143" t="s">
        <v>32</v>
      </c>
      <c r="O50" s="173">
        <v>4</v>
      </c>
      <c r="P50" s="234">
        <f ca="1">OFFSET($A$1,MATCH(Z48,$A:$A,0)-1,O50)</f>
        <v>16.3</v>
      </c>
      <c r="Q50" s="144" t="s">
        <v>29</v>
      </c>
      <c r="R50" s="118">
        <f t="shared" ca="1" si="12"/>
        <v>373353</v>
      </c>
      <c r="S50" s="118">
        <f t="shared" ca="1" si="12"/>
        <v>6085653</v>
      </c>
      <c r="T50" s="118">
        <f ca="1">특급</f>
        <v>373353</v>
      </c>
      <c r="U50" s="118">
        <f t="shared" ca="1" si="13"/>
        <v>6085653</v>
      </c>
      <c r="V50" s="118"/>
      <c r="W50" s="118"/>
      <c r="X50" s="118"/>
      <c r="Y50" s="118"/>
      <c r="Z50" s="115"/>
    </row>
    <row r="51" spans="11:26" ht="18" customHeight="1">
      <c r="K51" s="171" t="s">
        <v>14</v>
      </c>
      <c r="L51" s="171"/>
      <c r="M51" s="171"/>
      <c r="N51" s="145" t="s">
        <v>39</v>
      </c>
      <c r="O51" s="173">
        <v>5</v>
      </c>
      <c r="P51" s="234">
        <f ca="1">OFFSET($A$1,MATCH(Z48,$A:$A,0)-1,O51)</f>
        <v>26.9</v>
      </c>
      <c r="Q51" s="144" t="s">
        <v>29</v>
      </c>
      <c r="R51" s="118">
        <f t="shared" ca="1" si="12"/>
        <v>310884</v>
      </c>
      <c r="S51" s="118">
        <f t="shared" ca="1" si="12"/>
        <v>8362779</v>
      </c>
      <c r="T51" s="118">
        <f ca="1">고급</f>
        <v>310884</v>
      </c>
      <c r="U51" s="118">
        <f t="shared" ca="1" si="13"/>
        <v>8362779</v>
      </c>
      <c r="V51" s="118"/>
      <c r="W51" s="118"/>
      <c r="X51" s="118"/>
      <c r="Y51" s="118"/>
      <c r="Z51" s="115"/>
    </row>
    <row r="52" spans="11:26" ht="18" customHeight="1">
      <c r="K52" s="171" t="s">
        <v>14</v>
      </c>
      <c r="L52" s="171"/>
      <c r="M52" s="171"/>
      <c r="N52" s="145" t="s">
        <v>40</v>
      </c>
      <c r="O52" s="173">
        <v>6</v>
      </c>
      <c r="P52" s="234">
        <f ca="1">OFFSET($A$1,MATCH(Z48,$A:$A,0)-1,O52)</f>
        <v>31.4</v>
      </c>
      <c r="Q52" s="144" t="s">
        <v>29</v>
      </c>
      <c r="R52" s="118">
        <f t="shared" ca="1" si="12"/>
        <v>295138</v>
      </c>
      <c r="S52" s="118">
        <f t="shared" ca="1" si="12"/>
        <v>9267333</v>
      </c>
      <c r="T52" s="118">
        <f ca="1">중급</f>
        <v>295138</v>
      </c>
      <c r="U52" s="118">
        <f t="shared" ca="1" si="13"/>
        <v>9267333</v>
      </c>
      <c r="V52" s="118"/>
      <c r="W52" s="118"/>
      <c r="X52" s="118"/>
      <c r="Y52" s="118"/>
      <c r="Z52" s="115"/>
    </row>
    <row r="53" spans="11:26" ht="18" customHeight="1">
      <c r="K53" s="171" t="s">
        <v>14</v>
      </c>
      <c r="L53" s="171"/>
      <c r="M53" s="171"/>
      <c r="N53" s="145" t="s">
        <v>41</v>
      </c>
      <c r="O53" s="173">
        <v>7</v>
      </c>
      <c r="P53" s="234">
        <f ca="1">OFFSET($A$1,MATCH(Z48,$A:$A,0)-1,O53)</f>
        <v>28.7</v>
      </c>
      <c r="Q53" s="144" t="s">
        <v>29</v>
      </c>
      <c r="R53" s="118">
        <f t="shared" ca="1" si="12"/>
        <v>235459</v>
      </c>
      <c r="S53" s="118">
        <f t="shared" ca="1" si="12"/>
        <v>6757673</v>
      </c>
      <c r="T53" s="118">
        <f ca="1">초급</f>
        <v>235459</v>
      </c>
      <c r="U53" s="118">
        <f t="shared" ca="1" si="13"/>
        <v>6757673</v>
      </c>
      <c r="V53" s="118"/>
      <c r="W53" s="118"/>
      <c r="X53" s="118"/>
      <c r="Y53" s="118"/>
      <c r="Z53" s="115"/>
    </row>
    <row r="54" spans="11:26" ht="18" customHeight="1">
      <c r="K54" s="171" t="s">
        <v>14</v>
      </c>
      <c r="L54" s="171"/>
      <c r="M54" s="171"/>
      <c r="N54" s="319" t="s">
        <v>42</v>
      </c>
      <c r="O54" s="174">
        <v>8</v>
      </c>
      <c r="P54" s="235">
        <f ca="1">OFFSET($A$1,MATCH(Z48,$A:$A,0)-1,O54)</f>
        <v>20.6</v>
      </c>
      <c r="Q54" s="322" t="s">
        <v>29</v>
      </c>
      <c r="R54" s="323">
        <f t="shared" ca="1" si="12"/>
        <v>250087</v>
      </c>
      <c r="S54" s="323">
        <f t="shared" ca="1" si="12"/>
        <v>5151792</v>
      </c>
      <c r="T54" s="323">
        <f ca="1">보조원</f>
        <v>250087</v>
      </c>
      <c r="U54" s="323">
        <f t="shared" ca="1" si="13"/>
        <v>5151792</v>
      </c>
      <c r="V54" s="323"/>
      <c r="W54" s="323"/>
      <c r="X54" s="323"/>
      <c r="Y54" s="323"/>
      <c r="Z54" s="324"/>
    </row>
    <row r="55" spans="11:26" ht="18" customHeight="1">
      <c r="K55" s="171" t="s">
        <v>14</v>
      </c>
      <c r="L55" s="171"/>
      <c r="M55" s="171"/>
      <c r="N55" s="139" t="s">
        <v>17</v>
      </c>
      <c r="O55" s="68"/>
      <c r="P55" s="69"/>
      <c r="Q55" s="70"/>
      <c r="R55" s="71"/>
      <c r="S55" s="71">
        <f ca="1">SUBTOTAL(9,S49:S54)</f>
        <v>39736739</v>
      </c>
      <c r="T55" s="71"/>
      <c r="U55" s="71">
        <f ca="1">SUBTOTAL(9,U49:U54)</f>
        <v>39736739</v>
      </c>
      <c r="V55" s="71"/>
      <c r="W55" s="71"/>
      <c r="X55" s="71"/>
      <c r="Y55" s="71"/>
      <c r="Z55" s="68"/>
    </row>
    <row r="56" spans="11:26" ht="18" customHeight="1">
      <c r="K56" s="171" t="s">
        <v>14</v>
      </c>
      <c r="L56" s="171"/>
      <c r="M56" s="171"/>
      <c r="N56" s="318" t="str">
        <f ca="1">"제 " &amp; Z56 &amp; " 호표  "&amp; OFFSET($A$1,MATCH(Z56,$A:$A,0)-1,1)</f>
        <v>제 3 호표  2.2. 입체적 토지이용계획 수립</v>
      </c>
      <c r="O56" s="221"/>
      <c r="P56" s="148"/>
      <c r="Q56" s="148"/>
      <c r="R56" s="149"/>
      <c r="S56" s="149"/>
      <c r="T56" s="149"/>
      <c r="U56" s="149"/>
      <c r="V56" s="149"/>
      <c r="W56" s="149"/>
      <c r="X56" s="149"/>
      <c r="Y56" s="149"/>
      <c r="Z56" s="325">
        <f>Z48+1</f>
        <v>3</v>
      </c>
    </row>
    <row r="57" spans="11:26" ht="18" customHeight="1">
      <c r="K57" s="171" t="s">
        <v>14</v>
      </c>
      <c r="L57" s="171"/>
      <c r="M57" s="171"/>
      <c r="N57" s="140" t="s">
        <v>43</v>
      </c>
      <c r="O57" s="172">
        <v>3</v>
      </c>
      <c r="P57" s="219">
        <f ca="1">OFFSET($A$1,MATCH(Z56,$A:$A,0)-1,O57)</f>
        <v>11.5</v>
      </c>
      <c r="Q57" s="141" t="s">
        <v>29</v>
      </c>
      <c r="R57" s="142">
        <f t="shared" ref="R57:S62" ca="1" si="14">T57</f>
        <v>467217</v>
      </c>
      <c r="S57" s="142">
        <f t="shared" ca="1" si="14"/>
        <v>5372995</v>
      </c>
      <c r="T57" s="142">
        <f ca="1">기술사</f>
        <v>467217</v>
      </c>
      <c r="U57" s="142">
        <f t="shared" ref="U57:U62" ca="1" si="15">ROUNDDOWN(P57*R57,0)</f>
        <v>5372995</v>
      </c>
      <c r="V57" s="142"/>
      <c r="W57" s="142"/>
      <c r="X57" s="142"/>
      <c r="Y57" s="142"/>
      <c r="Z57" s="114"/>
    </row>
    <row r="58" spans="11:26" ht="18" customHeight="1">
      <c r="K58" s="171" t="s">
        <v>14</v>
      </c>
      <c r="L58" s="171"/>
      <c r="M58" s="171"/>
      <c r="N58" s="143" t="s">
        <v>32</v>
      </c>
      <c r="O58" s="173">
        <v>4</v>
      </c>
      <c r="P58" s="234">
        <f ca="1">OFFSET($A$1,MATCH(Z56,$A:$A,0)-1,O58)</f>
        <v>21.1</v>
      </c>
      <c r="Q58" s="144" t="s">
        <v>29</v>
      </c>
      <c r="R58" s="118">
        <f t="shared" ca="1" si="14"/>
        <v>373353</v>
      </c>
      <c r="S58" s="118">
        <f t="shared" ca="1" si="14"/>
        <v>7877748</v>
      </c>
      <c r="T58" s="118">
        <f ca="1">특급</f>
        <v>373353</v>
      </c>
      <c r="U58" s="118">
        <f t="shared" ca="1" si="15"/>
        <v>7877748</v>
      </c>
      <c r="V58" s="118"/>
      <c r="W58" s="118"/>
      <c r="X58" s="118"/>
      <c r="Y58" s="118"/>
      <c r="Z58" s="115"/>
    </row>
    <row r="59" spans="11:26" ht="18" customHeight="1">
      <c r="K59" s="171" t="s">
        <v>14</v>
      </c>
      <c r="L59" s="171"/>
      <c r="M59" s="171"/>
      <c r="N59" s="145" t="s">
        <v>39</v>
      </c>
      <c r="O59" s="173">
        <v>5</v>
      </c>
      <c r="P59" s="234">
        <f ca="1">OFFSET($A$1,MATCH(Z56,$A:$A,0)-1,O59)</f>
        <v>35</v>
      </c>
      <c r="Q59" s="144" t="s">
        <v>29</v>
      </c>
      <c r="R59" s="118">
        <f t="shared" ca="1" si="14"/>
        <v>310884</v>
      </c>
      <c r="S59" s="118">
        <f t="shared" ca="1" si="14"/>
        <v>10880940</v>
      </c>
      <c r="T59" s="118">
        <f ca="1">고급</f>
        <v>310884</v>
      </c>
      <c r="U59" s="118">
        <f t="shared" ca="1" si="15"/>
        <v>10880940</v>
      </c>
      <c r="V59" s="118"/>
      <c r="W59" s="118"/>
      <c r="X59" s="118"/>
      <c r="Y59" s="118"/>
      <c r="Z59" s="115"/>
    </row>
    <row r="60" spans="11:26" ht="18" customHeight="1">
      <c r="K60" s="171" t="s">
        <v>14</v>
      </c>
      <c r="L60" s="171"/>
      <c r="M60" s="171"/>
      <c r="N60" s="145" t="s">
        <v>40</v>
      </c>
      <c r="O60" s="173">
        <v>6</v>
      </c>
      <c r="P60" s="234">
        <f ca="1">OFFSET($A$1,MATCH(Z56,$A:$A,0)-1,O60)</f>
        <v>40.9</v>
      </c>
      <c r="Q60" s="144" t="s">
        <v>29</v>
      </c>
      <c r="R60" s="118">
        <f t="shared" ca="1" si="14"/>
        <v>295138</v>
      </c>
      <c r="S60" s="118">
        <f t="shared" ca="1" si="14"/>
        <v>12071144</v>
      </c>
      <c r="T60" s="118">
        <f ca="1">중급</f>
        <v>295138</v>
      </c>
      <c r="U60" s="118">
        <f t="shared" ca="1" si="15"/>
        <v>12071144</v>
      </c>
      <c r="V60" s="118"/>
      <c r="W60" s="118"/>
      <c r="X60" s="118"/>
      <c r="Y60" s="118"/>
      <c r="Z60" s="115"/>
    </row>
    <row r="61" spans="11:26" ht="18" customHeight="1">
      <c r="K61" s="171" t="s">
        <v>14</v>
      </c>
      <c r="L61" s="171"/>
      <c r="M61" s="171"/>
      <c r="N61" s="145" t="s">
        <v>41</v>
      </c>
      <c r="O61" s="173">
        <v>7</v>
      </c>
      <c r="P61" s="234">
        <f ca="1">OFFSET($A$1,MATCH(Z56,$A:$A,0)-1,O61)</f>
        <v>37.299999999999997</v>
      </c>
      <c r="Q61" s="144" t="s">
        <v>29</v>
      </c>
      <c r="R61" s="118">
        <f t="shared" ca="1" si="14"/>
        <v>235459</v>
      </c>
      <c r="S61" s="118">
        <f t="shared" ca="1" si="14"/>
        <v>8782620</v>
      </c>
      <c r="T61" s="118">
        <f ca="1">초급</f>
        <v>235459</v>
      </c>
      <c r="U61" s="118">
        <f t="shared" ca="1" si="15"/>
        <v>8782620</v>
      </c>
      <c r="V61" s="118"/>
      <c r="W61" s="118"/>
      <c r="X61" s="118"/>
      <c r="Y61" s="118"/>
      <c r="Z61" s="115"/>
    </row>
    <row r="62" spans="11:26" ht="18" customHeight="1">
      <c r="K62" s="171" t="s">
        <v>14</v>
      </c>
      <c r="L62" s="171"/>
      <c r="M62" s="171"/>
      <c r="N62" s="319" t="s">
        <v>42</v>
      </c>
      <c r="O62" s="174">
        <v>8</v>
      </c>
      <c r="P62" s="235">
        <f ca="1">OFFSET($A$1,MATCH(Z56,$A:$A,0)-1,O62)</f>
        <v>26.8</v>
      </c>
      <c r="Q62" s="322" t="s">
        <v>29</v>
      </c>
      <c r="R62" s="323">
        <f t="shared" ca="1" si="14"/>
        <v>250087</v>
      </c>
      <c r="S62" s="323">
        <f t="shared" ca="1" si="14"/>
        <v>6702331</v>
      </c>
      <c r="T62" s="323">
        <f ca="1">보조원</f>
        <v>250087</v>
      </c>
      <c r="U62" s="323">
        <f t="shared" ca="1" si="15"/>
        <v>6702331</v>
      </c>
      <c r="V62" s="323"/>
      <c r="W62" s="323"/>
      <c r="X62" s="323"/>
      <c r="Y62" s="323"/>
      <c r="Z62" s="324"/>
    </row>
    <row r="63" spans="11:26" ht="18" customHeight="1">
      <c r="K63" s="171" t="s">
        <v>14</v>
      </c>
      <c r="L63" s="171"/>
      <c r="M63" s="171"/>
      <c r="N63" s="139" t="s">
        <v>17</v>
      </c>
      <c r="O63" s="68"/>
      <c r="P63" s="69"/>
      <c r="Q63" s="70"/>
      <c r="R63" s="71"/>
      <c r="S63" s="71">
        <f ca="1">SUBTOTAL(9,S57:S62)</f>
        <v>51687778</v>
      </c>
      <c r="T63" s="71"/>
      <c r="U63" s="71">
        <f ca="1">SUBTOTAL(9,U57:U62)</f>
        <v>51687778</v>
      </c>
      <c r="V63" s="71"/>
      <c r="W63" s="71"/>
      <c r="X63" s="71"/>
      <c r="Y63" s="71"/>
      <c r="Z63" s="68"/>
    </row>
    <row r="64" spans="11:26" ht="18" customHeight="1">
      <c r="K64" s="171" t="s">
        <v>14</v>
      </c>
      <c r="L64" s="171"/>
      <c r="M64" s="171"/>
      <c r="N64" s="318" t="str">
        <f ca="1">"제 " &amp; Z64 &amp; " 호표  "&amp; OFFSET($A$1,MATCH(Z64,$A:$A,0)-1,1)</f>
        <v>제 4 호표  2.3. 입체적 건축 구상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f>Z56+1</f>
        <v>4</v>
      </c>
    </row>
    <row r="65" spans="11:26" ht="18" customHeight="1">
      <c r="K65" s="171" t="s">
        <v>14</v>
      </c>
      <c r="L65" s="171"/>
      <c r="M65" s="171"/>
      <c r="N65" s="140" t="s">
        <v>43</v>
      </c>
      <c r="O65" s="172">
        <v>3</v>
      </c>
      <c r="P65" s="219">
        <f ca="1">OFFSET($A$1,MATCH(Z64,$A:$A,0)-1,O65)</f>
        <v>8.3000000000000007</v>
      </c>
      <c r="Q65" s="141" t="s">
        <v>29</v>
      </c>
      <c r="R65" s="142">
        <f t="shared" ref="R65:S70" ca="1" si="16">T65</f>
        <v>467217</v>
      </c>
      <c r="S65" s="142">
        <f t="shared" ca="1" si="16"/>
        <v>3877901</v>
      </c>
      <c r="T65" s="142">
        <f ca="1">기술사</f>
        <v>467217</v>
      </c>
      <c r="U65" s="142">
        <f t="shared" ref="U65:U70" ca="1" si="17">ROUNDDOWN(P65*R65,0)</f>
        <v>3877901</v>
      </c>
      <c r="V65" s="142"/>
      <c r="W65" s="142"/>
      <c r="X65" s="142"/>
      <c r="Y65" s="142"/>
      <c r="Z65" s="114"/>
    </row>
    <row r="66" spans="11:26" ht="18" customHeight="1">
      <c r="K66" s="171" t="s">
        <v>14</v>
      </c>
      <c r="L66" s="171"/>
      <c r="M66" s="171"/>
      <c r="N66" s="143" t="s">
        <v>32</v>
      </c>
      <c r="O66" s="173">
        <v>4</v>
      </c>
      <c r="P66" s="234">
        <f ca="1">OFFSET($A$1,MATCH(Z64,$A:$A,0)-1,O66)</f>
        <v>11.7</v>
      </c>
      <c r="Q66" s="144" t="s">
        <v>29</v>
      </c>
      <c r="R66" s="118">
        <f t="shared" ca="1" si="16"/>
        <v>373353</v>
      </c>
      <c r="S66" s="118">
        <f t="shared" ca="1" si="16"/>
        <v>4368230</v>
      </c>
      <c r="T66" s="118">
        <f ca="1">특급</f>
        <v>373353</v>
      </c>
      <c r="U66" s="118">
        <f t="shared" ca="1" si="17"/>
        <v>4368230</v>
      </c>
      <c r="V66" s="118"/>
      <c r="W66" s="118"/>
      <c r="X66" s="118"/>
      <c r="Y66" s="118"/>
      <c r="Z66" s="115"/>
    </row>
    <row r="67" spans="11:26" ht="18" customHeight="1">
      <c r="K67" s="171" t="s">
        <v>14</v>
      </c>
      <c r="L67" s="171"/>
      <c r="M67" s="171"/>
      <c r="N67" s="145" t="s">
        <v>39</v>
      </c>
      <c r="O67" s="173">
        <v>5</v>
      </c>
      <c r="P67" s="234">
        <f ca="1">OFFSET($A$1,MATCH(Z64,$A:$A,0)-1,O67)</f>
        <v>27.8</v>
      </c>
      <c r="Q67" s="144" t="s">
        <v>29</v>
      </c>
      <c r="R67" s="118">
        <f t="shared" ca="1" si="16"/>
        <v>310884</v>
      </c>
      <c r="S67" s="118">
        <f t="shared" ca="1" si="16"/>
        <v>8642575</v>
      </c>
      <c r="T67" s="118">
        <f ca="1">고급</f>
        <v>310884</v>
      </c>
      <c r="U67" s="118">
        <f t="shared" ca="1" si="17"/>
        <v>8642575</v>
      </c>
      <c r="V67" s="118"/>
      <c r="W67" s="118"/>
      <c r="X67" s="118"/>
      <c r="Y67" s="118"/>
      <c r="Z67" s="115"/>
    </row>
    <row r="68" spans="11:26" ht="18" customHeight="1">
      <c r="K68" s="171" t="s">
        <v>14</v>
      </c>
      <c r="L68" s="171"/>
      <c r="M68" s="171"/>
      <c r="N68" s="145" t="s">
        <v>40</v>
      </c>
      <c r="O68" s="173">
        <v>6</v>
      </c>
      <c r="P68" s="234">
        <f ca="1">OFFSET($A$1,MATCH(Z64,$A:$A,0)-1,O68)</f>
        <v>34.1</v>
      </c>
      <c r="Q68" s="144" t="s">
        <v>29</v>
      </c>
      <c r="R68" s="118">
        <f t="shared" ca="1" si="16"/>
        <v>295138</v>
      </c>
      <c r="S68" s="118">
        <f t="shared" ca="1" si="16"/>
        <v>10064205</v>
      </c>
      <c r="T68" s="118">
        <f ca="1">중급</f>
        <v>295138</v>
      </c>
      <c r="U68" s="118">
        <f t="shared" ca="1" si="17"/>
        <v>10064205</v>
      </c>
      <c r="V68" s="118"/>
      <c r="W68" s="118"/>
      <c r="X68" s="118"/>
      <c r="Y68" s="118"/>
      <c r="Z68" s="115"/>
    </row>
    <row r="69" spans="11:26" ht="18" customHeight="1">
      <c r="K69" s="171" t="s">
        <v>14</v>
      </c>
      <c r="L69" s="171"/>
      <c r="M69" s="171"/>
      <c r="N69" s="145" t="s">
        <v>41</v>
      </c>
      <c r="O69" s="173">
        <v>7</v>
      </c>
      <c r="P69" s="234">
        <f ca="1">OFFSET($A$1,MATCH(Z64,$A:$A,0)-1,O69)</f>
        <v>76.900000000000006</v>
      </c>
      <c r="Q69" s="144" t="s">
        <v>29</v>
      </c>
      <c r="R69" s="118">
        <f t="shared" ca="1" si="16"/>
        <v>235459</v>
      </c>
      <c r="S69" s="118">
        <f t="shared" ca="1" si="16"/>
        <v>18106797</v>
      </c>
      <c r="T69" s="118">
        <f ca="1">초급</f>
        <v>235459</v>
      </c>
      <c r="U69" s="118">
        <f t="shared" ca="1" si="17"/>
        <v>18106797</v>
      </c>
      <c r="V69" s="118"/>
      <c r="W69" s="118"/>
      <c r="X69" s="118"/>
      <c r="Y69" s="118"/>
      <c r="Z69" s="115"/>
    </row>
    <row r="70" spans="11:26" ht="18" customHeight="1">
      <c r="K70" s="171" t="s">
        <v>14</v>
      </c>
      <c r="L70" s="171"/>
      <c r="M70" s="171"/>
      <c r="N70" s="319" t="s">
        <v>42</v>
      </c>
      <c r="O70" s="174">
        <v>8</v>
      </c>
      <c r="P70" s="235">
        <f ca="1">OFFSET($A$1,MATCH(Z64,$A:$A,0)-1,O70)</f>
        <v>95.5</v>
      </c>
      <c r="Q70" s="322" t="s">
        <v>29</v>
      </c>
      <c r="R70" s="323">
        <f t="shared" ca="1" si="16"/>
        <v>250087</v>
      </c>
      <c r="S70" s="323">
        <f t="shared" ca="1" si="16"/>
        <v>23883308</v>
      </c>
      <c r="T70" s="323">
        <f ca="1">보조원</f>
        <v>250087</v>
      </c>
      <c r="U70" s="323">
        <f t="shared" ca="1" si="17"/>
        <v>23883308</v>
      </c>
      <c r="V70" s="323"/>
      <c r="W70" s="323"/>
      <c r="X70" s="323"/>
      <c r="Y70" s="323"/>
      <c r="Z70" s="324"/>
    </row>
    <row r="71" spans="11:26" ht="18" customHeight="1">
      <c r="K71" s="171" t="s">
        <v>14</v>
      </c>
      <c r="L71" s="171"/>
      <c r="M71" s="171"/>
      <c r="N71" s="139" t="s">
        <v>17</v>
      </c>
      <c r="O71" s="68"/>
      <c r="P71" s="69"/>
      <c r="Q71" s="70"/>
      <c r="R71" s="71"/>
      <c r="S71" s="71">
        <f ca="1">SUBTOTAL(9,S65:S70)</f>
        <v>68943016</v>
      </c>
      <c r="T71" s="71"/>
      <c r="U71" s="71">
        <f ca="1">SUBTOTAL(9,U65:U70)</f>
        <v>68943016</v>
      </c>
      <c r="V71" s="71"/>
      <c r="W71" s="71"/>
      <c r="X71" s="71"/>
      <c r="Y71" s="71"/>
      <c r="Z71" s="68"/>
    </row>
    <row r="72" spans="11:26" ht="18" customHeight="1">
      <c r="K72" s="171" t="s">
        <v>14</v>
      </c>
      <c r="L72" s="171"/>
      <c r="M72" s="171"/>
      <c r="N72" s="318" t="str">
        <f ca="1">"제 " &amp; Z72 &amp; " 호표  "&amp; OFFSET($A$1,MATCH(Z72,$A:$A,0)-1,1)</f>
        <v>제 5 호표  2.4. 입체적 특화구역 선정 및 기본방향 설정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5</v>
      </c>
    </row>
    <row r="73" spans="11:26" ht="18" customHeight="1">
      <c r="K73" s="171" t="s">
        <v>14</v>
      </c>
      <c r="L73" s="171"/>
      <c r="M73" s="171"/>
      <c r="N73" s="140" t="s">
        <v>43</v>
      </c>
      <c r="O73" s="172">
        <v>3</v>
      </c>
      <c r="P73" s="219">
        <f ca="1">OFFSET($A$1,MATCH(Z72,$A:$A,0)-1,O73)</f>
        <v>3.3</v>
      </c>
      <c r="Q73" s="141" t="s">
        <v>29</v>
      </c>
      <c r="R73" s="142">
        <f t="shared" ref="R73:S78" ca="1" si="18">T73</f>
        <v>467217</v>
      </c>
      <c r="S73" s="142">
        <f t="shared" ca="1" si="18"/>
        <v>1541816</v>
      </c>
      <c r="T73" s="142">
        <f ca="1">기술사</f>
        <v>467217</v>
      </c>
      <c r="U73" s="142">
        <f t="shared" ref="U73:U78" ca="1" si="19">ROUNDDOWN(P73*R73,0)</f>
        <v>1541816</v>
      </c>
      <c r="V73" s="142"/>
      <c r="W73" s="142"/>
      <c r="X73" s="142"/>
      <c r="Y73" s="142"/>
      <c r="Z73" s="114"/>
    </row>
    <row r="74" spans="11:26" ht="18" customHeight="1">
      <c r="K74" s="171" t="s">
        <v>14</v>
      </c>
      <c r="L74" s="171"/>
      <c r="M74" s="171"/>
      <c r="N74" s="143" t="s">
        <v>32</v>
      </c>
      <c r="O74" s="173">
        <v>4</v>
      </c>
      <c r="P74" s="234">
        <f ca="1">OFFSET($A$1,MATCH(Z72,$A:$A,0)-1,O74)</f>
        <v>4.7</v>
      </c>
      <c r="Q74" s="144" t="s">
        <v>29</v>
      </c>
      <c r="R74" s="118">
        <f t="shared" ca="1" si="18"/>
        <v>373353</v>
      </c>
      <c r="S74" s="118">
        <f t="shared" ca="1" si="18"/>
        <v>1754759</v>
      </c>
      <c r="T74" s="118">
        <f ca="1">특급</f>
        <v>373353</v>
      </c>
      <c r="U74" s="118">
        <f t="shared" ca="1" si="19"/>
        <v>1754759</v>
      </c>
      <c r="V74" s="118"/>
      <c r="W74" s="118"/>
      <c r="X74" s="118"/>
      <c r="Y74" s="118"/>
      <c r="Z74" s="115"/>
    </row>
    <row r="75" spans="11:26" ht="18" customHeight="1">
      <c r="K75" s="171" t="s">
        <v>14</v>
      </c>
      <c r="L75" s="171"/>
      <c r="M75" s="171"/>
      <c r="N75" s="145" t="s">
        <v>39</v>
      </c>
      <c r="O75" s="173">
        <v>5</v>
      </c>
      <c r="P75" s="234">
        <f ca="1">OFFSET($A$1,MATCH(Z72,$A:$A,0)-1,O75)</f>
        <v>11.1</v>
      </c>
      <c r="Q75" s="144" t="s">
        <v>29</v>
      </c>
      <c r="R75" s="118">
        <f t="shared" ca="1" si="18"/>
        <v>310884</v>
      </c>
      <c r="S75" s="118">
        <f t="shared" ca="1" si="18"/>
        <v>3450812</v>
      </c>
      <c r="T75" s="118">
        <f ca="1">고급</f>
        <v>310884</v>
      </c>
      <c r="U75" s="118">
        <f t="shared" ca="1" si="19"/>
        <v>3450812</v>
      </c>
      <c r="V75" s="118"/>
      <c r="W75" s="118"/>
      <c r="X75" s="118"/>
      <c r="Y75" s="118"/>
      <c r="Z75" s="115"/>
    </row>
    <row r="76" spans="11:26" ht="18" customHeight="1">
      <c r="K76" s="171" t="s">
        <v>14</v>
      </c>
      <c r="L76" s="171"/>
      <c r="M76" s="171"/>
      <c r="N76" s="145" t="s">
        <v>40</v>
      </c>
      <c r="O76" s="173">
        <v>6</v>
      </c>
      <c r="P76" s="234">
        <f ca="1">OFFSET($A$1,MATCH(Z72,$A:$A,0)-1,O76)</f>
        <v>13.6</v>
      </c>
      <c r="Q76" s="144" t="s">
        <v>29</v>
      </c>
      <c r="R76" s="118">
        <f t="shared" ca="1" si="18"/>
        <v>295138</v>
      </c>
      <c r="S76" s="118">
        <f t="shared" ca="1" si="18"/>
        <v>4013876</v>
      </c>
      <c r="T76" s="118">
        <f ca="1">중급</f>
        <v>295138</v>
      </c>
      <c r="U76" s="118">
        <f t="shared" ca="1" si="19"/>
        <v>4013876</v>
      </c>
      <c r="V76" s="118"/>
      <c r="W76" s="118"/>
      <c r="X76" s="118"/>
      <c r="Y76" s="118"/>
      <c r="Z76" s="115"/>
    </row>
    <row r="77" spans="11:26" ht="18" customHeight="1">
      <c r="K77" s="171" t="s">
        <v>14</v>
      </c>
      <c r="L77" s="171"/>
      <c r="M77" s="171"/>
      <c r="N77" s="145" t="s">
        <v>41</v>
      </c>
      <c r="O77" s="173">
        <v>7</v>
      </c>
      <c r="P77" s="234">
        <f ca="1">OFFSET($A$1,MATCH(Z72,$A:$A,0)-1,O77)</f>
        <v>30.8</v>
      </c>
      <c r="Q77" s="144" t="s">
        <v>29</v>
      </c>
      <c r="R77" s="118">
        <f t="shared" ca="1" si="18"/>
        <v>235459</v>
      </c>
      <c r="S77" s="118">
        <f t="shared" ca="1" si="18"/>
        <v>7252137</v>
      </c>
      <c r="T77" s="118">
        <f ca="1">초급</f>
        <v>235459</v>
      </c>
      <c r="U77" s="118">
        <f t="shared" ca="1" si="19"/>
        <v>7252137</v>
      </c>
      <c r="V77" s="118"/>
      <c r="W77" s="118"/>
      <c r="X77" s="118"/>
      <c r="Y77" s="118"/>
      <c r="Z77" s="115"/>
    </row>
    <row r="78" spans="11:26" ht="18" customHeight="1">
      <c r="K78" s="171" t="s">
        <v>14</v>
      </c>
      <c r="L78" s="171"/>
      <c r="M78" s="171"/>
      <c r="N78" s="319" t="s">
        <v>42</v>
      </c>
      <c r="O78" s="174">
        <v>8</v>
      </c>
      <c r="P78" s="235">
        <f ca="1">OFFSET($A$1,MATCH(Z72,$A:$A,0)-1,O78)</f>
        <v>38.200000000000003</v>
      </c>
      <c r="Q78" s="322" t="s">
        <v>29</v>
      </c>
      <c r="R78" s="323">
        <f t="shared" ca="1" si="18"/>
        <v>250087</v>
      </c>
      <c r="S78" s="323">
        <f t="shared" ca="1" si="18"/>
        <v>9553323</v>
      </c>
      <c r="T78" s="323">
        <f ca="1">보조원</f>
        <v>250087</v>
      </c>
      <c r="U78" s="323">
        <f t="shared" ca="1" si="19"/>
        <v>9553323</v>
      </c>
      <c r="V78" s="323"/>
      <c r="W78" s="323"/>
      <c r="X78" s="323"/>
      <c r="Y78" s="323"/>
      <c r="Z78" s="324"/>
    </row>
    <row r="79" spans="11:26" ht="18" customHeight="1">
      <c r="K79" s="171" t="s">
        <v>14</v>
      </c>
      <c r="L79" s="171"/>
      <c r="M79" s="171"/>
      <c r="N79" s="139" t="s">
        <v>17</v>
      </c>
      <c r="O79" s="68"/>
      <c r="P79" s="69"/>
      <c r="Q79" s="70"/>
      <c r="R79" s="71"/>
      <c r="S79" s="71">
        <f ca="1">SUBTOTAL(9,S73:S78)</f>
        <v>27566723</v>
      </c>
      <c r="T79" s="71"/>
      <c r="U79" s="71">
        <f ca="1">SUBTOTAL(9,U73:U78)</f>
        <v>27566723</v>
      </c>
      <c r="V79" s="71"/>
      <c r="W79" s="71"/>
      <c r="X79" s="71"/>
      <c r="Y79" s="71"/>
      <c r="Z79" s="68"/>
    </row>
    <row r="80" spans="11:26" ht="18" customHeight="1">
      <c r="K80" s="171" t="s">
        <v>14</v>
      </c>
      <c r="L80" s="171"/>
      <c r="M80" s="171"/>
      <c r="N80" s="318" t="str">
        <f ca="1">"제 " &amp; Z80 &amp; " 호표  "&amp; OFFSET($A$1,MATCH(Z80,$A:$A,0)-1,1)</f>
        <v>제 6 호표  3.1. 성과품 작성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6</v>
      </c>
    </row>
    <row r="81" spans="11:26" ht="18" customHeight="1">
      <c r="K81" s="171" t="s">
        <v>14</v>
      </c>
      <c r="L81" s="171"/>
      <c r="M81" s="171"/>
      <c r="N81" s="140" t="s">
        <v>43</v>
      </c>
      <c r="O81" s="172">
        <v>3</v>
      </c>
      <c r="P81" s="219">
        <f ca="1">OFFSET($A$1,MATCH(Z80,$A:$A,0)-1,O81)</f>
        <v>0.7</v>
      </c>
      <c r="Q81" s="141" t="s">
        <v>29</v>
      </c>
      <c r="R81" s="142">
        <f t="shared" ref="R81:S86" ca="1" si="20">T81</f>
        <v>467217</v>
      </c>
      <c r="S81" s="142">
        <f t="shared" ca="1" si="20"/>
        <v>327051</v>
      </c>
      <c r="T81" s="142">
        <f ca="1">기술사</f>
        <v>467217</v>
      </c>
      <c r="U81" s="142">
        <f t="shared" ref="U81:U86" ca="1" si="21">ROUNDDOWN(P81*R81,0)</f>
        <v>327051</v>
      </c>
      <c r="V81" s="142"/>
      <c r="W81" s="142"/>
      <c r="X81" s="142"/>
      <c r="Y81" s="142"/>
      <c r="Z81" s="114"/>
    </row>
    <row r="82" spans="11:26" ht="18" customHeight="1">
      <c r="K82" s="171" t="s">
        <v>14</v>
      </c>
      <c r="L82" s="171"/>
      <c r="M82" s="171"/>
      <c r="N82" s="143" t="s">
        <v>32</v>
      </c>
      <c r="O82" s="173">
        <v>4</v>
      </c>
      <c r="P82" s="234">
        <f ca="1">OFFSET($A$1,MATCH(Z80,$A:$A,0)-1,O82)</f>
        <v>2.2999999999999998</v>
      </c>
      <c r="Q82" s="144" t="s">
        <v>29</v>
      </c>
      <c r="R82" s="118">
        <f t="shared" ca="1" si="20"/>
        <v>373353</v>
      </c>
      <c r="S82" s="118">
        <f t="shared" ca="1" si="20"/>
        <v>858711</v>
      </c>
      <c r="T82" s="118">
        <f ca="1">특급</f>
        <v>373353</v>
      </c>
      <c r="U82" s="118">
        <f t="shared" ca="1" si="21"/>
        <v>858711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39</v>
      </c>
      <c r="O83" s="173">
        <v>5</v>
      </c>
      <c r="P83" s="234">
        <f ca="1">OFFSET($A$1,MATCH(Z80,$A:$A,0)-1,O83)</f>
        <v>5.0999999999999996</v>
      </c>
      <c r="Q83" s="144" t="s">
        <v>29</v>
      </c>
      <c r="R83" s="118">
        <f t="shared" ca="1" si="20"/>
        <v>310884</v>
      </c>
      <c r="S83" s="118">
        <f t="shared" ca="1" si="20"/>
        <v>1585508</v>
      </c>
      <c r="T83" s="118">
        <f ca="1">고급</f>
        <v>310884</v>
      </c>
      <c r="U83" s="118">
        <f t="shared" ca="1" si="21"/>
        <v>1585508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40</v>
      </c>
      <c r="O84" s="173">
        <v>6</v>
      </c>
      <c r="P84" s="234">
        <f ca="1">OFFSET($A$1,MATCH(Z80,$A:$A,0)-1,O84)</f>
        <v>4.3</v>
      </c>
      <c r="Q84" s="144" t="s">
        <v>29</v>
      </c>
      <c r="R84" s="118">
        <f t="shared" ca="1" si="20"/>
        <v>295138</v>
      </c>
      <c r="S84" s="118">
        <f t="shared" ca="1" si="20"/>
        <v>1269093</v>
      </c>
      <c r="T84" s="118">
        <f ca="1">중급</f>
        <v>295138</v>
      </c>
      <c r="U84" s="118">
        <f t="shared" ca="1" si="21"/>
        <v>1269093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145" t="s">
        <v>41</v>
      </c>
      <c r="O85" s="173">
        <v>7</v>
      </c>
      <c r="P85" s="234">
        <f ca="1">OFFSET($A$1,MATCH(Z80,$A:$A,0)-1,O85)</f>
        <v>7.7</v>
      </c>
      <c r="Q85" s="144" t="s">
        <v>29</v>
      </c>
      <c r="R85" s="118">
        <f t="shared" ca="1" si="20"/>
        <v>235459</v>
      </c>
      <c r="S85" s="118">
        <f t="shared" ca="1" si="20"/>
        <v>1813034</v>
      </c>
      <c r="T85" s="118">
        <f ca="1">초급</f>
        <v>235459</v>
      </c>
      <c r="U85" s="118">
        <f t="shared" ca="1" si="21"/>
        <v>1813034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319" t="s">
        <v>42</v>
      </c>
      <c r="O86" s="174">
        <v>8</v>
      </c>
      <c r="P86" s="235">
        <f ca="1">OFFSET($A$1,MATCH(Z80,$A:$A,0)-1,O86)</f>
        <v>5.6</v>
      </c>
      <c r="Q86" s="322" t="s">
        <v>29</v>
      </c>
      <c r="R86" s="323">
        <f t="shared" ca="1" si="20"/>
        <v>250087</v>
      </c>
      <c r="S86" s="323">
        <f t="shared" ca="1" si="20"/>
        <v>1400487</v>
      </c>
      <c r="T86" s="323">
        <f ca="1">보조원</f>
        <v>250087</v>
      </c>
      <c r="U86" s="323">
        <f t="shared" ca="1" si="21"/>
        <v>1400487</v>
      </c>
      <c r="V86" s="323"/>
      <c r="W86" s="323"/>
      <c r="X86" s="323"/>
      <c r="Y86" s="323"/>
      <c r="Z86" s="324"/>
    </row>
    <row r="87" spans="11:26" ht="18" customHeight="1">
      <c r="K87" s="171" t="s">
        <v>14</v>
      </c>
      <c r="L87" s="171"/>
      <c r="M87" s="171"/>
      <c r="N87" s="139" t="s">
        <v>17</v>
      </c>
      <c r="O87" s="68"/>
      <c r="P87" s="69"/>
      <c r="Q87" s="70"/>
      <c r="R87" s="71"/>
      <c r="S87" s="71">
        <f ca="1">SUBTOTAL(9,S81:S86)</f>
        <v>7253884</v>
      </c>
      <c r="T87" s="71"/>
      <c r="U87" s="71">
        <f ca="1">SUBTOTAL(9,U81:U86)</f>
        <v>7253884</v>
      </c>
      <c r="V87" s="71"/>
      <c r="W87" s="71"/>
      <c r="X87" s="71"/>
      <c r="Y87" s="71"/>
      <c r="Z87" s="68"/>
    </row>
    <row r="88" spans="11:26" ht="18" customHeight="1">
      <c r="K88" s="171" t="s">
        <v>14</v>
      </c>
      <c r="L88" s="171"/>
      <c r="M88" s="171"/>
      <c r="N88" s="318" t="str">
        <f ca="1">"제 " &amp; Z88 &amp; " 호표  "&amp; OFFSET($A$1,MATCH(Z88,$A:$A,0)-1,1)</f>
        <v>제 7 호표  4.1. 공청회/주민설명회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7</v>
      </c>
    </row>
    <row r="89" spans="11:26" ht="18" customHeight="1">
      <c r="K89" s="171" t="s">
        <v>14</v>
      </c>
      <c r="L89" s="171"/>
      <c r="M89" s="171"/>
      <c r="N89" s="140" t="s">
        <v>43</v>
      </c>
      <c r="O89" s="172">
        <v>3</v>
      </c>
      <c r="P89" s="219">
        <f ca="1">OFFSET($A$1,MATCH(Z88,$A:$A,0)-1,O89)</f>
        <v>2</v>
      </c>
      <c r="Q89" s="141" t="s">
        <v>29</v>
      </c>
      <c r="R89" s="142">
        <f t="shared" ref="R89:S94" ca="1" si="22">T89</f>
        <v>467217</v>
      </c>
      <c r="S89" s="142">
        <f t="shared" ca="1" si="22"/>
        <v>934434</v>
      </c>
      <c r="T89" s="142">
        <f ca="1">기술사</f>
        <v>467217</v>
      </c>
      <c r="U89" s="142">
        <f t="shared" ref="U89:U94" ca="1" si="23">ROUNDDOWN(P89*R89,0)</f>
        <v>934434</v>
      </c>
      <c r="V89" s="142"/>
      <c r="W89" s="142"/>
      <c r="X89" s="142"/>
      <c r="Y89" s="142"/>
      <c r="Z89" s="114"/>
    </row>
    <row r="90" spans="11:26" ht="18" customHeight="1">
      <c r="K90" s="171" t="s">
        <v>14</v>
      </c>
      <c r="L90" s="171"/>
      <c r="M90" s="171"/>
      <c r="N90" s="143" t="s">
        <v>32</v>
      </c>
      <c r="O90" s="173">
        <v>4</v>
      </c>
      <c r="P90" s="234">
        <f ca="1">OFFSET($A$1,MATCH(Z88,$A:$A,0)-1,O90)</f>
        <v>2</v>
      </c>
      <c r="Q90" s="144" t="s">
        <v>29</v>
      </c>
      <c r="R90" s="118">
        <f t="shared" ca="1" si="22"/>
        <v>373353</v>
      </c>
      <c r="S90" s="118">
        <f t="shared" ca="1" si="22"/>
        <v>746706</v>
      </c>
      <c r="T90" s="118">
        <f ca="1">특급</f>
        <v>373353</v>
      </c>
      <c r="U90" s="118">
        <f t="shared" ca="1" si="23"/>
        <v>746706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39</v>
      </c>
      <c r="O91" s="173">
        <v>5</v>
      </c>
      <c r="P91" s="234">
        <f ca="1">OFFSET($A$1,MATCH(Z88,$A:$A,0)-1,O91)</f>
        <v>2</v>
      </c>
      <c r="Q91" s="144" t="s">
        <v>29</v>
      </c>
      <c r="R91" s="118">
        <f t="shared" ca="1" si="22"/>
        <v>310884</v>
      </c>
      <c r="S91" s="118">
        <f t="shared" ca="1" si="22"/>
        <v>621768</v>
      </c>
      <c r="T91" s="118">
        <f ca="1">고급</f>
        <v>310884</v>
      </c>
      <c r="U91" s="118">
        <f t="shared" ca="1" si="23"/>
        <v>621768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40</v>
      </c>
      <c r="O92" s="173">
        <v>6</v>
      </c>
      <c r="P92" s="234">
        <f ca="1">OFFSET($A$1,MATCH(Z88,$A:$A,0)-1,O92)</f>
        <v>4</v>
      </c>
      <c r="Q92" s="144" t="s">
        <v>29</v>
      </c>
      <c r="R92" s="118">
        <f t="shared" ca="1" si="22"/>
        <v>295138</v>
      </c>
      <c r="S92" s="118">
        <f t="shared" ca="1" si="22"/>
        <v>1180552</v>
      </c>
      <c r="T92" s="118">
        <f ca="1">중급</f>
        <v>295138</v>
      </c>
      <c r="U92" s="118">
        <f t="shared" ca="1" si="23"/>
        <v>1180552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145" t="s">
        <v>41</v>
      </c>
      <c r="O93" s="173">
        <v>7</v>
      </c>
      <c r="P93" s="234">
        <f ca="1">OFFSET($A$1,MATCH(Z88,$A:$A,0)-1,O93)</f>
        <v>4</v>
      </c>
      <c r="Q93" s="144" t="s">
        <v>29</v>
      </c>
      <c r="R93" s="118">
        <f t="shared" ca="1" si="22"/>
        <v>235459</v>
      </c>
      <c r="S93" s="118">
        <f t="shared" ca="1" si="22"/>
        <v>941836</v>
      </c>
      <c r="T93" s="118">
        <f ca="1">초급</f>
        <v>235459</v>
      </c>
      <c r="U93" s="118">
        <f t="shared" ca="1" si="23"/>
        <v>941836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319" t="s">
        <v>42</v>
      </c>
      <c r="O94" s="174">
        <v>8</v>
      </c>
      <c r="P94" s="235">
        <f ca="1">OFFSET($A$1,MATCH(Z88,$A:$A,0)-1,O94)</f>
        <v>4</v>
      </c>
      <c r="Q94" s="322" t="s">
        <v>29</v>
      </c>
      <c r="R94" s="323">
        <f t="shared" ca="1" si="22"/>
        <v>250087</v>
      </c>
      <c r="S94" s="323">
        <f t="shared" ca="1" si="22"/>
        <v>1000348</v>
      </c>
      <c r="T94" s="323">
        <f ca="1">보조원</f>
        <v>250087</v>
      </c>
      <c r="U94" s="323">
        <f t="shared" ca="1" si="23"/>
        <v>1000348</v>
      </c>
      <c r="V94" s="323"/>
      <c r="W94" s="323"/>
      <c r="X94" s="323"/>
      <c r="Y94" s="323"/>
      <c r="Z94" s="324"/>
    </row>
    <row r="95" spans="11:26" ht="18" customHeight="1">
      <c r="K95" s="171" t="s">
        <v>14</v>
      </c>
      <c r="L95" s="171"/>
      <c r="M95" s="171"/>
      <c r="N95" s="139" t="s">
        <v>17</v>
      </c>
      <c r="O95" s="68"/>
      <c r="P95" s="69"/>
      <c r="Q95" s="70"/>
      <c r="R95" s="71"/>
      <c r="S95" s="71">
        <f ca="1">SUBTOTAL(9,S89:S94)</f>
        <v>5425644</v>
      </c>
      <c r="T95" s="71"/>
      <c r="U95" s="71">
        <f ca="1">SUBTOTAL(9,U89:U94)</f>
        <v>5425644</v>
      </c>
      <c r="V95" s="71"/>
      <c r="W95" s="71"/>
      <c r="X95" s="71"/>
      <c r="Y95" s="71"/>
      <c r="Z95" s="68"/>
    </row>
    <row r="96" spans="11:26" ht="18" customHeight="1">
      <c r="K96" s="171" t="s">
        <v>14</v>
      </c>
      <c r="L96" s="171"/>
      <c r="M96" s="171"/>
      <c r="N96" s="318" t="str">
        <f ca="1">"제 " &amp; Z96 &amp; " 호표  "&amp; OFFSET($A$1,MATCH(Z96,$A:$A,0)-1,1)</f>
        <v>제 8 호표  4.2. 주민간담회/시민계획단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8</v>
      </c>
    </row>
    <row r="97" spans="11:26" ht="18" customHeight="1">
      <c r="K97" s="171" t="s">
        <v>14</v>
      </c>
      <c r="L97" s="171"/>
      <c r="M97" s="171"/>
      <c r="N97" s="140" t="s">
        <v>43</v>
      </c>
      <c r="O97" s="172">
        <v>3</v>
      </c>
      <c r="P97" s="219">
        <f ca="1">OFFSET($A$1,MATCH(Z96,$A:$A,0)-1,O97)</f>
        <v>2</v>
      </c>
      <c r="Q97" s="141" t="s">
        <v>29</v>
      </c>
      <c r="R97" s="142">
        <f t="shared" ref="R97:S102" ca="1" si="24">T97</f>
        <v>467217</v>
      </c>
      <c r="S97" s="142">
        <f t="shared" ca="1" si="24"/>
        <v>934434</v>
      </c>
      <c r="T97" s="142">
        <f ca="1">기술사</f>
        <v>467217</v>
      </c>
      <c r="U97" s="142">
        <f t="shared" ref="U97:U102" ca="1" si="25">ROUNDDOWN(P97*R97,0)</f>
        <v>934434</v>
      </c>
      <c r="V97" s="142"/>
      <c r="W97" s="142"/>
      <c r="X97" s="142"/>
      <c r="Y97" s="142"/>
      <c r="Z97" s="114"/>
    </row>
    <row r="98" spans="11:26" ht="18" customHeight="1">
      <c r="K98" s="171" t="s">
        <v>14</v>
      </c>
      <c r="L98" s="171"/>
      <c r="M98" s="171"/>
      <c r="N98" s="143" t="s">
        <v>32</v>
      </c>
      <c r="O98" s="173">
        <v>4</v>
      </c>
      <c r="P98" s="234">
        <f ca="1">OFFSET($A$1,MATCH(Z96,$A:$A,0)-1,O98)</f>
        <v>2</v>
      </c>
      <c r="Q98" s="144" t="s">
        <v>29</v>
      </c>
      <c r="R98" s="118">
        <f t="shared" ca="1" si="24"/>
        <v>373353</v>
      </c>
      <c r="S98" s="118">
        <f t="shared" ca="1" si="24"/>
        <v>746706</v>
      </c>
      <c r="T98" s="118">
        <f ca="1">특급</f>
        <v>373353</v>
      </c>
      <c r="U98" s="118">
        <f t="shared" ca="1" si="25"/>
        <v>746706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39</v>
      </c>
      <c r="O99" s="173">
        <v>5</v>
      </c>
      <c r="P99" s="234">
        <f ca="1">OFFSET($A$1,MATCH(Z96,$A:$A,0)-1,O99)</f>
        <v>2</v>
      </c>
      <c r="Q99" s="144" t="s">
        <v>29</v>
      </c>
      <c r="R99" s="118">
        <f t="shared" ca="1" si="24"/>
        <v>310884</v>
      </c>
      <c r="S99" s="118">
        <f t="shared" ca="1" si="24"/>
        <v>621768</v>
      </c>
      <c r="T99" s="118">
        <f ca="1">고급</f>
        <v>310884</v>
      </c>
      <c r="U99" s="118">
        <f t="shared" ca="1" si="25"/>
        <v>621768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40</v>
      </c>
      <c r="O100" s="173">
        <v>6</v>
      </c>
      <c r="P100" s="234">
        <f ca="1">OFFSET($A$1,MATCH(Z96,$A:$A,0)-1,O100)</f>
        <v>4</v>
      </c>
      <c r="Q100" s="144" t="s">
        <v>29</v>
      </c>
      <c r="R100" s="118">
        <f t="shared" ca="1" si="24"/>
        <v>295138</v>
      </c>
      <c r="S100" s="118">
        <f t="shared" ca="1" si="24"/>
        <v>1180552</v>
      </c>
      <c r="T100" s="118">
        <f ca="1">중급</f>
        <v>295138</v>
      </c>
      <c r="U100" s="118">
        <f t="shared" ca="1" si="25"/>
        <v>1180552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41</v>
      </c>
      <c r="O101" s="173">
        <v>7</v>
      </c>
      <c r="P101" s="234">
        <f ca="1">OFFSET($A$1,MATCH(Z96,$A:$A,0)-1,O101)</f>
        <v>4</v>
      </c>
      <c r="Q101" s="144" t="s">
        <v>29</v>
      </c>
      <c r="R101" s="118">
        <f t="shared" ca="1" si="24"/>
        <v>235459</v>
      </c>
      <c r="S101" s="118">
        <f t="shared" ca="1" si="24"/>
        <v>941836</v>
      </c>
      <c r="T101" s="118">
        <f ca="1">초급</f>
        <v>235459</v>
      </c>
      <c r="U101" s="118">
        <f t="shared" ca="1" si="25"/>
        <v>941836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319" t="s">
        <v>42</v>
      </c>
      <c r="O102" s="174">
        <v>8</v>
      </c>
      <c r="P102" s="235">
        <f ca="1">OFFSET($A$1,MATCH(Z96,$A:$A,0)-1,O102)</f>
        <v>4</v>
      </c>
      <c r="Q102" s="322" t="s">
        <v>29</v>
      </c>
      <c r="R102" s="323">
        <f t="shared" ca="1" si="24"/>
        <v>250087</v>
      </c>
      <c r="S102" s="323">
        <f t="shared" ca="1" si="24"/>
        <v>1000348</v>
      </c>
      <c r="T102" s="323">
        <f ca="1">보조원</f>
        <v>250087</v>
      </c>
      <c r="U102" s="323">
        <f t="shared" ca="1" si="25"/>
        <v>1000348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M103" s="171"/>
      <c r="N103" s="139" t="s">
        <v>17</v>
      </c>
      <c r="O103" s="68"/>
      <c r="P103" s="69"/>
      <c r="Q103" s="70"/>
      <c r="R103" s="71"/>
      <c r="S103" s="71">
        <f ca="1">SUBTOTAL(9,S97:S102)</f>
        <v>5425644</v>
      </c>
      <c r="T103" s="71"/>
      <c r="U103" s="71">
        <f ca="1">SUBTOTAL(9,U97:U102)</f>
        <v>5425644</v>
      </c>
      <c r="V103" s="71"/>
      <c r="W103" s="71"/>
      <c r="X103" s="71"/>
      <c r="Y103" s="71"/>
      <c r="Z103" s="68"/>
    </row>
    <row r="104" spans="11:26" ht="18" customHeight="1">
      <c r="K104" s="171" t="s">
        <v>14</v>
      </c>
      <c r="L104" s="171"/>
      <c r="M104" s="171"/>
      <c r="N104" s="318" t="str">
        <f ca="1">"제 " &amp; Z104 &amp; " 호표  "&amp; OFFSET($A$1,MATCH(Z104,$A:$A,0)-1,1)</f>
        <v>제 9 호표  4.3. 위원회심의 지원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9</v>
      </c>
    </row>
    <row r="105" spans="11:26" ht="18" customHeight="1">
      <c r="K105" s="171" t="s">
        <v>14</v>
      </c>
      <c r="L105" s="171"/>
      <c r="M105" s="171"/>
      <c r="N105" s="140" t="s">
        <v>43</v>
      </c>
      <c r="O105" s="172">
        <v>3</v>
      </c>
      <c r="P105" s="219">
        <f ca="1">OFFSET($A$1,MATCH(Z104,$A:$A,0)-1,O105)</f>
        <v>2</v>
      </c>
      <c r="Q105" s="141" t="s">
        <v>29</v>
      </c>
      <c r="R105" s="142">
        <f t="shared" ref="R105:S110" ca="1" si="26">T105</f>
        <v>467217</v>
      </c>
      <c r="S105" s="142">
        <f t="shared" ca="1" si="26"/>
        <v>934434</v>
      </c>
      <c r="T105" s="142">
        <f ca="1">기술사</f>
        <v>467217</v>
      </c>
      <c r="U105" s="142">
        <f t="shared" ref="U105:U110" ca="1" si="27">ROUNDDOWN(P105*R105,0)</f>
        <v>934434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M106" s="171"/>
      <c r="N106" s="143" t="s">
        <v>32</v>
      </c>
      <c r="O106" s="173">
        <v>4</v>
      </c>
      <c r="P106" s="234">
        <f ca="1">OFFSET($A$1,MATCH(Z104,$A:$A,0)-1,O106)</f>
        <v>2</v>
      </c>
      <c r="Q106" s="144" t="s">
        <v>29</v>
      </c>
      <c r="R106" s="118">
        <f t="shared" ca="1" si="26"/>
        <v>373353</v>
      </c>
      <c r="S106" s="118">
        <f t="shared" ca="1" si="26"/>
        <v>746706</v>
      </c>
      <c r="T106" s="118">
        <f ca="1">특급</f>
        <v>373353</v>
      </c>
      <c r="U106" s="118">
        <f t="shared" ca="1" si="27"/>
        <v>746706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39</v>
      </c>
      <c r="O107" s="173">
        <v>5</v>
      </c>
      <c r="P107" s="234">
        <f ca="1">OFFSET($A$1,MATCH(Z104,$A:$A,0)-1,O107)</f>
        <v>2</v>
      </c>
      <c r="Q107" s="144" t="s">
        <v>29</v>
      </c>
      <c r="R107" s="118">
        <f t="shared" ca="1" si="26"/>
        <v>310884</v>
      </c>
      <c r="S107" s="118">
        <f t="shared" ca="1" si="26"/>
        <v>621768</v>
      </c>
      <c r="T107" s="118">
        <f ca="1">고급</f>
        <v>310884</v>
      </c>
      <c r="U107" s="118">
        <f t="shared" ca="1" si="27"/>
        <v>621768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40</v>
      </c>
      <c r="O108" s="173">
        <v>6</v>
      </c>
      <c r="P108" s="234">
        <f ca="1">OFFSET($A$1,MATCH(Z104,$A:$A,0)-1,O108)</f>
        <v>4</v>
      </c>
      <c r="Q108" s="144" t="s">
        <v>29</v>
      </c>
      <c r="R108" s="118">
        <f t="shared" ca="1" si="26"/>
        <v>295138</v>
      </c>
      <c r="S108" s="118">
        <f t="shared" ca="1" si="26"/>
        <v>1180552</v>
      </c>
      <c r="T108" s="118">
        <f ca="1">중급</f>
        <v>295138</v>
      </c>
      <c r="U108" s="118">
        <f t="shared" ca="1" si="27"/>
        <v>1180552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145" t="s">
        <v>41</v>
      </c>
      <c r="O109" s="173">
        <v>7</v>
      </c>
      <c r="P109" s="234">
        <f ca="1">OFFSET($A$1,MATCH(Z104,$A:$A,0)-1,O109)</f>
        <v>4</v>
      </c>
      <c r="Q109" s="144" t="s">
        <v>29</v>
      </c>
      <c r="R109" s="118">
        <f t="shared" ca="1" si="26"/>
        <v>235459</v>
      </c>
      <c r="S109" s="118">
        <f t="shared" ca="1" si="26"/>
        <v>941836</v>
      </c>
      <c r="T109" s="118">
        <f ca="1">초급</f>
        <v>235459</v>
      </c>
      <c r="U109" s="118">
        <f t="shared" ca="1" si="27"/>
        <v>941836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319" t="s">
        <v>42</v>
      </c>
      <c r="O110" s="174">
        <v>8</v>
      </c>
      <c r="P110" s="235">
        <f ca="1">OFFSET($A$1,MATCH(Z104,$A:$A,0)-1,O110)</f>
        <v>4</v>
      </c>
      <c r="Q110" s="322" t="s">
        <v>29</v>
      </c>
      <c r="R110" s="323">
        <f t="shared" ca="1" si="26"/>
        <v>250087</v>
      </c>
      <c r="S110" s="323">
        <f t="shared" ca="1" si="26"/>
        <v>1000348</v>
      </c>
      <c r="T110" s="323">
        <f ca="1">보조원</f>
        <v>250087</v>
      </c>
      <c r="U110" s="323">
        <f t="shared" ca="1" si="27"/>
        <v>1000348</v>
      </c>
      <c r="V110" s="323"/>
      <c r="W110" s="323"/>
      <c r="X110" s="323"/>
      <c r="Y110" s="323"/>
      <c r="Z110" s="324"/>
    </row>
    <row r="111" spans="11:26" ht="18" customHeight="1">
      <c r="K111" s="171" t="s">
        <v>14</v>
      </c>
      <c r="L111" s="171"/>
      <c r="M111" s="171"/>
      <c r="N111" s="139" t="s">
        <v>17</v>
      </c>
      <c r="O111" s="68"/>
      <c r="P111" s="69"/>
      <c r="Q111" s="70"/>
      <c r="R111" s="71"/>
      <c r="S111" s="71">
        <f ca="1">SUBTOTAL(9,S105:S110)</f>
        <v>5425644</v>
      </c>
      <c r="T111" s="71"/>
      <c r="U111" s="71">
        <f ca="1">SUBTOTAL(9,U105:U110)</f>
        <v>5425644</v>
      </c>
      <c r="V111" s="71"/>
      <c r="W111" s="71"/>
      <c r="X111" s="71"/>
      <c r="Y111" s="71"/>
      <c r="Z111" s="68"/>
    </row>
    <row r="112" spans="11:26" ht="18" customHeight="1">
      <c r="K112" s="171" t="s">
        <v>14</v>
      </c>
      <c r="L112" s="171"/>
      <c r="M112" s="171"/>
      <c r="N112" s="318" t="str">
        <f ca="1">"제 " &amp; Z112 &amp; " 호표  "&amp; OFFSET($A$1,MATCH(Z112,$A:$A,0)-1,1)</f>
        <v>제 10 호표  4.4. 관계기관 협의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10</v>
      </c>
    </row>
    <row r="113" spans="11:26" ht="18" customHeight="1">
      <c r="K113" s="171" t="s">
        <v>14</v>
      </c>
      <c r="L113" s="171"/>
      <c r="M113" s="171"/>
      <c r="N113" s="140" t="s">
        <v>43</v>
      </c>
      <c r="O113" s="172">
        <v>3</v>
      </c>
      <c r="P113" s="219">
        <f ca="1">OFFSET($A$1,MATCH(Z112,$A:$A,0)-1,O113)</f>
        <v>2</v>
      </c>
      <c r="Q113" s="141" t="s">
        <v>29</v>
      </c>
      <c r="R113" s="142">
        <f t="shared" ref="R113:S118" ca="1" si="28">T113</f>
        <v>467217</v>
      </c>
      <c r="S113" s="142">
        <f t="shared" ca="1" si="28"/>
        <v>934434</v>
      </c>
      <c r="T113" s="142">
        <f ca="1">기술사</f>
        <v>467217</v>
      </c>
      <c r="U113" s="142">
        <f t="shared" ref="U113:U118" ca="1" si="29">ROUNDDOWN(P113*R113,0)</f>
        <v>934434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M114" s="171"/>
      <c r="N114" s="143" t="s">
        <v>32</v>
      </c>
      <c r="O114" s="173">
        <v>4</v>
      </c>
      <c r="P114" s="234">
        <f ca="1">OFFSET($A$1,MATCH(Z112,$A:$A,0)-1,O114)</f>
        <v>2</v>
      </c>
      <c r="Q114" s="144" t="s">
        <v>29</v>
      </c>
      <c r="R114" s="118">
        <f t="shared" ca="1" si="28"/>
        <v>373353</v>
      </c>
      <c r="S114" s="118">
        <f t="shared" ca="1" si="28"/>
        <v>746706</v>
      </c>
      <c r="T114" s="118">
        <f ca="1">특급</f>
        <v>373353</v>
      </c>
      <c r="U114" s="118">
        <f t="shared" ca="1" si="29"/>
        <v>746706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39</v>
      </c>
      <c r="O115" s="173">
        <v>5</v>
      </c>
      <c r="P115" s="234">
        <f ca="1">OFFSET($A$1,MATCH(Z112,$A:$A,0)-1,O115)</f>
        <v>2</v>
      </c>
      <c r="Q115" s="144" t="s">
        <v>29</v>
      </c>
      <c r="R115" s="118">
        <f t="shared" ca="1" si="28"/>
        <v>310884</v>
      </c>
      <c r="S115" s="118">
        <f t="shared" ca="1" si="28"/>
        <v>621768</v>
      </c>
      <c r="T115" s="118">
        <f ca="1">고급</f>
        <v>310884</v>
      </c>
      <c r="U115" s="118">
        <f t="shared" ca="1" si="29"/>
        <v>621768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40</v>
      </c>
      <c r="O116" s="173">
        <v>6</v>
      </c>
      <c r="P116" s="234">
        <f ca="1">OFFSET($A$1,MATCH(Z112,$A:$A,0)-1,O116)</f>
        <v>4</v>
      </c>
      <c r="Q116" s="144" t="s">
        <v>29</v>
      </c>
      <c r="R116" s="118">
        <f t="shared" ca="1" si="28"/>
        <v>295138</v>
      </c>
      <c r="S116" s="118">
        <f t="shared" ca="1" si="28"/>
        <v>1180552</v>
      </c>
      <c r="T116" s="118">
        <f ca="1">중급</f>
        <v>295138</v>
      </c>
      <c r="U116" s="118">
        <f t="shared" ca="1" si="29"/>
        <v>1180552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41</v>
      </c>
      <c r="O117" s="173">
        <v>7</v>
      </c>
      <c r="P117" s="234">
        <f ca="1">OFFSET($A$1,MATCH(Z112,$A:$A,0)-1,O117)</f>
        <v>4</v>
      </c>
      <c r="Q117" s="144" t="s">
        <v>29</v>
      </c>
      <c r="R117" s="118">
        <f t="shared" ca="1" si="28"/>
        <v>235459</v>
      </c>
      <c r="S117" s="118">
        <f t="shared" ca="1" si="28"/>
        <v>941836</v>
      </c>
      <c r="T117" s="118">
        <f ca="1">초급</f>
        <v>235459</v>
      </c>
      <c r="U117" s="118">
        <f t="shared" ca="1" si="29"/>
        <v>941836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319" t="s">
        <v>42</v>
      </c>
      <c r="O118" s="174">
        <v>8</v>
      </c>
      <c r="P118" s="235">
        <f ca="1">OFFSET($A$1,MATCH(Z112,$A:$A,0)-1,O118)</f>
        <v>4</v>
      </c>
      <c r="Q118" s="322" t="s">
        <v>29</v>
      </c>
      <c r="R118" s="323">
        <f t="shared" ca="1" si="28"/>
        <v>250087</v>
      </c>
      <c r="S118" s="323">
        <f t="shared" ca="1" si="28"/>
        <v>1000348</v>
      </c>
      <c r="T118" s="323">
        <f ca="1">보조원</f>
        <v>250087</v>
      </c>
      <c r="U118" s="323">
        <f t="shared" ca="1" si="29"/>
        <v>1000348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M119" s="171"/>
      <c r="N119" s="139" t="s">
        <v>17</v>
      </c>
      <c r="O119" s="68"/>
      <c r="P119" s="69"/>
      <c r="Q119" s="70"/>
      <c r="R119" s="71"/>
      <c r="S119" s="71">
        <f ca="1">SUBTOTAL(9,S113:S118)</f>
        <v>5425644</v>
      </c>
      <c r="T119" s="71"/>
      <c r="U119" s="71">
        <f ca="1">SUBTOTAL(9,U113:U118)</f>
        <v>5425644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  <c r="X120" s="171"/>
      <c r="Y120" s="171"/>
      <c r="Z120" s="171"/>
    </row>
    <row r="121" spans="11:26" ht="18" customHeight="1">
      <c r="K121" s="171" t="s">
        <v>14</v>
      </c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  <c r="X121" s="171"/>
      <c r="Y121" s="171"/>
      <c r="Z121" s="171"/>
    </row>
    <row r="122" spans="11:26" ht="18" customHeight="1">
      <c r="K122" s="171" t="s">
        <v>14</v>
      </c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  <c r="X122" s="171"/>
      <c r="Y122" s="171"/>
      <c r="Z122" s="171"/>
    </row>
    <row r="123" spans="11:26" ht="18" customHeight="1">
      <c r="K123" s="171" t="s">
        <v>14</v>
      </c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1:26" ht="18" customHeight="1">
      <c r="K124" s="171" t="s">
        <v>14</v>
      </c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1:26" ht="18" customHeight="1">
      <c r="K125" s="171" t="s">
        <v>14</v>
      </c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1:26" ht="18" customHeight="1">
      <c r="K126" s="171" t="s">
        <v>14</v>
      </c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1:26" ht="18" customHeight="1">
      <c r="K127" s="171" t="s">
        <v>14</v>
      </c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1:26" ht="18" customHeight="1">
      <c r="K128" s="171" t="s">
        <v>14</v>
      </c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1:29" ht="18" customHeight="1">
      <c r="K129" s="171" t="s">
        <v>14</v>
      </c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1:29" ht="18" customHeight="1">
      <c r="K130" s="171" t="s">
        <v>14</v>
      </c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1:29" ht="18" customHeight="1">
      <c r="K131" s="171" t="s">
        <v>14</v>
      </c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1:29" ht="18" customHeight="1">
      <c r="K132" s="171" t="s">
        <v>14</v>
      </c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1:29" ht="18" customHeight="1">
      <c r="K133" s="171" t="s">
        <v>14</v>
      </c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1:29" ht="18" customHeight="1">
      <c r="K134" s="171" t="s">
        <v>14</v>
      </c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1:29" ht="18" customHeight="1">
      <c r="K135" s="171" t="s">
        <v>14</v>
      </c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</row>
    <row r="136" spans="11:29" ht="18" customHeight="1">
      <c r="K136" s="171" t="s">
        <v>14</v>
      </c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</row>
    <row r="165" spans="11:29" ht="18" customHeight="1">
      <c r="K165" s="171" t="s">
        <v>14</v>
      </c>
      <c r="L165" s="171"/>
      <c r="M165" s="171"/>
    </row>
    <row r="166" spans="11:29" ht="18" customHeight="1">
      <c r="K166" s="171" t="s">
        <v>14</v>
      </c>
      <c r="L166" s="171"/>
      <c r="M166" s="171"/>
    </row>
    <row r="167" spans="11:29" ht="18" customHeight="1">
      <c r="K167" s="171" t="s">
        <v>14</v>
      </c>
      <c r="L167" s="171"/>
      <c r="M167" s="171"/>
    </row>
    <row r="168" spans="11:29" ht="18" customHeight="1">
      <c r="K168" s="171" t="s">
        <v>14</v>
      </c>
      <c r="L168" s="171"/>
      <c r="M168" s="171"/>
    </row>
    <row r="169" spans="11:29" ht="18" customHeight="1">
      <c r="K169" s="171" t="s">
        <v>14</v>
      </c>
      <c r="L169" s="171"/>
      <c r="M169" s="171"/>
    </row>
    <row r="170" spans="11:29" ht="18" customHeight="1">
      <c r="K170" s="171" t="s">
        <v>14</v>
      </c>
      <c r="L170" s="171"/>
      <c r="M170" s="171"/>
    </row>
    <row r="171" spans="11:29" ht="18" customHeight="1">
      <c r="K171" s="171" t="s">
        <v>14</v>
      </c>
      <c r="L171" s="171"/>
      <c r="M171" s="171"/>
    </row>
    <row r="172" spans="11:29" ht="18" customHeight="1">
      <c r="K172" s="171" t="s">
        <v>14</v>
      </c>
      <c r="L172" s="171"/>
      <c r="M172" s="171"/>
    </row>
    <row r="173" spans="11:29" ht="18" customHeight="1">
      <c r="K173" s="171" t="s">
        <v>14</v>
      </c>
      <c r="L173" s="171"/>
      <c r="M173" s="171"/>
    </row>
    <row r="174" spans="11:29" ht="18" customHeight="1">
      <c r="K174" s="171" t="s">
        <v>14</v>
      </c>
      <c r="L174" s="171"/>
      <c r="M174" s="171"/>
    </row>
    <row r="175" spans="11:29" ht="18" customHeight="1">
      <c r="K175" s="171" t="s">
        <v>14</v>
      </c>
      <c r="L175" s="171"/>
      <c r="M175" s="171"/>
    </row>
    <row r="176" spans="11:29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L596" s="171"/>
      <c r="M596" s="171"/>
    </row>
    <row r="597" spans="11:13" ht="18" customHeight="1">
      <c r="L597" s="171"/>
      <c r="M597" s="171"/>
    </row>
    <row r="598" spans="11:13" ht="18" customHeight="1">
      <c r="L598" s="171"/>
      <c r="M598" s="171"/>
    </row>
    <row r="599" spans="11:13" ht="18" customHeight="1">
      <c r="L599" s="171"/>
      <c r="M599" s="171"/>
    </row>
    <row r="600" spans="11:13" ht="18" customHeight="1">
      <c r="L600" s="171"/>
      <c r="M600" s="171"/>
    </row>
    <row r="601" spans="11:13" ht="18" customHeight="1">
      <c r="L601" s="171"/>
      <c r="M601" s="171"/>
    </row>
    <row r="602" spans="11:13" ht="18" customHeight="1">
      <c r="L602" s="171"/>
      <c r="M602" s="171"/>
    </row>
    <row r="603" spans="11:13" ht="18" customHeight="1">
      <c r="L603" s="171"/>
      <c r="M603" s="171"/>
    </row>
    <row r="604" spans="11:13" ht="18" customHeight="1">
      <c r="L604" s="171"/>
      <c r="M604" s="171"/>
    </row>
    <row r="605" spans="11:13" ht="18" customHeight="1">
      <c r="L605" s="171"/>
      <c r="M605" s="171"/>
    </row>
    <row r="606" spans="11:13" ht="18" customHeight="1">
      <c r="L606" s="171"/>
      <c r="M606" s="171"/>
    </row>
    <row r="607" spans="11:13" ht="18" customHeight="1">
      <c r="L607" s="171"/>
      <c r="M607" s="171"/>
    </row>
    <row r="608" spans="11:13" ht="18" customHeight="1"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M747" s="171"/>
    </row>
    <row r="748" spans="12:13" ht="18" customHeight="1">
      <c r="M748" s="171"/>
    </row>
    <row r="749" spans="12:13" ht="18" customHeight="1">
      <c r="M749" s="171"/>
    </row>
    <row r="750" spans="12:13" ht="18" customHeight="1">
      <c r="M750" s="171"/>
    </row>
    <row r="751" spans="12:13" ht="18" customHeight="1">
      <c r="M751" s="171"/>
    </row>
  </sheetData>
  <mergeCells count="17">
    <mergeCell ref="B3:C3"/>
    <mergeCell ref="D3:E3"/>
    <mergeCell ref="B4:C4"/>
    <mergeCell ref="D4:E4"/>
    <mergeCell ref="B5:C5"/>
    <mergeCell ref="D5:E5"/>
    <mergeCell ref="B11:C12"/>
    <mergeCell ref="J11:J12"/>
    <mergeCell ref="L11:L12"/>
    <mergeCell ref="N38:N39"/>
    <mergeCell ref="O38:O39"/>
    <mergeCell ref="P38:P39"/>
    <mergeCell ref="Q38:Q39"/>
    <mergeCell ref="Z38:Z39"/>
    <mergeCell ref="G3:H3"/>
    <mergeCell ref="G4:H4"/>
    <mergeCell ref="G5:H5"/>
  </mergeCells>
  <phoneticPr fontId="14" type="noConversion"/>
  <conditionalFormatting sqref="V13:V27">
    <cfRule type="cellIs" dxfId="57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1">
    <tabColor rgb="FFFFFF00"/>
    <pageSetUpPr fitToPage="1"/>
  </sheetPr>
  <dimension ref="A1:AC768"/>
  <sheetViews>
    <sheetView showGridLines="0" zoomScale="85" zoomScaleNormal="85" zoomScaleSheetLayoutView="75" workbookViewId="0">
      <selection activeCell="A3" sqref="A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442</v>
      </c>
    </row>
    <row r="2" spans="1:26" ht="19.5" thickBot="1">
      <c r="B2" s="66" t="s">
        <v>1</v>
      </c>
    </row>
    <row r="3" spans="1:26" ht="18" customHeight="1">
      <c r="B3" s="773" t="s">
        <v>431</v>
      </c>
      <c r="C3" s="774"/>
      <c r="D3" s="775">
        <v>10</v>
      </c>
      <c r="E3" s="776"/>
      <c r="F3" s="44" t="s">
        <v>443</v>
      </c>
      <c r="G3" s="767" t="s">
        <v>1104</v>
      </c>
      <c r="H3" s="768"/>
      <c r="I3" s="656">
        <v>2</v>
      </c>
      <c r="J3" s="669" t="s">
        <v>1512</v>
      </c>
    </row>
    <row r="4" spans="1:26" ht="18" customHeight="1">
      <c r="B4" s="777" t="s">
        <v>1659</v>
      </c>
      <c r="C4" s="778"/>
      <c r="D4" s="779">
        <v>10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</row>
    <row r="5" spans="1:26" ht="18" customHeight="1" thickBot="1">
      <c r="B5" s="781" t="s">
        <v>444</v>
      </c>
      <c r="C5" s="782"/>
      <c r="D5" s="783">
        <f>ROUND((IF(D4&lt;=1,1,D4)/D3)^0.6,3)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</row>
    <row r="6" spans="1:26" ht="18" customHeight="1">
      <c r="A6" s="358"/>
      <c r="B6" s="9" t="s">
        <v>1660</v>
      </c>
      <c r="C6" s="36"/>
      <c r="D6" s="36"/>
      <c r="E6" s="36"/>
      <c r="F6" s="36"/>
      <c r="G6" s="9" t="s">
        <v>1107</v>
      </c>
      <c r="J6" s="36"/>
    </row>
    <row r="7" spans="1:26" ht="18" customHeight="1">
      <c r="B7" s="9"/>
      <c r="C7" s="9" t="s">
        <v>1658</v>
      </c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SUBTOTAL(9,W11:W45)</f>
        <v>406010406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SUBTOTAL(9,W12:W42)</f>
        <v>149116425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SUBTOTAL(9,W13:W37)</f>
        <v>143116425</v>
      </c>
      <c r="X12" s="160"/>
      <c r="Y12" s="168"/>
      <c r="Z12" s="168"/>
    </row>
    <row r="13" spans="1:26" ht="18" customHeight="1">
      <c r="B13" s="225" t="s">
        <v>1633</v>
      </c>
      <c r="C13" s="72"/>
      <c r="D13" s="203">
        <f t="shared" ref="D13:I13" si="0">SUBTOTAL(9,D14:D16)</f>
        <v>1</v>
      </c>
      <c r="E13" s="204">
        <f t="shared" si="0"/>
        <v>1.9999999999999998</v>
      </c>
      <c r="F13" s="204">
        <f t="shared" si="0"/>
        <v>8.3999999999999986</v>
      </c>
      <c r="G13" s="204">
        <f t="shared" si="0"/>
        <v>18.600000000000001</v>
      </c>
      <c r="H13" s="204">
        <f t="shared" si="0"/>
        <v>28.200000000000003</v>
      </c>
      <c r="I13" s="205">
        <f t="shared" si="0"/>
        <v>35.099999999999994</v>
      </c>
      <c r="J13" s="73"/>
      <c r="L13" s="232"/>
      <c r="N13" s="294" t="str">
        <f>B13</f>
        <v>1. 조사 및 분석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SUBTOTAL(9,W14:W16)</f>
        <v>24732904</v>
      </c>
      <c r="X13" s="194"/>
      <c r="Y13" s="170"/>
      <c r="Z13" s="170"/>
    </row>
    <row r="14" spans="1:26" ht="18" customHeight="1">
      <c r="B14" s="223" t="s">
        <v>1634</v>
      </c>
      <c r="C14" s="23"/>
      <c r="D14" s="197">
        <v>0.3</v>
      </c>
      <c r="E14" s="198">
        <v>0.6</v>
      </c>
      <c r="F14" s="198">
        <v>2.8</v>
      </c>
      <c r="G14" s="198">
        <v>6.2</v>
      </c>
      <c r="H14" s="198">
        <v>9.4</v>
      </c>
      <c r="I14" s="199">
        <v>11.7</v>
      </c>
      <c r="J14" s="74"/>
      <c r="L14" s="233">
        <v>1</v>
      </c>
      <c r="N14" s="296" t="str">
        <f t="shared" ref="N14:N37" si="1">B14</f>
        <v>1.1. 지역자산조사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SUM((ROUNDDOWN((D40:I40)*단가,0)))</f>
        <v>8203837</v>
      </c>
      <c r="X14" s="154"/>
      <c r="Y14" s="150" t="str">
        <f t="shared" ref="Y14:Y32" si="2">IF(A40&gt;0, "제 " &amp;A40&amp; " 호표","")</f>
        <v>제 1 호표</v>
      </c>
      <c r="Z14" s="150"/>
    </row>
    <row r="15" spans="1:26" ht="18" customHeight="1">
      <c r="B15" s="223" t="s">
        <v>1635</v>
      </c>
      <c r="C15" s="23"/>
      <c r="D15" s="197">
        <v>0.3</v>
      </c>
      <c r="E15" s="198">
        <v>0.7</v>
      </c>
      <c r="F15" s="198">
        <v>2.8</v>
      </c>
      <c r="G15" s="198">
        <v>6.2</v>
      </c>
      <c r="H15" s="198">
        <v>9.4</v>
      </c>
      <c r="I15" s="199">
        <v>11.7</v>
      </c>
      <c r="J15" s="74"/>
      <c r="L15" s="233">
        <v>1</v>
      </c>
      <c r="N15" s="296" t="str">
        <f t="shared" si="1"/>
        <v>1.2. 관련계획 및 사업</v>
      </c>
      <c r="O15" s="37"/>
      <c r="P15" s="37"/>
      <c r="Q15" s="37"/>
      <c r="R15" s="37"/>
      <c r="S15" s="37"/>
      <c r="T15" s="37"/>
      <c r="U15" s="226"/>
      <c r="V15" s="231"/>
      <c r="W15" s="153">
        <f t="array" aca="1" ref="W15" ca="1">SUM((ROUNDDOWN((D41:I41)*단가,0)))</f>
        <v>8241173</v>
      </c>
      <c r="X15" s="154"/>
      <c r="Y15" s="150" t="str">
        <f t="shared" si="2"/>
        <v>제 2 호표</v>
      </c>
      <c r="Z15" s="150"/>
    </row>
    <row r="16" spans="1:26" ht="18" customHeight="1">
      <c r="B16" s="223" t="s">
        <v>1636</v>
      </c>
      <c r="C16" s="23"/>
      <c r="D16" s="197">
        <v>0.4</v>
      </c>
      <c r="E16" s="198">
        <v>0.7</v>
      </c>
      <c r="F16" s="198">
        <v>2.8</v>
      </c>
      <c r="G16" s="198">
        <v>6.2</v>
      </c>
      <c r="H16" s="198">
        <v>9.4</v>
      </c>
      <c r="I16" s="199">
        <v>11.7</v>
      </c>
      <c r="J16" s="74"/>
      <c r="L16" s="233">
        <v>1</v>
      </c>
      <c r="N16" s="296" t="str">
        <f t="shared" si="1"/>
        <v>1.3. 문제점 및 잠재력</v>
      </c>
      <c r="O16" s="37"/>
      <c r="P16" s="37"/>
      <c r="Q16" s="37"/>
      <c r="R16" s="37"/>
      <c r="S16" s="37"/>
      <c r="T16" s="37"/>
      <c r="U16" s="226"/>
      <c r="V16" s="231"/>
      <c r="W16" s="153">
        <f t="array" aca="1" ref="W16" ca="1">SUM((ROUNDDOWN((D42:I42)*단가,0)))</f>
        <v>8287894</v>
      </c>
      <c r="X16" s="154"/>
      <c r="Y16" s="150" t="str">
        <f t="shared" si="2"/>
        <v>제 3 호표</v>
      </c>
      <c r="Z16" s="150"/>
    </row>
    <row r="17" spans="2:26" ht="18" customHeight="1">
      <c r="B17" s="222" t="s">
        <v>1637</v>
      </c>
      <c r="C17" s="47"/>
      <c r="D17" s="48">
        <f t="shared" ref="D17:I17" si="3">SUBTOTAL(9,D18:D19)</f>
        <v>1.5</v>
      </c>
      <c r="E17" s="49">
        <f t="shared" si="3"/>
        <v>2.7</v>
      </c>
      <c r="F17" s="49">
        <f t="shared" si="3"/>
        <v>3.5999999999999996</v>
      </c>
      <c r="G17" s="49">
        <f t="shared" si="3"/>
        <v>5.2</v>
      </c>
      <c r="H17" s="49">
        <f t="shared" si="3"/>
        <v>6</v>
      </c>
      <c r="I17" s="50">
        <f t="shared" si="3"/>
        <v>8</v>
      </c>
      <c r="J17" s="74"/>
      <c r="L17" s="233"/>
      <c r="N17" s="292" t="str">
        <f t="shared" si="1"/>
        <v>2. 기본구상</v>
      </c>
      <c r="O17" s="37"/>
      <c r="P17" s="39"/>
      <c r="Q17" s="37"/>
      <c r="R17" s="117"/>
      <c r="S17" s="37"/>
      <c r="T17" s="37"/>
      <c r="U17" s="226"/>
      <c r="V17" s="231"/>
      <c r="W17" s="195">
        <f ca="1">SUBTOTAL(9,W18:W19)</f>
        <v>7776222</v>
      </c>
      <c r="X17" s="196"/>
      <c r="Y17" s="150" t="str">
        <f t="shared" si="2"/>
        <v/>
      </c>
      <c r="Z17" s="150"/>
    </row>
    <row r="18" spans="2:26" ht="18" customHeight="1">
      <c r="B18" s="223" t="s">
        <v>1638</v>
      </c>
      <c r="C18" s="23"/>
      <c r="D18" s="197">
        <v>0.7</v>
      </c>
      <c r="E18" s="198">
        <v>1.3</v>
      </c>
      <c r="F18" s="198">
        <v>1.7</v>
      </c>
      <c r="G18" s="198">
        <v>2.5</v>
      </c>
      <c r="H18" s="198">
        <v>2.7</v>
      </c>
      <c r="I18" s="199">
        <v>3.6</v>
      </c>
      <c r="J18" s="74"/>
      <c r="L18" s="233">
        <v>1</v>
      </c>
      <c r="N18" s="296" t="str">
        <f t="shared" si="1"/>
        <v>2.1. 정비목표 및 구현전략의 설정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SUM((ROUNDDOWN((D44:I44)*단가,0)))</f>
        <v>3614808</v>
      </c>
      <c r="X18" s="154"/>
      <c r="Y18" s="150" t="str">
        <f t="shared" si="2"/>
        <v>제 4 호표</v>
      </c>
      <c r="Z18" s="150"/>
    </row>
    <row r="19" spans="2:26" ht="18" customHeight="1">
      <c r="B19" s="223" t="s">
        <v>1639</v>
      </c>
      <c r="C19" s="23"/>
      <c r="D19" s="197">
        <v>0.8</v>
      </c>
      <c r="E19" s="198">
        <v>1.4</v>
      </c>
      <c r="F19" s="198">
        <v>1.9</v>
      </c>
      <c r="G19" s="198">
        <v>2.7</v>
      </c>
      <c r="H19" s="198">
        <v>3.3</v>
      </c>
      <c r="I19" s="199">
        <v>4.4000000000000004</v>
      </c>
      <c r="J19" s="74"/>
      <c r="L19" s="233">
        <v>1</v>
      </c>
      <c r="N19" s="296" t="str">
        <f t="shared" si="1"/>
        <v>2.2. 기본방향 및 지표설정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SUM((ROUNDDOWN((D45:I45)*단가,0)))</f>
        <v>4161414</v>
      </c>
      <c r="X19" s="154"/>
      <c r="Y19" s="150" t="str">
        <f t="shared" si="2"/>
        <v>제 5 호표</v>
      </c>
      <c r="Z19" s="150"/>
    </row>
    <row r="20" spans="2:26" ht="18" customHeight="1">
      <c r="B20" s="222" t="s">
        <v>447</v>
      </c>
      <c r="C20" s="47"/>
      <c r="D20" s="48">
        <f t="shared" ref="D20:I20" si="4">SUBTOTAL(9,D21:D23)</f>
        <v>1</v>
      </c>
      <c r="E20" s="49">
        <f t="shared" si="4"/>
        <v>3.3000000000000003</v>
      </c>
      <c r="F20" s="49">
        <f t="shared" si="4"/>
        <v>10.199999999999999</v>
      </c>
      <c r="G20" s="49">
        <f t="shared" si="4"/>
        <v>21.9</v>
      </c>
      <c r="H20" s="49">
        <f t="shared" si="4"/>
        <v>25.799999999999997</v>
      </c>
      <c r="I20" s="50">
        <f t="shared" si="4"/>
        <v>22.200000000000003</v>
      </c>
      <c r="J20" s="74"/>
      <c r="L20" s="233"/>
      <c r="N20" s="292" t="str">
        <f t="shared" si="1"/>
        <v>3. 부문별 계획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SUBTOTAL(9,W21:W23)</f>
        <v>22960586</v>
      </c>
      <c r="X20" s="154"/>
      <c r="Y20" s="150" t="str">
        <f t="shared" si="2"/>
        <v/>
      </c>
      <c r="Z20" s="150"/>
    </row>
    <row r="21" spans="2:26" ht="18" customHeight="1">
      <c r="B21" s="223" t="s">
        <v>1640</v>
      </c>
      <c r="C21" s="23"/>
      <c r="D21" s="197">
        <v>0.4</v>
      </c>
      <c r="E21" s="198">
        <v>1.1000000000000001</v>
      </c>
      <c r="F21" s="198">
        <v>3.4</v>
      </c>
      <c r="G21" s="198">
        <v>7.3</v>
      </c>
      <c r="H21" s="198">
        <v>8.6</v>
      </c>
      <c r="I21" s="199">
        <v>7.4</v>
      </c>
      <c r="J21" s="74"/>
      <c r="L21" s="233">
        <v>1</v>
      </c>
      <c r="N21" s="296" t="str">
        <f t="shared" si="1"/>
        <v>3.1. 마스터플랜 수립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SUM((ROUNDDOWN((D47:I47)*단가,0)))</f>
        <v>7684676</v>
      </c>
      <c r="X21" s="154"/>
      <c r="Y21" s="150" t="str">
        <f t="shared" si="2"/>
        <v>제 6 호표</v>
      </c>
      <c r="Z21" s="150"/>
    </row>
    <row r="22" spans="2:26" ht="18" customHeight="1">
      <c r="B22" s="223" t="s">
        <v>1641</v>
      </c>
      <c r="C22" s="23"/>
      <c r="D22" s="197">
        <v>0.3</v>
      </c>
      <c r="E22" s="198">
        <v>1.1000000000000001</v>
      </c>
      <c r="F22" s="198">
        <v>3.4</v>
      </c>
      <c r="G22" s="198">
        <v>7.3</v>
      </c>
      <c r="H22" s="198">
        <v>8.6</v>
      </c>
      <c r="I22" s="199">
        <v>7.4</v>
      </c>
      <c r="J22" s="74"/>
      <c r="L22" s="233">
        <v>1</v>
      </c>
      <c r="N22" s="296" t="str">
        <f t="shared" si="1"/>
        <v>3.2. 사업추진계획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SUM((ROUNDDOWN((D48:I48)*단가,0)))</f>
        <v>7637955</v>
      </c>
      <c r="X22" s="154"/>
      <c r="Y22" s="150" t="str">
        <f t="shared" si="2"/>
        <v>제 7 호표</v>
      </c>
      <c r="Z22" s="150"/>
    </row>
    <row r="23" spans="2:26" ht="18" customHeight="1">
      <c r="B23" s="223" t="s">
        <v>1642</v>
      </c>
      <c r="C23" s="23"/>
      <c r="D23" s="197">
        <v>0.3</v>
      </c>
      <c r="E23" s="198">
        <v>1.1000000000000001</v>
      </c>
      <c r="F23" s="198">
        <v>3.4</v>
      </c>
      <c r="G23" s="198">
        <v>7.3</v>
      </c>
      <c r="H23" s="198">
        <v>8.6</v>
      </c>
      <c r="I23" s="199">
        <v>7.4</v>
      </c>
      <c r="J23" s="74"/>
      <c r="L23" s="233">
        <v>1</v>
      </c>
      <c r="N23" s="296" t="str">
        <f t="shared" si="1"/>
        <v>3.3. 단계별 시행계획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SUM((ROUNDDOWN((D49:I49)*단가,0)))</f>
        <v>7637955</v>
      </c>
      <c r="X23" s="154"/>
      <c r="Y23" s="150" t="str">
        <f t="shared" si="2"/>
        <v>제 8 호표</v>
      </c>
      <c r="Z23" s="150"/>
    </row>
    <row r="24" spans="2:26" ht="18" customHeight="1">
      <c r="B24" s="222" t="s">
        <v>448</v>
      </c>
      <c r="C24" s="47"/>
      <c r="D24" s="48">
        <f t="shared" ref="D24:I24" si="5">SUBTOTAL(9,D25:D29)</f>
        <v>4.2</v>
      </c>
      <c r="E24" s="49">
        <f t="shared" si="5"/>
        <v>6.7</v>
      </c>
      <c r="F24" s="49">
        <f t="shared" si="5"/>
        <v>15.9</v>
      </c>
      <c r="G24" s="49">
        <f t="shared" si="5"/>
        <v>26.700000000000003</v>
      </c>
      <c r="H24" s="49">
        <f t="shared" si="5"/>
        <v>47.2</v>
      </c>
      <c r="I24" s="50">
        <f t="shared" si="5"/>
        <v>54.7</v>
      </c>
      <c r="J24" s="74"/>
      <c r="L24" s="233"/>
      <c r="N24" s="292" t="str">
        <f t="shared" si="1"/>
        <v>4. 주민워크샵</v>
      </c>
      <c r="O24" s="37"/>
      <c r="P24" s="39"/>
      <c r="Q24" s="37"/>
      <c r="R24" s="117"/>
      <c r="S24" s="37"/>
      <c r="T24" s="37"/>
      <c r="U24" s="226"/>
      <c r="V24" s="231"/>
      <c r="W24" s="195">
        <f ca="1">SUBTOTAL(9,W25:W29)</f>
        <v>42080424</v>
      </c>
      <c r="X24" s="154"/>
      <c r="Y24" s="150" t="str">
        <f t="shared" si="2"/>
        <v/>
      </c>
      <c r="Z24" s="150"/>
    </row>
    <row r="25" spans="2:26" ht="18" customHeight="1">
      <c r="B25" s="223" t="s">
        <v>1643</v>
      </c>
      <c r="C25" s="23"/>
      <c r="D25" s="197">
        <v>0.1</v>
      </c>
      <c r="E25" s="198">
        <v>0.4</v>
      </c>
      <c r="F25" s="198">
        <v>1.2</v>
      </c>
      <c r="G25" s="198">
        <v>4.0999999999999996</v>
      </c>
      <c r="H25" s="198">
        <v>5.6</v>
      </c>
      <c r="I25" s="199">
        <v>6.8</v>
      </c>
      <c r="J25" s="74"/>
      <c r="L25" s="233">
        <v>1</v>
      </c>
      <c r="N25" s="296" t="str">
        <f t="shared" si="1"/>
        <v>4.1. 주민의견 수렴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SUM((ROUNDDOWN((D51:I51)*단가,0)))</f>
        <v>4798348</v>
      </c>
      <c r="X25" s="154"/>
      <c r="Y25" s="150" t="str">
        <f t="shared" si="2"/>
        <v>제 9 호표</v>
      </c>
      <c r="Z25" s="150"/>
    </row>
    <row r="26" spans="2:26" ht="18" customHeight="1">
      <c r="B26" s="223" t="s">
        <v>1644</v>
      </c>
      <c r="C26" s="23"/>
      <c r="D26" s="197">
        <v>0.1</v>
      </c>
      <c r="E26" s="198">
        <v>0.4</v>
      </c>
      <c r="F26" s="198">
        <v>1.2</v>
      </c>
      <c r="G26" s="198">
        <v>4.0999999999999996</v>
      </c>
      <c r="H26" s="198">
        <v>5.6</v>
      </c>
      <c r="I26" s="199">
        <v>6.8</v>
      </c>
      <c r="J26" s="74"/>
      <c r="L26" s="233">
        <v>1</v>
      </c>
      <c r="N26" s="296" t="str">
        <f t="shared" si="1"/>
        <v>4.2. 주민역량 강화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SUM((ROUNDDOWN((D52:I52)*단가,0)))</f>
        <v>4798348</v>
      </c>
      <c r="X26" s="154"/>
      <c r="Y26" s="150" t="str">
        <f t="shared" si="2"/>
        <v>제 10 호표</v>
      </c>
      <c r="Z26" s="150"/>
    </row>
    <row r="27" spans="2:26" ht="18" customHeight="1">
      <c r="B27" s="223" t="s">
        <v>1645</v>
      </c>
      <c r="C27" s="23"/>
      <c r="D27" s="197">
        <v>0.1</v>
      </c>
      <c r="E27" s="198">
        <v>0.4</v>
      </c>
      <c r="F27" s="198">
        <v>1</v>
      </c>
      <c r="G27" s="198">
        <v>2.8</v>
      </c>
      <c r="H27" s="198">
        <v>3.3</v>
      </c>
      <c r="I27" s="199">
        <v>3.9</v>
      </c>
      <c r="J27" s="389"/>
      <c r="L27" s="233">
        <v>1</v>
      </c>
      <c r="N27" s="296" t="str">
        <f t="shared" si="1"/>
        <v>4.3. 주민공동체 조직구성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SUM((ROUNDDOWN((D53:I53)*단가,0)))</f>
        <v>3085685</v>
      </c>
      <c r="X27" s="154"/>
      <c r="Y27" s="150" t="str">
        <f t="shared" si="2"/>
        <v>제 11 호표</v>
      </c>
      <c r="Z27" s="150"/>
    </row>
    <row r="28" spans="2:26" ht="18" customHeight="1">
      <c r="B28" s="223" t="s">
        <v>1646</v>
      </c>
      <c r="C28" s="23"/>
      <c r="D28" s="197">
        <v>3.7</v>
      </c>
      <c r="E28" s="198">
        <v>5.0999999999999996</v>
      </c>
      <c r="F28" s="198">
        <v>11.3</v>
      </c>
      <c r="G28" s="198">
        <v>14.6</v>
      </c>
      <c r="H28" s="198">
        <v>30.1</v>
      </c>
      <c r="I28" s="199">
        <v>33.700000000000003</v>
      </c>
      <c r="J28" s="389"/>
      <c r="L28" s="233">
        <v>1</v>
      </c>
      <c r="N28" s="296" t="str">
        <f t="shared" si="1"/>
        <v>4.4. 마을공동체 프로그램 운영계획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SUM((ROUNDDOWN((D54:I54)*단가,0)))</f>
        <v>26970051</v>
      </c>
      <c r="X28" s="154"/>
      <c r="Y28" s="150" t="str">
        <f t="shared" si="2"/>
        <v>제 12 호표</v>
      </c>
      <c r="Z28" s="150"/>
    </row>
    <row r="29" spans="2:26" ht="18" customHeight="1">
      <c r="B29" s="223" t="s">
        <v>1647</v>
      </c>
      <c r="C29" s="23"/>
      <c r="D29" s="197">
        <v>0.2</v>
      </c>
      <c r="E29" s="198">
        <v>0.4</v>
      </c>
      <c r="F29" s="198">
        <v>1.2</v>
      </c>
      <c r="G29" s="198">
        <v>1.1000000000000001</v>
      </c>
      <c r="H29" s="198">
        <v>2.6</v>
      </c>
      <c r="I29" s="199">
        <v>3.5</v>
      </c>
      <c r="J29" s="389"/>
      <c r="L29" s="233">
        <v>1</v>
      </c>
      <c r="N29" s="296" t="str">
        <f t="shared" si="1"/>
        <v>4.5. 사회경제적 재생방안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SUM((ROUNDDOWN((D55:I55)*단가,0)))</f>
        <v>2427992</v>
      </c>
      <c r="X29" s="154"/>
      <c r="Y29" s="150" t="str">
        <f t="shared" si="2"/>
        <v>제 13 호표</v>
      </c>
      <c r="Z29" s="150"/>
    </row>
    <row r="30" spans="2:26" ht="18" customHeight="1">
      <c r="B30" s="222" t="s">
        <v>424</v>
      </c>
      <c r="C30" s="47"/>
      <c r="D30" s="48">
        <f t="shared" ref="D30:I30" si="6">SUBTOTAL(9,D31:D32)</f>
        <v>2.2000000000000002</v>
      </c>
      <c r="E30" s="49">
        <f t="shared" si="6"/>
        <v>4.4000000000000004</v>
      </c>
      <c r="F30" s="49">
        <f t="shared" si="6"/>
        <v>10</v>
      </c>
      <c r="G30" s="49">
        <f t="shared" si="6"/>
        <v>18.5</v>
      </c>
      <c r="H30" s="49">
        <f t="shared" si="6"/>
        <v>26</v>
      </c>
      <c r="I30" s="50">
        <f t="shared" si="6"/>
        <v>26</v>
      </c>
      <c r="J30" s="74"/>
      <c r="L30" s="233"/>
      <c r="N30" s="292" t="str">
        <f t="shared" si="1"/>
        <v>5. 성과품작성</v>
      </c>
      <c r="O30" s="37"/>
      <c r="P30" s="39"/>
      <c r="Q30" s="37"/>
      <c r="R30" s="117"/>
      <c r="S30" s="37"/>
      <c r="T30" s="37"/>
      <c r="U30" s="226"/>
      <c r="V30" s="231"/>
      <c r="W30" s="195">
        <f ca="1">SUBTOTAL(9,W31:W32)</f>
        <v>23863713</v>
      </c>
      <c r="X30" s="154"/>
      <c r="Y30" s="150" t="str">
        <f t="shared" si="2"/>
        <v/>
      </c>
      <c r="Z30" s="150"/>
    </row>
    <row r="31" spans="2:26" ht="18" customHeight="1">
      <c r="B31" s="223" t="s">
        <v>1648</v>
      </c>
      <c r="C31" s="23"/>
      <c r="D31" s="197">
        <v>1.5</v>
      </c>
      <c r="E31" s="198">
        <v>2.9</v>
      </c>
      <c r="F31" s="198">
        <v>6.7</v>
      </c>
      <c r="G31" s="198">
        <v>11.1</v>
      </c>
      <c r="H31" s="198">
        <v>11.2</v>
      </c>
      <c r="I31" s="199">
        <v>7.5</v>
      </c>
      <c r="J31" s="74"/>
      <c r="L31" s="233">
        <v>1</v>
      </c>
      <c r="N31" s="296" t="str">
        <f t="shared" si="1"/>
        <v>5.1. 보고서작성 및 편집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SUM((ROUNDDOWN((D57:I57)*단가,0)))</f>
        <v>11655293</v>
      </c>
      <c r="X31" s="154"/>
      <c r="Y31" s="150" t="str">
        <f t="shared" si="2"/>
        <v>제 14 호표</v>
      </c>
      <c r="Z31" s="150"/>
    </row>
    <row r="32" spans="2:26" ht="18" customHeight="1">
      <c r="B32" s="259" t="s">
        <v>1649</v>
      </c>
      <c r="C32" s="43"/>
      <c r="D32" s="206">
        <v>0.7</v>
      </c>
      <c r="E32" s="207">
        <v>1.5</v>
      </c>
      <c r="F32" s="207">
        <v>3.3</v>
      </c>
      <c r="G32" s="207">
        <v>7.4</v>
      </c>
      <c r="H32" s="207">
        <v>14.8</v>
      </c>
      <c r="I32" s="208">
        <v>18.5</v>
      </c>
      <c r="J32" s="239"/>
      <c r="L32" s="233">
        <v>1</v>
      </c>
      <c r="N32" s="296" t="str">
        <f t="shared" si="1"/>
        <v>5.2. 관련도서작성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SUM((ROUNDDOWN((D58:I58)*단가,0)))</f>
        <v>12208420</v>
      </c>
      <c r="X32" s="154"/>
      <c r="Y32" s="150" t="str">
        <f t="shared" si="2"/>
        <v>제 15 호표</v>
      </c>
      <c r="Z32" s="150"/>
    </row>
    <row r="33" spans="1:26" ht="18" customHeight="1">
      <c r="B33" s="222" t="s">
        <v>426</v>
      </c>
      <c r="C33" s="47"/>
      <c r="D33" s="48">
        <f t="shared" ref="D33:I33" si="7">SUBTOTAL(9,D34:D37)</f>
        <v>8</v>
      </c>
      <c r="E33" s="49">
        <f t="shared" si="7"/>
        <v>8</v>
      </c>
      <c r="F33" s="49">
        <f t="shared" si="7"/>
        <v>8</v>
      </c>
      <c r="G33" s="49">
        <f t="shared" si="7"/>
        <v>16</v>
      </c>
      <c r="H33" s="49">
        <f t="shared" si="7"/>
        <v>16</v>
      </c>
      <c r="I33" s="50">
        <f t="shared" si="7"/>
        <v>16</v>
      </c>
      <c r="J33" s="74"/>
      <c r="L33" s="233"/>
      <c r="N33" s="292" t="str">
        <f t="shared" si="1"/>
        <v>6. 기술협의</v>
      </c>
      <c r="O33" s="37"/>
      <c r="P33" s="39"/>
      <c r="Q33" s="37"/>
      <c r="R33" s="117"/>
      <c r="S33" s="37"/>
      <c r="T33" s="37"/>
      <c r="U33" s="226"/>
      <c r="V33" s="231"/>
      <c r="W33" s="195">
        <f ca="1">SUBTOTAL(9,W34:W37)</f>
        <v>21702576</v>
      </c>
      <c r="X33" s="154"/>
      <c r="Y33" s="150" t="str">
        <f>IF(A69&gt;0, "제 " &amp;A69&amp; " 호표","")</f>
        <v/>
      </c>
      <c r="Z33" s="150"/>
    </row>
    <row r="34" spans="1:26" ht="18" customHeight="1">
      <c r="B34" s="223" t="s">
        <v>1650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74"/>
      <c r="L34" s="233">
        <v>1</v>
      </c>
      <c r="N34" s="296" t="str">
        <f t="shared" si="1"/>
        <v>6.1. 공청회/주민설명회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SUM((ROUNDDOWN((D60:I60)*단가,0)))</f>
        <v>5425644</v>
      </c>
      <c r="X34" s="154"/>
      <c r="Y34" s="150" t="str">
        <f>IF(A60&gt;0, "제 " &amp;A60&amp; " 호표","")</f>
        <v>제 16 호표</v>
      </c>
      <c r="Z34" s="150"/>
    </row>
    <row r="35" spans="1:26" ht="18" customHeight="1">
      <c r="B35" s="223" t="s">
        <v>1651</v>
      </c>
      <c r="C35" s="23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74"/>
      <c r="L35" s="233">
        <v>1</v>
      </c>
      <c r="N35" s="296" t="str">
        <f t="shared" si="1"/>
        <v>6.2. 주민간담회/시민계획단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SUM((ROUNDDOWN((D61:I61)*단가,0)))</f>
        <v>5425644</v>
      </c>
      <c r="X35" s="154"/>
      <c r="Y35" s="150" t="str">
        <f>IF(A61&gt;0, "제 " &amp;A61&amp; " 호표","")</f>
        <v>제 17 호표</v>
      </c>
      <c r="Z35" s="150"/>
    </row>
    <row r="36" spans="1:26" ht="18" customHeight="1">
      <c r="B36" s="223" t="s">
        <v>1652</v>
      </c>
      <c r="C36" s="23"/>
      <c r="D36" s="197">
        <v>2</v>
      </c>
      <c r="E36" s="198">
        <v>2</v>
      </c>
      <c r="F36" s="198">
        <v>2</v>
      </c>
      <c r="G36" s="198">
        <v>4</v>
      </c>
      <c r="H36" s="198">
        <v>4</v>
      </c>
      <c r="I36" s="199">
        <v>4</v>
      </c>
      <c r="J36" s="74"/>
      <c r="L36" s="233">
        <v>1</v>
      </c>
      <c r="N36" s="296" t="str">
        <f t="shared" si="1"/>
        <v>6.3. 위원회심의 지원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SUM((ROUNDDOWN((D62:I62)*단가,0)))</f>
        <v>5425644</v>
      </c>
      <c r="X36" s="154"/>
      <c r="Y36" s="150" t="str">
        <f>IF(A62&gt;0, "제 " &amp;A62&amp; " 호표","")</f>
        <v>제 18 호표</v>
      </c>
      <c r="Z36" s="150"/>
    </row>
    <row r="37" spans="1:26" ht="18" customHeight="1" thickBot="1">
      <c r="B37" s="223" t="s">
        <v>1653</v>
      </c>
      <c r="C37" s="23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176"/>
      <c r="L37" s="233">
        <v>1</v>
      </c>
      <c r="N37" s="296" t="str">
        <f t="shared" si="1"/>
        <v>6.4. 관계기관 협의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SUM((ROUNDDOWN((D63:I63)*단가,0)))</f>
        <v>5425644</v>
      </c>
      <c r="X37" s="154"/>
      <c r="Y37" s="150" t="str">
        <f>IF(A63&gt;0, "제 " &amp;A63&amp; " 호표","")</f>
        <v>제 19 호표</v>
      </c>
      <c r="Z37" s="150"/>
    </row>
    <row r="38" spans="1:26" ht="18" customHeight="1" thickBot="1">
      <c r="B38" s="14" t="s">
        <v>30</v>
      </c>
      <c r="C38" s="16"/>
      <c r="D38" s="14" t="s">
        <v>12</v>
      </c>
      <c r="E38" s="15"/>
      <c r="F38" s="15"/>
      <c r="G38" s="15"/>
      <c r="H38" s="15"/>
      <c r="I38" s="16"/>
      <c r="J38" s="175" t="s">
        <v>31</v>
      </c>
      <c r="N38" s="379"/>
      <c r="P38" s="371"/>
      <c r="R38" s="357"/>
      <c r="S38" s="1"/>
      <c r="T38" s="1"/>
      <c r="U38" s="258"/>
      <c r="V38" s="380"/>
      <c r="W38" s="373"/>
      <c r="X38" s="374"/>
      <c r="Y38" s="378"/>
      <c r="Z38" s="378"/>
    </row>
    <row r="39" spans="1:26" ht="18" customHeight="1">
      <c r="B39" s="225" t="s">
        <v>1633</v>
      </c>
      <c r="C39" s="72"/>
      <c r="D39" s="203">
        <f t="shared" ref="D39:I39" si="8">SUBTOTAL(9,D40:D42)</f>
        <v>1</v>
      </c>
      <c r="E39" s="204">
        <f t="shared" si="8"/>
        <v>1.9999999999999998</v>
      </c>
      <c r="F39" s="204">
        <f t="shared" si="8"/>
        <v>8.3999999999999986</v>
      </c>
      <c r="G39" s="204">
        <f t="shared" si="8"/>
        <v>18.600000000000001</v>
      </c>
      <c r="H39" s="204">
        <f t="shared" si="8"/>
        <v>28.200000000000003</v>
      </c>
      <c r="I39" s="205">
        <f t="shared" si="8"/>
        <v>35.099999999999994</v>
      </c>
      <c r="J39" s="73"/>
      <c r="N39" s="290" t="s">
        <v>10</v>
      </c>
      <c r="O39" s="129"/>
      <c r="P39" s="130"/>
      <c r="Q39" s="124"/>
      <c r="R39" s="131"/>
      <c r="S39" s="124"/>
      <c r="T39" s="124"/>
      <c r="U39" s="181"/>
      <c r="V39" s="181"/>
      <c r="W39" s="159">
        <f>SUBTOTAL(9,W40:W42)</f>
        <v>6000000</v>
      </c>
      <c r="X39" s="160"/>
      <c r="Y39" s="124"/>
      <c r="Z39" s="124"/>
    </row>
    <row r="40" spans="1:26" ht="18" customHeight="1">
      <c r="A40" s="326">
        <v>1</v>
      </c>
      <c r="B40" s="223" t="s">
        <v>1634</v>
      </c>
      <c r="C40" s="23"/>
      <c r="D40" s="197">
        <f t="array" ref="D40:I42">ROUNDDOWN(D14:I16*$D$5*L14:L16,3)</f>
        <v>0.3</v>
      </c>
      <c r="E40" s="198">
        <v>0.6</v>
      </c>
      <c r="F40" s="198">
        <v>2.8</v>
      </c>
      <c r="G40" s="198">
        <v>6.2</v>
      </c>
      <c r="H40" s="198">
        <v>9.4</v>
      </c>
      <c r="I40" s="199">
        <v>11.7</v>
      </c>
      <c r="J40" s="74"/>
      <c r="M40" s="171"/>
      <c r="N40" s="291" t="str">
        <f>"여비("&amp;TEXT(T40,"#인 ×")&amp;TEXT(U40,"#일 ×")&amp;TEXT(V40,"###,###원)")</f>
        <v>여비(3인 ×10일 ×100,000원)</v>
      </c>
      <c r="O40" s="78"/>
      <c r="P40" s="52"/>
      <c r="Q40" s="51"/>
      <c r="T40" s="146">
        <v>3</v>
      </c>
      <c r="U40" s="146">
        <v>10</v>
      </c>
      <c r="V40" s="147">
        <v>100000</v>
      </c>
      <c r="W40" s="161">
        <f>T40*U40*V40</f>
        <v>3000000</v>
      </c>
      <c r="X40" s="162"/>
      <c r="Y40" s="51"/>
      <c r="Z40" s="51"/>
    </row>
    <row r="41" spans="1:26" ht="18" customHeight="1">
      <c r="A41" s="326">
        <v>2</v>
      </c>
      <c r="B41" s="223" t="s">
        <v>1635</v>
      </c>
      <c r="C41" s="23"/>
      <c r="D41" s="197">
        <v>0.3</v>
      </c>
      <c r="E41" s="198">
        <v>0.7</v>
      </c>
      <c r="F41" s="198">
        <v>2.8</v>
      </c>
      <c r="G41" s="198">
        <v>6.2</v>
      </c>
      <c r="H41" s="198">
        <v>9.4</v>
      </c>
      <c r="I41" s="199">
        <v>11.7</v>
      </c>
      <c r="J41" s="74"/>
      <c r="M41" s="171"/>
      <c r="N41" s="292" t="s">
        <v>46</v>
      </c>
      <c r="O41" s="79"/>
      <c r="P41" s="39"/>
      <c r="Q41" s="37"/>
      <c r="R41" s="117"/>
      <c r="S41" s="37"/>
      <c r="T41" s="37"/>
      <c r="U41" s="180"/>
      <c r="V41" s="180"/>
      <c r="W41" s="157">
        <v>2000000</v>
      </c>
      <c r="X41" s="158"/>
      <c r="Y41" s="37"/>
      <c r="Z41" s="37"/>
    </row>
    <row r="42" spans="1:26" ht="18" customHeight="1">
      <c r="A42" s="326">
        <v>3</v>
      </c>
      <c r="B42" s="223" t="s">
        <v>1636</v>
      </c>
      <c r="C42" s="23"/>
      <c r="D42" s="197">
        <v>0.4</v>
      </c>
      <c r="E42" s="198">
        <v>0.7</v>
      </c>
      <c r="F42" s="198">
        <v>2.8</v>
      </c>
      <c r="G42" s="198">
        <v>6.2</v>
      </c>
      <c r="H42" s="198">
        <v>9.4</v>
      </c>
      <c r="I42" s="199">
        <v>11.7</v>
      </c>
      <c r="J42" s="74"/>
      <c r="M42" s="171"/>
      <c r="N42" s="293" t="s">
        <v>13</v>
      </c>
      <c r="O42" s="132"/>
      <c r="P42" s="38"/>
      <c r="Q42" s="38"/>
      <c r="R42" s="116"/>
      <c r="S42" s="38"/>
      <c r="T42" s="38"/>
      <c r="U42" s="183"/>
      <c r="V42" s="183"/>
      <c r="W42" s="155">
        <v>1000000</v>
      </c>
      <c r="X42" s="156"/>
      <c r="Y42" s="38"/>
      <c r="Z42" s="38"/>
    </row>
    <row r="43" spans="1:26" ht="18" customHeight="1">
      <c r="B43" s="222" t="s">
        <v>1637</v>
      </c>
      <c r="C43" s="47"/>
      <c r="D43" s="48">
        <f t="shared" ref="D43:I43" si="9">SUBTOTAL(9,D44:D45)</f>
        <v>1.5</v>
      </c>
      <c r="E43" s="49">
        <f t="shared" si="9"/>
        <v>2.7</v>
      </c>
      <c r="F43" s="49">
        <f t="shared" si="9"/>
        <v>3.5999999999999996</v>
      </c>
      <c r="G43" s="49">
        <f t="shared" si="9"/>
        <v>5.2</v>
      </c>
      <c r="H43" s="49">
        <f t="shared" si="9"/>
        <v>6</v>
      </c>
      <c r="I43" s="50">
        <f t="shared" si="9"/>
        <v>8</v>
      </c>
      <c r="J43" s="74"/>
      <c r="M43" s="171"/>
      <c r="N43" s="127" t="s">
        <v>47</v>
      </c>
      <c r="O43" s="123"/>
      <c r="P43" s="123"/>
      <c r="Q43" s="123"/>
      <c r="R43" s="123"/>
      <c r="S43" s="123"/>
      <c r="T43" s="123"/>
      <c r="U43" s="184"/>
      <c r="V43" s="184"/>
      <c r="W43" s="163">
        <f ca="1">SUBTOTAL(9,W44:W45)</f>
        <v>256893981</v>
      </c>
      <c r="X43" s="164"/>
      <c r="Y43" s="123"/>
      <c r="Z43" s="123"/>
    </row>
    <row r="44" spans="1:26" ht="18" customHeight="1">
      <c r="A44" s="326">
        <v>4</v>
      </c>
      <c r="B44" s="223" t="s">
        <v>1638</v>
      </c>
      <c r="C44" s="23"/>
      <c r="D44" s="197">
        <f t="array" ref="D44:I45">ROUNDDOWN(D18:I19*$D$5*L18:L19,3)</f>
        <v>0.7</v>
      </c>
      <c r="E44" s="198">
        <v>1.3</v>
      </c>
      <c r="F44" s="198">
        <v>1.7</v>
      </c>
      <c r="G44" s="198">
        <v>2.5</v>
      </c>
      <c r="H44" s="198">
        <v>2.7</v>
      </c>
      <c r="I44" s="199">
        <v>3.6</v>
      </c>
      <c r="J44" s="74"/>
      <c r="M44" s="171"/>
      <c r="N44" s="133" t="s">
        <v>861</v>
      </c>
      <c r="O44" s="124"/>
      <c r="P44" s="134"/>
      <c r="Q44" s="124"/>
      <c r="R44" s="131"/>
      <c r="S44" s="124"/>
      <c r="T44" s="181"/>
      <c r="U44" s="181"/>
      <c r="V44" s="190">
        <v>1.1499999999999999</v>
      </c>
      <c r="W44" s="159">
        <f ca="1">ROUNDDOWN(W12*V44,0)</f>
        <v>164583888</v>
      </c>
      <c r="X44" s="160"/>
      <c r="Y44" s="124"/>
      <c r="Z44" s="124"/>
    </row>
    <row r="45" spans="1:26" ht="18" customHeight="1" thickBot="1">
      <c r="A45" s="326">
        <v>5</v>
      </c>
      <c r="B45" s="223" t="s">
        <v>1639</v>
      </c>
      <c r="C45" s="23"/>
      <c r="D45" s="197">
        <v>0.8</v>
      </c>
      <c r="E45" s="198">
        <v>1.4</v>
      </c>
      <c r="F45" s="198">
        <v>1.9</v>
      </c>
      <c r="G45" s="198">
        <v>2.7</v>
      </c>
      <c r="H45" s="198">
        <v>3.3</v>
      </c>
      <c r="I45" s="199">
        <v>4.4000000000000004</v>
      </c>
      <c r="J45" s="74"/>
      <c r="M45" s="171"/>
      <c r="N45" s="135" t="s">
        <v>862</v>
      </c>
      <c r="O45" s="136"/>
      <c r="P45" s="137"/>
      <c r="Q45" s="136"/>
      <c r="R45" s="138"/>
      <c r="S45" s="136"/>
      <c r="T45" s="185"/>
      <c r="U45" s="185"/>
      <c r="V45" s="191">
        <v>0.3</v>
      </c>
      <c r="W45" s="165">
        <f ca="1">ROUNDDOWN((W12+W44)*V45,0)</f>
        <v>92310093</v>
      </c>
      <c r="X45" s="166"/>
      <c r="Y45" s="136"/>
      <c r="Z45" s="136"/>
    </row>
    <row r="46" spans="1:26" ht="18" customHeight="1">
      <c r="B46" s="222" t="s">
        <v>447</v>
      </c>
      <c r="C46" s="47"/>
      <c r="D46" s="48">
        <f t="shared" ref="D46:I46" si="10">SUBTOTAL(9,D47:D49)</f>
        <v>1</v>
      </c>
      <c r="E46" s="49">
        <f t="shared" si="10"/>
        <v>3.3000000000000003</v>
      </c>
      <c r="F46" s="49">
        <f t="shared" si="10"/>
        <v>10.199999999999999</v>
      </c>
      <c r="G46" s="49">
        <f t="shared" si="10"/>
        <v>21.9</v>
      </c>
      <c r="H46" s="49">
        <f t="shared" si="10"/>
        <v>25.799999999999997</v>
      </c>
      <c r="I46" s="50">
        <f t="shared" si="10"/>
        <v>22.200000000000003</v>
      </c>
      <c r="J46" s="74"/>
      <c r="M46" s="171"/>
    </row>
    <row r="47" spans="1:26" ht="18" customHeight="1">
      <c r="A47" s="326">
        <v>6</v>
      </c>
      <c r="B47" s="223" t="s">
        <v>1640</v>
      </c>
      <c r="C47" s="23"/>
      <c r="D47" s="197">
        <f t="array" ref="D47:I49">ROUNDDOWN(D21:I23*$D$5*L21:L23,3)</f>
        <v>0.4</v>
      </c>
      <c r="E47" s="198">
        <v>1.1000000000000001</v>
      </c>
      <c r="F47" s="198">
        <v>3.4</v>
      </c>
      <c r="G47" s="198">
        <v>7.3</v>
      </c>
      <c r="H47" s="198">
        <v>8.6</v>
      </c>
      <c r="I47" s="199">
        <v>7.4</v>
      </c>
      <c r="J47" s="74"/>
      <c r="M47" s="171"/>
    </row>
    <row r="48" spans="1:26" ht="18" customHeight="1" thickBot="1">
      <c r="A48" s="326">
        <v>7</v>
      </c>
      <c r="B48" s="223" t="s">
        <v>1641</v>
      </c>
      <c r="C48" s="23"/>
      <c r="D48" s="197">
        <v>0.3</v>
      </c>
      <c r="E48" s="198">
        <v>1.1000000000000001</v>
      </c>
      <c r="F48" s="198">
        <v>3.4</v>
      </c>
      <c r="G48" s="198">
        <v>7.3</v>
      </c>
      <c r="H48" s="198">
        <v>8.6</v>
      </c>
      <c r="I48" s="199">
        <v>7.4</v>
      </c>
      <c r="J48" s="74"/>
      <c r="M48" s="171"/>
      <c r="N48" s="66" t="s">
        <v>18</v>
      </c>
      <c r="O48" s="2"/>
      <c r="P48" s="2"/>
      <c r="Q48" s="2"/>
      <c r="R48" s="3"/>
      <c r="S48" s="4"/>
      <c r="T48" s="3"/>
      <c r="U48" s="4"/>
      <c r="V48" s="3"/>
      <c r="W48" s="4"/>
      <c r="X48" s="3"/>
      <c r="Y48" s="4"/>
      <c r="Z48" s="2"/>
    </row>
    <row r="49" spans="1:26" ht="18" customHeight="1">
      <c r="A49" s="326">
        <v>8</v>
      </c>
      <c r="B49" s="223" t="s">
        <v>1642</v>
      </c>
      <c r="C49" s="23"/>
      <c r="D49" s="197">
        <v>0.3</v>
      </c>
      <c r="E49" s="198">
        <v>1.1000000000000001</v>
      </c>
      <c r="F49" s="198">
        <v>3.4</v>
      </c>
      <c r="G49" s="198">
        <v>7.3</v>
      </c>
      <c r="H49" s="198">
        <v>8.6</v>
      </c>
      <c r="I49" s="199">
        <v>7.4</v>
      </c>
      <c r="J49" s="74"/>
      <c r="M49" s="171"/>
      <c r="N49" s="765" t="s">
        <v>19</v>
      </c>
      <c r="O49" s="755" t="s">
        <v>20</v>
      </c>
      <c r="P49" s="755" t="s">
        <v>21</v>
      </c>
      <c r="Q49" s="755" t="s">
        <v>16</v>
      </c>
      <c r="R49" s="5" t="s">
        <v>22</v>
      </c>
      <c r="S49" s="5"/>
      <c r="T49" s="5" t="s">
        <v>23</v>
      </c>
      <c r="U49" s="5"/>
      <c r="V49" s="5" t="s">
        <v>24</v>
      </c>
      <c r="W49" s="5"/>
      <c r="X49" s="5" t="s">
        <v>25</v>
      </c>
      <c r="Y49" s="5"/>
      <c r="Z49" s="755" t="s">
        <v>26</v>
      </c>
    </row>
    <row r="50" spans="1:26" ht="18" customHeight="1" thickBot="1">
      <c r="B50" s="222" t="s">
        <v>448</v>
      </c>
      <c r="C50" s="47"/>
      <c r="D50" s="48">
        <f t="shared" ref="D50:I50" si="11">SUBTOTAL(9,D51:D55)</f>
        <v>4.2</v>
      </c>
      <c r="E50" s="49">
        <f t="shared" si="11"/>
        <v>6.7</v>
      </c>
      <c r="F50" s="49">
        <f t="shared" si="11"/>
        <v>15.9</v>
      </c>
      <c r="G50" s="49">
        <f t="shared" si="11"/>
        <v>26.700000000000003</v>
      </c>
      <c r="H50" s="49">
        <f t="shared" si="11"/>
        <v>47.2</v>
      </c>
      <c r="I50" s="50">
        <f t="shared" si="11"/>
        <v>54.7</v>
      </c>
      <c r="J50" s="74"/>
      <c r="M50" s="171"/>
      <c r="N50" s="766"/>
      <c r="O50" s="756"/>
      <c r="P50" s="756"/>
      <c r="Q50" s="756"/>
      <c r="R50" s="67" t="s">
        <v>27</v>
      </c>
      <c r="S50" s="67" t="s">
        <v>28</v>
      </c>
      <c r="T50" s="67" t="s">
        <v>27</v>
      </c>
      <c r="U50" s="67" t="s">
        <v>28</v>
      </c>
      <c r="V50" s="67" t="s">
        <v>27</v>
      </c>
      <c r="W50" s="67" t="s">
        <v>28</v>
      </c>
      <c r="X50" s="67" t="s">
        <v>27</v>
      </c>
      <c r="Y50" s="67" t="s">
        <v>28</v>
      </c>
      <c r="Z50" s="756"/>
    </row>
    <row r="51" spans="1:26" ht="18" customHeight="1" thickTop="1">
      <c r="A51" s="326">
        <v>9</v>
      </c>
      <c r="B51" s="223" t="s">
        <v>1643</v>
      </c>
      <c r="C51" s="23"/>
      <c r="D51" s="197">
        <f t="array" ref="D51:I55">ROUNDDOWN(D25:I29*$D$5*L25:L29,3)</f>
        <v>0.1</v>
      </c>
      <c r="E51" s="198">
        <v>0.4</v>
      </c>
      <c r="F51" s="198">
        <v>1.2</v>
      </c>
      <c r="G51" s="198">
        <v>4.0999999999999996</v>
      </c>
      <c r="H51" s="198">
        <v>5.6</v>
      </c>
      <c r="I51" s="199">
        <v>6.8</v>
      </c>
      <c r="J51" s="74"/>
      <c r="M51" s="171"/>
      <c r="N51" s="318" t="str">
        <f ca="1">"제 " &amp; Z51 &amp; " 호표  "&amp; OFFSET($A$1,MATCH(Z51,$A:$A,0)-1,1)</f>
        <v>제 1 호표  1.1. 지역자산조사</v>
      </c>
      <c r="O51" s="221"/>
      <c r="P51" s="148"/>
      <c r="Q51" s="148"/>
      <c r="R51" s="149"/>
      <c r="S51" s="149"/>
      <c r="T51" s="149"/>
      <c r="U51" s="149"/>
      <c r="V51" s="149"/>
      <c r="W51" s="149"/>
      <c r="X51" s="149"/>
      <c r="Y51" s="149"/>
      <c r="Z51" s="325">
        <v>1</v>
      </c>
    </row>
    <row r="52" spans="1:26" ht="18" customHeight="1">
      <c r="A52" s="326">
        <v>10</v>
      </c>
      <c r="B52" s="223" t="s">
        <v>1644</v>
      </c>
      <c r="C52" s="23"/>
      <c r="D52" s="197">
        <v>0.1</v>
      </c>
      <c r="E52" s="198">
        <v>0.4</v>
      </c>
      <c r="F52" s="198">
        <v>1.2</v>
      </c>
      <c r="G52" s="198">
        <v>4.0999999999999996</v>
      </c>
      <c r="H52" s="198">
        <v>5.6</v>
      </c>
      <c r="I52" s="199">
        <v>6.8</v>
      </c>
      <c r="J52" s="74"/>
      <c r="M52" s="171"/>
      <c r="N52" s="140" t="s">
        <v>43</v>
      </c>
      <c r="O52" s="172">
        <v>3</v>
      </c>
      <c r="P52" s="219">
        <f ca="1">OFFSET($A$1,MATCH(Z51,$A:$A,0)-1,O52)</f>
        <v>0.3</v>
      </c>
      <c r="Q52" s="141" t="s">
        <v>29</v>
      </c>
      <c r="R52" s="142">
        <f t="shared" ref="R52:S57" ca="1" si="12">T52</f>
        <v>467217</v>
      </c>
      <c r="S52" s="142">
        <f t="shared" ca="1" si="12"/>
        <v>140165</v>
      </c>
      <c r="T52" s="142">
        <f ca="1">기술사</f>
        <v>467217</v>
      </c>
      <c r="U52" s="142">
        <f t="shared" ref="U52:U57" ca="1" si="13">ROUNDDOWN(P52*R52,0)</f>
        <v>140165</v>
      </c>
      <c r="V52" s="142"/>
      <c r="W52" s="142"/>
      <c r="X52" s="142"/>
      <c r="Y52" s="142"/>
      <c r="Z52" s="114"/>
    </row>
    <row r="53" spans="1:26" ht="18" customHeight="1">
      <c r="A53" s="326">
        <v>11</v>
      </c>
      <c r="B53" s="223" t="s">
        <v>1645</v>
      </c>
      <c r="C53" s="23"/>
      <c r="D53" s="197">
        <v>0.1</v>
      </c>
      <c r="E53" s="198">
        <v>0.4</v>
      </c>
      <c r="F53" s="198">
        <v>1</v>
      </c>
      <c r="G53" s="198">
        <v>2.8</v>
      </c>
      <c r="H53" s="198">
        <v>3.3</v>
      </c>
      <c r="I53" s="199">
        <v>3.9</v>
      </c>
      <c r="J53" s="389"/>
      <c r="M53" s="171"/>
      <c r="N53" s="143" t="s">
        <v>32</v>
      </c>
      <c r="O53" s="173">
        <v>4</v>
      </c>
      <c r="P53" s="234">
        <f ca="1">OFFSET($A$1,MATCH(Z51,$A:$A,0)-1,O53)</f>
        <v>0.6</v>
      </c>
      <c r="Q53" s="144" t="s">
        <v>29</v>
      </c>
      <c r="R53" s="118">
        <f t="shared" ca="1" si="12"/>
        <v>373353</v>
      </c>
      <c r="S53" s="118">
        <f t="shared" ca="1" si="12"/>
        <v>224011</v>
      </c>
      <c r="T53" s="118">
        <f ca="1">특급</f>
        <v>373353</v>
      </c>
      <c r="U53" s="118">
        <f t="shared" ca="1" si="13"/>
        <v>224011</v>
      </c>
      <c r="V53" s="118"/>
      <c r="W53" s="118"/>
      <c r="X53" s="118"/>
      <c r="Y53" s="118"/>
      <c r="Z53" s="115"/>
    </row>
    <row r="54" spans="1:26" ht="18" customHeight="1">
      <c r="A54" s="326">
        <v>12</v>
      </c>
      <c r="B54" s="223" t="s">
        <v>1646</v>
      </c>
      <c r="C54" s="23"/>
      <c r="D54" s="197">
        <v>3.7</v>
      </c>
      <c r="E54" s="198">
        <v>5.0999999999999996</v>
      </c>
      <c r="F54" s="198">
        <v>11.3</v>
      </c>
      <c r="G54" s="198">
        <v>14.6</v>
      </c>
      <c r="H54" s="198">
        <v>30.1</v>
      </c>
      <c r="I54" s="199">
        <v>33.700000000000003</v>
      </c>
      <c r="J54" s="389"/>
      <c r="M54" s="171"/>
      <c r="N54" s="145" t="s">
        <v>39</v>
      </c>
      <c r="O54" s="173">
        <v>5</v>
      </c>
      <c r="P54" s="234">
        <f ca="1">OFFSET($A$1,MATCH(Z51,$A:$A,0)-1,O54)</f>
        <v>2.8</v>
      </c>
      <c r="Q54" s="144" t="s">
        <v>29</v>
      </c>
      <c r="R54" s="118">
        <f t="shared" ca="1" si="12"/>
        <v>310884</v>
      </c>
      <c r="S54" s="118">
        <f t="shared" ca="1" si="12"/>
        <v>870475</v>
      </c>
      <c r="T54" s="118">
        <f ca="1">고급</f>
        <v>310884</v>
      </c>
      <c r="U54" s="118">
        <f t="shared" ca="1" si="13"/>
        <v>870475</v>
      </c>
      <c r="V54" s="118"/>
      <c r="W54" s="118"/>
      <c r="X54" s="118"/>
      <c r="Y54" s="118"/>
      <c r="Z54" s="115"/>
    </row>
    <row r="55" spans="1:26" ht="18" customHeight="1">
      <c r="A55" s="326">
        <v>13</v>
      </c>
      <c r="B55" s="223" t="s">
        <v>1647</v>
      </c>
      <c r="C55" s="23"/>
      <c r="D55" s="197">
        <v>0.2</v>
      </c>
      <c r="E55" s="198">
        <v>0.4</v>
      </c>
      <c r="F55" s="198">
        <v>1.2</v>
      </c>
      <c r="G55" s="198">
        <v>1.1000000000000001</v>
      </c>
      <c r="H55" s="198">
        <v>2.6</v>
      </c>
      <c r="I55" s="199">
        <v>3.5</v>
      </c>
      <c r="J55" s="389"/>
      <c r="M55" s="171"/>
      <c r="N55" s="145" t="s">
        <v>40</v>
      </c>
      <c r="O55" s="173">
        <v>6</v>
      </c>
      <c r="P55" s="234">
        <f ca="1">OFFSET($A$1,MATCH(Z51,$A:$A,0)-1,O55)</f>
        <v>6.2</v>
      </c>
      <c r="Q55" s="144" t="s">
        <v>29</v>
      </c>
      <c r="R55" s="118">
        <f t="shared" ca="1" si="12"/>
        <v>295138</v>
      </c>
      <c r="S55" s="118">
        <f t="shared" ca="1" si="12"/>
        <v>1829855</v>
      </c>
      <c r="T55" s="118">
        <f ca="1">중급</f>
        <v>295138</v>
      </c>
      <c r="U55" s="118">
        <f t="shared" ca="1" si="13"/>
        <v>1829855</v>
      </c>
      <c r="V55" s="118"/>
      <c r="W55" s="118"/>
      <c r="X55" s="118"/>
      <c r="Y55" s="118"/>
      <c r="Z55" s="115"/>
    </row>
    <row r="56" spans="1:26" ht="18" customHeight="1">
      <c r="B56" s="222" t="s">
        <v>424</v>
      </c>
      <c r="C56" s="47"/>
      <c r="D56" s="48">
        <f t="shared" ref="D56:I56" si="14">SUBTOTAL(9,D57:D58)</f>
        <v>2.2000000000000002</v>
      </c>
      <c r="E56" s="49">
        <f t="shared" si="14"/>
        <v>4.4000000000000004</v>
      </c>
      <c r="F56" s="49">
        <f t="shared" si="14"/>
        <v>10</v>
      </c>
      <c r="G56" s="49">
        <f t="shared" si="14"/>
        <v>18.5</v>
      </c>
      <c r="H56" s="49">
        <f t="shared" si="14"/>
        <v>26</v>
      </c>
      <c r="I56" s="50">
        <f t="shared" si="14"/>
        <v>26</v>
      </c>
      <c r="J56" s="74"/>
      <c r="M56" s="171"/>
      <c r="N56" s="145" t="s">
        <v>41</v>
      </c>
      <c r="O56" s="173">
        <v>7</v>
      </c>
      <c r="P56" s="234">
        <f ca="1">OFFSET($A$1,MATCH(Z51,$A:$A,0)-1,O56)</f>
        <v>9.4</v>
      </c>
      <c r="Q56" s="144" t="s">
        <v>29</v>
      </c>
      <c r="R56" s="118">
        <f t="shared" ca="1" si="12"/>
        <v>235459</v>
      </c>
      <c r="S56" s="118">
        <f t="shared" ca="1" si="12"/>
        <v>2213314</v>
      </c>
      <c r="T56" s="118">
        <f ca="1">초급</f>
        <v>235459</v>
      </c>
      <c r="U56" s="118">
        <f t="shared" ca="1" si="13"/>
        <v>2213314</v>
      </c>
      <c r="V56" s="118"/>
      <c r="W56" s="118"/>
      <c r="X56" s="118"/>
      <c r="Y56" s="118"/>
      <c r="Z56" s="115"/>
    </row>
    <row r="57" spans="1:26" ht="18" customHeight="1">
      <c r="A57" s="326">
        <v>14</v>
      </c>
      <c r="B57" s="223" t="s">
        <v>1648</v>
      </c>
      <c r="C57" s="23"/>
      <c r="D57" s="197">
        <f t="array" ref="D57:I58">ROUNDDOWN(D31:I32*$D$5*L31:L32,3)</f>
        <v>1.5</v>
      </c>
      <c r="E57" s="198">
        <v>2.9</v>
      </c>
      <c r="F57" s="198">
        <v>6.7</v>
      </c>
      <c r="G57" s="198">
        <v>11.1</v>
      </c>
      <c r="H57" s="198">
        <v>11.2</v>
      </c>
      <c r="I57" s="199">
        <v>7.5</v>
      </c>
      <c r="J57" s="74"/>
      <c r="M57" s="171"/>
      <c r="N57" s="319" t="s">
        <v>42</v>
      </c>
      <c r="O57" s="174">
        <v>8</v>
      </c>
      <c r="P57" s="235">
        <f ca="1">OFFSET($A$1,MATCH(Z51,$A:$A,0)-1,O57)</f>
        <v>11.7</v>
      </c>
      <c r="Q57" s="322" t="s">
        <v>29</v>
      </c>
      <c r="R57" s="323">
        <f t="shared" ca="1" si="12"/>
        <v>250087</v>
      </c>
      <c r="S57" s="323">
        <f t="shared" ca="1" si="12"/>
        <v>2926017</v>
      </c>
      <c r="T57" s="323">
        <f ca="1">보조원</f>
        <v>250087</v>
      </c>
      <c r="U57" s="323">
        <f t="shared" ca="1" si="13"/>
        <v>2926017</v>
      </c>
      <c r="V57" s="323"/>
      <c r="W57" s="323"/>
      <c r="X57" s="323"/>
      <c r="Y57" s="323"/>
      <c r="Z57" s="324"/>
    </row>
    <row r="58" spans="1:26" ht="18" customHeight="1">
      <c r="A58" s="326">
        <v>15</v>
      </c>
      <c r="B58" s="259" t="s">
        <v>1649</v>
      </c>
      <c r="C58" s="43"/>
      <c r="D58" s="206">
        <v>0.7</v>
      </c>
      <c r="E58" s="207">
        <v>1.5</v>
      </c>
      <c r="F58" s="207">
        <v>3.3</v>
      </c>
      <c r="G58" s="207">
        <v>7.4</v>
      </c>
      <c r="H58" s="207">
        <v>14.8</v>
      </c>
      <c r="I58" s="208">
        <v>18.5</v>
      </c>
      <c r="J58" s="239"/>
      <c r="K58" s="171" t="s">
        <v>14</v>
      </c>
      <c r="L58" s="171"/>
      <c r="M58" s="171"/>
      <c r="N58" s="139" t="s">
        <v>17</v>
      </c>
      <c r="O58" s="68"/>
      <c r="P58" s="69"/>
      <c r="Q58" s="70"/>
      <c r="R58" s="71"/>
      <c r="S58" s="71">
        <f ca="1">SUBTOTAL(9,S52:S57)</f>
        <v>8203837</v>
      </c>
      <c r="T58" s="71"/>
      <c r="U58" s="71">
        <f ca="1">SUBTOTAL(9,U52:U57)</f>
        <v>8203837</v>
      </c>
      <c r="V58" s="71"/>
      <c r="W58" s="71"/>
      <c r="X58" s="71"/>
      <c r="Y58" s="71"/>
      <c r="Z58" s="68"/>
    </row>
    <row r="59" spans="1:26" ht="18" customHeight="1">
      <c r="B59" s="222" t="s">
        <v>426</v>
      </c>
      <c r="C59" s="47"/>
      <c r="D59" s="48">
        <f t="shared" ref="D59:I59" si="15">SUBTOTAL(9,D60:D63)</f>
        <v>8</v>
      </c>
      <c r="E59" s="49">
        <f t="shared" si="15"/>
        <v>8</v>
      </c>
      <c r="F59" s="49">
        <f t="shared" si="15"/>
        <v>8</v>
      </c>
      <c r="G59" s="49">
        <f t="shared" si="15"/>
        <v>16</v>
      </c>
      <c r="H59" s="49">
        <f t="shared" si="15"/>
        <v>16</v>
      </c>
      <c r="I59" s="50">
        <f t="shared" si="15"/>
        <v>16</v>
      </c>
      <c r="J59" s="287"/>
      <c r="K59" s="171" t="s">
        <v>14</v>
      </c>
      <c r="L59" s="171"/>
      <c r="M59" s="171"/>
      <c r="N59" s="318" t="str">
        <f ca="1">"제 " &amp; Z59 &amp; " 호표  "&amp; OFFSET($A$1,MATCH(Z59,$A:$A,0)-1,1)</f>
        <v>제 2 호표  1.2. 관련계획 및 사업</v>
      </c>
      <c r="O59" s="221"/>
      <c r="P59" s="148"/>
      <c r="Q59" s="148"/>
      <c r="R59" s="149"/>
      <c r="S59" s="149"/>
      <c r="T59" s="149"/>
      <c r="U59" s="149"/>
      <c r="V59" s="149"/>
      <c r="W59" s="149"/>
      <c r="X59" s="149"/>
      <c r="Y59" s="149"/>
      <c r="Z59" s="325">
        <f>Z51+1</f>
        <v>2</v>
      </c>
    </row>
    <row r="60" spans="1:26" ht="18" customHeight="1">
      <c r="A60" s="326">
        <v>16</v>
      </c>
      <c r="B60" s="223" t="s">
        <v>1650</v>
      </c>
      <c r="C60" s="23"/>
      <c r="D60" s="197">
        <f t="array" ref="D60:I63">ROUNDDOWN(D34:I37*L34:L37*I5,3)</f>
        <v>2</v>
      </c>
      <c r="E60" s="198">
        <v>2</v>
      </c>
      <c r="F60" s="198">
        <v>2</v>
      </c>
      <c r="G60" s="198">
        <v>4</v>
      </c>
      <c r="H60" s="198">
        <v>4</v>
      </c>
      <c r="I60" s="199">
        <v>4</v>
      </c>
      <c r="J60" s="74"/>
      <c r="K60" s="171" t="s">
        <v>14</v>
      </c>
      <c r="L60" s="171"/>
      <c r="M60" s="171"/>
      <c r="N60" s="140" t="s">
        <v>43</v>
      </c>
      <c r="O60" s="172">
        <v>3</v>
      </c>
      <c r="P60" s="219">
        <f ca="1">OFFSET($A$1,MATCH(Z59,$A:$A,0)-1,O60)</f>
        <v>0.3</v>
      </c>
      <c r="Q60" s="141" t="s">
        <v>29</v>
      </c>
      <c r="R60" s="142">
        <f t="shared" ref="R60:S65" ca="1" si="16">T60</f>
        <v>467217</v>
      </c>
      <c r="S60" s="142">
        <f t="shared" ca="1" si="16"/>
        <v>140165</v>
      </c>
      <c r="T60" s="142">
        <f ca="1">기술사</f>
        <v>467217</v>
      </c>
      <c r="U60" s="142">
        <f t="shared" ref="U60:U65" ca="1" si="17">ROUNDDOWN(P60*R60,0)</f>
        <v>140165</v>
      </c>
      <c r="V60" s="142"/>
      <c r="W60" s="142"/>
      <c r="X60" s="142"/>
      <c r="Y60" s="142"/>
      <c r="Z60" s="114"/>
    </row>
    <row r="61" spans="1:26" ht="18" customHeight="1">
      <c r="A61" s="326">
        <v>17</v>
      </c>
      <c r="B61" s="223" t="s">
        <v>1651</v>
      </c>
      <c r="C61" s="23"/>
      <c r="D61" s="197">
        <v>2</v>
      </c>
      <c r="E61" s="198">
        <v>2</v>
      </c>
      <c r="F61" s="198">
        <v>2</v>
      </c>
      <c r="G61" s="198">
        <v>4</v>
      </c>
      <c r="H61" s="198">
        <v>4</v>
      </c>
      <c r="I61" s="199">
        <v>4</v>
      </c>
      <c r="J61" s="74"/>
      <c r="K61" s="171" t="s">
        <v>14</v>
      </c>
      <c r="L61" s="171"/>
      <c r="M61" s="171"/>
      <c r="N61" s="143" t="s">
        <v>32</v>
      </c>
      <c r="O61" s="173">
        <v>4</v>
      </c>
      <c r="P61" s="234">
        <f ca="1">OFFSET($A$1,MATCH(Z59,$A:$A,0)-1,O61)</f>
        <v>0.7</v>
      </c>
      <c r="Q61" s="144" t="s">
        <v>29</v>
      </c>
      <c r="R61" s="118">
        <f t="shared" ca="1" si="16"/>
        <v>373353</v>
      </c>
      <c r="S61" s="118">
        <f t="shared" ca="1" si="16"/>
        <v>261347</v>
      </c>
      <c r="T61" s="118">
        <f ca="1">특급</f>
        <v>373353</v>
      </c>
      <c r="U61" s="118">
        <f t="shared" ca="1" si="17"/>
        <v>261347</v>
      </c>
      <c r="V61" s="118"/>
      <c r="W61" s="118"/>
      <c r="X61" s="118"/>
      <c r="Y61" s="118"/>
      <c r="Z61" s="115"/>
    </row>
    <row r="62" spans="1:26" ht="18" customHeight="1">
      <c r="A62" s="326">
        <v>18</v>
      </c>
      <c r="B62" s="223" t="s">
        <v>1652</v>
      </c>
      <c r="C62" s="23"/>
      <c r="D62" s="197">
        <v>2</v>
      </c>
      <c r="E62" s="198">
        <v>2</v>
      </c>
      <c r="F62" s="198">
        <v>2</v>
      </c>
      <c r="G62" s="198">
        <v>4</v>
      </c>
      <c r="H62" s="198">
        <v>4</v>
      </c>
      <c r="I62" s="199">
        <v>4</v>
      </c>
      <c r="J62" s="74"/>
      <c r="K62" s="171" t="s">
        <v>14</v>
      </c>
      <c r="L62" s="171"/>
      <c r="M62" s="171"/>
      <c r="N62" s="145" t="s">
        <v>39</v>
      </c>
      <c r="O62" s="173">
        <v>5</v>
      </c>
      <c r="P62" s="234">
        <f ca="1">OFFSET($A$1,MATCH(Z59,$A:$A,0)-1,O62)</f>
        <v>2.8</v>
      </c>
      <c r="Q62" s="144" t="s">
        <v>29</v>
      </c>
      <c r="R62" s="118">
        <f t="shared" ca="1" si="16"/>
        <v>310884</v>
      </c>
      <c r="S62" s="118">
        <f t="shared" ca="1" si="16"/>
        <v>870475</v>
      </c>
      <c r="T62" s="118">
        <f ca="1">고급</f>
        <v>310884</v>
      </c>
      <c r="U62" s="118">
        <f t="shared" ca="1" si="17"/>
        <v>870475</v>
      </c>
      <c r="V62" s="118"/>
      <c r="W62" s="118"/>
      <c r="X62" s="118"/>
      <c r="Y62" s="118"/>
      <c r="Z62" s="115"/>
    </row>
    <row r="63" spans="1:26" ht="18" customHeight="1" thickBot="1">
      <c r="A63" s="326">
        <v>19</v>
      </c>
      <c r="B63" s="388" t="s">
        <v>1653</v>
      </c>
      <c r="C63" s="342"/>
      <c r="D63" s="343">
        <v>2</v>
      </c>
      <c r="E63" s="344">
        <v>2</v>
      </c>
      <c r="F63" s="344">
        <v>2</v>
      </c>
      <c r="G63" s="344">
        <v>4</v>
      </c>
      <c r="H63" s="344">
        <v>4</v>
      </c>
      <c r="I63" s="345">
        <v>4</v>
      </c>
      <c r="J63" s="176"/>
      <c r="K63" s="171" t="s">
        <v>14</v>
      </c>
      <c r="L63" s="171"/>
      <c r="M63" s="171"/>
      <c r="N63" s="145" t="s">
        <v>40</v>
      </c>
      <c r="O63" s="173">
        <v>6</v>
      </c>
      <c r="P63" s="234">
        <f ca="1">OFFSET($A$1,MATCH(Z59,$A:$A,0)-1,O63)</f>
        <v>6.2</v>
      </c>
      <c r="Q63" s="144" t="s">
        <v>29</v>
      </c>
      <c r="R63" s="118">
        <f t="shared" ca="1" si="16"/>
        <v>295138</v>
      </c>
      <c r="S63" s="118">
        <f t="shared" ca="1" si="16"/>
        <v>1829855</v>
      </c>
      <c r="T63" s="118">
        <f ca="1">중급</f>
        <v>295138</v>
      </c>
      <c r="U63" s="118">
        <f t="shared" ca="1" si="17"/>
        <v>1829855</v>
      </c>
      <c r="V63" s="118"/>
      <c r="W63" s="118"/>
      <c r="X63" s="118"/>
      <c r="Y63" s="118"/>
      <c r="Z63" s="115"/>
    </row>
    <row r="64" spans="1:26" ht="18" customHeight="1">
      <c r="B64" s="80" t="s">
        <v>15</v>
      </c>
      <c r="C64" s="9" t="s">
        <v>1655</v>
      </c>
      <c r="K64" s="171" t="s">
        <v>14</v>
      </c>
      <c r="L64" s="171"/>
      <c r="M64" s="171"/>
      <c r="N64" s="145" t="s">
        <v>41</v>
      </c>
      <c r="O64" s="173">
        <v>7</v>
      </c>
      <c r="P64" s="234">
        <f ca="1">OFFSET($A$1,MATCH(Z59,$A:$A,0)-1,O64)</f>
        <v>9.4</v>
      </c>
      <c r="Q64" s="144" t="s">
        <v>29</v>
      </c>
      <c r="R64" s="118">
        <f t="shared" ca="1" si="16"/>
        <v>235459</v>
      </c>
      <c r="S64" s="118">
        <f t="shared" ca="1" si="16"/>
        <v>2213314</v>
      </c>
      <c r="T64" s="118">
        <f ca="1">초급</f>
        <v>235459</v>
      </c>
      <c r="U64" s="118">
        <f t="shared" ca="1" si="17"/>
        <v>2213314</v>
      </c>
      <c r="V64" s="118"/>
      <c r="W64" s="118"/>
      <c r="X64" s="118"/>
      <c r="Y64" s="118"/>
      <c r="Z64" s="115"/>
    </row>
    <row r="65" spans="3:26" ht="18" customHeight="1">
      <c r="C65" s="9" t="s">
        <v>1654</v>
      </c>
      <c r="K65" s="171" t="s">
        <v>14</v>
      </c>
      <c r="L65" s="171"/>
      <c r="M65" s="171"/>
      <c r="N65" s="319" t="s">
        <v>42</v>
      </c>
      <c r="O65" s="174">
        <v>8</v>
      </c>
      <c r="P65" s="235">
        <f ca="1">OFFSET($A$1,MATCH(Z59,$A:$A,0)-1,O65)</f>
        <v>11.7</v>
      </c>
      <c r="Q65" s="322" t="s">
        <v>29</v>
      </c>
      <c r="R65" s="323">
        <f t="shared" ca="1" si="16"/>
        <v>250087</v>
      </c>
      <c r="S65" s="323">
        <f t="shared" ca="1" si="16"/>
        <v>2926017</v>
      </c>
      <c r="T65" s="323">
        <f ca="1">보조원</f>
        <v>250087</v>
      </c>
      <c r="U65" s="323">
        <f t="shared" ca="1" si="17"/>
        <v>2926017</v>
      </c>
      <c r="V65" s="323"/>
      <c r="W65" s="323"/>
      <c r="X65" s="323"/>
      <c r="Y65" s="323"/>
      <c r="Z65" s="324"/>
    </row>
    <row r="66" spans="3:26" ht="18" customHeight="1">
      <c r="C66" s="9" t="s">
        <v>1656</v>
      </c>
      <c r="K66" s="171" t="s">
        <v>14</v>
      </c>
      <c r="L66" s="171"/>
      <c r="M66" s="171"/>
      <c r="N66" s="139" t="s">
        <v>17</v>
      </c>
      <c r="O66" s="68"/>
      <c r="P66" s="69"/>
      <c r="Q66" s="70"/>
      <c r="R66" s="71"/>
      <c r="S66" s="71">
        <f ca="1">SUBTOTAL(9,S60:S65)</f>
        <v>8241173</v>
      </c>
      <c r="T66" s="71"/>
      <c r="U66" s="71">
        <f ca="1">SUBTOTAL(9,U60:U65)</f>
        <v>8241173</v>
      </c>
      <c r="V66" s="71"/>
      <c r="W66" s="71"/>
      <c r="X66" s="71"/>
      <c r="Y66" s="71"/>
      <c r="Z66" s="68"/>
    </row>
    <row r="67" spans="3:26" ht="18" customHeight="1">
      <c r="C67" s="9" t="s">
        <v>1657</v>
      </c>
      <c r="K67" s="171" t="s">
        <v>14</v>
      </c>
      <c r="L67" s="171"/>
      <c r="M67" s="171"/>
      <c r="N67" s="318" t="str">
        <f ca="1">"제 " &amp; Z67 &amp; " 호표  "&amp; OFFSET($A$1,MATCH(Z67,$A:$A,0)-1,1)</f>
        <v>제 3 호표  1.3. 문제점 및 잠재력</v>
      </c>
      <c r="O67" s="221"/>
      <c r="P67" s="148"/>
      <c r="Q67" s="148"/>
      <c r="R67" s="149"/>
      <c r="S67" s="149"/>
      <c r="T67" s="149"/>
      <c r="U67" s="149"/>
      <c r="V67" s="149"/>
      <c r="W67" s="149"/>
      <c r="X67" s="149"/>
      <c r="Y67" s="149"/>
      <c r="Z67" s="325">
        <f>Z59+1</f>
        <v>3</v>
      </c>
    </row>
    <row r="68" spans="3:26" ht="18" customHeight="1">
      <c r="C68" s="9"/>
      <c r="K68" s="171" t="s">
        <v>14</v>
      </c>
      <c r="L68" s="171"/>
      <c r="M68" s="171"/>
      <c r="N68" s="140" t="s">
        <v>43</v>
      </c>
      <c r="O68" s="172">
        <v>3</v>
      </c>
      <c r="P68" s="219">
        <f ca="1">OFFSET($A$1,MATCH(Z67,$A:$A,0)-1,O68)</f>
        <v>0.4</v>
      </c>
      <c r="Q68" s="141" t="s">
        <v>29</v>
      </c>
      <c r="R68" s="142">
        <f t="shared" ref="R68:S73" ca="1" si="18">T68</f>
        <v>467217</v>
      </c>
      <c r="S68" s="142">
        <f t="shared" ca="1" si="18"/>
        <v>186886</v>
      </c>
      <c r="T68" s="142">
        <f ca="1">기술사</f>
        <v>467217</v>
      </c>
      <c r="U68" s="142">
        <f t="shared" ref="U68:U73" ca="1" si="19">ROUNDDOWN(P68*R68,0)</f>
        <v>186886</v>
      </c>
      <c r="V68" s="142"/>
      <c r="W68" s="142"/>
      <c r="X68" s="142"/>
      <c r="Y68" s="142"/>
      <c r="Z68" s="114"/>
    </row>
    <row r="69" spans="3:26" ht="18" customHeight="1">
      <c r="K69" s="171" t="s">
        <v>14</v>
      </c>
      <c r="L69" s="171"/>
      <c r="M69" s="171"/>
      <c r="N69" s="143" t="s">
        <v>32</v>
      </c>
      <c r="O69" s="173">
        <v>4</v>
      </c>
      <c r="P69" s="234">
        <f ca="1">OFFSET($A$1,MATCH(Z67,$A:$A,0)-1,O69)</f>
        <v>0.7</v>
      </c>
      <c r="Q69" s="144" t="s">
        <v>29</v>
      </c>
      <c r="R69" s="118">
        <f t="shared" ca="1" si="18"/>
        <v>373353</v>
      </c>
      <c r="S69" s="118">
        <f t="shared" ca="1" si="18"/>
        <v>261347</v>
      </c>
      <c r="T69" s="118">
        <f ca="1">특급</f>
        <v>373353</v>
      </c>
      <c r="U69" s="118">
        <f t="shared" ca="1" si="19"/>
        <v>261347</v>
      </c>
      <c r="V69" s="118"/>
      <c r="W69" s="118"/>
      <c r="X69" s="118"/>
      <c r="Y69" s="118"/>
      <c r="Z69" s="115"/>
    </row>
    <row r="70" spans="3:26" ht="18" customHeight="1">
      <c r="K70" s="171" t="s">
        <v>14</v>
      </c>
      <c r="L70" s="171"/>
      <c r="M70" s="171"/>
      <c r="N70" s="145" t="s">
        <v>39</v>
      </c>
      <c r="O70" s="173">
        <v>5</v>
      </c>
      <c r="P70" s="234">
        <f ca="1">OFFSET($A$1,MATCH(Z67,$A:$A,0)-1,O70)</f>
        <v>2.8</v>
      </c>
      <c r="Q70" s="144" t="s">
        <v>29</v>
      </c>
      <c r="R70" s="118">
        <f t="shared" ca="1" si="18"/>
        <v>310884</v>
      </c>
      <c r="S70" s="118">
        <f t="shared" ca="1" si="18"/>
        <v>870475</v>
      </c>
      <c r="T70" s="118">
        <f ca="1">고급</f>
        <v>310884</v>
      </c>
      <c r="U70" s="118">
        <f t="shared" ca="1" si="19"/>
        <v>870475</v>
      </c>
      <c r="V70" s="118"/>
      <c r="W70" s="118"/>
      <c r="X70" s="118"/>
      <c r="Y70" s="118"/>
      <c r="Z70" s="115"/>
    </row>
    <row r="71" spans="3:26" ht="18" customHeight="1">
      <c r="K71" s="171" t="s">
        <v>14</v>
      </c>
      <c r="L71" s="171"/>
      <c r="M71" s="171"/>
      <c r="N71" s="145" t="s">
        <v>40</v>
      </c>
      <c r="O71" s="173">
        <v>6</v>
      </c>
      <c r="P71" s="234">
        <f ca="1">OFFSET($A$1,MATCH(Z67,$A:$A,0)-1,O71)</f>
        <v>6.2</v>
      </c>
      <c r="Q71" s="144" t="s">
        <v>29</v>
      </c>
      <c r="R71" s="118">
        <f t="shared" ca="1" si="18"/>
        <v>295138</v>
      </c>
      <c r="S71" s="118">
        <f t="shared" ca="1" si="18"/>
        <v>1829855</v>
      </c>
      <c r="T71" s="118">
        <f ca="1">중급</f>
        <v>295138</v>
      </c>
      <c r="U71" s="118">
        <f t="shared" ca="1" si="19"/>
        <v>1829855</v>
      </c>
      <c r="V71" s="118"/>
      <c r="W71" s="118"/>
      <c r="X71" s="118"/>
      <c r="Y71" s="118"/>
      <c r="Z71" s="115"/>
    </row>
    <row r="72" spans="3:26" ht="18" customHeight="1">
      <c r="K72" s="171" t="s">
        <v>14</v>
      </c>
      <c r="L72" s="171"/>
      <c r="M72" s="171"/>
      <c r="N72" s="145" t="s">
        <v>41</v>
      </c>
      <c r="O72" s="173">
        <v>7</v>
      </c>
      <c r="P72" s="234">
        <f ca="1">OFFSET($A$1,MATCH(Z67,$A:$A,0)-1,O72)</f>
        <v>9.4</v>
      </c>
      <c r="Q72" s="144" t="s">
        <v>29</v>
      </c>
      <c r="R72" s="118">
        <f t="shared" ca="1" si="18"/>
        <v>235459</v>
      </c>
      <c r="S72" s="118">
        <f t="shared" ca="1" si="18"/>
        <v>2213314</v>
      </c>
      <c r="T72" s="118">
        <f ca="1">초급</f>
        <v>235459</v>
      </c>
      <c r="U72" s="118">
        <f t="shared" ca="1" si="19"/>
        <v>2213314</v>
      </c>
      <c r="V72" s="118"/>
      <c r="W72" s="118"/>
      <c r="X72" s="118"/>
      <c r="Y72" s="118"/>
      <c r="Z72" s="115"/>
    </row>
    <row r="73" spans="3:26" ht="18" customHeight="1">
      <c r="K73" s="171" t="s">
        <v>14</v>
      </c>
      <c r="L73" s="171"/>
      <c r="M73" s="171"/>
      <c r="N73" s="319" t="s">
        <v>42</v>
      </c>
      <c r="O73" s="174">
        <v>8</v>
      </c>
      <c r="P73" s="235">
        <f ca="1">OFFSET($A$1,MATCH(Z67,$A:$A,0)-1,O73)</f>
        <v>11.7</v>
      </c>
      <c r="Q73" s="322" t="s">
        <v>29</v>
      </c>
      <c r="R73" s="323">
        <f t="shared" ca="1" si="18"/>
        <v>250087</v>
      </c>
      <c r="S73" s="323">
        <f t="shared" ca="1" si="18"/>
        <v>2926017</v>
      </c>
      <c r="T73" s="323">
        <f ca="1">보조원</f>
        <v>250087</v>
      </c>
      <c r="U73" s="323">
        <f t="shared" ca="1" si="19"/>
        <v>2926017</v>
      </c>
      <c r="V73" s="323"/>
      <c r="W73" s="323"/>
      <c r="X73" s="323"/>
      <c r="Y73" s="323"/>
      <c r="Z73" s="324"/>
    </row>
    <row r="74" spans="3:26" ht="18" customHeight="1">
      <c r="K74" s="171" t="s">
        <v>14</v>
      </c>
      <c r="L74" s="171"/>
      <c r="M74" s="171"/>
      <c r="N74" s="139" t="s">
        <v>17</v>
      </c>
      <c r="O74" s="68"/>
      <c r="P74" s="69"/>
      <c r="Q74" s="70"/>
      <c r="R74" s="71"/>
      <c r="S74" s="71">
        <f ca="1">SUBTOTAL(9,S68:S73)</f>
        <v>8287894</v>
      </c>
      <c r="T74" s="71"/>
      <c r="U74" s="71">
        <f ca="1">SUBTOTAL(9,U68:U73)</f>
        <v>8287894</v>
      </c>
      <c r="V74" s="71"/>
      <c r="W74" s="71"/>
      <c r="X74" s="71"/>
      <c r="Y74" s="71"/>
      <c r="Z74" s="68"/>
    </row>
    <row r="75" spans="3:26" ht="18" customHeight="1">
      <c r="K75" s="171" t="s">
        <v>14</v>
      </c>
      <c r="L75" s="171"/>
      <c r="M75" s="171"/>
      <c r="N75" s="318" t="str">
        <f ca="1">"제 " &amp; Z75 &amp; " 호표  "&amp; OFFSET($A$1,MATCH(Z75,$A:$A,0)-1,1)</f>
        <v>제 4 호표  2.1. 정비목표 및 구현전략의 설정</v>
      </c>
      <c r="O75" s="221"/>
      <c r="P75" s="148"/>
      <c r="Q75" s="148"/>
      <c r="R75" s="149"/>
      <c r="S75" s="149"/>
      <c r="T75" s="149"/>
      <c r="U75" s="149"/>
      <c r="V75" s="149"/>
      <c r="W75" s="149"/>
      <c r="X75" s="149"/>
      <c r="Y75" s="149"/>
      <c r="Z75" s="325">
        <f>Z67+1</f>
        <v>4</v>
      </c>
    </row>
    <row r="76" spans="3:26" ht="18" customHeight="1">
      <c r="K76" s="171" t="s">
        <v>14</v>
      </c>
      <c r="L76" s="171"/>
      <c r="M76" s="171"/>
      <c r="N76" s="140" t="s">
        <v>43</v>
      </c>
      <c r="O76" s="172">
        <v>3</v>
      </c>
      <c r="P76" s="219">
        <f ca="1">OFFSET($A$1,MATCH(Z75,$A:$A,0)-1,O76)</f>
        <v>0.7</v>
      </c>
      <c r="Q76" s="141" t="s">
        <v>29</v>
      </c>
      <c r="R76" s="142">
        <f t="shared" ref="R76:S81" ca="1" si="20">T76</f>
        <v>467217</v>
      </c>
      <c r="S76" s="142">
        <f t="shared" ca="1" si="20"/>
        <v>327051</v>
      </c>
      <c r="T76" s="142">
        <f ca="1">기술사</f>
        <v>467217</v>
      </c>
      <c r="U76" s="142">
        <f t="shared" ref="U76:U81" ca="1" si="21">ROUNDDOWN(P76*R76,0)</f>
        <v>327051</v>
      </c>
      <c r="V76" s="142"/>
      <c r="W76" s="142"/>
      <c r="X76" s="142"/>
      <c r="Y76" s="142"/>
      <c r="Z76" s="114"/>
    </row>
    <row r="77" spans="3:26" ht="18" customHeight="1">
      <c r="K77" s="171" t="s">
        <v>14</v>
      </c>
      <c r="L77" s="171"/>
      <c r="M77" s="171"/>
      <c r="N77" s="143" t="s">
        <v>32</v>
      </c>
      <c r="O77" s="173">
        <v>4</v>
      </c>
      <c r="P77" s="234">
        <f ca="1">OFFSET($A$1,MATCH(Z75,$A:$A,0)-1,O77)</f>
        <v>1.3</v>
      </c>
      <c r="Q77" s="144" t="s">
        <v>29</v>
      </c>
      <c r="R77" s="118">
        <f t="shared" ca="1" si="20"/>
        <v>373353</v>
      </c>
      <c r="S77" s="118">
        <f t="shared" ca="1" si="20"/>
        <v>485358</v>
      </c>
      <c r="T77" s="118">
        <f ca="1">특급</f>
        <v>373353</v>
      </c>
      <c r="U77" s="118">
        <f t="shared" ca="1" si="21"/>
        <v>485358</v>
      </c>
      <c r="V77" s="118"/>
      <c r="W77" s="118"/>
      <c r="X77" s="118"/>
      <c r="Y77" s="118"/>
      <c r="Z77" s="115"/>
    </row>
    <row r="78" spans="3:26" ht="18" customHeight="1">
      <c r="K78" s="171" t="s">
        <v>14</v>
      </c>
      <c r="L78" s="171"/>
      <c r="M78" s="171"/>
      <c r="N78" s="145" t="s">
        <v>39</v>
      </c>
      <c r="O78" s="173">
        <v>5</v>
      </c>
      <c r="P78" s="234">
        <f ca="1">OFFSET($A$1,MATCH(Z75,$A:$A,0)-1,O78)</f>
        <v>1.7</v>
      </c>
      <c r="Q78" s="144" t="s">
        <v>29</v>
      </c>
      <c r="R78" s="118">
        <f t="shared" ca="1" si="20"/>
        <v>310884</v>
      </c>
      <c r="S78" s="118">
        <f t="shared" ca="1" si="20"/>
        <v>528502</v>
      </c>
      <c r="T78" s="118">
        <f ca="1">고급</f>
        <v>310884</v>
      </c>
      <c r="U78" s="118">
        <f t="shared" ca="1" si="21"/>
        <v>528502</v>
      </c>
      <c r="V78" s="118"/>
      <c r="W78" s="118"/>
      <c r="X78" s="118"/>
      <c r="Y78" s="118"/>
      <c r="Z78" s="115"/>
    </row>
    <row r="79" spans="3:26" ht="18" customHeight="1">
      <c r="K79" s="171" t="s">
        <v>14</v>
      </c>
      <c r="L79" s="171"/>
      <c r="M79" s="171"/>
      <c r="N79" s="145" t="s">
        <v>40</v>
      </c>
      <c r="O79" s="173">
        <v>6</v>
      </c>
      <c r="P79" s="234">
        <f ca="1">OFFSET($A$1,MATCH(Z75,$A:$A,0)-1,O79)</f>
        <v>2.5</v>
      </c>
      <c r="Q79" s="144" t="s">
        <v>29</v>
      </c>
      <c r="R79" s="118">
        <f t="shared" ca="1" si="20"/>
        <v>295138</v>
      </c>
      <c r="S79" s="118">
        <f t="shared" ca="1" si="20"/>
        <v>737845</v>
      </c>
      <c r="T79" s="118">
        <f ca="1">중급</f>
        <v>295138</v>
      </c>
      <c r="U79" s="118">
        <f t="shared" ca="1" si="21"/>
        <v>737845</v>
      </c>
      <c r="V79" s="118"/>
      <c r="W79" s="118"/>
      <c r="X79" s="118"/>
      <c r="Y79" s="118"/>
      <c r="Z79" s="115"/>
    </row>
    <row r="80" spans="3:26" ht="18" customHeight="1">
      <c r="K80" s="171" t="s">
        <v>14</v>
      </c>
      <c r="L80" s="171"/>
      <c r="M80" s="171"/>
      <c r="N80" s="145" t="s">
        <v>41</v>
      </c>
      <c r="O80" s="173">
        <v>7</v>
      </c>
      <c r="P80" s="234">
        <f ca="1">OFFSET($A$1,MATCH(Z75,$A:$A,0)-1,O80)</f>
        <v>2.7</v>
      </c>
      <c r="Q80" s="144" t="s">
        <v>29</v>
      </c>
      <c r="R80" s="118">
        <f t="shared" ca="1" si="20"/>
        <v>235459</v>
      </c>
      <c r="S80" s="118">
        <f t="shared" ca="1" si="20"/>
        <v>635739</v>
      </c>
      <c r="T80" s="118">
        <f ca="1">초급</f>
        <v>235459</v>
      </c>
      <c r="U80" s="118">
        <f t="shared" ca="1" si="21"/>
        <v>635739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319" t="s">
        <v>42</v>
      </c>
      <c r="O81" s="174">
        <v>8</v>
      </c>
      <c r="P81" s="235">
        <f ca="1">OFFSET($A$1,MATCH(Z75,$A:$A,0)-1,O81)</f>
        <v>3.6</v>
      </c>
      <c r="Q81" s="322" t="s">
        <v>29</v>
      </c>
      <c r="R81" s="323">
        <f t="shared" ca="1" si="20"/>
        <v>250087</v>
      </c>
      <c r="S81" s="323">
        <f t="shared" ca="1" si="20"/>
        <v>900313</v>
      </c>
      <c r="T81" s="323">
        <f ca="1">보조원</f>
        <v>250087</v>
      </c>
      <c r="U81" s="323">
        <f t="shared" ca="1" si="21"/>
        <v>900313</v>
      </c>
      <c r="V81" s="323"/>
      <c r="W81" s="323"/>
      <c r="X81" s="323"/>
      <c r="Y81" s="323"/>
      <c r="Z81" s="324"/>
    </row>
    <row r="82" spans="11:26" ht="18" customHeight="1">
      <c r="K82" s="171" t="s">
        <v>14</v>
      </c>
      <c r="L82" s="171"/>
      <c r="M82" s="171"/>
      <c r="N82" s="139" t="s">
        <v>17</v>
      </c>
      <c r="O82" s="68"/>
      <c r="P82" s="69"/>
      <c r="Q82" s="70"/>
      <c r="R82" s="71"/>
      <c r="S82" s="71">
        <f ca="1">SUBTOTAL(9,S76:S81)</f>
        <v>3614808</v>
      </c>
      <c r="T82" s="71"/>
      <c r="U82" s="71">
        <f ca="1">SUBTOTAL(9,U76:U81)</f>
        <v>3614808</v>
      </c>
      <c r="V82" s="71"/>
      <c r="W82" s="71"/>
      <c r="X82" s="71"/>
      <c r="Y82" s="71"/>
      <c r="Z82" s="68"/>
    </row>
    <row r="83" spans="11:26" ht="18" customHeight="1">
      <c r="K83" s="171" t="s">
        <v>14</v>
      </c>
      <c r="L83" s="171"/>
      <c r="M83" s="171"/>
      <c r="N83" s="318" t="str">
        <f ca="1">"제 " &amp; Z83 &amp; " 호표  "&amp; OFFSET($A$1,MATCH(Z83,$A:$A,0)-1,1)</f>
        <v>제 5 호표  2.2. 기본방향 및 지표설정</v>
      </c>
      <c r="O83" s="221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325">
        <f>Z75+1</f>
        <v>5</v>
      </c>
    </row>
    <row r="84" spans="11:26" ht="18" customHeight="1">
      <c r="K84" s="171" t="s">
        <v>14</v>
      </c>
      <c r="L84" s="171"/>
      <c r="M84" s="171"/>
      <c r="N84" s="140" t="s">
        <v>43</v>
      </c>
      <c r="O84" s="172">
        <v>3</v>
      </c>
      <c r="P84" s="219">
        <f ca="1">OFFSET($A$1,MATCH(Z83,$A:$A,0)-1,O84)</f>
        <v>0.8</v>
      </c>
      <c r="Q84" s="141" t="s">
        <v>29</v>
      </c>
      <c r="R84" s="142">
        <f t="shared" ref="R84:S89" ca="1" si="22">T84</f>
        <v>467217</v>
      </c>
      <c r="S84" s="142">
        <f t="shared" ca="1" si="22"/>
        <v>373773</v>
      </c>
      <c r="T84" s="142">
        <f ca="1">기술사</f>
        <v>467217</v>
      </c>
      <c r="U84" s="142">
        <f t="shared" ref="U84:U89" ca="1" si="23">ROUNDDOWN(P84*R84,0)</f>
        <v>373773</v>
      </c>
      <c r="V84" s="142"/>
      <c r="W84" s="142"/>
      <c r="X84" s="142"/>
      <c r="Y84" s="142"/>
      <c r="Z84" s="114"/>
    </row>
    <row r="85" spans="11:26" ht="18" customHeight="1">
      <c r="K85" s="171" t="s">
        <v>14</v>
      </c>
      <c r="L85" s="171"/>
      <c r="M85" s="171"/>
      <c r="N85" s="143" t="s">
        <v>32</v>
      </c>
      <c r="O85" s="173">
        <v>4</v>
      </c>
      <c r="P85" s="234">
        <f ca="1">OFFSET($A$1,MATCH(Z83,$A:$A,0)-1,O85)</f>
        <v>1.4</v>
      </c>
      <c r="Q85" s="144" t="s">
        <v>29</v>
      </c>
      <c r="R85" s="118">
        <f t="shared" ca="1" si="22"/>
        <v>373353</v>
      </c>
      <c r="S85" s="118">
        <f t="shared" ca="1" si="22"/>
        <v>522694</v>
      </c>
      <c r="T85" s="118">
        <f ca="1">특급</f>
        <v>373353</v>
      </c>
      <c r="U85" s="118">
        <f t="shared" ca="1" si="23"/>
        <v>522694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145" t="s">
        <v>39</v>
      </c>
      <c r="O86" s="173">
        <v>5</v>
      </c>
      <c r="P86" s="234">
        <f ca="1">OFFSET($A$1,MATCH(Z83,$A:$A,0)-1,O86)</f>
        <v>1.9</v>
      </c>
      <c r="Q86" s="144" t="s">
        <v>29</v>
      </c>
      <c r="R86" s="118">
        <f t="shared" ca="1" si="22"/>
        <v>310884</v>
      </c>
      <c r="S86" s="118">
        <f t="shared" ca="1" si="22"/>
        <v>590679</v>
      </c>
      <c r="T86" s="118">
        <f ca="1">고급</f>
        <v>310884</v>
      </c>
      <c r="U86" s="118">
        <f t="shared" ca="1" si="23"/>
        <v>590679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40</v>
      </c>
      <c r="O87" s="173">
        <v>6</v>
      </c>
      <c r="P87" s="234">
        <f ca="1">OFFSET($A$1,MATCH(Z83,$A:$A,0)-1,O87)</f>
        <v>2.7</v>
      </c>
      <c r="Q87" s="144" t="s">
        <v>29</v>
      </c>
      <c r="R87" s="118">
        <f t="shared" ca="1" si="22"/>
        <v>295138</v>
      </c>
      <c r="S87" s="118">
        <f t="shared" ca="1" si="22"/>
        <v>796872</v>
      </c>
      <c r="T87" s="118">
        <f ca="1">중급</f>
        <v>295138</v>
      </c>
      <c r="U87" s="118">
        <f t="shared" ca="1" si="23"/>
        <v>796872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41</v>
      </c>
      <c r="O88" s="173">
        <v>7</v>
      </c>
      <c r="P88" s="234">
        <f ca="1">OFFSET($A$1,MATCH(Z83,$A:$A,0)-1,O88)</f>
        <v>3.3</v>
      </c>
      <c r="Q88" s="144" t="s">
        <v>29</v>
      </c>
      <c r="R88" s="118">
        <f t="shared" ca="1" si="22"/>
        <v>235459</v>
      </c>
      <c r="S88" s="118">
        <f t="shared" ca="1" si="22"/>
        <v>777014</v>
      </c>
      <c r="T88" s="118">
        <f ca="1">초급</f>
        <v>235459</v>
      </c>
      <c r="U88" s="118">
        <f t="shared" ca="1" si="23"/>
        <v>777014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319" t="s">
        <v>42</v>
      </c>
      <c r="O89" s="174">
        <v>8</v>
      </c>
      <c r="P89" s="235">
        <f ca="1">OFFSET($A$1,MATCH(Z83,$A:$A,0)-1,O89)</f>
        <v>4.4000000000000004</v>
      </c>
      <c r="Q89" s="322" t="s">
        <v>29</v>
      </c>
      <c r="R89" s="323">
        <f t="shared" ca="1" si="22"/>
        <v>250087</v>
      </c>
      <c r="S89" s="323">
        <f t="shared" ca="1" si="22"/>
        <v>1100382</v>
      </c>
      <c r="T89" s="323">
        <f ca="1">보조원</f>
        <v>250087</v>
      </c>
      <c r="U89" s="323">
        <f t="shared" ca="1" si="23"/>
        <v>1100382</v>
      </c>
      <c r="V89" s="323"/>
      <c r="W89" s="323"/>
      <c r="X89" s="323"/>
      <c r="Y89" s="323"/>
      <c r="Z89" s="324"/>
    </row>
    <row r="90" spans="11:26" ht="18" customHeight="1">
      <c r="K90" s="171" t="s">
        <v>14</v>
      </c>
      <c r="L90" s="171"/>
      <c r="M90" s="171"/>
      <c r="N90" s="139" t="s">
        <v>17</v>
      </c>
      <c r="O90" s="68"/>
      <c r="P90" s="69"/>
      <c r="Q90" s="70"/>
      <c r="R90" s="71"/>
      <c r="S90" s="71">
        <f ca="1">SUBTOTAL(9,S84:S89)</f>
        <v>4161414</v>
      </c>
      <c r="T90" s="71"/>
      <c r="U90" s="71">
        <f ca="1">SUBTOTAL(9,U84:U89)</f>
        <v>4161414</v>
      </c>
      <c r="V90" s="71"/>
      <c r="W90" s="71"/>
      <c r="X90" s="71"/>
      <c r="Y90" s="71"/>
      <c r="Z90" s="68"/>
    </row>
    <row r="91" spans="11:26" ht="18" customHeight="1">
      <c r="K91" s="171" t="s">
        <v>14</v>
      </c>
      <c r="L91" s="171"/>
      <c r="M91" s="171"/>
      <c r="N91" s="318" t="str">
        <f ca="1">"제 " &amp; Z91 &amp; " 호표  "&amp; OFFSET($A$1,MATCH(Z91,$A:$A,0)-1,1)</f>
        <v>제 6 호표  3.1. 마스터플랜 수립</v>
      </c>
      <c r="O91" s="221"/>
      <c r="P91" s="148"/>
      <c r="Q91" s="148"/>
      <c r="R91" s="149"/>
      <c r="S91" s="149"/>
      <c r="T91" s="149"/>
      <c r="U91" s="149"/>
      <c r="V91" s="149"/>
      <c r="W91" s="149"/>
      <c r="X91" s="149"/>
      <c r="Y91" s="149"/>
      <c r="Z91" s="325">
        <f>Z83+1</f>
        <v>6</v>
      </c>
    </row>
    <row r="92" spans="11:26" ht="18" customHeight="1">
      <c r="K92" s="171" t="s">
        <v>14</v>
      </c>
      <c r="L92" s="171"/>
      <c r="M92" s="171"/>
      <c r="N92" s="140" t="s">
        <v>43</v>
      </c>
      <c r="O92" s="172">
        <v>3</v>
      </c>
      <c r="P92" s="219">
        <f ca="1">OFFSET($A$1,MATCH(Z91,$A:$A,0)-1,O92)</f>
        <v>0.4</v>
      </c>
      <c r="Q92" s="141" t="s">
        <v>29</v>
      </c>
      <c r="R92" s="142">
        <f t="shared" ref="R92:S97" ca="1" si="24">T92</f>
        <v>467217</v>
      </c>
      <c r="S92" s="142">
        <f t="shared" ca="1" si="24"/>
        <v>186886</v>
      </c>
      <c r="T92" s="142">
        <f ca="1">기술사</f>
        <v>467217</v>
      </c>
      <c r="U92" s="142">
        <f t="shared" ref="U92:U97" ca="1" si="25">ROUNDDOWN(P92*R92,0)</f>
        <v>186886</v>
      </c>
      <c r="V92" s="142"/>
      <c r="W92" s="142"/>
      <c r="X92" s="142"/>
      <c r="Y92" s="142"/>
      <c r="Z92" s="114"/>
    </row>
    <row r="93" spans="11:26" ht="18" customHeight="1">
      <c r="K93" s="171" t="s">
        <v>14</v>
      </c>
      <c r="L93" s="171"/>
      <c r="M93" s="171"/>
      <c r="N93" s="143" t="s">
        <v>32</v>
      </c>
      <c r="O93" s="173">
        <v>4</v>
      </c>
      <c r="P93" s="234">
        <f ca="1">OFFSET($A$1,MATCH(Z91,$A:$A,0)-1,O93)</f>
        <v>1.1000000000000001</v>
      </c>
      <c r="Q93" s="144" t="s">
        <v>29</v>
      </c>
      <c r="R93" s="118">
        <f t="shared" ca="1" si="24"/>
        <v>373353</v>
      </c>
      <c r="S93" s="118">
        <f t="shared" ca="1" si="24"/>
        <v>410688</v>
      </c>
      <c r="T93" s="118">
        <f ca="1">특급</f>
        <v>373353</v>
      </c>
      <c r="U93" s="118">
        <f t="shared" ca="1" si="25"/>
        <v>410688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145" t="s">
        <v>39</v>
      </c>
      <c r="O94" s="173">
        <v>5</v>
      </c>
      <c r="P94" s="234">
        <f ca="1">OFFSET($A$1,MATCH(Z91,$A:$A,0)-1,O94)</f>
        <v>3.4</v>
      </c>
      <c r="Q94" s="144" t="s">
        <v>29</v>
      </c>
      <c r="R94" s="118">
        <f t="shared" ca="1" si="24"/>
        <v>310884</v>
      </c>
      <c r="S94" s="118">
        <f t="shared" ca="1" si="24"/>
        <v>1057005</v>
      </c>
      <c r="T94" s="118">
        <f ca="1">고급</f>
        <v>310884</v>
      </c>
      <c r="U94" s="118">
        <f t="shared" ca="1" si="25"/>
        <v>1057005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40</v>
      </c>
      <c r="O95" s="173">
        <v>6</v>
      </c>
      <c r="P95" s="234">
        <f ca="1">OFFSET($A$1,MATCH(Z91,$A:$A,0)-1,O95)</f>
        <v>7.3</v>
      </c>
      <c r="Q95" s="144" t="s">
        <v>29</v>
      </c>
      <c r="R95" s="118">
        <f t="shared" ca="1" si="24"/>
        <v>295138</v>
      </c>
      <c r="S95" s="118">
        <f t="shared" ca="1" si="24"/>
        <v>2154507</v>
      </c>
      <c r="T95" s="118">
        <f ca="1">중급</f>
        <v>295138</v>
      </c>
      <c r="U95" s="118">
        <f t="shared" ca="1" si="25"/>
        <v>2154507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41</v>
      </c>
      <c r="O96" s="173">
        <v>7</v>
      </c>
      <c r="P96" s="234">
        <f ca="1">OFFSET($A$1,MATCH(Z91,$A:$A,0)-1,O96)</f>
        <v>8.6</v>
      </c>
      <c r="Q96" s="144" t="s">
        <v>29</v>
      </c>
      <c r="R96" s="118">
        <f t="shared" ca="1" si="24"/>
        <v>235459</v>
      </c>
      <c r="S96" s="118">
        <f t="shared" ca="1" si="24"/>
        <v>2024947</v>
      </c>
      <c r="T96" s="118">
        <f ca="1">초급</f>
        <v>235459</v>
      </c>
      <c r="U96" s="118">
        <f t="shared" ca="1" si="25"/>
        <v>2024947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319" t="s">
        <v>42</v>
      </c>
      <c r="O97" s="174">
        <v>8</v>
      </c>
      <c r="P97" s="235">
        <f ca="1">OFFSET($A$1,MATCH(Z91,$A:$A,0)-1,O97)</f>
        <v>7.4</v>
      </c>
      <c r="Q97" s="322" t="s">
        <v>29</v>
      </c>
      <c r="R97" s="323">
        <f t="shared" ca="1" si="24"/>
        <v>250087</v>
      </c>
      <c r="S97" s="323">
        <f t="shared" ca="1" si="24"/>
        <v>1850643</v>
      </c>
      <c r="T97" s="323">
        <f ca="1">보조원</f>
        <v>250087</v>
      </c>
      <c r="U97" s="323">
        <f t="shared" ca="1" si="25"/>
        <v>1850643</v>
      </c>
      <c r="V97" s="323"/>
      <c r="W97" s="323"/>
      <c r="X97" s="323"/>
      <c r="Y97" s="323"/>
      <c r="Z97" s="324"/>
    </row>
    <row r="98" spans="11:26" ht="18" customHeight="1">
      <c r="K98" s="171" t="s">
        <v>14</v>
      </c>
      <c r="L98" s="171"/>
      <c r="M98" s="171"/>
      <c r="N98" s="139" t="s">
        <v>17</v>
      </c>
      <c r="O98" s="68"/>
      <c r="P98" s="69"/>
      <c r="Q98" s="70"/>
      <c r="R98" s="71"/>
      <c r="S98" s="71">
        <f ca="1">SUBTOTAL(9,S92:S97)</f>
        <v>7684676</v>
      </c>
      <c r="T98" s="71"/>
      <c r="U98" s="71">
        <f ca="1">SUBTOTAL(9,U92:U97)</f>
        <v>7684676</v>
      </c>
      <c r="V98" s="71"/>
      <c r="W98" s="71"/>
      <c r="X98" s="71"/>
      <c r="Y98" s="71"/>
      <c r="Z98" s="68"/>
    </row>
    <row r="99" spans="11:26" ht="18" customHeight="1">
      <c r="K99" s="171" t="s">
        <v>14</v>
      </c>
      <c r="L99" s="171"/>
      <c r="M99" s="171"/>
      <c r="N99" s="318" t="str">
        <f ca="1">"제 " &amp; Z99 &amp; " 호표  "&amp; OFFSET($A$1,MATCH(Z99,$A:$A,0)-1,1)</f>
        <v>제 7 호표  3.2. 사업추진계획</v>
      </c>
      <c r="O99" s="221"/>
      <c r="P99" s="148"/>
      <c r="Q99" s="148"/>
      <c r="R99" s="149"/>
      <c r="S99" s="149"/>
      <c r="T99" s="149"/>
      <c r="U99" s="149"/>
      <c r="V99" s="149"/>
      <c r="W99" s="149"/>
      <c r="X99" s="149"/>
      <c r="Y99" s="149"/>
      <c r="Z99" s="325">
        <f>Z91+1</f>
        <v>7</v>
      </c>
    </row>
    <row r="100" spans="11:26" ht="18" customHeight="1">
      <c r="K100" s="171" t="s">
        <v>14</v>
      </c>
      <c r="L100" s="171"/>
      <c r="M100" s="171"/>
      <c r="N100" s="140" t="s">
        <v>43</v>
      </c>
      <c r="O100" s="172">
        <v>3</v>
      </c>
      <c r="P100" s="219">
        <f ca="1">OFFSET($A$1,MATCH(Z99,$A:$A,0)-1,O100)</f>
        <v>0.3</v>
      </c>
      <c r="Q100" s="141" t="s">
        <v>29</v>
      </c>
      <c r="R100" s="142">
        <f t="shared" ref="R100:S105" ca="1" si="26">T100</f>
        <v>467217</v>
      </c>
      <c r="S100" s="142">
        <f t="shared" ca="1" si="26"/>
        <v>140165</v>
      </c>
      <c r="T100" s="142">
        <f ca="1">기술사</f>
        <v>467217</v>
      </c>
      <c r="U100" s="142">
        <f t="shared" ref="U100:U105" ca="1" si="27">ROUNDDOWN(P100*R100,0)</f>
        <v>140165</v>
      </c>
      <c r="V100" s="142"/>
      <c r="W100" s="142"/>
      <c r="X100" s="142"/>
      <c r="Y100" s="142"/>
      <c r="Z100" s="114"/>
    </row>
    <row r="101" spans="11:26" ht="18" customHeight="1">
      <c r="K101" s="171" t="s">
        <v>14</v>
      </c>
      <c r="L101" s="171"/>
      <c r="M101" s="171"/>
      <c r="N101" s="143" t="s">
        <v>32</v>
      </c>
      <c r="O101" s="173">
        <v>4</v>
      </c>
      <c r="P101" s="234">
        <f ca="1">OFFSET($A$1,MATCH(Z99,$A:$A,0)-1,O101)</f>
        <v>1.1000000000000001</v>
      </c>
      <c r="Q101" s="144" t="s">
        <v>29</v>
      </c>
      <c r="R101" s="118">
        <f t="shared" ca="1" si="26"/>
        <v>373353</v>
      </c>
      <c r="S101" s="118">
        <f t="shared" ca="1" si="26"/>
        <v>410688</v>
      </c>
      <c r="T101" s="118">
        <f ca="1">특급</f>
        <v>373353</v>
      </c>
      <c r="U101" s="118">
        <f t="shared" ca="1" si="27"/>
        <v>410688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145" t="s">
        <v>39</v>
      </c>
      <c r="O102" s="173">
        <v>5</v>
      </c>
      <c r="P102" s="234">
        <f ca="1">OFFSET($A$1,MATCH(Z99,$A:$A,0)-1,O102)</f>
        <v>3.4</v>
      </c>
      <c r="Q102" s="144" t="s">
        <v>29</v>
      </c>
      <c r="R102" s="118">
        <f t="shared" ca="1" si="26"/>
        <v>310884</v>
      </c>
      <c r="S102" s="118">
        <f t="shared" ca="1" si="26"/>
        <v>1057005</v>
      </c>
      <c r="T102" s="118">
        <f ca="1">고급</f>
        <v>310884</v>
      </c>
      <c r="U102" s="118">
        <f t="shared" ca="1" si="27"/>
        <v>1057005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40</v>
      </c>
      <c r="O103" s="173">
        <v>6</v>
      </c>
      <c r="P103" s="234">
        <f ca="1">OFFSET($A$1,MATCH(Z99,$A:$A,0)-1,O103)</f>
        <v>7.3</v>
      </c>
      <c r="Q103" s="144" t="s">
        <v>29</v>
      </c>
      <c r="R103" s="118">
        <f t="shared" ca="1" si="26"/>
        <v>295138</v>
      </c>
      <c r="S103" s="118">
        <f t="shared" ca="1" si="26"/>
        <v>2154507</v>
      </c>
      <c r="T103" s="118">
        <f ca="1">중급</f>
        <v>295138</v>
      </c>
      <c r="U103" s="118">
        <f t="shared" ca="1" si="27"/>
        <v>2154507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41</v>
      </c>
      <c r="O104" s="173">
        <v>7</v>
      </c>
      <c r="P104" s="234">
        <f ca="1">OFFSET($A$1,MATCH(Z99,$A:$A,0)-1,O104)</f>
        <v>8.6</v>
      </c>
      <c r="Q104" s="144" t="s">
        <v>29</v>
      </c>
      <c r="R104" s="118">
        <f t="shared" ca="1" si="26"/>
        <v>235459</v>
      </c>
      <c r="S104" s="118">
        <f t="shared" ca="1" si="26"/>
        <v>2024947</v>
      </c>
      <c r="T104" s="118">
        <f ca="1">초급</f>
        <v>235459</v>
      </c>
      <c r="U104" s="118">
        <f t="shared" ca="1" si="27"/>
        <v>2024947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319" t="s">
        <v>42</v>
      </c>
      <c r="O105" s="174">
        <v>8</v>
      </c>
      <c r="P105" s="235">
        <f ca="1">OFFSET($A$1,MATCH(Z99,$A:$A,0)-1,O105)</f>
        <v>7.4</v>
      </c>
      <c r="Q105" s="322" t="s">
        <v>29</v>
      </c>
      <c r="R105" s="323">
        <f t="shared" ca="1" si="26"/>
        <v>250087</v>
      </c>
      <c r="S105" s="323">
        <f t="shared" ca="1" si="26"/>
        <v>1850643</v>
      </c>
      <c r="T105" s="323">
        <f ca="1">보조원</f>
        <v>250087</v>
      </c>
      <c r="U105" s="323">
        <f t="shared" ca="1" si="27"/>
        <v>1850643</v>
      </c>
      <c r="V105" s="323"/>
      <c r="W105" s="323"/>
      <c r="X105" s="323"/>
      <c r="Y105" s="323"/>
      <c r="Z105" s="324"/>
    </row>
    <row r="106" spans="11:26" ht="18" customHeight="1">
      <c r="K106" s="171" t="s">
        <v>14</v>
      </c>
      <c r="L106" s="171"/>
      <c r="M106" s="171"/>
      <c r="N106" s="139" t="s">
        <v>17</v>
      </c>
      <c r="O106" s="68"/>
      <c r="P106" s="69"/>
      <c r="Q106" s="70"/>
      <c r="R106" s="71"/>
      <c r="S106" s="71">
        <f ca="1">SUBTOTAL(9,S100:S105)</f>
        <v>7637955</v>
      </c>
      <c r="T106" s="71"/>
      <c r="U106" s="71">
        <f ca="1">SUBTOTAL(9,U100:U105)</f>
        <v>7637955</v>
      </c>
      <c r="V106" s="71"/>
      <c r="W106" s="71"/>
      <c r="X106" s="71"/>
      <c r="Y106" s="71"/>
      <c r="Z106" s="68"/>
    </row>
    <row r="107" spans="11:26" ht="18" customHeight="1">
      <c r="K107" s="171" t="s">
        <v>14</v>
      </c>
      <c r="L107" s="171"/>
      <c r="M107" s="171"/>
      <c r="N107" s="318" t="str">
        <f ca="1">"제 " &amp; Z107 &amp; " 호표  "&amp; OFFSET($A$1,MATCH(Z107,$A:$A,0)-1,1)</f>
        <v>제 8 호표  3.3. 단계별 시행계획</v>
      </c>
      <c r="O107" s="221"/>
      <c r="P107" s="148"/>
      <c r="Q107" s="148"/>
      <c r="R107" s="149"/>
      <c r="S107" s="149"/>
      <c r="T107" s="149"/>
      <c r="U107" s="149"/>
      <c r="V107" s="149"/>
      <c r="W107" s="149"/>
      <c r="X107" s="149"/>
      <c r="Y107" s="149"/>
      <c r="Z107" s="325">
        <f>Z99+1</f>
        <v>8</v>
      </c>
    </row>
    <row r="108" spans="11:26" ht="18" customHeight="1">
      <c r="K108" s="171" t="s">
        <v>14</v>
      </c>
      <c r="L108" s="171"/>
      <c r="M108" s="171"/>
      <c r="N108" s="140" t="s">
        <v>43</v>
      </c>
      <c r="O108" s="172">
        <v>3</v>
      </c>
      <c r="P108" s="219">
        <f ca="1">OFFSET($A$1,MATCH(Z107,$A:$A,0)-1,O108)</f>
        <v>0.3</v>
      </c>
      <c r="Q108" s="141" t="s">
        <v>29</v>
      </c>
      <c r="R108" s="142">
        <f t="shared" ref="R108:S113" ca="1" si="28">T108</f>
        <v>467217</v>
      </c>
      <c r="S108" s="142">
        <f t="shared" ca="1" si="28"/>
        <v>140165</v>
      </c>
      <c r="T108" s="142">
        <f ca="1">기술사</f>
        <v>467217</v>
      </c>
      <c r="U108" s="142">
        <f t="shared" ref="U108:U113" ca="1" si="29">ROUNDDOWN(P108*R108,0)</f>
        <v>140165</v>
      </c>
      <c r="V108" s="142"/>
      <c r="W108" s="142"/>
      <c r="X108" s="142"/>
      <c r="Y108" s="142"/>
      <c r="Z108" s="114"/>
    </row>
    <row r="109" spans="11:26" ht="18" customHeight="1">
      <c r="K109" s="171" t="s">
        <v>14</v>
      </c>
      <c r="L109" s="171"/>
      <c r="M109" s="171"/>
      <c r="N109" s="143" t="s">
        <v>32</v>
      </c>
      <c r="O109" s="173">
        <v>4</v>
      </c>
      <c r="P109" s="234">
        <f ca="1">OFFSET($A$1,MATCH(Z107,$A:$A,0)-1,O109)</f>
        <v>1.1000000000000001</v>
      </c>
      <c r="Q109" s="144" t="s">
        <v>29</v>
      </c>
      <c r="R109" s="118">
        <f t="shared" ca="1" si="28"/>
        <v>373353</v>
      </c>
      <c r="S109" s="118">
        <f t="shared" ca="1" si="28"/>
        <v>410688</v>
      </c>
      <c r="T109" s="118">
        <f ca="1">특급</f>
        <v>373353</v>
      </c>
      <c r="U109" s="118">
        <f t="shared" ca="1" si="29"/>
        <v>410688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39</v>
      </c>
      <c r="O110" s="173">
        <v>5</v>
      </c>
      <c r="P110" s="234">
        <f ca="1">OFFSET($A$1,MATCH(Z107,$A:$A,0)-1,O110)</f>
        <v>3.4</v>
      </c>
      <c r="Q110" s="144" t="s">
        <v>29</v>
      </c>
      <c r="R110" s="118">
        <f t="shared" ca="1" si="28"/>
        <v>310884</v>
      </c>
      <c r="S110" s="118">
        <f t="shared" ca="1" si="28"/>
        <v>1057005</v>
      </c>
      <c r="T110" s="118">
        <f ca="1">고급</f>
        <v>310884</v>
      </c>
      <c r="U110" s="118">
        <f t="shared" ca="1" si="29"/>
        <v>1057005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40</v>
      </c>
      <c r="O111" s="173">
        <v>6</v>
      </c>
      <c r="P111" s="234">
        <f ca="1">OFFSET($A$1,MATCH(Z107,$A:$A,0)-1,O111)</f>
        <v>7.3</v>
      </c>
      <c r="Q111" s="144" t="s">
        <v>29</v>
      </c>
      <c r="R111" s="118">
        <f t="shared" ca="1" si="28"/>
        <v>295138</v>
      </c>
      <c r="S111" s="118">
        <f t="shared" ca="1" si="28"/>
        <v>2154507</v>
      </c>
      <c r="T111" s="118">
        <f ca="1">중급</f>
        <v>295138</v>
      </c>
      <c r="U111" s="118">
        <f t="shared" ca="1" si="29"/>
        <v>2154507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41</v>
      </c>
      <c r="O112" s="173">
        <v>7</v>
      </c>
      <c r="P112" s="234">
        <f ca="1">OFFSET($A$1,MATCH(Z107,$A:$A,0)-1,O112)</f>
        <v>8.6</v>
      </c>
      <c r="Q112" s="144" t="s">
        <v>29</v>
      </c>
      <c r="R112" s="118">
        <f t="shared" ca="1" si="28"/>
        <v>235459</v>
      </c>
      <c r="S112" s="118">
        <f t="shared" ca="1" si="28"/>
        <v>2024947</v>
      </c>
      <c r="T112" s="118">
        <f ca="1">초급</f>
        <v>235459</v>
      </c>
      <c r="U112" s="118">
        <f t="shared" ca="1" si="29"/>
        <v>2024947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319" t="s">
        <v>42</v>
      </c>
      <c r="O113" s="174">
        <v>8</v>
      </c>
      <c r="P113" s="235">
        <f ca="1">OFFSET($A$1,MATCH(Z107,$A:$A,0)-1,O113)</f>
        <v>7.4</v>
      </c>
      <c r="Q113" s="322" t="s">
        <v>29</v>
      </c>
      <c r="R113" s="323">
        <f t="shared" ca="1" si="28"/>
        <v>250087</v>
      </c>
      <c r="S113" s="323">
        <f t="shared" ca="1" si="28"/>
        <v>1850643</v>
      </c>
      <c r="T113" s="323">
        <f ca="1">보조원</f>
        <v>250087</v>
      </c>
      <c r="U113" s="323">
        <f t="shared" ca="1" si="29"/>
        <v>1850643</v>
      </c>
      <c r="V113" s="323"/>
      <c r="W113" s="323"/>
      <c r="X113" s="323"/>
      <c r="Y113" s="323"/>
      <c r="Z113" s="324"/>
    </row>
    <row r="114" spans="11:26" ht="18" customHeight="1">
      <c r="K114" s="171" t="s">
        <v>14</v>
      </c>
      <c r="L114" s="171"/>
      <c r="M114" s="171"/>
      <c r="N114" s="139" t="s">
        <v>17</v>
      </c>
      <c r="O114" s="68"/>
      <c r="P114" s="69"/>
      <c r="Q114" s="70"/>
      <c r="R114" s="71"/>
      <c r="S114" s="71">
        <f ca="1">SUBTOTAL(9,S108:S113)</f>
        <v>7637955</v>
      </c>
      <c r="T114" s="71"/>
      <c r="U114" s="71">
        <f ca="1">SUBTOTAL(9,U108:U113)</f>
        <v>7637955</v>
      </c>
      <c r="V114" s="71"/>
      <c r="W114" s="71"/>
      <c r="X114" s="71"/>
      <c r="Y114" s="71"/>
      <c r="Z114" s="68"/>
    </row>
    <row r="115" spans="11:26" ht="18" customHeight="1">
      <c r="K115" s="171" t="s">
        <v>14</v>
      </c>
      <c r="L115" s="171"/>
      <c r="M115" s="171"/>
      <c r="N115" s="318" t="str">
        <f ca="1">"제 " &amp; Z115 &amp; " 호표  "&amp; OFFSET($A$1,MATCH(Z115,$A:$A,0)-1,1)</f>
        <v>제 9 호표  4.1. 주민의견 수렴</v>
      </c>
      <c r="O115" s="221"/>
      <c r="P115" s="148"/>
      <c r="Q115" s="148"/>
      <c r="R115" s="149"/>
      <c r="S115" s="149"/>
      <c r="T115" s="149"/>
      <c r="U115" s="149"/>
      <c r="V115" s="149"/>
      <c r="W115" s="149"/>
      <c r="X115" s="149"/>
      <c r="Y115" s="149"/>
      <c r="Z115" s="325">
        <f>Z107+1</f>
        <v>9</v>
      </c>
    </row>
    <row r="116" spans="11:26" ht="18" customHeight="1">
      <c r="K116" s="171" t="s">
        <v>14</v>
      </c>
      <c r="L116" s="171"/>
      <c r="M116" s="171"/>
      <c r="N116" s="140" t="s">
        <v>43</v>
      </c>
      <c r="O116" s="172">
        <v>3</v>
      </c>
      <c r="P116" s="219">
        <f ca="1">OFFSET($A$1,MATCH(Z115,$A:$A,0)-1,O116)</f>
        <v>0.1</v>
      </c>
      <c r="Q116" s="141" t="s">
        <v>29</v>
      </c>
      <c r="R116" s="142">
        <f t="shared" ref="R116:S121" ca="1" si="30">T116</f>
        <v>467217</v>
      </c>
      <c r="S116" s="142">
        <f t="shared" ca="1" si="30"/>
        <v>46721</v>
      </c>
      <c r="T116" s="142">
        <f ca="1">기술사</f>
        <v>467217</v>
      </c>
      <c r="U116" s="142">
        <f t="shared" ref="U116:U121" ca="1" si="31">ROUNDDOWN(P116*R116,0)</f>
        <v>46721</v>
      </c>
      <c r="V116" s="142"/>
      <c r="W116" s="142"/>
      <c r="X116" s="142"/>
      <c r="Y116" s="142"/>
      <c r="Z116" s="114"/>
    </row>
    <row r="117" spans="11:26" ht="18" customHeight="1">
      <c r="K117" s="171" t="s">
        <v>14</v>
      </c>
      <c r="L117" s="171"/>
      <c r="M117" s="171"/>
      <c r="N117" s="143" t="s">
        <v>32</v>
      </c>
      <c r="O117" s="173">
        <v>4</v>
      </c>
      <c r="P117" s="234">
        <f ca="1">OFFSET($A$1,MATCH(Z115,$A:$A,0)-1,O117)</f>
        <v>0.4</v>
      </c>
      <c r="Q117" s="144" t="s">
        <v>29</v>
      </c>
      <c r="R117" s="118">
        <f t="shared" ca="1" si="30"/>
        <v>373353</v>
      </c>
      <c r="S117" s="118">
        <f t="shared" ca="1" si="30"/>
        <v>149341</v>
      </c>
      <c r="T117" s="118">
        <f ca="1">특급</f>
        <v>373353</v>
      </c>
      <c r="U117" s="118">
        <f t="shared" ca="1" si="31"/>
        <v>149341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39</v>
      </c>
      <c r="O118" s="173">
        <v>5</v>
      </c>
      <c r="P118" s="234">
        <f ca="1">OFFSET($A$1,MATCH(Z115,$A:$A,0)-1,O118)</f>
        <v>1.2</v>
      </c>
      <c r="Q118" s="144" t="s">
        <v>29</v>
      </c>
      <c r="R118" s="118">
        <f t="shared" ca="1" si="30"/>
        <v>310884</v>
      </c>
      <c r="S118" s="118">
        <f t="shared" ca="1" si="30"/>
        <v>373060</v>
      </c>
      <c r="T118" s="118">
        <f ca="1">고급</f>
        <v>310884</v>
      </c>
      <c r="U118" s="118">
        <f t="shared" ca="1" si="31"/>
        <v>373060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40</v>
      </c>
      <c r="O119" s="173">
        <v>6</v>
      </c>
      <c r="P119" s="234">
        <f ca="1">OFFSET($A$1,MATCH(Z115,$A:$A,0)-1,O119)</f>
        <v>4.0999999999999996</v>
      </c>
      <c r="Q119" s="144" t="s">
        <v>29</v>
      </c>
      <c r="R119" s="118">
        <f t="shared" ca="1" si="30"/>
        <v>295138</v>
      </c>
      <c r="S119" s="118">
        <f t="shared" ca="1" si="30"/>
        <v>1210065</v>
      </c>
      <c r="T119" s="118">
        <f ca="1">중급</f>
        <v>295138</v>
      </c>
      <c r="U119" s="118">
        <f t="shared" ca="1" si="31"/>
        <v>1210065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41</v>
      </c>
      <c r="O120" s="173">
        <v>7</v>
      </c>
      <c r="P120" s="234">
        <f ca="1">OFFSET($A$1,MATCH(Z115,$A:$A,0)-1,O120)</f>
        <v>5.6</v>
      </c>
      <c r="Q120" s="144" t="s">
        <v>29</v>
      </c>
      <c r="R120" s="118">
        <f t="shared" ca="1" si="30"/>
        <v>235459</v>
      </c>
      <c r="S120" s="118">
        <f t="shared" ca="1" si="30"/>
        <v>1318570</v>
      </c>
      <c r="T120" s="118">
        <f ca="1">초급</f>
        <v>235459</v>
      </c>
      <c r="U120" s="118">
        <f t="shared" ca="1" si="31"/>
        <v>1318570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319" t="s">
        <v>42</v>
      </c>
      <c r="O121" s="174">
        <v>8</v>
      </c>
      <c r="P121" s="235">
        <f ca="1">OFFSET($A$1,MATCH(Z115,$A:$A,0)-1,O121)</f>
        <v>6.8</v>
      </c>
      <c r="Q121" s="322" t="s">
        <v>29</v>
      </c>
      <c r="R121" s="323">
        <f t="shared" ca="1" si="30"/>
        <v>250087</v>
      </c>
      <c r="S121" s="323">
        <f t="shared" ca="1" si="30"/>
        <v>1700591</v>
      </c>
      <c r="T121" s="323">
        <f ca="1">보조원</f>
        <v>250087</v>
      </c>
      <c r="U121" s="323">
        <f t="shared" ca="1" si="31"/>
        <v>1700591</v>
      </c>
      <c r="V121" s="323"/>
      <c r="W121" s="323"/>
      <c r="X121" s="323"/>
      <c r="Y121" s="323"/>
      <c r="Z121" s="324"/>
    </row>
    <row r="122" spans="11:26" ht="18" customHeight="1">
      <c r="K122" s="171" t="s">
        <v>14</v>
      </c>
      <c r="L122" s="171"/>
      <c r="M122" s="171"/>
      <c r="N122" s="139" t="s">
        <v>17</v>
      </c>
      <c r="O122" s="68"/>
      <c r="P122" s="69"/>
      <c r="Q122" s="70"/>
      <c r="R122" s="71"/>
      <c r="S122" s="71">
        <f ca="1">SUBTOTAL(9,S116:S121)</f>
        <v>4798348</v>
      </c>
      <c r="T122" s="71"/>
      <c r="U122" s="71">
        <f ca="1">SUBTOTAL(9,U116:U121)</f>
        <v>4798348</v>
      </c>
      <c r="V122" s="71"/>
      <c r="W122" s="71"/>
      <c r="X122" s="71"/>
      <c r="Y122" s="71"/>
      <c r="Z122" s="68"/>
    </row>
    <row r="123" spans="11:26" ht="18" customHeight="1">
      <c r="K123" s="171" t="s">
        <v>14</v>
      </c>
      <c r="L123" s="171"/>
      <c r="M123" s="171"/>
      <c r="N123" s="318" t="str">
        <f ca="1">"제 " &amp; Z123 &amp; " 호표  "&amp; OFFSET($A$1,MATCH(Z123,$A:$A,0)-1,1)</f>
        <v>제 10 호표  4.2. 주민역량 강화</v>
      </c>
      <c r="O123" s="221"/>
      <c r="P123" s="148"/>
      <c r="Q123" s="148"/>
      <c r="R123" s="149"/>
      <c r="S123" s="149"/>
      <c r="T123" s="149"/>
      <c r="U123" s="149"/>
      <c r="V123" s="149"/>
      <c r="W123" s="149"/>
      <c r="X123" s="149"/>
      <c r="Y123" s="149"/>
      <c r="Z123" s="325">
        <f>Z115+1</f>
        <v>10</v>
      </c>
    </row>
    <row r="124" spans="11:26" ht="18" customHeight="1">
      <c r="K124" s="171" t="s">
        <v>14</v>
      </c>
      <c r="L124" s="171"/>
      <c r="M124" s="171"/>
      <c r="N124" s="140" t="s">
        <v>43</v>
      </c>
      <c r="O124" s="172">
        <v>3</v>
      </c>
      <c r="P124" s="219">
        <f ca="1">OFFSET($A$1,MATCH(Z123,$A:$A,0)-1,O124)</f>
        <v>0.1</v>
      </c>
      <c r="Q124" s="141" t="s">
        <v>29</v>
      </c>
      <c r="R124" s="142">
        <f t="shared" ref="R124:S129" ca="1" si="32">T124</f>
        <v>467217</v>
      </c>
      <c r="S124" s="142">
        <f t="shared" ca="1" si="32"/>
        <v>46721</v>
      </c>
      <c r="T124" s="142">
        <f ca="1">기술사</f>
        <v>467217</v>
      </c>
      <c r="U124" s="142">
        <f t="shared" ref="U124:U129" ca="1" si="33">ROUNDDOWN(P124*R124,0)</f>
        <v>46721</v>
      </c>
      <c r="V124" s="142"/>
      <c r="W124" s="142"/>
      <c r="X124" s="142"/>
      <c r="Y124" s="142"/>
      <c r="Z124" s="114"/>
    </row>
    <row r="125" spans="11:26" ht="18" customHeight="1">
      <c r="K125" s="171" t="s">
        <v>14</v>
      </c>
      <c r="L125" s="171"/>
      <c r="M125" s="171"/>
      <c r="N125" s="143" t="s">
        <v>32</v>
      </c>
      <c r="O125" s="173">
        <v>4</v>
      </c>
      <c r="P125" s="234">
        <f ca="1">OFFSET($A$1,MATCH(Z123,$A:$A,0)-1,O125)</f>
        <v>0.4</v>
      </c>
      <c r="Q125" s="144" t="s">
        <v>29</v>
      </c>
      <c r="R125" s="118">
        <f t="shared" ca="1" si="32"/>
        <v>373353</v>
      </c>
      <c r="S125" s="118">
        <f t="shared" ca="1" si="32"/>
        <v>149341</v>
      </c>
      <c r="T125" s="118">
        <f ca="1">특급</f>
        <v>373353</v>
      </c>
      <c r="U125" s="118">
        <f t="shared" ca="1" si="33"/>
        <v>149341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39</v>
      </c>
      <c r="O126" s="173">
        <v>5</v>
      </c>
      <c r="P126" s="234">
        <f ca="1">OFFSET($A$1,MATCH(Z123,$A:$A,0)-1,O126)</f>
        <v>1.2</v>
      </c>
      <c r="Q126" s="144" t="s">
        <v>29</v>
      </c>
      <c r="R126" s="118">
        <f t="shared" ca="1" si="32"/>
        <v>310884</v>
      </c>
      <c r="S126" s="118">
        <f t="shared" ca="1" si="32"/>
        <v>373060</v>
      </c>
      <c r="T126" s="118">
        <f ca="1">고급</f>
        <v>310884</v>
      </c>
      <c r="U126" s="118">
        <f t="shared" ca="1" si="33"/>
        <v>373060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40</v>
      </c>
      <c r="O127" s="173">
        <v>6</v>
      </c>
      <c r="P127" s="234">
        <f ca="1">OFFSET($A$1,MATCH(Z123,$A:$A,0)-1,O127)</f>
        <v>4.0999999999999996</v>
      </c>
      <c r="Q127" s="144" t="s">
        <v>29</v>
      </c>
      <c r="R127" s="118">
        <f t="shared" ca="1" si="32"/>
        <v>295138</v>
      </c>
      <c r="S127" s="118">
        <f t="shared" ca="1" si="32"/>
        <v>1210065</v>
      </c>
      <c r="T127" s="118">
        <f ca="1">중급</f>
        <v>295138</v>
      </c>
      <c r="U127" s="118">
        <f t="shared" ca="1" si="33"/>
        <v>1210065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41</v>
      </c>
      <c r="O128" s="173">
        <v>7</v>
      </c>
      <c r="P128" s="234">
        <f ca="1">OFFSET($A$1,MATCH(Z123,$A:$A,0)-1,O128)</f>
        <v>5.6</v>
      </c>
      <c r="Q128" s="144" t="s">
        <v>29</v>
      </c>
      <c r="R128" s="118">
        <f t="shared" ca="1" si="32"/>
        <v>235459</v>
      </c>
      <c r="S128" s="118">
        <f t="shared" ca="1" si="32"/>
        <v>1318570</v>
      </c>
      <c r="T128" s="118">
        <f ca="1">초급</f>
        <v>235459</v>
      </c>
      <c r="U128" s="118">
        <f t="shared" ca="1" si="33"/>
        <v>1318570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319" t="s">
        <v>42</v>
      </c>
      <c r="O129" s="174">
        <v>8</v>
      </c>
      <c r="P129" s="235">
        <f ca="1">OFFSET($A$1,MATCH(Z123,$A:$A,0)-1,O129)</f>
        <v>6.8</v>
      </c>
      <c r="Q129" s="322" t="s">
        <v>29</v>
      </c>
      <c r="R129" s="323">
        <f t="shared" ca="1" si="32"/>
        <v>250087</v>
      </c>
      <c r="S129" s="323">
        <f t="shared" ca="1" si="32"/>
        <v>1700591</v>
      </c>
      <c r="T129" s="323">
        <f ca="1">보조원</f>
        <v>250087</v>
      </c>
      <c r="U129" s="323">
        <f t="shared" ca="1" si="33"/>
        <v>1700591</v>
      </c>
      <c r="V129" s="323"/>
      <c r="W129" s="323"/>
      <c r="X129" s="323"/>
      <c r="Y129" s="323"/>
      <c r="Z129" s="324"/>
    </row>
    <row r="130" spans="11:29" ht="18" customHeight="1">
      <c r="K130" s="171" t="s">
        <v>14</v>
      </c>
      <c r="L130" s="171"/>
      <c r="M130" s="171"/>
      <c r="N130" s="139" t="s">
        <v>17</v>
      </c>
      <c r="O130" s="68"/>
      <c r="P130" s="69"/>
      <c r="Q130" s="70"/>
      <c r="R130" s="71"/>
      <c r="S130" s="71">
        <f ca="1">SUBTOTAL(9,S124:S129)</f>
        <v>4798348</v>
      </c>
      <c r="T130" s="71"/>
      <c r="U130" s="71">
        <f ca="1">SUBTOTAL(9,U124:U129)</f>
        <v>4798348</v>
      </c>
      <c r="V130" s="71"/>
      <c r="W130" s="71"/>
      <c r="X130" s="71"/>
      <c r="Y130" s="71"/>
      <c r="Z130" s="68"/>
    </row>
    <row r="131" spans="11:29" ht="18" customHeight="1">
      <c r="K131" s="171" t="s">
        <v>14</v>
      </c>
      <c r="L131" s="171"/>
      <c r="M131" s="171"/>
      <c r="N131" s="318" t="str">
        <f ca="1">"제 " &amp; Z131 &amp; " 호표  "&amp; OFFSET($A$1,MATCH(Z131,$A:$A,0)-1,1)</f>
        <v>제 11 호표  4.3. 주민공동체 조직구성</v>
      </c>
      <c r="O131" s="221"/>
      <c r="P131" s="148"/>
      <c r="Q131" s="148"/>
      <c r="R131" s="149"/>
      <c r="S131" s="149"/>
      <c r="T131" s="149"/>
      <c r="U131" s="149"/>
      <c r="V131" s="149"/>
      <c r="W131" s="149"/>
      <c r="X131" s="149"/>
      <c r="Y131" s="149"/>
      <c r="Z131" s="325">
        <f>Z123+1</f>
        <v>11</v>
      </c>
    </row>
    <row r="132" spans="11:29" ht="18" customHeight="1">
      <c r="K132" s="171" t="s">
        <v>14</v>
      </c>
      <c r="L132" s="171"/>
      <c r="M132" s="171"/>
      <c r="N132" s="140" t="s">
        <v>43</v>
      </c>
      <c r="O132" s="172">
        <v>3</v>
      </c>
      <c r="P132" s="219">
        <f ca="1">OFFSET($A$1,MATCH(Z131,$A:$A,0)-1,O132)</f>
        <v>0.1</v>
      </c>
      <c r="Q132" s="141" t="s">
        <v>29</v>
      </c>
      <c r="R132" s="142">
        <f t="shared" ref="R132:S137" ca="1" si="34">T132</f>
        <v>467217</v>
      </c>
      <c r="S132" s="142">
        <f t="shared" ca="1" si="34"/>
        <v>46721</v>
      </c>
      <c r="T132" s="142">
        <f ca="1">기술사</f>
        <v>467217</v>
      </c>
      <c r="U132" s="142">
        <f t="shared" ref="U132:U137" ca="1" si="35">ROUNDDOWN(P132*R132,0)</f>
        <v>46721</v>
      </c>
      <c r="V132" s="142"/>
      <c r="W132" s="142"/>
      <c r="X132" s="142"/>
      <c r="Y132" s="142"/>
      <c r="Z132" s="114"/>
    </row>
    <row r="133" spans="11:29" ht="18" customHeight="1">
      <c r="K133" s="171" t="s">
        <v>14</v>
      </c>
      <c r="L133" s="171"/>
      <c r="M133" s="171"/>
      <c r="N133" s="143" t="s">
        <v>32</v>
      </c>
      <c r="O133" s="173">
        <v>4</v>
      </c>
      <c r="P133" s="234">
        <f ca="1">OFFSET($A$1,MATCH(Z131,$A:$A,0)-1,O133)</f>
        <v>0.4</v>
      </c>
      <c r="Q133" s="144" t="s">
        <v>29</v>
      </c>
      <c r="R133" s="118">
        <f t="shared" ca="1" si="34"/>
        <v>373353</v>
      </c>
      <c r="S133" s="118">
        <f t="shared" ca="1" si="34"/>
        <v>149341</v>
      </c>
      <c r="T133" s="118">
        <f ca="1">특급</f>
        <v>373353</v>
      </c>
      <c r="U133" s="118">
        <f t="shared" ca="1" si="35"/>
        <v>149341</v>
      </c>
      <c r="V133" s="118"/>
      <c r="W133" s="118"/>
      <c r="X133" s="118"/>
      <c r="Y133" s="118"/>
      <c r="Z133" s="115"/>
    </row>
    <row r="134" spans="11:29" ht="18" customHeight="1">
      <c r="K134" s="171" t="s">
        <v>14</v>
      </c>
      <c r="L134" s="171"/>
      <c r="M134" s="171"/>
      <c r="N134" s="145" t="s">
        <v>39</v>
      </c>
      <c r="O134" s="173">
        <v>5</v>
      </c>
      <c r="P134" s="234">
        <f ca="1">OFFSET($A$1,MATCH(Z131,$A:$A,0)-1,O134)</f>
        <v>1</v>
      </c>
      <c r="Q134" s="144" t="s">
        <v>29</v>
      </c>
      <c r="R134" s="118">
        <f t="shared" ca="1" si="34"/>
        <v>310884</v>
      </c>
      <c r="S134" s="118">
        <f t="shared" ca="1" si="34"/>
        <v>310884</v>
      </c>
      <c r="T134" s="118">
        <f ca="1">고급</f>
        <v>310884</v>
      </c>
      <c r="U134" s="118">
        <f t="shared" ca="1" si="35"/>
        <v>310884</v>
      </c>
      <c r="V134" s="118"/>
      <c r="W134" s="118"/>
      <c r="X134" s="118"/>
      <c r="Y134" s="118"/>
      <c r="Z134" s="115"/>
    </row>
    <row r="135" spans="11:29" ht="18" customHeight="1">
      <c r="K135" s="171" t="s">
        <v>14</v>
      </c>
      <c r="L135" s="171"/>
      <c r="M135" s="171"/>
      <c r="N135" s="145" t="s">
        <v>40</v>
      </c>
      <c r="O135" s="173">
        <v>6</v>
      </c>
      <c r="P135" s="234">
        <f ca="1">OFFSET($A$1,MATCH(Z131,$A:$A,0)-1,O135)</f>
        <v>2.8</v>
      </c>
      <c r="Q135" s="144" t="s">
        <v>29</v>
      </c>
      <c r="R135" s="118">
        <f t="shared" ca="1" si="34"/>
        <v>295138</v>
      </c>
      <c r="S135" s="118">
        <f t="shared" ca="1" si="34"/>
        <v>826386</v>
      </c>
      <c r="T135" s="118">
        <f ca="1">중급</f>
        <v>295138</v>
      </c>
      <c r="U135" s="118">
        <f t="shared" ca="1" si="35"/>
        <v>826386</v>
      </c>
      <c r="V135" s="118"/>
      <c r="W135" s="118"/>
      <c r="X135" s="118"/>
      <c r="Y135" s="118"/>
      <c r="Z135" s="115"/>
    </row>
    <row r="136" spans="11:29" ht="18" customHeight="1">
      <c r="K136" s="171" t="s">
        <v>14</v>
      </c>
      <c r="L136" s="171"/>
      <c r="M136" s="171"/>
      <c r="N136" s="145" t="s">
        <v>41</v>
      </c>
      <c r="O136" s="173">
        <v>7</v>
      </c>
      <c r="P136" s="234">
        <f ca="1">OFFSET($A$1,MATCH(Z131,$A:$A,0)-1,O136)</f>
        <v>3.3</v>
      </c>
      <c r="Q136" s="144" t="s">
        <v>29</v>
      </c>
      <c r="R136" s="118">
        <f t="shared" ca="1" si="34"/>
        <v>235459</v>
      </c>
      <c r="S136" s="118">
        <f t="shared" ca="1" si="34"/>
        <v>777014</v>
      </c>
      <c r="T136" s="118">
        <f ca="1">초급</f>
        <v>235459</v>
      </c>
      <c r="U136" s="118">
        <f t="shared" ca="1" si="35"/>
        <v>777014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319" t="s">
        <v>42</v>
      </c>
      <c r="O137" s="174">
        <v>8</v>
      </c>
      <c r="P137" s="235">
        <f ca="1">OFFSET($A$1,MATCH(Z131,$A:$A,0)-1,O137)</f>
        <v>3.9</v>
      </c>
      <c r="Q137" s="322" t="s">
        <v>29</v>
      </c>
      <c r="R137" s="323">
        <f t="shared" ca="1" si="34"/>
        <v>250087</v>
      </c>
      <c r="S137" s="323">
        <f t="shared" ca="1" si="34"/>
        <v>975339</v>
      </c>
      <c r="T137" s="323">
        <f ca="1">보조원</f>
        <v>250087</v>
      </c>
      <c r="U137" s="323">
        <f t="shared" ca="1" si="35"/>
        <v>975339</v>
      </c>
      <c r="V137" s="323"/>
      <c r="W137" s="323"/>
      <c r="X137" s="323"/>
      <c r="Y137" s="323"/>
      <c r="Z137" s="324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39" t="s">
        <v>17</v>
      </c>
      <c r="O138" s="68"/>
      <c r="P138" s="69"/>
      <c r="Q138" s="70"/>
      <c r="R138" s="71"/>
      <c r="S138" s="71">
        <f ca="1">SUBTOTAL(9,S132:S137)</f>
        <v>3085685</v>
      </c>
      <c r="T138" s="71"/>
      <c r="U138" s="71">
        <f ca="1">SUBTOTAL(9,U132:U137)</f>
        <v>3085685</v>
      </c>
      <c r="V138" s="71"/>
      <c r="W138" s="71"/>
      <c r="X138" s="71"/>
      <c r="Y138" s="71"/>
      <c r="Z138" s="68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318" t="str">
        <f ca="1">"제 " &amp; Z139 &amp; " 호표  "&amp; OFFSET($A$1,MATCH(Z139,$A:$A,0)-1,1)</f>
        <v>제 12 호표  4.4. 마을공동체 프로그램 운영계획</v>
      </c>
      <c r="O139" s="221"/>
      <c r="P139" s="148"/>
      <c r="Q139" s="148"/>
      <c r="R139" s="149"/>
      <c r="S139" s="149"/>
      <c r="T139" s="149"/>
      <c r="U139" s="149"/>
      <c r="V139" s="149"/>
      <c r="W139" s="149"/>
      <c r="X139" s="149"/>
      <c r="Y139" s="149"/>
      <c r="Z139" s="325">
        <f>Z131+1</f>
        <v>12</v>
      </c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0" t="s">
        <v>43</v>
      </c>
      <c r="O140" s="172">
        <v>3</v>
      </c>
      <c r="P140" s="219">
        <f ca="1">OFFSET($A$1,MATCH(Z139,$A:$A,0)-1,O140)</f>
        <v>3.7</v>
      </c>
      <c r="Q140" s="141" t="s">
        <v>29</v>
      </c>
      <c r="R140" s="142">
        <f t="shared" ref="R140:S145" ca="1" si="36">T140</f>
        <v>467217</v>
      </c>
      <c r="S140" s="142">
        <f t="shared" ca="1" si="36"/>
        <v>1728702</v>
      </c>
      <c r="T140" s="142">
        <f ca="1">기술사</f>
        <v>467217</v>
      </c>
      <c r="U140" s="142">
        <f t="shared" ref="U140:U145" ca="1" si="37">ROUNDDOWN(P140*R140,0)</f>
        <v>1728702</v>
      </c>
      <c r="V140" s="142"/>
      <c r="W140" s="142"/>
      <c r="X140" s="142"/>
      <c r="Y140" s="142"/>
      <c r="Z140" s="114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43" t="s">
        <v>32</v>
      </c>
      <c r="O141" s="173">
        <v>4</v>
      </c>
      <c r="P141" s="234">
        <f ca="1">OFFSET($A$1,MATCH(Z139,$A:$A,0)-1,O141)</f>
        <v>5.0999999999999996</v>
      </c>
      <c r="Q141" s="144" t="s">
        <v>29</v>
      </c>
      <c r="R141" s="118">
        <f t="shared" ca="1" si="36"/>
        <v>373353</v>
      </c>
      <c r="S141" s="118">
        <f t="shared" ca="1" si="36"/>
        <v>1904100</v>
      </c>
      <c r="T141" s="118">
        <f ca="1">특급</f>
        <v>373353</v>
      </c>
      <c r="U141" s="118">
        <f t="shared" ca="1" si="37"/>
        <v>1904100</v>
      </c>
      <c r="V141" s="118"/>
      <c r="W141" s="118"/>
      <c r="X141" s="118"/>
      <c r="Y141" s="118"/>
      <c r="Z141" s="115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45" t="s">
        <v>39</v>
      </c>
      <c r="O142" s="173">
        <v>5</v>
      </c>
      <c r="P142" s="234">
        <f ca="1">OFFSET($A$1,MATCH(Z139,$A:$A,0)-1,O142)</f>
        <v>11.3</v>
      </c>
      <c r="Q142" s="144" t="s">
        <v>29</v>
      </c>
      <c r="R142" s="118">
        <f t="shared" ca="1" si="36"/>
        <v>310884</v>
      </c>
      <c r="S142" s="118">
        <f t="shared" ca="1" si="36"/>
        <v>3512989</v>
      </c>
      <c r="T142" s="118">
        <f ca="1">고급</f>
        <v>310884</v>
      </c>
      <c r="U142" s="118">
        <f t="shared" ca="1" si="37"/>
        <v>3512989</v>
      </c>
      <c r="V142" s="118"/>
      <c r="W142" s="118"/>
      <c r="X142" s="118"/>
      <c r="Y142" s="118"/>
      <c r="Z142" s="115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5" t="s">
        <v>40</v>
      </c>
      <c r="O143" s="173">
        <v>6</v>
      </c>
      <c r="P143" s="234">
        <f ca="1">OFFSET($A$1,MATCH(Z139,$A:$A,0)-1,O143)</f>
        <v>14.6</v>
      </c>
      <c r="Q143" s="144" t="s">
        <v>29</v>
      </c>
      <c r="R143" s="118">
        <f t="shared" ca="1" si="36"/>
        <v>295138</v>
      </c>
      <c r="S143" s="118">
        <f t="shared" ca="1" si="36"/>
        <v>4309014</v>
      </c>
      <c r="T143" s="118">
        <f ca="1">중급</f>
        <v>295138</v>
      </c>
      <c r="U143" s="118">
        <f t="shared" ca="1" si="37"/>
        <v>4309014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5" t="s">
        <v>41</v>
      </c>
      <c r="O144" s="173">
        <v>7</v>
      </c>
      <c r="P144" s="234">
        <f ca="1">OFFSET($A$1,MATCH(Z139,$A:$A,0)-1,O144)</f>
        <v>30.1</v>
      </c>
      <c r="Q144" s="144" t="s">
        <v>29</v>
      </c>
      <c r="R144" s="118">
        <f t="shared" ca="1" si="36"/>
        <v>235459</v>
      </c>
      <c r="S144" s="118">
        <f t="shared" ca="1" si="36"/>
        <v>7087315</v>
      </c>
      <c r="T144" s="118">
        <f ca="1">초급</f>
        <v>235459</v>
      </c>
      <c r="U144" s="118">
        <f t="shared" ca="1" si="37"/>
        <v>7087315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319" t="s">
        <v>42</v>
      </c>
      <c r="O145" s="174">
        <v>8</v>
      </c>
      <c r="P145" s="235">
        <f ca="1">OFFSET($A$1,MATCH(Z139,$A:$A,0)-1,O145)</f>
        <v>33.700000000000003</v>
      </c>
      <c r="Q145" s="322" t="s">
        <v>29</v>
      </c>
      <c r="R145" s="323">
        <f t="shared" ca="1" si="36"/>
        <v>250087</v>
      </c>
      <c r="S145" s="323">
        <f t="shared" ca="1" si="36"/>
        <v>8427931</v>
      </c>
      <c r="T145" s="323">
        <f ca="1">보조원</f>
        <v>250087</v>
      </c>
      <c r="U145" s="323">
        <f t="shared" ca="1" si="37"/>
        <v>8427931</v>
      </c>
      <c r="V145" s="323"/>
      <c r="W145" s="323"/>
      <c r="X145" s="323"/>
      <c r="Y145" s="323"/>
      <c r="Z145" s="324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39" t="s">
        <v>17</v>
      </c>
      <c r="O146" s="68"/>
      <c r="P146" s="69"/>
      <c r="Q146" s="70"/>
      <c r="R146" s="71"/>
      <c r="S146" s="71">
        <f ca="1">SUBTOTAL(9,S140:S145)</f>
        <v>26970051</v>
      </c>
      <c r="T146" s="71"/>
      <c r="U146" s="71">
        <f ca="1">SUBTOTAL(9,U140:U145)</f>
        <v>26970051</v>
      </c>
      <c r="V146" s="71"/>
      <c r="W146" s="71"/>
      <c r="X146" s="71"/>
      <c r="Y146" s="71"/>
      <c r="Z146" s="68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318" t="str">
        <f ca="1">"제 " &amp; Z147 &amp; " 호표  "&amp; OFFSET($A$1,MATCH(Z147,$A:$A,0)-1,1)</f>
        <v>제 13 호표  4.5. 사회경제적 재생방안</v>
      </c>
      <c r="O147" s="221"/>
      <c r="P147" s="148"/>
      <c r="Q147" s="148"/>
      <c r="R147" s="149"/>
      <c r="S147" s="149"/>
      <c r="T147" s="149"/>
      <c r="U147" s="149"/>
      <c r="V147" s="149"/>
      <c r="W147" s="149"/>
      <c r="X147" s="149"/>
      <c r="Y147" s="149"/>
      <c r="Z147" s="325">
        <f>Z139+1</f>
        <v>13</v>
      </c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0" t="s">
        <v>43</v>
      </c>
      <c r="O148" s="172">
        <v>3</v>
      </c>
      <c r="P148" s="219">
        <f ca="1">OFFSET($A$1,MATCH(Z147,$A:$A,0)-1,O148)</f>
        <v>0.2</v>
      </c>
      <c r="Q148" s="141" t="s">
        <v>29</v>
      </c>
      <c r="R148" s="142">
        <f t="shared" ref="R148:S153" ca="1" si="38">T148</f>
        <v>467217</v>
      </c>
      <c r="S148" s="142">
        <f t="shared" ca="1" si="38"/>
        <v>93443</v>
      </c>
      <c r="T148" s="142">
        <f ca="1">기술사</f>
        <v>467217</v>
      </c>
      <c r="U148" s="142">
        <f t="shared" ref="U148:U153" ca="1" si="39">ROUNDDOWN(P148*R148,0)</f>
        <v>93443</v>
      </c>
      <c r="V148" s="142"/>
      <c r="W148" s="142"/>
      <c r="X148" s="142"/>
      <c r="Y148" s="142"/>
      <c r="Z148" s="114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43" t="s">
        <v>32</v>
      </c>
      <c r="O149" s="173">
        <v>4</v>
      </c>
      <c r="P149" s="234">
        <f ca="1">OFFSET($A$1,MATCH(Z147,$A:$A,0)-1,O149)</f>
        <v>0.4</v>
      </c>
      <c r="Q149" s="144" t="s">
        <v>29</v>
      </c>
      <c r="R149" s="118">
        <f t="shared" ca="1" si="38"/>
        <v>373353</v>
      </c>
      <c r="S149" s="118">
        <f t="shared" ca="1" si="38"/>
        <v>149341</v>
      </c>
      <c r="T149" s="118">
        <f ca="1">특급</f>
        <v>373353</v>
      </c>
      <c r="U149" s="118">
        <f t="shared" ca="1" si="39"/>
        <v>149341</v>
      </c>
      <c r="V149" s="118"/>
      <c r="W149" s="118"/>
      <c r="X149" s="118"/>
      <c r="Y149" s="118"/>
      <c r="Z149" s="115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45" t="s">
        <v>39</v>
      </c>
      <c r="O150" s="173">
        <v>5</v>
      </c>
      <c r="P150" s="234">
        <f ca="1">OFFSET($A$1,MATCH(Z147,$A:$A,0)-1,O150)</f>
        <v>1.2</v>
      </c>
      <c r="Q150" s="144" t="s">
        <v>29</v>
      </c>
      <c r="R150" s="118">
        <f t="shared" ca="1" si="38"/>
        <v>310884</v>
      </c>
      <c r="S150" s="118">
        <f t="shared" ca="1" si="38"/>
        <v>373060</v>
      </c>
      <c r="T150" s="118">
        <f ca="1">고급</f>
        <v>310884</v>
      </c>
      <c r="U150" s="118">
        <f t="shared" ca="1" si="39"/>
        <v>373060</v>
      </c>
      <c r="V150" s="118"/>
      <c r="W150" s="118"/>
      <c r="X150" s="118"/>
      <c r="Y150" s="118"/>
      <c r="Z150" s="115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5" t="s">
        <v>40</v>
      </c>
      <c r="O151" s="173">
        <v>6</v>
      </c>
      <c r="P151" s="234">
        <f ca="1">OFFSET($A$1,MATCH(Z147,$A:$A,0)-1,O151)</f>
        <v>1.1000000000000001</v>
      </c>
      <c r="Q151" s="144" t="s">
        <v>29</v>
      </c>
      <c r="R151" s="118">
        <f t="shared" ca="1" si="38"/>
        <v>295138</v>
      </c>
      <c r="S151" s="118">
        <f t="shared" ca="1" si="38"/>
        <v>324651</v>
      </c>
      <c r="T151" s="118">
        <f ca="1">중급</f>
        <v>295138</v>
      </c>
      <c r="U151" s="118">
        <f t="shared" ca="1" si="39"/>
        <v>324651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41</v>
      </c>
      <c r="O152" s="173">
        <v>7</v>
      </c>
      <c r="P152" s="234">
        <f ca="1">OFFSET($A$1,MATCH(Z147,$A:$A,0)-1,O152)</f>
        <v>2.6</v>
      </c>
      <c r="Q152" s="144" t="s">
        <v>29</v>
      </c>
      <c r="R152" s="118">
        <f t="shared" ca="1" si="38"/>
        <v>235459</v>
      </c>
      <c r="S152" s="118">
        <f t="shared" ca="1" si="38"/>
        <v>612193</v>
      </c>
      <c r="T152" s="118">
        <f ca="1">초급</f>
        <v>235459</v>
      </c>
      <c r="U152" s="118">
        <f t="shared" ca="1" si="39"/>
        <v>612193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319" t="s">
        <v>42</v>
      </c>
      <c r="O153" s="174">
        <v>8</v>
      </c>
      <c r="P153" s="235">
        <f ca="1">OFFSET($A$1,MATCH(Z147,$A:$A,0)-1,O153)</f>
        <v>3.5</v>
      </c>
      <c r="Q153" s="322" t="s">
        <v>29</v>
      </c>
      <c r="R153" s="323">
        <f t="shared" ca="1" si="38"/>
        <v>250087</v>
      </c>
      <c r="S153" s="323">
        <f t="shared" ca="1" si="38"/>
        <v>875304</v>
      </c>
      <c r="T153" s="323">
        <f ca="1">보조원</f>
        <v>250087</v>
      </c>
      <c r="U153" s="323">
        <f t="shared" ca="1" si="39"/>
        <v>875304</v>
      </c>
      <c r="V153" s="323"/>
      <c r="W153" s="323"/>
      <c r="X153" s="323"/>
      <c r="Y153" s="323"/>
      <c r="Z153" s="324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39" t="s">
        <v>17</v>
      </c>
      <c r="O154" s="68"/>
      <c r="P154" s="69"/>
      <c r="Q154" s="70"/>
      <c r="R154" s="71"/>
      <c r="S154" s="71">
        <f ca="1">SUBTOTAL(9,S148:S153)</f>
        <v>2427992</v>
      </c>
      <c r="T154" s="71"/>
      <c r="U154" s="71">
        <f ca="1">SUBTOTAL(9,U148:U153)</f>
        <v>2427992</v>
      </c>
      <c r="V154" s="71"/>
      <c r="W154" s="71"/>
      <c r="X154" s="71"/>
      <c r="Y154" s="71"/>
      <c r="Z154" s="68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318" t="str">
        <f ca="1">"제 " &amp; Z155 &amp; " 호표  "&amp; OFFSET($A$1,MATCH(Z155,$A:$A,0)-1,1)</f>
        <v>제 14 호표  5.1. 보고서작성 및 편집</v>
      </c>
      <c r="O155" s="221"/>
      <c r="P155" s="148"/>
      <c r="Q155" s="148"/>
      <c r="R155" s="149"/>
      <c r="S155" s="149"/>
      <c r="T155" s="149"/>
      <c r="U155" s="149"/>
      <c r="V155" s="149"/>
      <c r="W155" s="149"/>
      <c r="X155" s="149"/>
      <c r="Y155" s="149"/>
      <c r="Z155" s="325">
        <f>Z147+1</f>
        <v>14</v>
      </c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0" t="s">
        <v>43</v>
      </c>
      <c r="O156" s="172">
        <v>3</v>
      </c>
      <c r="P156" s="219">
        <f ca="1">OFFSET($A$1,MATCH(Z155,$A:$A,0)-1,O156)</f>
        <v>1.5</v>
      </c>
      <c r="Q156" s="141" t="s">
        <v>29</v>
      </c>
      <c r="R156" s="142">
        <f t="shared" ref="R156:S161" ca="1" si="40">T156</f>
        <v>467217</v>
      </c>
      <c r="S156" s="142">
        <f t="shared" ca="1" si="40"/>
        <v>700825</v>
      </c>
      <c r="T156" s="142">
        <f ca="1">기술사</f>
        <v>467217</v>
      </c>
      <c r="U156" s="142">
        <f t="shared" ref="U156:U161" ca="1" si="41">ROUNDDOWN(P156*R156,0)</f>
        <v>700825</v>
      </c>
      <c r="V156" s="142"/>
      <c r="W156" s="142"/>
      <c r="X156" s="142"/>
      <c r="Y156" s="142"/>
      <c r="Z156" s="114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43" t="s">
        <v>32</v>
      </c>
      <c r="O157" s="173">
        <v>4</v>
      </c>
      <c r="P157" s="234">
        <f ca="1">OFFSET($A$1,MATCH(Z155,$A:$A,0)-1,O157)</f>
        <v>2.9</v>
      </c>
      <c r="Q157" s="144" t="s">
        <v>29</v>
      </c>
      <c r="R157" s="118">
        <f t="shared" ca="1" si="40"/>
        <v>373353</v>
      </c>
      <c r="S157" s="118">
        <f t="shared" ca="1" si="40"/>
        <v>1082723</v>
      </c>
      <c r="T157" s="118">
        <f ca="1">특급</f>
        <v>373353</v>
      </c>
      <c r="U157" s="118">
        <f t="shared" ca="1" si="41"/>
        <v>1082723</v>
      </c>
      <c r="V157" s="118"/>
      <c r="W157" s="118"/>
      <c r="X157" s="118"/>
      <c r="Y157" s="118"/>
      <c r="Z157" s="115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5" t="s">
        <v>39</v>
      </c>
      <c r="O158" s="173">
        <v>5</v>
      </c>
      <c r="P158" s="234">
        <f ca="1">OFFSET($A$1,MATCH(Z155,$A:$A,0)-1,O158)</f>
        <v>6.7</v>
      </c>
      <c r="Q158" s="144" t="s">
        <v>29</v>
      </c>
      <c r="R158" s="118">
        <f t="shared" ca="1" si="40"/>
        <v>310884</v>
      </c>
      <c r="S158" s="118">
        <f t="shared" ca="1" si="40"/>
        <v>2082922</v>
      </c>
      <c r="T158" s="118">
        <f ca="1">고급</f>
        <v>310884</v>
      </c>
      <c r="U158" s="118">
        <f t="shared" ca="1" si="41"/>
        <v>2082922</v>
      </c>
      <c r="V158" s="118"/>
      <c r="W158" s="118"/>
      <c r="X158" s="118"/>
      <c r="Y158" s="118"/>
      <c r="Z158" s="115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5" t="s">
        <v>40</v>
      </c>
      <c r="O159" s="173">
        <v>6</v>
      </c>
      <c r="P159" s="234">
        <f ca="1">OFFSET($A$1,MATCH(Z155,$A:$A,0)-1,O159)</f>
        <v>11.1</v>
      </c>
      <c r="Q159" s="144" t="s">
        <v>29</v>
      </c>
      <c r="R159" s="118">
        <f t="shared" ca="1" si="40"/>
        <v>295138</v>
      </c>
      <c r="S159" s="118">
        <f t="shared" ca="1" si="40"/>
        <v>3276031</v>
      </c>
      <c r="T159" s="118">
        <f ca="1">중급</f>
        <v>295138</v>
      </c>
      <c r="U159" s="118">
        <f t="shared" ca="1" si="41"/>
        <v>3276031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41</v>
      </c>
      <c r="O160" s="173">
        <v>7</v>
      </c>
      <c r="P160" s="234">
        <f ca="1">OFFSET($A$1,MATCH(Z155,$A:$A,0)-1,O160)</f>
        <v>11.2</v>
      </c>
      <c r="Q160" s="144" t="s">
        <v>29</v>
      </c>
      <c r="R160" s="118">
        <f t="shared" ca="1" si="40"/>
        <v>235459</v>
      </c>
      <c r="S160" s="118">
        <f t="shared" ca="1" si="40"/>
        <v>2637140</v>
      </c>
      <c r="T160" s="118">
        <f ca="1">초급</f>
        <v>235459</v>
      </c>
      <c r="U160" s="118">
        <f t="shared" ca="1" si="41"/>
        <v>2637140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319" t="s">
        <v>42</v>
      </c>
      <c r="O161" s="174">
        <v>8</v>
      </c>
      <c r="P161" s="235">
        <f ca="1">OFFSET($A$1,MATCH(Z155,$A:$A,0)-1,O161)</f>
        <v>7.5</v>
      </c>
      <c r="Q161" s="322" t="s">
        <v>29</v>
      </c>
      <c r="R161" s="323">
        <f t="shared" ca="1" si="40"/>
        <v>250087</v>
      </c>
      <c r="S161" s="323">
        <f t="shared" ca="1" si="40"/>
        <v>1875652</v>
      </c>
      <c r="T161" s="323">
        <f ca="1">보조원</f>
        <v>250087</v>
      </c>
      <c r="U161" s="323">
        <f t="shared" ca="1" si="41"/>
        <v>1875652</v>
      </c>
      <c r="V161" s="323"/>
      <c r="W161" s="323"/>
      <c r="X161" s="323"/>
      <c r="Y161" s="323"/>
      <c r="Z161" s="324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39" t="s">
        <v>17</v>
      </c>
      <c r="O162" s="68"/>
      <c r="P162" s="69"/>
      <c r="Q162" s="70"/>
      <c r="R162" s="71"/>
      <c r="S162" s="71">
        <f ca="1">SUBTOTAL(9,S156:S161)</f>
        <v>11655293</v>
      </c>
      <c r="T162" s="71"/>
      <c r="U162" s="71">
        <f ca="1">SUBTOTAL(9,U156:U161)</f>
        <v>11655293</v>
      </c>
      <c r="V162" s="71"/>
      <c r="W162" s="71"/>
      <c r="X162" s="71"/>
      <c r="Y162" s="71"/>
      <c r="Z162" s="68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318" t="str">
        <f ca="1">"제 " &amp; Z163 &amp; " 호표  "&amp; OFFSET($A$1,MATCH(Z163,$A:$A,0)-1,1)</f>
        <v>제 15 호표  5.2. 관련도서작성</v>
      </c>
      <c r="O163" s="221"/>
      <c r="P163" s="148"/>
      <c r="Q163" s="148"/>
      <c r="R163" s="149"/>
      <c r="S163" s="149"/>
      <c r="T163" s="149"/>
      <c r="U163" s="149"/>
      <c r="V163" s="149"/>
      <c r="W163" s="149"/>
      <c r="X163" s="149"/>
      <c r="Y163" s="149"/>
      <c r="Z163" s="325">
        <f>Z155+1</f>
        <v>15</v>
      </c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0" t="s">
        <v>43</v>
      </c>
      <c r="O164" s="172">
        <v>3</v>
      </c>
      <c r="P164" s="219">
        <f ca="1">OFFSET($A$1,MATCH(Z163,$A:$A,0)-1,O164)</f>
        <v>0.7</v>
      </c>
      <c r="Q164" s="141" t="s">
        <v>29</v>
      </c>
      <c r="R164" s="142">
        <f t="shared" ref="R164:S169" ca="1" si="42">T164</f>
        <v>467217</v>
      </c>
      <c r="S164" s="142">
        <f t="shared" ca="1" si="42"/>
        <v>327051</v>
      </c>
      <c r="T164" s="142">
        <f ca="1">기술사</f>
        <v>467217</v>
      </c>
      <c r="U164" s="142">
        <f t="shared" ref="U164:U169" ca="1" si="43">ROUNDDOWN(P164*R164,0)</f>
        <v>327051</v>
      </c>
      <c r="V164" s="142"/>
      <c r="W164" s="142"/>
      <c r="X164" s="142"/>
      <c r="Y164" s="142"/>
      <c r="Z164" s="114"/>
    </row>
    <row r="165" spans="11:29" ht="18" customHeight="1">
      <c r="K165" s="171" t="s">
        <v>14</v>
      </c>
      <c r="L165" s="171"/>
      <c r="M165" s="171"/>
      <c r="N165" s="143" t="s">
        <v>32</v>
      </c>
      <c r="O165" s="173">
        <v>4</v>
      </c>
      <c r="P165" s="234">
        <f ca="1">OFFSET($A$1,MATCH(Z163,$A:$A,0)-1,O165)</f>
        <v>1.5</v>
      </c>
      <c r="Q165" s="144" t="s">
        <v>29</v>
      </c>
      <c r="R165" s="118">
        <f t="shared" ca="1" si="42"/>
        <v>373353</v>
      </c>
      <c r="S165" s="118">
        <f t="shared" ca="1" si="42"/>
        <v>560029</v>
      </c>
      <c r="T165" s="118">
        <f ca="1">특급</f>
        <v>373353</v>
      </c>
      <c r="U165" s="118">
        <f t="shared" ca="1" si="43"/>
        <v>560029</v>
      </c>
      <c r="V165" s="118"/>
      <c r="W165" s="118"/>
      <c r="X165" s="118"/>
      <c r="Y165" s="118"/>
      <c r="Z165" s="115"/>
    </row>
    <row r="166" spans="11:29" ht="18" customHeight="1">
      <c r="K166" s="171" t="s">
        <v>14</v>
      </c>
      <c r="L166" s="171"/>
      <c r="M166" s="171"/>
      <c r="N166" s="145" t="s">
        <v>39</v>
      </c>
      <c r="O166" s="173">
        <v>5</v>
      </c>
      <c r="P166" s="234">
        <f ca="1">OFFSET($A$1,MATCH(Z163,$A:$A,0)-1,O166)</f>
        <v>3.3</v>
      </c>
      <c r="Q166" s="144" t="s">
        <v>29</v>
      </c>
      <c r="R166" s="118">
        <f t="shared" ca="1" si="42"/>
        <v>310884</v>
      </c>
      <c r="S166" s="118">
        <f t="shared" ca="1" si="42"/>
        <v>1025917</v>
      </c>
      <c r="T166" s="118">
        <f ca="1">고급</f>
        <v>310884</v>
      </c>
      <c r="U166" s="118">
        <f t="shared" ca="1" si="43"/>
        <v>1025917</v>
      </c>
      <c r="V166" s="118"/>
      <c r="W166" s="118"/>
      <c r="X166" s="118"/>
      <c r="Y166" s="118"/>
      <c r="Z166" s="115"/>
    </row>
    <row r="167" spans="11:29" ht="18" customHeight="1">
      <c r="K167" s="171" t="s">
        <v>14</v>
      </c>
      <c r="L167" s="171"/>
      <c r="M167" s="171"/>
      <c r="N167" s="145" t="s">
        <v>40</v>
      </c>
      <c r="O167" s="173">
        <v>6</v>
      </c>
      <c r="P167" s="234">
        <f ca="1">OFFSET($A$1,MATCH(Z163,$A:$A,0)-1,O167)</f>
        <v>7.4</v>
      </c>
      <c r="Q167" s="144" t="s">
        <v>29</v>
      </c>
      <c r="R167" s="118">
        <f t="shared" ca="1" si="42"/>
        <v>295138</v>
      </c>
      <c r="S167" s="118">
        <f t="shared" ca="1" si="42"/>
        <v>2184021</v>
      </c>
      <c r="T167" s="118">
        <f ca="1">중급</f>
        <v>295138</v>
      </c>
      <c r="U167" s="118">
        <f t="shared" ca="1" si="43"/>
        <v>2184021</v>
      </c>
      <c r="V167" s="118"/>
      <c r="W167" s="118"/>
      <c r="X167" s="118"/>
      <c r="Y167" s="118"/>
      <c r="Z167" s="115"/>
    </row>
    <row r="168" spans="11:29" ht="18" customHeight="1">
      <c r="K168" s="171" t="s">
        <v>14</v>
      </c>
      <c r="L168" s="171"/>
      <c r="M168" s="171"/>
      <c r="N168" s="145" t="s">
        <v>41</v>
      </c>
      <c r="O168" s="173">
        <v>7</v>
      </c>
      <c r="P168" s="234">
        <f ca="1">OFFSET($A$1,MATCH(Z163,$A:$A,0)-1,O168)</f>
        <v>14.8</v>
      </c>
      <c r="Q168" s="144" t="s">
        <v>29</v>
      </c>
      <c r="R168" s="118">
        <f t="shared" ca="1" si="42"/>
        <v>235459</v>
      </c>
      <c r="S168" s="118">
        <f t="shared" ca="1" si="42"/>
        <v>3484793</v>
      </c>
      <c r="T168" s="118">
        <f ca="1">초급</f>
        <v>235459</v>
      </c>
      <c r="U168" s="118">
        <f t="shared" ca="1" si="43"/>
        <v>3484793</v>
      </c>
      <c r="V168" s="118"/>
      <c r="W168" s="118"/>
      <c r="X168" s="118"/>
      <c r="Y168" s="118"/>
      <c r="Z168" s="115"/>
    </row>
    <row r="169" spans="11:29" ht="18" customHeight="1">
      <c r="K169" s="171" t="s">
        <v>14</v>
      </c>
      <c r="L169" s="171"/>
      <c r="M169" s="171"/>
      <c r="N169" s="319" t="s">
        <v>42</v>
      </c>
      <c r="O169" s="174">
        <v>8</v>
      </c>
      <c r="P169" s="235">
        <f ca="1">OFFSET($A$1,MATCH(Z163,$A:$A,0)-1,O169)</f>
        <v>18.5</v>
      </c>
      <c r="Q169" s="322" t="s">
        <v>29</v>
      </c>
      <c r="R169" s="323">
        <f t="shared" ca="1" si="42"/>
        <v>250087</v>
      </c>
      <c r="S169" s="323">
        <f t="shared" ca="1" si="42"/>
        <v>4626609</v>
      </c>
      <c r="T169" s="323">
        <f ca="1">보조원</f>
        <v>250087</v>
      </c>
      <c r="U169" s="323">
        <f t="shared" ca="1" si="43"/>
        <v>4626609</v>
      </c>
      <c r="V169" s="323"/>
      <c r="W169" s="323"/>
      <c r="X169" s="323"/>
      <c r="Y169" s="323"/>
      <c r="Z169" s="324"/>
    </row>
    <row r="170" spans="11:29" ht="18" customHeight="1">
      <c r="K170" s="171" t="s">
        <v>14</v>
      </c>
      <c r="L170" s="171"/>
      <c r="M170" s="171"/>
      <c r="N170" s="139" t="s">
        <v>17</v>
      </c>
      <c r="O170" s="68"/>
      <c r="P170" s="69"/>
      <c r="Q170" s="70"/>
      <c r="R170" s="71"/>
      <c r="S170" s="71">
        <f ca="1">SUBTOTAL(9,S164:S169)</f>
        <v>12208420</v>
      </c>
      <c r="T170" s="71"/>
      <c r="U170" s="71">
        <f ca="1">SUBTOTAL(9,U164:U169)</f>
        <v>12208420</v>
      </c>
      <c r="V170" s="71"/>
      <c r="W170" s="71"/>
      <c r="X170" s="71"/>
      <c r="Y170" s="71"/>
      <c r="Z170" s="68"/>
    </row>
    <row r="171" spans="11:29" ht="18" customHeight="1">
      <c r="K171" s="171" t="s">
        <v>14</v>
      </c>
      <c r="L171" s="171"/>
      <c r="M171" s="171"/>
      <c r="N171" s="318" t="str">
        <f ca="1">"제 " &amp; Z171 &amp; " 호표  "&amp; OFFSET($A$1,MATCH(Z171,$A:$A,0)-1,1)</f>
        <v>제 16 호표  6.1. 공청회/주민설명회</v>
      </c>
      <c r="O171" s="221"/>
      <c r="P171" s="148"/>
      <c r="Q171" s="148"/>
      <c r="R171" s="149"/>
      <c r="S171" s="149"/>
      <c r="T171" s="149"/>
      <c r="U171" s="149"/>
      <c r="V171" s="149"/>
      <c r="W171" s="149"/>
      <c r="X171" s="149"/>
      <c r="Y171" s="149"/>
      <c r="Z171" s="325">
        <f>Z163+1</f>
        <v>16</v>
      </c>
    </row>
    <row r="172" spans="11:29" ht="18" customHeight="1">
      <c r="K172" s="171" t="s">
        <v>14</v>
      </c>
      <c r="L172" s="171"/>
      <c r="M172" s="171"/>
      <c r="N172" s="140" t="s">
        <v>43</v>
      </c>
      <c r="O172" s="172">
        <v>3</v>
      </c>
      <c r="P172" s="219">
        <f ca="1">OFFSET($A$1,MATCH(Z171,$A:$A,0)-1,O172)</f>
        <v>2</v>
      </c>
      <c r="Q172" s="141" t="s">
        <v>29</v>
      </c>
      <c r="R172" s="142">
        <f t="shared" ref="R172:S177" ca="1" si="44">T172</f>
        <v>467217</v>
      </c>
      <c r="S172" s="142">
        <f t="shared" ca="1" si="44"/>
        <v>934434</v>
      </c>
      <c r="T172" s="142">
        <f ca="1">기술사</f>
        <v>467217</v>
      </c>
      <c r="U172" s="142">
        <f t="shared" ref="U172:U177" ca="1" si="45">ROUNDDOWN(P172*R172,0)</f>
        <v>934434</v>
      </c>
      <c r="V172" s="142"/>
      <c r="W172" s="142"/>
      <c r="X172" s="142"/>
      <c r="Y172" s="142"/>
      <c r="Z172" s="114"/>
    </row>
    <row r="173" spans="11:29" ht="18" customHeight="1">
      <c r="K173" s="171" t="s">
        <v>14</v>
      </c>
      <c r="L173" s="171"/>
      <c r="M173" s="171"/>
      <c r="N173" s="143" t="s">
        <v>32</v>
      </c>
      <c r="O173" s="173">
        <v>4</v>
      </c>
      <c r="P173" s="234">
        <f ca="1">OFFSET($A$1,MATCH(Z171,$A:$A,0)-1,O173)</f>
        <v>2</v>
      </c>
      <c r="Q173" s="144" t="s">
        <v>29</v>
      </c>
      <c r="R173" s="118">
        <f t="shared" ca="1" si="44"/>
        <v>373353</v>
      </c>
      <c r="S173" s="118">
        <f t="shared" ca="1" si="44"/>
        <v>746706</v>
      </c>
      <c r="T173" s="118">
        <f ca="1">특급</f>
        <v>373353</v>
      </c>
      <c r="U173" s="118">
        <f t="shared" ca="1" si="45"/>
        <v>746706</v>
      </c>
      <c r="V173" s="118"/>
      <c r="W173" s="118"/>
      <c r="X173" s="118"/>
      <c r="Y173" s="118"/>
      <c r="Z173" s="115"/>
    </row>
    <row r="174" spans="11:29" ht="18" customHeight="1">
      <c r="K174" s="171" t="s">
        <v>14</v>
      </c>
      <c r="L174" s="171"/>
      <c r="M174" s="171"/>
      <c r="N174" s="145" t="s">
        <v>39</v>
      </c>
      <c r="O174" s="173">
        <v>5</v>
      </c>
      <c r="P174" s="234">
        <f ca="1">OFFSET($A$1,MATCH(Z171,$A:$A,0)-1,O174)</f>
        <v>2</v>
      </c>
      <c r="Q174" s="144" t="s">
        <v>29</v>
      </c>
      <c r="R174" s="118">
        <f t="shared" ca="1" si="44"/>
        <v>310884</v>
      </c>
      <c r="S174" s="118">
        <f t="shared" ca="1" si="44"/>
        <v>621768</v>
      </c>
      <c r="T174" s="118">
        <f ca="1">고급</f>
        <v>310884</v>
      </c>
      <c r="U174" s="118">
        <f t="shared" ca="1" si="45"/>
        <v>621768</v>
      </c>
      <c r="V174" s="118"/>
      <c r="W174" s="118"/>
      <c r="X174" s="118"/>
      <c r="Y174" s="118"/>
      <c r="Z174" s="115"/>
    </row>
    <row r="175" spans="11:29" ht="18" customHeight="1">
      <c r="K175" s="171" t="s">
        <v>14</v>
      </c>
      <c r="L175" s="171"/>
      <c r="M175" s="171"/>
      <c r="N175" s="145" t="s">
        <v>40</v>
      </c>
      <c r="O175" s="173">
        <v>6</v>
      </c>
      <c r="P175" s="234">
        <f ca="1">OFFSET($A$1,MATCH(Z171,$A:$A,0)-1,O175)</f>
        <v>4</v>
      </c>
      <c r="Q175" s="144" t="s">
        <v>29</v>
      </c>
      <c r="R175" s="118">
        <f t="shared" ca="1" si="44"/>
        <v>295138</v>
      </c>
      <c r="S175" s="118">
        <f t="shared" ca="1" si="44"/>
        <v>1180552</v>
      </c>
      <c r="T175" s="118">
        <f ca="1">중급</f>
        <v>295138</v>
      </c>
      <c r="U175" s="118">
        <f t="shared" ca="1" si="45"/>
        <v>1180552</v>
      </c>
      <c r="V175" s="118"/>
      <c r="W175" s="118"/>
      <c r="X175" s="118"/>
      <c r="Y175" s="118"/>
      <c r="Z175" s="115"/>
    </row>
    <row r="176" spans="11:29" ht="18" customHeight="1">
      <c r="K176" s="171" t="s">
        <v>14</v>
      </c>
      <c r="L176" s="171"/>
      <c r="M176" s="171"/>
      <c r="N176" s="145" t="s">
        <v>41</v>
      </c>
      <c r="O176" s="173">
        <v>7</v>
      </c>
      <c r="P176" s="234">
        <f ca="1">OFFSET($A$1,MATCH(Z171,$A:$A,0)-1,O176)</f>
        <v>4</v>
      </c>
      <c r="Q176" s="144" t="s">
        <v>29</v>
      </c>
      <c r="R176" s="118">
        <f t="shared" ca="1" si="44"/>
        <v>235459</v>
      </c>
      <c r="S176" s="118">
        <f t="shared" ca="1" si="44"/>
        <v>941836</v>
      </c>
      <c r="T176" s="118">
        <f ca="1">초급</f>
        <v>235459</v>
      </c>
      <c r="U176" s="118">
        <f t="shared" ca="1" si="45"/>
        <v>941836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319" t="s">
        <v>42</v>
      </c>
      <c r="O177" s="174">
        <v>8</v>
      </c>
      <c r="P177" s="235">
        <f ca="1">OFFSET($A$1,MATCH(Z171,$A:$A,0)-1,O177)</f>
        <v>4</v>
      </c>
      <c r="Q177" s="322" t="s">
        <v>29</v>
      </c>
      <c r="R177" s="323">
        <f t="shared" ca="1" si="44"/>
        <v>250087</v>
      </c>
      <c r="S177" s="323">
        <f t="shared" ca="1" si="44"/>
        <v>1000348</v>
      </c>
      <c r="T177" s="323">
        <f ca="1">보조원</f>
        <v>250087</v>
      </c>
      <c r="U177" s="323">
        <f t="shared" ca="1" si="45"/>
        <v>1000348</v>
      </c>
      <c r="V177" s="323"/>
      <c r="W177" s="323"/>
      <c r="X177" s="323"/>
      <c r="Y177" s="323"/>
      <c r="Z177" s="324"/>
    </row>
    <row r="178" spans="11:26" ht="18" customHeight="1">
      <c r="K178" s="171" t="s">
        <v>14</v>
      </c>
      <c r="L178" s="171"/>
      <c r="M178" s="171"/>
      <c r="N178" s="139" t="s">
        <v>17</v>
      </c>
      <c r="O178" s="68"/>
      <c r="P178" s="69"/>
      <c r="Q178" s="70"/>
      <c r="R178" s="71"/>
      <c r="S178" s="71">
        <f ca="1">SUBTOTAL(9,S172:S177)</f>
        <v>5425644</v>
      </c>
      <c r="T178" s="71"/>
      <c r="U178" s="71">
        <f ca="1">SUBTOTAL(9,U172:U177)</f>
        <v>5425644</v>
      </c>
      <c r="V178" s="71"/>
      <c r="W178" s="71"/>
      <c r="X178" s="71"/>
      <c r="Y178" s="71"/>
      <c r="Z178" s="68"/>
    </row>
    <row r="179" spans="11:26" ht="18" customHeight="1">
      <c r="K179" s="171" t="s">
        <v>14</v>
      </c>
      <c r="L179" s="171"/>
      <c r="M179" s="171"/>
      <c r="N179" s="318" t="str">
        <f ca="1">"제 " &amp; Z179 &amp; " 호표  "&amp; OFFSET($A$1,MATCH(Z179,$A:$A,0)-1,1)</f>
        <v>제 17 호표  6.2. 주민간담회/시민계획단</v>
      </c>
      <c r="O179" s="221"/>
      <c r="P179" s="148"/>
      <c r="Q179" s="148"/>
      <c r="R179" s="149"/>
      <c r="S179" s="149"/>
      <c r="T179" s="149"/>
      <c r="U179" s="149"/>
      <c r="V179" s="149"/>
      <c r="W179" s="149"/>
      <c r="X179" s="149"/>
      <c r="Y179" s="149"/>
      <c r="Z179" s="325">
        <f>Z171+1</f>
        <v>17</v>
      </c>
    </row>
    <row r="180" spans="11:26" ht="18" customHeight="1">
      <c r="K180" s="171" t="s">
        <v>14</v>
      </c>
      <c r="L180" s="171"/>
      <c r="M180" s="171"/>
      <c r="N180" s="140" t="s">
        <v>43</v>
      </c>
      <c r="O180" s="172">
        <v>3</v>
      </c>
      <c r="P180" s="219">
        <f ca="1">OFFSET($A$1,MATCH(Z179,$A:$A,0)-1,O180)</f>
        <v>2</v>
      </c>
      <c r="Q180" s="141" t="s">
        <v>29</v>
      </c>
      <c r="R180" s="142">
        <f t="shared" ref="R180:S185" ca="1" si="46">T180</f>
        <v>467217</v>
      </c>
      <c r="S180" s="142">
        <f t="shared" ca="1" si="46"/>
        <v>934434</v>
      </c>
      <c r="T180" s="142">
        <f ca="1">기술사</f>
        <v>467217</v>
      </c>
      <c r="U180" s="142">
        <f t="shared" ref="U180:U185" ca="1" si="47">ROUNDDOWN(P180*R180,0)</f>
        <v>934434</v>
      </c>
      <c r="V180" s="142"/>
      <c r="W180" s="142"/>
      <c r="X180" s="142"/>
      <c r="Y180" s="142"/>
      <c r="Z180" s="114"/>
    </row>
    <row r="181" spans="11:26" ht="18" customHeight="1">
      <c r="K181" s="171" t="s">
        <v>14</v>
      </c>
      <c r="L181" s="171"/>
      <c r="M181" s="171"/>
      <c r="N181" s="143" t="s">
        <v>32</v>
      </c>
      <c r="O181" s="173">
        <v>4</v>
      </c>
      <c r="P181" s="234">
        <f ca="1">OFFSET($A$1,MATCH(Z179,$A:$A,0)-1,O181)</f>
        <v>2</v>
      </c>
      <c r="Q181" s="144" t="s">
        <v>29</v>
      </c>
      <c r="R181" s="118">
        <f t="shared" ca="1" si="46"/>
        <v>373353</v>
      </c>
      <c r="S181" s="118">
        <f t="shared" ca="1" si="46"/>
        <v>746706</v>
      </c>
      <c r="T181" s="118">
        <f ca="1">특급</f>
        <v>373353</v>
      </c>
      <c r="U181" s="118">
        <f t="shared" ca="1" si="47"/>
        <v>746706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39</v>
      </c>
      <c r="O182" s="173">
        <v>5</v>
      </c>
      <c r="P182" s="234">
        <f ca="1">OFFSET($A$1,MATCH(Z179,$A:$A,0)-1,O182)</f>
        <v>2</v>
      </c>
      <c r="Q182" s="144" t="s">
        <v>29</v>
      </c>
      <c r="R182" s="118">
        <f t="shared" ca="1" si="46"/>
        <v>310884</v>
      </c>
      <c r="S182" s="118">
        <f t="shared" ca="1" si="46"/>
        <v>621768</v>
      </c>
      <c r="T182" s="118">
        <f ca="1">고급</f>
        <v>310884</v>
      </c>
      <c r="U182" s="118">
        <f t="shared" ca="1" si="47"/>
        <v>621768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40</v>
      </c>
      <c r="O183" s="173">
        <v>6</v>
      </c>
      <c r="P183" s="234">
        <f ca="1">OFFSET($A$1,MATCH(Z179,$A:$A,0)-1,O183)</f>
        <v>4</v>
      </c>
      <c r="Q183" s="144" t="s">
        <v>29</v>
      </c>
      <c r="R183" s="118">
        <f t="shared" ca="1" si="46"/>
        <v>295138</v>
      </c>
      <c r="S183" s="118">
        <f t="shared" ca="1" si="46"/>
        <v>1180552</v>
      </c>
      <c r="T183" s="118">
        <f ca="1">중급</f>
        <v>295138</v>
      </c>
      <c r="U183" s="118">
        <f t="shared" ca="1" si="47"/>
        <v>1180552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41</v>
      </c>
      <c r="O184" s="173">
        <v>7</v>
      </c>
      <c r="P184" s="234">
        <f ca="1">OFFSET($A$1,MATCH(Z179,$A:$A,0)-1,O184)</f>
        <v>4</v>
      </c>
      <c r="Q184" s="144" t="s">
        <v>29</v>
      </c>
      <c r="R184" s="118">
        <f t="shared" ca="1" si="46"/>
        <v>235459</v>
      </c>
      <c r="S184" s="118">
        <f t="shared" ca="1" si="46"/>
        <v>941836</v>
      </c>
      <c r="T184" s="118">
        <f ca="1">초급</f>
        <v>235459</v>
      </c>
      <c r="U184" s="118">
        <f t="shared" ca="1" si="47"/>
        <v>941836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319" t="s">
        <v>42</v>
      </c>
      <c r="O185" s="174">
        <v>8</v>
      </c>
      <c r="P185" s="235">
        <f ca="1">OFFSET($A$1,MATCH(Z179,$A:$A,0)-1,O185)</f>
        <v>4</v>
      </c>
      <c r="Q185" s="322" t="s">
        <v>29</v>
      </c>
      <c r="R185" s="323">
        <f t="shared" ca="1" si="46"/>
        <v>250087</v>
      </c>
      <c r="S185" s="323">
        <f t="shared" ca="1" si="46"/>
        <v>1000348</v>
      </c>
      <c r="T185" s="323">
        <f ca="1">보조원</f>
        <v>250087</v>
      </c>
      <c r="U185" s="323">
        <f t="shared" ca="1" si="47"/>
        <v>1000348</v>
      </c>
      <c r="V185" s="323"/>
      <c r="W185" s="323"/>
      <c r="X185" s="323"/>
      <c r="Y185" s="323"/>
      <c r="Z185" s="324"/>
    </row>
    <row r="186" spans="11:26" ht="18" customHeight="1">
      <c r="K186" s="171" t="s">
        <v>14</v>
      </c>
      <c r="L186" s="171"/>
      <c r="M186" s="171"/>
      <c r="N186" s="139" t="s">
        <v>17</v>
      </c>
      <c r="O186" s="68"/>
      <c r="P186" s="69"/>
      <c r="Q186" s="70"/>
      <c r="R186" s="71"/>
      <c r="S186" s="71">
        <f ca="1">SUBTOTAL(9,S180:S185)</f>
        <v>5425644</v>
      </c>
      <c r="T186" s="71"/>
      <c r="U186" s="71">
        <f ca="1">SUBTOTAL(9,U180:U185)</f>
        <v>5425644</v>
      </c>
      <c r="V186" s="71"/>
      <c r="W186" s="71"/>
      <c r="X186" s="71"/>
      <c r="Y186" s="71"/>
      <c r="Z186" s="68"/>
    </row>
    <row r="187" spans="11:26" ht="18" customHeight="1">
      <c r="K187" s="171" t="s">
        <v>14</v>
      </c>
      <c r="L187" s="171"/>
      <c r="M187" s="171"/>
      <c r="N187" s="318" t="str">
        <f ca="1">"제 " &amp; Z187 &amp; " 호표  "&amp; OFFSET($A$1,MATCH(Z187,$A:$A,0)-1,1)</f>
        <v>제 18 호표  6.3. 위원회심의 지원</v>
      </c>
      <c r="O187" s="221"/>
      <c r="P187" s="148"/>
      <c r="Q187" s="148"/>
      <c r="R187" s="149"/>
      <c r="S187" s="149"/>
      <c r="T187" s="149"/>
      <c r="U187" s="149"/>
      <c r="V187" s="149"/>
      <c r="W187" s="149"/>
      <c r="X187" s="149"/>
      <c r="Y187" s="149"/>
      <c r="Z187" s="325">
        <f>Z179+1</f>
        <v>18</v>
      </c>
    </row>
    <row r="188" spans="11:26" ht="18" customHeight="1">
      <c r="K188" s="171" t="s">
        <v>14</v>
      </c>
      <c r="L188" s="171"/>
      <c r="M188" s="171"/>
      <c r="N188" s="140" t="s">
        <v>43</v>
      </c>
      <c r="O188" s="172">
        <v>3</v>
      </c>
      <c r="P188" s="219">
        <f ca="1">OFFSET($A$1,MATCH(Z187,$A:$A,0)-1,O188)</f>
        <v>2</v>
      </c>
      <c r="Q188" s="141" t="s">
        <v>29</v>
      </c>
      <c r="R188" s="142">
        <f t="shared" ref="R188:S193" ca="1" si="48">T188</f>
        <v>467217</v>
      </c>
      <c r="S188" s="142">
        <f t="shared" ca="1" si="48"/>
        <v>934434</v>
      </c>
      <c r="T188" s="142">
        <f ca="1">기술사</f>
        <v>467217</v>
      </c>
      <c r="U188" s="142">
        <f t="shared" ref="U188:U193" ca="1" si="49">ROUNDDOWN(P188*R188,0)</f>
        <v>934434</v>
      </c>
      <c r="V188" s="142"/>
      <c r="W188" s="142"/>
      <c r="X188" s="142"/>
      <c r="Y188" s="142"/>
      <c r="Z188" s="114"/>
    </row>
    <row r="189" spans="11:26" ht="18" customHeight="1">
      <c r="K189" s="171" t="s">
        <v>14</v>
      </c>
      <c r="L189" s="171"/>
      <c r="M189" s="171"/>
      <c r="N189" s="143" t="s">
        <v>32</v>
      </c>
      <c r="O189" s="173">
        <v>4</v>
      </c>
      <c r="P189" s="234">
        <f ca="1">OFFSET($A$1,MATCH(Z187,$A:$A,0)-1,O189)</f>
        <v>2</v>
      </c>
      <c r="Q189" s="144" t="s">
        <v>29</v>
      </c>
      <c r="R189" s="118">
        <f t="shared" ca="1" si="48"/>
        <v>373353</v>
      </c>
      <c r="S189" s="118">
        <f t="shared" ca="1" si="48"/>
        <v>746706</v>
      </c>
      <c r="T189" s="118">
        <f ca="1">특급</f>
        <v>373353</v>
      </c>
      <c r="U189" s="118">
        <f t="shared" ca="1" si="49"/>
        <v>746706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39</v>
      </c>
      <c r="O190" s="173">
        <v>5</v>
      </c>
      <c r="P190" s="234">
        <f ca="1">OFFSET($A$1,MATCH(Z187,$A:$A,0)-1,O190)</f>
        <v>2</v>
      </c>
      <c r="Q190" s="144" t="s">
        <v>29</v>
      </c>
      <c r="R190" s="118">
        <f t="shared" ca="1" si="48"/>
        <v>310884</v>
      </c>
      <c r="S190" s="118">
        <f t="shared" ca="1" si="48"/>
        <v>621768</v>
      </c>
      <c r="T190" s="118">
        <f ca="1">고급</f>
        <v>310884</v>
      </c>
      <c r="U190" s="118">
        <f t="shared" ca="1" si="49"/>
        <v>621768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40</v>
      </c>
      <c r="O191" s="173">
        <v>6</v>
      </c>
      <c r="P191" s="234">
        <f ca="1">OFFSET($A$1,MATCH(Z187,$A:$A,0)-1,O191)</f>
        <v>4</v>
      </c>
      <c r="Q191" s="144" t="s">
        <v>29</v>
      </c>
      <c r="R191" s="118">
        <f t="shared" ca="1" si="48"/>
        <v>295138</v>
      </c>
      <c r="S191" s="118">
        <f t="shared" ca="1" si="48"/>
        <v>1180552</v>
      </c>
      <c r="T191" s="118">
        <f ca="1">중급</f>
        <v>295138</v>
      </c>
      <c r="U191" s="118">
        <f t="shared" ca="1" si="49"/>
        <v>1180552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41</v>
      </c>
      <c r="O192" s="173">
        <v>7</v>
      </c>
      <c r="P192" s="234">
        <f ca="1">OFFSET($A$1,MATCH(Z187,$A:$A,0)-1,O192)</f>
        <v>4</v>
      </c>
      <c r="Q192" s="144" t="s">
        <v>29</v>
      </c>
      <c r="R192" s="118">
        <f t="shared" ca="1" si="48"/>
        <v>235459</v>
      </c>
      <c r="S192" s="118">
        <f t="shared" ca="1" si="48"/>
        <v>941836</v>
      </c>
      <c r="T192" s="118">
        <f ca="1">초급</f>
        <v>235459</v>
      </c>
      <c r="U192" s="118">
        <f t="shared" ca="1" si="49"/>
        <v>941836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319" t="s">
        <v>42</v>
      </c>
      <c r="O193" s="174">
        <v>8</v>
      </c>
      <c r="P193" s="235">
        <f ca="1">OFFSET($A$1,MATCH(Z187,$A:$A,0)-1,O193)</f>
        <v>4</v>
      </c>
      <c r="Q193" s="322" t="s">
        <v>29</v>
      </c>
      <c r="R193" s="323">
        <f t="shared" ca="1" si="48"/>
        <v>250087</v>
      </c>
      <c r="S193" s="323">
        <f t="shared" ca="1" si="48"/>
        <v>1000348</v>
      </c>
      <c r="T193" s="323">
        <f ca="1">보조원</f>
        <v>250087</v>
      </c>
      <c r="U193" s="323">
        <f t="shared" ca="1" si="49"/>
        <v>1000348</v>
      </c>
      <c r="V193" s="323"/>
      <c r="W193" s="323"/>
      <c r="X193" s="323"/>
      <c r="Y193" s="323"/>
      <c r="Z193" s="324"/>
    </row>
    <row r="194" spans="11:26" ht="18" customHeight="1">
      <c r="K194" s="171" t="s">
        <v>14</v>
      </c>
      <c r="L194" s="171"/>
      <c r="M194" s="171"/>
      <c r="N194" s="139" t="s">
        <v>17</v>
      </c>
      <c r="O194" s="68"/>
      <c r="P194" s="69"/>
      <c r="Q194" s="70"/>
      <c r="R194" s="71"/>
      <c r="S194" s="71">
        <f ca="1">SUBTOTAL(9,S188:S193)</f>
        <v>5425644</v>
      </c>
      <c r="T194" s="71"/>
      <c r="U194" s="71">
        <f ca="1">SUBTOTAL(9,U188:U193)</f>
        <v>5425644</v>
      </c>
      <c r="V194" s="71"/>
      <c r="W194" s="71"/>
      <c r="X194" s="71"/>
      <c r="Y194" s="71"/>
      <c r="Z194" s="68"/>
    </row>
    <row r="195" spans="11:26" ht="18" customHeight="1">
      <c r="K195" s="171" t="s">
        <v>14</v>
      </c>
      <c r="L195" s="171"/>
      <c r="M195" s="171"/>
      <c r="N195" s="318" t="str">
        <f ca="1">"제 " &amp; Z195 &amp; " 호표  "&amp; OFFSET($A$1,MATCH(Z195,$A:$A,0)-1,1)</f>
        <v>제 19 호표  6.4. 관계기관 협의</v>
      </c>
      <c r="O195" s="221"/>
      <c r="P195" s="148"/>
      <c r="Q195" s="148"/>
      <c r="R195" s="149"/>
      <c r="S195" s="149"/>
      <c r="T195" s="149"/>
      <c r="U195" s="149"/>
      <c r="V195" s="149"/>
      <c r="W195" s="149"/>
      <c r="X195" s="149"/>
      <c r="Y195" s="149"/>
      <c r="Z195" s="325">
        <f>Z187+1</f>
        <v>19</v>
      </c>
    </row>
    <row r="196" spans="11:26" ht="18" customHeight="1">
      <c r="K196" s="171" t="s">
        <v>14</v>
      </c>
      <c r="L196" s="171"/>
      <c r="M196" s="171"/>
      <c r="N196" s="140" t="s">
        <v>43</v>
      </c>
      <c r="O196" s="172">
        <v>3</v>
      </c>
      <c r="P196" s="219">
        <f ca="1">OFFSET($A$1,MATCH(Z195,$A:$A,0)-1,O196)</f>
        <v>2</v>
      </c>
      <c r="Q196" s="141" t="s">
        <v>29</v>
      </c>
      <c r="R196" s="142">
        <f t="shared" ref="R196:S201" ca="1" si="50">T196</f>
        <v>467217</v>
      </c>
      <c r="S196" s="142">
        <f t="shared" ca="1" si="50"/>
        <v>934434</v>
      </c>
      <c r="T196" s="142">
        <f ca="1">기술사</f>
        <v>467217</v>
      </c>
      <c r="U196" s="142">
        <f t="shared" ref="U196:U201" ca="1" si="51">ROUNDDOWN(P196*R196,0)</f>
        <v>934434</v>
      </c>
      <c r="V196" s="142"/>
      <c r="W196" s="142"/>
      <c r="X196" s="142"/>
      <c r="Y196" s="142"/>
      <c r="Z196" s="114"/>
    </row>
    <row r="197" spans="11:26" ht="18" customHeight="1">
      <c r="K197" s="171" t="s">
        <v>14</v>
      </c>
      <c r="L197" s="171"/>
      <c r="M197" s="171"/>
      <c r="N197" s="143" t="s">
        <v>32</v>
      </c>
      <c r="O197" s="173">
        <v>4</v>
      </c>
      <c r="P197" s="234">
        <f ca="1">OFFSET($A$1,MATCH(Z195,$A:$A,0)-1,O197)</f>
        <v>2</v>
      </c>
      <c r="Q197" s="144" t="s">
        <v>29</v>
      </c>
      <c r="R197" s="118">
        <f t="shared" ca="1" si="50"/>
        <v>373353</v>
      </c>
      <c r="S197" s="118">
        <f t="shared" ca="1" si="50"/>
        <v>746706</v>
      </c>
      <c r="T197" s="118">
        <f ca="1">특급</f>
        <v>373353</v>
      </c>
      <c r="U197" s="118">
        <f t="shared" ca="1" si="51"/>
        <v>746706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39</v>
      </c>
      <c r="O198" s="173">
        <v>5</v>
      </c>
      <c r="P198" s="234">
        <f ca="1">OFFSET($A$1,MATCH(Z195,$A:$A,0)-1,O198)</f>
        <v>2</v>
      </c>
      <c r="Q198" s="144" t="s">
        <v>29</v>
      </c>
      <c r="R198" s="118">
        <f t="shared" ca="1" si="50"/>
        <v>310884</v>
      </c>
      <c r="S198" s="118">
        <f t="shared" ca="1" si="50"/>
        <v>621768</v>
      </c>
      <c r="T198" s="118">
        <f ca="1">고급</f>
        <v>310884</v>
      </c>
      <c r="U198" s="118">
        <f t="shared" ca="1" si="51"/>
        <v>621768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40</v>
      </c>
      <c r="O199" s="173">
        <v>6</v>
      </c>
      <c r="P199" s="234">
        <f ca="1">OFFSET($A$1,MATCH(Z195,$A:$A,0)-1,O199)</f>
        <v>4</v>
      </c>
      <c r="Q199" s="144" t="s">
        <v>29</v>
      </c>
      <c r="R199" s="118">
        <f t="shared" ca="1" si="50"/>
        <v>295138</v>
      </c>
      <c r="S199" s="118">
        <f t="shared" ca="1" si="50"/>
        <v>1180552</v>
      </c>
      <c r="T199" s="118">
        <f ca="1">중급</f>
        <v>295138</v>
      </c>
      <c r="U199" s="118">
        <f t="shared" ca="1" si="51"/>
        <v>1180552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41</v>
      </c>
      <c r="O200" s="173">
        <v>7</v>
      </c>
      <c r="P200" s="234">
        <f ca="1">OFFSET($A$1,MATCH(Z195,$A:$A,0)-1,O200)</f>
        <v>4</v>
      </c>
      <c r="Q200" s="144" t="s">
        <v>29</v>
      </c>
      <c r="R200" s="118">
        <f t="shared" ca="1" si="50"/>
        <v>235459</v>
      </c>
      <c r="S200" s="118">
        <f t="shared" ca="1" si="50"/>
        <v>941836</v>
      </c>
      <c r="T200" s="118">
        <f ca="1">초급</f>
        <v>235459</v>
      </c>
      <c r="U200" s="118">
        <f t="shared" ca="1" si="51"/>
        <v>941836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319" t="s">
        <v>42</v>
      </c>
      <c r="O201" s="174">
        <v>8</v>
      </c>
      <c r="P201" s="235">
        <f ca="1">OFFSET($A$1,MATCH(Z195,$A:$A,0)-1,O201)</f>
        <v>4</v>
      </c>
      <c r="Q201" s="322" t="s">
        <v>29</v>
      </c>
      <c r="R201" s="323">
        <f t="shared" ca="1" si="50"/>
        <v>250087</v>
      </c>
      <c r="S201" s="323">
        <f t="shared" ca="1" si="50"/>
        <v>1000348</v>
      </c>
      <c r="T201" s="323">
        <f ca="1">보조원</f>
        <v>250087</v>
      </c>
      <c r="U201" s="323">
        <f t="shared" ca="1" si="51"/>
        <v>1000348</v>
      </c>
      <c r="V201" s="323"/>
      <c r="W201" s="323"/>
      <c r="X201" s="323"/>
      <c r="Y201" s="323"/>
      <c r="Z201" s="324"/>
    </row>
    <row r="202" spans="11:26" ht="18" customHeight="1">
      <c r="K202" s="171" t="s">
        <v>14</v>
      </c>
      <c r="L202" s="171"/>
      <c r="M202" s="171"/>
      <c r="N202" s="139" t="s">
        <v>17</v>
      </c>
      <c r="O202" s="68"/>
      <c r="P202" s="69"/>
      <c r="Q202" s="70"/>
      <c r="R202" s="71"/>
      <c r="S202" s="71">
        <f ca="1">SUBTOTAL(9,S196:S201)</f>
        <v>5425644</v>
      </c>
      <c r="T202" s="71"/>
      <c r="U202" s="71">
        <f ca="1">SUBTOTAL(9,U196:U201)</f>
        <v>5425644</v>
      </c>
      <c r="V202" s="71"/>
      <c r="W202" s="71"/>
      <c r="X202" s="71"/>
      <c r="Y202" s="71"/>
      <c r="Z202" s="68"/>
    </row>
    <row r="203" spans="11:26" ht="18" customHeight="1">
      <c r="K203" s="171" t="s">
        <v>14</v>
      </c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V203" s="171"/>
      <c r="W203" s="171"/>
      <c r="X203" s="171"/>
      <c r="Y203" s="171"/>
      <c r="Z203" s="171"/>
    </row>
    <row r="204" spans="11:26" ht="18" customHeight="1">
      <c r="K204" s="171" t="s">
        <v>14</v>
      </c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V204" s="171"/>
      <c r="W204" s="171"/>
      <c r="X204" s="171"/>
      <c r="Y204" s="171"/>
      <c r="Z204" s="171"/>
    </row>
    <row r="205" spans="11:26" ht="18" customHeight="1">
      <c r="K205" s="171" t="s">
        <v>14</v>
      </c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V205" s="171"/>
      <c r="W205" s="171"/>
      <c r="X205" s="171"/>
      <c r="Y205" s="171"/>
      <c r="Z205" s="171"/>
    </row>
    <row r="206" spans="11:26" ht="18" customHeight="1">
      <c r="K206" s="171" t="s">
        <v>14</v>
      </c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V206" s="171"/>
      <c r="W206" s="171"/>
      <c r="X206" s="171"/>
      <c r="Y206" s="171"/>
      <c r="Z206" s="171"/>
    </row>
    <row r="207" spans="11:26" ht="18" customHeight="1">
      <c r="K207" s="171" t="s">
        <v>14</v>
      </c>
      <c r="L207" s="171"/>
      <c r="M207" s="171"/>
      <c r="N207" s="171"/>
      <c r="O207" s="171"/>
      <c r="P207" s="171"/>
      <c r="Q207" s="171"/>
      <c r="R207" s="171"/>
      <c r="S207" s="171"/>
      <c r="T207" s="171"/>
      <c r="U207" s="171"/>
      <c r="V207" s="171"/>
      <c r="W207" s="171"/>
      <c r="X207" s="171"/>
      <c r="Y207" s="171"/>
      <c r="Z207" s="171"/>
    </row>
    <row r="208" spans="11:26" ht="18" customHeight="1">
      <c r="K208" s="171" t="s">
        <v>14</v>
      </c>
      <c r="L208" s="171"/>
      <c r="M208" s="171"/>
      <c r="N208" s="171"/>
      <c r="O208" s="171"/>
      <c r="P208" s="171"/>
      <c r="Q208" s="171"/>
      <c r="R208" s="171"/>
      <c r="S208" s="171"/>
      <c r="T208" s="171"/>
      <c r="U208" s="171"/>
      <c r="V208" s="171"/>
      <c r="W208" s="171"/>
      <c r="X208" s="171"/>
      <c r="Y208" s="171"/>
      <c r="Z208" s="171"/>
    </row>
    <row r="209" spans="11:26" ht="18" customHeight="1">
      <c r="K209" s="171" t="s">
        <v>14</v>
      </c>
      <c r="L209" s="171"/>
      <c r="M209" s="171"/>
      <c r="N209" s="171"/>
      <c r="O209" s="171"/>
      <c r="P209" s="171"/>
      <c r="Q209" s="171"/>
      <c r="R209" s="171"/>
      <c r="S209" s="171"/>
      <c r="T209" s="171"/>
      <c r="U209" s="171"/>
      <c r="V209" s="171"/>
      <c r="W209" s="171"/>
      <c r="X209" s="171"/>
      <c r="Y209" s="171"/>
      <c r="Z209" s="171"/>
    </row>
    <row r="210" spans="11:26" ht="18" customHeight="1">
      <c r="K210" s="171" t="s">
        <v>14</v>
      </c>
      <c r="L210" s="171"/>
      <c r="M210" s="171"/>
      <c r="N210" s="171"/>
      <c r="O210" s="171"/>
      <c r="P210" s="171"/>
      <c r="Q210" s="171"/>
      <c r="R210" s="171"/>
      <c r="S210" s="171"/>
      <c r="T210" s="171"/>
      <c r="U210" s="171"/>
      <c r="V210" s="171"/>
      <c r="W210" s="171"/>
      <c r="X210" s="171"/>
      <c r="Y210" s="171"/>
      <c r="Z210" s="171"/>
    </row>
    <row r="211" spans="11:26" ht="18" customHeight="1">
      <c r="K211" s="171" t="s">
        <v>14</v>
      </c>
      <c r="L211" s="171"/>
      <c r="M211" s="171"/>
      <c r="N211" s="171"/>
      <c r="O211" s="171"/>
      <c r="P211" s="171"/>
      <c r="Q211" s="171"/>
      <c r="R211" s="171"/>
      <c r="S211" s="171"/>
      <c r="T211" s="171"/>
      <c r="U211" s="171"/>
      <c r="V211" s="171"/>
      <c r="W211" s="171"/>
      <c r="X211" s="171"/>
      <c r="Y211" s="171"/>
      <c r="Z211" s="171"/>
    </row>
    <row r="212" spans="11:26" ht="18" customHeight="1">
      <c r="K212" s="171" t="s">
        <v>14</v>
      </c>
      <c r="L212" s="171"/>
      <c r="M212" s="171"/>
      <c r="N212" s="171"/>
      <c r="O212" s="171"/>
      <c r="P212" s="171"/>
      <c r="Q212" s="171"/>
      <c r="R212" s="171"/>
      <c r="S212" s="171"/>
      <c r="T212" s="171"/>
      <c r="U212" s="171"/>
      <c r="V212" s="171"/>
      <c r="W212" s="171"/>
      <c r="X212" s="171"/>
      <c r="Y212" s="171"/>
      <c r="Z212" s="171"/>
    </row>
    <row r="213" spans="11:26" ht="18" customHeight="1">
      <c r="K213" s="171" t="s">
        <v>14</v>
      </c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1:26" ht="18" customHeight="1">
      <c r="K214" s="171" t="s">
        <v>14</v>
      </c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26" ht="18" customHeight="1">
      <c r="K225" s="171" t="s">
        <v>14</v>
      </c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1:26" ht="18" customHeight="1">
      <c r="K226" s="171" t="s">
        <v>14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1:26" ht="18" customHeight="1">
      <c r="K227" s="171" t="s">
        <v>14</v>
      </c>
      <c r="L227" s="171"/>
      <c r="M227" s="171"/>
      <c r="N227" s="171"/>
      <c r="O227" s="171"/>
      <c r="P227" s="171"/>
      <c r="Q227" s="171"/>
      <c r="R227" s="171"/>
      <c r="S227" s="171"/>
      <c r="T227" s="171"/>
      <c r="U227" s="171"/>
      <c r="V227" s="171"/>
      <c r="W227" s="171"/>
      <c r="X227" s="171"/>
      <c r="Y227" s="171"/>
      <c r="Z227" s="171"/>
    </row>
    <row r="228" spans="11:26" ht="18" customHeight="1">
      <c r="K228" s="171" t="s">
        <v>14</v>
      </c>
      <c r="L228" s="171"/>
      <c r="M228" s="171"/>
      <c r="N228" s="171"/>
      <c r="O228" s="171"/>
      <c r="P228" s="171"/>
      <c r="Q228" s="171"/>
      <c r="R228" s="171"/>
      <c r="S228" s="171"/>
      <c r="T228" s="171"/>
      <c r="U228" s="171"/>
      <c r="V228" s="171"/>
      <c r="W228" s="171"/>
      <c r="X228" s="171"/>
      <c r="Y228" s="171"/>
      <c r="Z228" s="171"/>
    </row>
    <row r="229" spans="11:26" ht="18" customHeight="1">
      <c r="K229" s="171" t="s">
        <v>14</v>
      </c>
      <c r="L229" s="171"/>
      <c r="M229" s="171"/>
      <c r="N229" s="171"/>
      <c r="O229" s="171"/>
      <c r="P229" s="171"/>
      <c r="Q229" s="171"/>
      <c r="R229" s="171"/>
      <c r="S229" s="171"/>
      <c r="T229" s="171"/>
      <c r="U229" s="171"/>
      <c r="V229" s="171"/>
      <c r="W229" s="171"/>
      <c r="X229" s="171"/>
      <c r="Y229" s="171"/>
      <c r="Z229" s="171"/>
    </row>
    <row r="230" spans="11:26" ht="18" customHeight="1">
      <c r="K230" s="171" t="s">
        <v>14</v>
      </c>
      <c r="L230" s="171"/>
      <c r="M230" s="171"/>
      <c r="N230" s="171"/>
      <c r="O230" s="171"/>
      <c r="P230" s="171"/>
      <c r="Q230" s="171"/>
      <c r="R230" s="171"/>
      <c r="S230" s="171"/>
      <c r="T230" s="171"/>
      <c r="U230" s="171"/>
      <c r="V230" s="171"/>
      <c r="W230" s="171"/>
      <c r="X230" s="171"/>
      <c r="Y230" s="171"/>
      <c r="Z230" s="171"/>
    </row>
    <row r="231" spans="11:26" ht="18" customHeight="1">
      <c r="K231" s="171" t="s">
        <v>14</v>
      </c>
      <c r="L231" s="171"/>
      <c r="M231" s="171"/>
    </row>
    <row r="232" spans="11:26" ht="18" customHeight="1">
      <c r="K232" s="171" t="s">
        <v>14</v>
      </c>
      <c r="L232" s="171"/>
      <c r="M232" s="171"/>
    </row>
    <row r="233" spans="11:26" ht="18" customHeight="1">
      <c r="K233" s="171" t="s">
        <v>14</v>
      </c>
      <c r="L233" s="171"/>
      <c r="M233" s="171"/>
    </row>
    <row r="234" spans="11:26" ht="18" customHeight="1">
      <c r="K234" s="171" t="s">
        <v>14</v>
      </c>
      <c r="L234" s="171"/>
      <c r="M234" s="171"/>
    </row>
    <row r="235" spans="11:26" ht="18" customHeight="1">
      <c r="K235" s="171" t="s">
        <v>14</v>
      </c>
      <c r="L235" s="171"/>
      <c r="M235" s="171"/>
    </row>
    <row r="236" spans="11:26" ht="18" customHeight="1">
      <c r="K236" s="171" t="s">
        <v>14</v>
      </c>
      <c r="L236" s="171"/>
      <c r="M236" s="171"/>
    </row>
    <row r="237" spans="11:26" ht="18" customHeight="1">
      <c r="K237" s="171" t="s">
        <v>14</v>
      </c>
      <c r="L237" s="171"/>
      <c r="M237" s="171"/>
    </row>
    <row r="238" spans="11:26" ht="18" customHeight="1">
      <c r="K238" s="171" t="s">
        <v>14</v>
      </c>
      <c r="L238" s="171"/>
      <c r="M238" s="171"/>
    </row>
    <row r="239" spans="11:26" ht="18" customHeight="1">
      <c r="K239" s="171" t="s">
        <v>14</v>
      </c>
      <c r="L239" s="171"/>
      <c r="M239" s="171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L618" s="171"/>
      <c r="M618" s="171"/>
    </row>
    <row r="619" spans="11:13" ht="18" customHeight="1"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  <row r="764" spans="12:12" ht="18" customHeight="1">
      <c r="L764" s="171"/>
    </row>
    <row r="765" spans="12:12" ht="18" customHeight="1">
      <c r="L765" s="171"/>
    </row>
    <row r="766" spans="12:12" ht="18" customHeight="1">
      <c r="L766" s="171"/>
    </row>
    <row r="767" spans="12:12" ht="18" customHeight="1">
      <c r="L767" s="171"/>
    </row>
    <row r="768" spans="12:12" ht="18" customHeight="1">
      <c r="L768" s="171"/>
    </row>
  </sheetData>
  <mergeCells count="17">
    <mergeCell ref="P49:P50"/>
    <mergeCell ref="Q49:Q50"/>
    <mergeCell ref="Z49:Z50"/>
    <mergeCell ref="B11:C12"/>
    <mergeCell ref="J11:J12"/>
    <mergeCell ref="L11:L12"/>
    <mergeCell ref="N49:N50"/>
    <mergeCell ref="O49:O50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3:V38">
    <cfRule type="cellIs" dxfId="56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62">
    <tabColor rgb="FF00B050"/>
    <pageSetUpPr fitToPage="1"/>
  </sheetPr>
  <dimension ref="A1:AB815"/>
  <sheetViews>
    <sheetView showGridLines="0" zoomScale="85" zoomScaleNormal="85" zoomScaleSheetLayoutView="75" workbookViewId="0">
      <selection activeCell="C59" sqref="C59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3.25" thickBot="1">
      <c r="B1" s="7" t="s">
        <v>449</v>
      </c>
    </row>
    <row r="2" spans="1:27" ht="19.5" thickBot="1">
      <c r="B2" s="66" t="s">
        <v>1</v>
      </c>
      <c r="G2" s="822" t="s">
        <v>1693</v>
      </c>
      <c r="H2" s="823"/>
      <c r="I2" s="692">
        <v>1</v>
      </c>
      <c r="J2" s="680" t="s">
        <v>794</v>
      </c>
    </row>
    <row r="3" spans="1:27" ht="18" customHeight="1">
      <c r="B3" s="773" t="s">
        <v>48</v>
      </c>
      <c r="C3" s="774"/>
      <c r="D3" s="809">
        <v>10</v>
      </c>
      <c r="E3" s="810"/>
      <c r="F3" s="44" t="s">
        <v>450</v>
      </c>
      <c r="G3" s="767" t="s">
        <v>1104</v>
      </c>
      <c r="H3" s="768"/>
      <c r="I3" s="656">
        <v>2</v>
      </c>
      <c r="J3" s="669" t="s">
        <v>1512</v>
      </c>
    </row>
    <row r="4" spans="1:27" ht="18" customHeight="1">
      <c r="B4" s="777" t="s">
        <v>1691</v>
      </c>
      <c r="C4" s="778"/>
      <c r="D4" s="811">
        <v>10</v>
      </c>
      <c r="E4" s="812"/>
      <c r="F4" s="65" t="str">
        <f>F3</f>
        <v>만㎡</v>
      </c>
      <c r="G4" s="769" t="s">
        <v>1692</v>
      </c>
      <c r="H4" s="770"/>
      <c r="I4" s="298">
        <v>2</v>
      </c>
      <c r="J4" s="670" t="s">
        <v>794</v>
      </c>
    </row>
    <row r="5" spans="1:27" ht="18" customHeight="1" thickBot="1">
      <c r="B5" s="781" t="s">
        <v>451</v>
      </c>
      <c r="C5" s="782"/>
      <c r="D5" s="783">
        <f>ROUND((IF(D4&lt;=1,1,D4)/D3)^0.3,3)</f>
        <v>1</v>
      </c>
      <c r="E5" s="813"/>
      <c r="F5" s="244"/>
      <c r="G5" s="771" t="s">
        <v>1102</v>
      </c>
      <c r="H5" s="772"/>
      <c r="I5" s="646">
        <f>ROUND(I4/I3,3)</f>
        <v>1</v>
      </c>
      <c r="J5" s="671"/>
    </row>
    <row r="6" spans="1:27" ht="18" customHeight="1">
      <c r="B6" s="9" t="s">
        <v>1661</v>
      </c>
      <c r="C6" s="9"/>
      <c r="D6" s="64"/>
      <c r="E6" s="64"/>
      <c r="G6" s="1" t="s">
        <v>1695</v>
      </c>
      <c r="J6" s="36"/>
      <c r="R6" s="1"/>
      <c r="S6" s="1"/>
      <c r="T6" s="1"/>
    </row>
    <row r="7" spans="1:27" ht="18" customHeight="1">
      <c r="C7" s="1" t="s">
        <v>1662</v>
      </c>
      <c r="G7" s="9" t="s">
        <v>1694</v>
      </c>
      <c r="W7" s="1"/>
      <c r="X7" s="1"/>
    </row>
    <row r="8" spans="1:27" ht="18" customHeight="1">
      <c r="G8" s="36"/>
      <c r="W8" s="676"/>
      <c r="X8" s="676"/>
    </row>
    <row r="9" spans="1:27" ht="18" customHeight="1">
      <c r="G9" s="36"/>
      <c r="W9" s="188" t="s">
        <v>3</v>
      </c>
      <c r="X9" s="189"/>
    </row>
    <row r="10" spans="1:27" ht="18" customHeight="1" thickBot="1">
      <c r="B10" s="66" t="s">
        <v>4</v>
      </c>
      <c r="C10" s="9"/>
      <c r="D10" s="64"/>
      <c r="E10" s="64"/>
      <c r="G10" s="36"/>
      <c r="N10" s="66" t="s">
        <v>5</v>
      </c>
    </row>
    <row r="11" spans="1:27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121"/>
      <c r="V11" s="121"/>
      <c r="W11" s="186">
        <f ca="1">SUBTOTAL(9,W12:W43)</f>
        <v>298149155</v>
      </c>
      <c r="X11" s="187"/>
      <c r="Y11" s="177"/>
      <c r="Z11" s="167"/>
    </row>
    <row r="12" spans="1:27" ht="18" customHeight="1">
      <c r="A12" s="326"/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N12" s="127" t="s">
        <v>8</v>
      </c>
      <c r="O12" s="122"/>
      <c r="P12" s="122"/>
      <c r="Q12" s="123"/>
      <c r="R12" s="123"/>
      <c r="S12" s="123"/>
      <c r="T12" s="123"/>
      <c r="U12" s="184"/>
      <c r="V12" s="184"/>
      <c r="W12" s="163">
        <f ca="1">SUBTOTAL(9,W13:W40)</f>
        <v>109562310</v>
      </c>
      <c r="X12" s="164"/>
      <c r="Y12" s="178" t="s">
        <v>9</v>
      </c>
      <c r="Z12" s="179"/>
    </row>
    <row r="13" spans="1:27" ht="18" customHeight="1" thickBot="1">
      <c r="A13" s="326"/>
      <c r="B13" s="759"/>
      <c r="C13" s="760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181"/>
      <c r="V13" s="218"/>
      <c r="W13" s="159">
        <f ca="1">SUBTOTAL(9,W14:W36)</f>
        <v>105062310</v>
      </c>
      <c r="X13" s="160"/>
      <c r="Y13" s="168"/>
      <c r="Z13" s="168"/>
    </row>
    <row r="14" spans="1:27" ht="18" customHeight="1">
      <c r="A14" s="355"/>
      <c r="B14" s="73" t="s">
        <v>452</v>
      </c>
      <c r="C14" s="72"/>
      <c r="D14" s="30">
        <f t="shared" ref="D14:I14" si="0">SUBTOTAL(9,D15:D16)</f>
        <v>0.60000000000000009</v>
      </c>
      <c r="E14" s="31">
        <f t="shared" si="0"/>
        <v>1</v>
      </c>
      <c r="F14" s="31">
        <f t="shared" si="0"/>
        <v>2</v>
      </c>
      <c r="G14" s="31">
        <f t="shared" si="0"/>
        <v>3</v>
      </c>
      <c r="H14" s="31">
        <f t="shared" si="0"/>
        <v>5</v>
      </c>
      <c r="I14" s="32">
        <f t="shared" si="0"/>
        <v>6</v>
      </c>
      <c r="J14" s="678"/>
      <c r="L14" s="232"/>
      <c r="N14" s="354" t="str">
        <f>B14</f>
        <v>1. 계획검토</v>
      </c>
      <c r="O14" s="169"/>
      <c r="P14" s="169"/>
      <c r="Q14" s="169"/>
      <c r="R14" s="169"/>
      <c r="S14" s="169"/>
      <c r="T14" s="169"/>
      <c r="U14" s="226"/>
      <c r="V14" s="248"/>
      <c r="W14" s="193">
        <f ca="1">SUBTOTAL(9,W15:W16)</f>
        <v>4838677</v>
      </c>
      <c r="X14" s="194"/>
      <c r="Y14" s="170" t="str">
        <f>IF(A37&gt;0, "제 " &amp;A37&amp; " 호표","")</f>
        <v/>
      </c>
      <c r="Z14" s="170"/>
      <c r="AA14" s="229"/>
    </row>
    <row r="15" spans="1:27" ht="18" customHeight="1">
      <c r="A15" s="355"/>
      <c r="B15" s="409" t="s">
        <v>1666</v>
      </c>
      <c r="C15" s="237"/>
      <c r="D15" s="20">
        <v>0.4</v>
      </c>
      <c r="E15" s="21">
        <v>0.6</v>
      </c>
      <c r="F15" s="21">
        <v>1.2</v>
      </c>
      <c r="G15" s="21">
        <v>1.8</v>
      </c>
      <c r="H15" s="21">
        <v>3</v>
      </c>
      <c r="I15" s="22">
        <v>3.5</v>
      </c>
      <c r="J15" s="389" t="s">
        <v>1664</v>
      </c>
      <c r="L15" s="233">
        <v>1</v>
      </c>
      <c r="N15" s="292" t="str">
        <f t="shared" ref="N15:N36" si="1">B15</f>
        <v>1.1. 관련법규 및 계획 검토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SUM((ROUNDDOWN((D39:I39)*단가,0)))</f>
        <v>2896886</v>
      </c>
      <c r="X15" s="154"/>
      <c r="Y15" s="170" t="str">
        <f>IF(A39&gt;0, "제 " &amp;A39&amp; " 호표","")</f>
        <v>제 1 호표</v>
      </c>
      <c r="Z15" s="150"/>
    </row>
    <row r="16" spans="1:27" ht="18" customHeight="1">
      <c r="A16" s="355"/>
      <c r="B16" s="410" t="s">
        <v>1667</v>
      </c>
      <c r="C16" s="237"/>
      <c r="D16" s="20">
        <v>0.2</v>
      </c>
      <c r="E16" s="21">
        <v>0.4</v>
      </c>
      <c r="F16" s="21">
        <v>0.8</v>
      </c>
      <c r="G16" s="21">
        <v>1.2</v>
      </c>
      <c r="H16" s="21">
        <v>2</v>
      </c>
      <c r="I16" s="22">
        <v>2.5</v>
      </c>
      <c r="J16" s="443" t="s">
        <v>1090</v>
      </c>
      <c r="L16" s="233">
        <v>1</v>
      </c>
      <c r="N16" s="292" t="str">
        <f t="shared" si="1"/>
        <v>1.2. 주변지역과의 상관성 검토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SUM((ROUNDDOWN((D40:I40)*단가,0)))</f>
        <v>1941791</v>
      </c>
      <c r="X16" s="154"/>
      <c r="Y16" s="170" t="str">
        <f t="shared" ref="Y16:Y36" si="2">IF(A40&gt;0, "제 " &amp;A40&amp; " 호표","")</f>
        <v>제 2 호표</v>
      </c>
      <c r="Z16" s="150"/>
    </row>
    <row r="17" spans="1:26" ht="18" customHeight="1">
      <c r="A17" s="355"/>
      <c r="B17" s="222" t="s">
        <v>1668</v>
      </c>
      <c r="C17" s="47"/>
      <c r="D17" s="33">
        <f t="shared" ref="D17:I17" si="3">SUBTOTAL(9,D18:D25)</f>
        <v>1.6</v>
      </c>
      <c r="E17" s="34">
        <f t="shared" si="3"/>
        <v>4.8</v>
      </c>
      <c r="F17" s="34">
        <f t="shared" si="3"/>
        <v>14.4</v>
      </c>
      <c r="G17" s="34">
        <f t="shared" si="3"/>
        <v>18</v>
      </c>
      <c r="H17" s="34">
        <f t="shared" si="3"/>
        <v>36</v>
      </c>
      <c r="I17" s="35">
        <f t="shared" si="3"/>
        <v>42</v>
      </c>
      <c r="J17" s="620"/>
      <c r="L17" s="233"/>
      <c r="N17" s="79" t="str">
        <f t="shared" si="1"/>
        <v>2. 개발사업 구역(지구) 지정(변경) 도서작성</v>
      </c>
      <c r="O17" s="37"/>
      <c r="P17" s="37"/>
      <c r="Q17" s="37"/>
      <c r="R17" s="37"/>
      <c r="S17" s="37"/>
      <c r="T17" s="37"/>
      <c r="U17" s="227"/>
      <c r="V17" s="231"/>
      <c r="W17" s="193">
        <f ca="1">SUBTOTAL(9,W18:W25)</f>
        <v>31309026</v>
      </c>
      <c r="X17" s="154"/>
      <c r="Y17" s="170" t="str">
        <f t="shared" si="2"/>
        <v/>
      </c>
      <c r="Z17" s="150"/>
    </row>
    <row r="18" spans="1:26" ht="18" customHeight="1">
      <c r="A18" s="355"/>
      <c r="B18" s="223" t="s">
        <v>1669</v>
      </c>
      <c r="C18" s="237"/>
      <c r="D18" s="20">
        <v>0.4</v>
      </c>
      <c r="E18" s="21">
        <v>1</v>
      </c>
      <c r="F18" s="21">
        <v>2.4</v>
      </c>
      <c r="G18" s="21">
        <v>3</v>
      </c>
      <c r="H18" s="21">
        <v>6</v>
      </c>
      <c r="I18" s="22">
        <v>8.5</v>
      </c>
      <c r="J18" s="389" t="s">
        <v>1090</v>
      </c>
      <c r="L18" s="233">
        <v>1</v>
      </c>
      <c r="N18" s="292" t="str">
        <f t="shared" si="1"/>
        <v>2.1. 개발사업 구역(지구) 결정(변경)조서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SUM((ROUNDDOWN((D42:I42)*단가,0)))</f>
        <v>5730267</v>
      </c>
      <c r="X18" s="154"/>
      <c r="Y18" s="170" t="str">
        <f t="shared" si="2"/>
        <v>제 3 호표</v>
      </c>
      <c r="Z18" s="150"/>
    </row>
    <row r="19" spans="1:26" ht="18" customHeight="1">
      <c r="A19" s="355"/>
      <c r="B19" s="223" t="s">
        <v>1670</v>
      </c>
      <c r="C19" s="237"/>
      <c r="D19" s="20">
        <v>0.6</v>
      </c>
      <c r="E19" s="21">
        <v>1</v>
      </c>
      <c r="F19" s="21">
        <v>6</v>
      </c>
      <c r="G19" s="21">
        <v>7</v>
      </c>
      <c r="H19" s="21">
        <v>15</v>
      </c>
      <c r="I19" s="22">
        <v>12</v>
      </c>
      <c r="J19" s="389" t="s">
        <v>1090</v>
      </c>
      <c r="L19" s="233">
        <v>1</v>
      </c>
      <c r="N19" s="292" t="str">
        <f t="shared" si="1"/>
        <v>2.2. 개발사업 구역(지구) 조사서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SUM((ROUNDDOWN((D43:I43)*단가,0)))</f>
        <v>11117882</v>
      </c>
      <c r="X19" s="154"/>
      <c r="Y19" s="170" t="str">
        <f t="shared" si="2"/>
        <v>제 4 호표</v>
      </c>
      <c r="Z19" s="150"/>
    </row>
    <row r="20" spans="1:26" ht="18" customHeight="1">
      <c r="A20" s="355"/>
      <c r="B20" s="223" t="s">
        <v>1671</v>
      </c>
      <c r="C20" s="237"/>
      <c r="D20" s="20">
        <v>0</v>
      </c>
      <c r="E20" s="21">
        <v>0</v>
      </c>
      <c r="F20" s="21">
        <v>0</v>
      </c>
      <c r="G20" s="21">
        <v>0</v>
      </c>
      <c r="H20" s="21">
        <v>0</v>
      </c>
      <c r="I20" s="22">
        <v>0</v>
      </c>
      <c r="J20" s="389" t="s">
        <v>1665</v>
      </c>
      <c r="L20" s="233">
        <v>1</v>
      </c>
      <c r="N20" s="292" t="str">
        <f t="shared" si="1"/>
        <v>2.3. 각종 영향 검토서 정리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SUM((ROUNDDOWN((D44:I44)*단가,0)))</f>
        <v>0</v>
      </c>
      <c r="X20" s="154"/>
      <c r="Y20" s="170" t="str">
        <f t="shared" si="2"/>
        <v>제 5 호표</v>
      </c>
      <c r="Z20" s="150"/>
    </row>
    <row r="21" spans="1:26" ht="18" customHeight="1">
      <c r="A21" s="355"/>
      <c r="B21" s="223" t="s">
        <v>1672</v>
      </c>
      <c r="C21" s="237"/>
      <c r="D21" s="20">
        <v>0.6</v>
      </c>
      <c r="E21" s="21">
        <v>0.6</v>
      </c>
      <c r="F21" s="21">
        <v>1.2</v>
      </c>
      <c r="G21" s="21">
        <v>2</v>
      </c>
      <c r="H21" s="21">
        <v>3</v>
      </c>
      <c r="I21" s="22">
        <v>4.5</v>
      </c>
      <c r="J21" s="389" t="s">
        <v>1090</v>
      </c>
      <c r="L21" s="233">
        <v>1</v>
      </c>
      <c r="N21" s="292" t="str">
        <f t="shared" si="1"/>
        <v>2.4. 공고에 따른 의견내용 및 조치결과 작성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SUM((ROUNDDOWN((D45:I45)*단가,0)))</f>
        <v>3299445</v>
      </c>
      <c r="X21" s="154"/>
      <c r="Y21" s="170" t="str">
        <f t="shared" si="2"/>
        <v>제 6 호표</v>
      </c>
      <c r="Z21" s="150"/>
    </row>
    <row r="22" spans="1:26" ht="18" customHeight="1">
      <c r="A22" s="355"/>
      <c r="B22" s="223" t="s">
        <v>1673</v>
      </c>
      <c r="C22" s="237"/>
      <c r="D22" s="20">
        <v>0</v>
      </c>
      <c r="E22" s="21">
        <v>1</v>
      </c>
      <c r="F22" s="21">
        <v>2.4</v>
      </c>
      <c r="G22" s="21">
        <v>3</v>
      </c>
      <c r="H22" s="21">
        <v>6</v>
      </c>
      <c r="I22" s="22">
        <v>8.5</v>
      </c>
      <c r="J22" s="389" t="s">
        <v>1090</v>
      </c>
      <c r="L22" s="233">
        <v>1</v>
      </c>
      <c r="N22" s="292" t="str">
        <f t="shared" si="1"/>
        <v>2.5. 도시군관리계획(변경)결정도 및 지형도면 고시도 작성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SUM((ROUNDDOWN((D46:I46)*단가,0)))</f>
        <v>5543381</v>
      </c>
      <c r="X22" s="154"/>
      <c r="Y22" s="170" t="str">
        <f t="shared" si="2"/>
        <v>제 7 호표</v>
      </c>
      <c r="Z22" s="150"/>
    </row>
    <row r="23" spans="1:26" ht="18" customHeight="1">
      <c r="A23" s="355"/>
      <c r="B23" s="223" t="s">
        <v>1674</v>
      </c>
      <c r="C23" s="237"/>
      <c r="D23" s="20">
        <v>0</v>
      </c>
      <c r="E23" s="21">
        <v>1.2</v>
      </c>
      <c r="F23" s="21">
        <v>2.4</v>
      </c>
      <c r="G23" s="21">
        <v>3</v>
      </c>
      <c r="H23" s="21">
        <v>6</v>
      </c>
      <c r="I23" s="22">
        <v>8.5</v>
      </c>
      <c r="J23" s="389" t="s">
        <v>1664</v>
      </c>
      <c r="L23" s="233">
        <v>1</v>
      </c>
      <c r="N23" s="292" t="str">
        <f t="shared" si="1"/>
        <v>2.6. 지적도 및 토지조서, 권리조서 등 작성</v>
      </c>
      <c r="O23" s="37"/>
      <c r="P23" s="39"/>
      <c r="Q23" s="37"/>
      <c r="R23" s="117"/>
      <c r="S23" s="37"/>
      <c r="T23" s="37"/>
      <c r="U23" s="228"/>
      <c r="V23" s="231"/>
      <c r="W23" s="153">
        <f t="array" aca="1" ref="W23" ca="1">SUM((ROUNDDOWN((D47:I47)*단가,0)))</f>
        <v>5618051</v>
      </c>
      <c r="X23" s="196"/>
      <c r="Y23" s="170" t="str">
        <f t="shared" si="2"/>
        <v>제 8 호표</v>
      </c>
      <c r="Z23" s="150"/>
    </row>
    <row r="24" spans="1:26" ht="18" customHeight="1">
      <c r="A24" s="355"/>
      <c r="B24" s="223" t="s">
        <v>1675</v>
      </c>
      <c r="C24" s="237"/>
      <c r="D24" s="20">
        <v>0</v>
      </c>
      <c r="E24" s="21">
        <v>0</v>
      </c>
      <c r="F24" s="21">
        <v>0</v>
      </c>
      <c r="G24" s="21">
        <v>0</v>
      </c>
      <c r="H24" s="21">
        <v>0</v>
      </c>
      <c r="I24" s="22">
        <v>0</v>
      </c>
      <c r="J24" s="389" t="s">
        <v>1663</v>
      </c>
      <c r="L24" s="233">
        <v>1</v>
      </c>
      <c r="N24" s="292" t="str">
        <f t="shared" si="1"/>
        <v>2.7. 농지관련 서류작성</v>
      </c>
      <c r="O24" s="37"/>
      <c r="P24" s="39"/>
      <c r="Q24" s="37"/>
      <c r="R24" s="117"/>
      <c r="S24" s="37"/>
      <c r="T24" s="37"/>
      <c r="U24" s="228"/>
      <c r="V24" s="231"/>
      <c r="W24" s="153">
        <f t="array" aca="1" ref="W24" ca="1">SUM((ROUNDDOWN((D48:I48)*단가,0)))</f>
        <v>0</v>
      </c>
      <c r="X24" s="154"/>
      <c r="Y24" s="170" t="str">
        <f t="shared" si="2"/>
        <v>제 9 호표</v>
      </c>
      <c r="Z24" s="150"/>
    </row>
    <row r="25" spans="1:26" ht="18" customHeight="1">
      <c r="A25" s="355"/>
      <c r="B25" s="223" t="s">
        <v>1676</v>
      </c>
      <c r="C25" s="237"/>
      <c r="D25" s="20">
        <v>0</v>
      </c>
      <c r="E25" s="21">
        <v>0</v>
      </c>
      <c r="F25" s="21">
        <v>0</v>
      </c>
      <c r="G25" s="21">
        <v>0</v>
      </c>
      <c r="H25" s="21">
        <v>0</v>
      </c>
      <c r="I25" s="22">
        <v>0</v>
      </c>
      <c r="J25" s="443" t="s">
        <v>1663</v>
      </c>
      <c r="L25" s="233">
        <v>1</v>
      </c>
      <c r="N25" s="292" t="str">
        <f t="shared" si="1"/>
        <v>2.8. 산지, 초지관련 서류작성</v>
      </c>
      <c r="O25" s="37"/>
      <c r="P25" s="39"/>
      <c r="Q25" s="37"/>
      <c r="R25" s="117"/>
      <c r="S25" s="37"/>
      <c r="T25" s="37"/>
      <c r="U25" s="228"/>
      <c r="V25" s="231"/>
      <c r="W25" s="153">
        <f t="array" aca="1" ref="W25" ca="1">SUM((ROUNDDOWN((D49:I49)*단가,0)))</f>
        <v>0</v>
      </c>
      <c r="X25" s="154"/>
      <c r="Y25" s="170" t="str">
        <f t="shared" si="2"/>
        <v>제 10 호표</v>
      </c>
      <c r="Z25" s="150"/>
    </row>
    <row r="26" spans="1:26" ht="18" customHeight="1">
      <c r="A26" s="355"/>
      <c r="B26" s="222" t="s">
        <v>1677</v>
      </c>
      <c r="C26" s="47"/>
      <c r="D26" s="33">
        <f t="shared" ref="D26:I26" si="4">SUBTOTAL(9,D27:D28)</f>
        <v>8.1</v>
      </c>
      <c r="E26" s="34">
        <f t="shared" si="4"/>
        <v>18.399999999999999</v>
      </c>
      <c r="F26" s="34">
        <f t="shared" si="4"/>
        <v>19</v>
      </c>
      <c r="G26" s="34">
        <f t="shared" si="4"/>
        <v>13</v>
      </c>
      <c r="H26" s="34">
        <f t="shared" si="4"/>
        <v>12.3</v>
      </c>
      <c r="I26" s="35">
        <f t="shared" si="4"/>
        <v>9.3000000000000007</v>
      </c>
      <c r="J26" s="594"/>
      <c r="L26" s="233"/>
      <c r="N26" s="79" t="str">
        <f t="shared" si="1"/>
        <v>3. 개발컨셉구상</v>
      </c>
      <c r="O26" s="37"/>
      <c r="P26" s="39"/>
      <c r="Q26" s="37"/>
      <c r="R26" s="117"/>
      <c r="S26" s="37"/>
      <c r="T26" s="37"/>
      <c r="U26" s="228"/>
      <c r="V26" s="231"/>
      <c r="W26" s="193">
        <f ca="1">SUBTOTAL(9,W27:W28)</f>
        <v>25619695</v>
      </c>
      <c r="X26" s="154"/>
      <c r="Y26" s="170" t="str">
        <f t="shared" si="2"/>
        <v/>
      </c>
      <c r="Z26" s="150"/>
    </row>
    <row r="27" spans="1:26" ht="18" customHeight="1">
      <c r="A27" s="355"/>
      <c r="B27" s="223" t="s">
        <v>1678</v>
      </c>
      <c r="C27" s="237"/>
      <c r="D27" s="20">
        <v>7.6</v>
      </c>
      <c r="E27" s="21">
        <v>17.899999999999999</v>
      </c>
      <c r="F27" s="21">
        <v>18.5</v>
      </c>
      <c r="G27" s="21">
        <v>12</v>
      </c>
      <c r="H27" s="21">
        <v>11.3</v>
      </c>
      <c r="I27" s="22">
        <v>8.3000000000000007</v>
      </c>
      <c r="J27" s="400" t="s">
        <v>1090</v>
      </c>
      <c r="L27" s="233">
        <v>1</v>
      </c>
      <c r="N27" s="292" t="str">
        <f t="shared" si="1"/>
        <v>3.1. 개발컨셉구상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SUM((ROUNDDOWN((D51:I51)*단가,0)))</f>
        <v>24263285</v>
      </c>
      <c r="X27" s="154"/>
      <c r="Y27" s="170" t="str">
        <f t="shared" si="2"/>
        <v>제 11 호표</v>
      </c>
      <c r="Z27" s="150"/>
    </row>
    <row r="28" spans="1:26" ht="18" customHeight="1">
      <c r="A28" s="355"/>
      <c r="B28" s="259" t="s">
        <v>1679</v>
      </c>
      <c r="C28" s="264"/>
      <c r="D28" s="40">
        <v>0.5</v>
      </c>
      <c r="E28" s="41">
        <v>0.5</v>
      </c>
      <c r="F28" s="41">
        <v>0.5</v>
      </c>
      <c r="G28" s="41">
        <v>1</v>
      </c>
      <c r="H28" s="41">
        <v>1</v>
      </c>
      <c r="I28" s="42">
        <v>1</v>
      </c>
      <c r="J28" s="685" t="s">
        <v>1688</v>
      </c>
      <c r="L28" s="233">
        <v>1</v>
      </c>
      <c r="N28" s="292" t="str">
        <f t="shared" si="1"/>
        <v>3.2. 자문회의 지원</v>
      </c>
      <c r="O28" s="37"/>
      <c r="P28" s="39"/>
      <c r="Q28" s="37"/>
      <c r="R28" s="117"/>
      <c r="S28" s="37"/>
      <c r="T28" s="37"/>
      <c r="U28" s="228"/>
      <c r="V28" s="231"/>
      <c r="W28" s="153">
        <f t="array" aca="1" ref="W28" ca="1">SUM((ROUNDDOWN((D52:I52)*단가,0)))</f>
        <v>1356410</v>
      </c>
      <c r="X28" s="154"/>
      <c r="Y28" s="170" t="str">
        <f t="shared" si="2"/>
        <v>제 12 호표</v>
      </c>
      <c r="Z28" s="150"/>
    </row>
    <row r="29" spans="1:26" ht="18" customHeight="1">
      <c r="A29" s="355"/>
      <c r="B29" s="222" t="s">
        <v>1680</v>
      </c>
      <c r="C29" s="47"/>
      <c r="D29" s="33">
        <f t="shared" ref="D29:I29" si="5">SUBTOTAL(9,D30:D31)</f>
        <v>1.4</v>
      </c>
      <c r="E29" s="34">
        <f t="shared" si="5"/>
        <v>2.2000000000000002</v>
      </c>
      <c r="F29" s="34">
        <f t="shared" si="5"/>
        <v>6.6</v>
      </c>
      <c r="G29" s="34">
        <f t="shared" si="5"/>
        <v>10</v>
      </c>
      <c r="H29" s="34">
        <f t="shared" si="5"/>
        <v>30.2</v>
      </c>
      <c r="I29" s="35">
        <f t="shared" si="5"/>
        <v>32</v>
      </c>
      <c r="J29" s="594"/>
      <c r="L29" s="233"/>
      <c r="N29" s="79" t="str">
        <f t="shared" si="1"/>
        <v>4. 성과품작성</v>
      </c>
      <c r="O29" s="37"/>
      <c r="P29" s="39"/>
      <c r="Q29" s="37"/>
      <c r="R29" s="117"/>
      <c r="S29" s="37"/>
      <c r="T29" s="37"/>
      <c r="U29" s="228"/>
      <c r="V29" s="231"/>
      <c r="W29" s="193">
        <f ca="1">SUBTOTAL(9,W30:W31)</f>
        <v>21592336</v>
      </c>
      <c r="X29" s="154"/>
      <c r="Y29" s="170" t="str">
        <f t="shared" si="2"/>
        <v/>
      </c>
      <c r="Z29" s="150"/>
    </row>
    <row r="30" spans="1:26" ht="18" customHeight="1">
      <c r="A30" s="355"/>
      <c r="B30" s="223" t="s">
        <v>1681</v>
      </c>
      <c r="C30" s="237"/>
      <c r="D30" s="20">
        <v>0.7</v>
      </c>
      <c r="E30" s="21">
        <v>1.1000000000000001</v>
      </c>
      <c r="F30" s="21">
        <v>3.3</v>
      </c>
      <c r="G30" s="21">
        <v>5</v>
      </c>
      <c r="H30" s="21">
        <v>15.1</v>
      </c>
      <c r="I30" s="22">
        <v>16</v>
      </c>
      <c r="J30" s="400" t="s">
        <v>1090</v>
      </c>
      <c r="L30" s="233">
        <v>1</v>
      </c>
      <c r="N30" s="292" t="str">
        <f t="shared" si="1"/>
        <v>4.1. 보고서 작성 및 편집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SUM((ROUNDDOWN((D54:I54)*단가,0)))</f>
        <v>10796168</v>
      </c>
      <c r="X30" s="154"/>
      <c r="Y30" s="170" t="str">
        <f t="shared" si="2"/>
        <v>제 13 호표</v>
      </c>
      <c r="Z30" s="150"/>
    </row>
    <row r="31" spans="1:26" ht="18" customHeight="1">
      <c r="A31" s="355"/>
      <c r="B31" s="259" t="s">
        <v>1682</v>
      </c>
      <c r="C31" s="264"/>
      <c r="D31" s="40">
        <v>0.7</v>
      </c>
      <c r="E31" s="41">
        <v>1.1000000000000001</v>
      </c>
      <c r="F31" s="41">
        <v>3.3</v>
      </c>
      <c r="G31" s="41">
        <v>5</v>
      </c>
      <c r="H31" s="41">
        <v>15.1</v>
      </c>
      <c r="I31" s="42">
        <v>16</v>
      </c>
      <c r="J31" s="685" t="s">
        <v>1090</v>
      </c>
      <c r="L31" s="233">
        <v>1</v>
      </c>
      <c r="N31" s="292" t="str">
        <f t="shared" si="1"/>
        <v>4.2. 관련법령에 따른 인허가 도서작성</v>
      </c>
      <c r="O31" s="37"/>
      <c r="P31" s="39"/>
      <c r="Q31" s="37"/>
      <c r="R31" s="117"/>
      <c r="S31" s="37"/>
      <c r="T31" s="37"/>
      <c r="U31" s="228"/>
      <c r="V31" s="231"/>
      <c r="W31" s="153">
        <f t="array" aca="1" ref="W31" ca="1">SUM((ROUNDDOWN((D55:I55)*단가,0)))</f>
        <v>10796168</v>
      </c>
      <c r="X31" s="154"/>
      <c r="Y31" s="170" t="str">
        <f t="shared" si="2"/>
        <v>제 14 호표</v>
      </c>
      <c r="Z31" s="150"/>
    </row>
    <row r="32" spans="1:26" ht="18" customHeight="1">
      <c r="A32" s="326"/>
      <c r="B32" s="222" t="s">
        <v>1683</v>
      </c>
      <c r="C32" s="47"/>
      <c r="D32" s="48">
        <f t="shared" ref="D32:I32" si="6">SUBTOTAL(9,D33:D36)</f>
        <v>8</v>
      </c>
      <c r="E32" s="49">
        <f t="shared" si="6"/>
        <v>8</v>
      </c>
      <c r="F32" s="49">
        <f t="shared" si="6"/>
        <v>8</v>
      </c>
      <c r="G32" s="49">
        <f t="shared" si="6"/>
        <v>16</v>
      </c>
      <c r="H32" s="49">
        <f t="shared" si="6"/>
        <v>16</v>
      </c>
      <c r="I32" s="50">
        <f t="shared" si="6"/>
        <v>16</v>
      </c>
      <c r="J32" s="620"/>
      <c r="L32" s="233"/>
      <c r="N32" s="79" t="str">
        <f t="shared" si="1"/>
        <v>5. 기술협의</v>
      </c>
      <c r="O32" s="37"/>
      <c r="P32" s="39"/>
      <c r="Q32" s="37"/>
      <c r="R32" s="117"/>
      <c r="S32" s="37"/>
      <c r="T32" s="37"/>
      <c r="U32" s="228"/>
      <c r="V32" s="231"/>
      <c r="W32" s="193">
        <f ca="1">SUBTOTAL(9,W33:W36)</f>
        <v>21702576</v>
      </c>
      <c r="X32" s="154"/>
      <c r="Y32" s="170" t="str">
        <f t="shared" si="2"/>
        <v/>
      </c>
      <c r="Z32" s="150"/>
    </row>
    <row r="33" spans="1:26" ht="18" customHeight="1">
      <c r="A33" s="326"/>
      <c r="B33" s="223" t="s">
        <v>1684</v>
      </c>
      <c r="C33" s="237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1690</v>
      </c>
      <c r="L33" s="233">
        <v>1</v>
      </c>
      <c r="N33" s="292" t="str">
        <f t="shared" si="1"/>
        <v>5.1. 공청회/주민설명회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SUM((ROUNDDOWN((D57:I57)*단가,0)))</f>
        <v>5425644</v>
      </c>
      <c r="X33" s="154"/>
      <c r="Y33" s="170" t="str">
        <f t="shared" si="2"/>
        <v>제 15 호표</v>
      </c>
      <c r="Z33" s="150"/>
    </row>
    <row r="34" spans="1:26" ht="18" customHeight="1">
      <c r="A34" s="326"/>
      <c r="B34" s="223" t="s">
        <v>1685</v>
      </c>
      <c r="C34" s="237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389" t="s">
        <v>1689</v>
      </c>
      <c r="L34" s="233">
        <v>1</v>
      </c>
      <c r="N34" s="292" t="str">
        <f t="shared" si="1"/>
        <v>5.2. 주민간담회/시민계획단</v>
      </c>
      <c r="O34" s="37"/>
      <c r="P34" s="39"/>
      <c r="Q34" s="37"/>
      <c r="R34" s="117"/>
      <c r="S34" s="37"/>
      <c r="T34" s="37"/>
      <c r="U34" s="228"/>
      <c r="V34" s="231"/>
      <c r="W34" s="153">
        <f t="array" aca="1" ref="W34" ca="1">SUM((ROUNDDOWN((D58:I58)*단가,0)))</f>
        <v>5425644</v>
      </c>
      <c r="X34" s="154"/>
      <c r="Y34" s="170" t="str">
        <f t="shared" si="2"/>
        <v>제 16 호표</v>
      </c>
      <c r="Z34" s="150"/>
    </row>
    <row r="35" spans="1:26" ht="18" customHeight="1">
      <c r="A35" s="326"/>
      <c r="B35" s="223" t="s">
        <v>1686</v>
      </c>
      <c r="C35" s="237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389" t="s">
        <v>1689</v>
      </c>
      <c r="L35" s="233">
        <v>1</v>
      </c>
      <c r="N35" s="292" t="str">
        <f t="shared" si="1"/>
        <v>5.3. 위원회심의 지원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SUM((ROUNDDOWN((D59:I59)*단가,0)))</f>
        <v>5425644</v>
      </c>
      <c r="X35" s="154"/>
      <c r="Y35" s="170" t="str">
        <f t="shared" si="2"/>
        <v>제 17 호표</v>
      </c>
      <c r="Z35" s="150"/>
    </row>
    <row r="36" spans="1:26" ht="18" customHeight="1" thickBot="1">
      <c r="A36" s="355"/>
      <c r="B36" s="223" t="s">
        <v>1687</v>
      </c>
      <c r="C36" s="237"/>
      <c r="D36" s="197">
        <v>2</v>
      </c>
      <c r="E36" s="198">
        <v>2</v>
      </c>
      <c r="F36" s="198">
        <v>2</v>
      </c>
      <c r="G36" s="198">
        <v>4</v>
      </c>
      <c r="H36" s="198">
        <v>4</v>
      </c>
      <c r="I36" s="199">
        <v>4</v>
      </c>
      <c r="J36" s="612" t="s">
        <v>1689</v>
      </c>
      <c r="L36" s="233">
        <v>1</v>
      </c>
      <c r="N36" s="292" t="str">
        <f t="shared" si="1"/>
        <v>5.4. 관계기관 협의</v>
      </c>
      <c r="O36" s="37"/>
      <c r="P36" s="39"/>
      <c r="Q36" s="37"/>
      <c r="R36" s="117"/>
      <c r="S36" s="37"/>
      <c r="T36" s="37"/>
      <c r="U36" s="228"/>
      <c r="V36" s="231"/>
      <c r="W36" s="153">
        <f t="array" aca="1" ref="W36" ca="1">SUM((ROUNDDOWN((D60:I60)*단가,0)))</f>
        <v>5425644</v>
      </c>
      <c r="X36" s="154"/>
      <c r="Y36" s="170" t="str">
        <f t="shared" si="2"/>
        <v>제 18 호표</v>
      </c>
      <c r="Z36" s="150"/>
    </row>
    <row r="37" spans="1:26" ht="18" customHeight="1" thickBot="1">
      <c r="A37" s="326"/>
      <c r="B37" s="14" t="s">
        <v>30</v>
      </c>
      <c r="C37" s="250"/>
      <c r="D37" s="249" t="s">
        <v>12</v>
      </c>
      <c r="E37" s="251"/>
      <c r="F37" s="251"/>
      <c r="G37" s="251"/>
      <c r="H37" s="251"/>
      <c r="I37" s="250"/>
      <c r="J37" s="175" t="s">
        <v>31</v>
      </c>
      <c r="N37" s="290" t="s">
        <v>10</v>
      </c>
      <c r="O37" s="129"/>
      <c r="P37" s="130"/>
      <c r="Q37" s="124"/>
      <c r="R37" s="131"/>
      <c r="S37" s="124"/>
      <c r="T37" s="124"/>
      <c r="U37" s="181"/>
      <c r="V37" s="181"/>
      <c r="W37" s="159">
        <f>SUBTOTAL(9,W38:W40)</f>
        <v>4500000</v>
      </c>
      <c r="X37" s="160"/>
      <c r="Y37" s="124"/>
      <c r="Z37" s="124"/>
    </row>
    <row r="38" spans="1:26" ht="18" customHeight="1">
      <c r="A38" s="326"/>
      <c r="B38" s="73" t="s">
        <v>452</v>
      </c>
      <c r="C38" s="72"/>
      <c r="D38" s="30">
        <f t="shared" ref="D38:I38" si="7">SUBTOTAL(9,D39:D40)</f>
        <v>0.60000000000000009</v>
      </c>
      <c r="E38" s="31">
        <f t="shared" si="7"/>
        <v>1</v>
      </c>
      <c r="F38" s="31">
        <f t="shared" si="7"/>
        <v>2</v>
      </c>
      <c r="G38" s="31">
        <f t="shared" si="7"/>
        <v>3</v>
      </c>
      <c r="H38" s="31">
        <f t="shared" si="7"/>
        <v>5</v>
      </c>
      <c r="I38" s="32">
        <f t="shared" si="7"/>
        <v>6</v>
      </c>
      <c r="J38" s="28"/>
      <c r="N38" s="128" t="str">
        <f>"여비("&amp;TEXT(R38,"#인 ×")&amp;TEXT(S38,"#일 ×")&amp;TEXT(T38,"###,###원)")</f>
        <v>여비(3인 ×5일 ×100,000원)</v>
      </c>
      <c r="O38" s="78"/>
      <c r="P38" s="52"/>
      <c r="Q38" s="51"/>
      <c r="R38" s="146">
        <v>3</v>
      </c>
      <c r="S38" s="146">
        <v>5</v>
      </c>
      <c r="T38" s="147">
        <v>100000</v>
      </c>
      <c r="U38" s="182"/>
      <c r="V38" s="182"/>
      <c r="W38" s="161">
        <f>R38*S38*T38</f>
        <v>1500000</v>
      </c>
      <c r="X38" s="162"/>
      <c r="Y38" s="51"/>
      <c r="Z38" s="51"/>
    </row>
    <row r="39" spans="1:26" ht="18" customHeight="1">
      <c r="A39" s="326">
        <v>1</v>
      </c>
      <c r="B39" s="409" t="s">
        <v>1666</v>
      </c>
      <c r="C39" s="237"/>
      <c r="D39" s="20">
        <f t="array" ref="D39:I40">ROUNDDOWN(D15:I16*L15:L16*D5,3)</f>
        <v>0.4</v>
      </c>
      <c r="E39" s="21">
        <v>0.6</v>
      </c>
      <c r="F39" s="21">
        <v>1.2</v>
      </c>
      <c r="G39" s="21">
        <v>1.8</v>
      </c>
      <c r="H39" s="21">
        <v>3</v>
      </c>
      <c r="I39" s="22">
        <v>3.5</v>
      </c>
      <c r="J39" s="74"/>
      <c r="N39" s="79" t="s">
        <v>46</v>
      </c>
      <c r="O39" s="79"/>
      <c r="P39" s="39"/>
      <c r="Q39" s="37"/>
      <c r="R39" s="117"/>
      <c r="S39" s="37"/>
      <c r="T39" s="37"/>
      <c r="U39" s="180"/>
      <c r="V39" s="180"/>
      <c r="W39" s="157">
        <v>2000000</v>
      </c>
      <c r="X39" s="158"/>
      <c r="Y39" s="37"/>
      <c r="Z39" s="37"/>
    </row>
    <row r="40" spans="1:26" ht="18" customHeight="1">
      <c r="A40" s="326">
        <v>2</v>
      </c>
      <c r="B40" s="410" t="s">
        <v>1667</v>
      </c>
      <c r="C40" s="237"/>
      <c r="D40" s="20">
        <v>0.2</v>
      </c>
      <c r="E40" s="21">
        <v>0.4</v>
      </c>
      <c r="F40" s="21">
        <v>0.8</v>
      </c>
      <c r="G40" s="21">
        <v>1.2</v>
      </c>
      <c r="H40" s="21">
        <v>2</v>
      </c>
      <c r="I40" s="22">
        <v>2.5</v>
      </c>
      <c r="J40" s="75"/>
      <c r="N40" s="132" t="s">
        <v>13</v>
      </c>
      <c r="O40" s="132"/>
      <c r="P40" s="38"/>
      <c r="Q40" s="38"/>
      <c r="R40" s="116"/>
      <c r="S40" s="38"/>
      <c r="T40" s="38"/>
      <c r="U40" s="183"/>
      <c r="V40" s="183"/>
      <c r="W40" s="155">
        <v>1000000</v>
      </c>
      <c r="X40" s="156"/>
      <c r="Y40" s="38"/>
      <c r="Z40" s="38"/>
    </row>
    <row r="41" spans="1:26" ht="18" customHeight="1">
      <c r="A41" s="326"/>
      <c r="B41" s="222" t="s">
        <v>1668</v>
      </c>
      <c r="C41" s="47"/>
      <c r="D41" s="33">
        <f t="shared" ref="D41:I41" si="8">SUBTOTAL(9,D42:D49)</f>
        <v>1.6</v>
      </c>
      <c r="E41" s="34">
        <f t="shared" si="8"/>
        <v>4.8</v>
      </c>
      <c r="F41" s="34">
        <f t="shared" si="8"/>
        <v>14.4</v>
      </c>
      <c r="G41" s="34">
        <f t="shared" si="8"/>
        <v>18</v>
      </c>
      <c r="H41" s="34">
        <f t="shared" si="8"/>
        <v>36</v>
      </c>
      <c r="I41" s="35">
        <f t="shared" si="8"/>
        <v>42</v>
      </c>
      <c r="J41" s="287"/>
      <c r="N41" s="127" t="s">
        <v>47</v>
      </c>
      <c r="O41" s="123"/>
      <c r="P41" s="123"/>
      <c r="Q41" s="123"/>
      <c r="R41" s="123"/>
      <c r="S41" s="123"/>
      <c r="T41" s="123"/>
      <c r="U41" s="184"/>
      <c r="V41" s="184"/>
      <c r="W41" s="163">
        <f ca="1">SUBTOTAL(9,W42:W43)</f>
        <v>188586845</v>
      </c>
      <c r="X41" s="164"/>
      <c r="Y41" s="123"/>
      <c r="Z41" s="123"/>
    </row>
    <row r="42" spans="1:26" ht="18" customHeight="1">
      <c r="A42" s="326">
        <v>3</v>
      </c>
      <c r="B42" s="223" t="s">
        <v>1669</v>
      </c>
      <c r="C42" s="237"/>
      <c r="D42" s="20">
        <f t="array" ref="D42:I49">ROUNDDOWN(D18:I25*L18:L25*D5,3)</f>
        <v>0.4</v>
      </c>
      <c r="E42" s="21">
        <v>1</v>
      </c>
      <c r="F42" s="21">
        <v>2.4</v>
      </c>
      <c r="G42" s="21">
        <v>3</v>
      </c>
      <c r="H42" s="21">
        <v>6</v>
      </c>
      <c r="I42" s="22">
        <v>8.5</v>
      </c>
      <c r="J42" s="74"/>
      <c r="N42" s="133" t="s">
        <v>861</v>
      </c>
      <c r="O42" s="124"/>
      <c r="P42" s="134"/>
      <c r="Q42" s="124"/>
      <c r="R42" s="131"/>
      <c r="S42" s="124"/>
      <c r="T42" s="181"/>
      <c r="U42" s="181"/>
      <c r="V42" s="190">
        <v>1.1499999999999999</v>
      </c>
      <c r="W42" s="159">
        <f ca="1">ROUNDDOWN(W13*V42,0)</f>
        <v>120821656</v>
      </c>
      <c r="X42" s="160"/>
      <c r="Y42" s="124"/>
      <c r="Z42" s="124"/>
    </row>
    <row r="43" spans="1:26" ht="18" customHeight="1" thickBot="1">
      <c r="A43" s="326">
        <v>4</v>
      </c>
      <c r="B43" s="223" t="s">
        <v>1670</v>
      </c>
      <c r="C43" s="237"/>
      <c r="D43" s="20">
        <v>0.6</v>
      </c>
      <c r="E43" s="21">
        <v>1</v>
      </c>
      <c r="F43" s="21">
        <v>6</v>
      </c>
      <c r="G43" s="21">
        <v>7</v>
      </c>
      <c r="H43" s="21">
        <v>15</v>
      </c>
      <c r="I43" s="22">
        <v>12</v>
      </c>
      <c r="J43" s="74"/>
      <c r="N43" s="135" t="s">
        <v>862</v>
      </c>
      <c r="O43" s="136"/>
      <c r="P43" s="137"/>
      <c r="Q43" s="136"/>
      <c r="R43" s="138"/>
      <c r="S43" s="136"/>
      <c r="T43" s="185"/>
      <c r="U43" s="185"/>
      <c r="V43" s="191">
        <v>0.3</v>
      </c>
      <c r="W43" s="165">
        <f ca="1">ROUNDDOWN((W13+W42)*V43,0)</f>
        <v>67765189</v>
      </c>
      <c r="X43" s="166"/>
      <c r="Y43" s="136"/>
      <c r="Z43" s="136"/>
    </row>
    <row r="44" spans="1:26" ht="18" customHeight="1">
      <c r="A44" s="326">
        <v>5</v>
      </c>
      <c r="B44" s="223" t="s">
        <v>1671</v>
      </c>
      <c r="C44" s="237"/>
      <c r="D44" s="20">
        <v>0</v>
      </c>
      <c r="E44" s="21">
        <v>0</v>
      </c>
      <c r="F44" s="21">
        <v>0</v>
      </c>
      <c r="G44" s="21">
        <v>0</v>
      </c>
      <c r="H44" s="21">
        <v>0</v>
      </c>
      <c r="I44" s="22">
        <v>0</v>
      </c>
      <c r="J44" s="74"/>
    </row>
    <row r="45" spans="1:26" ht="18" customHeight="1">
      <c r="A45" s="326">
        <v>6</v>
      </c>
      <c r="B45" s="223" t="s">
        <v>1672</v>
      </c>
      <c r="C45" s="237"/>
      <c r="D45" s="20">
        <v>0.6</v>
      </c>
      <c r="E45" s="21">
        <v>0.6</v>
      </c>
      <c r="F45" s="21">
        <v>1.2</v>
      </c>
      <c r="G45" s="21">
        <v>2</v>
      </c>
      <c r="H45" s="21">
        <v>3</v>
      </c>
      <c r="I45" s="22">
        <v>4.5</v>
      </c>
      <c r="J45" s="74"/>
    </row>
    <row r="46" spans="1:26" ht="18" customHeight="1">
      <c r="A46" s="326">
        <v>7</v>
      </c>
      <c r="B46" s="223" t="s">
        <v>1673</v>
      </c>
      <c r="C46" s="237"/>
      <c r="D46" s="20">
        <v>0</v>
      </c>
      <c r="E46" s="21">
        <v>1</v>
      </c>
      <c r="F46" s="21">
        <v>2.4</v>
      </c>
      <c r="G46" s="21">
        <v>3</v>
      </c>
      <c r="H46" s="21">
        <v>6</v>
      </c>
      <c r="I46" s="22">
        <v>8.5</v>
      </c>
      <c r="J46" s="74"/>
    </row>
    <row r="47" spans="1:26" ht="18" customHeight="1">
      <c r="A47" s="326">
        <v>8</v>
      </c>
      <c r="B47" s="223" t="s">
        <v>1674</v>
      </c>
      <c r="C47" s="237"/>
      <c r="D47" s="20">
        <v>0</v>
      </c>
      <c r="E47" s="21">
        <v>1.2</v>
      </c>
      <c r="F47" s="21">
        <v>2.4</v>
      </c>
      <c r="G47" s="21">
        <v>3</v>
      </c>
      <c r="H47" s="21">
        <v>6</v>
      </c>
      <c r="I47" s="22">
        <v>8.5</v>
      </c>
      <c r="J47" s="74"/>
    </row>
    <row r="48" spans="1:26" ht="18" customHeight="1">
      <c r="A48" s="326">
        <v>9</v>
      </c>
      <c r="B48" s="223" t="s">
        <v>1675</v>
      </c>
      <c r="C48" s="237"/>
      <c r="D48" s="20">
        <v>0</v>
      </c>
      <c r="E48" s="21">
        <v>0</v>
      </c>
      <c r="F48" s="21">
        <v>0</v>
      </c>
      <c r="G48" s="21">
        <v>0</v>
      </c>
      <c r="H48" s="21">
        <v>0</v>
      </c>
      <c r="I48" s="22">
        <v>0</v>
      </c>
      <c r="J48" s="74"/>
    </row>
    <row r="49" spans="1:13" ht="18" customHeight="1">
      <c r="A49" s="326">
        <v>10</v>
      </c>
      <c r="B49" s="223" t="s">
        <v>1676</v>
      </c>
      <c r="C49" s="237"/>
      <c r="D49" s="20">
        <v>0</v>
      </c>
      <c r="E49" s="21">
        <v>0</v>
      </c>
      <c r="F49" s="21">
        <v>0</v>
      </c>
      <c r="G49" s="21">
        <v>0</v>
      </c>
      <c r="H49" s="21">
        <v>0</v>
      </c>
      <c r="I49" s="22">
        <v>0</v>
      </c>
      <c r="J49" s="75"/>
    </row>
    <row r="50" spans="1:13" ht="18" customHeight="1">
      <c r="A50" s="326"/>
      <c r="B50" s="222" t="s">
        <v>1677</v>
      </c>
      <c r="C50" s="47"/>
      <c r="D50" s="33">
        <f t="shared" ref="D50:I50" si="9">SUBTOTAL(9,D51:D52)</f>
        <v>8.1</v>
      </c>
      <c r="E50" s="34">
        <f t="shared" si="9"/>
        <v>18.399999999999999</v>
      </c>
      <c r="F50" s="34">
        <f t="shared" si="9"/>
        <v>19</v>
      </c>
      <c r="G50" s="34">
        <f t="shared" si="9"/>
        <v>13</v>
      </c>
      <c r="H50" s="34">
        <f t="shared" si="9"/>
        <v>12.3</v>
      </c>
      <c r="I50" s="35">
        <f t="shared" si="9"/>
        <v>9.3000000000000007</v>
      </c>
      <c r="J50" s="13"/>
    </row>
    <row r="51" spans="1:13" ht="18" customHeight="1">
      <c r="A51" s="326">
        <v>11</v>
      </c>
      <c r="B51" s="223" t="s">
        <v>1678</v>
      </c>
      <c r="C51" s="237"/>
      <c r="D51" s="20">
        <f t="array" ref="D51:I51">ROUNDDOWN(D27:I27*L27*D5,3)</f>
        <v>7.6</v>
      </c>
      <c r="E51" s="21">
        <v>17.899999999999999</v>
      </c>
      <c r="F51" s="21">
        <v>18.5</v>
      </c>
      <c r="G51" s="21">
        <v>12</v>
      </c>
      <c r="H51" s="21">
        <v>11.3</v>
      </c>
      <c r="I51" s="22">
        <v>8.3000000000000007</v>
      </c>
      <c r="J51" s="23"/>
    </row>
    <row r="52" spans="1:13" ht="18" customHeight="1">
      <c r="A52" s="326">
        <v>12</v>
      </c>
      <c r="B52" s="259" t="s">
        <v>1679</v>
      </c>
      <c r="C52" s="237"/>
      <c r="D52" s="20">
        <f t="array" ref="D52:I52">ROUNDDOWN(D28:I28*L28*I2,3)</f>
        <v>0.5</v>
      </c>
      <c r="E52" s="21">
        <v>0.5</v>
      </c>
      <c r="F52" s="21">
        <v>0.5</v>
      </c>
      <c r="G52" s="21">
        <v>1</v>
      </c>
      <c r="H52" s="21">
        <v>1</v>
      </c>
      <c r="I52" s="22">
        <v>1</v>
      </c>
      <c r="J52" s="23"/>
    </row>
    <row r="53" spans="1:13" ht="18" customHeight="1">
      <c r="A53" s="326"/>
      <c r="B53" s="222" t="s">
        <v>1680</v>
      </c>
      <c r="C53" s="47"/>
      <c r="D53" s="33">
        <f t="shared" ref="D53:I53" si="10">SUBTOTAL(9,D54:D55)</f>
        <v>1.4</v>
      </c>
      <c r="E53" s="34">
        <f t="shared" si="10"/>
        <v>2.2000000000000002</v>
      </c>
      <c r="F53" s="34">
        <f t="shared" si="10"/>
        <v>6.6</v>
      </c>
      <c r="G53" s="34">
        <f t="shared" si="10"/>
        <v>10</v>
      </c>
      <c r="H53" s="34">
        <f t="shared" si="10"/>
        <v>30.2</v>
      </c>
      <c r="I53" s="35">
        <f t="shared" si="10"/>
        <v>32</v>
      </c>
      <c r="J53" s="13"/>
    </row>
    <row r="54" spans="1:13" ht="18" customHeight="1">
      <c r="A54" s="326">
        <v>13</v>
      </c>
      <c r="B54" s="223" t="s">
        <v>1681</v>
      </c>
      <c r="C54" s="237"/>
      <c r="D54" s="20">
        <f t="array" ref="D54:I55">ROUNDDOWN(D30:I31*$D$5*L30:L31,3)</f>
        <v>0.7</v>
      </c>
      <c r="E54" s="21">
        <v>1.1000000000000001</v>
      </c>
      <c r="F54" s="21">
        <v>3.3</v>
      </c>
      <c r="G54" s="21">
        <v>5</v>
      </c>
      <c r="H54" s="21">
        <v>15.1</v>
      </c>
      <c r="I54" s="22">
        <v>16</v>
      </c>
      <c r="J54" s="23"/>
    </row>
    <row r="55" spans="1:13" ht="18" customHeight="1">
      <c r="A55" s="326">
        <v>14</v>
      </c>
      <c r="B55" s="259" t="s">
        <v>1682</v>
      </c>
      <c r="C55" s="237"/>
      <c r="D55" s="20">
        <v>0.7</v>
      </c>
      <c r="E55" s="21">
        <v>1.1000000000000001</v>
      </c>
      <c r="F55" s="21">
        <v>3.3</v>
      </c>
      <c r="G55" s="21">
        <v>5</v>
      </c>
      <c r="H55" s="21">
        <v>15.1</v>
      </c>
      <c r="I55" s="22">
        <v>16</v>
      </c>
      <c r="J55" s="23"/>
    </row>
    <row r="56" spans="1:13" ht="18" customHeight="1">
      <c r="A56" s="326"/>
      <c r="B56" s="222" t="s">
        <v>1683</v>
      </c>
      <c r="C56" s="47"/>
      <c r="D56" s="48">
        <f t="shared" ref="D56:I56" si="11">SUBTOTAL(9,D57:D60)</f>
        <v>8</v>
      </c>
      <c r="E56" s="49">
        <f t="shared" si="11"/>
        <v>8</v>
      </c>
      <c r="F56" s="49">
        <f t="shared" si="11"/>
        <v>8</v>
      </c>
      <c r="G56" s="49">
        <f t="shared" si="11"/>
        <v>16</v>
      </c>
      <c r="H56" s="49">
        <f t="shared" si="11"/>
        <v>16</v>
      </c>
      <c r="I56" s="50">
        <f t="shared" si="11"/>
        <v>16</v>
      </c>
      <c r="J56" s="287"/>
      <c r="L56" s="171"/>
    </row>
    <row r="57" spans="1:13" ht="18" customHeight="1">
      <c r="A57" s="326">
        <v>15</v>
      </c>
      <c r="B57" s="223" t="s">
        <v>1684</v>
      </c>
      <c r="C57" s="237"/>
      <c r="D57" s="20">
        <f t="array" ref="D57:I60">ROUNDDOWN(D33:I36*L33:L36*I5,3)</f>
        <v>2</v>
      </c>
      <c r="E57" s="198">
        <v>2</v>
      </c>
      <c r="F57" s="198">
        <v>2</v>
      </c>
      <c r="G57" s="198">
        <v>4</v>
      </c>
      <c r="H57" s="198">
        <v>4</v>
      </c>
      <c r="I57" s="199">
        <v>4</v>
      </c>
      <c r="J57" s="74"/>
      <c r="L57" s="171"/>
    </row>
    <row r="58" spans="1:13" ht="18" customHeight="1">
      <c r="A58" s="326">
        <v>16</v>
      </c>
      <c r="B58" s="223" t="s">
        <v>1685</v>
      </c>
      <c r="C58" s="237"/>
      <c r="D58" s="197">
        <v>2</v>
      </c>
      <c r="E58" s="198">
        <v>2</v>
      </c>
      <c r="F58" s="198">
        <v>2</v>
      </c>
      <c r="G58" s="198">
        <v>4</v>
      </c>
      <c r="H58" s="198">
        <v>4</v>
      </c>
      <c r="I58" s="199">
        <v>4</v>
      </c>
      <c r="J58" s="74"/>
      <c r="L58" s="171"/>
    </row>
    <row r="59" spans="1:13" ht="18" customHeight="1">
      <c r="A59" s="326">
        <v>17</v>
      </c>
      <c r="B59" s="223" t="s">
        <v>1686</v>
      </c>
      <c r="C59" s="237"/>
      <c r="D59" s="197">
        <v>2</v>
      </c>
      <c r="E59" s="198">
        <v>2</v>
      </c>
      <c r="F59" s="198">
        <v>2</v>
      </c>
      <c r="G59" s="198">
        <v>4</v>
      </c>
      <c r="H59" s="198">
        <v>4</v>
      </c>
      <c r="I59" s="199">
        <v>4</v>
      </c>
      <c r="J59" s="74"/>
      <c r="L59" s="171"/>
    </row>
    <row r="60" spans="1:13" ht="18" customHeight="1" thickBot="1">
      <c r="A60" s="326">
        <v>18</v>
      </c>
      <c r="B60" s="388" t="s">
        <v>1687</v>
      </c>
      <c r="C60" s="401"/>
      <c r="D60" s="343">
        <v>2</v>
      </c>
      <c r="E60" s="344">
        <v>2</v>
      </c>
      <c r="F60" s="344">
        <v>2</v>
      </c>
      <c r="G60" s="344">
        <v>4</v>
      </c>
      <c r="H60" s="344">
        <v>4</v>
      </c>
      <c r="I60" s="345">
        <v>4</v>
      </c>
      <c r="J60" s="176"/>
      <c r="L60" s="171"/>
    </row>
    <row r="61" spans="1:13" ht="18" customHeight="1">
      <c r="A61" s="326"/>
      <c r="B61" s="85" t="s">
        <v>1696</v>
      </c>
      <c r="C61" s="9" t="s">
        <v>1697</v>
      </c>
      <c r="L61" s="171"/>
    </row>
    <row r="62" spans="1:13" ht="18" customHeight="1">
      <c r="A62" s="326"/>
      <c r="B62" s="8"/>
      <c r="C62" s="9" t="s">
        <v>1698</v>
      </c>
      <c r="K62" s="171" t="s">
        <v>14</v>
      </c>
      <c r="L62" s="171"/>
    </row>
    <row r="63" spans="1:13" ht="18" customHeight="1">
      <c r="A63" s="326"/>
      <c r="B63" s="80"/>
      <c r="C63" s="9" t="s">
        <v>1656</v>
      </c>
      <c r="K63" s="171" t="s">
        <v>14</v>
      </c>
      <c r="L63" s="171"/>
    </row>
    <row r="64" spans="1:13" ht="18" customHeight="1">
      <c r="A64" s="326"/>
      <c r="C64" s="9" t="s">
        <v>1699</v>
      </c>
      <c r="K64" s="171" t="s">
        <v>14</v>
      </c>
      <c r="L64" s="171"/>
      <c r="M64" s="171"/>
    </row>
    <row r="65" spans="1:26" ht="18" customHeight="1">
      <c r="A65" s="326"/>
      <c r="C65" s="9"/>
      <c r="K65" s="171" t="s">
        <v>14</v>
      </c>
      <c r="L65" s="171"/>
      <c r="M65" s="171"/>
    </row>
    <row r="66" spans="1:26" ht="18" customHeight="1" thickBot="1">
      <c r="A66" s="326"/>
      <c r="C66" s="9"/>
      <c r="K66" s="171" t="s">
        <v>14</v>
      </c>
      <c r="L66" s="171"/>
      <c r="M66" s="171"/>
      <c r="N66" s="66" t="s">
        <v>18</v>
      </c>
      <c r="O66" s="2"/>
      <c r="P66" s="2"/>
      <c r="Q66" s="2"/>
      <c r="R66" s="3"/>
      <c r="S66" s="4"/>
      <c r="T66" s="3"/>
      <c r="U66" s="4"/>
      <c r="V66" s="3"/>
      <c r="W66" s="4"/>
      <c r="X66" s="3"/>
      <c r="Y66" s="4"/>
      <c r="Z66" s="2"/>
    </row>
    <row r="67" spans="1:26" ht="18" customHeight="1">
      <c r="A67" s="355"/>
      <c r="C67" s="9"/>
      <c r="K67" s="171" t="s">
        <v>14</v>
      </c>
      <c r="L67" s="171"/>
      <c r="M67" s="171"/>
      <c r="N67" s="765" t="s">
        <v>19</v>
      </c>
      <c r="O67" s="755" t="s">
        <v>20</v>
      </c>
      <c r="P67" s="755" t="s">
        <v>21</v>
      </c>
      <c r="Q67" s="755" t="s">
        <v>16</v>
      </c>
      <c r="R67" s="5" t="s">
        <v>22</v>
      </c>
      <c r="S67" s="5"/>
      <c r="T67" s="5" t="s">
        <v>23</v>
      </c>
      <c r="U67" s="5"/>
      <c r="V67" s="5" t="s">
        <v>24</v>
      </c>
      <c r="W67" s="5"/>
      <c r="X67" s="5" t="s">
        <v>25</v>
      </c>
      <c r="Y67" s="5"/>
      <c r="Z67" s="755" t="s">
        <v>26</v>
      </c>
    </row>
    <row r="68" spans="1:26" ht="18" customHeight="1" thickBot="1">
      <c r="A68" s="355"/>
      <c r="C68" s="9"/>
      <c r="K68" s="171" t="s">
        <v>14</v>
      </c>
      <c r="L68" s="171"/>
      <c r="M68" s="171"/>
      <c r="N68" s="766"/>
      <c r="O68" s="756"/>
      <c r="P68" s="756"/>
      <c r="Q68" s="756"/>
      <c r="R68" s="67" t="s">
        <v>27</v>
      </c>
      <c r="S68" s="67" t="s">
        <v>28</v>
      </c>
      <c r="T68" s="67" t="s">
        <v>27</v>
      </c>
      <c r="U68" s="67" t="s">
        <v>28</v>
      </c>
      <c r="V68" s="67" t="s">
        <v>27</v>
      </c>
      <c r="W68" s="67" t="s">
        <v>28</v>
      </c>
      <c r="X68" s="67" t="s">
        <v>27</v>
      </c>
      <c r="Y68" s="67" t="s">
        <v>28</v>
      </c>
      <c r="Z68" s="756"/>
    </row>
    <row r="69" spans="1:26" ht="18" customHeight="1" thickTop="1">
      <c r="A69" s="355"/>
      <c r="C69" s="9"/>
      <c r="K69" s="171" t="s">
        <v>14</v>
      </c>
      <c r="L69" s="171"/>
      <c r="M69" s="171"/>
      <c r="N69" s="318" t="str">
        <f ca="1">"제 " &amp; Z69 &amp; " 호표  "&amp; OFFSET($A$1,MATCH(Z69,$A:$A,0)-1,2)</f>
        <v xml:space="preserve">제 1 호표  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v>1</v>
      </c>
    </row>
    <row r="70" spans="1:26" ht="18" customHeight="1">
      <c r="A70" s="326"/>
      <c r="K70" s="171" t="s">
        <v>14</v>
      </c>
      <c r="L70" s="171"/>
      <c r="M70" s="171"/>
      <c r="N70" s="140" t="s">
        <v>43</v>
      </c>
      <c r="O70" s="172">
        <v>3</v>
      </c>
      <c r="P70" s="219">
        <f ca="1">OFFSET($A$1,MATCH(Z69,$A:$A,0)-1,O70)</f>
        <v>0.4</v>
      </c>
      <c r="Q70" s="141" t="s">
        <v>29</v>
      </c>
      <c r="R70" s="142">
        <f t="shared" ref="R70:S75" ca="1" si="12">T70</f>
        <v>467217</v>
      </c>
      <c r="S70" s="142">
        <f t="shared" ca="1" si="12"/>
        <v>186886</v>
      </c>
      <c r="T70" s="142">
        <f ca="1">기술사</f>
        <v>467217</v>
      </c>
      <c r="U70" s="142">
        <f t="shared" ref="U70:U75" ca="1" si="13">ROUNDDOWN(P70*R70,0)</f>
        <v>186886</v>
      </c>
      <c r="V70" s="142"/>
      <c r="W70" s="142"/>
      <c r="X70" s="142"/>
      <c r="Y70" s="142"/>
      <c r="Z70" s="114"/>
    </row>
    <row r="71" spans="1:26" ht="18" customHeight="1">
      <c r="A71" s="326"/>
      <c r="K71" s="171" t="s">
        <v>14</v>
      </c>
      <c r="L71" s="171"/>
      <c r="M71" s="171"/>
      <c r="N71" s="143" t="s">
        <v>32</v>
      </c>
      <c r="O71" s="173">
        <v>4</v>
      </c>
      <c r="P71" s="234">
        <f ca="1">OFFSET($A$1,MATCH(Z69,$A:$A,0)-1,O71)</f>
        <v>0.6</v>
      </c>
      <c r="Q71" s="144" t="s">
        <v>29</v>
      </c>
      <c r="R71" s="118">
        <f t="shared" ca="1" si="12"/>
        <v>373353</v>
      </c>
      <c r="S71" s="118">
        <f t="shared" ca="1" si="12"/>
        <v>224011</v>
      </c>
      <c r="T71" s="118">
        <f ca="1">특급</f>
        <v>373353</v>
      </c>
      <c r="U71" s="118">
        <f t="shared" ca="1" si="13"/>
        <v>224011</v>
      </c>
      <c r="V71" s="118"/>
      <c r="W71" s="118"/>
      <c r="X71" s="118"/>
      <c r="Y71" s="118"/>
      <c r="Z71" s="115"/>
    </row>
    <row r="72" spans="1:26" ht="18" customHeight="1">
      <c r="A72" s="326"/>
      <c r="K72" s="171" t="s">
        <v>14</v>
      </c>
      <c r="L72" s="171"/>
      <c r="M72" s="171"/>
      <c r="N72" s="145" t="s">
        <v>39</v>
      </c>
      <c r="O72" s="173">
        <v>5</v>
      </c>
      <c r="P72" s="234">
        <f ca="1">OFFSET($A$1,MATCH(Z69,$A:$A,0)-1,O72)</f>
        <v>1.2</v>
      </c>
      <c r="Q72" s="144" t="s">
        <v>29</v>
      </c>
      <c r="R72" s="118">
        <f t="shared" ca="1" si="12"/>
        <v>310884</v>
      </c>
      <c r="S72" s="118">
        <f t="shared" ca="1" si="12"/>
        <v>373060</v>
      </c>
      <c r="T72" s="118">
        <f ca="1">고급</f>
        <v>310884</v>
      </c>
      <c r="U72" s="118">
        <f t="shared" ca="1" si="13"/>
        <v>373060</v>
      </c>
      <c r="V72" s="118"/>
      <c r="W72" s="118"/>
      <c r="X72" s="118"/>
      <c r="Y72" s="118"/>
      <c r="Z72" s="115"/>
    </row>
    <row r="73" spans="1:26" ht="18" customHeight="1">
      <c r="A73" s="326"/>
      <c r="K73" s="171" t="s">
        <v>14</v>
      </c>
      <c r="L73" s="171"/>
      <c r="M73" s="171"/>
      <c r="N73" s="145" t="s">
        <v>40</v>
      </c>
      <c r="O73" s="173">
        <v>6</v>
      </c>
      <c r="P73" s="234">
        <f ca="1">OFFSET($A$1,MATCH(Z69,$A:$A,0)-1,O73)</f>
        <v>1.8</v>
      </c>
      <c r="Q73" s="144" t="s">
        <v>29</v>
      </c>
      <c r="R73" s="118">
        <f t="shared" ca="1" si="12"/>
        <v>295138</v>
      </c>
      <c r="S73" s="118">
        <f t="shared" ca="1" si="12"/>
        <v>531248</v>
      </c>
      <c r="T73" s="118">
        <f ca="1">중급</f>
        <v>295138</v>
      </c>
      <c r="U73" s="118">
        <f t="shared" ca="1" si="13"/>
        <v>531248</v>
      </c>
      <c r="V73" s="118"/>
      <c r="W73" s="118"/>
      <c r="X73" s="118"/>
      <c r="Y73" s="118"/>
      <c r="Z73" s="115"/>
    </row>
    <row r="74" spans="1:26" ht="18" customHeight="1">
      <c r="A74" s="326"/>
      <c r="K74" s="171" t="s">
        <v>14</v>
      </c>
      <c r="L74" s="171"/>
      <c r="M74" s="171"/>
      <c r="N74" s="145" t="s">
        <v>41</v>
      </c>
      <c r="O74" s="173">
        <v>7</v>
      </c>
      <c r="P74" s="234">
        <f ca="1">OFFSET($A$1,MATCH(Z69,$A:$A,0)-1,O74)</f>
        <v>3</v>
      </c>
      <c r="Q74" s="144" t="s">
        <v>29</v>
      </c>
      <c r="R74" s="118">
        <f t="shared" ca="1" si="12"/>
        <v>235459</v>
      </c>
      <c r="S74" s="118">
        <f t="shared" ca="1" si="12"/>
        <v>706377</v>
      </c>
      <c r="T74" s="118">
        <f ca="1">초급</f>
        <v>235459</v>
      </c>
      <c r="U74" s="118">
        <f t="shared" ca="1" si="13"/>
        <v>706377</v>
      </c>
      <c r="V74" s="118"/>
      <c r="W74" s="118"/>
      <c r="X74" s="118"/>
      <c r="Y74" s="118"/>
      <c r="Z74" s="115"/>
    </row>
    <row r="75" spans="1:26" ht="18" customHeight="1">
      <c r="A75" s="326"/>
      <c r="K75" s="171" t="s">
        <v>14</v>
      </c>
      <c r="L75" s="171"/>
      <c r="M75" s="171"/>
      <c r="N75" s="319" t="s">
        <v>42</v>
      </c>
      <c r="O75" s="174">
        <v>8</v>
      </c>
      <c r="P75" s="235">
        <f ca="1">OFFSET($A$1,MATCH(Z69,$A:$A,0)-1,O75)</f>
        <v>3.5</v>
      </c>
      <c r="Q75" s="322" t="s">
        <v>29</v>
      </c>
      <c r="R75" s="323">
        <f t="shared" ca="1" si="12"/>
        <v>250087</v>
      </c>
      <c r="S75" s="323">
        <f t="shared" ca="1" si="12"/>
        <v>875304</v>
      </c>
      <c r="T75" s="323">
        <f ca="1">보조원</f>
        <v>250087</v>
      </c>
      <c r="U75" s="323">
        <f t="shared" ca="1" si="13"/>
        <v>875304</v>
      </c>
      <c r="V75" s="323"/>
      <c r="W75" s="323"/>
      <c r="X75" s="323"/>
      <c r="Y75" s="323"/>
      <c r="Z75" s="324"/>
    </row>
    <row r="76" spans="1:26" ht="18" customHeight="1">
      <c r="A76" s="326"/>
      <c r="K76" s="171" t="s">
        <v>14</v>
      </c>
      <c r="L76" s="171"/>
      <c r="M76" s="171"/>
      <c r="N76" s="139" t="s">
        <v>17</v>
      </c>
      <c r="O76" s="68"/>
      <c r="P76" s="69"/>
      <c r="Q76" s="70"/>
      <c r="R76" s="71"/>
      <c r="S76" s="71">
        <f ca="1">SUBTOTAL(9,S70:S75)</f>
        <v>2896886</v>
      </c>
      <c r="T76" s="71"/>
      <c r="U76" s="71">
        <f ca="1">SUBTOTAL(9,U70:U75)</f>
        <v>2896886</v>
      </c>
      <c r="V76" s="71"/>
      <c r="W76" s="71"/>
      <c r="X76" s="71"/>
      <c r="Y76" s="71"/>
      <c r="Z76" s="68"/>
    </row>
    <row r="77" spans="1:26" ht="18" customHeight="1">
      <c r="A77" s="326"/>
      <c r="K77" s="171" t="s">
        <v>14</v>
      </c>
      <c r="L77" s="171"/>
      <c r="M77" s="171"/>
      <c r="N77" s="318" t="str">
        <f ca="1">"제 " &amp; Z77 &amp; " 호표  "&amp; OFFSET($A$1,MATCH(Z77,$A:$A,0)-1,2)</f>
        <v xml:space="preserve">제 2 호표  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2</v>
      </c>
    </row>
    <row r="78" spans="1:26" ht="18" customHeight="1">
      <c r="A78" s="326"/>
      <c r="K78" s="171" t="s">
        <v>14</v>
      </c>
      <c r="L78" s="171"/>
      <c r="M78" s="171"/>
      <c r="N78" s="140" t="s">
        <v>43</v>
      </c>
      <c r="O78" s="172">
        <v>3</v>
      </c>
      <c r="P78" s="219">
        <f ca="1">OFFSET($A$1,MATCH(Z77,$A:$A,0)-1,O78)</f>
        <v>0.2</v>
      </c>
      <c r="Q78" s="141" t="s">
        <v>29</v>
      </c>
      <c r="R78" s="142">
        <f t="shared" ref="R78:S83" ca="1" si="14">T78</f>
        <v>467217</v>
      </c>
      <c r="S78" s="142">
        <f t="shared" ca="1" si="14"/>
        <v>93443</v>
      </c>
      <c r="T78" s="142">
        <f ca="1">기술사</f>
        <v>467217</v>
      </c>
      <c r="U78" s="142">
        <f t="shared" ref="U78:U83" ca="1" si="15">ROUNDDOWN(P78*R78,0)</f>
        <v>93443</v>
      </c>
      <c r="V78" s="142"/>
      <c r="W78" s="142"/>
      <c r="X78" s="142"/>
      <c r="Y78" s="142"/>
      <c r="Z78" s="114"/>
    </row>
    <row r="79" spans="1:26" ht="18" customHeight="1">
      <c r="A79" s="326"/>
      <c r="K79" s="171" t="s">
        <v>14</v>
      </c>
      <c r="L79" s="171"/>
      <c r="M79" s="171"/>
      <c r="N79" s="143" t="s">
        <v>32</v>
      </c>
      <c r="O79" s="173">
        <v>4</v>
      </c>
      <c r="P79" s="234">
        <f ca="1">OFFSET($A$1,MATCH(Z77,$A:$A,0)-1,O79)</f>
        <v>0.4</v>
      </c>
      <c r="Q79" s="144" t="s">
        <v>29</v>
      </c>
      <c r="R79" s="118">
        <f t="shared" ca="1" si="14"/>
        <v>373353</v>
      </c>
      <c r="S79" s="118">
        <f t="shared" ca="1" si="14"/>
        <v>149341</v>
      </c>
      <c r="T79" s="118">
        <f ca="1">특급</f>
        <v>373353</v>
      </c>
      <c r="U79" s="118">
        <f t="shared" ca="1" si="15"/>
        <v>149341</v>
      </c>
      <c r="V79" s="118"/>
      <c r="W79" s="118"/>
      <c r="X79" s="118"/>
      <c r="Y79" s="118"/>
      <c r="Z79" s="115"/>
    </row>
    <row r="80" spans="1:26" ht="18" customHeight="1">
      <c r="A80" s="326"/>
      <c r="K80" s="171" t="s">
        <v>14</v>
      </c>
      <c r="L80" s="171"/>
      <c r="M80" s="171"/>
      <c r="N80" s="145" t="s">
        <v>39</v>
      </c>
      <c r="O80" s="173">
        <v>5</v>
      </c>
      <c r="P80" s="234">
        <f ca="1">OFFSET($A$1,MATCH(Z77,$A:$A,0)-1,O80)</f>
        <v>0.8</v>
      </c>
      <c r="Q80" s="144" t="s">
        <v>29</v>
      </c>
      <c r="R80" s="118">
        <f t="shared" ca="1" si="14"/>
        <v>310884</v>
      </c>
      <c r="S80" s="118">
        <f t="shared" ca="1" si="14"/>
        <v>248707</v>
      </c>
      <c r="T80" s="118">
        <f ca="1">고급</f>
        <v>310884</v>
      </c>
      <c r="U80" s="118">
        <f t="shared" ca="1" si="15"/>
        <v>248707</v>
      </c>
      <c r="V80" s="118"/>
      <c r="W80" s="118"/>
      <c r="X80" s="118"/>
      <c r="Y80" s="118"/>
      <c r="Z80" s="115"/>
    </row>
    <row r="81" spans="1:26" ht="18" customHeight="1">
      <c r="A81" s="326"/>
      <c r="K81" s="171" t="s">
        <v>14</v>
      </c>
      <c r="L81" s="171"/>
      <c r="M81" s="171"/>
      <c r="N81" s="145" t="s">
        <v>40</v>
      </c>
      <c r="O81" s="173">
        <v>6</v>
      </c>
      <c r="P81" s="234">
        <f ca="1">OFFSET($A$1,MATCH(Z77,$A:$A,0)-1,O81)</f>
        <v>1.2</v>
      </c>
      <c r="Q81" s="144" t="s">
        <v>29</v>
      </c>
      <c r="R81" s="118">
        <f t="shared" ca="1" si="14"/>
        <v>295138</v>
      </c>
      <c r="S81" s="118">
        <f t="shared" ca="1" si="14"/>
        <v>354165</v>
      </c>
      <c r="T81" s="118">
        <f ca="1">중급</f>
        <v>295138</v>
      </c>
      <c r="U81" s="118">
        <f t="shared" ca="1" si="15"/>
        <v>354165</v>
      </c>
      <c r="V81" s="118"/>
      <c r="W81" s="118"/>
      <c r="X81" s="118"/>
      <c r="Y81" s="118"/>
      <c r="Z81" s="115"/>
    </row>
    <row r="82" spans="1:26" ht="18" customHeight="1">
      <c r="A82" s="326"/>
      <c r="K82" s="171" t="s">
        <v>14</v>
      </c>
      <c r="L82" s="171"/>
      <c r="M82" s="171"/>
      <c r="N82" s="145" t="s">
        <v>41</v>
      </c>
      <c r="O82" s="173">
        <v>7</v>
      </c>
      <c r="P82" s="234">
        <f ca="1">OFFSET($A$1,MATCH(Z77,$A:$A,0)-1,O82)</f>
        <v>2</v>
      </c>
      <c r="Q82" s="144" t="s">
        <v>29</v>
      </c>
      <c r="R82" s="118">
        <f t="shared" ca="1" si="14"/>
        <v>235459</v>
      </c>
      <c r="S82" s="118">
        <f t="shared" ca="1" si="14"/>
        <v>470918</v>
      </c>
      <c r="T82" s="118">
        <f ca="1">초급</f>
        <v>235459</v>
      </c>
      <c r="U82" s="118">
        <f t="shared" ca="1" si="15"/>
        <v>470918</v>
      </c>
      <c r="V82" s="118"/>
      <c r="W82" s="118"/>
      <c r="X82" s="118"/>
      <c r="Y82" s="118"/>
      <c r="Z82" s="115"/>
    </row>
    <row r="83" spans="1:26" ht="18" customHeight="1">
      <c r="A83" s="326"/>
      <c r="K83" s="171" t="s">
        <v>14</v>
      </c>
      <c r="L83" s="171"/>
      <c r="M83" s="171"/>
      <c r="N83" s="319" t="s">
        <v>42</v>
      </c>
      <c r="O83" s="174">
        <v>8</v>
      </c>
      <c r="P83" s="235">
        <f ca="1">OFFSET($A$1,MATCH(Z77,$A:$A,0)-1,O83)</f>
        <v>2.5</v>
      </c>
      <c r="Q83" s="322" t="s">
        <v>29</v>
      </c>
      <c r="R83" s="323">
        <f t="shared" ca="1" si="14"/>
        <v>250087</v>
      </c>
      <c r="S83" s="323">
        <f t="shared" ca="1" si="14"/>
        <v>625217</v>
      </c>
      <c r="T83" s="323">
        <f ca="1">보조원</f>
        <v>250087</v>
      </c>
      <c r="U83" s="323">
        <f t="shared" ca="1" si="15"/>
        <v>625217</v>
      </c>
      <c r="V83" s="323"/>
      <c r="W83" s="323"/>
      <c r="X83" s="323"/>
      <c r="Y83" s="323"/>
      <c r="Z83" s="324"/>
    </row>
    <row r="84" spans="1:26" ht="18" customHeight="1">
      <c r="A84" s="326"/>
      <c r="K84" s="171" t="s">
        <v>14</v>
      </c>
      <c r="L84" s="171"/>
      <c r="M84" s="171"/>
      <c r="N84" s="139" t="s">
        <v>17</v>
      </c>
      <c r="O84" s="68"/>
      <c r="P84" s="69"/>
      <c r="Q84" s="70"/>
      <c r="R84" s="71"/>
      <c r="S84" s="71">
        <f ca="1">SUBTOTAL(9,S78:S83)</f>
        <v>1941791</v>
      </c>
      <c r="T84" s="71"/>
      <c r="U84" s="71">
        <f ca="1">SUBTOTAL(9,U78:U83)</f>
        <v>1941791</v>
      </c>
      <c r="V84" s="71"/>
      <c r="W84" s="71"/>
      <c r="X84" s="71"/>
      <c r="Y84" s="71"/>
      <c r="Z84" s="68"/>
    </row>
    <row r="85" spans="1:26" ht="18" customHeight="1">
      <c r="A85" s="326"/>
      <c r="K85" s="171" t="s">
        <v>14</v>
      </c>
      <c r="L85" s="171"/>
      <c r="M85" s="171"/>
      <c r="N85" s="318" t="str">
        <f ca="1">"제 " &amp; Z85 &amp; " 호표  "&amp; OFFSET($A$1,MATCH(Z85,$A:$A,0)-1,2)</f>
        <v xml:space="preserve">제 3 호표  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3</v>
      </c>
    </row>
    <row r="86" spans="1:26" ht="18" customHeight="1">
      <c r="A86" s="326"/>
      <c r="K86" s="171" t="s">
        <v>14</v>
      </c>
      <c r="L86" s="171"/>
      <c r="M86" s="171"/>
      <c r="N86" s="140" t="s">
        <v>43</v>
      </c>
      <c r="O86" s="172">
        <v>3</v>
      </c>
      <c r="P86" s="219">
        <f ca="1">OFFSET($A$1,MATCH(Z85,$A:$A,0)-1,O86)</f>
        <v>0.4</v>
      </c>
      <c r="Q86" s="141" t="s">
        <v>29</v>
      </c>
      <c r="R86" s="142">
        <f t="shared" ref="R86:S91" ca="1" si="16">T86</f>
        <v>467217</v>
      </c>
      <c r="S86" s="142">
        <f t="shared" ca="1" si="16"/>
        <v>186886</v>
      </c>
      <c r="T86" s="142">
        <f ca="1">기술사</f>
        <v>467217</v>
      </c>
      <c r="U86" s="142">
        <f t="shared" ref="U86:U91" ca="1" si="17">ROUNDDOWN(P86*R86,0)</f>
        <v>186886</v>
      </c>
      <c r="V86" s="142"/>
      <c r="W86" s="142"/>
      <c r="X86" s="142"/>
      <c r="Y86" s="142"/>
      <c r="Z86" s="114"/>
    </row>
    <row r="87" spans="1:26" ht="18" customHeight="1">
      <c r="A87" s="326"/>
      <c r="K87" s="171" t="s">
        <v>14</v>
      </c>
      <c r="L87" s="171"/>
      <c r="M87" s="171"/>
      <c r="N87" s="143" t="s">
        <v>32</v>
      </c>
      <c r="O87" s="173">
        <v>4</v>
      </c>
      <c r="P87" s="234">
        <f ca="1">OFFSET($A$1,MATCH(Z85,$A:$A,0)-1,O87)</f>
        <v>1</v>
      </c>
      <c r="Q87" s="144" t="s">
        <v>29</v>
      </c>
      <c r="R87" s="118">
        <f t="shared" ca="1" si="16"/>
        <v>373353</v>
      </c>
      <c r="S87" s="118">
        <f t="shared" ca="1" si="16"/>
        <v>373353</v>
      </c>
      <c r="T87" s="118">
        <f ca="1">특급</f>
        <v>373353</v>
      </c>
      <c r="U87" s="118">
        <f t="shared" ca="1" si="17"/>
        <v>373353</v>
      </c>
      <c r="V87" s="118"/>
      <c r="W87" s="118"/>
      <c r="X87" s="118"/>
      <c r="Y87" s="118"/>
      <c r="Z87" s="115"/>
    </row>
    <row r="88" spans="1:26" ht="18" customHeight="1">
      <c r="K88" s="171" t="s">
        <v>14</v>
      </c>
      <c r="L88" s="171"/>
      <c r="M88" s="171"/>
      <c r="N88" s="145" t="s">
        <v>39</v>
      </c>
      <c r="O88" s="173">
        <v>5</v>
      </c>
      <c r="P88" s="234">
        <f ca="1">OFFSET($A$1,MATCH(Z85,$A:$A,0)-1,O88)</f>
        <v>2.4</v>
      </c>
      <c r="Q88" s="144" t="s">
        <v>29</v>
      </c>
      <c r="R88" s="118">
        <f t="shared" ca="1" si="16"/>
        <v>310884</v>
      </c>
      <c r="S88" s="118">
        <f t="shared" ca="1" si="16"/>
        <v>746121</v>
      </c>
      <c r="T88" s="118">
        <f ca="1">고급</f>
        <v>310884</v>
      </c>
      <c r="U88" s="118">
        <f t="shared" ca="1" si="17"/>
        <v>746121</v>
      </c>
      <c r="V88" s="118"/>
      <c r="W88" s="118"/>
      <c r="X88" s="118"/>
      <c r="Y88" s="118"/>
      <c r="Z88" s="115"/>
    </row>
    <row r="89" spans="1:26" ht="18" customHeight="1">
      <c r="K89" s="171" t="s">
        <v>14</v>
      </c>
      <c r="L89" s="171"/>
      <c r="M89" s="171"/>
      <c r="N89" s="145" t="s">
        <v>40</v>
      </c>
      <c r="O89" s="173">
        <v>6</v>
      </c>
      <c r="P89" s="234">
        <f ca="1">OFFSET($A$1,MATCH(Z85,$A:$A,0)-1,O89)</f>
        <v>3</v>
      </c>
      <c r="Q89" s="144" t="s">
        <v>29</v>
      </c>
      <c r="R89" s="118">
        <f t="shared" ca="1" si="16"/>
        <v>295138</v>
      </c>
      <c r="S89" s="118">
        <f t="shared" ca="1" si="16"/>
        <v>885414</v>
      </c>
      <c r="T89" s="118">
        <f ca="1">중급</f>
        <v>295138</v>
      </c>
      <c r="U89" s="118">
        <f t="shared" ca="1" si="17"/>
        <v>885414</v>
      </c>
      <c r="V89" s="118"/>
      <c r="W89" s="118"/>
      <c r="X89" s="118"/>
      <c r="Y89" s="118"/>
      <c r="Z89" s="115"/>
    </row>
    <row r="90" spans="1:26" ht="18" customHeight="1">
      <c r="K90" s="171" t="s">
        <v>14</v>
      </c>
      <c r="L90" s="171"/>
      <c r="M90" s="171"/>
      <c r="N90" s="145" t="s">
        <v>41</v>
      </c>
      <c r="O90" s="173">
        <v>7</v>
      </c>
      <c r="P90" s="234">
        <f ca="1">OFFSET($A$1,MATCH(Z85,$A:$A,0)-1,O90)</f>
        <v>6</v>
      </c>
      <c r="Q90" s="144" t="s">
        <v>29</v>
      </c>
      <c r="R90" s="118">
        <f t="shared" ca="1" si="16"/>
        <v>235459</v>
      </c>
      <c r="S90" s="118">
        <f t="shared" ca="1" si="16"/>
        <v>1412754</v>
      </c>
      <c r="T90" s="118">
        <f ca="1">초급</f>
        <v>235459</v>
      </c>
      <c r="U90" s="118">
        <f t="shared" ca="1" si="17"/>
        <v>1412754</v>
      </c>
      <c r="V90" s="118"/>
      <c r="W90" s="118"/>
      <c r="X90" s="118"/>
      <c r="Y90" s="118"/>
      <c r="Z90" s="115"/>
    </row>
    <row r="91" spans="1:26" ht="18" customHeight="1">
      <c r="K91" s="171" t="s">
        <v>14</v>
      </c>
      <c r="L91" s="171"/>
      <c r="M91" s="171"/>
      <c r="N91" s="319" t="s">
        <v>42</v>
      </c>
      <c r="O91" s="174">
        <v>8</v>
      </c>
      <c r="P91" s="235">
        <f ca="1">OFFSET($A$1,MATCH(Z85,$A:$A,0)-1,O91)</f>
        <v>8.5</v>
      </c>
      <c r="Q91" s="322" t="s">
        <v>29</v>
      </c>
      <c r="R91" s="323">
        <f t="shared" ca="1" si="16"/>
        <v>250087</v>
      </c>
      <c r="S91" s="323">
        <f t="shared" ca="1" si="16"/>
        <v>2125739</v>
      </c>
      <c r="T91" s="323">
        <f ca="1">보조원</f>
        <v>250087</v>
      </c>
      <c r="U91" s="323">
        <f t="shared" ca="1" si="17"/>
        <v>2125739</v>
      </c>
      <c r="V91" s="323"/>
      <c r="W91" s="323"/>
      <c r="X91" s="323"/>
      <c r="Y91" s="323"/>
      <c r="Z91" s="324"/>
    </row>
    <row r="92" spans="1:26" ht="18" customHeight="1">
      <c r="K92" s="171" t="s">
        <v>14</v>
      </c>
      <c r="L92" s="171"/>
      <c r="M92" s="171"/>
      <c r="N92" s="139" t="s">
        <v>17</v>
      </c>
      <c r="O92" s="68"/>
      <c r="P92" s="69"/>
      <c r="Q92" s="70"/>
      <c r="R92" s="71"/>
      <c r="S92" s="71">
        <f ca="1">SUBTOTAL(9,S86:S91)</f>
        <v>5730267</v>
      </c>
      <c r="T92" s="71"/>
      <c r="U92" s="71">
        <f ca="1">SUBTOTAL(9,U86:U91)</f>
        <v>5730267</v>
      </c>
      <c r="V92" s="71"/>
      <c r="W92" s="71"/>
      <c r="X92" s="71"/>
      <c r="Y92" s="71"/>
      <c r="Z92" s="68"/>
    </row>
    <row r="93" spans="1:26" ht="18" customHeight="1">
      <c r="K93" s="171" t="s">
        <v>14</v>
      </c>
      <c r="L93" s="171"/>
      <c r="M93" s="171"/>
      <c r="N93" s="318" t="str">
        <f ca="1">"제 " &amp; Z93 &amp; " 호표  "&amp; OFFSET($A$1,MATCH(Z93,$A:$A,0)-1,2)</f>
        <v xml:space="preserve">제 4 호표  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4</v>
      </c>
    </row>
    <row r="94" spans="1:26" ht="18" customHeight="1">
      <c r="K94" s="171" t="s">
        <v>14</v>
      </c>
      <c r="L94" s="171"/>
      <c r="M94" s="171"/>
      <c r="N94" s="140" t="s">
        <v>43</v>
      </c>
      <c r="O94" s="172">
        <v>3</v>
      </c>
      <c r="P94" s="219">
        <f ca="1">OFFSET($A$1,MATCH(Z93,$A:$A,0)-1,O94)</f>
        <v>0.6</v>
      </c>
      <c r="Q94" s="141" t="s">
        <v>29</v>
      </c>
      <c r="R94" s="142">
        <f t="shared" ref="R94:S99" ca="1" si="18">T94</f>
        <v>467217</v>
      </c>
      <c r="S94" s="142">
        <f t="shared" ca="1" si="18"/>
        <v>280330</v>
      </c>
      <c r="T94" s="142">
        <f ca="1">기술사</f>
        <v>467217</v>
      </c>
      <c r="U94" s="142">
        <f t="shared" ref="U94:U99" ca="1" si="19">ROUNDDOWN(P94*R94,0)</f>
        <v>280330</v>
      </c>
      <c r="V94" s="142"/>
      <c r="W94" s="142"/>
      <c r="X94" s="142"/>
      <c r="Y94" s="142"/>
      <c r="Z94" s="114"/>
    </row>
    <row r="95" spans="1:26" ht="18" customHeight="1">
      <c r="K95" s="171" t="s">
        <v>14</v>
      </c>
      <c r="L95" s="171"/>
      <c r="M95" s="171"/>
      <c r="N95" s="143" t="s">
        <v>32</v>
      </c>
      <c r="O95" s="173">
        <v>4</v>
      </c>
      <c r="P95" s="234">
        <f ca="1">OFFSET($A$1,MATCH(Z93,$A:$A,0)-1,O95)</f>
        <v>1</v>
      </c>
      <c r="Q95" s="144" t="s">
        <v>29</v>
      </c>
      <c r="R95" s="118">
        <f t="shared" ca="1" si="18"/>
        <v>373353</v>
      </c>
      <c r="S95" s="118">
        <f t="shared" ca="1" si="18"/>
        <v>373353</v>
      </c>
      <c r="T95" s="118">
        <f ca="1">특급</f>
        <v>373353</v>
      </c>
      <c r="U95" s="118">
        <f t="shared" ca="1" si="19"/>
        <v>373353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M96" s="171"/>
      <c r="N96" s="145" t="s">
        <v>39</v>
      </c>
      <c r="O96" s="173">
        <v>5</v>
      </c>
      <c r="P96" s="234">
        <f ca="1">OFFSET($A$1,MATCH(Z93,$A:$A,0)-1,O96)</f>
        <v>6</v>
      </c>
      <c r="Q96" s="144" t="s">
        <v>29</v>
      </c>
      <c r="R96" s="118">
        <f t="shared" ca="1" si="18"/>
        <v>310884</v>
      </c>
      <c r="S96" s="118">
        <f t="shared" ca="1" si="18"/>
        <v>1865304</v>
      </c>
      <c r="T96" s="118">
        <f ca="1">고급</f>
        <v>310884</v>
      </c>
      <c r="U96" s="118">
        <f t="shared" ca="1" si="19"/>
        <v>1865304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40</v>
      </c>
      <c r="O97" s="173">
        <v>6</v>
      </c>
      <c r="P97" s="234">
        <f ca="1">OFFSET($A$1,MATCH(Z93,$A:$A,0)-1,O97)</f>
        <v>7</v>
      </c>
      <c r="Q97" s="144" t="s">
        <v>29</v>
      </c>
      <c r="R97" s="118">
        <f t="shared" ca="1" si="18"/>
        <v>295138</v>
      </c>
      <c r="S97" s="118">
        <f t="shared" ca="1" si="18"/>
        <v>2065966</v>
      </c>
      <c r="T97" s="118">
        <f ca="1">중급</f>
        <v>295138</v>
      </c>
      <c r="U97" s="118">
        <f t="shared" ca="1" si="19"/>
        <v>2065966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41</v>
      </c>
      <c r="O98" s="173">
        <v>7</v>
      </c>
      <c r="P98" s="234">
        <f ca="1">OFFSET($A$1,MATCH(Z93,$A:$A,0)-1,O98)</f>
        <v>15</v>
      </c>
      <c r="Q98" s="144" t="s">
        <v>29</v>
      </c>
      <c r="R98" s="118">
        <f t="shared" ca="1" si="18"/>
        <v>235459</v>
      </c>
      <c r="S98" s="118">
        <f t="shared" ca="1" si="18"/>
        <v>3531885</v>
      </c>
      <c r="T98" s="118">
        <f ca="1">초급</f>
        <v>235459</v>
      </c>
      <c r="U98" s="118">
        <f t="shared" ca="1" si="19"/>
        <v>3531885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319" t="s">
        <v>42</v>
      </c>
      <c r="O99" s="174">
        <v>8</v>
      </c>
      <c r="P99" s="235">
        <f ca="1">OFFSET($A$1,MATCH(Z93,$A:$A,0)-1,O99)</f>
        <v>12</v>
      </c>
      <c r="Q99" s="322" t="s">
        <v>29</v>
      </c>
      <c r="R99" s="323">
        <f t="shared" ca="1" si="18"/>
        <v>250087</v>
      </c>
      <c r="S99" s="323">
        <f t="shared" ca="1" si="18"/>
        <v>3001044</v>
      </c>
      <c r="T99" s="323">
        <f ca="1">보조원</f>
        <v>250087</v>
      </c>
      <c r="U99" s="323">
        <f t="shared" ca="1" si="19"/>
        <v>3001044</v>
      </c>
      <c r="V99" s="323"/>
      <c r="W99" s="323"/>
      <c r="X99" s="323"/>
      <c r="Y99" s="323"/>
      <c r="Z99" s="324"/>
    </row>
    <row r="100" spans="11:26" ht="18" customHeight="1">
      <c r="K100" s="171" t="s">
        <v>14</v>
      </c>
      <c r="L100" s="171"/>
      <c r="M100" s="171"/>
      <c r="N100" s="139" t="s">
        <v>17</v>
      </c>
      <c r="O100" s="68"/>
      <c r="P100" s="69"/>
      <c r="Q100" s="70"/>
      <c r="R100" s="71"/>
      <c r="S100" s="71">
        <f ca="1">SUBTOTAL(9,S94:S99)</f>
        <v>11117882</v>
      </c>
      <c r="T100" s="71"/>
      <c r="U100" s="71">
        <f ca="1">SUBTOTAL(9,U94:U99)</f>
        <v>11117882</v>
      </c>
      <c r="V100" s="71"/>
      <c r="W100" s="71"/>
      <c r="X100" s="71"/>
      <c r="Y100" s="71"/>
      <c r="Z100" s="68"/>
    </row>
    <row r="101" spans="11:26" ht="18" customHeight="1">
      <c r="K101" s="171" t="s">
        <v>14</v>
      </c>
      <c r="L101" s="171"/>
      <c r="M101" s="171"/>
      <c r="N101" s="318" t="str">
        <f ca="1">"제 " &amp; Z101 &amp; " 호표  "&amp; OFFSET($A$1,MATCH(Z101,$A:$A,0)-1,2)</f>
        <v xml:space="preserve">제 5 호표  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5</v>
      </c>
    </row>
    <row r="102" spans="11:26" ht="18" customHeight="1">
      <c r="K102" s="171" t="s">
        <v>14</v>
      </c>
      <c r="L102" s="171"/>
      <c r="M102" s="171"/>
      <c r="N102" s="140" t="s">
        <v>43</v>
      </c>
      <c r="O102" s="172">
        <v>3</v>
      </c>
      <c r="P102" s="219">
        <f ca="1">OFFSET($A$1,MATCH(Z101,$A:$A,0)-1,O102)</f>
        <v>0</v>
      </c>
      <c r="Q102" s="141" t="s">
        <v>29</v>
      </c>
      <c r="R102" s="142">
        <f t="shared" ref="R102:S107" ca="1" si="20">T102</f>
        <v>467217</v>
      </c>
      <c r="S102" s="142">
        <f t="shared" ca="1" si="20"/>
        <v>0</v>
      </c>
      <c r="T102" s="142">
        <f ca="1">기술사</f>
        <v>467217</v>
      </c>
      <c r="U102" s="142">
        <f t="shared" ref="U102:U107" ca="1" si="21">ROUNDDOWN(P102*R102,0)</f>
        <v>0</v>
      </c>
      <c r="V102" s="142"/>
      <c r="W102" s="142"/>
      <c r="X102" s="142"/>
      <c r="Y102" s="142"/>
      <c r="Z102" s="114"/>
    </row>
    <row r="103" spans="11:26" ht="18" customHeight="1">
      <c r="K103" s="171" t="s">
        <v>14</v>
      </c>
      <c r="L103" s="171"/>
      <c r="M103" s="171"/>
      <c r="N103" s="143" t="s">
        <v>32</v>
      </c>
      <c r="O103" s="173">
        <v>4</v>
      </c>
      <c r="P103" s="234">
        <f ca="1">OFFSET($A$1,MATCH(Z101,$A:$A,0)-1,O103)</f>
        <v>0</v>
      </c>
      <c r="Q103" s="144" t="s">
        <v>29</v>
      </c>
      <c r="R103" s="118">
        <f t="shared" ca="1" si="20"/>
        <v>373353</v>
      </c>
      <c r="S103" s="118">
        <f t="shared" ca="1" si="20"/>
        <v>0</v>
      </c>
      <c r="T103" s="118">
        <f ca="1">특급</f>
        <v>373353</v>
      </c>
      <c r="U103" s="118">
        <f t="shared" ca="1" si="21"/>
        <v>0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39</v>
      </c>
      <c r="O104" s="173">
        <v>5</v>
      </c>
      <c r="P104" s="234">
        <f ca="1">OFFSET($A$1,MATCH(Z101,$A:$A,0)-1,O104)</f>
        <v>0</v>
      </c>
      <c r="Q104" s="144" t="s">
        <v>29</v>
      </c>
      <c r="R104" s="118">
        <f t="shared" ca="1" si="20"/>
        <v>310884</v>
      </c>
      <c r="S104" s="118">
        <f t="shared" ca="1" si="20"/>
        <v>0</v>
      </c>
      <c r="T104" s="118">
        <f ca="1">고급</f>
        <v>310884</v>
      </c>
      <c r="U104" s="118">
        <f t="shared" ca="1" si="21"/>
        <v>0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40</v>
      </c>
      <c r="O105" s="173">
        <v>6</v>
      </c>
      <c r="P105" s="234">
        <f ca="1">OFFSET($A$1,MATCH(Z101,$A:$A,0)-1,O105)</f>
        <v>0</v>
      </c>
      <c r="Q105" s="144" t="s">
        <v>29</v>
      </c>
      <c r="R105" s="118">
        <f t="shared" ca="1" si="20"/>
        <v>295138</v>
      </c>
      <c r="S105" s="118">
        <f t="shared" ca="1" si="20"/>
        <v>0</v>
      </c>
      <c r="T105" s="118">
        <f ca="1">중급</f>
        <v>295138</v>
      </c>
      <c r="U105" s="118">
        <f t="shared" ca="1" si="21"/>
        <v>0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41</v>
      </c>
      <c r="O106" s="173">
        <v>7</v>
      </c>
      <c r="P106" s="234">
        <f ca="1">OFFSET($A$1,MATCH(Z101,$A:$A,0)-1,O106)</f>
        <v>0</v>
      </c>
      <c r="Q106" s="144" t="s">
        <v>29</v>
      </c>
      <c r="R106" s="118">
        <f t="shared" ca="1" si="20"/>
        <v>235459</v>
      </c>
      <c r="S106" s="118">
        <f t="shared" ca="1" si="20"/>
        <v>0</v>
      </c>
      <c r="T106" s="118">
        <f ca="1">초급</f>
        <v>235459</v>
      </c>
      <c r="U106" s="118">
        <f t="shared" ca="1" si="21"/>
        <v>0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319" t="s">
        <v>42</v>
      </c>
      <c r="O107" s="174">
        <v>8</v>
      </c>
      <c r="P107" s="235">
        <f ca="1">OFFSET($A$1,MATCH(Z101,$A:$A,0)-1,O107)</f>
        <v>0</v>
      </c>
      <c r="Q107" s="322" t="s">
        <v>29</v>
      </c>
      <c r="R107" s="323">
        <f t="shared" ca="1" si="20"/>
        <v>250087</v>
      </c>
      <c r="S107" s="323">
        <f t="shared" ca="1" si="20"/>
        <v>0</v>
      </c>
      <c r="T107" s="323">
        <f ca="1">보조원</f>
        <v>250087</v>
      </c>
      <c r="U107" s="323">
        <f t="shared" ca="1" si="21"/>
        <v>0</v>
      </c>
      <c r="V107" s="323"/>
      <c r="W107" s="323"/>
      <c r="X107" s="323"/>
      <c r="Y107" s="323"/>
      <c r="Z107" s="324"/>
    </row>
    <row r="108" spans="11:26" ht="18" customHeight="1">
      <c r="K108" s="171" t="s">
        <v>14</v>
      </c>
      <c r="L108" s="171"/>
      <c r="M108" s="171"/>
      <c r="N108" s="139" t="s">
        <v>17</v>
      </c>
      <c r="O108" s="68"/>
      <c r="P108" s="69"/>
      <c r="Q108" s="70"/>
      <c r="R108" s="71"/>
      <c r="S108" s="71">
        <f ca="1">SUBTOTAL(9,S102:S107)</f>
        <v>0</v>
      </c>
      <c r="T108" s="71"/>
      <c r="U108" s="71">
        <f ca="1">SUBTOTAL(9,U102:U107)</f>
        <v>0</v>
      </c>
      <c r="V108" s="71"/>
      <c r="W108" s="71"/>
      <c r="X108" s="71"/>
      <c r="Y108" s="71"/>
      <c r="Z108" s="68"/>
    </row>
    <row r="109" spans="11:26" ht="18" customHeight="1">
      <c r="K109" s="171" t="s">
        <v>14</v>
      </c>
      <c r="L109" s="171"/>
      <c r="M109" s="171"/>
      <c r="N109" s="318" t="str">
        <f ca="1">"제 " &amp; Z109 &amp; " 호표  "&amp; OFFSET($A$1,MATCH(Z109,$A:$A,0)-1,2)</f>
        <v xml:space="preserve">제 6 호표  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6</v>
      </c>
    </row>
    <row r="110" spans="11:26" ht="18" customHeight="1">
      <c r="K110" s="171" t="s">
        <v>14</v>
      </c>
      <c r="L110" s="171"/>
      <c r="M110" s="171"/>
      <c r="N110" s="140" t="s">
        <v>43</v>
      </c>
      <c r="O110" s="172">
        <v>3</v>
      </c>
      <c r="P110" s="219">
        <f ca="1">OFFSET($A$1,MATCH(Z109,$A:$A,0)-1,O110)</f>
        <v>0.6</v>
      </c>
      <c r="Q110" s="141" t="s">
        <v>29</v>
      </c>
      <c r="R110" s="142">
        <f t="shared" ref="R110:S115" ca="1" si="22">T110</f>
        <v>467217</v>
      </c>
      <c r="S110" s="142">
        <f t="shared" ca="1" si="22"/>
        <v>280330</v>
      </c>
      <c r="T110" s="142">
        <f ca="1">기술사</f>
        <v>467217</v>
      </c>
      <c r="U110" s="142">
        <f t="shared" ref="U110:U115" ca="1" si="23">ROUNDDOWN(P110*R110,0)</f>
        <v>280330</v>
      </c>
      <c r="V110" s="142"/>
      <c r="W110" s="142"/>
      <c r="X110" s="142"/>
      <c r="Y110" s="142"/>
      <c r="Z110" s="114"/>
    </row>
    <row r="111" spans="11:26" ht="18" customHeight="1">
      <c r="K111" s="171" t="s">
        <v>14</v>
      </c>
      <c r="L111" s="171"/>
      <c r="M111" s="171"/>
      <c r="N111" s="143" t="s">
        <v>32</v>
      </c>
      <c r="O111" s="173">
        <v>4</v>
      </c>
      <c r="P111" s="234">
        <f ca="1">OFFSET($A$1,MATCH(Z109,$A:$A,0)-1,O111)</f>
        <v>0.6</v>
      </c>
      <c r="Q111" s="144" t="s">
        <v>29</v>
      </c>
      <c r="R111" s="118">
        <f t="shared" ca="1" si="22"/>
        <v>373353</v>
      </c>
      <c r="S111" s="118">
        <f t="shared" ca="1" si="22"/>
        <v>224011</v>
      </c>
      <c r="T111" s="118">
        <f ca="1">특급</f>
        <v>373353</v>
      </c>
      <c r="U111" s="118">
        <f t="shared" ca="1" si="23"/>
        <v>224011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39</v>
      </c>
      <c r="O112" s="173">
        <v>5</v>
      </c>
      <c r="P112" s="234">
        <f ca="1">OFFSET($A$1,MATCH(Z109,$A:$A,0)-1,O112)</f>
        <v>1.2</v>
      </c>
      <c r="Q112" s="144" t="s">
        <v>29</v>
      </c>
      <c r="R112" s="118">
        <f t="shared" ca="1" si="22"/>
        <v>310884</v>
      </c>
      <c r="S112" s="118">
        <f t="shared" ca="1" si="22"/>
        <v>373060</v>
      </c>
      <c r="T112" s="118">
        <f ca="1">고급</f>
        <v>310884</v>
      </c>
      <c r="U112" s="118">
        <f t="shared" ca="1" si="23"/>
        <v>373060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40</v>
      </c>
      <c r="O113" s="173">
        <v>6</v>
      </c>
      <c r="P113" s="234">
        <f ca="1">OFFSET($A$1,MATCH(Z109,$A:$A,0)-1,O113)</f>
        <v>2</v>
      </c>
      <c r="Q113" s="144" t="s">
        <v>29</v>
      </c>
      <c r="R113" s="118">
        <f t="shared" ca="1" si="22"/>
        <v>295138</v>
      </c>
      <c r="S113" s="118">
        <f t="shared" ca="1" si="22"/>
        <v>590276</v>
      </c>
      <c r="T113" s="118">
        <f ca="1">중급</f>
        <v>295138</v>
      </c>
      <c r="U113" s="118">
        <f t="shared" ca="1" si="23"/>
        <v>590276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41</v>
      </c>
      <c r="O114" s="173">
        <v>7</v>
      </c>
      <c r="P114" s="234">
        <f ca="1">OFFSET($A$1,MATCH(Z109,$A:$A,0)-1,O114)</f>
        <v>3</v>
      </c>
      <c r="Q114" s="144" t="s">
        <v>29</v>
      </c>
      <c r="R114" s="118">
        <f t="shared" ca="1" si="22"/>
        <v>235459</v>
      </c>
      <c r="S114" s="118">
        <f t="shared" ca="1" si="22"/>
        <v>706377</v>
      </c>
      <c r="T114" s="118">
        <f ca="1">초급</f>
        <v>235459</v>
      </c>
      <c r="U114" s="118">
        <f t="shared" ca="1" si="23"/>
        <v>706377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319" t="s">
        <v>42</v>
      </c>
      <c r="O115" s="174">
        <v>8</v>
      </c>
      <c r="P115" s="235">
        <f ca="1">OFFSET($A$1,MATCH(Z109,$A:$A,0)-1,O115)</f>
        <v>4.5</v>
      </c>
      <c r="Q115" s="322" t="s">
        <v>29</v>
      </c>
      <c r="R115" s="323">
        <f t="shared" ca="1" si="22"/>
        <v>250087</v>
      </c>
      <c r="S115" s="323">
        <f t="shared" ca="1" si="22"/>
        <v>1125391</v>
      </c>
      <c r="T115" s="323">
        <f ca="1">보조원</f>
        <v>250087</v>
      </c>
      <c r="U115" s="323">
        <f t="shared" ca="1" si="23"/>
        <v>1125391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M116" s="171"/>
      <c r="N116" s="139" t="s">
        <v>17</v>
      </c>
      <c r="O116" s="68"/>
      <c r="P116" s="69"/>
      <c r="Q116" s="70"/>
      <c r="R116" s="71"/>
      <c r="S116" s="71">
        <f ca="1">SUBTOTAL(9,S110:S115)</f>
        <v>3299445</v>
      </c>
      <c r="T116" s="71"/>
      <c r="U116" s="71">
        <f ca="1">SUBTOTAL(9,U110:U115)</f>
        <v>3299445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M117" s="171"/>
      <c r="N117" s="318" t="str">
        <f ca="1">"제 " &amp; Z117 &amp; " 호표  "&amp; OFFSET($A$1,MATCH(Z117,$A:$A,0)-1,2)</f>
        <v xml:space="preserve">제 7 호표  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7</v>
      </c>
    </row>
    <row r="118" spans="11:26" ht="18" customHeight="1">
      <c r="K118" s="171" t="s">
        <v>14</v>
      </c>
      <c r="L118" s="171"/>
      <c r="M118" s="171"/>
      <c r="N118" s="140" t="s">
        <v>43</v>
      </c>
      <c r="O118" s="172">
        <v>3</v>
      </c>
      <c r="P118" s="219">
        <f ca="1">OFFSET($A$1,MATCH(Z117,$A:$A,0)-1,O118)</f>
        <v>0</v>
      </c>
      <c r="Q118" s="141" t="s">
        <v>29</v>
      </c>
      <c r="R118" s="142">
        <f t="shared" ref="R118:S123" ca="1" si="24">T118</f>
        <v>467217</v>
      </c>
      <c r="S118" s="142">
        <f t="shared" ca="1" si="24"/>
        <v>0</v>
      </c>
      <c r="T118" s="142">
        <f ca="1">기술사</f>
        <v>467217</v>
      </c>
      <c r="U118" s="142">
        <f t="shared" ref="U118:U123" ca="1" si="25">ROUNDDOWN(P118*R118,0)</f>
        <v>0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M119" s="171"/>
      <c r="N119" s="143" t="s">
        <v>32</v>
      </c>
      <c r="O119" s="173">
        <v>4</v>
      </c>
      <c r="P119" s="234">
        <f ca="1">OFFSET($A$1,MATCH(Z117,$A:$A,0)-1,O119)</f>
        <v>1</v>
      </c>
      <c r="Q119" s="144" t="s">
        <v>29</v>
      </c>
      <c r="R119" s="118">
        <f t="shared" ca="1" si="24"/>
        <v>373353</v>
      </c>
      <c r="S119" s="118">
        <f t="shared" ca="1" si="24"/>
        <v>373353</v>
      </c>
      <c r="T119" s="118">
        <f ca="1">특급</f>
        <v>373353</v>
      </c>
      <c r="U119" s="118">
        <f t="shared" ca="1" si="25"/>
        <v>373353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39</v>
      </c>
      <c r="O120" s="173">
        <v>5</v>
      </c>
      <c r="P120" s="234">
        <f ca="1">OFFSET($A$1,MATCH(Z117,$A:$A,0)-1,O120)</f>
        <v>2.4</v>
      </c>
      <c r="Q120" s="144" t="s">
        <v>29</v>
      </c>
      <c r="R120" s="118">
        <f t="shared" ca="1" si="24"/>
        <v>310884</v>
      </c>
      <c r="S120" s="118">
        <f t="shared" ca="1" si="24"/>
        <v>746121</v>
      </c>
      <c r="T120" s="118">
        <f ca="1">고급</f>
        <v>310884</v>
      </c>
      <c r="U120" s="118">
        <f t="shared" ca="1" si="25"/>
        <v>746121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40</v>
      </c>
      <c r="O121" s="173">
        <v>6</v>
      </c>
      <c r="P121" s="234">
        <f ca="1">OFFSET($A$1,MATCH(Z117,$A:$A,0)-1,O121)</f>
        <v>3</v>
      </c>
      <c r="Q121" s="144" t="s">
        <v>29</v>
      </c>
      <c r="R121" s="118">
        <f t="shared" ca="1" si="24"/>
        <v>295138</v>
      </c>
      <c r="S121" s="118">
        <f t="shared" ca="1" si="24"/>
        <v>885414</v>
      </c>
      <c r="T121" s="118">
        <f ca="1">중급</f>
        <v>295138</v>
      </c>
      <c r="U121" s="118">
        <f t="shared" ca="1" si="25"/>
        <v>885414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41</v>
      </c>
      <c r="O122" s="173">
        <v>7</v>
      </c>
      <c r="P122" s="234">
        <f ca="1">OFFSET($A$1,MATCH(Z117,$A:$A,0)-1,O122)</f>
        <v>6</v>
      </c>
      <c r="Q122" s="144" t="s">
        <v>29</v>
      </c>
      <c r="R122" s="118">
        <f t="shared" ca="1" si="24"/>
        <v>235459</v>
      </c>
      <c r="S122" s="118">
        <f t="shared" ca="1" si="24"/>
        <v>1412754</v>
      </c>
      <c r="T122" s="118">
        <f ca="1">초급</f>
        <v>235459</v>
      </c>
      <c r="U122" s="118">
        <f t="shared" ca="1" si="25"/>
        <v>1412754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319" t="s">
        <v>42</v>
      </c>
      <c r="O123" s="174">
        <v>8</v>
      </c>
      <c r="P123" s="235">
        <f ca="1">OFFSET($A$1,MATCH(Z117,$A:$A,0)-1,O123)</f>
        <v>8.5</v>
      </c>
      <c r="Q123" s="322" t="s">
        <v>29</v>
      </c>
      <c r="R123" s="323">
        <f t="shared" ca="1" si="24"/>
        <v>250087</v>
      </c>
      <c r="S123" s="323">
        <f t="shared" ca="1" si="24"/>
        <v>2125739</v>
      </c>
      <c r="T123" s="323">
        <f ca="1">보조원</f>
        <v>250087</v>
      </c>
      <c r="U123" s="323">
        <f t="shared" ca="1" si="25"/>
        <v>2125739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M124" s="171"/>
      <c r="N124" s="139" t="s">
        <v>17</v>
      </c>
      <c r="O124" s="68"/>
      <c r="P124" s="69"/>
      <c r="Q124" s="70"/>
      <c r="R124" s="71"/>
      <c r="S124" s="71">
        <f ca="1">SUBTOTAL(9,S118:S123)</f>
        <v>5543381</v>
      </c>
      <c r="T124" s="71"/>
      <c r="U124" s="71">
        <f ca="1">SUBTOTAL(9,U118:U123)</f>
        <v>5543381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M125" s="171"/>
      <c r="N125" s="318" t="str">
        <f ca="1">"제 " &amp; Z125 &amp; " 호표  "&amp; OFFSET($A$1,MATCH(Z125,$A:$A,0)-1,2)</f>
        <v xml:space="preserve">제 8 호표  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8</v>
      </c>
    </row>
    <row r="126" spans="11:26" ht="18" customHeight="1">
      <c r="K126" s="171" t="s">
        <v>14</v>
      </c>
      <c r="L126" s="171"/>
      <c r="M126" s="171"/>
      <c r="N126" s="140" t="s">
        <v>43</v>
      </c>
      <c r="O126" s="172">
        <v>3</v>
      </c>
      <c r="P126" s="219">
        <f ca="1">OFFSET($A$1,MATCH(Z125,$A:$A,0)-1,O126)</f>
        <v>0</v>
      </c>
      <c r="Q126" s="141" t="s">
        <v>29</v>
      </c>
      <c r="R126" s="142">
        <f t="shared" ref="R126:S131" ca="1" si="26">T126</f>
        <v>467217</v>
      </c>
      <c r="S126" s="142">
        <f t="shared" ca="1" si="26"/>
        <v>0</v>
      </c>
      <c r="T126" s="142">
        <f ca="1">기술사</f>
        <v>467217</v>
      </c>
      <c r="U126" s="142">
        <f t="shared" ref="U126:U131" ca="1" si="27">ROUNDDOWN(P126*R126,0)</f>
        <v>0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M127" s="171"/>
      <c r="N127" s="143" t="s">
        <v>32</v>
      </c>
      <c r="O127" s="173">
        <v>4</v>
      </c>
      <c r="P127" s="234">
        <f ca="1">OFFSET($A$1,MATCH(Z125,$A:$A,0)-1,O127)</f>
        <v>1.2</v>
      </c>
      <c r="Q127" s="144" t="s">
        <v>29</v>
      </c>
      <c r="R127" s="118">
        <f t="shared" ca="1" si="26"/>
        <v>373353</v>
      </c>
      <c r="S127" s="118">
        <f t="shared" ca="1" si="26"/>
        <v>448023</v>
      </c>
      <c r="T127" s="118">
        <f ca="1">특급</f>
        <v>373353</v>
      </c>
      <c r="U127" s="118">
        <f t="shared" ca="1" si="27"/>
        <v>448023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39</v>
      </c>
      <c r="O128" s="173">
        <v>5</v>
      </c>
      <c r="P128" s="234">
        <f ca="1">OFFSET($A$1,MATCH(Z125,$A:$A,0)-1,O128)</f>
        <v>2.4</v>
      </c>
      <c r="Q128" s="144" t="s">
        <v>29</v>
      </c>
      <c r="R128" s="118">
        <f t="shared" ca="1" si="26"/>
        <v>310884</v>
      </c>
      <c r="S128" s="118">
        <f t="shared" ca="1" si="26"/>
        <v>746121</v>
      </c>
      <c r="T128" s="118">
        <f ca="1">고급</f>
        <v>310884</v>
      </c>
      <c r="U128" s="118">
        <f t="shared" ca="1" si="27"/>
        <v>746121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40</v>
      </c>
      <c r="O129" s="173">
        <v>6</v>
      </c>
      <c r="P129" s="234">
        <f ca="1">OFFSET($A$1,MATCH(Z125,$A:$A,0)-1,O129)</f>
        <v>3</v>
      </c>
      <c r="Q129" s="144" t="s">
        <v>29</v>
      </c>
      <c r="R129" s="118">
        <f t="shared" ca="1" si="26"/>
        <v>295138</v>
      </c>
      <c r="S129" s="118">
        <f t="shared" ca="1" si="26"/>
        <v>885414</v>
      </c>
      <c r="T129" s="118">
        <f ca="1">중급</f>
        <v>295138</v>
      </c>
      <c r="U129" s="118">
        <f t="shared" ca="1" si="27"/>
        <v>885414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145" t="s">
        <v>41</v>
      </c>
      <c r="O130" s="173">
        <v>7</v>
      </c>
      <c r="P130" s="234">
        <f ca="1">OFFSET($A$1,MATCH(Z125,$A:$A,0)-1,O130)</f>
        <v>6</v>
      </c>
      <c r="Q130" s="144" t="s">
        <v>29</v>
      </c>
      <c r="R130" s="118">
        <f t="shared" ca="1" si="26"/>
        <v>235459</v>
      </c>
      <c r="S130" s="118">
        <f t="shared" ca="1" si="26"/>
        <v>1412754</v>
      </c>
      <c r="T130" s="118">
        <f ca="1">초급</f>
        <v>235459</v>
      </c>
      <c r="U130" s="118">
        <f t="shared" ca="1" si="27"/>
        <v>1412754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319" t="s">
        <v>42</v>
      </c>
      <c r="O131" s="174">
        <v>8</v>
      </c>
      <c r="P131" s="235">
        <f ca="1">OFFSET($A$1,MATCH(Z125,$A:$A,0)-1,O131)</f>
        <v>8.5</v>
      </c>
      <c r="Q131" s="322" t="s">
        <v>29</v>
      </c>
      <c r="R131" s="323">
        <f t="shared" ca="1" si="26"/>
        <v>250087</v>
      </c>
      <c r="S131" s="323">
        <f t="shared" ca="1" si="26"/>
        <v>2125739</v>
      </c>
      <c r="T131" s="323">
        <f ca="1">보조원</f>
        <v>250087</v>
      </c>
      <c r="U131" s="323">
        <f t="shared" ca="1" si="27"/>
        <v>2125739</v>
      </c>
      <c r="V131" s="323"/>
      <c r="W131" s="323"/>
      <c r="X131" s="323"/>
      <c r="Y131" s="323"/>
      <c r="Z131" s="324"/>
    </row>
    <row r="132" spans="11:26" ht="18" customHeight="1">
      <c r="K132" s="171" t="s">
        <v>14</v>
      </c>
      <c r="L132" s="171"/>
      <c r="M132" s="171"/>
      <c r="N132" s="139" t="s">
        <v>17</v>
      </c>
      <c r="O132" s="68"/>
      <c r="P132" s="69"/>
      <c r="Q132" s="70"/>
      <c r="R132" s="71"/>
      <c r="S132" s="71">
        <f ca="1">SUBTOTAL(9,S126:S131)</f>
        <v>5618051</v>
      </c>
      <c r="T132" s="71"/>
      <c r="U132" s="71">
        <f ca="1">SUBTOTAL(9,U126:U131)</f>
        <v>5618051</v>
      </c>
      <c r="V132" s="71"/>
      <c r="W132" s="71"/>
      <c r="X132" s="71"/>
      <c r="Y132" s="71"/>
      <c r="Z132" s="68"/>
    </row>
    <row r="133" spans="11:26" ht="18" customHeight="1">
      <c r="K133" s="171" t="s">
        <v>14</v>
      </c>
      <c r="L133" s="171"/>
      <c r="M133" s="171"/>
      <c r="N133" s="318" t="str">
        <f ca="1">"제 " &amp; Z133 &amp; " 호표  "&amp; OFFSET($A$1,MATCH(Z133,$A:$A,0)-1,2)</f>
        <v xml:space="preserve">제 9 호표  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9</v>
      </c>
    </row>
    <row r="134" spans="11:26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219">
        <f ca="1">OFFSET($A$1,MATCH(Z133,$A:$A,0)-1,O134)</f>
        <v>0</v>
      </c>
      <c r="Q134" s="141" t="s">
        <v>29</v>
      </c>
      <c r="R134" s="142">
        <f t="shared" ref="R134:S139" ca="1" si="28">T134</f>
        <v>467217</v>
      </c>
      <c r="S134" s="142">
        <f t="shared" ca="1" si="28"/>
        <v>0</v>
      </c>
      <c r="T134" s="142">
        <f ca="1">기술사</f>
        <v>467217</v>
      </c>
      <c r="U134" s="142">
        <f t="shared" ref="U134:U139" ca="1" si="29">ROUNDDOWN(P134*R134,0)</f>
        <v>0</v>
      </c>
      <c r="V134" s="142"/>
      <c r="W134" s="142"/>
      <c r="X134" s="142"/>
      <c r="Y134" s="142"/>
      <c r="Z134" s="114"/>
    </row>
    <row r="135" spans="11:26" ht="18" customHeight="1">
      <c r="K135" s="171" t="s">
        <v>14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0</v>
      </c>
      <c r="Q135" s="144" t="s">
        <v>29</v>
      </c>
      <c r="R135" s="118">
        <f t="shared" ca="1" si="28"/>
        <v>373353</v>
      </c>
      <c r="S135" s="118">
        <f t="shared" ca="1" si="28"/>
        <v>0</v>
      </c>
      <c r="T135" s="118">
        <f ca="1">특급</f>
        <v>373353</v>
      </c>
      <c r="U135" s="118">
        <f t="shared" ca="1" si="29"/>
        <v>0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0</v>
      </c>
      <c r="Q136" s="144" t="s">
        <v>29</v>
      </c>
      <c r="R136" s="118">
        <f t="shared" ca="1" si="28"/>
        <v>310884</v>
      </c>
      <c r="S136" s="118">
        <f t="shared" ca="1" si="28"/>
        <v>0</v>
      </c>
      <c r="T136" s="118">
        <f ca="1">고급</f>
        <v>310884</v>
      </c>
      <c r="U136" s="118">
        <f t="shared" ca="1" si="29"/>
        <v>0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0</v>
      </c>
      <c r="Q137" s="144" t="s">
        <v>29</v>
      </c>
      <c r="R137" s="118">
        <f t="shared" ca="1" si="28"/>
        <v>295138</v>
      </c>
      <c r="S137" s="118">
        <f t="shared" ca="1" si="28"/>
        <v>0</v>
      </c>
      <c r="T137" s="118">
        <f ca="1">중급</f>
        <v>295138</v>
      </c>
      <c r="U137" s="118">
        <f t="shared" ca="1" si="29"/>
        <v>0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0</v>
      </c>
      <c r="Q138" s="144" t="s">
        <v>29</v>
      </c>
      <c r="R138" s="118">
        <f t="shared" ca="1" si="28"/>
        <v>235459</v>
      </c>
      <c r="S138" s="118">
        <f t="shared" ca="1" si="28"/>
        <v>0</v>
      </c>
      <c r="T138" s="118">
        <f ca="1">초급</f>
        <v>235459</v>
      </c>
      <c r="U138" s="118">
        <f t="shared" ca="1" si="29"/>
        <v>0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0</v>
      </c>
      <c r="Q139" s="322" t="s">
        <v>29</v>
      </c>
      <c r="R139" s="323">
        <f t="shared" ca="1" si="28"/>
        <v>250087</v>
      </c>
      <c r="S139" s="323">
        <f t="shared" ca="1" si="28"/>
        <v>0</v>
      </c>
      <c r="T139" s="323">
        <f ca="1">보조원</f>
        <v>250087</v>
      </c>
      <c r="U139" s="323">
        <f t="shared" ca="1" si="29"/>
        <v>0</v>
      </c>
      <c r="V139" s="323"/>
      <c r="W139" s="323"/>
      <c r="X139" s="323"/>
      <c r="Y139" s="323"/>
      <c r="Z139" s="324"/>
    </row>
    <row r="140" spans="11:26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0</v>
      </c>
      <c r="T140" s="71"/>
      <c r="U140" s="71">
        <f ca="1">SUBTOTAL(9,U134:U139)</f>
        <v>0</v>
      </c>
      <c r="V140" s="71"/>
      <c r="W140" s="71"/>
      <c r="X140" s="71"/>
      <c r="Y140" s="71"/>
      <c r="Z140" s="68"/>
    </row>
    <row r="141" spans="11:26" ht="18" customHeight="1">
      <c r="K141" s="171" t="s">
        <v>14</v>
      </c>
      <c r="L141" s="171"/>
      <c r="M141" s="171"/>
      <c r="N141" s="318" t="str">
        <f ca="1">"제 " &amp; Z141 &amp; " 호표  "&amp; OFFSET($A$1,MATCH(Z141,$A:$A,0)-1,2)</f>
        <v xml:space="preserve">제 10 호표  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10</v>
      </c>
    </row>
    <row r="142" spans="11:26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0</v>
      </c>
      <c r="Q142" s="141" t="s">
        <v>29</v>
      </c>
      <c r="R142" s="142">
        <f t="shared" ref="R142:S147" ca="1" si="30">T142</f>
        <v>467217</v>
      </c>
      <c r="S142" s="142">
        <f t="shared" ca="1" si="30"/>
        <v>0</v>
      </c>
      <c r="T142" s="142">
        <f ca="1">기술사</f>
        <v>467217</v>
      </c>
      <c r="U142" s="142">
        <f t="shared" ref="U142:U147" ca="1" si="31">ROUNDDOWN(P142*R142,0)</f>
        <v>0</v>
      </c>
      <c r="V142" s="142"/>
      <c r="W142" s="142"/>
      <c r="X142" s="142"/>
      <c r="Y142" s="142"/>
      <c r="Z142" s="114"/>
    </row>
    <row r="143" spans="11:26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0</v>
      </c>
      <c r="Q143" s="144" t="s">
        <v>29</v>
      </c>
      <c r="R143" s="118">
        <f t="shared" ca="1" si="30"/>
        <v>373353</v>
      </c>
      <c r="S143" s="118">
        <f t="shared" ca="1" si="30"/>
        <v>0</v>
      </c>
      <c r="T143" s="118">
        <f ca="1">특급</f>
        <v>373353</v>
      </c>
      <c r="U143" s="118">
        <f t="shared" ca="1" si="31"/>
        <v>0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0</v>
      </c>
      <c r="Q144" s="144" t="s">
        <v>29</v>
      </c>
      <c r="R144" s="118">
        <f t="shared" ca="1" si="30"/>
        <v>310884</v>
      </c>
      <c r="S144" s="118">
        <f t="shared" ca="1" si="30"/>
        <v>0</v>
      </c>
      <c r="T144" s="118">
        <f ca="1">고급</f>
        <v>310884</v>
      </c>
      <c r="U144" s="118">
        <f t="shared" ca="1" si="31"/>
        <v>0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0</v>
      </c>
      <c r="Q145" s="144" t="s">
        <v>29</v>
      </c>
      <c r="R145" s="118">
        <f t="shared" ca="1" si="30"/>
        <v>295138</v>
      </c>
      <c r="S145" s="118">
        <f t="shared" ca="1" si="30"/>
        <v>0</v>
      </c>
      <c r="T145" s="118">
        <f ca="1">중급</f>
        <v>295138</v>
      </c>
      <c r="U145" s="118">
        <f t="shared" ca="1" si="31"/>
        <v>0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0</v>
      </c>
      <c r="Q146" s="144" t="s">
        <v>29</v>
      </c>
      <c r="R146" s="118">
        <f t="shared" ca="1" si="30"/>
        <v>235459</v>
      </c>
      <c r="S146" s="118">
        <f t="shared" ca="1" si="30"/>
        <v>0</v>
      </c>
      <c r="T146" s="118">
        <f ca="1">초급</f>
        <v>235459</v>
      </c>
      <c r="U146" s="118">
        <f t="shared" ca="1" si="31"/>
        <v>0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0</v>
      </c>
      <c r="Q147" s="322" t="s">
        <v>29</v>
      </c>
      <c r="R147" s="323">
        <f t="shared" ca="1" si="30"/>
        <v>250087</v>
      </c>
      <c r="S147" s="323">
        <f t="shared" ca="1" si="30"/>
        <v>0</v>
      </c>
      <c r="T147" s="323">
        <f ca="1">보조원</f>
        <v>250087</v>
      </c>
      <c r="U147" s="323">
        <f t="shared" ca="1" si="31"/>
        <v>0</v>
      </c>
      <c r="V147" s="323"/>
      <c r="W147" s="323"/>
      <c r="X147" s="323"/>
      <c r="Y147" s="323"/>
      <c r="Z147" s="324"/>
    </row>
    <row r="148" spans="11:26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0</v>
      </c>
      <c r="T148" s="71"/>
      <c r="U148" s="71">
        <f ca="1">SUBTOTAL(9,U142:U147)</f>
        <v>0</v>
      </c>
      <c r="V148" s="71"/>
      <c r="W148" s="71"/>
      <c r="X148" s="71"/>
      <c r="Y148" s="71"/>
      <c r="Z148" s="68"/>
    </row>
    <row r="149" spans="11:26" ht="18" customHeight="1">
      <c r="K149" s="171" t="s">
        <v>14</v>
      </c>
      <c r="L149" s="171"/>
      <c r="M149" s="171"/>
      <c r="N149" s="318" t="str">
        <f ca="1">"제 " &amp; Z149 &amp; " 호표  "&amp; OFFSET($A$1,MATCH(Z149,$A:$A,0)-1,2)</f>
        <v xml:space="preserve">제 11 호표  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11</v>
      </c>
    </row>
    <row r="150" spans="11:26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7.6</v>
      </c>
      <c r="Q150" s="141" t="s">
        <v>29</v>
      </c>
      <c r="R150" s="142">
        <f t="shared" ref="R150:S155" ca="1" si="32">T150</f>
        <v>467217</v>
      </c>
      <c r="S150" s="142">
        <f t="shared" ca="1" si="32"/>
        <v>3550849</v>
      </c>
      <c r="T150" s="142">
        <f ca="1">기술사</f>
        <v>467217</v>
      </c>
      <c r="U150" s="142">
        <f t="shared" ref="U150:U155" ca="1" si="33">ROUNDDOWN(P150*R150,0)</f>
        <v>3550849</v>
      </c>
      <c r="V150" s="142"/>
      <c r="W150" s="142"/>
      <c r="X150" s="142"/>
      <c r="Y150" s="142"/>
      <c r="Z150" s="114"/>
    </row>
    <row r="151" spans="11:26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17.899999999999999</v>
      </c>
      <c r="Q151" s="144" t="s">
        <v>29</v>
      </c>
      <c r="R151" s="118">
        <f t="shared" ca="1" si="32"/>
        <v>373353</v>
      </c>
      <c r="S151" s="118">
        <f t="shared" ca="1" si="32"/>
        <v>6683018</v>
      </c>
      <c r="T151" s="118">
        <f ca="1">특급</f>
        <v>373353</v>
      </c>
      <c r="U151" s="118">
        <f t="shared" ca="1" si="33"/>
        <v>6683018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18.5</v>
      </c>
      <c r="Q152" s="144" t="s">
        <v>29</v>
      </c>
      <c r="R152" s="118">
        <f t="shared" ca="1" si="32"/>
        <v>310884</v>
      </c>
      <c r="S152" s="118">
        <f t="shared" ca="1" si="32"/>
        <v>5751354</v>
      </c>
      <c r="T152" s="118">
        <f ca="1">고급</f>
        <v>310884</v>
      </c>
      <c r="U152" s="118">
        <f t="shared" ca="1" si="33"/>
        <v>5751354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12</v>
      </c>
      <c r="Q153" s="144" t="s">
        <v>29</v>
      </c>
      <c r="R153" s="118">
        <f t="shared" ca="1" si="32"/>
        <v>295138</v>
      </c>
      <c r="S153" s="118">
        <f t="shared" ca="1" si="32"/>
        <v>3541656</v>
      </c>
      <c r="T153" s="118">
        <f ca="1">중급</f>
        <v>295138</v>
      </c>
      <c r="U153" s="118">
        <f t="shared" ca="1" si="33"/>
        <v>3541656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11.3</v>
      </c>
      <c r="Q154" s="144" t="s">
        <v>29</v>
      </c>
      <c r="R154" s="118">
        <f t="shared" ca="1" si="32"/>
        <v>235459</v>
      </c>
      <c r="S154" s="118">
        <f t="shared" ca="1" si="32"/>
        <v>2660686</v>
      </c>
      <c r="T154" s="118">
        <f ca="1">초급</f>
        <v>235459</v>
      </c>
      <c r="U154" s="118">
        <f t="shared" ca="1" si="33"/>
        <v>2660686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8.3000000000000007</v>
      </c>
      <c r="Q155" s="322" t="s">
        <v>29</v>
      </c>
      <c r="R155" s="323">
        <f t="shared" ca="1" si="32"/>
        <v>250087</v>
      </c>
      <c r="S155" s="323">
        <f t="shared" ca="1" si="32"/>
        <v>2075722</v>
      </c>
      <c r="T155" s="323">
        <f ca="1">보조원</f>
        <v>250087</v>
      </c>
      <c r="U155" s="323">
        <f t="shared" ca="1" si="33"/>
        <v>2075722</v>
      </c>
      <c r="V155" s="323"/>
      <c r="W155" s="323"/>
      <c r="X155" s="323"/>
      <c r="Y155" s="323"/>
      <c r="Z155" s="324"/>
    </row>
    <row r="156" spans="11:26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24263285</v>
      </c>
      <c r="T156" s="71"/>
      <c r="U156" s="71">
        <f ca="1">SUBTOTAL(9,U150:U155)</f>
        <v>24263285</v>
      </c>
      <c r="V156" s="71"/>
      <c r="W156" s="71"/>
      <c r="X156" s="71"/>
      <c r="Y156" s="71"/>
      <c r="Z156" s="68"/>
    </row>
    <row r="157" spans="11:26" ht="18" customHeight="1">
      <c r="K157" s="171" t="s">
        <v>14</v>
      </c>
      <c r="L157" s="171"/>
      <c r="M157" s="171"/>
      <c r="N157" s="318" t="str">
        <f ca="1">"제 " &amp; Z157 &amp; " 호표  "&amp; OFFSET($A$1,MATCH(Z157,$A:$A,0)-1,2)</f>
        <v xml:space="preserve">제 12 호표  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12</v>
      </c>
    </row>
    <row r="158" spans="11:26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0.5</v>
      </c>
      <c r="Q158" s="141" t="s">
        <v>29</v>
      </c>
      <c r="R158" s="142">
        <f t="shared" ref="R158:S163" ca="1" si="34">T158</f>
        <v>467217</v>
      </c>
      <c r="S158" s="142">
        <f t="shared" ca="1" si="34"/>
        <v>233608</v>
      </c>
      <c r="T158" s="142">
        <f ca="1">기술사</f>
        <v>467217</v>
      </c>
      <c r="U158" s="142">
        <f t="shared" ref="U158:U163" ca="1" si="35">ROUNDDOWN(P158*R158,0)</f>
        <v>233608</v>
      </c>
      <c r="V158" s="142"/>
      <c r="W158" s="142"/>
      <c r="X158" s="142"/>
      <c r="Y158" s="142"/>
      <c r="Z158" s="114"/>
    </row>
    <row r="159" spans="11:26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0.5</v>
      </c>
      <c r="Q159" s="144" t="s">
        <v>29</v>
      </c>
      <c r="R159" s="118">
        <f t="shared" ca="1" si="34"/>
        <v>373353</v>
      </c>
      <c r="S159" s="118">
        <f t="shared" ca="1" si="34"/>
        <v>186676</v>
      </c>
      <c r="T159" s="118">
        <f ca="1">특급</f>
        <v>373353</v>
      </c>
      <c r="U159" s="118">
        <f t="shared" ca="1" si="35"/>
        <v>186676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0.5</v>
      </c>
      <c r="Q160" s="144" t="s">
        <v>29</v>
      </c>
      <c r="R160" s="118">
        <f t="shared" ca="1" si="34"/>
        <v>310884</v>
      </c>
      <c r="S160" s="118">
        <f t="shared" ca="1" si="34"/>
        <v>155442</v>
      </c>
      <c r="T160" s="118">
        <f ca="1">고급</f>
        <v>310884</v>
      </c>
      <c r="U160" s="118">
        <f t="shared" ca="1" si="35"/>
        <v>155442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1</v>
      </c>
      <c r="Q161" s="144" t="s">
        <v>29</v>
      </c>
      <c r="R161" s="118">
        <f t="shared" ca="1" si="34"/>
        <v>295138</v>
      </c>
      <c r="S161" s="118">
        <f t="shared" ca="1" si="34"/>
        <v>295138</v>
      </c>
      <c r="T161" s="118">
        <f ca="1">중급</f>
        <v>295138</v>
      </c>
      <c r="U161" s="118">
        <f t="shared" ca="1" si="35"/>
        <v>295138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1</v>
      </c>
      <c r="Q162" s="144" t="s">
        <v>29</v>
      </c>
      <c r="R162" s="118">
        <f t="shared" ca="1" si="34"/>
        <v>235459</v>
      </c>
      <c r="S162" s="118">
        <f t="shared" ca="1" si="34"/>
        <v>235459</v>
      </c>
      <c r="T162" s="118">
        <f ca="1">초급</f>
        <v>235459</v>
      </c>
      <c r="U162" s="118">
        <f t="shared" ca="1" si="35"/>
        <v>235459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1</v>
      </c>
      <c r="Q163" s="322" t="s">
        <v>29</v>
      </c>
      <c r="R163" s="323">
        <f t="shared" ca="1" si="34"/>
        <v>250087</v>
      </c>
      <c r="S163" s="323">
        <f t="shared" ca="1" si="34"/>
        <v>250087</v>
      </c>
      <c r="T163" s="323">
        <f ca="1">보조원</f>
        <v>250087</v>
      </c>
      <c r="U163" s="323">
        <f t="shared" ca="1" si="35"/>
        <v>250087</v>
      </c>
      <c r="V163" s="323"/>
      <c r="W163" s="323"/>
      <c r="X163" s="323"/>
      <c r="Y163" s="323"/>
      <c r="Z163" s="324"/>
    </row>
    <row r="164" spans="11:26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1356410</v>
      </c>
      <c r="T164" s="71"/>
      <c r="U164" s="71">
        <f ca="1">SUBTOTAL(9,U158:U163)</f>
        <v>1356410</v>
      </c>
      <c r="V164" s="71"/>
      <c r="W164" s="71"/>
      <c r="X164" s="71"/>
      <c r="Y164" s="71"/>
      <c r="Z164" s="68"/>
    </row>
    <row r="165" spans="11:26" ht="18" customHeight="1">
      <c r="K165" s="171" t="s">
        <v>14</v>
      </c>
      <c r="L165" s="171"/>
      <c r="M165" s="171"/>
      <c r="N165" s="318" t="str">
        <f ca="1">"제 " &amp; Z165 &amp; " 호표  "&amp; OFFSET($A$1,MATCH(Z165,$A:$A,0)-1,2)</f>
        <v xml:space="preserve">제 13 호표  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13</v>
      </c>
    </row>
    <row r="166" spans="11:26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0.7</v>
      </c>
      <c r="Q166" s="141" t="s">
        <v>29</v>
      </c>
      <c r="R166" s="142">
        <f t="shared" ref="R166:S171" ca="1" si="36">T166</f>
        <v>467217</v>
      </c>
      <c r="S166" s="142">
        <f t="shared" ca="1" si="36"/>
        <v>327051</v>
      </c>
      <c r="T166" s="142">
        <f ca="1">기술사</f>
        <v>467217</v>
      </c>
      <c r="U166" s="142">
        <f t="shared" ref="U166:U171" ca="1" si="37">ROUNDDOWN(P166*R166,0)</f>
        <v>327051</v>
      </c>
      <c r="V166" s="142"/>
      <c r="W166" s="142"/>
      <c r="X166" s="142"/>
      <c r="Y166" s="142"/>
      <c r="Z166" s="114"/>
    </row>
    <row r="167" spans="11:26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1.1000000000000001</v>
      </c>
      <c r="Q167" s="144" t="s">
        <v>29</v>
      </c>
      <c r="R167" s="118">
        <f t="shared" ca="1" si="36"/>
        <v>373353</v>
      </c>
      <c r="S167" s="118">
        <f t="shared" ca="1" si="36"/>
        <v>410688</v>
      </c>
      <c r="T167" s="118">
        <f ca="1">특급</f>
        <v>373353</v>
      </c>
      <c r="U167" s="118">
        <f t="shared" ca="1" si="37"/>
        <v>410688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3.3</v>
      </c>
      <c r="Q168" s="144" t="s">
        <v>29</v>
      </c>
      <c r="R168" s="118">
        <f t="shared" ca="1" si="36"/>
        <v>310884</v>
      </c>
      <c r="S168" s="118">
        <f t="shared" ca="1" si="36"/>
        <v>1025917</v>
      </c>
      <c r="T168" s="118">
        <f ca="1">고급</f>
        <v>310884</v>
      </c>
      <c r="U168" s="118">
        <f t="shared" ca="1" si="37"/>
        <v>1025917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5</v>
      </c>
      <c r="Q169" s="144" t="s">
        <v>29</v>
      </c>
      <c r="R169" s="118">
        <f t="shared" ca="1" si="36"/>
        <v>295138</v>
      </c>
      <c r="S169" s="118">
        <f t="shared" ca="1" si="36"/>
        <v>1475690</v>
      </c>
      <c r="T169" s="118">
        <f ca="1">중급</f>
        <v>295138</v>
      </c>
      <c r="U169" s="118">
        <f t="shared" ca="1" si="37"/>
        <v>1475690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15.1</v>
      </c>
      <c r="Q170" s="144" t="s">
        <v>29</v>
      </c>
      <c r="R170" s="118">
        <f t="shared" ca="1" si="36"/>
        <v>235459</v>
      </c>
      <c r="S170" s="118">
        <f t="shared" ca="1" si="36"/>
        <v>3555430</v>
      </c>
      <c r="T170" s="118">
        <f ca="1">초급</f>
        <v>235459</v>
      </c>
      <c r="U170" s="118">
        <f t="shared" ca="1" si="37"/>
        <v>3555430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16</v>
      </c>
      <c r="Q171" s="322" t="s">
        <v>29</v>
      </c>
      <c r="R171" s="323">
        <f t="shared" ca="1" si="36"/>
        <v>250087</v>
      </c>
      <c r="S171" s="323">
        <f t="shared" ca="1" si="36"/>
        <v>4001392</v>
      </c>
      <c r="T171" s="323">
        <f ca="1">보조원</f>
        <v>250087</v>
      </c>
      <c r="U171" s="323">
        <f t="shared" ca="1" si="37"/>
        <v>4001392</v>
      </c>
      <c r="V171" s="323"/>
      <c r="W171" s="323"/>
      <c r="X171" s="323"/>
      <c r="Y171" s="323"/>
      <c r="Z171" s="324"/>
    </row>
    <row r="172" spans="11:26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10796168</v>
      </c>
      <c r="T172" s="71"/>
      <c r="U172" s="71">
        <f ca="1">SUBTOTAL(9,U166:U171)</f>
        <v>10796168</v>
      </c>
      <c r="V172" s="71"/>
      <c r="W172" s="71"/>
      <c r="X172" s="71"/>
      <c r="Y172" s="71"/>
      <c r="Z172" s="68"/>
    </row>
    <row r="173" spans="11:26" ht="18" customHeight="1">
      <c r="K173" s="171" t="s">
        <v>14</v>
      </c>
      <c r="L173" s="171"/>
      <c r="M173" s="171"/>
      <c r="N173" s="318" t="str">
        <f ca="1">"제 " &amp; Z173 &amp; " 호표  "&amp; OFFSET($A$1,MATCH(Z173,$A:$A,0)-1,2)</f>
        <v xml:space="preserve">제 14 호표  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14</v>
      </c>
    </row>
    <row r="174" spans="11:26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0.7</v>
      </c>
      <c r="Q174" s="141" t="s">
        <v>29</v>
      </c>
      <c r="R174" s="142">
        <f t="shared" ref="R174:S179" ca="1" si="38">T174</f>
        <v>467217</v>
      </c>
      <c r="S174" s="142">
        <f t="shared" ca="1" si="38"/>
        <v>327051</v>
      </c>
      <c r="T174" s="142">
        <f ca="1">기술사</f>
        <v>467217</v>
      </c>
      <c r="U174" s="142">
        <f t="shared" ref="U174:U179" ca="1" si="39">ROUNDDOWN(P174*R174,0)</f>
        <v>327051</v>
      </c>
      <c r="V174" s="142"/>
      <c r="W174" s="142"/>
      <c r="X174" s="142"/>
      <c r="Y174" s="142"/>
      <c r="Z174" s="114"/>
    </row>
    <row r="175" spans="11:26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1.1000000000000001</v>
      </c>
      <c r="Q175" s="144" t="s">
        <v>29</v>
      </c>
      <c r="R175" s="118">
        <f t="shared" ca="1" si="38"/>
        <v>373353</v>
      </c>
      <c r="S175" s="118">
        <f t="shared" ca="1" si="38"/>
        <v>410688</v>
      </c>
      <c r="T175" s="118">
        <f ca="1">특급</f>
        <v>373353</v>
      </c>
      <c r="U175" s="118">
        <f t="shared" ca="1" si="39"/>
        <v>410688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3.3</v>
      </c>
      <c r="Q176" s="144" t="s">
        <v>29</v>
      </c>
      <c r="R176" s="118">
        <f t="shared" ca="1" si="38"/>
        <v>310884</v>
      </c>
      <c r="S176" s="118">
        <f t="shared" ca="1" si="38"/>
        <v>1025917</v>
      </c>
      <c r="T176" s="118">
        <f ca="1">고급</f>
        <v>310884</v>
      </c>
      <c r="U176" s="118">
        <f t="shared" ca="1" si="39"/>
        <v>1025917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5</v>
      </c>
      <c r="Q177" s="144" t="s">
        <v>29</v>
      </c>
      <c r="R177" s="118">
        <f t="shared" ca="1" si="38"/>
        <v>295138</v>
      </c>
      <c r="S177" s="118">
        <f t="shared" ca="1" si="38"/>
        <v>1475690</v>
      </c>
      <c r="T177" s="118">
        <f ca="1">중급</f>
        <v>295138</v>
      </c>
      <c r="U177" s="118">
        <f t="shared" ca="1" si="39"/>
        <v>1475690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15.1</v>
      </c>
      <c r="Q178" s="144" t="s">
        <v>29</v>
      </c>
      <c r="R178" s="118">
        <f t="shared" ca="1" si="38"/>
        <v>235459</v>
      </c>
      <c r="S178" s="118">
        <f t="shared" ca="1" si="38"/>
        <v>3555430</v>
      </c>
      <c r="T178" s="118">
        <f ca="1">초급</f>
        <v>235459</v>
      </c>
      <c r="U178" s="118">
        <f t="shared" ca="1" si="39"/>
        <v>3555430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16</v>
      </c>
      <c r="Q179" s="322" t="s">
        <v>29</v>
      </c>
      <c r="R179" s="323">
        <f t="shared" ca="1" si="38"/>
        <v>250087</v>
      </c>
      <c r="S179" s="323">
        <f t="shared" ca="1" si="38"/>
        <v>4001392</v>
      </c>
      <c r="T179" s="323">
        <f ca="1">보조원</f>
        <v>250087</v>
      </c>
      <c r="U179" s="323">
        <f t="shared" ca="1" si="39"/>
        <v>4001392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10796168</v>
      </c>
      <c r="T180" s="71"/>
      <c r="U180" s="71">
        <f ca="1">SUBTOTAL(9,U174:U179)</f>
        <v>10796168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OFFSET($A$1,MATCH(Z181,$A:$A,0)-1,2)</f>
        <v xml:space="preserve">제 15 호표  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15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2</v>
      </c>
      <c r="Q182" s="141" t="s">
        <v>29</v>
      </c>
      <c r="R182" s="142">
        <f t="shared" ref="R182:S187" ca="1" si="40">T182</f>
        <v>467217</v>
      </c>
      <c r="S182" s="142">
        <f t="shared" ca="1" si="40"/>
        <v>934434</v>
      </c>
      <c r="T182" s="142">
        <f ca="1">기술사</f>
        <v>467217</v>
      </c>
      <c r="U182" s="142">
        <f t="shared" ref="U182:U187" ca="1" si="41">ROUNDDOWN(P182*R182,0)</f>
        <v>934434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2</v>
      </c>
      <c r="Q183" s="144" t="s">
        <v>29</v>
      </c>
      <c r="R183" s="118">
        <f t="shared" ca="1" si="40"/>
        <v>373353</v>
      </c>
      <c r="S183" s="118">
        <f t="shared" ca="1" si="40"/>
        <v>746706</v>
      </c>
      <c r="T183" s="118">
        <f ca="1">특급</f>
        <v>373353</v>
      </c>
      <c r="U183" s="118">
        <f t="shared" ca="1" si="41"/>
        <v>746706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2</v>
      </c>
      <c r="Q184" s="144" t="s">
        <v>29</v>
      </c>
      <c r="R184" s="118">
        <f t="shared" ca="1" si="40"/>
        <v>310884</v>
      </c>
      <c r="S184" s="118">
        <f t="shared" ca="1" si="40"/>
        <v>621768</v>
      </c>
      <c r="T184" s="118">
        <f ca="1">고급</f>
        <v>310884</v>
      </c>
      <c r="U184" s="118">
        <f t="shared" ca="1" si="41"/>
        <v>621768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4</v>
      </c>
      <c r="Q185" s="144" t="s">
        <v>29</v>
      </c>
      <c r="R185" s="118">
        <f t="shared" ca="1" si="40"/>
        <v>295138</v>
      </c>
      <c r="S185" s="118">
        <f t="shared" ca="1" si="40"/>
        <v>1180552</v>
      </c>
      <c r="T185" s="118">
        <f ca="1">중급</f>
        <v>295138</v>
      </c>
      <c r="U185" s="118">
        <f t="shared" ca="1" si="41"/>
        <v>1180552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4</v>
      </c>
      <c r="Q186" s="144" t="s">
        <v>29</v>
      </c>
      <c r="R186" s="118">
        <f t="shared" ca="1" si="40"/>
        <v>235459</v>
      </c>
      <c r="S186" s="118">
        <f t="shared" ca="1" si="40"/>
        <v>941836</v>
      </c>
      <c r="T186" s="118">
        <f ca="1">초급</f>
        <v>235459</v>
      </c>
      <c r="U186" s="118">
        <f t="shared" ca="1" si="41"/>
        <v>941836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4</v>
      </c>
      <c r="Q187" s="322" t="s">
        <v>29</v>
      </c>
      <c r="R187" s="323">
        <f t="shared" ca="1" si="40"/>
        <v>250087</v>
      </c>
      <c r="S187" s="323">
        <f t="shared" ca="1" si="40"/>
        <v>1000348</v>
      </c>
      <c r="T187" s="323">
        <f ca="1">보조원</f>
        <v>250087</v>
      </c>
      <c r="U187" s="323">
        <f t="shared" ca="1" si="41"/>
        <v>1000348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5425644</v>
      </c>
      <c r="T188" s="71"/>
      <c r="U188" s="71">
        <f ca="1">SUBTOTAL(9,U182:U187)</f>
        <v>5425644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OFFSET($A$1,MATCH(Z189,$A:$A,0)-1,2)</f>
        <v xml:space="preserve">제 16 호표  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16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2</v>
      </c>
      <c r="Q190" s="141" t="s">
        <v>29</v>
      </c>
      <c r="R190" s="142">
        <f t="shared" ref="R190:S195" ca="1" si="42">T190</f>
        <v>467217</v>
      </c>
      <c r="S190" s="142">
        <f t="shared" ca="1" si="42"/>
        <v>934434</v>
      </c>
      <c r="T190" s="142">
        <f ca="1">기술사</f>
        <v>467217</v>
      </c>
      <c r="U190" s="142">
        <f t="shared" ref="U190:U195" ca="1" si="43">ROUNDDOWN(P190*R190,0)</f>
        <v>934434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2</v>
      </c>
      <c r="Q191" s="144" t="s">
        <v>29</v>
      </c>
      <c r="R191" s="118">
        <f t="shared" ca="1" si="42"/>
        <v>373353</v>
      </c>
      <c r="S191" s="118">
        <f t="shared" ca="1" si="42"/>
        <v>746706</v>
      </c>
      <c r="T191" s="118">
        <f ca="1">특급</f>
        <v>373353</v>
      </c>
      <c r="U191" s="118">
        <f t="shared" ca="1" si="43"/>
        <v>746706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2</v>
      </c>
      <c r="Q192" s="144" t="s">
        <v>29</v>
      </c>
      <c r="R192" s="118">
        <f t="shared" ca="1" si="42"/>
        <v>310884</v>
      </c>
      <c r="S192" s="118">
        <f t="shared" ca="1" si="42"/>
        <v>621768</v>
      </c>
      <c r="T192" s="118">
        <f ca="1">고급</f>
        <v>310884</v>
      </c>
      <c r="U192" s="118">
        <f t="shared" ca="1" si="43"/>
        <v>621768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4</v>
      </c>
      <c r="Q193" s="144" t="s">
        <v>29</v>
      </c>
      <c r="R193" s="118">
        <f t="shared" ca="1" si="42"/>
        <v>295138</v>
      </c>
      <c r="S193" s="118">
        <f t="shared" ca="1" si="42"/>
        <v>1180552</v>
      </c>
      <c r="T193" s="118">
        <f ca="1">중급</f>
        <v>295138</v>
      </c>
      <c r="U193" s="118">
        <f t="shared" ca="1" si="43"/>
        <v>1180552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4</v>
      </c>
      <c r="Q194" s="144" t="s">
        <v>29</v>
      </c>
      <c r="R194" s="118">
        <f t="shared" ca="1" si="42"/>
        <v>235459</v>
      </c>
      <c r="S194" s="118">
        <f t="shared" ca="1" si="42"/>
        <v>941836</v>
      </c>
      <c r="T194" s="118">
        <f ca="1">초급</f>
        <v>235459</v>
      </c>
      <c r="U194" s="118">
        <f t="shared" ca="1" si="43"/>
        <v>941836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4</v>
      </c>
      <c r="Q195" s="322" t="s">
        <v>29</v>
      </c>
      <c r="R195" s="323">
        <f t="shared" ca="1" si="42"/>
        <v>250087</v>
      </c>
      <c r="S195" s="323">
        <f t="shared" ca="1" si="42"/>
        <v>1000348</v>
      </c>
      <c r="T195" s="323">
        <f ca="1">보조원</f>
        <v>250087</v>
      </c>
      <c r="U195" s="323">
        <f t="shared" ca="1" si="43"/>
        <v>1000348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5425644</v>
      </c>
      <c r="T196" s="71"/>
      <c r="U196" s="71">
        <f ca="1">SUBTOTAL(9,U190:U195)</f>
        <v>5425644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OFFSET($A$1,MATCH(Z197,$A:$A,0)-1,2)</f>
        <v xml:space="preserve">제 17 호표  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17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2</v>
      </c>
      <c r="Q198" s="141" t="s">
        <v>29</v>
      </c>
      <c r="R198" s="142">
        <f t="shared" ref="R198:S203" ca="1" si="44">T198</f>
        <v>467217</v>
      </c>
      <c r="S198" s="142">
        <f t="shared" ca="1" si="44"/>
        <v>934434</v>
      </c>
      <c r="T198" s="142">
        <f ca="1">기술사</f>
        <v>467217</v>
      </c>
      <c r="U198" s="142">
        <f t="shared" ref="U198:U203" ca="1" si="45">ROUNDDOWN(P198*R198,0)</f>
        <v>934434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2</v>
      </c>
      <c r="Q199" s="144" t="s">
        <v>29</v>
      </c>
      <c r="R199" s="118">
        <f t="shared" ca="1" si="44"/>
        <v>373353</v>
      </c>
      <c r="S199" s="118">
        <f t="shared" ca="1" si="44"/>
        <v>746706</v>
      </c>
      <c r="T199" s="118">
        <f ca="1">특급</f>
        <v>373353</v>
      </c>
      <c r="U199" s="118">
        <f t="shared" ca="1" si="45"/>
        <v>746706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2</v>
      </c>
      <c r="Q200" s="144" t="s">
        <v>29</v>
      </c>
      <c r="R200" s="118">
        <f t="shared" ca="1" si="44"/>
        <v>310884</v>
      </c>
      <c r="S200" s="118">
        <f t="shared" ca="1" si="44"/>
        <v>621768</v>
      </c>
      <c r="T200" s="118">
        <f ca="1">고급</f>
        <v>310884</v>
      </c>
      <c r="U200" s="118">
        <f t="shared" ca="1" si="45"/>
        <v>621768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4</v>
      </c>
      <c r="Q201" s="144" t="s">
        <v>29</v>
      </c>
      <c r="R201" s="118">
        <f t="shared" ca="1" si="44"/>
        <v>295138</v>
      </c>
      <c r="S201" s="118">
        <f t="shared" ca="1" si="44"/>
        <v>1180552</v>
      </c>
      <c r="T201" s="118">
        <f ca="1">중급</f>
        <v>295138</v>
      </c>
      <c r="U201" s="118">
        <f t="shared" ca="1" si="45"/>
        <v>1180552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4</v>
      </c>
      <c r="Q202" s="144" t="s">
        <v>29</v>
      </c>
      <c r="R202" s="118">
        <f t="shared" ca="1" si="44"/>
        <v>235459</v>
      </c>
      <c r="S202" s="118">
        <f t="shared" ca="1" si="44"/>
        <v>941836</v>
      </c>
      <c r="T202" s="118">
        <f ca="1">초급</f>
        <v>235459</v>
      </c>
      <c r="U202" s="118">
        <f t="shared" ca="1" si="45"/>
        <v>941836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4</v>
      </c>
      <c r="Q203" s="322" t="s">
        <v>29</v>
      </c>
      <c r="R203" s="323">
        <f t="shared" ca="1" si="44"/>
        <v>250087</v>
      </c>
      <c r="S203" s="323">
        <f t="shared" ca="1" si="44"/>
        <v>1000348</v>
      </c>
      <c r="T203" s="323">
        <f ca="1">보조원</f>
        <v>250087</v>
      </c>
      <c r="U203" s="323">
        <f t="shared" ca="1" si="45"/>
        <v>1000348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5425644</v>
      </c>
      <c r="T204" s="71"/>
      <c r="U204" s="71">
        <f ca="1">SUBTOTAL(9,U198:U203)</f>
        <v>5425644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OFFSET($A$1,MATCH(Z205,$A:$A,0)-1,2)</f>
        <v xml:space="preserve">제 18 호표  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18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2</v>
      </c>
      <c r="Q206" s="141" t="s">
        <v>29</v>
      </c>
      <c r="R206" s="142">
        <f t="shared" ref="R206:R211" ca="1" si="46">T206</f>
        <v>467217</v>
      </c>
      <c r="S206" s="142">
        <f t="shared" ref="S206:S211" ca="1" si="47">U206</f>
        <v>934434</v>
      </c>
      <c r="T206" s="142">
        <f ca="1">기술사</f>
        <v>467217</v>
      </c>
      <c r="U206" s="142">
        <f t="shared" ref="U206:U211" ca="1" si="48">ROUNDDOWN(P206*R206,0)</f>
        <v>934434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2</v>
      </c>
      <c r="Q207" s="144" t="s">
        <v>29</v>
      </c>
      <c r="R207" s="118">
        <f t="shared" ca="1" si="46"/>
        <v>373353</v>
      </c>
      <c r="S207" s="118">
        <f t="shared" ca="1" si="47"/>
        <v>746706</v>
      </c>
      <c r="T207" s="118">
        <f ca="1">특급</f>
        <v>373353</v>
      </c>
      <c r="U207" s="118">
        <f t="shared" ca="1" si="48"/>
        <v>746706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2</v>
      </c>
      <c r="Q208" s="144" t="s">
        <v>29</v>
      </c>
      <c r="R208" s="118">
        <f t="shared" ca="1" si="46"/>
        <v>310884</v>
      </c>
      <c r="S208" s="118">
        <f t="shared" ca="1" si="47"/>
        <v>621768</v>
      </c>
      <c r="T208" s="118">
        <f ca="1">고급</f>
        <v>310884</v>
      </c>
      <c r="U208" s="118">
        <f t="shared" ca="1" si="48"/>
        <v>621768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4</v>
      </c>
      <c r="Q209" s="144" t="s">
        <v>29</v>
      </c>
      <c r="R209" s="118">
        <f t="shared" ca="1" si="46"/>
        <v>295138</v>
      </c>
      <c r="S209" s="118">
        <f t="shared" ca="1" si="47"/>
        <v>1180552</v>
      </c>
      <c r="T209" s="118">
        <f ca="1">중급</f>
        <v>295138</v>
      </c>
      <c r="U209" s="118">
        <f t="shared" ca="1" si="48"/>
        <v>1180552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4</v>
      </c>
      <c r="Q210" s="144" t="s">
        <v>29</v>
      </c>
      <c r="R210" s="118">
        <f t="shared" ca="1" si="46"/>
        <v>235459</v>
      </c>
      <c r="S210" s="118">
        <f t="shared" ca="1" si="47"/>
        <v>941836</v>
      </c>
      <c r="T210" s="118">
        <f ca="1">초급</f>
        <v>235459</v>
      </c>
      <c r="U210" s="118">
        <f t="shared" ca="1" si="48"/>
        <v>941836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4</v>
      </c>
      <c r="Q211" s="322" t="s">
        <v>29</v>
      </c>
      <c r="R211" s="323">
        <f t="shared" ca="1" si="46"/>
        <v>250087</v>
      </c>
      <c r="S211" s="323">
        <f t="shared" ca="1" si="47"/>
        <v>1000348</v>
      </c>
      <c r="T211" s="323">
        <f ca="1">보조원</f>
        <v>250087</v>
      </c>
      <c r="U211" s="323">
        <f t="shared" ca="1" si="48"/>
        <v>1000348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5425644</v>
      </c>
      <c r="T212" s="71"/>
      <c r="U212" s="71">
        <f ca="1">SUBTOTAL(9,U206:U211)</f>
        <v>5425644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P213" s="236"/>
    </row>
    <row r="214" spans="11:26" ht="18" customHeight="1">
      <c r="K214" s="171" t="s">
        <v>14</v>
      </c>
      <c r="L214" s="171"/>
      <c r="M214" s="171"/>
      <c r="P214" s="236"/>
    </row>
    <row r="215" spans="11:26" ht="18" customHeight="1">
      <c r="K215" s="171" t="s">
        <v>14</v>
      </c>
      <c r="L215" s="171"/>
      <c r="M215" s="171"/>
      <c r="P215" s="236"/>
    </row>
    <row r="216" spans="11:26" ht="18" customHeight="1">
      <c r="K216" s="171" t="s">
        <v>14</v>
      </c>
      <c r="L216" s="171"/>
      <c r="M216" s="171"/>
      <c r="P216" s="236"/>
    </row>
    <row r="217" spans="11:26" ht="18" customHeight="1">
      <c r="K217" s="171" t="s">
        <v>14</v>
      </c>
      <c r="L217" s="171"/>
      <c r="M217" s="171"/>
      <c r="P217" s="236"/>
    </row>
    <row r="218" spans="11:26" ht="18" customHeight="1">
      <c r="K218" s="171" t="s">
        <v>14</v>
      </c>
      <c r="L218" s="171"/>
      <c r="M218" s="171"/>
      <c r="P218" s="236"/>
    </row>
    <row r="219" spans="11:26" ht="18" customHeight="1">
      <c r="K219" s="171" t="s">
        <v>14</v>
      </c>
      <c r="L219" s="171"/>
      <c r="M219" s="171"/>
      <c r="P219" s="236"/>
    </row>
    <row r="220" spans="11:26" ht="18" customHeight="1">
      <c r="K220" s="171" t="s">
        <v>14</v>
      </c>
      <c r="L220" s="171"/>
      <c r="M220" s="171"/>
      <c r="P220" s="236"/>
    </row>
    <row r="221" spans="11:26" ht="18" customHeight="1">
      <c r="K221" s="171" t="s">
        <v>14</v>
      </c>
      <c r="L221" s="171"/>
      <c r="M221" s="171"/>
      <c r="P221" s="236"/>
    </row>
    <row r="222" spans="11:26" ht="18" customHeight="1">
      <c r="K222" s="171" t="s">
        <v>14</v>
      </c>
      <c r="L222" s="171"/>
      <c r="M222" s="171"/>
      <c r="P222" s="236"/>
    </row>
    <row r="223" spans="11:26" ht="18" customHeight="1">
      <c r="K223" s="171" t="s">
        <v>14</v>
      </c>
      <c r="L223" s="171"/>
      <c r="M223" s="171"/>
      <c r="P223" s="236"/>
    </row>
    <row r="224" spans="11:26" ht="18" customHeight="1">
      <c r="K224" s="171" t="s">
        <v>14</v>
      </c>
      <c r="L224" s="171"/>
      <c r="M224" s="171"/>
      <c r="P224" s="236"/>
    </row>
    <row r="225" spans="11:28" ht="18" customHeight="1">
      <c r="K225" s="171" t="s">
        <v>14</v>
      </c>
      <c r="L225" s="171"/>
      <c r="M225" s="171"/>
      <c r="P225" s="236"/>
    </row>
    <row r="226" spans="11:28" ht="18" customHeight="1">
      <c r="K226" s="171" t="s">
        <v>14</v>
      </c>
      <c r="L226" s="171"/>
      <c r="M226" s="171"/>
      <c r="P226" s="236"/>
    </row>
    <row r="227" spans="11:28" ht="18" customHeight="1">
      <c r="K227" s="171" t="s">
        <v>14</v>
      </c>
      <c r="L227" s="171"/>
      <c r="M227" s="171"/>
      <c r="P227" s="236"/>
    </row>
    <row r="228" spans="11:28" ht="18" customHeight="1">
      <c r="K228" s="171" t="s">
        <v>14</v>
      </c>
      <c r="L228" s="171"/>
      <c r="M228" s="171"/>
      <c r="P228" s="236"/>
    </row>
    <row r="229" spans="11:28" ht="18" customHeight="1">
      <c r="K229" s="171" t="s">
        <v>14</v>
      </c>
      <c r="L229" s="171"/>
      <c r="M229" s="171"/>
      <c r="P229" s="236"/>
    </row>
    <row r="230" spans="11:28" ht="18" customHeight="1">
      <c r="K230" s="171" t="s">
        <v>14</v>
      </c>
      <c r="L230" s="171"/>
      <c r="M230" s="171"/>
      <c r="P230" s="236"/>
    </row>
    <row r="231" spans="11:28" ht="18" customHeight="1">
      <c r="K231" s="171" t="s">
        <v>14</v>
      </c>
      <c r="L231" s="171"/>
      <c r="M231" s="171"/>
      <c r="P231" s="236"/>
    </row>
    <row r="232" spans="11:28" ht="18" customHeight="1">
      <c r="K232" s="171" t="s">
        <v>14</v>
      </c>
      <c r="L232" s="171"/>
      <c r="M232" s="171"/>
      <c r="P232" s="236"/>
    </row>
    <row r="233" spans="11:28" ht="18" customHeight="1">
      <c r="K233" s="171" t="s">
        <v>14</v>
      </c>
      <c r="L233" s="171"/>
      <c r="M233" s="171"/>
      <c r="P233" s="236"/>
    </row>
    <row r="234" spans="11:28" ht="18" customHeight="1">
      <c r="K234" s="171" t="s">
        <v>14</v>
      </c>
      <c r="L234" s="171"/>
      <c r="M234" s="171"/>
      <c r="P234" s="236"/>
    </row>
    <row r="235" spans="11:28" ht="18" customHeight="1">
      <c r="K235" s="171" t="s">
        <v>14</v>
      </c>
      <c r="L235" s="171"/>
      <c r="M235" s="171"/>
      <c r="P235" s="236"/>
    </row>
    <row r="236" spans="11:28" ht="18" customHeight="1">
      <c r="K236" s="171" t="s">
        <v>14</v>
      </c>
      <c r="L236" s="171"/>
      <c r="M236" s="171"/>
      <c r="P236" s="236"/>
    </row>
    <row r="237" spans="11:28" ht="18" customHeight="1">
      <c r="K237" s="171" t="s">
        <v>14</v>
      </c>
      <c r="L237" s="171"/>
      <c r="M237" s="171"/>
      <c r="P237" s="236"/>
    </row>
    <row r="238" spans="11:28" ht="18" customHeight="1">
      <c r="K238" s="171" t="s">
        <v>14</v>
      </c>
      <c r="L238" s="171"/>
      <c r="M238" s="171"/>
      <c r="P238" s="236"/>
      <c r="AA238" s="171"/>
      <c r="AB238" s="171"/>
    </row>
    <row r="239" spans="11:28" ht="18" customHeight="1">
      <c r="K239" s="171" t="s">
        <v>14</v>
      </c>
      <c r="L239" s="171"/>
      <c r="M239" s="171"/>
      <c r="P239" s="236"/>
      <c r="AA239" s="171"/>
      <c r="AB239" s="171"/>
    </row>
    <row r="240" spans="11:28" ht="18" customHeight="1">
      <c r="K240" s="171" t="s">
        <v>14</v>
      </c>
      <c r="L240" s="171"/>
      <c r="M240" s="171"/>
      <c r="P240" s="236"/>
      <c r="AA240" s="171"/>
      <c r="AB240" s="171"/>
    </row>
    <row r="241" spans="11:28" ht="18" customHeight="1">
      <c r="K241" s="171" t="s">
        <v>14</v>
      </c>
      <c r="L241" s="171"/>
      <c r="M241" s="171"/>
      <c r="P241" s="236"/>
      <c r="AA241" s="171"/>
      <c r="AB241" s="171"/>
    </row>
    <row r="242" spans="11:28" ht="18" customHeight="1">
      <c r="K242" s="171" t="s">
        <v>14</v>
      </c>
      <c r="L242" s="171"/>
      <c r="M242" s="171"/>
      <c r="P242" s="236"/>
    </row>
    <row r="243" spans="11:28" ht="18" customHeight="1">
      <c r="K243" s="171" t="s">
        <v>14</v>
      </c>
      <c r="L243" s="171"/>
      <c r="M243" s="171"/>
      <c r="P243" s="236"/>
    </row>
    <row r="244" spans="11:28" ht="18" customHeight="1">
      <c r="K244" s="171" t="s">
        <v>14</v>
      </c>
      <c r="L244" s="171"/>
      <c r="M244" s="171"/>
      <c r="P244" s="236"/>
    </row>
    <row r="245" spans="11:28" ht="18" customHeight="1">
      <c r="K245" s="171" t="s">
        <v>14</v>
      </c>
      <c r="L245" s="171"/>
      <c r="M245" s="171"/>
      <c r="P245" s="236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</row>
    <row r="251" spans="11:28" ht="18" customHeight="1">
      <c r="K251" s="171" t="s">
        <v>14</v>
      </c>
      <c r="L251" s="171"/>
      <c r="M251" s="171"/>
      <c r="P251" s="236"/>
    </row>
    <row r="252" spans="11:28" ht="18" customHeight="1">
      <c r="K252" s="171" t="s">
        <v>14</v>
      </c>
      <c r="L252" s="171"/>
      <c r="M252" s="171"/>
      <c r="P252" s="236"/>
    </row>
    <row r="253" spans="11:28" ht="18" customHeight="1">
      <c r="K253" s="171" t="s">
        <v>14</v>
      </c>
      <c r="L253" s="171"/>
      <c r="M253" s="171"/>
      <c r="P253" s="236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  <c r="AA267" s="171"/>
      <c r="AB267" s="171"/>
    </row>
    <row r="268" spans="11:28" ht="18" customHeight="1">
      <c r="K268" s="171" t="s">
        <v>14</v>
      </c>
      <c r="L268" s="171"/>
      <c r="M268" s="171"/>
      <c r="P268" s="236"/>
      <c r="AA268" s="171"/>
      <c r="AB268" s="171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  <c r="P740" s="236"/>
    </row>
    <row r="741" spans="11:16" ht="18" customHeight="1">
      <c r="K741" s="171" t="s">
        <v>14</v>
      </c>
      <c r="L741" s="171"/>
      <c r="M741" s="171"/>
      <c r="P741" s="236"/>
    </row>
    <row r="742" spans="11:16" ht="18" customHeight="1">
      <c r="K742" s="171" t="s">
        <v>14</v>
      </c>
      <c r="L742" s="171"/>
      <c r="M742" s="171"/>
      <c r="P742" s="236"/>
    </row>
    <row r="743" spans="11:16" ht="18" customHeight="1">
      <c r="K743" s="171" t="s">
        <v>14</v>
      </c>
      <c r="L743" s="171"/>
      <c r="M743" s="171"/>
      <c r="P743" s="236"/>
    </row>
    <row r="744" spans="11:16" ht="18" customHeight="1">
      <c r="K744" s="171" t="s">
        <v>14</v>
      </c>
      <c r="L744" s="171"/>
      <c r="M744" s="171"/>
    </row>
    <row r="745" spans="11:16" ht="18" customHeight="1">
      <c r="K745" s="171" t="s">
        <v>14</v>
      </c>
      <c r="L745" s="171"/>
      <c r="M745" s="171"/>
    </row>
    <row r="746" spans="11:16" ht="18" customHeight="1">
      <c r="K746" s="171" t="s">
        <v>14</v>
      </c>
      <c r="L746" s="171"/>
      <c r="M746" s="171"/>
    </row>
    <row r="747" spans="11:16" ht="18" customHeight="1">
      <c r="K747" s="171" t="s">
        <v>14</v>
      </c>
      <c r="L747" s="171"/>
      <c r="M747" s="171"/>
    </row>
    <row r="748" spans="11:16" ht="18" customHeight="1">
      <c r="K748" s="171" t="s">
        <v>14</v>
      </c>
      <c r="L748" s="171"/>
      <c r="M748" s="171"/>
    </row>
    <row r="749" spans="11:16" ht="18" customHeight="1">
      <c r="K749" s="171" t="s">
        <v>14</v>
      </c>
      <c r="L749" s="171"/>
      <c r="M749" s="171"/>
    </row>
    <row r="750" spans="11:16" ht="18" customHeight="1">
      <c r="K750" s="171" t="s">
        <v>14</v>
      </c>
      <c r="L750" s="171"/>
      <c r="M750" s="171"/>
    </row>
    <row r="751" spans="11:16" ht="18" customHeight="1">
      <c r="K751" s="171" t="s">
        <v>14</v>
      </c>
      <c r="L751" s="171"/>
      <c r="M751" s="171"/>
    </row>
    <row r="752" spans="11:16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M808" s="171"/>
    </row>
    <row r="809" spans="11:13" ht="18" customHeight="1">
      <c r="K809" s="171" t="s">
        <v>14</v>
      </c>
      <c r="M809" s="171"/>
    </row>
    <row r="810" spans="11:13" ht="18" customHeight="1">
      <c r="K810" s="171" t="s">
        <v>14</v>
      </c>
      <c r="M810" s="171"/>
    </row>
    <row r="811" spans="11:13" ht="18" customHeight="1">
      <c r="K811" s="171" t="s">
        <v>14</v>
      </c>
      <c r="M811" s="171"/>
    </row>
    <row r="812" spans="11:13" ht="18" customHeight="1">
      <c r="K812" s="171" t="s">
        <v>14</v>
      </c>
      <c r="M812" s="171"/>
    </row>
    <row r="813" spans="11:13" ht="18" customHeight="1">
      <c r="K813" s="171" t="s">
        <v>14</v>
      </c>
      <c r="M813" s="171"/>
    </row>
    <row r="814" spans="11:13" ht="18" customHeight="1">
      <c r="M814" s="171"/>
    </row>
    <row r="815" spans="11:13" ht="18" customHeight="1">
      <c r="M815" s="171"/>
    </row>
  </sheetData>
  <mergeCells count="18">
    <mergeCell ref="P67:P68"/>
    <mergeCell ref="Q67:Q68"/>
    <mergeCell ref="Z67:Z68"/>
    <mergeCell ref="L12:L13"/>
    <mergeCell ref="N67:N68"/>
    <mergeCell ref="O67:O68"/>
    <mergeCell ref="G2:H2"/>
    <mergeCell ref="B12:C13"/>
    <mergeCell ref="J12:J13"/>
    <mergeCell ref="B3:C3"/>
    <mergeCell ref="B4:C4"/>
    <mergeCell ref="B5:C5"/>
    <mergeCell ref="D3:E3"/>
    <mergeCell ref="D4:E4"/>
    <mergeCell ref="D5:E5"/>
    <mergeCell ref="G3:H3"/>
    <mergeCell ref="G4:H4"/>
    <mergeCell ref="G5:H5"/>
  </mergeCells>
  <phoneticPr fontId="14" type="noConversion"/>
  <conditionalFormatting sqref="V14:V36">
    <cfRule type="cellIs" dxfId="55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4" min="13" max="28" man="1"/>
    <brk id="81" min="13" max="28" man="1"/>
    <brk id="102" min="13" max="28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63">
    <tabColor rgb="FF00B050"/>
    <pageSetUpPr fitToPage="1"/>
  </sheetPr>
  <dimension ref="A1:AB817"/>
  <sheetViews>
    <sheetView showGridLines="0" zoomScale="85" zoomScaleNormal="85" zoomScaleSheetLayoutView="75" workbookViewId="0">
      <selection activeCell="B28" sqref="B28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9" width="12.832031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109</v>
      </c>
    </row>
    <row r="2" spans="1:27" ht="19.5" thickBot="1">
      <c r="A2" s="326"/>
      <c r="B2" s="66" t="s">
        <v>1</v>
      </c>
    </row>
    <row r="3" spans="1:27" ht="18" customHeight="1">
      <c r="A3" s="326"/>
      <c r="B3" s="773" t="s">
        <v>70</v>
      </c>
      <c r="C3" s="774"/>
      <c r="D3" s="775">
        <v>50</v>
      </c>
      <c r="E3" s="776"/>
      <c r="F3" s="44" t="s">
        <v>53</v>
      </c>
      <c r="G3" s="767" t="s">
        <v>1104</v>
      </c>
      <c r="H3" s="768"/>
      <c r="I3" s="656">
        <v>2</v>
      </c>
      <c r="J3" s="669" t="s">
        <v>1512</v>
      </c>
      <c r="Q3" s="6"/>
      <c r="Y3" s="1"/>
      <c r="Z3" s="6"/>
    </row>
    <row r="4" spans="1:27" ht="18" customHeight="1">
      <c r="A4" s="326"/>
      <c r="B4" s="777" t="s">
        <v>1659</v>
      </c>
      <c r="C4" s="778"/>
      <c r="D4" s="779">
        <v>50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  <c r="Q4" s="6"/>
      <c r="Y4" s="1"/>
      <c r="Z4" s="6"/>
    </row>
    <row r="5" spans="1:27" ht="18" customHeight="1" thickBot="1">
      <c r="A5" s="326"/>
      <c r="B5" s="781" t="s">
        <v>95</v>
      </c>
      <c r="C5" s="782"/>
      <c r="D5" s="783">
        <f>ROUND((IF(D4&lt;=3,3,D4)/D3)^0.6,3)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  <c r="Q5" s="6"/>
      <c r="Y5" s="1"/>
      <c r="Z5" s="6"/>
    </row>
    <row r="6" spans="1:27" ht="18" customHeight="1">
      <c r="A6" s="358"/>
      <c r="B6" s="9" t="s">
        <v>1703</v>
      </c>
      <c r="C6" s="36"/>
      <c r="D6" s="36"/>
      <c r="E6" s="36"/>
      <c r="F6" s="36"/>
      <c r="G6" s="9" t="s">
        <v>1107</v>
      </c>
      <c r="J6" s="36"/>
      <c r="R6" s="1"/>
    </row>
    <row r="7" spans="1:27" ht="18" customHeight="1">
      <c r="A7" s="326"/>
      <c r="B7" s="9"/>
      <c r="C7" s="9"/>
      <c r="D7" s="64"/>
      <c r="E7" s="64"/>
      <c r="G7" s="36"/>
      <c r="R7" s="1"/>
      <c r="S7" s="1"/>
      <c r="Z7" s="6"/>
    </row>
    <row r="8" spans="1:27" ht="18" customHeight="1">
      <c r="A8" s="326"/>
      <c r="B8" s="9"/>
      <c r="C8" s="9"/>
      <c r="D8" s="64"/>
      <c r="E8" s="64"/>
      <c r="G8" s="36"/>
      <c r="R8" s="1"/>
      <c r="S8" s="1"/>
      <c r="W8" s="6">
        <f t="array" aca="1" ref="W8" ca="1">SUM((N73:N208=N80)*S73:S208)</f>
        <v>172387139</v>
      </c>
      <c r="Z8" s="6"/>
    </row>
    <row r="9" spans="1:27" ht="18" customHeight="1">
      <c r="A9" s="326"/>
      <c r="B9" s="9"/>
      <c r="C9" s="9"/>
      <c r="D9" s="64"/>
      <c r="E9" s="64"/>
      <c r="G9" s="36"/>
      <c r="R9" s="1"/>
      <c r="S9" s="1"/>
      <c r="T9" s="1"/>
    </row>
    <row r="10" spans="1:27" ht="18" customHeight="1">
      <c r="A10" s="355"/>
      <c r="G10" s="36"/>
      <c r="W10" s="188" t="s">
        <v>3</v>
      </c>
      <c r="X10" s="189"/>
    </row>
    <row r="11" spans="1:27" ht="18" customHeight="1" thickBot="1">
      <c r="A11" s="355"/>
      <c r="B11" s="66" t="s">
        <v>4</v>
      </c>
      <c r="C11" s="9"/>
      <c r="D11" s="64"/>
      <c r="E11" s="64"/>
      <c r="G11" s="36"/>
      <c r="N11" s="66" t="s">
        <v>5</v>
      </c>
    </row>
    <row r="12" spans="1:27" ht="18" customHeight="1" thickBot="1">
      <c r="A12" s="355"/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SUBTOTAL(9,W13:W47)</f>
        <v>569468903</v>
      </c>
      <c r="X12" s="187"/>
      <c r="Y12" s="177"/>
      <c r="Z12" s="167"/>
      <c r="AA12" s="229"/>
    </row>
    <row r="13" spans="1:27" ht="18" customHeight="1">
      <c r="A13" s="355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SUBTOTAL(9,W14:W44)</f>
        <v>206635565</v>
      </c>
      <c r="X13" s="164"/>
      <c r="Y13" s="178" t="s">
        <v>9</v>
      </c>
      <c r="Z13" s="179"/>
    </row>
    <row r="14" spans="1:27" ht="18" customHeight="1" thickBot="1">
      <c r="A14" s="355"/>
      <c r="B14" s="759"/>
      <c r="C14" s="760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181"/>
      <c r="V14" s="218"/>
      <c r="W14" s="159">
        <f ca="1">SUBTOTAL(9,W15:W40)</f>
        <v>202135565</v>
      </c>
      <c r="X14" s="160"/>
      <c r="Y14" s="168"/>
      <c r="Z14" s="168"/>
    </row>
    <row r="15" spans="1:27" ht="18" customHeight="1">
      <c r="A15" s="355"/>
      <c r="B15" s="73" t="s">
        <v>1700</v>
      </c>
      <c r="C15" s="72"/>
      <c r="D15" s="30">
        <f t="shared" ref="D15:I15" si="0">SUBTOTAL(9,D16:D31)</f>
        <v>13.600000000000001</v>
      </c>
      <c r="E15" s="31">
        <f t="shared" si="0"/>
        <v>22.7</v>
      </c>
      <c r="F15" s="31">
        <f t="shared" si="0"/>
        <v>77.59999999999998</v>
      </c>
      <c r="G15" s="31">
        <f t="shared" si="0"/>
        <v>84.299999999999983</v>
      </c>
      <c r="H15" s="31">
        <f t="shared" si="0"/>
        <v>187.10000000000002</v>
      </c>
      <c r="I15" s="32">
        <f t="shared" si="0"/>
        <v>228.90000000000003</v>
      </c>
      <c r="J15" s="654"/>
      <c r="L15" s="232"/>
      <c r="N15" s="354" t="str">
        <f>B15</f>
        <v>1. 개발계획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SUBTOTAL(9,W16:W31)</f>
        <v>165133255</v>
      </c>
      <c r="X15" s="194"/>
      <c r="Y15" s="170" t="str">
        <f>IF(A31&gt;0, "제 " &amp;A31&amp; " 호표","")</f>
        <v/>
      </c>
      <c r="Z15" s="170"/>
    </row>
    <row r="16" spans="1:27" ht="18" customHeight="1">
      <c r="A16" s="355"/>
      <c r="B16" s="409" t="s">
        <v>1701</v>
      </c>
      <c r="C16" s="237"/>
      <c r="D16" s="20">
        <v>0.8</v>
      </c>
      <c r="E16" s="21">
        <v>3.2</v>
      </c>
      <c r="F16" s="21">
        <v>5.6</v>
      </c>
      <c r="G16" s="21">
        <v>7.9</v>
      </c>
      <c r="H16" s="21">
        <v>16.2</v>
      </c>
      <c r="I16" s="22">
        <v>16.2</v>
      </c>
      <c r="J16" s="389" t="s">
        <v>1728</v>
      </c>
      <c r="L16" s="233">
        <v>1</v>
      </c>
      <c r="N16" s="292" t="str">
        <f t="shared" ref="N16:N40" si="1">B16</f>
        <v>1.1. 현황조사 및 분석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SUM((ROUNDDOWN((D43:I43)*단가,0)))</f>
        <v>13506886</v>
      </c>
      <c r="X16" s="154"/>
      <c r="Y16" s="170" t="str">
        <f>IF(A43&gt;0, "제 " &amp;A43&amp; " 호표","")</f>
        <v>제 1 호표</v>
      </c>
      <c r="Z16" s="150"/>
    </row>
    <row r="17" spans="1:26" ht="18" customHeight="1">
      <c r="A17" s="355"/>
      <c r="B17" s="409" t="s">
        <v>1702</v>
      </c>
      <c r="C17" s="237"/>
      <c r="D17" s="20">
        <v>0.9</v>
      </c>
      <c r="E17" s="21">
        <v>2.7</v>
      </c>
      <c r="F17" s="21">
        <v>5.0999999999999996</v>
      </c>
      <c r="G17" s="21">
        <v>7.3</v>
      </c>
      <c r="H17" s="21">
        <v>7.3</v>
      </c>
      <c r="I17" s="22">
        <v>10.9</v>
      </c>
      <c r="J17" s="389" t="s">
        <v>1090</v>
      </c>
      <c r="L17" s="233">
        <v>1</v>
      </c>
      <c r="N17" s="292" t="str">
        <f t="shared" si="1"/>
        <v>1.2. 개발정비조건 및 계획내용 설정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SUM((ROUNDDOWN((D44:I44)*단가,0)))</f>
        <v>9613361</v>
      </c>
      <c r="X17" s="154"/>
      <c r="Y17" s="170" t="str">
        <f t="shared" ref="Y17:Y40" si="2">IF(A44&gt;0, "제 " &amp;A44&amp; " 호표","")</f>
        <v>제 2 호표</v>
      </c>
      <c r="Z17" s="150"/>
    </row>
    <row r="18" spans="1:26" ht="18" customHeight="1">
      <c r="A18" s="355"/>
      <c r="B18" s="223" t="s">
        <v>1704</v>
      </c>
      <c r="C18" s="237"/>
      <c r="D18" s="20">
        <v>1.6</v>
      </c>
      <c r="E18" s="21">
        <v>2</v>
      </c>
      <c r="F18" s="21">
        <v>5.0999999999999996</v>
      </c>
      <c r="G18" s="21">
        <v>6.5</v>
      </c>
      <c r="H18" s="21">
        <v>14.5</v>
      </c>
      <c r="I18" s="22">
        <v>14.5</v>
      </c>
      <c r="J18" s="389" t="s">
        <v>1090</v>
      </c>
      <c r="L18" s="233">
        <v>1</v>
      </c>
      <c r="N18" s="292" t="str">
        <f t="shared" si="1"/>
        <v>1.3. 구상안 작성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SUM((ROUNDDOWN((D45:I45)*단가,0)))</f>
        <v>12038574</v>
      </c>
      <c r="X18" s="154"/>
      <c r="Y18" s="170" t="str">
        <f t="shared" si="2"/>
        <v>제 3 호표</v>
      </c>
      <c r="Z18" s="150"/>
    </row>
    <row r="19" spans="1:26" ht="18" customHeight="1">
      <c r="A19" s="355"/>
      <c r="B19" s="223" t="s">
        <v>1705</v>
      </c>
      <c r="C19" s="237"/>
      <c r="D19" s="20">
        <v>0.9</v>
      </c>
      <c r="E19" s="21">
        <v>0.9</v>
      </c>
      <c r="F19" s="21">
        <v>2.6</v>
      </c>
      <c r="G19" s="21">
        <v>2.5</v>
      </c>
      <c r="H19" s="21">
        <v>6.6</v>
      </c>
      <c r="I19" s="22">
        <v>8.6999999999999993</v>
      </c>
      <c r="J19" s="389" t="s">
        <v>1090</v>
      </c>
      <c r="L19" s="233">
        <v>1</v>
      </c>
      <c r="N19" s="292" t="str">
        <f t="shared" si="1"/>
        <v>1.4. 인구수용 및 생활권계획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SUM((ROUNDDOWN((D46:I46)*단가,0)))</f>
        <v>6032440</v>
      </c>
      <c r="X19" s="154"/>
      <c r="Y19" s="170" t="str">
        <f t="shared" si="2"/>
        <v>제 4 호표</v>
      </c>
      <c r="Z19" s="150"/>
    </row>
    <row r="20" spans="1:26" ht="18" customHeight="1">
      <c r="A20" s="355"/>
      <c r="B20" s="223" t="s">
        <v>1706</v>
      </c>
      <c r="C20" s="237"/>
      <c r="D20" s="20">
        <v>0.7</v>
      </c>
      <c r="E20" s="21">
        <v>1.1000000000000001</v>
      </c>
      <c r="F20" s="21">
        <v>5.3</v>
      </c>
      <c r="G20" s="21">
        <v>5.3</v>
      </c>
      <c r="H20" s="21">
        <v>8.8000000000000007</v>
      </c>
      <c r="I20" s="22">
        <v>13.2</v>
      </c>
      <c r="J20" s="389" t="s">
        <v>1090</v>
      </c>
      <c r="L20" s="233">
        <v>1</v>
      </c>
      <c r="N20" s="292" t="str">
        <f t="shared" si="1"/>
        <v>1.5. 주택계획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SUM((ROUNDDOWN((D47:I47)*단가,0)))</f>
        <v>9322842</v>
      </c>
      <c r="X20" s="154"/>
      <c r="Y20" s="170" t="str">
        <f t="shared" si="2"/>
        <v>제 5 호표</v>
      </c>
      <c r="Z20" s="150"/>
    </row>
    <row r="21" spans="1:26" ht="18" customHeight="1">
      <c r="A21" s="355"/>
      <c r="B21" s="223" t="s">
        <v>1707</v>
      </c>
      <c r="C21" s="237"/>
      <c r="D21" s="20">
        <v>0.7</v>
      </c>
      <c r="E21" s="21">
        <v>1.1000000000000001</v>
      </c>
      <c r="F21" s="21">
        <v>5.3</v>
      </c>
      <c r="G21" s="21">
        <v>5.3</v>
      </c>
      <c r="H21" s="21">
        <v>8.8000000000000007</v>
      </c>
      <c r="I21" s="22">
        <v>13.2</v>
      </c>
      <c r="J21" s="389" t="s">
        <v>1090</v>
      </c>
      <c r="L21" s="233">
        <v>1</v>
      </c>
      <c r="N21" s="292" t="str">
        <f t="shared" si="1"/>
        <v>1.6. 공공시설계획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SUM((ROUNDDOWN((D48:I48)*단가,0)))</f>
        <v>9322842</v>
      </c>
      <c r="X21" s="154"/>
      <c r="Y21" s="170" t="str">
        <f t="shared" si="2"/>
        <v>제 6 호표</v>
      </c>
      <c r="Z21" s="150"/>
    </row>
    <row r="22" spans="1:26" ht="18" customHeight="1">
      <c r="A22" s="355"/>
      <c r="B22" s="223" t="s">
        <v>1708</v>
      </c>
      <c r="C22" s="237"/>
      <c r="D22" s="20">
        <v>1.5</v>
      </c>
      <c r="E22" s="21">
        <v>1.6</v>
      </c>
      <c r="F22" s="21">
        <v>9</v>
      </c>
      <c r="G22" s="21">
        <v>9.8000000000000007</v>
      </c>
      <c r="H22" s="21">
        <v>32.5</v>
      </c>
      <c r="I22" s="22">
        <v>32.5</v>
      </c>
      <c r="J22" s="389" t="s">
        <v>1090</v>
      </c>
      <c r="L22" s="233">
        <v>1</v>
      </c>
      <c r="N22" s="292" t="str">
        <f t="shared" si="1"/>
        <v>1.7. 토지이용계획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SUM((ROUNDDOWN((D49:I49)*단가,0)))</f>
        <v>22768741</v>
      </c>
      <c r="X22" s="154"/>
      <c r="Y22" s="170" t="str">
        <f t="shared" si="2"/>
        <v>제 7 호표</v>
      </c>
      <c r="Z22" s="150"/>
    </row>
    <row r="23" spans="1:26" ht="18" customHeight="1">
      <c r="A23" s="355"/>
      <c r="B23" s="223" t="s">
        <v>1709</v>
      </c>
      <c r="C23" s="237"/>
      <c r="D23" s="20">
        <v>1</v>
      </c>
      <c r="E23" s="21">
        <v>0.6</v>
      </c>
      <c r="F23" s="21">
        <v>4.8</v>
      </c>
      <c r="G23" s="21">
        <v>4.8</v>
      </c>
      <c r="H23" s="21">
        <v>14.5</v>
      </c>
      <c r="I23" s="22">
        <v>19.8</v>
      </c>
      <c r="J23" s="389" t="s">
        <v>1090</v>
      </c>
      <c r="L23" s="233">
        <v>1</v>
      </c>
      <c r="N23" s="292" t="str">
        <f t="shared" si="1"/>
        <v>1.8. 교통계획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SUM((ROUNDDOWN((D50:I50)*단가,0)))</f>
        <v>11966010</v>
      </c>
      <c r="X23" s="154"/>
      <c r="Y23" s="170" t="str">
        <f t="shared" si="2"/>
        <v>제 8 호표</v>
      </c>
      <c r="Z23" s="150"/>
    </row>
    <row r="24" spans="1:26" ht="18" customHeight="1">
      <c r="A24" s="355"/>
      <c r="B24" s="223" t="s">
        <v>1710</v>
      </c>
      <c r="C24" s="237"/>
      <c r="D24" s="20">
        <v>1.3</v>
      </c>
      <c r="E24" s="21">
        <v>1.6</v>
      </c>
      <c r="F24" s="21">
        <v>7.4</v>
      </c>
      <c r="G24" s="21">
        <v>7.4</v>
      </c>
      <c r="H24" s="21">
        <v>14.9</v>
      </c>
      <c r="I24" s="22">
        <v>14.9</v>
      </c>
      <c r="J24" s="389" t="s">
        <v>1090</v>
      </c>
      <c r="L24" s="233">
        <v>1</v>
      </c>
      <c r="N24" s="292" t="str">
        <f t="shared" si="1"/>
        <v>1.9. 공급처리시설계획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SUM((ROUNDDOWN((D51:I51)*단가,0)))</f>
        <v>12923943</v>
      </c>
      <c r="X24" s="154"/>
      <c r="Y24" s="170" t="str">
        <f t="shared" si="2"/>
        <v>제 9 호표</v>
      </c>
      <c r="Z24" s="150"/>
    </row>
    <row r="25" spans="1:26" ht="18" customHeight="1">
      <c r="A25" s="355"/>
      <c r="B25" s="223" t="s">
        <v>1711</v>
      </c>
      <c r="C25" s="237"/>
      <c r="D25" s="20">
        <v>0.7</v>
      </c>
      <c r="E25" s="21">
        <v>0.9</v>
      </c>
      <c r="F25" s="21">
        <v>2.8</v>
      </c>
      <c r="G25" s="21">
        <v>2.6</v>
      </c>
      <c r="H25" s="21">
        <v>6.2</v>
      </c>
      <c r="I25" s="22">
        <v>10.199999999999999</v>
      </c>
      <c r="J25" s="389" t="s">
        <v>1090</v>
      </c>
      <c r="L25" s="233">
        <v>1</v>
      </c>
      <c r="N25" s="292" t="str">
        <f t="shared" si="1"/>
        <v>1.10. 에너지 공급계획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SUM((ROUNDDOWN((D52:I52)*단가,0)))</f>
        <v>6311633</v>
      </c>
      <c r="X25" s="154"/>
      <c r="Y25" s="170" t="str">
        <f t="shared" si="2"/>
        <v>제 10 호표</v>
      </c>
      <c r="Z25" s="150"/>
    </row>
    <row r="26" spans="1:26" ht="18" customHeight="1">
      <c r="A26" s="326"/>
      <c r="B26" s="223" t="s">
        <v>1712</v>
      </c>
      <c r="C26" s="237"/>
      <c r="D26" s="20">
        <v>0.6</v>
      </c>
      <c r="E26" s="21">
        <v>1</v>
      </c>
      <c r="F26" s="21">
        <v>4.8</v>
      </c>
      <c r="G26" s="21">
        <v>4.8</v>
      </c>
      <c r="H26" s="21">
        <v>7.9</v>
      </c>
      <c r="I26" s="22">
        <v>11.9</v>
      </c>
      <c r="J26" s="389" t="s">
        <v>1090</v>
      </c>
      <c r="L26" s="233">
        <v>1</v>
      </c>
      <c r="N26" s="292" t="str">
        <f t="shared" si="1"/>
        <v>1.11. 공원녹지계획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SUM((ROUNDDOWN((D53:I53)*단가,0)))</f>
        <v>8398749</v>
      </c>
      <c r="X26" s="154"/>
      <c r="Y26" s="170" t="str">
        <f t="shared" si="2"/>
        <v>제 11 호표</v>
      </c>
      <c r="Z26" s="150"/>
    </row>
    <row r="27" spans="1:26" ht="18" customHeight="1">
      <c r="A27" s="326"/>
      <c r="B27" s="223" t="s">
        <v>1713</v>
      </c>
      <c r="C27" s="237"/>
      <c r="D27" s="20">
        <v>0.6</v>
      </c>
      <c r="E27" s="21">
        <v>1.2</v>
      </c>
      <c r="F27" s="21">
        <v>4</v>
      </c>
      <c r="G27" s="21">
        <v>3.3</v>
      </c>
      <c r="H27" s="21">
        <v>11</v>
      </c>
      <c r="I27" s="22">
        <v>14.5</v>
      </c>
      <c r="J27" s="389" t="s">
        <v>1090</v>
      </c>
      <c r="L27" s="233">
        <v>1</v>
      </c>
      <c r="N27" s="292" t="str">
        <f t="shared" si="1"/>
        <v>1.12. 친환경계획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SUM((ROUNDDOWN((D54:I54)*단가,0)))</f>
        <v>9162154</v>
      </c>
      <c r="X27" s="154"/>
      <c r="Y27" s="170" t="str">
        <f t="shared" si="2"/>
        <v>제 12 호표</v>
      </c>
      <c r="Z27" s="150"/>
    </row>
    <row r="28" spans="1:26" ht="18" customHeight="1">
      <c r="A28" s="326"/>
      <c r="B28" s="223" t="s">
        <v>1714</v>
      </c>
      <c r="C28" s="237"/>
      <c r="D28" s="20">
        <v>0.5</v>
      </c>
      <c r="E28" s="21">
        <v>1</v>
      </c>
      <c r="F28" s="21">
        <v>3</v>
      </c>
      <c r="G28" s="21">
        <v>3</v>
      </c>
      <c r="H28" s="21">
        <v>6.7</v>
      </c>
      <c r="I28" s="22">
        <v>11.3</v>
      </c>
      <c r="J28" s="389" t="s">
        <v>1090</v>
      </c>
      <c r="L28" s="233">
        <v>1</v>
      </c>
      <c r="N28" s="292" t="str">
        <f t="shared" si="1"/>
        <v>1.13. 택지공급계획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SUM((ROUNDDOWN((D55:I55)*단가,0)))</f>
        <v>6828585</v>
      </c>
      <c r="X28" s="154"/>
      <c r="Y28" s="170" t="str">
        <f t="shared" si="2"/>
        <v>제 13 호표</v>
      </c>
      <c r="Z28" s="150"/>
    </row>
    <row r="29" spans="1:26" ht="18" customHeight="1">
      <c r="A29" s="326"/>
      <c r="B29" s="223" t="s">
        <v>1715</v>
      </c>
      <c r="C29" s="237"/>
      <c r="D29" s="20">
        <v>0.3</v>
      </c>
      <c r="E29" s="21">
        <v>2</v>
      </c>
      <c r="F29" s="21">
        <v>7.5</v>
      </c>
      <c r="G29" s="21">
        <v>7.1</v>
      </c>
      <c r="H29" s="21">
        <v>15.8</v>
      </c>
      <c r="I29" s="22">
        <v>16.899999999999999</v>
      </c>
      <c r="J29" s="389" t="s">
        <v>1090</v>
      </c>
      <c r="L29" s="233">
        <v>1</v>
      </c>
      <c r="N29" s="292" t="str">
        <f t="shared" si="1"/>
        <v>1.14. 재원조달 및 자금투자계획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SUM((ROUNDDOWN((D56:I56)*단가,0)))</f>
        <v>13260702</v>
      </c>
      <c r="X29" s="154"/>
      <c r="Y29" s="170" t="str">
        <f t="shared" si="2"/>
        <v>제 14 호표</v>
      </c>
      <c r="Z29" s="150"/>
    </row>
    <row r="30" spans="1:26" ht="18" customHeight="1">
      <c r="A30" s="355"/>
      <c r="B30" s="223" t="s">
        <v>1716</v>
      </c>
      <c r="C30" s="237"/>
      <c r="D30" s="20">
        <v>0.3</v>
      </c>
      <c r="E30" s="21">
        <v>1</v>
      </c>
      <c r="F30" s="21">
        <v>2.6</v>
      </c>
      <c r="G30" s="21">
        <v>4</v>
      </c>
      <c r="H30" s="21">
        <v>6.6</v>
      </c>
      <c r="I30" s="22">
        <v>9.9</v>
      </c>
      <c r="J30" s="389" t="s">
        <v>1090</v>
      </c>
      <c r="L30" s="233">
        <v>1</v>
      </c>
      <c r="N30" s="292" t="str">
        <f t="shared" si="1"/>
        <v>1.15. 운영관리계획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SUM((ROUNDDOWN((D57:I57)*단가,0)))</f>
        <v>6532258</v>
      </c>
      <c r="X30" s="154"/>
      <c r="Y30" s="170" t="str">
        <f t="shared" si="2"/>
        <v>제 15 호표</v>
      </c>
      <c r="Z30" s="150"/>
    </row>
    <row r="31" spans="1:26" ht="18" customHeight="1">
      <c r="A31" s="326"/>
      <c r="B31" s="223" t="s">
        <v>1717</v>
      </c>
      <c r="C31" s="237"/>
      <c r="D31" s="20">
        <v>1.2</v>
      </c>
      <c r="E31" s="21">
        <v>0.8</v>
      </c>
      <c r="F31" s="21">
        <v>2.7</v>
      </c>
      <c r="G31" s="21">
        <v>2.7</v>
      </c>
      <c r="H31" s="21">
        <v>8.8000000000000007</v>
      </c>
      <c r="I31" s="22">
        <v>10.3</v>
      </c>
      <c r="J31" s="389" t="s">
        <v>1090</v>
      </c>
      <c r="L31" s="233">
        <v>1</v>
      </c>
      <c r="N31" s="292" t="str">
        <f t="shared" si="1"/>
        <v>1.16. 개발계획 승인도서 작성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SUM((ROUNDDOWN((D58:I58)*단가,0)))</f>
        <v>7143535</v>
      </c>
      <c r="X31" s="154"/>
      <c r="Y31" s="170" t="str">
        <f t="shared" si="2"/>
        <v>제 16 호표</v>
      </c>
      <c r="Z31" s="150"/>
    </row>
    <row r="32" spans="1:26" ht="18" customHeight="1">
      <c r="A32" s="326"/>
      <c r="B32" s="222" t="s">
        <v>1718</v>
      </c>
      <c r="C32" s="47"/>
      <c r="D32" s="33">
        <v>0</v>
      </c>
      <c r="E32" s="34">
        <v>0</v>
      </c>
      <c r="F32" s="34">
        <v>0</v>
      </c>
      <c r="G32" s="34">
        <v>0</v>
      </c>
      <c r="H32" s="34">
        <v>0</v>
      </c>
      <c r="I32" s="35">
        <v>0</v>
      </c>
      <c r="J32" s="594" t="s">
        <v>1719</v>
      </c>
      <c r="L32" s="233"/>
      <c r="N32" s="79" t="str">
        <f t="shared" si="1"/>
        <v>2. 실시계획</v>
      </c>
      <c r="O32" s="37"/>
      <c r="P32" s="37"/>
      <c r="Q32" s="37"/>
      <c r="R32" s="37"/>
      <c r="S32" s="37"/>
      <c r="T32" s="37"/>
      <c r="U32" s="227"/>
      <c r="V32" s="231"/>
      <c r="W32" s="193">
        <f ca="1">SUBTOTAL(9,W33:W34)</f>
        <v>7253884</v>
      </c>
      <c r="X32" s="154"/>
      <c r="Y32" s="170" t="str">
        <f t="shared" si="2"/>
        <v/>
      </c>
      <c r="Z32" s="150"/>
    </row>
    <row r="33" spans="1:26" ht="18" customHeight="1">
      <c r="A33" s="326"/>
      <c r="B33" s="222" t="s">
        <v>1720</v>
      </c>
      <c r="C33" s="47"/>
      <c r="D33" s="33">
        <f t="shared" ref="D33:I33" si="3">SUBTOTAL(9,D34:D35)</f>
        <v>1</v>
      </c>
      <c r="E33" s="34">
        <f t="shared" si="3"/>
        <v>3.4</v>
      </c>
      <c r="F33" s="34">
        <f t="shared" si="3"/>
        <v>7.6999999999999993</v>
      </c>
      <c r="G33" s="34">
        <f t="shared" si="3"/>
        <v>7.1999999999999993</v>
      </c>
      <c r="H33" s="34">
        <f t="shared" si="3"/>
        <v>17.7</v>
      </c>
      <c r="I33" s="35">
        <f t="shared" si="3"/>
        <v>19.5</v>
      </c>
      <c r="J33" s="594"/>
      <c r="L33" s="233"/>
      <c r="N33" s="79" t="str">
        <f t="shared" si="1"/>
        <v>3. 성과품작성</v>
      </c>
      <c r="O33" s="37"/>
      <c r="P33" s="37"/>
      <c r="Q33" s="37"/>
      <c r="R33" s="37"/>
      <c r="S33" s="37"/>
      <c r="T33" s="37"/>
      <c r="U33" s="227"/>
      <c r="V33" s="231"/>
      <c r="W33" s="193">
        <f ca="1">SUBTOTAL(9,W34:W35)</f>
        <v>15299734</v>
      </c>
      <c r="X33" s="154"/>
      <c r="Y33" s="170" t="str">
        <f t="shared" si="2"/>
        <v/>
      </c>
      <c r="Z33" s="150"/>
    </row>
    <row r="34" spans="1:26" ht="18" customHeight="1">
      <c r="A34" s="326"/>
      <c r="B34" s="223" t="s">
        <v>1721</v>
      </c>
      <c r="C34" s="237"/>
      <c r="D34" s="20">
        <v>0.7</v>
      </c>
      <c r="E34" s="21">
        <v>2.2999999999999998</v>
      </c>
      <c r="F34" s="21">
        <v>5.0999999999999996</v>
      </c>
      <c r="G34" s="21">
        <v>4.3</v>
      </c>
      <c r="H34" s="21">
        <v>7.7</v>
      </c>
      <c r="I34" s="22">
        <v>5.6</v>
      </c>
      <c r="J34" s="400" t="s">
        <v>1090</v>
      </c>
      <c r="L34" s="233">
        <v>1</v>
      </c>
      <c r="N34" s="292" t="str">
        <f t="shared" si="1"/>
        <v>3.1 보고서작성 및 편집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SUM((ROUNDDOWN((D61:I61)*단가,0)))</f>
        <v>7253884</v>
      </c>
      <c r="X34" s="154"/>
      <c r="Y34" s="170" t="str">
        <f t="shared" si="2"/>
        <v>제 17 호표</v>
      </c>
      <c r="Z34" s="150"/>
    </row>
    <row r="35" spans="1:26" ht="18" customHeight="1">
      <c r="A35" s="326"/>
      <c r="B35" s="224" t="s">
        <v>1722</v>
      </c>
      <c r="C35" s="238"/>
      <c r="D35" s="24">
        <v>0.3</v>
      </c>
      <c r="E35" s="25">
        <v>1.1000000000000001</v>
      </c>
      <c r="F35" s="25">
        <v>2.6</v>
      </c>
      <c r="G35" s="25">
        <v>2.9</v>
      </c>
      <c r="H35" s="25">
        <v>10</v>
      </c>
      <c r="I35" s="26">
        <v>13.9</v>
      </c>
      <c r="J35" s="679" t="s">
        <v>1090</v>
      </c>
      <c r="L35" s="233">
        <v>1</v>
      </c>
      <c r="N35" s="292" t="str">
        <f t="shared" si="1"/>
        <v>3.2. 관련도서 작성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SUM((ROUNDDOWN((D62:I62)*단가,0)))</f>
        <v>8045850</v>
      </c>
      <c r="X35" s="154"/>
      <c r="Y35" s="170" t="str">
        <f t="shared" si="2"/>
        <v>제 18 호표</v>
      </c>
      <c r="Z35" s="150"/>
    </row>
    <row r="36" spans="1:26" ht="18" customHeight="1">
      <c r="A36" s="326"/>
      <c r="B36" s="222" t="s">
        <v>1723</v>
      </c>
      <c r="C36" s="47"/>
      <c r="D36" s="48">
        <f t="shared" ref="D36:I36" si="4">SUBTOTAL(9,D37:D40)</f>
        <v>8</v>
      </c>
      <c r="E36" s="49">
        <f t="shared" si="4"/>
        <v>8</v>
      </c>
      <c r="F36" s="49">
        <f t="shared" si="4"/>
        <v>8</v>
      </c>
      <c r="G36" s="49">
        <f t="shared" si="4"/>
        <v>16</v>
      </c>
      <c r="H36" s="49">
        <f t="shared" si="4"/>
        <v>16</v>
      </c>
      <c r="I36" s="50">
        <f t="shared" si="4"/>
        <v>16</v>
      </c>
      <c r="J36" s="620"/>
      <c r="L36" s="233"/>
      <c r="N36" s="79" t="str">
        <f t="shared" si="1"/>
        <v>4. 기술협의</v>
      </c>
      <c r="O36" s="37"/>
      <c r="P36" s="39"/>
      <c r="Q36" s="37"/>
      <c r="R36" s="117"/>
      <c r="S36" s="37"/>
      <c r="T36" s="37"/>
      <c r="U36" s="228"/>
      <c r="V36" s="231"/>
      <c r="W36" s="193">
        <f ca="1">SUBTOTAL(9,W37:W40)</f>
        <v>21702576</v>
      </c>
      <c r="X36" s="154"/>
      <c r="Y36" s="170" t="str">
        <f t="shared" si="2"/>
        <v/>
      </c>
      <c r="Z36" s="150"/>
    </row>
    <row r="37" spans="1:26" ht="18" customHeight="1">
      <c r="A37" s="326"/>
      <c r="B37" s="223" t="s">
        <v>1724</v>
      </c>
      <c r="C37" s="237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389" t="s">
        <v>1729</v>
      </c>
      <c r="L37" s="233">
        <v>1</v>
      </c>
      <c r="N37" s="292" t="str">
        <f t="shared" si="1"/>
        <v>4.1. 공청회/주민설명회</v>
      </c>
      <c r="O37" s="37"/>
      <c r="P37" s="39"/>
      <c r="Q37" s="37"/>
      <c r="R37" s="117"/>
      <c r="S37" s="37"/>
      <c r="T37" s="37"/>
      <c r="U37" s="228"/>
      <c r="V37" s="231"/>
      <c r="W37" s="153">
        <f t="array" aca="1" ref="W37" ca="1">SUM((ROUNDDOWN((D64:I64)*단가,0)))</f>
        <v>5425644</v>
      </c>
      <c r="X37" s="154"/>
      <c r="Y37" s="170" t="str">
        <f t="shared" si="2"/>
        <v>제 19 호표</v>
      </c>
      <c r="Z37" s="150"/>
    </row>
    <row r="38" spans="1:26" ht="18" customHeight="1">
      <c r="A38" s="326"/>
      <c r="B38" s="223" t="s">
        <v>1725</v>
      </c>
      <c r="C38" s="237"/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389" t="s">
        <v>1094</v>
      </c>
      <c r="L38" s="233">
        <v>1</v>
      </c>
      <c r="N38" s="292" t="str">
        <f t="shared" si="1"/>
        <v>4.2. 주민간담회/시민계획단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SUM((ROUNDDOWN((D65:I65)*단가,0)))</f>
        <v>5425644</v>
      </c>
      <c r="X38" s="154"/>
      <c r="Y38" s="170" t="str">
        <f t="shared" si="2"/>
        <v>제 20 호표</v>
      </c>
      <c r="Z38" s="150"/>
    </row>
    <row r="39" spans="1:26" ht="18" customHeight="1">
      <c r="A39" s="326"/>
      <c r="B39" s="223" t="s">
        <v>1726</v>
      </c>
      <c r="C39" s="237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389" t="s">
        <v>1094</v>
      </c>
      <c r="L39" s="233">
        <v>1</v>
      </c>
      <c r="N39" s="292" t="str">
        <f t="shared" si="1"/>
        <v>4.3. 위원회심의 지원</v>
      </c>
      <c r="O39" s="37"/>
      <c r="P39" s="39"/>
      <c r="Q39" s="37"/>
      <c r="R39" s="117"/>
      <c r="S39" s="37"/>
      <c r="T39" s="37"/>
      <c r="U39" s="228"/>
      <c r="V39" s="231"/>
      <c r="W39" s="153">
        <f t="array" aca="1" ref="W39" ca="1">SUM((ROUNDDOWN((D66:I66)*단가,0)))</f>
        <v>5425644</v>
      </c>
      <c r="X39" s="154"/>
      <c r="Y39" s="170" t="str">
        <f t="shared" si="2"/>
        <v>제 21 호표</v>
      </c>
      <c r="Z39" s="150"/>
    </row>
    <row r="40" spans="1:26" ht="18" customHeight="1" thickBot="1">
      <c r="A40" s="326"/>
      <c r="B40" s="223" t="s">
        <v>1727</v>
      </c>
      <c r="C40" s="237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612" t="s">
        <v>1094</v>
      </c>
      <c r="L40" s="233">
        <v>1</v>
      </c>
      <c r="N40" s="292" t="str">
        <f t="shared" si="1"/>
        <v>4.4. 관계기관 협의</v>
      </c>
      <c r="O40" s="37"/>
      <c r="P40" s="39"/>
      <c r="Q40" s="37"/>
      <c r="R40" s="117"/>
      <c r="S40" s="37"/>
      <c r="T40" s="37"/>
      <c r="U40" s="228"/>
      <c r="V40" s="231"/>
      <c r="W40" s="153">
        <f t="array" aca="1" ref="W40" ca="1">SUM((ROUNDDOWN((D67:I67)*단가,0)))</f>
        <v>5425644</v>
      </c>
      <c r="X40" s="154"/>
      <c r="Y40" s="170" t="str">
        <f t="shared" si="2"/>
        <v>제 22 호표</v>
      </c>
      <c r="Z40" s="150"/>
    </row>
    <row r="41" spans="1:26" ht="18" customHeight="1" thickBot="1">
      <c r="A41" s="326"/>
      <c r="B41" s="14" t="s">
        <v>30</v>
      </c>
      <c r="C41" s="250"/>
      <c r="D41" s="249" t="s">
        <v>12</v>
      </c>
      <c r="E41" s="251"/>
      <c r="F41" s="251"/>
      <c r="G41" s="251"/>
      <c r="H41" s="251"/>
      <c r="I41" s="250"/>
      <c r="J41" s="175" t="s">
        <v>31</v>
      </c>
      <c r="N41" s="290" t="s">
        <v>10</v>
      </c>
      <c r="O41" s="129"/>
      <c r="P41" s="130"/>
      <c r="Q41" s="124"/>
      <c r="R41" s="131"/>
      <c r="S41" s="124"/>
      <c r="T41" s="124"/>
      <c r="U41" s="181"/>
      <c r="V41" s="181"/>
      <c r="W41" s="159">
        <f>SUBTOTAL(9,W42:W44)</f>
        <v>4500000</v>
      </c>
      <c r="X41" s="160"/>
      <c r="Y41" s="124"/>
      <c r="Z41" s="124"/>
    </row>
    <row r="42" spans="1:26" ht="18" customHeight="1">
      <c r="A42" s="326"/>
      <c r="B42" s="73" t="s">
        <v>1700</v>
      </c>
      <c r="C42" s="72"/>
      <c r="D42" s="693">
        <f t="shared" ref="D42:I42" si="5">SUBTOTAL(9,D43:D58)</f>
        <v>13.600000000000001</v>
      </c>
      <c r="E42" s="694">
        <f t="shared" si="5"/>
        <v>22.7</v>
      </c>
      <c r="F42" s="694">
        <f t="shared" si="5"/>
        <v>77.59999999999998</v>
      </c>
      <c r="G42" s="694">
        <f t="shared" si="5"/>
        <v>84.299999999999983</v>
      </c>
      <c r="H42" s="694">
        <f t="shared" si="5"/>
        <v>187.10000000000002</v>
      </c>
      <c r="I42" s="695">
        <f t="shared" si="5"/>
        <v>228.90000000000003</v>
      </c>
      <c r="J42" s="73"/>
      <c r="N42" s="128" t="str">
        <f>"여비("&amp;TEXT(R42,"#인 ×")&amp;TEXT(S42,"#일 ×")&amp;TEXT(T42,"###,###원)")</f>
        <v>여비(3인 ×5일 ×100,000원)</v>
      </c>
      <c r="O42" s="78"/>
      <c r="P42" s="52"/>
      <c r="Q42" s="51"/>
      <c r="R42" s="146">
        <v>3</v>
      </c>
      <c r="S42" s="146">
        <v>5</v>
      </c>
      <c r="T42" s="147">
        <v>100000</v>
      </c>
      <c r="U42" s="182"/>
      <c r="V42" s="182"/>
      <c r="W42" s="161">
        <f>R42*S42*T42</f>
        <v>1500000</v>
      </c>
      <c r="X42" s="162"/>
      <c r="Y42" s="51"/>
      <c r="Z42" s="51"/>
    </row>
    <row r="43" spans="1:26" ht="18" customHeight="1">
      <c r="A43" s="326">
        <v>1</v>
      </c>
      <c r="B43" s="409" t="s">
        <v>1701</v>
      </c>
      <c r="C43" s="237"/>
      <c r="D43" s="20">
        <f t="array" ref="D43:I58">ROUNDDOWN(D16:I31*L16:L31*D5,3)</f>
        <v>0.8</v>
      </c>
      <c r="E43" s="21">
        <v>3.2</v>
      </c>
      <c r="F43" s="21">
        <v>5.6</v>
      </c>
      <c r="G43" s="21">
        <v>7.9</v>
      </c>
      <c r="H43" s="21">
        <v>16.2</v>
      </c>
      <c r="I43" s="22">
        <v>16.2</v>
      </c>
      <c r="J43" s="74"/>
      <c r="N43" s="79" t="s">
        <v>46</v>
      </c>
      <c r="O43" s="79"/>
      <c r="P43" s="39"/>
      <c r="Q43" s="37"/>
      <c r="R43" s="117"/>
      <c r="S43" s="37"/>
      <c r="T43" s="37"/>
      <c r="U43" s="180"/>
      <c r="V43" s="180"/>
      <c r="W43" s="157">
        <v>2000000</v>
      </c>
      <c r="X43" s="158"/>
      <c r="Y43" s="37"/>
      <c r="Z43" s="37"/>
    </row>
    <row r="44" spans="1:26" ht="18" customHeight="1">
      <c r="A44" s="326">
        <v>2</v>
      </c>
      <c r="B44" s="409" t="s">
        <v>1702</v>
      </c>
      <c r="C44" s="237"/>
      <c r="D44" s="20">
        <v>0.9</v>
      </c>
      <c r="E44" s="21">
        <v>2.7</v>
      </c>
      <c r="F44" s="21">
        <v>5.0999999999999996</v>
      </c>
      <c r="G44" s="21">
        <v>7.3</v>
      </c>
      <c r="H44" s="21">
        <v>7.3</v>
      </c>
      <c r="I44" s="22">
        <v>10.9</v>
      </c>
      <c r="J44" s="74"/>
      <c r="N44" s="132" t="s">
        <v>13</v>
      </c>
      <c r="O44" s="132"/>
      <c r="P44" s="38"/>
      <c r="Q44" s="38"/>
      <c r="R44" s="116"/>
      <c r="S44" s="38"/>
      <c r="T44" s="38"/>
      <c r="U44" s="183"/>
      <c r="V44" s="183"/>
      <c r="W44" s="155">
        <v>1000000</v>
      </c>
      <c r="X44" s="156"/>
      <c r="Y44" s="38"/>
      <c r="Z44" s="38"/>
    </row>
    <row r="45" spans="1:26" ht="18" customHeight="1">
      <c r="A45" s="326">
        <v>3</v>
      </c>
      <c r="B45" s="223" t="s">
        <v>1704</v>
      </c>
      <c r="C45" s="237"/>
      <c r="D45" s="20">
        <v>1.6</v>
      </c>
      <c r="E45" s="21">
        <v>2</v>
      </c>
      <c r="F45" s="21">
        <v>5.0999999999999996</v>
      </c>
      <c r="G45" s="21">
        <v>6.5</v>
      </c>
      <c r="H45" s="21">
        <v>14.5</v>
      </c>
      <c r="I45" s="22">
        <v>14.5</v>
      </c>
      <c r="J45" s="74"/>
      <c r="N45" s="127" t="s">
        <v>47</v>
      </c>
      <c r="O45" s="123"/>
      <c r="P45" s="123"/>
      <c r="Q45" s="123"/>
      <c r="R45" s="123"/>
      <c r="S45" s="123"/>
      <c r="T45" s="123"/>
      <c r="U45" s="184"/>
      <c r="V45" s="184"/>
      <c r="W45" s="163">
        <f ca="1">SUBTOTAL(9,W46:W47)</f>
        <v>362833338</v>
      </c>
      <c r="X45" s="164"/>
      <c r="Y45" s="123"/>
      <c r="Z45" s="123"/>
    </row>
    <row r="46" spans="1:26" ht="18" customHeight="1">
      <c r="A46" s="326">
        <v>4</v>
      </c>
      <c r="B46" s="223" t="s">
        <v>1705</v>
      </c>
      <c r="C46" s="237"/>
      <c r="D46" s="20">
        <v>0.9</v>
      </c>
      <c r="E46" s="21">
        <v>0.9</v>
      </c>
      <c r="F46" s="21">
        <v>2.6</v>
      </c>
      <c r="G46" s="21">
        <v>2.5</v>
      </c>
      <c r="H46" s="21">
        <v>6.6</v>
      </c>
      <c r="I46" s="22">
        <v>8.6999999999999993</v>
      </c>
      <c r="J46" s="74"/>
      <c r="N46" s="133" t="s">
        <v>861</v>
      </c>
      <c r="O46" s="124"/>
      <c r="P46" s="134"/>
      <c r="Q46" s="124"/>
      <c r="R46" s="131"/>
      <c r="S46" s="124"/>
      <c r="T46" s="181"/>
      <c r="U46" s="181"/>
      <c r="V46" s="190">
        <v>1.1499999999999999</v>
      </c>
      <c r="W46" s="159">
        <f ca="1">ROUNDDOWN(W14*V46,0)</f>
        <v>232455899</v>
      </c>
      <c r="X46" s="160"/>
      <c r="Y46" s="124"/>
      <c r="Z46" s="124"/>
    </row>
    <row r="47" spans="1:26" ht="18" customHeight="1" thickBot="1">
      <c r="A47" s="326">
        <v>5</v>
      </c>
      <c r="B47" s="223" t="s">
        <v>1706</v>
      </c>
      <c r="C47" s="237"/>
      <c r="D47" s="20">
        <v>0.7</v>
      </c>
      <c r="E47" s="21">
        <v>1.1000000000000001</v>
      </c>
      <c r="F47" s="21">
        <v>5.3</v>
      </c>
      <c r="G47" s="21">
        <v>5.3</v>
      </c>
      <c r="H47" s="21">
        <v>8.8000000000000007</v>
      </c>
      <c r="I47" s="22">
        <v>13.2</v>
      </c>
      <c r="J47" s="74"/>
      <c r="N47" s="135" t="s">
        <v>862</v>
      </c>
      <c r="O47" s="136"/>
      <c r="P47" s="137"/>
      <c r="Q47" s="136"/>
      <c r="R47" s="138"/>
      <c r="S47" s="136"/>
      <c r="T47" s="185"/>
      <c r="U47" s="185"/>
      <c r="V47" s="191">
        <v>0.3</v>
      </c>
      <c r="W47" s="165">
        <f ca="1">ROUNDDOWN((W14+W46)*V47,0)</f>
        <v>130377439</v>
      </c>
      <c r="X47" s="166"/>
      <c r="Y47" s="136"/>
      <c r="Z47" s="136"/>
    </row>
    <row r="48" spans="1:26" ht="18" customHeight="1">
      <c r="A48" s="326">
        <v>6</v>
      </c>
      <c r="B48" s="223" t="s">
        <v>1707</v>
      </c>
      <c r="C48" s="237"/>
      <c r="D48" s="20">
        <v>0.7</v>
      </c>
      <c r="E48" s="21">
        <v>1.1000000000000001</v>
      </c>
      <c r="F48" s="21">
        <v>5.3</v>
      </c>
      <c r="G48" s="21">
        <v>5.3</v>
      </c>
      <c r="H48" s="21">
        <v>8.8000000000000007</v>
      </c>
      <c r="I48" s="22">
        <v>13.2</v>
      </c>
      <c r="J48" s="74"/>
    </row>
    <row r="49" spans="1:12" ht="18" customHeight="1">
      <c r="A49" s="326">
        <v>7</v>
      </c>
      <c r="B49" s="223" t="s">
        <v>1708</v>
      </c>
      <c r="C49" s="237"/>
      <c r="D49" s="20">
        <v>1.5</v>
      </c>
      <c r="E49" s="21">
        <v>1.6</v>
      </c>
      <c r="F49" s="21">
        <v>9</v>
      </c>
      <c r="G49" s="21">
        <v>9.8000000000000007</v>
      </c>
      <c r="H49" s="21">
        <v>32.5</v>
      </c>
      <c r="I49" s="22">
        <v>32.5</v>
      </c>
      <c r="J49" s="74"/>
    </row>
    <row r="50" spans="1:12" ht="18" customHeight="1">
      <c r="A50" s="326">
        <v>8</v>
      </c>
      <c r="B50" s="223" t="s">
        <v>1709</v>
      </c>
      <c r="C50" s="237"/>
      <c r="D50" s="20">
        <v>1</v>
      </c>
      <c r="E50" s="21">
        <v>0.6</v>
      </c>
      <c r="F50" s="21">
        <v>4.8</v>
      </c>
      <c r="G50" s="21">
        <v>4.8</v>
      </c>
      <c r="H50" s="21">
        <v>14.5</v>
      </c>
      <c r="I50" s="22">
        <v>19.8</v>
      </c>
      <c r="J50" s="74"/>
    </row>
    <row r="51" spans="1:12" ht="18" customHeight="1">
      <c r="A51" s="326">
        <v>9</v>
      </c>
      <c r="B51" s="223" t="s">
        <v>1710</v>
      </c>
      <c r="C51" s="237"/>
      <c r="D51" s="20">
        <v>1.3</v>
      </c>
      <c r="E51" s="21">
        <v>1.6</v>
      </c>
      <c r="F51" s="21">
        <v>7.4</v>
      </c>
      <c r="G51" s="21">
        <v>7.4</v>
      </c>
      <c r="H51" s="21">
        <v>14.9</v>
      </c>
      <c r="I51" s="22">
        <v>14.9</v>
      </c>
      <c r="J51" s="74"/>
    </row>
    <row r="52" spans="1:12" ht="18" customHeight="1">
      <c r="A52" s="326">
        <v>10</v>
      </c>
      <c r="B52" s="223" t="s">
        <v>1711</v>
      </c>
      <c r="C52" s="237"/>
      <c r="D52" s="20">
        <v>0.7</v>
      </c>
      <c r="E52" s="21">
        <v>0.9</v>
      </c>
      <c r="F52" s="21">
        <v>2.8</v>
      </c>
      <c r="G52" s="21">
        <v>2.6</v>
      </c>
      <c r="H52" s="21">
        <v>6.2</v>
      </c>
      <c r="I52" s="22">
        <v>10.199999999999999</v>
      </c>
      <c r="J52" s="74"/>
    </row>
    <row r="53" spans="1:12" ht="18" customHeight="1">
      <c r="A53" s="326">
        <v>11</v>
      </c>
      <c r="B53" s="223" t="s">
        <v>1712</v>
      </c>
      <c r="C53" s="237"/>
      <c r="D53" s="20">
        <v>0.6</v>
      </c>
      <c r="E53" s="21">
        <v>1</v>
      </c>
      <c r="F53" s="21">
        <v>4.8</v>
      </c>
      <c r="G53" s="21">
        <v>4.8</v>
      </c>
      <c r="H53" s="21">
        <v>7.9</v>
      </c>
      <c r="I53" s="22">
        <v>11.9</v>
      </c>
      <c r="J53" s="74"/>
    </row>
    <row r="54" spans="1:12" ht="18" customHeight="1">
      <c r="A54" s="326">
        <v>12</v>
      </c>
      <c r="B54" s="223" t="s">
        <v>1713</v>
      </c>
      <c r="C54" s="237"/>
      <c r="D54" s="20">
        <v>0.6</v>
      </c>
      <c r="E54" s="21">
        <v>1.2</v>
      </c>
      <c r="F54" s="21">
        <v>4</v>
      </c>
      <c r="G54" s="21">
        <v>3.3</v>
      </c>
      <c r="H54" s="21">
        <v>11</v>
      </c>
      <c r="I54" s="22">
        <v>14.5</v>
      </c>
      <c r="J54" s="74"/>
    </row>
    <row r="55" spans="1:12" ht="18" customHeight="1">
      <c r="A55" s="326">
        <v>13</v>
      </c>
      <c r="B55" s="223" t="s">
        <v>1714</v>
      </c>
      <c r="C55" s="237"/>
      <c r="D55" s="20">
        <v>0.5</v>
      </c>
      <c r="E55" s="21">
        <v>1</v>
      </c>
      <c r="F55" s="21">
        <v>3</v>
      </c>
      <c r="G55" s="21">
        <v>3</v>
      </c>
      <c r="H55" s="21">
        <v>6.7</v>
      </c>
      <c r="I55" s="22">
        <v>11.3</v>
      </c>
      <c r="J55" s="74"/>
    </row>
    <row r="56" spans="1:12" ht="18" customHeight="1">
      <c r="A56" s="326">
        <v>14</v>
      </c>
      <c r="B56" s="223" t="s">
        <v>1715</v>
      </c>
      <c r="C56" s="237"/>
      <c r="D56" s="20">
        <v>0.3</v>
      </c>
      <c r="E56" s="21">
        <v>2</v>
      </c>
      <c r="F56" s="21">
        <v>7.5</v>
      </c>
      <c r="G56" s="21">
        <v>7.1</v>
      </c>
      <c r="H56" s="21">
        <v>15.8</v>
      </c>
      <c r="I56" s="22">
        <v>16.899999999999999</v>
      </c>
      <c r="J56" s="74"/>
    </row>
    <row r="57" spans="1:12" ht="18" customHeight="1">
      <c r="A57" s="326">
        <v>15</v>
      </c>
      <c r="B57" s="223" t="s">
        <v>1716</v>
      </c>
      <c r="C57" s="237"/>
      <c r="D57" s="20">
        <v>0.3</v>
      </c>
      <c r="E57" s="21">
        <v>1</v>
      </c>
      <c r="F57" s="21">
        <v>2.6</v>
      </c>
      <c r="G57" s="21">
        <v>4</v>
      </c>
      <c r="H57" s="21">
        <v>6.6</v>
      </c>
      <c r="I57" s="22">
        <v>9.9</v>
      </c>
      <c r="J57" s="74"/>
    </row>
    <row r="58" spans="1:12" ht="18" customHeight="1">
      <c r="A58" s="326">
        <v>16</v>
      </c>
      <c r="B58" s="223" t="s">
        <v>1717</v>
      </c>
      <c r="C58" s="237"/>
      <c r="D58" s="20">
        <v>1.2</v>
      </c>
      <c r="E58" s="21">
        <v>0.8</v>
      </c>
      <c r="F58" s="21">
        <v>2.7</v>
      </c>
      <c r="G58" s="21">
        <v>2.7</v>
      </c>
      <c r="H58" s="21">
        <v>8.8000000000000007</v>
      </c>
      <c r="I58" s="22">
        <v>10.3</v>
      </c>
      <c r="J58" s="74"/>
    </row>
    <row r="59" spans="1:12" ht="18" customHeight="1">
      <c r="A59" s="355"/>
      <c r="B59" s="222" t="s">
        <v>1718</v>
      </c>
      <c r="C59" s="47"/>
      <c r="D59" s="33">
        <v>0</v>
      </c>
      <c r="E59" s="34">
        <v>0</v>
      </c>
      <c r="F59" s="34">
        <v>0</v>
      </c>
      <c r="G59" s="34">
        <v>0</v>
      </c>
      <c r="H59" s="34">
        <v>0</v>
      </c>
      <c r="I59" s="35">
        <v>0</v>
      </c>
      <c r="J59" s="13"/>
      <c r="L59" s="171"/>
    </row>
    <row r="60" spans="1:12" ht="18" customHeight="1">
      <c r="A60" s="355"/>
      <c r="B60" s="222" t="s">
        <v>1720</v>
      </c>
      <c r="C60" s="47"/>
      <c r="D60" s="33">
        <f t="shared" ref="D60:I60" si="6">SUBTOTAL(9,D61:D62)</f>
        <v>1</v>
      </c>
      <c r="E60" s="34">
        <f t="shared" si="6"/>
        <v>3.4</v>
      </c>
      <c r="F60" s="34">
        <f t="shared" si="6"/>
        <v>7.6999999999999993</v>
      </c>
      <c r="G60" s="34">
        <f t="shared" si="6"/>
        <v>7.1999999999999993</v>
      </c>
      <c r="H60" s="34">
        <f t="shared" si="6"/>
        <v>17.7</v>
      </c>
      <c r="I60" s="35">
        <f t="shared" si="6"/>
        <v>19.5</v>
      </c>
      <c r="J60" s="13"/>
      <c r="L60" s="171"/>
    </row>
    <row r="61" spans="1:12" ht="18" customHeight="1">
      <c r="A61" s="326">
        <v>17</v>
      </c>
      <c r="B61" s="223" t="s">
        <v>1721</v>
      </c>
      <c r="C61" s="237"/>
      <c r="D61" s="20">
        <f t="array" ref="D61:I62">ROUNDDOWN(D34:I35*L34:L35*D5,3)</f>
        <v>0.7</v>
      </c>
      <c r="E61" s="21">
        <v>2.2999999999999998</v>
      </c>
      <c r="F61" s="21">
        <v>5.0999999999999996</v>
      </c>
      <c r="G61" s="21">
        <v>4.3</v>
      </c>
      <c r="H61" s="21">
        <v>7.7</v>
      </c>
      <c r="I61" s="22">
        <v>5.6</v>
      </c>
      <c r="J61" s="23"/>
      <c r="L61" s="171"/>
    </row>
    <row r="62" spans="1:12" ht="18" customHeight="1">
      <c r="A62" s="326">
        <v>18</v>
      </c>
      <c r="B62" s="224" t="s">
        <v>1722</v>
      </c>
      <c r="C62" s="237"/>
      <c r="D62" s="20">
        <v>0.3</v>
      </c>
      <c r="E62" s="21">
        <v>1.1000000000000001</v>
      </c>
      <c r="F62" s="21">
        <v>2.6</v>
      </c>
      <c r="G62" s="21">
        <v>2.9</v>
      </c>
      <c r="H62" s="21">
        <v>10</v>
      </c>
      <c r="I62" s="22">
        <v>13.9</v>
      </c>
      <c r="J62" s="23"/>
      <c r="L62" s="171"/>
    </row>
    <row r="63" spans="1:12" ht="18" customHeight="1">
      <c r="A63" s="326"/>
      <c r="B63" s="222" t="s">
        <v>1723</v>
      </c>
      <c r="C63" s="47"/>
      <c r="D63" s="48">
        <f t="shared" ref="D63:I63" si="7">SUBTOTAL(9,D64:D67)</f>
        <v>8</v>
      </c>
      <c r="E63" s="49">
        <f t="shared" si="7"/>
        <v>8</v>
      </c>
      <c r="F63" s="49">
        <f t="shared" si="7"/>
        <v>8</v>
      </c>
      <c r="G63" s="49">
        <f t="shared" si="7"/>
        <v>16</v>
      </c>
      <c r="H63" s="49">
        <f t="shared" si="7"/>
        <v>16</v>
      </c>
      <c r="I63" s="50">
        <f t="shared" si="7"/>
        <v>16</v>
      </c>
      <c r="J63" s="287"/>
      <c r="L63" s="171"/>
    </row>
    <row r="64" spans="1:12" ht="18" customHeight="1">
      <c r="A64" s="326">
        <v>19</v>
      </c>
      <c r="B64" s="223" t="s">
        <v>1724</v>
      </c>
      <c r="C64" s="237"/>
      <c r="D64" s="20">
        <f t="array" ref="D64:I67">ROUNDDOWN(D37:I40*L37:L40*I5,3)</f>
        <v>2</v>
      </c>
      <c r="E64" s="198">
        <v>2</v>
      </c>
      <c r="F64" s="198">
        <v>2</v>
      </c>
      <c r="G64" s="198">
        <v>4</v>
      </c>
      <c r="H64" s="198">
        <v>4</v>
      </c>
      <c r="I64" s="199">
        <v>4</v>
      </c>
      <c r="J64" s="74"/>
      <c r="L64" s="171"/>
    </row>
    <row r="65" spans="1:26" ht="18" customHeight="1">
      <c r="A65" s="326">
        <v>20</v>
      </c>
      <c r="B65" s="223" t="s">
        <v>1725</v>
      </c>
      <c r="C65" s="237"/>
      <c r="D65" s="197">
        <v>2</v>
      </c>
      <c r="E65" s="198">
        <v>2</v>
      </c>
      <c r="F65" s="198">
        <v>2</v>
      </c>
      <c r="G65" s="198">
        <v>4</v>
      </c>
      <c r="H65" s="198">
        <v>4</v>
      </c>
      <c r="I65" s="199">
        <v>4</v>
      </c>
      <c r="J65" s="74"/>
      <c r="L65" s="171"/>
      <c r="M65" s="171"/>
    </row>
    <row r="66" spans="1:26" ht="18" customHeight="1">
      <c r="A66" s="326">
        <v>21</v>
      </c>
      <c r="B66" s="223" t="s">
        <v>1726</v>
      </c>
      <c r="C66" s="237"/>
      <c r="D66" s="197">
        <v>2</v>
      </c>
      <c r="E66" s="198">
        <v>2</v>
      </c>
      <c r="F66" s="198">
        <v>2</v>
      </c>
      <c r="G66" s="198">
        <v>4</v>
      </c>
      <c r="H66" s="198">
        <v>4</v>
      </c>
      <c r="I66" s="199">
        <v>4</v>
      </c>
      <c r="J66" s="74"/>
      <c r="K66" s="171" t="s">
        <v>14</v>
      </c>
      <c r="L66" s="171"/>
      <c r="M66" s="171"/>
    </row>
    <row r="67" spans="1:26" ht="18" customHeight="1" thickBot="1">
      <c r="A67" s="326">
        <v>22</v>
      </c>
      <c r="B67" s="388" t="s">
        <v>1727</v>
      </c>
      <c r="C67" s="401"/>
      <c r="D67" s="343">
        <v>2</v>
      </c>
      <c r="E67" s="344">
        <v>2</v>
      </c>
      <c r="F67" s="344">
        <v>2</v>
      </c>
      <c r="G67" s="344">
        <v>4</v>
      </c>
      <c r="H67" s="344">
        <v>4</v>
      </c>
      <c r="I67" s="345">
        <v>4</v>
      </c>
      <c r="J67" s="176"/>
      <c r="K67" s="171" t="s">
        <v>14</v>
      </c>
      <c r="L67" s="171"/>
      <c r="M67" s="171"/>
    </row>
    <row r="68" spans="1:26" ht="18" customHeight="1">
      <c r="A68" s="326"/>
      <c r="B68" s="85" t="s">
        <v>1696</v>
      </c>
      <c r="C68" s="9" t="s">
        <v>1730</v>
      </c>
      <c r="K68" s="171" t="s">
        <v>14</v>
      </c>
      <c r="L68" s="171"/>
      <c r="M68" s="171"/>
    </row>
    <row r="69" spans="1:26" ht="18" customHeight="1">
      <c r="A69" s="326"/>
      <c r="B69" s="8"/>
      <c r="C69" s="9" t="s">
        <v>1731</v>
      </c>
      <c r="K69" s="171" t="s">
        <v>14</v>
      </c>
      <c r="L69" s="171"/>
      <c r="M69" s="171"/>
    </row>
    <row r="70" spans="1:26" ht="18" customHeight="1" thickBot="1">
      <c r="A70" s="326"/>
      <c r="B70" s="80"/>
      <c r="C70" s="9" t="s">
        <v>1732</v>
      </c>
      <c r="K70" s="171" t="s">
        <v>14</v>
      </c>
      <c r="L70" s="171"/>
      <c r="M70" s="171"/>
      <c r="N70" s="66" t="s">
        <v>18</v>
      </c>
      <c r="O70" s="2"/>
      <c r="P70" s="2"/>
      <c r="Q70" s="2"/>
      <c r="R70" s="3"/>
      <c r="S70" s="4"/>
      <c r="T70" s="3"/>
      <c r="U70" s="4"/>
      <c r="V70" s="3"/>
      <c r="W70" s="4"/>
      <c r="X70" s="3"/>
      <c r="Y70" s="4"/>
      <c r="Z70" s="2"/>
    </row>
    <row r="71" spans="1:26" ht="18" customHeight="1">
      <c r="A71" s="326"/>
      <c r="C71" s="9" t="s">
        <v>1733</v>
      </c>
      <c r="K71" s="171" t="s">
        <v>14</v>
      </c>
      <c r="L71" s="171"/>
      <c r="M71" s="171"/>
      <c r="N71" s="765" t="s">
        <v>19</v>
      </c>
      <c r="O71" s="755" t="s">
        <v>20</v>
      </c>
      <c r="P71" s="755" t="s">
        <v>21</v>
      </c>
      <c r="Q71" s="755" t="s">
        <v>16</v>
      </c>
      <c r="R71" s="5" t="s">
        <v>22</v>
      </c>
      <c r="S71" s="5"/>
      <c r="T71" s="5" t="s">
        <v>23</v>
      </c>
      <c r="U71" s="5"/>
      <c r="V71" s="5" t="s">
        <v>24</v>
      </c>
      <c r="W71" s="5"/>
      <c r="X71" s="5" t="s">
        <v>25</v>
      </c>
      <c r="Y71" s="5"/>
      <c r="Z71" s="755" t="s">
        <v>26</v>
      </c>
    </row>
    <row r="72" spans="1:26" ht="18" customHeight="1" thickBot="1">
      <c r="A72" s="326"/>
      <c r="C72" s="9" t="s">
        <v>1734</v>
      </c>
      <c r="K72" s="171" t="s">
        <v>14</v>
      </c>
      <c r="L72" s="171"/>
      <c r="M72" s="171"/>
      <c r="N72" s="766"/>
      <c r="O72" s="756"/>
      <c r="P72" s="756"/>
      <c r="Q72" s="756"/>
      <c r="R72" s="67" t="s">
        <v>27</v>
      </c>
      <c r="S72" s="67" t="s">
        <v>28</v>
      </c>
      <c r="T72" s="67" t="s">
        <v>27</v>
      </c>
      <c r="U72" s="67" t="s">
        <v>28</v>
      </c>
      <c r="V72" s="67" t="s">
        <v>27</v>
      </c>
      <c r="W72" s="67" t="s">
        <v>28</v>
      </c>
      <c r="X72" s="67" t="s">
        <v>27</v>
      </c>
      <c r="Y72" s="67" t="s">
        <v>28</v>
      </c>
      <c r="Z72" s="756"/>
    </row>
    <row r="73" spans="1:26" ht="18" customHeight="1" thickTop="1">
      <c r="A73" s="326"/>
      <c r="C73" s="9" t="s">
        <v>1735</v>
      </c>
      <c r="K73" s="171" t="s">
        <v>14</v>
      </c>
      <c r="L73" s="171"/>
      <c r="M73" s="171"/>
      <c r="N73" s="318" t="str">
        <f ca="1">"제 " &amp; Z73 &amp; " 호표  "&amp; OFFSET($A$1,MATCH(Z73,$A:$A,0)-1,1)</f>
        <v>제 1 호표  1.1. 현황조사 및 분석</v>
      </c>
      <c r="O73" s="221"/>
      <c r="P73" s="148"/>
      <c r="Q73" s="148"/>
      <c r="R73" s="149"/>
      <c r="S73" s="149"/>
      <c r="T73" s="149"/>
      <c r="U73" s="149"/>
      <c r="V73" s="149"/>
      <c r="W73" s="149"/>
      <c r="X73" s="149"/>
      <c r="Y73" s="149"/>
      <c r="Z73" s="325">
        <v>1</v>
      </c>
    </row>
    <row r="74" spans="1:26" ht="18" customHeight="1">
      <c r="A74" s="326"/>
      <c r="C74" s="9" t="s">
        <v>1736</v>
      </c>
      <c r="K74" s="171" t="s">
        <v>14</v>
      </c>
      <c r="L74" s="171"/>
      <c r="M74" s="171"/>
      <c r="N74" s="140" t="s">
        <v>43</v>
      </c>
      <c r="O74" s="172">
        <v>3</v>
      </c>
      <c r="P74" s="219">
        <f ca="1">OFFSET($A$1,MATCH(Z73,$A:$A,0)-1,O74)</f>
        <v>0.8</v>
      </c>
      <c r="Q74" s="141" t="s">
        <v>29</v>
      </c>
      <c r="R74" s="142">
        <f t="shared" ref="R74:S79" ca="1" si="8">T74</f>
        <v>467217</v>
      </c>
      <c r="S74" s="142">
        <f t="shared" ca="1" si="8"/>
        <v>373773</v>
      </c>
      <c r="T74" s="142">
        <f ca="1">기술사</f>
        <v>467217</v>
      </c>
      <c r="U74" s="142">
        <f t="shared" ref="U74:U79" ca="1" si="9">ROUNDDOWN(P74*R74,0)</f>
        <v>373773</v>
      </c>
      <c r="V74" s="142"/>
      <c r="W74" s="142"/>
      <c r="X74" s="142"/>
      <c r="Y74" s="142"/>
      <c r="Z74" s="114"/>
    </row>
    <row r="75" spans="1:26" ht="18" customHeight="1">
      <c r="A75" s="326"/>
      <c r="C75" s="9" t="s">
        <v>1737</v>
      </c>
      <c r="K75" s="171" t="s">
        <v>14</v>
      </c>
      <c r="L75" s="171"/>
      <c r="M75" s="171"/>
      <c r="N75" s="143" t="s">
        <v>32</v>
      </c>
      <c r="O75" s="173">
        <v>4</v>
      </c>
      <c r="P75" s="234">
        <f ca="1">OFFSET($A$1,MATCH(Z73,$A:$A,0)-1,O75)</f>
        <v>3.2</v>
      </c>
      <c r="Q75" s="144" t="s">
        <v>29</v>
      </c>
      <c r="R75" s="118">
        <f t="shared" ca="1" si="8"/>
        <v>373353</v>
      </c>
      <c r="S75" s="118">
        <f t="shared" ca="1" si="8"/>
        <v>1194729</v>
      </c>
      <c r="T75" s="118">
        <f ca="1">특급</f>
        <v>373353</v>
      </c>
      <c r="U75" s="118">
        <f t="shared" ca="1" si="9"/>
        <v>1194729</v>
      </c>
      <c r="V75" s="118"/>
      <c r="W75" s="118"/>
      <c r="X75" s="118"/>
      <c r="Y75" s="118"/>
      <c r="Z75" s="115"/>
    </row>
    <row r="76" spans="1:26" ht="18" customHeight="1">
      <c r="A76" s="326"/>
      <c r="C76" s="9" t="s">
        <v>1738</v>
      </c>
      <c r="K76" s="171" t="s">
        <v>14</v>
      </c>
      <c r="L76" s="171"/>
      <c r="M76" s="171"/>
      <c r="N76" s="145" t="s">
        <v>39</v>
      </c>
      <c r="O76" s="173">
        <v>5</v>
      </c>
      <c r="P76" s="234">
        <f ca="1">OFFSET($A$1,MATCH(Z73,$A:$A,0)-1,O76)</f>
        <v>5.6</v>
      </c>
      <c r="Q76" s="144" t="s">
        <v>29</v>
      </c>
      <c r="R76" s="118">
        <f t="shared" ca="1" si="8"/>
        <v>310884</v>
      </c>
      <c r="S76" s="118">
        <f t="shared" ca="1" si="8"/>
        <v>1740950</v>
      </c>
      <c r="T76" s="118">
        <f ca="1">고급</f>
        <v>310884</v>
      </c>
      <c r="U76" s="118">
        <f t="shared" ca="1" si="9"/>
        <v>1740950</v>
      </c>
      <c r="V76" s="118"/>
      <c r="W76" s="118"/>
      <c r="X76" s="118"/>
      <c r="Y76" s="118"/>
      <c r="Z76" s="115"/>
    </row>
    <row r="77" spans="1:26" ht="18" customHeight="1">
      <c r="A77" s="326"/>
      <c r="K77" s="171" t="s">
        <v>14</v>
      </c>
      <c r="L77" s="171"/>
      <c r="M77" s="171"/>
      <c r="N77" s="145" t="s">
        <v>40</v>
      </c>
      <c r="O77" s="173">
        <v>6</v>
      </c>
      <c r="P77" s="234">
        <f ca="1">OFFSET($A$1,MATCH(Z73,$A:$A,0)-1,O77)</f>
        <v>7.9</v>
      </c>
      <c r="Q77" s="144" t="s">
        <v>29</v>
      </c>
      <c r="R77" s="118">
        <f t="shared" ca="1" si="8"/>
        <v>295138</v>
      </c>
      <c r="S77" s="118">
        <f t="shared" ca="1" si="8"/>
        <v>2331590</v>
      </c>
      <c r="T77" s="118">
        <f ca="1">중급</f>
        <v>295138</v>
      </c>
      <c r="U77" s="118">
        <f t="shared" ca="1" si="9"/>
        <v>2331590</v>
      </c>
      <c r="V77" s="118"/>
      <c r="W77" s="118"/>
      <c r="X77" s="118"/>
      <c r="Y77" s="118"/>
      <c r="Z77" s="115"/>
    </row>
    <row r="78" spans="1:26" ht="18" customHeight="1">
      <c r="A78" s="326"/>
      <c r="K78" s="171" t="s">
        <v>14</v>
      </c>
      <c r="L78" s="171"/>
      <c r="M78" s="171"/>
      <c r="N78" s="145" t="s">
        <v>41</v>
      </c>
      <c r="O78" s="173">
        <v>7</v>
      </c>
      <c r="P78" s="234">
        <f ca="1">OFFSET($A$1,MATCH(Z73,$A:$A,0)-1,O78)</f>
        <v>16.2</v>
      </c>
      <c r="Q78" s="144" t="s">
        <v>29</v>
      </c>
      <c r="R78" s="118">
        <f t="shared" ca="1" si="8"/>
        <v>235459</v>
      </c>
      <c r="S78" s="118">
        <f t="shared" ca="1" si="8"/>
        <v>3814435</v>
      </c>
      <c r="T78" s="118">
        <f ca="1">초급</f>
        <v>235459</v>
      </c>
      <c r="U78" s="118">
        <f t="shared" ca="1" si="9"/>
        <v>3814435</v>
      </c>
      <c r="V78" s="118"/>
      <c r="W78" s="118"/>
      <c r="X78" s="118"/>
      <c r="Y78" s="118"/>
      <c r="Z78" s="115"/>
    </row>
    <row r="79" spans="1:26" ht="18" customHeight="1">
      <c r="A79" s="326"/>
      <c r="K79" s="171" t="s">
        <v>14</v>
      </c>
      <c r="L79" s="171"/>
      <c r="M79" s="171"/>
      <c r="N79" s="319" t="s">
        <v>42</v>
      </c>
      <c r="O79" s="174">
        <v>8</v>
      </c>
      <c r="P79" s="235">
        <f ca="1">OFFSET($A$1,MATCH(Z73,$A:$A,0)-1,O79)</f>
        <v>16.2</v>
      </c>
      <c r="Q79" s="322" t="s">
        <v>29</v>
      </c>
      <c r="R79" s="323">
        <f t="shared" ca="1" si="8"/>
        <v>250087</v>
      </c>
      <c r="S79" s="323">
        <f t="shared" ca="1" si="8"/>
        <v>4051409</v>
      </c>
      <c r="T79" s="323">
        <f ca="1">보조원</f>
        <v>250087</v>
      </c>
      <c r="U79" s="323">
        <f t="shared" ca="1" si="9"/>
        <v>4051409</v>
      </c>
      <c r="V79" s="323"/>
      <c r="W79" s="323"/>
      <c r="X79" s="323"/>
      <c r="Y79" s="323"/>
      <c r="Z79" s="324"/>
    </row>
    <row r="80" spans="1:26" ht="18" customHeight="1">
      <c r="K80" s="171" t="s">
        <v>14</v>
      </c>
      <c r="L80" s="171"/>
      <c r="M80" s="171"/>
      <c r="N80" s="139" t="s">
        <v>17</v>
      </c>
      <c r="O80" s="68"/>
      <c r="P80" s="69"/>
      <c r="Q80" s="70"/>
      <c r="R80" s="71"/>
      <c r="S80" s="71">
        <f ca="1">SUBTOTAL(9,S74:S79)</f>
        <v>13506886</v>
      </c>
      <c r="T80" s="71"/>
      <c r="U80" s="71">
        <f ca="1">SUBTOTAL(9,U74:U79)</f>
        <v>13506886</v>
      </c>
      <c r="V80" s="71"/>
      <c r="W80" s="71"/>
      <c r="X80" s="71"/>
      <c r="Y80" s="71"/>
      <c r="Z80" s="68"/>
    </row>
    <row r="81" spans="11:26" ht="18" customHeight="1">
      <c r="K81" s="171" t="s">
        <v>14</v>
      </c>
      <c r="L81" s="171"/>
      <c r="M81" s="171"/>
      <c r="N81" s="318" t="str">
        <f ca="1">"제 " &amp; Z81 &amp; " 호표  "&amp; OFFSET($A$1,MATCH(Z81,$A:$A,0)-1,1)</f>
        <v>제 2 호표  1.2. 개발정비조건 및 계획내용 설정</v>
      </c>
      <c r="O81" s="221"/>
      <c r="P81" s="148"/>
      <c r="Q81" s="148"/>
      <c r="R81" s="149"/>
      <c r="S81" s="149"/>
      <c r="T81" s="149"/>
      <c r="U81" s="149"/>
      <c r="V81" s="149"/>
      <c r="W81" s="149"/>
      <c r="X81" s="149"/>
      <c r="Y81" s="149"/>
      <c r="Z81" s="325">
        <f>Z73+1</f>
        <v>2</v>
      </c>
    </row>
    <row r="82" spans="11:26" ht="18" customHeight="1">
      <c r="K82" s="171" t="s">
        <v>14</v>
      </c>
      <c r="L82" s="171"/>
      <c r="M82" s="171"/>
      <c r="N82" s="140" t="s">
        <v>43</v>
      </c>
      <c r="O82" s="172">
        <v>3</v>
      </c>
      <c r="P82" s="219">
        <f ca="1">OFFSET($A$1,MATCH(Z81,$A:$A,0)-1,O82)</f>
        <v>0.9</v>
      </c>
      <c r="Q82" s="141" t="s">
        <v>29</v>
      </c>
      <c r="R82" s="142">
        <f t="shared" ref="R82:S87" ca="1" si="10">T82</f>
        <v>467217</v>
      </c>
      <c r="S82" s="142">
        <f t="shared" ca="1" si="10"/>
        <v>420495</v>
      </c>
      <c r="T82" s="142">
        <f ca="1">기술사</f>
        <v>467217</v>
      </c>
      <c r="U82" s="142">
        <f t="shared" ref="U82:U87" ca="1" si="11">ROUNDDOWN(P82*R82,0)</f>
        <v>420495</v>
      </c>
      <c r="V82" s="142"/>
      <c r="W82" s="142"/>
      <c r="X82" s="142"/>
      <c r="Y82" s="142"/>
      <c r="Z82" s="114"/>
    </row>
    <row r="83" spans="11:26" ht="18" customHeight="1">
      <c r="K83" s="171" t="s">
        <v>14</v>
      </c>
      <c r="L83" s="171"/>
      <c r="M83" s="171"/>
      <c r="N83" s="143" t="s">
        <v>32</v>
      </c>
      <c r="O83" s="173">
        <v>4</v>
      </c>
      <c r="P83" s="234">
        <f ca="1">OFFSET($A$1,MATCH(Z81,$A:$A,0)-1,O83)</f>
        <v>2.7</v>
      </c>
      <c r="Q83" s="144" t="s">
        <v>29</v>
      </c>
      <c r="R83" s="118">
        <f t="shared" ca="1" si="10"/>
        <v>373353</v>
      </c>
      <c r="S83" s="118">
        <f t="shared" ca="1" si="10"/>
        <v>1008053</v>
      </c>
      <c r="T83" s="118">
        <f ca="1">특급</f>
        <v>373353</v>
      </c>
      <c r="U83" s="118">
        <f t="shared" ca="1" si="11"/>
        <v>1008053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39</v>
      </c>
      <c r="O84" s="173">
        <v>5</v>
      </c>
      <c r="P84" s="234">
        <f ca="1">OFFSET($A$1,MATCH(Z81,$A:$A,0)-1,O84)</f>
        <v>5.0999999999999996</v>
      </c>
      <c r="Q84" s="144" t="s">
        <v>29</v>
      </c>
      <c r="R84" s="118">
        <f t="shared" ca="1" si="10"/>
        <v>310884</v>
      </c>
      <c r="S84" s="118">
        <f t="shared" ca="1" si="10"/>
        <v>1585508</v>
      </c>
      <c r="T84" s="118">
        <f ca="1">고급</f>
        <v>310884</v>
      </c>
      <c r="U84" s="118">
        <f t="shared" ca="1" si="11"/>
        <v>1585508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145" t="s">
        <v>40</v>
      </c>
      <c r="O85" s="173">
        <v>6</v>
      </c>
      <c r="P85" s="234">
        <f ca="1">OFFSET($A$1,MATCH(Z81,$A:$A,0)-1,O85)</f>
        <v>7.3</v>
      </c>
      <c r="Q85" s="144" t="s">
        <v>29</v>
      </c>
      <c r="R85" s="118">
        <f t="shared" ca="1" si="10"/>
        <v>295138</v>
      </c>
      <c r="S85" s="118">
        <f t="shared" ca="1" si="10"/>
        <v>2154507</v>
      </c>
      <c r="T85" s="118">
        <f ca="1">중급</f>
        <v>295138</v>
      </c>
      <c r="U85" s="118">
        <f t="shared" ca="1" si="11"/>
        <v>2154507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145" t="s">
        <v>41</v>
      </c>
      <c r="O86" s="173">
        <v>7</v>
      </c>
      <c r="P86" s="234">
        <f ca="1">OFFSET($A$1,MATCH(Z81,$A:$A,0)-1,O86)</f>
        <v>7.3</v>
      </c>
      <c r="Q86" s="144" t="s">
        <v>29</v>
      </c>
      <c r="R86" s="118">
        <f t="shared" ca="1" si="10"/>
        <v>235459</v>
      </c>
      <c r="S86" s="118">
        <f t="shared" ca="1" si="10"/>
        <v>1718850</v>
      </c>
      <c r="T86" s="118">
        <f ca="1">초급</f>
        <v>235459</v>
      </c>
      <c r="U86" s="118">
        <f t="shared" ca="1" si="11"/>
        <v>1718850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319" t="s">
        <v>42</v>
      </c>
      <c r="O87" s="174">
        <v>8</v>
      </c>
      <c r="P87" s="235">
        <f ca="1">OFFSET($A$1,MATCH(Z81,$A:$A,0)-1,O87)</f>
        <v>10.9</v>
      </c>
      <c r="Q87" s="322" t="s">
        <v>29</v>
      </c>
      <c r="R87" s="323">
        <f t="shared" ca="1" si="10"/>
        <v>250087</v>
      </c>
      <c r="S87" s="323">
        <f t="shared" ca="1" si="10"/>
        <v>2725948</v>
      </c>
      <c r="T87" s="323">
        <f ca="1">보조원</f>
        <v>250087</v>
      </c>
      <c r="U87" s="323">
        <f t="shared" ca="1" si="11"/>
        <v>2725948</v>
      </c>
      <c r="V87" s="323"/>
      <c r="W87" s="323"/>
      <c r="X87" s="323"/>
      <c r="Y87" s="323"/>
      <c r="Z87" s="324"/>
    </row>
    <row r="88" spans="11:26" ht="18" customHeight="1">
      <c r="K88" s="171" t="s">
        <v>14</v>
      </c>
      <c r="L88" s="171"/>
      <c r="M88" s="171"/>
      <c r="N88" s="139" t="s">
        <v>17</v>
      </c>
      <c r="O88" s="68"/>
      <c r="P88" s="69"/>
      <c r="Q88" s="70"/>
      <c r="R88" s="71"/>
      <c r="S88" s="71">
        <f ca="1">SUBTOTAL(9,S82:S87)</f>
        <v>9613361</v>
      </c>
      <c r="T88" s="71"/>
      <c r="U88" s="71">
        <f ca="1">SUBTOTAL(9,U82:U87)</f>
        <v>9613361</v>
      </c>
      <c r="V88" s="71"/>
      <c r="W88" s="71"/>
      <c r="X88" s="71"/>
      <c r="Y88" s="71"/>
      <c r="Z88" s="68"/>
    </row>
    <row r="89" spans="11:26" ht="18" customHeight="1">
      <c r="K89" s="171" t="s">
        <v>14</v>
      </c>
      <c r="L89" s="171"/>
      <c r="M89" s="171"/>
      <c r="N89" s="318" t="str">
        <f ca="1">"제 " &amp; Z89 &amp; " 호표  "&amp; OFFSET($A$1,MATCH(Z89,$A:$A,0)-1,1)</f>
        <v>제 3 호표  1.3. 구상안 작성</v>
      </c>
      <c r="O89" s="221"/>
      <c r="P89" s="148"/>
      <c r="Q89" s="148"/>
      <c r="R89" s="149"/>
      <c r="S89" s="149"/>
      <c r="T89" s="149"/>
      <c r="U89" s="149"/>
      <c r="V89" s="149"/>
      <c r="W89" s="149"/>
      <c r="X89" s="149"/>
      <c r="Y89" s="149"/>
      <c r="Z89" s="325">
        <f>Z81+1</f>
        <v>3</v>
      </c>
    </row>
    <row r="90" spans="11:26" ht="18" customHeight="1">
      <c r="K90" s="171" t="s">
        <v>14</v>
      </c>
      <c r="L90" s="171"/>
      <c r="M90" s="171"/>
      <c r="N90" s="140" t="s">
        <v>43</v>
      </c>
      <c r="O90" s="172">
        <v>3</v>
      </c>
      <c r="P90" s="219">
        <f ca="1">OFFSET($A$1,MATCH(Z89,$A:$A,0)-1,O90)</f>
        <v>1.6</v>
      </c>
      <c r="Q90" s="141" t="s">
        <v>29</v>
      </c>
      <c r="R90" s="142">
        <f t="shared" ref="R90:S95" ca="1" si="12">T90</f>
        <v>467217</v>
      </c>
      <c r="S90" s="142">
        <f t="shared" ca="1" si="12"/>
        <v>747547</v>
      </c>
      <c r="T90" s="142">
        <f ca="1">기술사</f>
        <v>467217</v>
      </c>
      <c r="U90" s="142">
        <f t="shared" ref="U90:U95" ca="1" si="13">ROUNDDOWN(P90*R90,0)</f>
        <v>747547</v>
      </c>
      <c r="V90" s="142"/>
      <c r="W90" s="142"/>
      <c r="X90" s="142"/>
      <c r="Y90" s="142"/>
      <c r="Z90" s="114"/>
    </row>
    <row r="91" spans="11:26" ht="18" customHeight="1">
      <c r="K91" s="171" t="s">
        <v>14</v>
      </c>
      <c r="L91" s="171"/>
      <c r="M91" s="171"/>
      <c r="N91" s="143" t="s">
        <v>32</v>
      </c>
      <c r="O91" s="173">
        <v>4</v>
      </c>
      <c r="P91" s="234">
        <f ca="1">OFFSET($A$1,MATCH(Z89,$A:$A,0)-1,O91)</f>
        <v>2</v>
      </c>
      <c r="Q91" s="144" t="s">
        <v>29</v>
      </c>
      <c r="R91" s="118">
        <f t="shared" ca="1" si="12"/>
        <v>373353</v>
      </c>
      <c r="S91" s="118">
        <f t="shared" ca="1" si="12"/>
        <v>746706</v>
      </c>
      <c r="T91" s="118">
        <f ca="1">특급</f>
        <v>373353</v>
      </c>
      <c r="U91" s="118">
        <f t="shared" ca="1" si="13"/>
        <v>746706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39</v>
      </c>
      <c r="O92" s="173">
        <v>5</v>
      </c>
      <c r="P92" s="234">
        <f ca="1">OFFSET($A$1,MATCH(Z89,$A:$A,0)-1,O92)</f>
        <v>5.0999999999999996</v>
      </c>
      <c r="Q92" s="144" t="s">
        <v>29</v>
      </c>
      <c r="R92" s="118">
        <f t="shared" ca="1" si="12"/>
        <v>310884</v>
      </c>
      <c r="S92" s="118">
        <f t="shared" ca="1" si="12"/>
        <v>1585508</v>
      </c>
      <c r="T92" s="118">
        <f ca="1">고급</f>
        <v>310884</v>
      </c>
      <c r="U92" s="118">
        <f t="shared" ca="1" si="13"/>
        <v>1585508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145" t="s">
        <v>40</v>
      </c>
      <c r="O93" s="173">
        <v>6</v>
      </c>
      <c r="P93" s="234">
        <f ca="1">OFFSET($A$1,MATCH(Z89,$A:$A,0)-1,O93)</f>
        <v>6.5</v>
      </c>
      <c r="Q93" s="144" t="s">
        <v>29</v>
      </c>
      <c r="R93" s="118">
        <f t="shared" ca="1" si="12"/>
        <v>295138</v>
      </c>
      <c r="S93" s="118">
        <f t="shared" ca="1" si="12"/>
        <v>1918397</v>
      </c>
      <c r="T93" s="118">
        <f ca="1">중급</f>
        <v>295138</v>
      </c>
      <c r="U93" s="118">
        <f t="shared" ca="1" si="13"/>
        <v>1918397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145" t="s">
        <v>41</v>
      </c>
      <c r="O94" s="173">
        <v>7</v>
      </c>
      <c r="P94" s="234">
        <f ca="1">OFFSET($A$1,MATCH(Z89,$A:$A,0)-1,O94)</f>
        <v>14.5</v>
      </c>
      <c r="Q94" s="144" t="s">
        <v>29</v>
      </c>
      <c r="R94" s="118">
        <f t="shared" ca="1" si="12"/>
        <v>235459</v>
      </c>
      <c r="S94" s="118">
        <f t="shared" ca="1" si="12"/>
        <v>3414155</v>
      </c>
      <c r="T94" s="118">
        <f ca="1">초급</f>
        <v>235459</v>
      </c>
      <c r="U94" s="118">
        <f t="shared" ca="1" si="13"/>
        <v>3414155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319" t="s">
        <v>42</v>
      </c>
      <c r="O95" s="174">
        <v>8</v>
      </c>
      <c r="P95" s="235">
        <f ca="1">OFFSET($A$1,MATCH(Z89,$A:$A,0)-1,O95)</f>
        <v>14.5</v>
      </c>
      <c r="Q95" s="322" t="s">
        <v>29</v>
      </c>
      <c r="R95" s="323">
        <f t="shared" ca="1" si="12"/>
        <v>250087</v>
      </c>
      <c r="S95" s="323">
        <f t="shared" ca="1" si="12"/>
        <v>3626261</v>
      </c>
      <c r="T95" s="323">
        <f ca="1">보조원</f>
        <v>250087</v>
      </c>
      <c r="U95" s="323">
        <f t="shared" ca="1" si="13"/>
        <v>3626261</v>
      </c>
      <c r="V95" s="323"/>
      <c r="W95" s="323"/>
      <c r="X95" s="323"/>
      <c r="Y95" s="323"/>
      <c r="Z95" s="324"/>
    </row>
    <row r="96" spans="11:26" ht="18" customHeight="1">
      <c r="K96" s="171" t="s">
        <v>14</v>
      </c>
      <c r="L96" s="171"/>
      <c r="M96" s="171"/>
      <c r="N96" s="139" t="s">
        <v>17</v>
      </c>
      <c r="O96" s="68"/>
      <c r="P96" s="69"/>
      <c r="Q96" s="70"/>
      <c r="R96" s="71"/>
      <c r="S96" s="71">
        <f ca="1">SUBTOTAL(9,S90:S95)</f>
        <v>12038574</v>
      </c>
      <c r="T96" s="71"/>
      <c r="U96" s="71">
        <f ca="1">SUBTOTAL(9,U90:U95)</f>
        <v>12038574</v>
      </c>
      <c r="V96" s="71"/>
      <c r="W96" s="71"/>
      <c r="X96" s="71"/>
      <c r="Y96" s="71"/>
      <c r="Z96" s="68"/>
    </row>
    <row r="97" spans="11:26" ht="18" customHeight="1">
      <c r="K97" s="171" t="s">
        <v>14</v>
      </c>
      <c r="L97" s="171"/>
      <c r="M97" s="171"/>
      <c r="N97" s="318" t="str">
        <f ca="1">"제 " &amp; Z97 &amp; " 호표  "&amp; OFFSET($A$1,MATCH(Z97,$A:$A,0)-1,1)</f>
        <v>제 4 호표  1.4. 인구수용 및 생활권계획</v>
      </c>
      <c r="O97" s="221"/>
      <c r="P97" s="148"/>
      <c r="Q97" s="148"/>
      <c r="R97" s="149"/>
      <c r="S97" s="149"/>
      <c r="T97" s="149"/>
      <c r="U97" s="149"/>
      <c r="V97" s="149"/>
      <c r="W97" s="149"/>
      <c r="X97" s="149"/>
      <c r="Y97" s="149"/>
      <c r="Z97" s="325">
        <f>Z89+1</f>
        <v>4</v>
      </c>
    </row>
    <row r="98" spans="11:26" ht="18" customHeight="1">
      <c r="K98" s="171" t="s">
        <v>14</v>
      </c>
      <c r="L98" s="171"/>
      <c r="M98" s="171"/>
      <c r="N98" s="140" t="s">
        <v>43</v>
      </c>
      <c r="O98" s="172">
        <v>3</v>
      </c>
      <c r="P98" s="219">
        <f ca="1">OFFSET($A$1,MATCH(Z97,$A:$A,0)-1,O98)</f>
        <v>0.9</v>
      </c>
      <c r="Q98" s="141" t="s">
        <v>29</v>
      </c>
      <c r="R98" s="142">
        <f t="shared" ref="R98:S103" ca="1" si="14">T98</f>
        <v>467217</v>
      </c>
      <c r="S98" s="142">
        <f t="shared" ca="1" si="14"/>
        <v>420495</v>
      </c>
      <c r="T98" s="142">
        <f ca="1">기술사</f>
        <v>467217</v>
      </c>
      <c r="U98" s="142">
        <f t="shared" ref="U98:U103" ca="1" si="15">ROUNDDOWN(P98*R98,0)</f>
        <v>420495</v>
      </c>
      <c r="V98" s="142"/>
      <c r="W98" s="142"/>
      <c r="X98" s="142"/>
      <c r="Y98" s="142"/>
      <c r="Z98" s="114"/>
    </row>
    <row r="99" spans="11:26" ht="18" customHeight="1">
      <c r="K99" s="171" t="s">
        <v>14</v>
      </c>
      <c r="L99" s="171"/>
      <c r="M99" s="171"/>
      <c r="N99" s="143" t="s">
        <v>32</v>
      </c>
      <c r="O99" s="173">
        <v>4</v>
      </c>
      <c r="P99" s="234">
        <f ca="1">OFFSET($A$1,MATCH(Z97,$A:$A,0)-1,O99)</f>
        <v>0.9</v>
      </c>
      <c r="Q99" s="144" t="s">
        <v>29</v>
      </c>
      <c r="R99" s="118">
        <f t="shared" ca="1" si="14"/>
        <v>373353</v>
      </c>
      <c r="S99" s="118">
        <f t="shared" ca="1" si="14"/>
        <v>336017</v>
      </c>
      <c r="T99" s="118">
        <f ca="1">특급</f>
        <v>373353</v>
      </c>
      <c r="U99" s="118">
        <f t="shared" ca="1" si="15"/>
        <v>336017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39</v>
      </c>
      <c r="O100" s="173">
        <v>5</v>
      </c>
      <c r="P100" s="234">
        <f ca="1">OFFSET($A$1,MATCH(Z97,$A:$A,0)-1,O100)</f>
        <v>2.6</v>
      </c>
      <c r="Q100" s="144" t="s">
        <v>29</v>
      </c>
      <c r="R100" s="118">
        <f t="shared" ca="1" si="14"/>
        <v>310884</v>
      </c>
      <c r="S100" s="118">
        <f t="shared" ca="1" si="14"/>
        <v>808298</v>
      </c>
      <c r="T100" s="118">
        <f ca="1">고급</f>
        <v>310884</v>
      </c>
      <c r="U100" s="118">
        <f t="shared" ca="1" si="15"/>
        <v>808298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40</v>
      </c>
      <c r="O101" s="173">
        <v>6</v>
      </c>
      <c r="P101" s="234">
        <f ca="1">OFFSET($A$1,MATCH(Z97,$A:$A,0)-1,O101)</f>
        <v>2.5</v>
      </c>
      <c r="Q101" s="144" t="s">
        <v>29</v>
      </c>
      <c r="R101" s="118">
        <f t="shared" ca="1" si="14"/>
        <v>295138</v>
      </c>
      <c r="S101" s="118">
        <f t="shared" ca="1" si="14"/>
        <v>737845</v>
      </c>
      <c r="T101" s="118">
        <f ca="1">중급</f>
        <v>295138</v>
      </c>
      <c r="U101" s="118">
        <f t="shared" ca="1" si="15"/>
        <v>737845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145" t="s">
        <v>41</v>
      </c>
      <c r="O102" s="173">
        <v>7</v>
      </c>
      <c r="P102" s="234">
        <f ca="1">OFFSET($A$1,MATCH(Z97,$A:$A,0)-1,O102)</f>
        <v>6.6</v>
      </c>
      <c r="Q102" s="144" t="s">
        <v>29</v>
      </c>
      <c r="R102" s="118">
        <f t="shared" ca="1" si="14"/>
        <v>235459</v>
      </c>
      <c r="S102" s="118">
        <f t="shared" ca="1" si="14"/>
        <v>1554029</v>
      </c>
      <c r="T102" s="118">
        <f ca="1">초급</f>
        <v>235459</v>
      </c>
      <c r="U102" s="118">
        <f t="shared" ca="1" si="15"/>
        <v>1554029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319" t="s">
        <v>42</v>
      </c>
      <c r="O103" s="174">
        <v>8</v>
      </c>
      <c r="P103" s="235">
        <f ca="1">OFFSET($A$1,MATCH(Z97,$A:$A,0)-1,O103)</f>
        <v>8.6999999999999993</v>
      </c>
      <c r="Q103" s="322" t="s">
        <v>29</v>
      </c>
      <c r="R103" s="323">
        <f t="shared" ca="1" si="14"/>
        <v>250087</v>
      </c>
      <c r="S103" s="323">
        <f t="shared" ca="1" si="14"/>
        <v>2175756</v>
      </c>
      <c r="T103" s="323">
        <f ca="1">보조원</f>
        <v>250087</v>
      </c>
      <c r="U103" s="323">
        <f t="shared" ca="1" si="15"/>
        <v>2175756</v>
      </c>
      <c r="V103" s="323"/>
      <c r="W103" s="323"/>
      <c r="X103" s="323"/>
      <c r="Y103" s="323"/>
      <c r="Z103" s="324"/>
    </row>
    <row r="104" spans="11:26" ht="18" customHeight="1">
      <c r="K104" s="171" t="s">
        <v>14</v>
      </c>
      <c r="L104" s="171"/>
      <c r="M104" s="171"/>
      <c r="N104" s="139" t="s">
        <v>17</v>
      </c>
      <c r="O104" s="68"/>
      <c r="P104" s="69"/>
      <c r="Q104" s="70"/>
      <c r="R104" s="71"/>
      <c r="S104" s="71">
        <f ca="1">SUBTOTAL(9,S98:S103)</f>
        <v>6032440</v>
      </c>
      <c r="T104" s="71"/>
      <c r="U104" s="71">
        <f ca="1">SUBTOTAL(9,U98:U103)</f>
        <v>6032440</v>
      </c>
      <c r="V104" s="71"/>
      <c r="W104" s="71"/>
      <c r="X104" s="71"/>
      <c r="Y104" s="71"/>
      <c r="Z104" s="68"/>
    </row>
    <row r="105" spans="11:26" ht="18" customHeight="1">
      <c r="K105" s="171" t="s">
        <v>14</v>
      </c>
      <c r="L105" s="171"/>
      <c r="M105" s="171"/>
      <c r="N105" s="318" t="str">
        <f ca="1">"제 " &amp; Z105 &amp; " 호표  "&amp; OFFSET($A$1,MATCH(Z105,$A:$A,0)-1,1)</f>
        <v>제 5 호표  1.5. 주택계획</v>
      </c>
      <c r="O105" s="221"/>
      <c r="P105" s="148"/>
      <c r="Q105" s="148"/>
      <c r="R105" s="149"/>
      <c r="S105" s="149"/>
      <c r="T105" s="149"/>
      <c r="U105" s="149"/>
      <c r="V105" s="149"/>
      <c r="W105" s="149"/>
      <c r="X105" s="149"/>
      <c r="Y105" s="149"/>
      <c r="Z105" s="325">
        <f>Z97+1</f>
        <v>5</v>
      </c>
    </row>
    <row r="106" spans="11:26" ht="18" customHeight="1">
      <c r="K106" s="171" t="s">
        <v>14</v>
      </c>
      <c r="L106" s="171"/>
      <c r="M106" s="171"/>
      <c r="N106" s="140" t="s">
        <v>43</v>
      </c>
      <c r="O106" s="172">
        <v>3</v>
      </c>
      <c r="P106" s="219">
        <f ca="1">OFFSET($A$1,MATCH(Z105,$A:$A,0)-1,O106)</f>
        <v>0.7</v>
      </c>
      <c r="Q106" s="141" t="s">
        <v>29</v>
      </c>
      <c r="R106" s="142">
        <f t="shared" ref="R106:S111" ca="1" si="16">T106</f>
        <v>467217</v>
      </c>
      <c r="S106" s="142">
        <f t="shared" ca="1" si="16"/>
        <v>327051</v>
      </c>
      <c r="T106" s="142">
        <f ca="1">기술사</f>
        <v>467217</v>
      </c>
      <c r="U106" s="142">
        <f t="shared" ref="U106:U111" ca="1" si="17">ROUNDDOWN(P106*R106,0)</f>
        <v>327051</v>
      </c>
      <c r="V106" s="142"/>
      <c r="W106" s="142"/>
      <c r="X106" s="142"/>
      <c r="Y106" s="142"/>
      <c r="Z106" s="114"/>
    </row>
    <row r="107" spans="11:26" ht="18" customHeight="1">
      <c r="K107" s="171" t="s">
        <v>14</v>
      </c>
      <c r="L107" s="171"/>
      <c r="M107" s="171"/>
      <c r="N107" s="143" t="s">
        <v>32</v>
      </c>
      <c r="O107" s="173">
        <v>4</v>
      </c>
      <c r="P107" s="234">
        <f ca="1">OFFSET($A$1,MATCH(Z105,$A:$A,0)-1,O107)</f>
        <v>1.1000000000000001</v>
      </c>
      <c r="Q107" s="144" t="s">
        <v>29</v>
      </c>
      <c r="R107" s="118">
        <f t="shared" ca="1" si="16"/>
        <v>373353</v>
      </c>
      <c r="S107" s="118">
        <f t="shared" ca="1" si="16"/>
        <v>410688</v>
      </c>
      <c r="T107" s="118">
        <f ca="1">특급</f>
        <v>373353</v>
      </c>
      <c r="U107" s="118">
        <f t="shared" ca="1" si="17"/>
        <v>410688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39</v>
      </c>
      <c r="O108" s="173">
        <v>5</v>
      </c>
      <c r="P108" s="234">
        <f ca="1">OFFSET($A$1,MATCH(Z105,$A:$A,0)-1,O108)</f>
        <v>5.3</v>
      </c>
      <c r="Q108" s="144" t="s">
        <v>29</v>
      </c>
      <c r="R108" s="118">
        <f t="shared" ca="1" si="16"/>
        <v>310884</v>
      </c>
      <c r="S108" s="118">
        <f t="shared" ca="1" si="16"/>
        <v>1647685</v>
      </c>
      <c r="T108" s="118">
        <f ca="1">고급</f>
        <v>310884</v>
      </c>
      <c r="U108" s="118">
        <f t="shared" ca="1" si="17"/>
        <v>1647685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145" t="s">
        <v>40</v>
      </c>
      <c r="O109" s="173">
        <v>6</v>
      </c>
      <c r="P109" s="234">
        <f ca="1">OFFSET($A$1,MATCH(Z105,$A:$A,0)-1,O109)</f>
        <v>5.3</v>
      </c>
      <c r="Q109" s="144" t="s">
        <v>29</v>
      </c>
      <c r="R109" s="118">
        <f t="shared" ca="1" si="16"/>
        <v>295138</v>
      </c>
      <c r="S109" s="118">
        <f t="shared" ca="1" si="16"/>
        <v>1564231</v>
      </c>
      <c r="T109" s="118">
        <f ca="1">중급</f>
        <v>295138</v>
      </c>
      <c r="U109" s="118">
        <f t="shared" ca="1" si="17"/>
        <v>1564231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41</v>
      </c>
      <c r="O110" s="173">
        <v>7</v>
      </c>
      <c r="P110" s="234">
        <f ca="1">OFFSET($A$1,MATCH(Z105,$A:$A,0)-1,O110)</f>
        <v>8.8000000000000007</v>
      </c>
      <c r="Q110" s="144" t="s">
        <v>29</v>
      </c>
      <c r="R110" s="118">
        <f t="shared" ca="1" si="16"/>
        <v>235459</v>
      </c>
      <c r="S110" s="118">
        <f t="shared" ca="1" si="16"/>
        <v>2072039</v>
      </c>
      <c r="T110" s="118">
        <f ca="1">초급</f>
        <v>235459</v>
      </c>
      <c r="U110" s="118">
        <f t="shared" ca="1" si="17"/>
        <v>2072039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319" t="s">
        <v>42</v>
      </c>
      <c r="O111" s="174">
        <v>8</v>
      </c>
      <c r="P111" s="235">
        <f ca="1">OFFSET($A$1,MATCH(Z105,$A:$A,0)-1,O111)</f>
        <v>13.2</v>
      </c>
      <c r="Q111" s="322" t="s">
        <v>29</v>
      </c>
      <c r="R111" s="323">
        <f t="shared" ca="1" si="16"/>
        <v>250087</v>
      </c>
      <c r="S111" s="323">
        <f t="shared" ca="1" si="16"/>
        <v>3301148</v>
      </c>
      <c r="T111" s="323">
        <f ca="1">보조원</f>
        <v>250087</v>
      </c>
      <c r="U111" s="323">
        <f t="shared" ca="1" si="17"/>
        <v>3301148</v>
      </c>
      <c r="V111" s="323"/>
      <c r="W111" s="323"/>
      <c r="X111" s="323"/>
      <c r="Y111" s="323"/>
      <c r="Z111" s="324"/>
    </row>
    <row r="112" spans="11:26" ht="18" customHeight="1">
      <c r="K112" s="171" t="s">
        <v>14</v>
      </c>
      <c r="L112" s="171"/>
      <c r="M112" s="171"/>
      <c r="N112" s="139" t="s">
        <v>17</v>
      </c>
      <c r="O112" s="68"/>
      <c r="P112" s="69"/>
      <c r="Q112" s="70"/>
      <c r="R112" s="71"/>
      <c r="S112" s="71">
        <f ca="1">SUBTOTAL(9,S106:S111)</f>
        <v>9322842</v>
      </c>
      <c r="T112" s="71"/>
      <c r="U112" s="71">
        <f ca="1">SUBTOTAL(9,U106:U111)</f>
        <v>9322842</v>
      </c>
      <c r="V112" s="71"/>
      <c r="W112" s="71"/>
      <c r="X112" s="71"/>
      <c r="Y112" s="71"/>
      <c r="Z112" s="68"/>
    </row>
    <row r="113" spans="11:26" ht="18" customHeight="1">
      <c r="K113" s="171" t="s">
        <v>14</v>
      </c>
      <c r="L113" s="171"/>
      <c r="M113" s="171"/>
      <c r="N113" s="318" t="str">
        <f ca="1">"제 " &amp; Z113 &amp; " 호표  "&amp; OFFSET($A$1,MATCH(Z113,$A:$A,0)-1,1)</f>
        <v>제 6 호표  1.6. 공공시설계획</v>
      </c>
      <c r="O113" s="221"/>
      <c r="P113" s="148"/>
      <c r="Q113" s="148"/>
      <c r="R113" s="149"/>
      <c r="S113" s="149"/>
      <c r="T113" s="149"/>
      <c r="U113" s="149"/>
      <c r="V113" s="149"/>
      <c r="W113" s="149"/>
      <c r="X113" s="149"/>
      <c r="Y113" s="149"/>
      <c r="Z113" s="325">
        <f>Z105+1</f>
        <v>6</v>
      </c>
    </row>
    <row r="114" spans="11:26" ht="18" customHeight="1">
      <c r="K114" s="171" t="s">
        <v>14</v>
      </c>
      <c r="L114" s="171"/>
      <c r="M114" s="171"/>
      <c r="N114" s="140" t="s">
        <v>43</v>
      </c>
      <c r="O114" s="172">
        <v>3</v>
      </c>
      <c r="P114" s="219">
        <f ca="1">OFFSET($A$1,MATCH(Z113,$A:$A,0)-1,O114)</f>
        <v>0.7</v>
      </c>
      <c r="Q114" s="141" t="s">
        <v>29</v>
      </c>
      <c r="R114" s="142">
        <f t="shared" ref="R114:S119" ca="1" si="18">T114</f>
        <v>467217</v>
      </c>
      <c r="S114" s="142">
        <f t="shared" ca="1" si="18"/>
        <v>327051</v>
      </c>
      <c r="T114" s="142">
        <f ca="1">기술사</f>
        <v>467217</v>
      </c>
      <c r="U114" s="142">
        <f t="shared" ref="U114:U119" ca="1" si="19">ROUNDDOWN(P114*R114,0)</f>
        <v>327051</v>
      </c>
      <c r="V114" s="142"/>
      <c r="W114" s="142"/>
      <c r="X114" s="142"/>
      <c r="Y114" s="142"/>
      <c r="Z114" s="114"/>
    </row>
    <row r="115" spans="11:26" ht="18" customHeight="1">
      <c r="K115" s="171" t="s">
        <v>14</v>
      </c>
      <c r="L115" s="171"/>
      <c r="M115" s="171"/>
      <c r="N115" s="143" t="s">
        <v>32</v>
      </c>
      <c r="O115" s="173">
        <v>4</v>
      </c>
      <c r="P115" s="234">
        <f ca="1">OFFSET($A$1,MATCH(Z113,$A:$A,0)-1,O115)</f>
        <v>1.1000000000000001</v>
      </c>
      <c r="Q115" s="144" t="s">
        <v>29</v>
      </c>
      <c r="R115" s="118">
        <f t="shared" ca="1" si="18"/>
        <v>373353</v>
      </c>
      <c r="S115" s="118">
        <f t="shared" ca="1" si="18"/>
        <v>410688</v>
      </c>
      <c r="T115" s="118">
        <f ca="1">특급</f>
        <v>373353</v>
      </c>
      <c r="U115" s="118">
        <f t="shared" ca="1" si="19"/>
        <v>410688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39</v>
      </c>
      <c r="O116" s="173">
        <v>5</v>
      </c>
      <c r="P116" s="234">
        <f ca="1">OFFSET($A$1,MATCH(Z113,$A:$A,0)-1,O116)</f>
        <v>5.3</v>
      </c>
      <c r="Q116" s="144" t="s">
        <v>29</v>
      </c>
      <c r="R116" s="118">
        <f t="shared" ca="1" si="18"/>
        <v>310884</v>
      </c>
      <c r="S116" s="118">
        <f t="shared" ca="1" si="18"/>
        <v>1647685</v>
      </c>
      <c r="T116" s="118">
        <f ca="1">고급</f>
        <v>310884</v>
      </c>
      <c r="U116" s="118">
        <f t="shared" ca="1" si="19"/>
        <v>1647685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40</v>
      </c>
      <c r="O117" s="173">
        <v>6</v>
      </c>
      <c r="P117" s="234">
        <f ca="1">OFFSET($A$1,MATCH(Z113,$A:$A,0)-1,O117)</f>
        <v>5.3</v>
      </c>
      <c r="Q117" s="144" t="s">
        <v>29</v>
      </c>
      <c r="R117" s="118">
        <f t="shared" ca="1" si="18"/>
        <v>295138</v>
      </c>
      <c r="S117" s="118">
        <f t="shared" ca="1" si="18"/>
        <v>1564231</v>
      </c>
      <c r="T117" s="118">
        <f ca="1">중급</f>
        <v>295138</v>
      </c>
      <c r="U117" s="118">
        <f t="shared" ca="1" si="19"/>
        <v>1564231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41</v>
      </c>
      <c r="O118" s="173">
        <v>7</v>
      </c>
      <c r="P118" s="234">
        <f ca="1">OFFSET($A$1,MATCH(Z113,$A:$A,0)-1,O118)</f>
        <v>8.8000000000000007</v>
      </c>
      <c r="Q118" s="144" t="s">
        <v>29</v>
      </c>
      <c r="R118" s="118">
        <f t="shared" ca="1" si="18"/>
        <v>235459</v>
      </c>
      <c r="S118" s="118">
        <f t="shared" ca="1" si="18"/>
        <v>2072039</v>
      </c>
      <c r="T118" s="118">
        <f ca="1">초급</f>
        <v>235459</v>
      </c>
      <c r="U118" s="118">
        <f t="shared" ca="1" si="19"/>
        <v>2072039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319" t="s">
        <v>42</v>
      </c>
      <c r="O119" s="174">
        <v>8</v>
      </c>
      <c r="P119" s="235">
        <f ca="1">OFFSET($A$1,MATCH(Z113,$A:$A,0)-1,O119)</f>
        <v>13.2</v>
      </c>
      <c r="Q119" s="322" t="s">
        <v>29</v>
      </c>
      <c r="R119" s="323">
        <f t="shared" ca="1" si="18"/>
        <v>250087</v>
      </c>
      <c r="S119" s="323">
        <f t="shared" ca="1" si="18"/>
        <v>3301148</v>
      </c>
      <c r="T119" s="323">
        <f ca="1">보조원</f>
        <v>250087</v>
      </c>
      <c r="U119" s="323">
        <f t="shared" ca="1" si="19"/>
        <v>3301148</v>
      </c>
      <c r="V119" s="323"/>
      <c r="W119" s="323"/>
      <c r="X119" s="323"/>
      <c r="Y119" s="323"/>
      <c r="Z119" s="324"/>
    </row>
    <row r="120" spans="11:26" ht="18" customHeight="1">
      <c r="K120" s="171" t="s">
        <v>14</v>
      </c>
      <c r="L120" s="171"/>
      <c r="M120" s="171"/>
      <c r="N120" s="139" t="s">
        <v>17</v>
      </c>
      <c r="O120" s="68"/>
      <c r="P120" s="69"/>
      <c r="Q120" s="70"/>
      <c r="R120" s="71"/>
      <c r="S120" s="71">
        <f ca="1">SUBTOTAL(9,S114:S119)</f>
        <v>9322842</v>
      </c>
      <c r="T120" s="71"/>
      <c r="U120" s="71">
        <f ca="1">SUBTOTAL(9,U114:U119)</f>
        <v>9322842</v>
      </c>
      <c r="V120" s="71"/>
      <c r="W120" s="71"/>
      <c r="X120" s="71"/>
      <c r="Y120" s="71"/>
      <c r="Z120" s="68"/>
    </row>
    <row r="121" spans="11:26" ht="18" customHeight="1">
      <c r="K121" s="171" t="s">
        <v>14</v>
      </c>
      <c r="L121" s="171"/>
      <c r="M121" s="171"/>
      <c r="N121" s="318" t="str">
        <f ca="1">"제 " &amp; Z121 &amp; " 호표  "&amp; OFFSET($A$1,MATCH(Z121,$A:$A,0)-1,1)</f>
        <v>제 7 호표  1.7. 토지이용계획</v>
      </c>
      <c r="O121" s="221"/>
      <c r="P121" s="148"/>
      <c r="Q121" s="148"/>
      <c r="R121" s="149"/>
      <c r="S121" s="149"/>
      <c r="T121" s="149"/>
      <c r="U121" s="149"/>
      <c r="V121" s="149"/>
      <c r="W121" s="149"/>
      <c r="X121" s="149"/>
      <c r="Y121" s="149"/>
      <c r="Z121" s="325">
        <f>Z113+1</f>
        <v>7</v>
      </c>
    </row>
    <row r="122" spans="11:26" ht="18" customHeight="1">
      <c r="K122" s="171" t="s">
        <v>14</v>
      </c>
      <c r="L122" s="171"/>
      <c r="M122" s="171"/>
      <c r="N122" s="140" t="s">
        <v>43</v>
      </c>
      <c r="O122" s="172">
        <v>3</v>
      </c>
      <c r="P122" s="219">
        <f ca="1">OFFSET($A$1,MATCH(Z121,$A:$A,0)-1,O122)</f>
        <v>1.5</v>
      </c>
      <c r="Q122" s="141" t="s">
        <v>29</v>
      </c>
      <c r="R122" s="142">
        <f t="shared" ref="R122:S127" ca="1" si="20">T122</f>
        <v>467217</v>
      </c>
      <c r="S122" s="142">
        <f t="shared" ca="1" si="20"/>
        <v>700825</v>
      </c>
      <c r="T122" s="142">
        <f ca="1">기술사</f>
        <v>467217</v>
      </c>
      <c r="U122" s="142">
        <f t="shared" ref="U122:U127" ca="1" si="21">ROUNDDOWN(P122*R122,0)</f>
        <v>700825</v>
      </c>
      <c r="V122" s="142"/>
      <c r="W122" s="142"/>
      <c r="X122" s="142"/>
      <c r="Y122" s="142"/>
      <c r="Z122" s="114"/>
    </row>
    <row r="123" spans="11:26" ht="18" customHeight="1">
      <c r="K123" s="171" t="s">
        <v>14</v>
      </c>
      <c r="L123" s="171"/>
      <c r="M123" s="171"/>
      <c r="N123" s="143" t="s">
        <v>32</v>
      </c>
      <c r="O123" s="173">
        <v>4</v>
      </c>
      <c r="P123" s="234">
        <f ca="1">OFFSET($A$1,MATCH(Z121,$A:$A,0)-1,O123)</f>
        <v>1.6</v>
      </c>
      <c r="Q123" s="144" t="s">
        <v>29</v>
      </c>
      <c r="R123" s="118">
        <f t="shared" ca="1" si="20"/>
        <v>373353</v>
      </c>
      <c r="S123" s="118">
        <f t="shared" ca="1" si="20"/>
        <v>597364</v>
      </c>
      <c r="T123" s="118">
        <f ca="1">특급</f>
        <v>373353</v>
      </c>
      <c r="U123" s="118">
        <f t="shared" ca="1" si="21"/>
        <v>597364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39</v>
      </c>
      <c r="O124" s="173">
        <v>5</v>
      </c>
      <c r="P124" s="234">
        <f ca="1">OFFSET($A$1,MATCH(Z121,$A:$A,0)-1,O124)</f>
        <v>9</v>
      </c>
      <c r="Q124" s="144" t="s">
        <v>29</v>
      </c>
      <c r="R124" s="118">
        <f t="shared" ca="1" si="20"/>
        <v>310884</v>
      </c>
      <c r="S124" s="118">
        <f t="shared" ca="1" si="20"/>
        <v>2797956</v>
      </c>
      <c r="T124" s="118">
        <f ca="1">고급</f>
        <v>310884</v>
      </c>
      <c r="U124" s="118">
        <f t="shared" ca="1" si="21"/>
        <v>2797956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40</v>
      </c>
      <c r="O125" s="173">
        <v>6</v>
      </c>
      <c r="P125" s="234">
        <f ca="1">OFFSET($A$1,MATCH(Z121,$A:$A,0)-1,O125)</f>
        <v>9.8000000000000007</v>
      </c>
      <c r="Q125" s="144" t="s">
        <v>29</v>
      </c>
      <c r="R125" s="118">
        <f t="shared" ca="1" si="20"/>
        <v>295138</v>
      </c>
      <c r="S125" s="118">
        <f t="shared" ca="1" si="20"/>
        <v>2892352</v>
      </c>
      <c r="T125" s="118">
        <f ca="1">중급</f>
        <v>295138</v>
      </c>
      <c r="U125" s="118">
        <f t="shared" ca="1" si="21"/>
        <v>2892352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41</v>
      </c>
      <c r="O126" s="173">
        <v>7</v>
      </c>
      <c r="P126" s="234">
        <f ca="1">OFFSET($A$1,MATCH(Z121,$A:$A,0)-1,O126)</f>
        <v>32.5</v>
      </c>
      <c r="Q126" s="144" t="s">
        <v>29</v>
      </c>
      <c r="R126" s="118">
        <f t="shared" ca="1" si="20"/>
        <v>235459</v>
      </c>
      <c r="S126" s="118">
        <f t="shared" ca="1" si="20"/>
        <v>7652417</v>
      </c>
      <c r="T126" s="118">
        <f ca="1">초급</f>
        <v>235459</v>
      </c>
      <c r="U126" s="118">
        <f t="shared" ca="1" si="21"/>
        <v>7652417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319" t="s">
        <v>42</v>
      </c>
      <c r="O127" s="174">
        <v>8</v>
      </c>
      <c r="P127" s="235">
        <f ca="1">OFFSET($A$1,MATCH(Z121,$A:$A,0)-1,O127)</f>
        <v>32.5</v>
      </c>
      <c r="Q127" s="322" t="s">
        <v>29</v>
      </c>
      <c r="R127" s="323">
        <f t="shared" ca="1" si="20"/>
        <v>250087</v>
      </c>
      <c r="S127" s="323">
        <f t="shared" ca="1" si="20"/>
        <v>8127827</v>
      </c>
      <c r="T127" s="323">
        <f ca="1">보조원</f>
        <v>250087</v>
      </c>
      <c r="U127" s="323">
        <f t="shared" ca="1" si="21"/>
        <v>8127827</v>
      </c>
      <c r="V127" s="323"/>
      <c r="W127" s="323"/>
      <c r="X127" s="323"/>
      <c r="Y127" s="323"/>
      <c r="Z127" s="324"/>
    </row>
    <row r="128" spans="11:26" ht="18" customHeight="1">
      <c r="K128" s="171" t="s">
        <v>14</v>
      </c>
      <c r="L128" s="171"/>
      <c r="M128" s="171"/>
      <c r="N128" s="139" t="s">
        <v>17</v>
      </c>
      <c r="O128" s="68"/>
      <c r="P128" s="69"/>
      <c r="Q128" s="70"/>
      <c r="R128" s="71"/>
      <c r="S128" s="71">
        <f ca="1">SUBTOTAL(9,S122:S127)</f>
        <v>22768741</v>
      </c>
      <c r="T128" s="71"/>
      <c r="U128" s="71">
        <f ca="1">SUBTOTAL(9,U122:U127)</f>
        <v>22768741</v>
      </c>
      <c r="V128" s="71"/>
      <c r="W128" s="71"/>
      <c r="X128" s="71"/>
      <c r="Y128" s="71"/>
      <c r="Z128" s="68"/>
    </row>
    <row r="129" spans="11:26" ht="18" customHeight="1">
      <c r="K129" s="171" t="s">
        <v>14</v>
      </c>
      <c r="L129" s="171"/>
      <c r="M129" s="171"/>
      <c r="N129" s="318" t="str">
        <f ca="1">"제 " &amp; Z129 &amp; " 호표  "&amp; OFFSET($A$1,MATCH(Z129,$A:$A,0)-1,1)</f>
        <v>제 8 호표  1.8. 교통계획</v>
      </c>
      <c r="O129" s="221"/>
      <c r="P129" s="148"/>
      <c r="Q129" s="148"/>
      <c r="R129" s="149"/>
      <c r="S129" s="149"/>
      <c r="T129" s="149"/>
      <c r="U129" s="149"/>
      <c r="V129" s="149"/>
      <c r="W129" s="149"/>
      <c r="X129" s="149"/>
      <c r="Y129" s="149"/>
      <c r="Z129" s="325">
        <f>Z121+1</f>
        <v>8</v>
      </c>
    </row>
    <row r="130" spans="11:26" ht="18" customHeight="1">
      <c r="K130" s="171" t="s">
        <v>14</v>
      </c>
      <c r="L130" s="171"/>
      <c r="M130" s="171"/>
      <c r="N130" s="140" t="s">
        <v>43</v>
      </c>
      <c r="O130" s="172">
        <v>3</v>
      </c>
      <c r="P130" s="219">
        <f ca="1">OFFSET($A$1,MATCH(Z129,$A:$A,0)-1,O130)</f>
        <v>1</v>
      </c>
      <c r="Q130" s="141" t="s">
        <v>29</v>
      </c>
      <c r="R130" s="142">
        <f t="shared" ref="R130:S135" ca="1" si="22">T130</f>
        <v>467217</v>
      </c>
      <c r="S130" s="142">
        <f t="shared" ca="1" si="22"/>
        <v>467217</v>
      </c>
      <c r="T130" s="142">
        <f ca="1">기술사</f>
        <v>467217</v>
      </c>
      <c r="U130" s="142">
        <f t="shared" ref="U130:U135" ca="1" si="23">ROUNDDOWN(P130*R130,0)</f>
        <v>467217</v>
      </c>
      <c r="V130" s="142"/>
      <c r="W130" s="142"/>
      <c r="X130" s="142"/>
      <c r="Y130" s="142"/>
      <c r="Z130" s="114"/>
    </row>
    <row r="131" spans="11:26" ht="18" customHeight="1">
      <c r="K131" s="171" t="s">
        <v>14</v>
      </c>
      <c r="L131" s="171"/>
      <c r="M131" s="171"/>
      <c r="N131" s="143" t="s">
        <v>32</v>
      </c>
      <c r="O131" s="173">
        <v>4</v>
      </c>
      <c r="P131" s="234">
        <f ca="1">OFFSET($A$1,MATCH(Z129,$A:$A,0)-1,O131)</f>
        <v>0.6</v>
      </c>
      <c r="Q131" s="144" t="s">
        <v>29</v>
      </c>
      <c r="R131" s="118">
        <f t="shared" ca="1" si="22"/>
        <v>373353</v>
      </c>
      <c r="S131" s="118">
        <f t="shared" ca="1" si="22"/>
        <v>224011</v>
      </c>
      <c r="T131" s="118">
        <f ca="1">특급</f>
        <v>373353</v>
      </c>
      <c r="U131" s="118">
        <f t="shared" ca="1" si="23"/>
        <v>224011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145" t="s">
        <v>39</v>
      </c>
      <c r="O132" s="173">
        <v>5</v>
      </c>
      <c r="P132" s="234">
        <f ca="1">OFFSET($A$1,MATCH(Z129,$A:$A,0)-1,O132)</f>
        <v>4.8</v>
      </c>
      <c r="Q132" s="144" t="s">
        <v>29</v>
      </c>
      <c r="R132" s="118">
        <f t="shared" ca="1" si="22"/>
        <v>310884</v>
      </c>
      <c r="S132" s="118">
        <f t="shared" ca="1" si="22"/>
        <v>1492243</v>
      </c>
      <c r="T132" s="118">
        <f ca="1">고급</f>
        <v>310884</v>
      </c>
      <c r="U132" s="118">
        <f t="shared" ca="1" si="23"/>
        <v>1492243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40</v>
      </c>
      <c r="O133" s="173">
        <v>6</v>
      </c>
      <c r="P133" s="234">
        <f ca="1">OFFSET($A$1,MATCH(Z129,$A:$A,0)-1,O133)</f>
        <v>4.8</v>
      </c>
      <c r="Q133" s="144" t="s">
        <v>29</v>
      </c>
      <c r="R133" s="118">
        <f t="shared" ca="1" si="22"/>
        <v>295138</v>
      </c>
      <c r="S133" s="118">
        <f t="shared" ca="1" si="22"/>
        <v>1416662</v>
      </c>
      <c r="T133" s="118">
        <f ca="1">중급</f>
        <v>295138</v>
      </c>
      <c r="U133" s="118">
        <f t="shared" ca="1" si="23"/>
        <v>1416662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41</v>
      </c>
      <c r="O134" s="173">
        <v>7</v>
      </c>
      <c r="P134" s="234">
        <f ca="1">OFFSET($A$1,MATCH(Z129,$A:$A,0)-1,O134)</f>
        <v>14.5</v>
      </c>
      <c r="Q134" s="144" t="s">
        <v>29</v>
      </c>
      <c r="R134" s="118">
        <f t="shared" ca="1" si="22"/>
        <v>235459</v>
      </c>
      <c r="S134" s="118">
        <f t="shared" ca="1" si="22"/>
        <v>3414155</v>
      </c>
      <c r="T134" s="118">
        <f ca="1">초급</f>
        <v>235459</v>
      </c>
      <c r="U134" s="118">
        <f t="shared" ca="1" si="23"/>
        <v>3414155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319" t="s">
        <v>42</v>
      </c>
      <c r="O135" s="174">
        <v>8</v>
      </c>
      <c r="P135" s="235">
        <f ca="1">OFFSET($A$1,MATCH(Z129,$A:$A,0)-1,O135)</f>
        <v>19.8</v>
      </c>
      <c r="Q135" s="322" t="s">
        <v>29</v>
      </c>
      <c r="R135" s="323">
        <f t="shared" ca="1" si="22"/>
        <v>250087</v>
      </c>
      <c r="S135" s="323">
        <f t="shared" ca="1" si="22"/>
        <v>4951722</v>
      </c>
      <c r="T135" s="323">
        <f ca="1">보조원</f>
        <v>250087</v>
      </c>
      <c r="U135" s="323">
        <f t="shared" ca="1" si="23"/>
        <v>4951722</v>
      </c>
      <c r="V135" s="323"/>
      <c r="W135" s="323"/>
      <c r="X135" s="323"/>
      <c r="Y135" s="323"/>
      <c r="Z135" s="324"/>
    </row>
    <row r="136" spans="11:26" ht="18" customHeight="1">
      <c r="K136" s="171" t="s">
        <v>14</v>
      </c>
      <c r="L136" s="171"/>
      <c r="M136" s="171"/>
      <c r="N136" s="139" t="s">
        <v>17</v>
      </c>
      <c r="O136" s="68"/>
      <c r="P136" s="69"/>
      <c r="Q136" s="70"/>
      <c r="R136" s="71"/>
      <c r="S136" s="71">
        <f ca="1">SUBTOTAL(9,S130:S135)</f>
        <v>11966010</v>
      </c>
      <c r="T136" s="71"/>
      <c r="U136" s="71">
        <f ca="1">SUBTOTAL(9,U130:U135)</f>
        <v>11966010</v>
      </c>
      <c r="V136" s="71"/>
      <c r="W136" s="71"/>
      <c r="X136" s="71"/>
      <c r="Y136" s="71"/>
      <c r="Z136" s="68"/>
    </row>
    <row r="137" spans="11:26" ht="18" customHeight="1">
      <c r="K137" s="171" t="s">
        <v>14</v>
      </c>
      <c r="L137" s="171"/>
      <c r="M137" s="171"/>
      <c r="N137" s="318" t="str">
        <f ca="1">"제 " &amp; Z137 &amp; " 호표  "&amp; OFFSET($A$1,MATCH(Z137,$A:$A,0)-1,1)</f>
        <v>제 9 호표  1.9. 공급처리시설계획</v>
      </c>
      <c r="O137" s="221"/>
      <c r="P137" s="148"/>
      <c r="Q137" s="148"/>
      <c r="R137" s="149"/>
      <c r="S137" s="149"/>
      <c r="T137" s="149"/>
      <c r="U137" s="149"/>
      <c r="V137" s="149"/>
      <c r="W137" s="149"/>
      <c r="X137" s="149"/>
      <c r="Y137" s="149"/>
      <c r="Z137" s="325">
        <f>Z129+1</f>
        <v>9</v>
      </c>
    </row>
    <row r="138" spans="11:26" ht="18" customHeight="1">
      <c r="K138" s="171" t="s">
        <v>14</v>
      </c>
      <c r="L138" s="171"/>
      <c r="M138" s="171"/>
      <c r="N138" s="140" t="s">
        <v>43</v>
      </c>
      <c r="O138" s="172">
        <v>3</v>
      </c>
      <c r="P138" s="219">
        <f ca="1">OFFSET($A$1,MATCH(Z137,$A:$A,0)-1,O138)</f>
        <v>1.3</v>
      </c>
      <c r="Q138" s="141" t="s">
        <v>29</v>
      </c>
      <c r="R138" s="142">
        <f t="shared" ref="R138:S143" ca="1" si="24">T138</f>
        <v>467217</v>
      </c>
      <c r="S138" s="142">
        <f t="shared" ca="1" si="24"/>
        <v>607382</v>
      </c>
      <c r="T138" s="142">
        <f ca="1">기술사</f>
        <v>467217</v>
      </c>
      <c r="U138" s="142">
        <f t="shared" ref="U138:U143" ca="1" si="25">ROUNDDOWN(P138*R138,0)</f>
        <v>607382</v>
      </c>
      <c r="V138" s="142"/>
      <c r="W138" s="142"/>
      <c r="X138" s="142"/>
      <c r="Y138" s="142"/>
      <c r="Z138" s="114"/>
    </row>
    <row r="139" spans="11:26" ht="18" customHeight="1">
      <c r="K139" s="171" t="s">
        <v>14</v>
      </c>
      <c r="L139" s="171"/>
      <c r="M139" s="171"/>
      <c r="N139" s="143" t="s">
        <v>32</v>
      </c>
      <c r="O139" s="173">
        <v>4</v>
      </c>
      <c r="P139" s="234">
        <f ca="1">OFFSET($A$1,MATCH(Z137,$A:$A,0)-1,O139)</f>
        <v>1.6</v>
      </c>
      <c r="Q139" s="144" t="s">
        <v>29</v>
      </c>
      <c r="R139" s="118">
        <f t="shared" ca="1" si="24"/>
        <v>373353</v>
      </c>
      <c r="S139" s="118">
        <f t="shared" ca="1" si="24"/>
        <v>597364</v>
      </c>
      <c r="T139" s="118">
        <f ca="1">특급</f>
        <v>373353</v>
      </c>
      <c r="U139" s="118">
        <f t="shared" ca="1" si="25"/>
        <v>597364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39</v>
      </c>
      <c r="O140" s="173">
        <v>5</v>
      </c>
      <c r="P140" s="234">
        <f ca="1">OFFSET($A$1,MATCH(Z137,$A:$A,0)-1,O140)</f>
        <v>7.4</v>
      </c>
      <c r="Q140" s="144" t="s">
        <v>29</v>
      </c>
      <c r="R140" s="118">
        <f t="shared" ca="1" si="24"/>
        <v>310884</v>
      </c>
      <c r="S140" s="118">
        <f t="shared" ca="1" si="24"/>
        <v>2300541</v>
      </c>
      <c r="T140" s="118">
        <f ca="1">고급</f>
        <v>310884</v>
      </c>
      <c r="U140" s="118">
        <f t="shared" ca="1" si="25"/>
        <v>2300541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40</v>
      </c>
      <c r="O141" s="173">
        <v>6</v>
      </c>
      <c r="P141" s="234">
        <f ca="1">OFFSET($A$1,MATCH(Z137,$A:$A,0)-1,O141)</f>
        <v>7.4</v>
      </c>
      <c r="Q141" s="144" t="s">
        <v>29</v>
      </c>
      <c r="R141" s="118">
        <f t="shared" ca="1" si="24"/>
        <v>295138</v>
      </c>
      <c r="S141" s="118">
        <f t="shared" ca="1" si="24"/>
        <v>2184021</v>
      </c>
      <c r="T141" s="118">
        <f ca="1">중급</f>
        <v>295138</v>
      </c>
      <c r="U141" s="118">
        <f t="shared" ca="1" si="25"/>
        <v>2184021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41</v>
      </c>
      <c r="O142" s="173">
        <v>7</v>
      </c>
      <c r="P142" s="234">
        <f ca="1">OFFSET($A$1,MATCH(Z137,$A:$A,0)-1,O142)</f>
        <v>14.9</v>
      </c>
      <c r="Q142" s="144" t="s">
        <v>29</v>
      </c>
      <c r="R142" s="118">
        <f t="shared" ca="1" si="24"/>
        <v>235459</v>
      </c>
      <c r="S142" s="118">
        <f t="shared" ca="1" si="24"/>
        <v>3508339</v>
      </c>
      <c r="T142" s="118">
        <f ca="1">초급</f>
        <v>235459</v>
      </c>
      <c r="U142" s="118">
        <f t="shared" ca="1" si="25"/>
        <v>3508339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319" t="s">
        <v>42</v>
      </c>
      <c r="O143" s="174">
        <v>8</v>
      </c>
      <c r="P143" s="235">
        <f ca="1">OFFSET($A$1,MATCH(Z137,$A:$A,0)-1,O143)</f>
        <v>14.9</v>
      </c>
      <c r="Q143" s="322" t="s">
        <v>29</v>
      </c>
      <c r="R143" s="323">
        <f t="shared" ca="1" si="24"/>
        <v>250087</v>
      </c>
      <c r="S143" s="323">
        <f t="shared" ca="1" si="24"/>
        <v>3726296</v>
      </c>
      <c r="T143" s="323">
        <f ca="1">보조원</f>
        <v>250087</v>
      </c>
      <c r="U143" s="323">
        <f t="shared" ca="1" si="25"/>
        <v>3726296</v>
      </c>
      <c r="V143" s="323"/>
      <c r="W143" s="323"/>
      <c r="X143" s="323"/>
      <c r="Y143" s="323"/>
      <c r="Z143" s="324"/>
    </row>
    <row r="144" spans="11:26" ht="18" customHeight="1">
      <c r="K144" s="171" t="s">
        <v>14</v>
      </c>
      <c r="L144" s="171"/>
      <c r="M144" s="171"/>
      <c r="N144" s="139" t="s">
        <v>17</v>
      </c>
      <c r="O144" s="68"/>
      <c r="P144" s="69"/>
      <c r="Q144" s="70"/>
      <c r="R144" s="71"/>
      <c r="S144" s="71">
        <f ca="1">SUBTOTAL(9,S138:S143)</f>
        <v>12923943</v>
      </c>
      <c r="T144" s="71"/>
      <c r="U144" s="71">
        <f ca="1">SUBTOTAL(9,U138:U143)</f>
        <v>12923943</v>
      </c>
      <c r="V144" s="71"/>
      <c r="W144" s="71"/>
      <c r="X144" s="71"/>
      <c r="Y144" s="71"/>
      <c r="Z144" s="68"/>
    </row>
    <row r="145" spans="11:26" ht="18" customHeight="1">
      <c r="K145" s="171" t="s">
        <v>14</v>
      </c>
      <c r="L145" s="171"/>
      <c r="M145" s="171"/>
      <c r="N145" s="318" t="str">
        <f ca="1">"제 " &amp; Z145 &amp; " 호표  "&amp; OFFSET($A$1,MATCH(Z145,$A:$A,0)-1,1)</f>
        <v>제 10 호표  1.10. 에너지 공급계획</v>
      </c>
      <c r="O145" s="221"/>
      <c r="P145" s="148"/>
      <c r="Q145" s="148"/>
      <c r="R145" s="149"/>
      <c r="S145" s="149"/>
      <c r="T145" s="149"/>
      <c r="U145" s="149"/>
      <c r="V145" s="149"/>
      <c r="W145" s="149"/>
      <c r="X145" s="149"/>
      <c r="Y145" s="149"/>
      <c r="Z145" s="325">
        <f>Z137+1</f>
        <v>10</v>
      </c>
    </row>
    <row r="146" spans="11:26" ht="18" customHeight="1">
      <c r="K146" s="171" t="s">
        <v>14</v>
      </c>
      <c r="L146" s="171"/>
      <c r="M146" s="171"/>
      <c r="N146" s="140" t="s">
        <v>43</v>
      </c>
      <c r="O146" s="172">
        <v>3</v>
      </c>
      <c r="P146" s="219">
        <f ca="1">OFFSET($A$1,MATCH(Z145,$A:$A,0)-1,O146)</f>
        <v>0.7</v>
      </c>
      <c r="Q146" s="141" t="s">
        <v>29</v>
      </c>
      <c r="R146" s="142">
        <f t="shared" ref="R146:S151" ca="1" si="26">T146</f>
        <v>467217</v>
      </c>
      <c r="S146" s="142">
        <f t="shared" ca="1" si="26"/>
        <v>327051</v>
      </c>
      <c r="T146" s="142">
        <f ca="1">기술사</f>
        <v>467217</v>
      </c>
      <c r="U146" s="142">
        <f t="shared" ref="U146:U151" ca="1" si="27">ROUNDDOWN(P146*R146,0)</f>
        <v>327051</v>
      </c>
      <c r="V146" s="142"/>
      <c r="W146" s="142"/>
      <c r="X146" s="142"/>
      <c r="Y146" s="142"/>
      <c r="Z146" s="114"/>
    </row>
    <row r="147" spans="11:26" ht="18" customHeight="1">
      <c r="K147" s="171" t="s">
        <v>14</v>
      </c>
      <c r="L147" s="171"/>
      <c r="M147" s="171"/>
      <c r="N147" s="143" t="s">
        <v>32</v>
      </c>
      <c r="O147" s="173">
        <v>4</v>
      </c>
      <c r="P147" s="234">
        <f ca="1">OFFSET($A$1,MATCH(Z145,$A:$A,0)-1,O147)</f>
        <v>0.9</v>
      </c>
      <c r="Q147" s="144" t="s">
        <v>29</v>
      </c>
      <c r="R147" s="118">
        <f t="shared" ca="1" si="26"/>
        <v>373353</v>
      </c>
      <c r="S147" s="118">
        <f t="shared" ca="1" si="26"/>
        <v>336017</v>
      </c>
      <c r="T147" s="118">
        <f ca="1">특급</f>
        <v>373353</v>
      </c>
      <c r="U147" s="118">
        <f t="shared" ca="1" si="27"/>
        <v>336017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39</v>
      </c>
      <c r="O148" s="173">
        <v>5</v>
      </c>
      <c r="P148" s="234">
        <f ca="1">OFFSET($A$1,MATCH(Z145,$A:$A,0)-1,O148)</f>
        <v>2.8</v>
      </c>
      <c r="Q148" s="144" t="s">
        <v>29</v>
      </c>
      <c r="R148" s="118">
        <f t="shared" ca="1" si="26"/>
        <v>310884</v>
      </c>
      <c r="S148" s="118">
        <f t="shared" ca="1" si="26"/>
        <v>870475</v>
      </c>
      <c r="T148" s="118">
        <f ca="1">고급</f>
        <v>310884</v>
      </c>
      <c r="U148" s="118">
        <f t="shared" ca="1" si="27"/>
        <v>870475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40</v>
      </c>
      <c r="O149" s="173">
        <v>6</v>
      </c>
      <c r="P149" s="234">
        <f ca="1">OFFSET($A$1,MATCH(Z145,$A:$A,0)-1,O149)</f>
        <v>2.6</v>
      </c>
      <c r="Q149" s="144" t="s">
        <v>29</v>
      </c>
      <c r="R149" s="118">
        <f t="shared" ca="1" si="26"/>
        <v>295138</v>
      </c>
      <c r="S149" s="118">
        <f t="shared" ca="1" si="26"/>
        <v>767358</v>
      </c>
      <c r="T149" s="118">
        <f ca="1">중급</f>
        <v>295138</v>
      </c>
      <c r="U149" s="118">
        <f t="shared" ca="1" si="27"/>
        <v>767358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41</v>
      </c>
      <c r="O150" s="173">
        <v>7</v>
      </c>
      <c r="P150" s="234">
        <f ca="1">OFFSET($A$1,MATCH(Z145,$A:$A,0)-1,O150)</f>
        <v>6.2</v>
      </c>
      <c r="Q150" s="144" t="s">
        <v>29</v>
      </c>
      <c r="R150" s="118">
        <f t="shared" ca="1" si="26"/>
        <v>235459</v>
      </c>
      <c r="S150" s="118">
        <f t="shared" ca="1" si="26"/>
        <v>1459845</v>
      </c>
      <c r="T150" s="118">
        <f ca="1">초급</f>
        <v>235459</v>
      </c>
      <c r="U150" s="118">
        <f t="shared" ca="1" si="27"/>
        <v>1459845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319" t="s">
        <v>42</v>
      </c>
      <c r="O151" s="174">
        <v>8</v>
      </c>
      <c r="P151" s="235">
        <f ca="1">OFFSET($A$1,MATCH(Z145,$A:$A,0)-1,O151)</f>
        <v>10.199999999999999</v>
      </c>
      <c r="Q151" s="322" t="s">
        <v>29</v>
      </c>
      <c r="R151" s="323">
        <f t="shared" ca="1" si="26"/>
        <v>250087</v>
      </c>
      <c r="S151" s="323">
        <f t="shared" ca="1" si="26"/>
        <v>2550887</v>
      </c>
      <c r="T151" s="323">
        <f ca="1">보조원</f>
        <v>250087</v>
      </c>
      <c r="U151" s="323">
        <f t="shared" ca="1" si="27"/>
        <v>2550887</v>
      </c>
      <c r="V151" s="323"/>
      <c r="W151" s="323"/>
      <c r="X151" s="323"/>
      <c r="Y151" s="323"/>
      <c r="Z151" s="324"/>
    </row>
    <row r="152" spans="11:26" ht="18" customHeight="1">
      <c r="K152" s="171" t="s">
        <v>14</v>
      </c>
      <c r="L152" s="171"/>
      <c r="M152" s="171"/>
      <c r="N152" s="139" t="s">
        <v>17</v>
      </c>
      <c r="O152" s="68"/>
      <c r="P152" s="69"/>
      <c r="Q152" s="70"/>
      <c r="R152" s="71"/>
      <c r="S152" s="71">
        <f ca="1">SUBTOTAL(9,S146:S151)</f>
        <v>6311633</v>
      </c>
      <c r="T152" s="71"/>
      <c r="U152" s="71">
        <f ca="1">SUBTOTAL(9,U146:U151)</f>
        <v>6311633</v>
      </c>
      <c r="V152" s="71"/>
      <c r="W152" s="71"/>
      <c r="X152" s="71"/>
      <c r="Y152" s="71"/>
      <c r="Z152" s="68"/>
    </row>
    <row r="153" spans="11:26" ht="18" customHeight="1">
      <c r="K153" s="171" t="s">
        <v>14</v>
      </c>
      <c r="L153" s="171"/>
      <c r="M153" s="171"/>
      <c r="N153" s="318" t="str">
        <f ca="1">"제 " &amp; Z153 &amp; " 호표  "&amp; OFFSET($A$1,MATCH(Z153,$A:$A,0)-1,1)</f>
        <v>제 11 호표  1.11. 공원녹지계획</v>
      </c>
      <c r="O153" s="221"/>
      <c r="P153" s="148"/>
      <c r="Q153" s="148"/>
      <c r="R153" s="149"/>
      <c r="S153" s="149"/>
      <c r="T153" s="149"/>
      <c r="U153" s="149"/>
      <c r="V153" s="149"/>
      <c r="W153" s="149"/>
      <c r="X153" s="149"/>
      <c r="Y153" s="149"/>
      <c r="Z153" s="325">
        <f>Z145+1</f>
        <v>11</v>
      </c>
    </row>
    <row r="154" spans="11:26" ht="18" customHeight="1">
      <c r="K154" s="171" t="s">
        <v>14</v>
      </c>
      <c r="L154" s="171"/>
      <c r="M154" s="171"/>
      <c r="N154" s="140" t="s">
        <v>43</v>
      </c>
      <c r="O154" s="172">
        <v>3</v>
      </c>
      <c r="P154" s="219">
        <f ca="1">OFFSET($A$1,MATCH(Z153,$A:$A,0)-1,O154)</f>
        <v>0.6</v>
      </c>
      <c r="Q154" s="141" t="s">
        <v>29</v>
      </c>
      <c r="R154" s="142">
        <f t="shared" ref="R154:S159" ca="1" si="28">T154</f>
        <v>467217</v>
      </c>
      <c r="S154" s="142">
        <f t="shared" ca="1" si="28"/>
        <v>280330</v>
      </c>
      <c r="T154" s="142">
        <f ca="1">기술사</f>
        <v>467217</v>
      </c>
      <c r="U154" s="142">
        <f t="shared" ref="U154:U159" ca="1" si="29">ROUNDDOWN(P154*R154,0)</f>
        <v>280330</v>
      </c>
      <c r="V154" s="142"/>
      <c r="W154" s="142"/>
      <c r="X154" s="142"/>
      <c r="Y154" s="142"/>
      <c r="Z154" s="114"/>
    </row>
    <row r="155" spans="11:26" ht="18" customHeight="1">
      <c r="K155" s="171" t="s">
        <v>14</v>
      </c>
      <c r="L155" s="171"/>
      <c r="M155" s="171"/>
      <c r="N155" s="143" t="s">
        <v>32</v>
      </c>
      <c r="O155" s="173">
        <v>4</v>
      </c>
      <c r="P155" s="234">
        <f ca="1">OFFSET($A$1,MATCH(Z153,$A:$A,0)-1,O155)</f>
        <v>1</v>
      </c>
      <c r="Q155" s="144" t="s">
        <v>29</v>
      </c>
      <c r="R155" s="118">
        <f t="shared" ca="1" si="28"/>
        <v>373353</v>
      </c>
      <c r="S155" s="118">
        <f t="shared" ca="1" si="28"/>
        <v>373353</v>
      </c>
      <c r="T155" s="118">
        <f ca="1">특급</f>
        <v>373353</v>
      </c>
      <c r="U155" s="118">
        <f t="shared" ca="1" si="29"/>
        <v>373353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39</v>
      </c>
      <c r="O156" s="173">
        <v>5</v>
      </c>
      <c r="P156" s="234">
        <f ca="1">OFFSET($A$1,MATCH(Z153,$A:$A,0)-1,O156)</f>
        <v>4.8</v>
      </c>
      <c r="Q156" s="144" t="s">
        <v>29</v>
      </c>
      <c r="R156" s="118">
        <f t="shared" ca="1" si="28"/>
        <v>310884</v>
      </c>
      <c r="S156" s="118">
        <f t="shared" ca="1" si="28"/>
        <v>1492243</v>
      </c>
      <c r="T156" s="118">
        <f ca="1">고급</f>
        <v>310884</v>
      </c>
      <c r="U156" s="118">
        <f t="shared" ca="1" si="29"/>
        <v>1492243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40</v>
      </c>
      <c r="O157" s="173">
        <v>6</v>
      </c>
      <c r="P157" s="234">
        <f ca="1">OFFSET($A$1,MATCH(Z153,$A:$A,0)-1,O157)</f>
        <v>4.8</v>
      </c>
      <c r="Q157" s="144" t="s">
        <v>29</v>
      </c>
      <c r="R157" s="118">
        <f t="shared" ca="1" si="28"/>
        <v>295138</v>
      </c>
      <c r="S157" s="118">
        <f t="shared" ca="1" si="28"/>
        <v>1416662</v>
      </c>
      <c r="T157" s="118">
        <f ca="1">중급</f>
        <v>295138</v>
      </c>
      <c r="U157" s="118">
        <f t="shared" ca="1" si="29"/>
        <v>1416662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41</v>
      </c>
      <c r="O158" s="173">
        <v>7</v>
      </c>
      <c r="P158" s="234">
        <f ca="1">OFFSET($A$1,MATCH(Z153,$A:$A,0)-1,O158)</f>
        <v>7.9</v>
      </c>
      <c r="Q158" s="144" t="s">
        <v>29</v>
      </c>
      <c r="R158" s="118">
        <f t="shared" ca="1" si="28"/>
        <v>235459</v>
      </c>
      <c r="S158" s="118">
        <f t="shared" ca="1" si="28"/>
        <v>1860126</v>
      </c>
      <c r="T158" s="118">
        <f ca="1">초급</f>
        <v>235459</v>
      </c>
      <c r="U158" s="118">
        <f t="shared" ca="1" si="29"/>
        <v>1860126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319" t="s">
        <v>42</v>
      </c>
      <c r="O159" s="174">
        <v>8</v>
      </c>
      <c r="P159" s="235">
        <f ca="1">OFFSET($A$1,MATCH(Z153,$A:$A,0)-1,O159)</f>
        <v>11.9</v>
      </c>
      <c r="Q159" s="322" t="s">
        <v>29</v>
      </c>
      <c r="R159" s="323">
        <f t="shared" ca="1" si="28"/>
        <v>250087</v>
      </c>
      <c r="S159" s="323">
        <f t="shared" ca="1" si="28"/>
        <v>2976035</v>
      </c>
      <c r="T159" s="323">
        <f ca="1">보조원</f>
        <v>250087</v>
      </c>
      <c r="U159" s="323">
        <f t="shared" ca="1" si="29"/>
        <v>2976035</v>
      </c>
      <c r="V159" s="323"/>
      <c r="W159" s="323"/>
      <c r="X159" s="323"/>
      <c r="Y159" s="323"/>
      <c r="Z159" s="324"/>
    </row>
    <row r="160" spans="11:26" ht="18" customHeight="1">
      <c r="K160" s="171" t="s">
        <v>14</v>
      </c>
      <c r="L160" s="171"/>
      <c r="M160" s="171"/>
      <c r="N160" s="139" t="s">
        <v>17</v>
      </c>
      <c r="O160" s="68"/>
      <c r="P160" s="69"/>
      <c r="Q160" s="70"/>
      <c r="R160" s="71"/>
      <c r="S160" s="71">
        <f ca="1">SUBTOTAL(9,S154:S159)</f>
        <v>8398749</v>
      </c>
      <c r="T160" s="71"/>
      <c r="U160" s="71">
        <f ca="1">SUBTOTAL(9,U154:U159)</f>
        <v>8398749</v>
      </c>
      <c r="V160" s="71"/>
      <c r="W160" s="71"/>
      <c r="X160" s="71"/>
      <c r="Y160" s="71"/>
      <c r="Z160" s="68"/>
    </row>
    <row r="161" spans="11:26" ht="18" customHeight="1">
      <c r="K161" s="171" t="s">
        <v>14</v>
      </c>
      <c r="L161" s="171"/>
      <c r="M161" s="171"/>
      <c r="N161" s="318" t="str">
        <f ca="1">"제 " &amp; Z161 &amp; " 호표  "&amp; OFFSET($A$1,MATCH(Z161,$A:$A,0)-1,1)</f>
        <v>제 12 호표  1.12. 친환경계획</v>
      </c>
      <c r="O161" s="221"/>
      <c r="P161" s="148"/>
      <c r="Q161" s="148"/>
      <c r="R161" s="149"/>
      <c r="S161" s="149"/>
      <c r="T161" s="149"/>
      <c r="U161" s="149"/>
      <c r="V161" s="149"/>
      <c r="W161" s="149"/>
      <c r="X161" s="149"/>
      <c r="Y161" s="149"/>
      <c r="Z161" s="325">
        <f>Z153+1</f>
        <v>12</v>
      </c>
    </row>
    <row r="162" spans="11:26" ht="18" customHeight="1">
      <c r="K162" s="171" t="s">
        <v>14</v>
      </c>
      <c r="L162" s="171"/>
      <c r="M162" s="171"/>
      <c r="N162" s="140" t="s">
        <v>43</v>
      </c>
      <c r="O162" s="172">
        <v>3</v>
      </c>
      <c r="P162" s="219">
        <f ca="1">OFFSET($A$1,MATCH(Z161,$A:$A,0)-1,O162)</f>
        <v>0.6</v>
      </c>
      <c r="Q162" s="141" t="s">
        <v>29</v>
      </c>
      <c r="R162" s="142">
        <f t="shared" ref="R162:S167" ca="1" si="30">T162</f>
        <v>467217</v>
      </c>
      <c r="S162" s="142">
        <f t="shared" ca="1" si="30"/>
        <v>280330</v>
      </c>
      <c r="T162" s="142">
        <f ca="1">기술사</f>
        <v>467217</v>
      </c>
      <c r="U162" s="142">
        <f t="shared" ref="U162:U167" ca="1" si="31">ROUNDDOWN(P162*R162,0)</f>
        <v>280330</v>
      </c>
      <c r="V162" s="142"/>
      <c r="W162" s="142"/>
      <c r="X162" s="142"/>
      <c r="Y162" s="142"/>
      <c r="Z162" s="114"/>
    </row>
    <row r="163" spans="11:26" ht="18" customHeight="1">
      <c r="K163" s="171" t="s">
        <v>14</v>
      </c>
      <c r="L163" s="171"/>
      <c r="M163" s="171"/>
      <c r="N163" s="143" t="s">
        <v>32</v>
      </c>
      <c r="O163" s="173">
        <v>4</v>
      </c>
      <c r="P163" s="234">
        <f ca="1">OFFSET($A$1,MATCH(Z161,$A:$A,0)-1,O163)</f>
        <v>1.2</v>
      </c>
      <c r="Q163" s="144" t="s">
        <v>29</v>
      </c>
      <c r="R163" s="118">
        <f t="shared" ca="1" si="30"/>
        <v>373353</v>
      </c>
      <c r="S163" s="118">
        <f t="shared" ca="1" si="30"/>
        <v>448023</v>
      </c>
      <c r="T163" s="118">
        <f ca="1">특급</f>
        <v>373353</v>
      </c>
      <c r="U163" s="118">
        <f t="shared" ca="1" si="31"/>
        <v>448023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39</v>
      </c>
      <c r="O164" s="173">
        <v>5</v>
      </c>
      <c r="P164" s="234">
        <f ca="1">OFFSET($A$1,MATCH(Z161,$A:$A,0)-1,O164)</f>
        <v>4</v>
      </c>
      <c r="Q164" s="144" t="s">
        <v>29</v>
      </c>
      <c r="R164" s="118">
        <f t="shared" ca="1" si="30"/>
        <v>310884</v>
      </c>
      <c r="S164" s="118">
        <f t="shared" ca="1" si="30"/>
        <v>1243536</v>
      </c>
      <c r="T164" s="118">
        <f ca="1">고급</f>
        <v>310884</v>
      </c>
      <c r="U164" s="118">
        <f t="shared" ca="1" si="31"/>
        <v>1243536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40</v>
      </c>
      <c r="O165" s="173">
        <v>6</v>
      </c>
      <c r="P165" s="234">
        <f ca="1">OFFSET($A$1,MATCH(Z161,$A:$A,0)-1,O165)</f>
        <v>3.3</v>
      </c>
      <c r="Q165" s="144" t="s">
        <v>29</v>
      </c>
      <c r="R165" s="118">
        <f t="shared" ca="1" si="30"/>
        <v>295138</v>
      </c>
      <c r="S165" s="118">
        <f t="shared" ca="1" si="30"/>
        <v>973955</v>
      </c>
      <c r="T165" s="118">
        <f ca="1">중급</f>
        <v>295138</v>
      </c>
      <c r="U165" s="118">
        <f t="shared" ca="1" si="31"/>
        <v>973955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41</v>
      </c>
      <c r="O166" s="173">
        <v>7</v>
      </c>
      <c r="P166" s="234">
        <f ca="1">OFFSET($A$1,MATCH(Z161,$A:$A,0)-1,O166)</f>
        <v>11</v>
      </c>
      <c r="Q166" s="144" t="s">
        <v>29</v>
      </c>
      <c r="R166" s="118">
        <f t="shared" ca="1" si="30"/>
        <v>235459</v>
      </c>
      <c r="S166" s="118">
        <f t="shared" ca="1" si="30"/>
        <v>2590049</v>
      </c>
      <c r="T166" s="118">
        <f ca="1">초급</f>
        <v>235459</v>
      </c>
      <c r="U166" s="118">
        <f t="shared" ca="1" si="31"/>
        <v>2590049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319" t="s">
        <v>42</v>
      </c>
      <c r="O167" s="174">
        <v>8</v>
      </c>
      <c r="P167" s="235">
        <f ca="1">OFFSET($A$1,MATCH(Z161,$A:$A,0)-1,O167)</f>
        <v>14.5</v>
      </c>
      <c r="Q167" s="322" t="s">
        <v>29</v>
      </c>
      <c r="R167" s="323">
        <f t="shared" ca="1" si="30"/>
        <v>250087</v>
      </c>
      <c r="S167" s="323">
        <f t="shared" ca="1" si="30"/>
        <v>3626261</v>
      </c>
      <c r="T167" s="323">
        <f ca="1">보조원</f>
        <v>250087</v>
      </c>
      <c r="U167" s="323">
        <f t="shared" ca="1" si="31"/>
        <v>3626261</v>
      </c>
      <c r="V167" s="323"/>
      <c r="W167" s="323"/>
      <c r="X167" s="323"/>
      <c r="Y167" s="323"/>
      <c r="Z167" s="324"/>
    </row>
    <row r="168" spans="11:26" ht="18" customHeight="1">
      <c r="K168" s="171" t="s">
        <v>14</v>
      </c>
      <c r="L168" s="171"/>
      <c r="M168" s="171"/>
      <c r="N168" s="139" t="s">
        <v>17</v>
      </c>
      <c r="O168" s="68"/>
      <c r="P168" s="69"/>
      <c r="Q168" s="70"/>
      <c r="R168" s="71"/>
      <c r="S168" s="71">
        <f ca="1">SUBTOTAL(9,S162:S167)</f>
        <v>9162154</v>
      </c>
      <c r="T168" s="71"/>
      <c r="U168" s="71">
        <f ca="1">SUBTOTAL(9,U162:U167)</f>
        <v>9162154</v>
      </c>
      <c r="V168" s="71"/>
      <c r="W168" s="71"/>
      <c r="X168" s="71"/>
      <c r="Y168" s="71"/>
      <c r="Z168" s="68"/>
    </row>
    <row r="169" spans="11:26" ht="18" customHeight="1">
      <c r="K169" s="171" t="s">
        <v>14</v>
      </c>
      <c r="L169" s="171"/>
      <c r="M169" s="171"/>
      <c r="N169" s="318" t="str">
        <f ca="1">"제 " &amp; Z169 &amp; " 호표  "&amp; OFFSET($A$1,MATCH(Z169,$A:$A,0)-1,1)</f>
        <v>제 13 호표  1.13. 택지공급계획</v>
      </c>
      <c r="O169" s="221"/>
      <c r="P169" s="148"/>
      <c r="Q169" s="148"/>
      <c r="R169" s="149"/>
      <c r="S169" s="149"/>
      <c r="T169" s="149"/>
      <c r="U169" s="149"/>
      <c r="V169" s="149"/>
      <c r="W169" s="149"/>
      <c r="X169" s="149"/>
      <c r="Y169" s="149"/>
      <c r="Z169" s="325">
        <f>Z161+1</f>
        <v>13</v>
      </c>
    </row>
    <row r="170" spans="11:26" ht="18" customHeight="1">
      <c r="K170" s="171" t="s">
        <v>14</v>
      </c>
      <c r="L170" s="171"/>
      <c r="M170" s="171"/>
      <c r="N170" s="140" t="s">
        <v>43</v>
      </c>
      <c r="O170" s="172">
        <v>3</v>
      </c>
      <c r="P170" s="219">
        <f ca="1">OFFSET($A$1,MATCH(Z169,$A:$A,0)-1,O170)</f>
        <v>0.5</v>
      </c>
      <c r="Q170" s="141" t="s">
        <v>29</v>
      </c>
      <c r="R170" s="142">
        <f t="shared" ref="R170:S175" ca="1" si="32">T170</f>
        <v>467217</v>
      </c>
      <c r="S170" s="142">
        <f t="shared" ca="1" si="32"/>
        <v>233608</v>
      </c>
      <c r="T170" s="142">
        <f ca="1">기술사</f>
        <v>467217</v>
      </c>
      <c r="U170" s="142">
        <f t="shared" ref="U170:U175" ca="1" si="33">ROUNDDOWN(P170*R170,0)</f>
        <v>233608</v>
      </c>
      <c r="V170" s="142"/>
      <c r="W170" s="142"/>
      <c r="X170" s="142"/>
      <c r="Y170" s="142"/>
      <c r="Z170" s="114"/>
    </row>
    <row r="171" spans="11:26" ht="18" customHeight="1">
      <c r="K171" s="171" t="s">
        <v>14</v>
      </c>
      <c r="L171" s="171"/>
      <c r="M171" s="171"/>
      <c r="N171" s="143" t="s">
        <v>32</v>
      </c>
      <c r="O171" s="173">
        <v>4</v>
      </c>
      <c r="P171" s="234">
        <f ca="1">OFFSET($A$1,MATCH(Z169,$A:$A,0)-1,O171)</f>
        <v>1</v>
      </c>
      <c r="Q171" s="144" t="s">
        <v>29</v>
      </c>
      <c r="R171" s="118">
        <f t="shared" ca="1" si="32"/>
        <v>373353</v>
      </c>
      <c r="S171" s="118">
        <f t="shared" ca="1" si="32"/>
        <v>373353</v>
      </c>
      <c r="T171" s="118">
        <f ca="1">특급</f>
        <v>373353</v>
      </c>
      <c r="U171" s="118">
        <f t="shared" ca="1" si="33"/>
        <v>373353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39</v>
      </c>
      <c r="O172" s="173">
        <v>5</v>
      </c>
      <c r="P172" s="234">
        <f ca="1">OFFSET($A$1,MATCH(Z169,$A:$A,0)-1,O172)</f>
        <v>3</v>
      </c>
      <c r="Q172" s="144" t="s">
        <v>29</v>
      </c>
      <c r="R172" s="118">
        <f t="shared" ca="1" si="32"/>
        <v>310884</v>
      </c>
      <c r="S172" s="118">
        <f t="shared" ca="1" si="32"/>
        <v>932652</v>
      </c>
      <c r="T172" s="118">
        <f ca="1">고급</f>
        <v>310884</v>
      </c>
      <c r="U172" s="118">
        <f t="shared" ca="1" si="33"/>
        <v>932652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40</v>
      </c>
      <c r="O173" s="173">
        <v>6</v>
      </c>
      <c r="P173" s="234">
        <f ca="1">OFFSET($A$1,MATCH(Z169,$A:$A,0)-1,O173)</f>
        <v>3</v>
      </c>
      <c r="Q173" s="144" t="s">
        <v>29</v>
      </c>
      <c r="R173" s="118">
        <f t="shared" ca="1" si="32"/>
        <v>295138</v>
      </c>
      <c r="S173" s="118">
        <f t="shared" ca="1" si="32"/>
        <v>885414</v>
      </c>
      <c r="T173" s="118">
        <f ca="1">중급</f>
        <v>295138</v>
      </c>
      <c r="U173" s="118">
        <f t="shared" ca="1" si="33"/>
        <v>885414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41</v>
      </c>
      <c r="O174" s="173">
        <v>7</v>
      </c>
      <c r="P174" s="234">
        <f ca="1">OFFSET($A$1,MATCH(Z169,$A:$A,0)-1,O174)</f>
        <v>6.7</v>
      </c>
      <c r="Q174" s="144" t="s">
        <v>29</v>
      </c>
      <c r="R174" s="118">
        <f t="shared" ca="1" si="32"/>
        <v>235459</v>
      </c>
      <c r="S174" s="118">
        <f t="shared" ca="1" si="32"/>
        <v>1577575</v>
      </c>
      <c r="T174" s="118">
        <f ca="1">초급</f>
        <v>235459</v>
      </c>
      <c r="U174" s="118">
        <f t="shared" ca="1" si="33"/>
        <v>1577575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319" t="s">
        <v>42</v>
      </c>
      <c r="O175" s="174">
        <v>8</v>
      </c>
      <c r="P175" s="235">
        <f ca="1">OFFSET($A$1,MATCH(Z169,$A:$A,0)-1,O175)</f>
        <v>11.3</v>
      </c>
      <c r="Q175" s="322" t="s">
        <v>29</v>
      </c>
      <c r="R175" s="323">
        <f t="shared" ca="1" si="32"/>
        <v>250087</v>
      </c>
      <c r="S175" s="323">
        <f t="shared" ca="1" si="32"/>
        <v>2825983</v>
      </c>
      <c r="T175" s="323">
        <f ca="1">보조원</f>
        <v>250087</v>
      </c>
      <c r="U175" s="323">
        <f t="shared" ca="1" si="33"/>
        <v>2825983</v>
      </c>
      <c r="V175" s="323"/>
      <c r="W175" s="323"/>
      <c r="X175" s="323"/>
      <c r="Y175" s="323"/>
      <c r="Z175" s="324"/>
    </row>
    <row r="176" spans="11:26" ht="18" customHeight="1">
      <c r="K176" s="171" t="s">
        <v>14</v>
      </c>
      <c r="L176" s="171"/>
      <c r="M176" s="171"/>
      <c r="N176" s="139" t="s">
        <v>17</v>
      </c>
      <c r="O176" s="68"/>
      <c r="P176" s="69"/>
      <c r="Q176" s="70"/>
      <c r="R176" s="71"/>
      <c r="S176" s="71">
        <f ca="1">SUBTOTAL(9,S170:S175)</f>
        <v>6828585</v>
      </c>
      <c r="T176" s="71"/>
      <c r="U176" s="71">
        <f ca="1">SUBTOTAL(9,U170:U175)</f>
        <v>6828585</v>
      </c>
      <c r="V176" s="71"/>
      <c r="W176" s="71"/>
      <c r="X176" s="71"/>
      <c r="Y176" s="71"/>
      <c r="Z176" s="68"/>
    </row>
    <row r="177" spans="11:26" ht="18" customHeight="1">
      <c r="K177" s="171" t="s">
        <v>14</v>
      </c>
      <c r="L177" s="171"/>
      <c r="M177" s="171"/>
      <c r="N177" s="318" t="str">
        <f ca="1">"제 " &amp; Z177 &amp; " 호표  "&amp; OFFSET($A$1,MATCH(Z177,$A:$A,0)-1,1)</f>
        <v>제 14 호표  1.14. 재원조달 및 자금투자계획</v>
      </c>
      <c r="O177" s="221"/>
      <c r="P177" s="148"/>
      <c r="Q177" s="148"/>
      <c r="R177" s="149"/>
      <c r="S177" s="149"/>
      <c r="T177" s="149"/>
      <c r="U177" s="149"/>
      <c r="V177" s="149"/>
      <c r="W177" s="149"/>
      <c r="X177" s="149"/>
      <c r="Y177" s="149"/>
      <c r="Z177" s="325">
        <f>Z169+1</f>
        <v>14</v>
      </c>
    </row>
    <row r="178" spans="11:26" ht="18" customHeight="1">
      <c r="K178" s="171" t="s">
        <v>14</v>
      </c>
      <c r="L178" s="171"/>
      <c r="M178" s="171"/>
      <c r="N178" s="140" t="s">
        <v>43</v>
      </c>
      <c r="O178" s="172">
        <v>3</v>
      </c>
      <c r="P178" s="219">
        <f ca="1">OFFSET($A$1,MATCH(Z177,$A:$A,0)-1,O178)</f>
        <v>0.3</v>
      </c>
      <c r="Q178" s="141" t="s">
        <v>29</v>
      </c>
      <c r="R178" s="142">
        <f t="shared" ref="R178:S183" ca="1" si="34">T178</f>
        <v>467217</v>
      </c>
      <c r="S178" s="142">
        <f t="shared" ca="1" si="34"/>
        <v>140165</v>
      </c>
      <c r="T178" s="142">
        <f ca="1">기술사</f>
        <v>467217</v>
      </c>
      <c r="U178" s="142">
        <f t="shared" ref="U178:U183" ca="1" si="35">ROUNDDOWN(P178*R178,0)</f>
        <v>140165</v>
      </c>
      <c r="V178" s="142"/>
      <c r="W178" s="142"/>
      <c r="X178" s="142"/>
      <c r="Y178" s="142"/>
      <c r="Z178" s="114"/>
    </row>
    <row r="179" spans="11:26" ht="18" customHeight="1">
      <c r="K179" s="171" t="s">
        <v>14</v>
      </c>
      <c r="L179" s="171"/>
      <c r="M179" s="171"/>
      <c r="N179" s="143" t="s">
        <v>32</v>
      </c>
      <c r="O179" s="173">
        <v>4</v>
      </c>
      <c r="P179" s="234">
        <f ca="1">OFFSET($A$1,MATCH(Z177,$A:$A,0)-1,O179)</f>
        <v>2</v>
      </c>
      <c r="Q179" s="144" t="s">
        <v>29</v>
      </c>
      <c r="R179" s="118">
        <f t="shared" ca="1" si="34"/>
        <v>373353</v>
      </c>
      <c r="S179" s="118">
        <f t="shared" ca="1" si="34"/>
        <v>746706</v>
      </c>
      <c r="T179" s="118">
        <f ca="1">특급</f>
        <v>373353</v>
      </c>
      <c r="U179" s="118">
        <f t="shared" ca="1" si="35"/>
        <v>746706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39</v>
      </c>
      <c r="O180" s="173">
        <v>5</v>
      </c>
      <c r="P180" s="234">
        <f ca="1">OFFSET($A$1,MATCH(Z177,$A:$A,0)-1,O180)</f>
        <v>7.5</v>
      </c>
      <c r="Q180" s="144" t="s">
        <v>29</v>
      </c>
      <c r="R180" s="118">
        <f t="shared" ca="1" si="34"/>
        <v>310884</v>
      </c>
      <c r="S180" s="118">
        <f t="shared" ca="1" si="34"/>
        <v>2331630</v>
      </c>
      <c r="T180" s="118">
        <f ca="1">고급</f>
        <v>310884</v>
      </c>
      <c r="U180" s="118">
        <f t="shared" ca="1" si="35"/>
        <v>2331630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40</v>
      </c>
      <c r="O181" s="173">
        <v>6</v>
      </c>
      <c r="P181" s="234">
        <f ca="1">OFFSET($A$1,MATCH(Z177,$A:$A,0)-1,O181)</f>
        <v>7.1</v>
      </c>
      <c r="Q181" s="144" t="s">
        <v>29</v>
      </c>
      <c r="R181" s="118">
        <f t="shared" ca="1" si="34"/>
        <v>295138</v>
      </c>
      <c r="S181" s="118">
        <f t="shared" ca="1" si="34"/>
        <v>2095479</v>
      </c>
      <c r="T181" s="118">
        <f ca="1">중급</f>
        <v>295138</v>
      </c>
      <c r="U181" s="118">
        <f t="shared" ca="1" si="35"/>
        <v>2095479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41</v>
      </c>
      <c r="O182" s="173">
        <v>7</v>
      </c>
      <c r="P182" s="234">
        <f ca="1">OFFSET($A$1,MATCH(Z177,$A:$A,0)-1,O182)</f>
        <v>15.8</v>
      </c>
      <c r="Q182" s="144" t="s">
        <v>29</v>
      </c>
      <c r="R182" s="118">
        <f t="shared" ca="1" si="34"/>
        <v>235459</v>
      </c>
      <c r="S182" s="118">
        <f t="shared" ca="1" si="34"/>
        <v>3720252</v>
      </c>
      <c r="T182" s="118">
        <f ca="1">초급</f>
        <v>235459</v>
      </c>
      <c r="U182" s="118">
        <f t="shared" ca="1" si="35"/>
        <v>3720252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319" t="s">
        <v>42</v>
      </c>
      <c r="O183" s="174">
        <v>8</v>
      </c>
      <c r="P183" s="235">
        <f ca="1">OFFSET($A$1,MATCH(Z177,$A:$A,0)-1,O183)</f>
        <v>16.899999999999999</v>
      </c>
      <c r="Q183" s="322" t="s">
        <v>29</v>
      </c>
      <c r="R183" s="323">
        <f t="shared" ca="1" si="34"/>
        <v>250087</v>
      </c>
      <c r="S183" s="323">
        <f t="shared" ca="1" si="34"/>
        <v>4226470</v>
      </c>
      <c r="T183" s="323">
        <f ca="1">보조원</f>
        <v>250087</v>
      </c>
      <c r="U183" s="323">
        <f t="shared" ca="1" si="35"/>
        <v>4226470</v>
      </c>
      <c r="V183" s="323"/>
      <c r="W183" s="323"/>
      <c r="X183" s="323"/>
      <c r="Y183" s="323"/>
      <c r="Z183" s="324"/>
    </row>
    <row r="184" spans="11:26" ht="18" customHeight="1">
      <c r="K184" s="171" t="s">
        <v>14</v>
      </c>
      <c r="L184" s="171"/>
      <c r="M184" s="171"/>
      <c r="N184" s="139" t="s">
        <v>17</v>
      </c>
      <c r="O184" s="68"/>
      <c r="P184" s="69"/>
      <c r="Q184" s="70"/>
      <c r="R184" s="71"/>
      <c r="S184" s="71">
        <f ca="1">SUBTOTAL(9,S178:S183)</f>
        <v>13260702</v>
      </c>
      <c r="T184" s="71"/>
      <c r="U184" s="71">
        <f ca="1">SUBTOTAL(9,U178:U183)</f>
        <v>13260702</v>
      </c>
      <c r="V184" s="71"/>
      <c r="W184" s="71"/>
      <c r="X184" s="71"/>
      <c r="Y184" s="71"/>
      <c r="Z184" s="68"/>
    </row>
    <row r="185" spans="11:26" ht="18" customHeight="1">
      <c r="K185" s="171" t="s">
        <v>14</v>
      </c>
      <c r="L185" s="171"/>
      <c r="M185" s="171"/>
      <c r="N185" s="318" t="str">
        <f ca="1">"제 " &amp; Z185 &amp; " 호표  "&amp; OFFSET($A$1,MATCH(Z185,$A:$A,0)-1,1)</f>
        <v>제 15 호표  1.15. 운영관리계획</v>
      </c>
      <c r="O185" s="221"/>
      <c r="P185" s="148"/>
      <c r="Q185" s="148"/>
      <c r="R185" s="149"/>
      <c r="S185" s="149"/>
      <c r="T185" s="149"/>
      <c r="U185" s="149"/>
      <c r="V185" s="149"/>
      <c r="W185" s="149"/>
      <c r="X185" s="149"/>
      <c r="Y185" s="149"/>
      <c r="Z185" s="325">
        <f>Z177+1</f>
        <v>15</v>
      </c>
    </row>
    <row r="186" spans="11:26" ht="18" customHeight="1">
      <c r="K186" s="171" t="s">
        <v>14</v>
      </c>
      <c r="L186" s="171"/>
      <c r="M186" s="171"/>
      <c r="N186" s="140" t="s">
        <v>43</v>
      </c>
      <c r="O186" s="172">
        <v>3</v>
      </c>
      <c r="P186" s="219">
        <f ca="1">OFFSET($A$1,MATCH(Z185,$A:$A,0)-1,O186)</f>
        <v>0.3</v>
      </c>
      <c r="Q186" s="141" t="s">
        <v>29</v>
      </c>
      <c r="R186" s="142">
        <f t="shared" ref="R186:S191" ca="1" si="36">T186</f>
        <v>467217</v>
      </c>
      <c r="S186" s="142">
        <f t="shared" ca="1" si="36"/>
        <v>140165</v>
      </c>
      <c r="T186" s="142">
        <f ca="1">기술사</f>
        <v>467217</v>
      </c>
      <c r="U186" s="142">
        <f t="shared" ref="U186:U191" ca="1" si="37">ROUNDDOWN(P186*R186,0)</f>
        <v>140165</v>
      </c>
      <c r="V186" s="142"/>
      <c r="W186" s="142"/>
      <c r="X186" s="142"/>
      <c r="Y186" s="142"/>
      <c r="Z186" s="114"/>
    </row>
    <row r="187" spans="11:26" ht="18" customHeight="1">
      <c r="K187" s="171" t="s">
        <v>14</v>
      </c>
      <c r="L187" s="171"/>
      <c r="M187" s="171"/>
      <c r="N187" s="143" t="s">
        <v>32</v>
      </c>
      <c r="O187" s="173">
        <v>4</v>
      </c>
      <c r="P187" s="234">
        <f ca="1">OFFSET($A$1,MATCH(Z185,$A:$A,0)-1,O187)</f>
        <v>1</v>
      </c>
      <c r="Q187" s="144" t="s">
        <v>29</v>
      </c>
      <c r="R187" s="118">
        <f t="shared" ca="1" si="36"/>
        <v>373353</v>
      </c>
      <c r="S187" s="118">
        <f t="shared" ca="1" si="36"/>
        <v>373353</v>
      </c>
      <c r="T187" s="118">
        <f ca="1">특급</f>
        <v>373353</v>
      </c>
      <c r="U187" s="118">
        <f t="shared" ca="1" si="37"/>
        <v>373353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39</v>
      </c>
      <c r="O188" s="173">
        <v>5</v>
      </c>
      <c r="P188" s="234">
        <f ca="1">OFFSET($A$1,MATCH(Z185,$A:$A,0)-1,O188)</f>
        <v>2.6</v>
      </c>
      <c r="Q188" s="144" t="s">
        <v>29</v>
      </c>
      <c r="R188" s="118">
        <f t="shared" ca="1" si="36"/>
        <v>310884</v>
      </c>
      <c r="S188" s="118">
        <f t="shared" ca="1" si="36"/>
        <v>808298</v>
      </c>
      <c r="T188" s="118">
        <f ca="1">고급</f>
        <v>310884</v>
      </c>
      <c r="U188" s="118">
        <f t="shared" ca="1" si="37"/>
        <v>808298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40</v>
      </c>
      <c r="O189" s="173">
        <v>6</v>
      </c>
      <c r="P189" s="234">
        <f ca="1">OFFSET($A$1,MATCH(Z185,$A:$A,0)-1,O189)</f>
        <v>4</v>
      </c>
      <c r="Q189" s="144" t="s">
        <v>29</v>
      </c>
      <c r="R189" s="118">
        <f t="shared" ca="1" si="36"/>
        <v>295138</v>
      </c>
      <c r="S189" s="118">
        <f t="shared" ca="1" si="36"/>
        <v>1180552</v>
      </c>
      <c r="T189" s="118">
        <f ca="1">중급</f>
        <v>295138</v>
      </c>
      <c r="U189" s="118">
        <f t="shared" ca="1" si="37"/>
        <v>1180552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41</v>
      </c>
      <c r="O190" s="173">
        <v>7</v>
      </c>
      <c r="P190" s="234">
        <f ca="1">OFFSET($A$1,MATCH(Z185,$A:$A,0)-1,O190)</f>
        <v>6.6</v>
      </c>
      <c r="Q190" s="144" t="s">
        <v>29</v>
      </c>
      <c r="R190" s="118">
        <f t="shared" ca="1" si="36"/>
        <v>235459</v>
      </c>
      <c r="S190" s="118">
        <f t="shared" ca="1" si="36"/>
        <v>1554029</v>
      </c>
      <c r="T190" s="118">
        <f ca="1">초급</f>
        <v>235459</v>
      </c>
      <c r="U190" s="118">
        <f t="shared" ca="1" si="37"/>
        <v>1554029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319" t="s">
        <v>42</v>
      </c>
      <c r="O191" s="174">
        <v>8</v>
      </c>
      <c r="P191" s="235">
        <f ca="1">OFFSET($A$1,MATCH(Z185,$A:$A,0)-1,O191)</f>
        <v>9.9</v>
      </c>
      <c r="Q191" s="322" t="s">
        <v>29</v>
      </c>
      <c r="R191" s="323">
        <f t="shared" ca="1" si="36"/>
        <v>250087</v>
      </c>
      <c r="S191" s="323">
        <f t="shared" ca="1" si="36"/>
        <v>2475861</v>
      </c>
      <c r="T191" s="323">
        <f ca="1">보조원</f>
        <v>250087</v>
      </c>
      <c r="U191" s="323">
        <f t="shared" ca="1" si="37"/>
        <v>2475861</v>
      </c>
      <c r="V191" s="323"/>
      <c r="W191" s="323"/>
      <c r="X191" s="323"/>
      <c r="Y191" s="323"/>
      <c r="Z191" s="324"/>
    </row>
    <row r="192" spans="11:26" ht="18" customHeight="1">
      <c r="K192" s="171" t="s">
        <v>14</v>
      </c>
      <c r="L192" s="171"/>
      <c r="M192" s="171"/>
      <c r="N192" s="139" t="s">
        <v>17</v>
      </c>
      <c r="O192" s="68"/>
      <c r="P192" s="69"/>
      <c r="Q192" s="70"/>
      <c r="R192" s="71"/>
      <c r="S192" s="71">
        <f ca="1">SUBTOTAL(9,S186:S191)</f>
        <v>6532258</v>
      </c>
      <c r="T192" s="71"/>
      <c r="U192" s="71">
        <f ca="1">SUBTOTAL(9,U186:U191)</f>
        <v>6532258</v>
      </c>
      <c r="V192" s="71"/>
      <c r="W192" s="71"/>
      <c r="X192" s="71"/>
      <c r="Y192" s="71"/>
      <c r="Z192" s="68"/>
    </row>
    <row r="193" spans="11:26" ht="18" customHeight="1">
      <c r="K193" s="171" t="s">
        <v>14</v>
      </c>
      <c r="L193" s="171"/>
      <c r="M193" s="171"/>
      <c r="N193" s="318" t="str">
        <f ca="1">"제 " &amp; Z193 &amp; " 호표  "&amp; OFFSET($A$1,MATCH(Z193,$A:$A,0)-1,1)</f>
        <v>제 16 호표  1.16. 개발계획 승인도서 작성</v>
      </c>
      <c r="O193" s="221"/>
      <c r="P193" s="148"/>
      <c r="Q193" s="148"/>
      <c r="R193" s="149"/>
      <c r="S193" s="149"/>
      <c r="T193" s="149"/>
      <c r="U193" s="149"/>
      <c r="V193" s="149"/>
      <c r="W193" s="149"/>
      <c r="X193" s="149"/>
      <c r="Y193" s="149"/>
      <c r="Z193" s="325">
        <f>Z185+1</f>
        <v>16</v>
      </c>
    </row>
    <row r="194" spans="11:26" ht="18" customHeight="1">
      <c r="K194" s="171" t="s">
        <v>14</v>
      </c>
      <c r="L194" s="171"/>
      <c r="M194" s="171"/>
      <c r="N194" s="140" t="s">
        <v>43</v>
      </c>
      <c r="O194" s="172">
        <v>3</v>
      </c>
      <c r="P194" s="219">
        <f ca="1">OFFSET($A$1,MATCH(Z193,$A:$A,0)-1,O194)</f>
        <v>1.2</v>
      </c>
      <c r="Q194" s="141" t="s">
        <v>29</v>
      </c>
      <c r="R194" s="142">
        <f t="shared" ref="R194:S199" ca="1" si="38">T194</f>
        <v>467217</v>
      </c>
      <c r="S194" s="142">
        <f t="shared" ca="1" si="38"/>
        <v>560660</v>
      </c>
      <c r="T194" s="142">
        <f ca="1">기술사</f>
        <v>467217</v>
      </c>
      <c r="U194" s="142">
        <f t="shared" ref="U194:U199" ca="1" si="39">ROUNDDOWN(P194*R194,0)</f>
        <v>560660</v>
      </c>
      <c r="V194" s="142"/>
      <c r="W194" s="142"/>
      <c r="X194" s="142"/>
      <c r="Y194" s="142"/>
      <c r="Z194" s="114"/>
    </row>
    <row r="195" spans="11:26" ht="18" customHeight="1">
      <c r="K195" s="171" t="s">
        <v>14</v>
      </c>
      <c r="L195" s="171"/>
      <c r="M195" s="171"/>
      <c r="N195" s="143" t="s">
        <v>32</v>
      </c>
      <c r="O195" s="173">
        <v>4</v>
      </c>
      <c r="P195" s="234">
        <f ca="1">OFFSET($A$1,MATCH(Z193,$A:$A,0)-1,O195)</f>
        <v>0.8</v>
      </c>
      <c r="Q195" s="144" t="s">
        <v>29</v>
      </c>
      <c r="R195" s="118">
        <f t="shared" ca="1" si="38"/>
        <v>373353</v>
      </c>
      <c r="S195" s="118">
        <f t="shared" ca="1" si="38"/>
        <v>298682</v>
      </c>
      <c r="T195" s="118">
        <f ca="1">특급</f>
        <v>373353</v>
      </c>
      <c r="U195" s="118">
        <f t="shared" ca="1" si="39"/>
        <v>298682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39</v>
      </c>
      <c r="O196" s="173">
        <v>5</v>
      </c>
      <c r="P196" s="234">
        <f ca="1">OFFSET($A$1,MATCH(Z193,$A:$A,0)-1,O196)</f>
        <v>2.7</v>
      </c>
      <c r="Q196" s="144" t="s">
        <v>29</v>
      </c>
      <c r="R196" s="118">
        <f t="shared" ca="1" si="38"/>
        <v>310884</v>
      </c>
      <c r="S196" s="118">
        <f t="shared" ca="1" si="38"/>
        <v>839386</v>
      </c>
      <c r="T196" s="118">
        <f ca="1">고급</f>
        <v>310884</v>
      </c>
      <c r="U196" s="118">
        <f t="shared" ca="1" si="39"/>
        <v>839386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40</v>
      </c>
      <c r="O197" s="173">
        <v>6</v>
      </c>
      <c r="P197" s="234">
        <f ca="1">OFFSET($A$1,MATCH(Z193,$A:$A,0)-1,O197)</f>
        <v>2.7</v>
      </c>
      <c r="Q197" s="144" t="s">
        <v>29</v>
      </c>
      <c r="R197" s="118">
        <f t="shared" ca="1" si="38"/>
        <v>295138</v>
      </c>
      <c r="S197" s="118">
        <f t="shared" ca="1" si="38"/>
        <v>796872</v>
      </c>
      <c r="T197" s="118">
        <f ca="1">중급</f>
        <v>295138</v>
      </c>
      <c r="U197" s="118">
        <f t="shared" ca="1" si="39"/>
        <v>796872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41</v>
      </c>
      <c r="O198" s="173">
        <v>7</v>
      </c>
      <c r="P198" s="234">
        <f ca="1">OFFSET($A$1,MATCH(Z193,$A:$A,0)-1,O198)</f>
        <v>8.8000000000000007</v>
      </c>
      <c r="Q198" s="144" t="s">
        <v>29</v>
      </c>
      <c r="R198" s="118">
        <f t="shared" ca="1" si="38"/>
        <v>235459</v>
      </c>
      <c r="S198" s="118">
        <f t="shared" ca="1" si="38"/>
        <v>2072039</v>
      </c>
      <c r="T198" s="118">
        <f ca="1">초급</f>
        <v>235459</v>
      </c>
      <c r="U198" s="118">
        <f t="shared" ca="1" si="39"/>
        <v>2072039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319" t="s">
        <v>42</v>
      </c>
      <c r="O199" s="174">
        <v>8</v>
      </c>
      <c r="P199" s="235">
        <f ca="1">OFFSET($A$1,MATCH(Z193,$A:$A,0)-1,O199)</f>
        <v>10.3</v>
      </c>
      <c r="Q199" s="322" t="s">
        <v>29</v>
      </c>
      <c r="R199" s="323">
        <f t="shared" ca="1" si="38"/>
        <v>250087</v>
      </c>
      <c r="S199" s="323">
        <f t="shared" ca="1" si="38"/>
        <v>2575896</v>
      </c>
      <c r="T199" s="323">
        <f ca="1">보조원</f>
        <v>250087</v>
      </c>
      <c r="U199" s="323">
        <f t="shared" ca="1" si="39"/>
        <v>2575896</v>
      </c>
      <c r="V199" s="323"/>
      <c r="W199" s="323"/>
      <c r="X199" s="323"/>
      <c r="Y199" s="323"/>
      <c r="Z199" s="324"/>
    </row>
    <row r="200" spans="11:26" ht="18" customHeight="1">
      <c r="K200" s="171" t="s">
        <v>14</v>
      </c>
      <c r="L200" s="171"/>
      <c r="M200" s="171"/>
      <c r="N200" s="139" t="s">
        <v>17</v>
      </c>
      <c r="O200" s="68"/>
      <c r="P200" s="69"/>
      <c r="Q200" s="70"/>
      <c r="R200" s="71"/>
      <c r="S200" s="71">
        <f ca="1">SUBTOTAL(9,S194:S199)</f>
        <v>7143535</v>
      </c>
      <c r="T200" s="71"/>
      <c r="U200" s="71">
        <f ca="1">SUBTOTAL(9,U194:U199)</f>
        <v>7143535</v>
      </c>
      <c r="V200" s="71"/>
      <c r="W200" s="71"/>
      <c r="X200" s="71"/>
      <c r="Y200" s="71"/>
      <c r="Z200" s="68"/>
    </row>
    <row r="201" spans="11:26" ht="18" customHeight="1">
      <c r="K201" s="171" t="s">
        <v>14</v>
      </c>
      <c r="L201" s="171"/>
      <c r="M201" s="171"/>
      <c r="N201" s="318" t="str">
        <f ca="1">"제 " &amp; Z201 &amp; " 호표  "&amp; OFFSET($A$1,MATCH(Z201,$A:$A,0)-1,1)</f>
        <v>제 17 호표  3.1 보고서작성 및 편집</v>
      </c>
      <c r="O201" s="221"/>
      <c r="P201" s="148"/>
      <c r="Q201" s="148"/>
      <c r="R201" s="149"/>
      <c r="S201" s="149"/>
      <c r="T201" s="149"/>
      <c r="U201" s="149"/>
      <c r="V201" s="149"/>
      <c r="W201" s="149"/>
      <c r="X201" s="149"/>
      <c r="Y201" s="149"/>
      <c r="Z201" s="325">
        <f>Z193+1</f>
        <v>17</v>
      </c>
    </row>
    <row r="202" spans="11:26" ht="18" customHeight="1">
      <c r="K202" s="171" t="s">
        <v>14</v>
      </c>
      <c r="L202" s="171"/>
      <c r="M202" s="171"/>
      <c r="N202" s="140" t="s">
        <v>43</v>
      </c>
      <c r="O202" s="172">
        <v>3</v>
      </c>
      <c r="P202" s="219">
        <f ca="1">OFFSET($A$1,MATCH(Z201,$A:$A,0)-1,O202)</f>
        <v>0.7</v>
      </c>
      <c r="Q202" s="141" t="s">
        <v>29</v>
      </c>
      <c r="R202" s="142">
        <f t="shared" ref="R202:S207" ca="1" si="40">T202</f>
        <v>467217</v>
      </c>
      <c r="S202" s="142">
        <f t="shared" ca="1" si="40"/>
        <v>327051</v>
      </c>
      <c r="T202" s="142">
        <f ca="1">기술사</f>
        <v>467217</v>
      </c>
      <c r="U202" s="142">
        <f t="shared" ref="U202:U207" ca="1" si="41">ROUNDDOWN(P202*R202,0)</f>
        <v>327051</v>
      </c>
      <c r="V202" s="142"/>
      <c r="W202" s="142"/>
      <c r="X202" s="142"/>
      <c r="Y202" s="142"/>
      <c r="Z202" s="114"/>
    </row>
    <row r="203" spans="11:26" ht="18" customHeight="1">
      <c r="K203" s="171" t="s">
        <v>14</v>
      </c>
      <c r="L203" s="171"/>
      <c r="M203" s="171"/>
      <c r="N203" s="143" t="s">
        <v>32</v>
      </c>
      <c r="O203" s="173">
        <v>4</v>
      </c>
      <c r="P203" s="234">
        <f ca="1">OFFSET($A$1,MATCH(Z201,$A:$A,0)-1,O203)</f>
        <v>2.2999999999999998</v>
      </c>
      <c r="Q203" s="144" t="s">
        <v>29</v>
      </c>
      <c r="R203" s="118">
        <f t="shared" ca="1" si="40"/>
        <v>373353</v>
      </c>
      <c r="S203" s="118">
        <f t="shared" ca="1" si="40"/>
        <v>858711</v>
      </c>
      <c r="T203" s="118">
        <f ca="1">특급</f>
        <v>373353</v>
      </c>
      <c r="U203" s="118">
        <f t="shared" ca="1" si="41"/>
        <v>858711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39</v>
      </c>
      <c r="O204" s="173">
        <v>5</v>
      </c>
      <c r="P204" s="234">
        <f ca="1">OFFSET($A$1,MATCH(Z201,$A:$A,0)-1,O204)</f>
        <v>5.0999999999999996</v>
      </c>
      <c r="Q204" s="144" t="s">
        <v>29</v>
      </c>
      <c r="R204" s="118">
        <f t="shared" ca="1" si="40"/>
        <v>310884</v>
      </c>
      <c r="S204" s="118">
        <f t="shared" ca="1" si="40"/>
        <v>1585508</v>
      </c>
      <c r="T204" s="118">
        <f ca="1">고급</f>
        <v>310884</v>
      </c>
      <c r="U204" s="118">
        <f t="shared" ca="1" si="41"/>
        <v>1585508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40</v>
      </c>
      <c r="O205" s="173">
        <v>6</v>
      </c>
      <c r="P205" s="234">
        <f ca="1">OFFSET($A$1,MATCH(Z201,$A:$A,0)-1,O205)</f>
        <v>4.3</v>
      </c>
      <c r="Q205" s="144" t="s">
        <v>29</v>
      </c>
      <c r="R205" s="118">
        <f t="shared" ca="1" si="40"/>
        <v>295138</v>
      </c>
      <c r="S205" s="118">
        <f t="shared" ca="1" si="40"/>
        <v>1269093</v>
      </c>
      <c r="T205" s="118">
        <f ca="1">중급</f>
        <v>295138</v>
      </c>
      <c r="U205" s="118">
        <f t="shared" ca="1" si="41"/>
        <v>1269093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145" t="s">
        <v>41</v>
      </c>
      <c r="O206" s="173">
        <v>7</v>
      </c>
      <c r="P206" s="234">
        <f ca="1">OFFSET($A$1,MATCH(Z201,$A:$A,0)-1,O206)</f>
        <v>7.7</v>
      </c>
      <c r="Q206" s="144" t="s">
        <v>29</v>
      </c>
      <c r="R206" s="118">
        <f t="shared" ca="1" si="40"/>
        <v>235459</v>
      </c>
      <c r="S206" s="118">
        <f t="shared" ca="1" si="40"/>
        <v>1813034</v>
      </c>
      <c r="T206" s="118">
        <f ca="1">초급</f>
        <v>235459</v>
      </c>
      <c r="U206" s="118">
        <f t="shared" ca="1" si="41"/>
        <v>1813034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319" t="s">
        <v>42</v>
      </c>
      <c r="O207" s="174">
        <v>8</v>
      </c>
      <c r="P207" s="235">
        <f ca="1">OFFSET($A$1,MATCH(Z201,$A:$A,0)-1,O207)</f>
        <v>5.6</v>
      </c>
      <c r="Q207" s="322" t="s">
        <v>29</v>
      </c>
      <c r="R207" s="323">
        <f t="shared" ca="1" si="40"/>
        <v>250087</v>
      </c>
      <c r="S207" s="323">
        <f t="shared" ca="1" si="40"/>
        <v>1400487</v>
      </c>
      <c r="T207" s="323">
        <f ca="1">보조원</f>
        <v>250087</v>
      </c>
      <c r="U207" s="323">
        <f t="shared" ca="1" si="41"/>
        <v>1400487</v>
      </c>
      <c r="V207" s="323"/>
      <c r="W207" s="323"/>
      <c r="X207" s="323"/>
      <c r="Y207" s="323"/>
      <c r="Z207" s="324"/>
    </row>
    <row r="208" spans="11:26" ht="18" customHeight="1">
      <c r="K208" s="171" t="s">
        <v>14</v>
      </c>
      <c r="L208" s="171"/>
      <c r="M208" s="171"/>
      <c r="N208" s="139" t="s">
        <v>17</v>
      </c>
      <c r="O208" s="68"/>
      <c r="P208" s="69"/>
      <c r="Q208" s="70"/>
      <c r="R208" s="71"/>
      <c r="S208" s="71">
        <f ca="1">SUBTOTAL(9,S202:S207)</f>
        <v>7253884</v>
      </c>
      <c r="T208" s="71"/>
      <c r="U208" s="71">
        <f ca="1">SUBTOTAL(9,U202:U207)</f>
        <v>7253884</v>
      </c>
      <c r="V208" s="71"/>
      <c r="W208" s="71"/>
      <c r="X208" s="71"/>
      <c r="Y208" s="71"/>
      <c r="Z208" s="68"/>
    </row>
    <row r="209" spans="11:26" ht="18" customHeight="1">
      <c r="K209" s="171" t="s">
        <v>14</v>
      </c>
      <c r="L209" s="171"/>
      <c r="M209" s="171"/>
      <c r="N209" s="318" t="str">
        <f ca="1">"제 " &amp; Z209 &amp; " 호표  "&amp; OFFSET($A$1,MATCH(Z209,$A:$A,0)-1,1)</f>
        <v>제 18 호표  3.2. 관련도서 작성</v>
      </c>
      <c r="O209" s="221"/>
      <c r="P209" s="148"/>
      <c r="Q209" s="148"/>
      <c r="R209" s="149"/>
      <c r="S209" s="149"/>
      <c r="T209" s="149"/>
      <c r="U209" s="149"/>
      <c r="V209" s="149"/>
      <c r="W209" s="149"/>
      <c r="X209" s="149"/>
      <c r="Y209" s="149"/>
      <c r="Z209" s="325">
        <f>Z201+1</f>
        <v>18</v>
      </c>
    </row>
    <row r="210" spans="11:26" ht="18" customHeight="1">
      <c r="K210" s="171" t="s">
        <v>14</v>
      </c>
      <c r="L210" s="171"/>
      <c r="M210" s="171"/>
      <c r="N210" s="140" t="s">
        <v>43</v>
      </c>
      <c r="O210" s="172">
        <v>3</v>
      </c>
      <c r="P210" s="219">
        <f ca="1">OFFSET($A$1,MATCH(Z209,$A:$A,0)-1,O210)</f>
        <v>0.3</v>
      </c>
      <c r="Q210" s="141" t="s">
        <v>29</v>
      </c>
      <c r="R210" s="142">
        <f t="shared" ref="R210:R215" ca="1" si="42">T210</f>
        <v>467217</v>
      </c>
      <c r="S210" s="142">
        <f t="shared" ref="S210:S215" ca="1" si="43">U210</f>
        <v>140165</v>
      </c>
      <c r="T210" s="142">
        <f ca="1">기술사</f>
        <v>467217</v>
      </c>
      <c r="U210" s="142">
        <f t="shared" ref="U210:U215" ca="1" si="44">ROUNDDOWN(P210*R210,0)</f>
        <v>140165</v>
      </c>
      <c r="V210" s="142"/>
      <c r="W210" s="142"/>
      <c r="X210" s="142"/>
      <c r="Y210" s="142"/>
      <c r="Z210" s="114"/>
    </row>
    <row r="211" spans="11:26" ht="18" customHeight="1">
      <c r="K211" s="171" t="s">
        <v>14</v>
      </c>
      <c r="L211" s="171"/>
      <c r="M211" s="171"/>
      <c r="N211" s="143" t="s">
        <v>32</v>
      </c>
      <c r="O211" s="173">
        <v>4</v>
      </c>
      <c r="P211" s="234">
        <f ca="1">OFFSET($A$1,MATCH(Z209,$A:$A,0)-1,O211)</f>
        <v>1.1000000000000001</v>
      </c>
      <c r="Q211" s="144" t="s">
        <v>29</v>
      </c>
      <c r="R211" s="118">
        <f t="shared" ca="1" si="42"/>
        <v>373353</v>
      </c>
      <c r="S211" s="118">
        <f t="shared" ca="1" si="43"/>
        <v>410688</v>
      </c>
      <c r="T211" s="118">
        <f ca="1">특급</f>
        <v>373353</v>
      </c>
      <c r="U211" s="118">
        <f t="shared" ca="1" si="44"/>
        <v>410688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39</v>
      </c>
      <c r="O212" s="173">
        <v>5</v>
      </c>
      <c r="P212" s="234">
        <f ca="1">OFFSET($A$1,MATCH(Z209,$A:$A,0)-1,O212)</f>
        <v>2.6</v>
      </c>
      <c r="Q212" s="144" t="s">
        <v>29</v>
      </c>
      <c r="R212" s="118">
        <f t="shared" ca="1" si="42"/>
        <v>310884</v>
      </c>
      <c r="S212" s="118">
        <f t="shared" ca="1" si="43"/>
        <v>808298</v>
      </c>
      <c r="T212" s="118">
        <f ca="1">고급</f>
        <v>310884</v>
      </c>
      <c r="U212" s="118">
        <f t="shared" ca="1" si="44"/>
        <v>808298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40</v>
      </c>
      <c r="O213" s="173">
        <v>6</v>
      </c>
      <c r="P213" s="234">
        <f ca="1">OFFSET($A$1,MATCH(Z209,$A:$A,0)-1,O213)</f>
        <v>2.9</v>
      </c>
      <c r="Q213" s="144" t="s">
        <v>29</v>
      </c>
      <c r="R213" s="118">
        <f t="shared" ca="1" si="42"/>
        <v>295138</v>
      </c>
      <c r="S213" s="118">
        <f t="shared" ca="1" si="43"/>
        <v>855900</v>
      </c>
      <c r="T213" s="118">
        <f ca="1">중급</f>
        <v>295138</v>
      </c>
      <c r="U213" s="118">
        <f t="shared" ca="1" si="44"/>
        <v>855900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145" t="s">
        <v>41</v>
      </c>
      <c r="O214" s="173">
        <v>7</v>
      </c>
      <c r="P214" s="234">
        <f ca="1">OFFSET($A$1,MATCH(Z209,$A:$A,0)-1,O214)</f>
        <v>10</v>
      </c>
      <c r="Q214" s="144" t="s">
        <v>29</v>
      </c>
      <c r="R214" s="118">
        <f t="shared" ca="1" si="42"/>
        <v>235459</v>
      </c>
      <c r="S214" s="118">
        <f t="shared" ca="1" si="43"/>
        <v>2354590</v>
      </c>
      <c r="T214" s="118">
        <f ca="1">초급</f>
        <v>235459</v>
      </c>
      <c r="U214" s="118">
        <f t="shared" ca="1" si="44"/>
        <v>2354590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319" t="s">
        <v>42</v>
      </c>
      <c r="O215" s="174">
        <v>8</v>
      </c>
      <c r="P215" s="235">
        <f ca="1">OFFSET($A$1,MATCH(Z209,$A:$A,0)-1,O215)</f>
        <v>13.9</v>
      </c>
      <c r="Q215" s="322" t="s">
        <v>29</v>
      </c>
      <c r="R215" s="323">
        <f t="shared" ca="1" si="42"/>
        <v>250087</v>
      </c>
      <c r="S215" s="323">
        <f t="shared" ca="1" si="43"/>
        <v>3476209</v>
      </c>
      <c r="T215" s="323">
        <f ca="1">보조원</f>
        <v>250087</v>
      </c>
      <c r="U215" s="323">
        <f t="shared" ca="1" si="44"/>
        <v>3476209</v>
      </c>
      <c r="V215" s="323"/>
      <c r="W215" s="323"/>
      <c r="X215" s="323"/>
      <c r="Y215" s="323"/>
      <c r="Z215" s="324"/>
    </row>
    <row r="216" spans="11:26" ht="18" customHeight="1">
      <c r="K216" s="171" t="s">
        <v>14</v>
      </c>
      <c r="L216" s="171"/>
      <c r="M216" s="171"/>
      <c r="N216" s="139" t="s">
        <v>17</v>
      </c>
      <c r="O216" s="68"/>
      <c r="P216" s="69"/>
      <c r="Q216" s="70"/>
      <c r="R216" s="71"/>
      <c r="S216" s="71">
        <f ca="1">SUBTOTAL(9,S210:S215)</f>
        <v>8045850</v>
      </c>
      <c r="T216" s="71"/>
      <c r="U216" s="71">
        <f ca="1">SUBTOTAL(9,U210:U215)</f>
        <v>8045850</v>
      </c>
      <c r="V216" s="71"/>
      <c r="W216" s="71"/>
      <c r="X216" s="71"/>
      <c r="Y216" s="71"/>
      <c r="Z216" s="68"/>
    </row>
    <row r="217" spans="11:26" ht="18" customHeight="1">
      <c r="K217" s="171" t="s">
        <v>14</v>
      </c>
      <c r="L217" s="171"/>
      <c r="M217" s="171"/>
      <c r="N217" s="318" t="str">
        <f ca="1">"제 " &amp; Z217 &amp; " 호표  "&amp; OFFSET($A$1,MATCH(Z217,$A:$A,0)-1,1)</f>
        <v>제 19 호표  4.1. 공청회/주민설명회</v>
      </c>
      <c r="O217" s="221"/>
      <c r="P217" s="148"/>
      <c r="Q217" s="148"/>
      <c r="R217" s="149"/>
      <c r="S217" s="149"/>
      <c r="T217" s="149"/>
      <c r="U217" s="149"/>
      <c r="V217" s="149"/>
      <c r="W217" s="149"/>
      <c r="X217" s="149"/>
      <c r="Y217" s="149"/>
      <c r="Z217" s="325">
        <f>Z209+1</f>
        <v>19</v>
      </c>
    </row>
    <row r="218" spans="11:26" ht="18" customHeight="1">
      <c r="K218" s="171" t="s">
        <v>14</v>
      </c>
      <c r="L218" s="171"/>
      <c r="M218" s="171"/>
      <c r="N218" s="140" t="s">
        <v>43</v>
      </c>
      <c r="O218" s="172">
        <v>3</v>
      </c>
      <c r="P218" s="219">
        <f ca="1">OFFSET($A$1,MATCH(Z217,$A:$A,0)-1,O218)</f>
        <v>2</v>
      </c>
      <c r="Q218" s="141" t="s">
        <v>29</v>
      </c>
      <c r="R218" s="142">
        <f t="shared" ref="R218:R223" ca="1" si="45">T218</f>
        <v>467217</v>
      </c>
      <c r="S218" s="142">
        <f t="shared" ref="S218:S223" ca="1" si="46">U218</f>
        <v>934434</v>
      </c>
      <c r="T218" s="142">
        <f ca="1">기술사</f>
        <v>467217</v>
      </c>
      <c r="U218" s="142">
        <f t="shared" ref="U218:U223" ca="1" si="47">ROUNDDOWN(P218*R218,0)</f>
        <v>934434</v>
      </c>
      <c r="V218" s="142"/>
      <c r="W218" s="142"/>
      <c r="X218" s="142"/>
      <c r="Y218" s="142"/>
      <c r="Z218" s="114"/>
    </row>
    <row r="219" spans="11:26" ht="18" customHeight="1">
      <c r="K219" s="171" t="s">
        <v>14</v>
      </c>
      <c r="L219" s="171"/>
      <c r="M219" s="171"/>
      <c r="N219" s="143" t="s">
        <v>32</v>
      </c>
      <c r="O219" s="173">
        <v>4</v>
      </c>
      <c r="P219" s="234">
        <f ca="1">OFFSET($A$1,MATCH(Z217,$A:$A,0)-1,O219)</f>
        <v>2</v>
      </c>
      <c r="Q219" s="144" t="s">
        <v>29</v>
      </c>
      <c r="R219" s="118">
        <f t="shared" ca="1" si="45"/>
        <v>373353</v>
      </c>
      <c r="S219" s="118">
        <f t="shared" ca="1" si="46"/>
        <v>746706</v>
      </c>
      <c r="T219" s="118">
        <f ca="1">특급</f>
        <v>373353</v>
      </c>
      <c r="U219" s="118">
        <f t="shared" ca="1" si="47"/>
        <v>746706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39</v>
      </c>
      <c r="O220" s="173">
        <v>5</v>
      </c>
      <c r="P220" s="234">
        <f ca="1">OFFSET($A$1,MATCH(Z217,$A:$A,0)-1,O220)</f>
        <v>2</v>
      </c>
      <c r="Q220" s="144" t="s">
        <v>29</v>
      </c>
      <c r="R220" s="118">
        <f t="shared" ca="1" si="45"/>
        <v>310884</v>
      </c>
      <c r="S220" s="118">
        <f t="shared" ca="1" si="46"/>
        <v>621768</v>
      </c>
      <c r="T220" s="118">
        <f ca="1">고급</f>
        <v>310884</v>
      </c>
      <c r="U220" s="118">
        <f t="shared" ca="1" si="47"/>
        <v>621768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40</v>
      </c>
      <c r="O221" s="173">
        <v>6</v>
      </c>
      <c r="P221" s="234">
        <f ca="1">OFFSET($A$1,MATCH(Z217,$A:$A,0)-1,O221)</f>
        <v>4</v>
      </c>
      <c r="Q221" s="144" t="s">
        <v>29</v>
      </c>
      <c r="R221" s="118">
        <f t="shared" ca="1" si="45"/>
        <v>295138</v>
      </c>
      <c r="S221" s="118">
        <f t="shared" ca="1" si="46"/>
        <v>1180552</v>
      </c>
      <c r="T221" s="118">
        <f ca="1">중급</f>
        <v>295138</v>
      </c>
      <c r="U221" s="118">
        <f t="shared" ca="1" si="47"/>
        <v>1180552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145" t="s">
        <v>41</v>
      </c>
      <c r="O222" s="173">
        <v>7</v>
      </c>
      <c r="P222" s="234">
        <f ca="1">OFFSET($A$1,MATCH(Z217,$A:$A,0)-1,O222)</f>
        <v>4</v>
      </c>
      <c r="Q222" s="144" t="s">
        <v>29</v>
      </c>
      <c r="R222" s="118">
        <f t="shared" ca="1" si="45"/>
        <v>235459</v>
      </c>
      <c r="S222" s="118">
        <f t="shared" ca="1" si="46"/>
        <v>941836</v>
      </c>
      <c r="T222" s="118">
        <f ca="1">초급</f>
        <v>235459</v>
      </c>
      <c r="U222" s="118">
        <f t="shared" ca="1" si="47"/>
        <v>941836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319" t="s">
        <v>42</v>
      </c>
      <c r="O223" s="174">
        <v>8</v>
      </c>
      <c r="P223" s="235">
        <f ca="1">OFFSET($A$1,MATCH(Z217,$A:$A,0)-1,O223)</f>
        <v>4</v>
      </c>
      <c r="Q223" s="322" t="s">
        <v>29</v>
      </c>
      <c r="R223" s="323">
        <f t="shared" ca="1" si="45"/>
        <v>250087</v>
      </c>
      <c r="S223" s="323">
        <f t="shared" ca="1" si="46"/>
        <v>1000348</v>
      </c>
      <c r="T223" s="323">
        <f ca="1">보조원</f>
        <v>250087</v>
      </c>
      <c r="U223" s="323">
        <f t="shared" ca="1" si="47"/>
        <v>1000348</v>
      </c>
      <c r="V223" s="323"/>
      <c r="W223" s="323"/>
      <c r="X223" s="323"/>
      <c r="Y223" s="323"/>
      <c r="Z223" s="324"/>
    </row>
    <row r="224" spans="11:26" ht="18" customHeight="1">
      <c r="K224" s="171" t="s">
        <v>14</v>
      </c>
      <c r="L224" s="171"/>
      <c r="M224" s="171"/>
      <c r="N224" s="139" t="s">
        <v>17</v>
      </c>
      <c r="O224" s="68"/>
      <c r="P224" s="69"/>
      <c r="Q224" s="70"/>
      <c r="R224" s="71"/>
      <c r="S224" s="71">
        <f ca="1">SUBTOTAL(9,S218:S223)</f>
        <v>5425644</v>
      </c>
      <c r="T224" s="71"/>
      <c r="U224" s="71">
        <f ca="1">SUBTOTAL(9,U218:U223)</f>
        <v>5425644</v>
      </c>
      <c r="V224" s="71"/>
      <c r="W224" s="71"/>
      <c r="X224" s="71"/>
      <c r="Y224" s="71"/>
      <c r="Z224" s="68"/>
    </row>
    <row r="225" spans="11:28" ht="18" customHeight="1">
      <c r="K225" s="171" t="s">
        <v>14</v>
      </c>
      <c r="L225" s="171"/>
      <c r="M225" s="171"/>
      <c r="N225" s="318" t="str">
        <f ca="1">"제 " &amp; Z225 &amp; " 호표  "&amp; OFFSET($A$1,MATCH(Z225,$A:$A,0)-1,1)</f>
        <v>제 20 호표  4.2. 주민간담회/시민계획단</v>
      </c>
      <c r="O225" s="221"/>
      <c r="P225" s="148"/>
      <c r="Q225" s="148"/>
      <c r="R225" s="149"/>
      <c r="S225" s="149"/>
      <c r="T225" s="149"/>
      <c r="U225" s="149"/>
      <c r="V225" s="149"/>
      <c r="W225" s="149"/>
      <c r="X225" s="149"/>
      <c r="Y225" s="149"/>
      <c r="Z225" s="325">
        <f>Z217+1</f>
        <v>20</v>
      </c>
    </row>
    <row r="226" spans="11:28" ht="18" customHeight="1">
      <c r="K226" s="171" t="s">
        <v>14</v>
      </c>
      <c r="L226" s="171"/>
      <c r="M226" s="171"/>
      <c r="N226" s="140" t="s">
        <v>43</v>
      </c>
      <c r="O226" s="172">
        <v>3</v>
      </c>
      <c r="P226" s="219">
        <f ca="1">OFFSET($A$1,MATCH(Z225,$A:$A,0)-1,O226)</f>
        <v>2</v>
      </c>
      <c r="Q226" s="141" t="s">
        <v>29</v>
      </c>
      <c r="R226" s="142">
        <f t="shared" ref="R226:R231" ca="1" si="48">T226</f>
        <v>467217</v>
      </c>
      <c r="S226" s="142">
        <f t="shared" ref="S226:S231" ca="1" si="49">U226</f>
        <v>934434</v>
      </c>
      <c r="T226" s="142">
        <f ca="1">기술사</f>
        <v>467217</v>
      </c>
      <c r="U226" s="142">
        <f t="shared" ref="U226:U231" ca="1" si="50">ROUNDDOWN(P226*R226,0)</f>
        <v>934434</v>
      </c>
      <c r="V226" s="142"/>
      <c r="W226" s="142"/>
      <c r="X226" s="142"/>
      <c r="Y226" s="142"/>
      <c r="Z226" s="114"/>
    </row>
    <row r="227" spans="11:28" ht="18" customHeight="1">
      <c r="K227" s="171" t="s">
        <v>14</v>
      </c>
      <c r="L227" s="171"/>
      <c r="M227" s="171"/>
      <c r="N227" s="143" t="s">
        <v>32</v>
      </c>
      <c r="O227" s="173">
        <v>4</v>
      </c>
      <c r="P227" s="234">
        <f ca="1">OFFSET($A$1,MATCH(Z225,$A:$A,0)-1,O227)</f>
        <v>2</v>
      </c>
      <c r="Q227" s="144" t="s">
        <v>29</v>
      </c>
      <c r="R227" s="118">
        <f t="shared" ca="1" si="48"/>
        <v>373353</v>
      </c>
      <c r="S227" s="118">
        <f t="shared" ca="1" si="49"/>
        <v>746706</v>
      </c>
      <c r="T227" s="118">
        <f ca="1">특급</f>
        <v>373353</v>
      </c>
      <c r="U227" s="118">
        <f t="shared" ca="1" si="50"/>
        <v>746706</v>
      </c>
      <c r="V227" s="118"/>
      <c r="W227" s="118"/>
      <c r="X227" s="118"/>
      <c r="Y227" s="118"/>
      <c r="Z227" s="115"/>
    </row>
    <row r="228" spans="11:28" ht="18" customHeight="1">
      <c r="K228" s="171" t="s">
        <v>14</v>
      </c>
      <c r="L228" s="171"/>
      <c r="M228" s="171"/>
      <c r="N228" s="145" t="s">
        <v>39</v>
      </c>
      <c r="O228" s="173">
        <v>5</v>
      </c>
      <c r="P228" s="234">
        <f ca="1">OFFSET($A$1,MATCH(Z225,$A:$A,0)-1,O228)</f>
        <v>2</v>
      </c>
      <c r="Q228" s="144" t="s">
        <v>29</v>
      </c>
      <c r="R228" s="118">
        <f t="shared" ca="1" si="48"/>
        <v>310884</v>
      </c>
      <c r="S228" s="118">
        <f t="shared" ca="1" si="49"/>
        <v>621768</v>
      </c>
      <c r="T228" s="118">
        <f ca="1">고급</f>
        <v>310884</v>
      </c>
      <c r="U228" s="118">
        <f t="shared" ca="1" si="50"/>
        <v>621768</v>
      </c>
      <c r="V228" s="118"/>
      <c r="W228" s="118"/>
      <c r="X228" s="118"/>
      <c r="Y228" s="118"/>
      <c r="Z228" s="115"/>
    </row>
    <row r="229" spans="11:28" ht="18" customHeight="1">
      <c r="K229" s="171" t="s">
        <v>14</v>
      </c>
      <c r="L229" s="171"/>
      <c r="M229" s="171"/>
      <c r="N229" s="145" t="s">
        <v>40</v>
      </c>
      <c r="O229" s="173">
        <v>6</v>
      </c>
      <c r="P229" s="234">
        <f ca="1">OFFSET($A$1,MATCH(Z225,$A:$A,0)-1,O229)</f>
        <v>4</v>
      </c>
      <c r="Q229" s="144" t="s">
        <v>29</v>
      </c>
      <c r="R229" s="118">
        <f t="shared" ca="1" si="48"/>
        <v>295138</v>
      </c>
      <c r="S229" s="118">
        <f t="shared" ca="1" si="49"/>
        <v>1180552</v>
      </c>
      <c r="T229" s="118">
        <f ca="1">중급</f>
        <v>295138</v>
      </c>
      <c r="U229" s="118">
        <f t="shared" ca="1" si="50"/>
        <v>1180552</v>
      </c>
      <c r="V229" s="118"/>
      <c r="W229" s="118"/>
      <c r="X229" s="118"/>
      <c r="Y229" s="118"/>
      <c r="Z229" s="115"/>
    </row>
    <row r="230" spans="11:28" ht="18" customHeight="1">
      <c r="K230" s="171" t="s">
        <v>14</v>
      </c>
      <c r="L230" s="171"/>
      <c r="M230" s="171"/>
      <c r="N230" s="145" t="s">
        <v>41</v>
      </c>
      <c r="O230" s="173">
        <v>7</v>
      </c>
      <c r="P230" s="234">
        <f ca="1">OFFSET($A$1,MATCH(Z225,$A:$A,0)-1,O230)</f>
        <v>4</v>
      </c>
      <c r="Q230" s="144" t="s">
        <v>29</v>
      </c>
      <c r="R230" s="118">
        <f t="shared" ca="1" si="48"/>
        <v>235459</v>
      </c>
      <c r="S230" s="118">
        <f t="shared" ca="1" si="49"/>
        <v>941836</v>
      </c>
      <c r="T230" s="118">
        <f ca="1">초급</f>
        <v>235459</v>
      </c>
      <c r="U230" s="118">
        <f t="shared" ca="1" si="50"/>
        <v>941836</v>
      </c>
      <c r="V230" s="118"/>
      <c r="W230" s="118"/>
      <c r="X230" s="118"/>
      <c r="Y230" s="118"/>
      <c r="Z230" s="115"/>
    </row>
    <row r="231" spans="11:28" ht="18" customHeight="1">
      <c r="K231" s="171" t="s">
        <v>14</v>
      </c>
      <c r="L231" s="171"/>
      <c r="M231" s="171"/>
      <c r="N231" s="319" t="s">
        <v>42</v>
      </c>
      <c r="O231" s="174">
        <v>8</v>
      </c>
      <c r="P231" s="235">
        <f ca="1">OFFSET($A$1,MATCH(Z225,$A:$A,0)-1,O231)</f>
        <v>4</v>
      </c>
      <c r="Q231" s="322" t="s">
        <v>29</v>
      </c>
      <c r="R231" s="323">
        <f t="shared" ca="1" si="48"/>
        <v>250087</v>
      </c>
      <c r="S231" s="323">
        <f t="shared" ca="1" si="49"/>
        <v>1000348</v>
      </c>
      <c r="T231" s="323">
        <f ca="1">보조원</f>
        <v>250087</v>
      </c>
      <c r="U231" s="323">
        <f t="shared" ca="1" si="50"/>
        <v>1000348</v>
      </c>
      <c r="V231" s="323"/>
      <c r="W231" s="323"/>
      <c r="X231" s="323"/>
      <c r="Y231" s="323"/>
      <c r="Z231" s="324"/>
    </row>
    <row r="232" spans="11:28" ht="18" customHeight="1">
      <c r="K232" s="171" t="s">
        <v>14</v>
      </c>
      <c r="L232" s="171"/>
      <c r="M232" s="171"/>
      <c r="N232" s="139" t="s">
        <v>17</v>
      </c>
      <c r="O232" s="68"/>
      <c r="P232" s="69"/>
      <c r="Q232" s="70"/>
      <c r="R232" s="71"/>
      <c r="S232" s="71">
        <f ca="1">SUBTOTAL(9,S226:S231)</f>
        <v>5425644</v>
      </c>
      <c r="T232" s="71"/>
      <c r="U232" s="71">
        <f ca="1">SUBTOTAL(9,U226:U231)</f>
        <v>5425644</v>
      </c>
      <c r="V232" s="71"/>
      <c r="W232" s="71"/>
      <c r="X232" s="71"/>
      <c r="Y232" s="71"/>
      <c r="Z232" s="68"/>
    </row>
    <row r="233" spans="11:28" ht="18" customHeight="1">
      <c r="K233" s="171" t="s">
        <v>14</v>
      </c>
      <c r="L233" s="171"/>
      <c r="M233" s="171"/>
      <c r="N233" s="318" t="str">
        <f ca="1">"제 " &amp; Z233 &amp; " 호표  "&amp; OFFSET($A$1,MATCH(Z233,$A:$A,0)-1,1)</f>
        <v>제 21 호표  4.3. 위원회심의 지원</v>
      </c>
      <c r="O233" s="221"/>
      <c r="P233" s="148"/>
      <c r="Q233" s="148"/>
      <c r="R233" s="149"/>
      <c r="S233" s="149"/>
      <c r="T233" s="149"/>
      <c r="U233" s="149"/>
      <c r="V233" s="149"/>
      <c r="W233" s="149"/>
      <c r="X233" s="149"/>
      <c r="Y233" s="149"/>
      <c r="Z233" s="325">
        <f>Z225+1</f>
        <v>21</v>
      </c>
    </row>
    <row r="234" spans="11:28" ht="18" customHeight="1">
      <c r="K234" s="171" t="s">
        <v>14</v>
      </c>
      <c r="L234" s="171"/>
      <c r="M234" s="171"/>
      <c r="N234" s="140" t="s">
        <v>43</v>
      </c>
      <c r="O234" s="172">
        <v>3</v>
      </c>
      <c r="P234" s="219">
        <f ca="1">OFFSET($A$1,MATCH(Z233,$A:$A,0)-1,O234)</f>
        <v>2</v>
      </c>
      <c r="Q234" s="141" t="s">
        <v>29</v>
      </c>
      <c r="R234" s="142">
        <f t="shared" ref="R234:R239" ca="1" si="51">T234</f>
        <v>467217</v>
      </c>
      <c r="S234" s="142">
        <f t="shared" ref="S234:S239" ca="1" si="52">U234</f>
        <v>934434</v>
      </c>
      <c r="T234" s="142">
        <f ca="1">기술사</f>
        <v>467217</v>
      </c>
      <c r="U234" s="142">
        <f t="shared" ref="U234:U239" ca="1" si="53">ROUNDDOWN(P234*R234,0)</f>
        <v>934434</v>
      </c>
      <c r="V234" s="142"/>
      <c r="W234" s="142"/>
      <c r="X234" s="142"/>
      <c r="Y234" s="142"/>
      <c r="Z234" s="114"/>
    </row>
    <row r="235" spans="11:28" ht="18" customHeight="1">
      <c r="K235" s="171" t="s">
        <v>14</v>
      </c>
      <c r="L235" s="171"/>
      <c r="M235" s="171"/>
      <c r="N235" s="143" t="s">
        <v>32</v>
      </c>
      <c r="O235" s="173">
        <v>4</v>
      </c>
      <c r="P235" s="234">
        <f ca="1">OFFSET($A$1,MATCH(Z233,$A:$A,0)-1,O235)</f>
        <v>2</v>
      </c>
      <c r="Q235" s="144" t="s">
        <v>29</v>
      </c>
      <c r="R235" s="118">
        <f t="shared" ca="1" si="51"/>
        <v>373353</v>
      </c>
      <c r="S235" s="118">
        <f t="shared" ca="1" si="52"/>
        <v>746706</v>
      </c>
      <c r="T235" s="118">
        <f ca="1">특급</f>
        <v>373353</v>
      </c>
      <c r="U235" s="118">
        <f t="shared" ca="1" si="53"/>
        <v>746706</v>
      </c>
      <c r="V235" s="118"/>
      <c r="W235" s="118"/>
      <c r="X235" s="118"/>
      <c r="Y235" s="118"/>
      <c r="Z235" s="115"/>
    </row>
    <row r="236" spans="11:28" ht="18" customHeight="1">
      <c r="K236" s="171" t="s">
        <v>14</v>
      </c>
      <c r="L236" s="171"/>
      <c r="M236" s="171"/>
      <c r="N236" s="145" t="s">
        <v>39</v>
      </c>
      <c r="O236" s="173">
        <v>5</v>
      </c>
      <c r="P236" s="234">
        <f ca="1">OFFSET($A$1,MATCH(Z233,$A:$A,0)-1,O236)</f>
        <v>2</v>
      </c>
      <c r="Q236" s="144" t="s">
        <v>29</v>
      </c>
      <c r="R236" s="118">
        <f t="shared" ca="1" si="51"/>
        <v>310884</v>
      </c>
      <c r="S236" s="118">
        <f t="shared" ca="1" si="52"/>
        <v>621768</v>
      </c>
      <c r="T236" s="118">
        <f ca="1">고급</f>
        <v>310884</v>
      </c>
      <c r="U236" s="118">
        <f t="shared" ca="1" si="53"/>
        <v>621768</v>
      </c>
      <c r="V236" s="118"/>
      <c r="W236" s="118"/>
      <c r="X236" s="118"/>
      <c r="Y236" s="118"/>
      <c r="Z236" s="115"/>
      <c r="AA236" s="171"/>
      <c r="AB236" s="171"/>
    </row>
    <row r="237" spans="11:28" ht="18" customHeight="1">
      <c r="K237" s="171" t="s">
        <v>14</v>
      </c>
      <c r="L237" s="171"/>
      <c r="M237" s="171"/>
      <c r="N237" s="145" t="s">
        <v>40</v>
      </c>
      <c r="O237" s="173">
        <v>6</v>
      </c>
      <c r="P237" s="234">
        <f ca="1">OFFSET($A$1,MATCH(Z233,$A:$A,0)-1,O237)</f>
        <v>4</v>
      </c>
      <c r="Q237" s="144" t="s">
        <v>29</v>
      </c>
      <c r="R237" s="118">
        <f t="shared" ca="1" si="51"/>
        <v>295138</v>
      </c>
      <c r="S237" s="118">
        <f t="shared" ca="1" si="52"/>
        <v>1180552</v>
      </c>
      <c r="T237" s="118">
        <f ca="1">중급</f>
        <v>295138</v>
      </c>
      <c r="U237" s="118">
        <f t="shared" ca="1" si="53"/>
        <v>1180552</v>
      </c>
      <c r="V237" s="118"/>
      <c r="W237" s="118"/>
      <c r="X237" s="118"/>
      <c r="Y237" s="118"/>
      <c r="Z237" s="115"/>
      <c r="AA237" s="171"/>
      <c r="AB237" s="171"/>
    </row>
    <row r="238" spans="11:28" ht="18" customHeight="1">
      <c r="K238" s="171" t="s">
        <v>14</v>
      </c>
      <c r="L238" s="171"/>
      <c r="M238" s="171"/>
      <c r="N238" s="145" t="s">
        <v>41</v>
      </c>
      <c r="O238" s="173">
        <v>7</v>
      </c>
      <c r="P238" s="234">
        <f ca="1">OFFSET($A$1,MATCH(Z233,$A:$A,0)-1,O238)</f>
        <v>4</v>
      </c>
      <c r="Q238" s="144" t="s">
        <v>29</v>
      </c>
      <c r="R238" s="118">
        <f t="shared" ca="1" si="51"/>
        <v>235459</v>
      </c>
      <c r="S238" s="118">
        <f t="shared" ca="1" si="52"/>
        <v>941836</v>
      </c>
      <c r="T238" s="118">
        <f ca="1">초급</f>
        <v>235459</v>
      </c>
      <c r="U238" s="118">
        <f t="shared" ca="1" si="53"/>
        <v>941836</v>
      </c>
      <c r="V238" s="118"/>
      <c r="W238" s="118"/>
      <c r="X238" s="118"/>
      <c r="Y238" s="118"/>
      <c r="Z238" s="115"/>
      <c r="AA238" s="171"/>
      <c r="AB238" s="171"/>
    </row>
    <row r="239" spans="11:28" ht="18" customHeight="1">
      <c r="K239" s="171" t="s">
        <v>14</v>
      </c>
      <c r="L239" s="171"/>
      <c r="M239" s="171"/>
      <c r="N239" s="319" t="s">
        <v>42</v>
      </c>
      <c r="O239" s="174">
        <v>8</v>
      </c>
      <c r="P239" s="235">
        <f ca="1">OFFSET($A$1,MATCH(Z233,$A:$A,0)-1,O239)</f>
        <v>4</v>
      </c>
      <c r="Q239" s="322" t="s">
        <v>29</v>
      </c>
      <c r="R239" s="323">
        <f t="shared" ca="1" si="51"/>
        <v>250087</v>
      </c>
      <c r="S239" s="323">
        <f t="shared" ca="1" si="52"/>
        <v>1000348</v>
      </c>
      <c r="T239" s="323">
        <f ca="1">보조원</f>
        <v>250087</v>
      </c>
      <c r="U239" s="323">
        <f t="shared" ca="1" si="53"/>
        <v>1000348</v>
      </c>
      <c r="V239" s="323"/>
      <c r="W239" s="323"/>
      <c r="X239" s="323"/>
      <c r="Y239" s="323"/>
      <c r="Z239" s="324"/>
      <c r="AA239" s="171"/>
      <c r="AB239" s="171"/>
    </row>
    <row r="240" spans="11:28" ht="18" customHeight="1">
      <c r="K240" s="171" t="s">
        <v>14</v>
      </c>
      <c r="L240" s="171"/>
      <c r="M240" s="171"/>
      <c r="N240" s="139" t="s">
        <v>17</v>
      </c>
      <c r="O240" s="68"/>
      <c r="P240" s="69"/>
      <c r="Q240" s="70"/>
      <c r="R240" s="71"/>
      <c r="S240" s="71">
        <f ca="1">SUBTOTAL(9,S234:S239)</f>
        <v>5425644</v>
      </c>
      <c r="T240" s="71"/>
      <c r="U240" s="71">
        <f ca="1">SUBTOTAL(9,U234:U239)</f>
        <v>5425644</v>
      </c>
      <c r="V240" s="71"/>
      <c r="W240" s="71"/>
      <c r="X240" s="71"/>
      <c r="Y240" s="71"/>
      <c r="Z240" s="68"/>
    </row>
    <row r="241" spans="11:28" ht="18" customHeight="1">
      <c r="K241" s="171" t="s">
        <v>14</v>
      </c>
      <c r="L241" s="171"/>
      <c r="M241" s="171"/>
      <c r="N241" s="318" t="str">
        <f ca="1">"제 " &amp; Z241 &amp; " 호표  "&amp; OFFSET($A$1,MATCH(Z241,$A:$A,0)-1,1)</f>
        <v>제 22 호표  4.4. 관계기관 협의</v>
      </c>
      <c r="O241" s="221"/>
      <c r="P241" s="148"/>
      <c r="Q241" s="148"/>
      <c r="R241" s="149"/>
      <c r="S241" s="149"/>
      <c r="T241" s="149"/>
      <c r="U241" s="149"/>
      <c r="V241" s="149"/>
      <c r="W241" s="149"/>
      <c r="X241" s="149"/>
      <c r="Y241" s="149"/>
      <c r="Z241" s="325">
        <f>Z233+1</f>
        <v>22</v>
      </c>
    </row>
    <row r="242" spans="11:28" ht="18" customHeight="1">
      <c r="K242" s="171" t="s">
        <v>14</v>
      </c>
      <c r="L242" s="171"/>
      <c r="M242" s="171"/>
      <c r="N242" s="140" t="s">
        <v>43</v>
      </c>
      <c r="O242" s="172">
        <v>3</v>
      </c>
      <c r="P242" s="219">
        <f ca="1">OFFSET($A$1,MATCH(Z241,$A:$A,0)-1,O242)</f>
        <v>2</v>
      </c>
      <c r="Q242" s="141" t="s">
        <v>29</v>
      </c>
      <c r="R242" s="142">
        <f t="shared" ref="R242:R247" ca="1" si="54">T242</f>
        <v>467217</v>
      </c>
      <c r="S242" s="142">
        <f t="shared" ref="S242:S247" ca="1" si="55">U242</f>
        <v>934434</v>
      </c>
      <c r="T242" s="142">
        <f ca="1">기술사</f>
        <v>467217</v>
      </c>
      <c r="U242" s="142">
        <f t="shared" ref="U242:U247" ca="1" si="56">ROUNDDOWN(P242*R242,0)</f>
        <v>934434</v>
      </c>
      <c r="V242" s="142"/>
      <c r="W242" s="142"/>
      <c r="X242" s="142"/>
      <c r="Y242" s="142"/>
      <c r="Z242" s="114"/>
    </row>
    <row r="243" spans="11:28" ht="18" customHeight="1">
      <c r="K243" s="171" t="s">
        <v>14</v>
      </c>
      <c r="L243" s="171"/>
      <c r="M243" s="171"/>
      <c r="N243" s="143" t="s">
        <v>32</v>
      </c>
      <c r="O243" s="173">
        <v>4</v>
      </c>
      <c r="P243" s="234">
        <f ca="1">OFFSET($A$1,MATCH(Z241,$A:$A,0)-1,O243)</f>
        <v>2</v>
      </c>
      <c r="Q243" s="144" t="s">
        <v>29</v>
      </c>
      <c r="R243" s="118">
        <f t="shared" ca="1" si="54"/>
        <v>373353</v>
      </c>
      <c r="S243" s="118">
        <f t="shared" ca="1" si="55"/>
        <v>746706</v>
      </c>
      <c r="T243" s="118">
        <f ca="1">특급</f>
        <v>373353</v>
      </c>
      <c r="U243" s="118">
        <f t="shared" ca="1" si="56"/>
        <v>746706</v>
      </c>
      <c r="V243" s="118"/>
      <c r="W243" s="118"/>
      <c r="X243" s="118"/>
      <c r="Y243" s="118"/>
      <c r="Z243" s="115"/>
    </row>
    <row r="244" spans="11:28" ht="18" customHeight="1">
      <c r="K244" s="171" t="s">
        <v>14</v>
      </c>
      <c r="L244" s="171"/>
      <c r="M244" s="171"/>
      <c r="N244" s="145" t="s">
        <v>39</v>
      </c>
      <c r="O244" s="173">
        <v>5</v>
      </c>
      <c r="P244" s="234">
        <f ca="1">OFFSET($A$1,MATCH(Z241,$A:$A,0)-1,O244)</f>
        <v>2</v>
      </c>
      <c r="Q244" s="144" t="s">
        <v>29</v>
      </c>
      <c r="R244" s="118">
        <f t="shared" ca="1" si="54"/>
        <v>310884</v>
      </c>
      <c r="S244" s="118">
        <f t="shared" ca="1" si="55"/>
        <v>621768</v>
      </c>
      <c r="T244" s="118">
        <f ca="1">고급</f>
        <v>310884</v>
      </c>
      <c r="U244" s="118">
        <f t="shared" ca="1" si="56"/>
        <v>621768</v>
      </c>
      <c r="V244" s="118"/>
      <c r="W244" s="118"/>
      <c r="X244" s="118"/>
      <c r="Y244" s="118"/>
      <c r="Z244" s="115"/>
    </row>
    <row r="245" spans="11:28" ht="18" customHeight="1">
      <c r="K245" s="171" t="s">
        <v>14</v>
      </c>
      <c r="L245" s="171"/>
      <c r="M245" s="171"/>
      <c r="N245" s="145" t="s">
        <v>40</v>
      </c>
      <c r="O245" s="173">
        <v>6</v>
      </c>
      <c r="P245" s="234">
        <f ca="1">OFFSET($A$1,MATCH(Z241,$A:$A,0)-1,O245)</f>
        <v>4</v>
      </c>
      <c r="Q245" s="144" t="s">
        <v>29</v>
      </c>
      <c r="R245" s="118">
        <f t="shared" ca="1" si="54"/>
        <v>295138</v>
      </c>
      <c r="S245" s="118">
        <f t="shared" ca="1" si="55"/>
        <v>1180552</v>
      </c>
      <c r="T245" s="118">
        <f ca="1">중급</f>
        <v>295138</v>
      </c>
      <c r="U245" s="118">
        <f t="shared" ca="1" si="56"/>
        <v>1180552</v>
      </c>
      <c r="V245" s="118"/>
      <c r="W245" s="118"/>
      <c r="X245" s="118"/>
      <c r="Y245" s="118"/>
      <c r="Z245" s="115"/>
    </row>
    <row r="246" spans="11:28" ht="18" customHeight="1">
      <c r="K246" s="171" t="s">
        <v>14</v>
      </c>
      <c r="L246" s="171"/>
      <c r="M246" s="171"/>
      <c r="N246" s="145" t="s">
        <v>41</v>
      </c>
      <c r="O246" s="173">
        <v>7</v>
      </c>
      <c r="P246" s="234">
        <f ca="1">OFFSET($A$1,MATCH(Z241,$A:$A,0)-1,O246)</f>
        <v>4</v>
      </c>
      <c r="Q246" s="144" t="s">
        <v>29</v>
      </c>
      <c r="R246" s="118">
        <f t="shared" ca="1" si="54"/>
        <v>235459</v>
      </c>
      <c r="S246" s="118">
        <f t="shared" ca="1" si="55"/>
        <v>941836</v>
      </c>
      <c r="T246" s="118">
        <f ca="1">초급</f>
        <v>235459</v>
      </c>
      <c r="U246" s="118">
        <f t="shared" ca="1" si="56"/>
        <v>941836</v>
      </c>
      <c r="V246" s="118"/>
      <c r="W246" s="118"/>
      <c r="X246" s="118"/>
      <c r="Y246" s="118"/>
      <c r="Z246" s="115"/>
    </row>
    <row r="247" spans="11:28" ht="18" customHeight="1">
      <c r="K247" s="171" t="s">
        <v>14</v>
      </c>
      <c r="L247" s="171"/>
      <c r="M247" s="171"/>
      <c r="N247" s="319" t="s">
        <v>42</v>
      </c>
      <c r="O247" s="174">
        <v>8</v>
      </c>
      <c r="P247" s="235">
        <f ca="1">OFFSET($A$1,MATCH(Z241,$A:$A,0)-1,O247)</f>
        <v>4</v>
      </c>
      <c r="Q247" s="322" t="s">
        <v>29</v>
      </c>
      <c r="R247" s="323">
        <f t="shared" ca="1" si="54"/>
        <v>250087</v>
      </c>
      <c r="S247" s="323">
        <f t="shared" ca="1" si="55"/>
        <v>1000348</v>
      </c>
      <c r="T247" s="323">
        <f ca="1">보조원</f>
        <v>250087</v>
      </c>
      <c r="U247" s="323">
        <f t="shared" ca="1" si="56"/>
        <v>1000348</v>
      </c>
      <c r="V247" s="323"/>
      <c r="W247" s="323"/>
      <c r="X247" s="323"/>
      <c r="Y247" s="323"/>
      <c r="Z247" s="324"/>
    </row>
    <row r="248" spans="11:28" ht="18" customHeight="1">
      <c r="K248" s="171" t="s">
        <v>14</v>
      </c>
      <c r="L248" s="171"/>
      <c r="M248" s="171"/>
      <c r="N248" s="139" t="s">
        <v>17</v>
      </c>
      <c r="O248" s="68"/>
      <c r="P248" s="69"/>
      <c r="Q248" s="70"/>
      <c r="R248" s="71"/>
      <c r="S248" s="71">
        <f ca="1">SUBTOTAL(9,S242:S247)</f>
        <v>5425644</v>
      </c>
      <c r="T248" s="71"/>
      <c r="U248" s="71">
        <f ca="1">SUBTOTAL(9,U242:U247)</f>
        <v>5425644</v>
      </c>
      <c r="V248" s="71"/>
      <c r="W248" s="71"/>
      <c r="X248" s="71"/>
      <c r="Y248" s="71"/>
      <c r="Z248" s="68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</row>
    <row r="251" spans="11:28" ht="18" customHeight="1">
      <c r="K251" s="171" t="s">
        <v>14</v>
      </c>
      <c r="L251" s="171"/>
      <c r="M251" s="171"/>
      <c r="P251" s="236"/>
    </row>
    <row r="252" spans="11:28" ht="18" customHeight="1">
      <c r="K252" s="171" t="s">
        <v>14</v>
      </c>
      <c r="L252" s="171"/>
      <c r="M252" s="171"/>
      <c r="P252" s="236"/>
      <c r="AA252" s="171"/>
      <c r="AB252" s="171"/>
    </row>
    <row r="253" spans="11:28" ht="18" customHeight="1">
      <c r="K253" s="171" t="s">
        <v>14</v>
      </c>
      <c r="L253" s="171"/>
      <c r="M253" s="171"/>
      <c r="P253" s="236"/>
      <c r="AA253" s="171"/>
      <c r="AB253" s="171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</row>
    <row r="268" spans="11:28" ht="18" customHeight="1">
      <c r="K268" s="171" t="s">
        <v>14</v>
      </c>
      <c r="L268" s="171"/>
      <c r="M268" s="171"/>
      <c r="P268" s="236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</row>
    <row r="741" spans="11:16" ht="18" customHeight="1">
      <c r="K741" s="171" t="s">
        <v>14</v>
      </c>
      <c r="L741" s="171"/>
      <c r="M741" s="171"/>
    </row>
    <row r="742" spans="11:16" ht="18" customHeight="1">
      <c r="K742" s="171" t="s">
        <v>14</v>
      </c>
      <c r="L742" s="171"/>
      <c r="M742" s="171"/>
    </row>
    <row r="743" spans="11:16" ht="18" customHeight="1">
      <c r="K743" s="171" t="s">
        <v>14</v>
      </c>
      <c r="L743" s="171"/>
      <c r="M743" s="171"/>
    </row>
    <row r="744" spans="11:16" ht="18" customHeight="1">
      <c r="K744" s="171" t="s">
        <v>14</v>
      </c>
      <c r="L744" s="171"/>
      <c r="M744" s="171"/>
    </row>
    <row r="745" spans="11:16" ht="18" customHeight="1">
      <c r="K745" s="171" t="s">
        <v>14</v>
      </c>
      <c r="L745" s="171"/>
      <c r="M745" s="171"/>
    </row>
    <row r="746" spans="11:16" ht="18" customHeight="1">
      <c r="K746" s="171" t="s">
        <v>14</v>
      </c>
      <c r="L746" s="171"/>
      <c r="M746" s="171"/>
    </row>
    <row r="747" spans="11:16" ht="18" customHeight="1">
      <c r="K747" s="171" t="s">
        <v>14</v>
      </c>
      <c r="L747" s="171"/>
      <c r="M747" s="171"/>
    </row>
    <row r="748" spans="11:16" ht="18" customHeight="1">
      <c r="K748" s="171" t="s">
        <v>14</v>
      </c>
      <c r="L748" s="171"/>
      <c r="M748" s="171"/>
    </row>
    <row r="749" spans="11:16" ht="18" customHeight="1">
      <c r="K749" s="171" t="s">
        <v>14</v>
      </c>
      <c r="L749" s="171"/>
      <c r="M749" s="171"/>
    </row>
    <row r="750" spans="11:16" ht="18" customHeight="1">
      <c r="K750" s="171" t="s">
        <v>14</v>
      </c>
      <c r="L750" s="171"/>
      <c r="M750" s="171"/>
    </row>
    <row r="751" spans="11:16" ht="18" customHeight="1">
      <c r="K751" s="171" t="s">
        <v>14</v>
      </c>
      <c r="L751" s="171"/>
      <c r="M751" s="171"/>
    </row>
    <row r="752" spans="11:16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M810" s="171"/>
    </row>
    <row r="811" spans="11:13" ht="18" customHeight="1">
      <c r="K811" s="171" t="s">
        <v>14</v>
      </c>
      <c r="M811" s="171"/>
    </row>
    <row r="812" spans="11:13" ht="18" customHeight="1">
      <c r="K812" s="171" t="s">
        <v>14</v>
      </c>
      <c r="M812" s="171"/>
    </row>
    <row r="813" spans="11:13" ht="18" customHeight="1">
      <c r="K813" s="171" t="s">
        <v>14</v>
      </c>
      <c r="M813" s="171"/>
    </row>
    <row r="814" spans="11:13" ht="18" customHeight="1">
      <c r="K814" s="171" t="s">
        <v>14</v>
      </c>
      <c r="M814" s="171"/>
    </row>
    <row r="815" spans="11:13" ht="18" customHeight="1">
      <c r="K815" s="171" t="s">
        <v>14</v>
      </c>
      <c r="M815" s="171"/>
    </row>
    <row r="816" spans="11:13" ht="18" customHeight="1">
      <c r="K816" s="171" t="s">
        <v>14</v>
      </c>
      <c r="M816" s="171"/>
    </row>
    <row r="817" spans="11:11" ht="18" customHeight="1">
      <c r="K817" s="171" t="s">
        <v>14</v>
      </c>
    </row>
  </sheetData>
  <mergeCells count="17">
    <mergeCell ref="Q71:Q72"/>
    <mergeCell ref="Z71:Z72"/>
    <mergeCell ref="N71:N72"/>
    <mergeCell ref="O71:O72"/>
    <mergeCell ref="P71:P72"/>
    <mergeCell ref="B13:C14"/>
    <mergeCell ref="J13:J14"/>
    <mergeCell ref="L13:L14"/>
    <mergeCell ref="D5:E5"/>
    <mergeCell ref="B3:C3"/>
    <mergeCell ref="G3:H3"/>
    <mergeCell ref="B4:C4"/>
    <mergeCell ref="G4:H4"/>
    <mergeCell ref="B5:C5"/>
    <mergeCell ref="G5:H5"/>
    <mergeCell ref="D3:E3"/>
    <mergeCell ref="D4:E4"/>
  </mergeCells>
  <phoneticPr fontId="14" type="noConversion"/>
  <conditionalFormatting sqref="V15:V40">
    <cfRule type="cellIs" dxfId="5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2" min="13" max="28" man="1"/>
    <brk id="79" min="13" max="28" man="1"/>
    <brk id="100" min="13" max="2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64">
    <tabColor rgb="FF00B050"/>
    <pageSetUpPr fitToPage="1"/>
  </sheetPr>
  <dimension ref="A1:AB815"/>
  <sheetViews>
    <sheetView showGridLines="0" zoomScale="85" zoomScaleNormal="85" zoomScaleSheetLayoutView="75" workbookViewId="0">
      <selection activeCell="L3" sqref="L3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110</v>
      </c>
    </row>
    <row r="2" spans="1:27" ht="19.5" thickBot="1">
      <c r="A2" s="326"/>
      <c r="B2" s="66" t="s">
        <v>1</v>
      </c>
    </row>
    <row r="3" spans="1:27" ht="18" customHeight="1">
      <c r="A3" s="326"/>
      <c r="B3" s="773" t="s">
        <v>70</v>
      </c>
      <c r="C3" s="774"/>
      <c r="D3" s="775">
        <v>50</v>
      </c>
      <c r="E3" s="776"/>
      <c r="F3" s="44" t="s">
        <v>53</v>
      </c>
      <c r="G3" s="767" t="s">
        <v>1104</v>
      </c>
      <c r="H3" s="768"/>
      <c r="I3" s="656">
        <v>2</v>
      </c>
      <c r="J3" s="669" t="s">
        <v>1512</v>
      </c>
      <c r="R3" s="1"/>
      <c r="S3" s="1"/>
      <c r="Z3" s="6"/>
      <c r="AA3" s="6"/>
    </row>
    <row r="4" spans="1:27" ht="18" customHeight="1">
      <c r="A4" s="326"/>
      <c r="B4" s="777" t="s">
        <v>1659</v>
      </c>
      <c r="C4" s="778"/>
      <c r="D4" s="779">
        <v>50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  <c r="R4" s="1"/>
      <c r="S4" s="1"/>
      <c r="Z4" s="6"/>
      <c r="AA4" s="6"/>
    </row>
    <row r="5" spans="1:27" ht="18" customHeight="1" thickBot="1">
      <c r="A5" s="326"/>
      <c r="B5" s="781" t="s">
        <v>95</v>
      </c>
      <c r="C5" s="782"/>
      <c r="D5" s="783">
        <f>ROUND((IF(D4&lt;=3,3,D4)/D3)^0.6,3)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  <c r="R5" s="1"/>
      <c r="S5" s="1"/>
      <c r="W5" s="6">
        <f t="array" aca="1" ref="W5" ca="1">SUM((N71:N206=N78)*S71:S206)</f>
        <v>142897799</v>
      </c>
      <c r="Z5" s="6"/>
      <c r="AA5" s="6"/>
    </row>
    <row r="6" spans="1:27" ht="18" customHeight="1">
      <c r="A6" s="358"/>
      <c r="B6" s="9" t="s">
        <v>1703</v>
      </c>
      <c r="C6" s="36"/>
      <c r="D6" s="36"/>
      <c r="E6" s="36"/>
      <c r="F6" s="36"/>
      <c r="G6" s="9" t="s">
        <v>1107</v>
      </c>
      <c r="J6" s="36"/>
      <c r="R6" s="1"/>
      <c r="S6" s="1"/>
      <c r="T6" s="1"/>
    </row>
    <row r="7" spans="1:27" ht="18" customHeight="1">
      <c r="A7" s="355"/>
      <c r="G7" s="36"/>
      <c r="W7" s="188" t="s">
        <v>3</v>
      </c>
      <c r="X7" s="189"/>
    </row>
    <row r="8" spans="1:27" ht="18" customHeight="1" thickBot="1">
      <c r="A8" s="355"/>
      <c r="B8" s="66" t="s">
        <v>4</v>
      </c>
      <c r="C8" s="9"/>
      <c r="D8" s="64"/>
      <c r="E8" s="64"/>
      <c r="G8" s="36"/>
      <c r="N8" s="66" t="s">
        <v>5</v>
      </c>
    </row>
    <row r="9" spans="1:27" ht="18" customHeight="1" thickBot="1">
      <c r="A9" s="355"/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SUBTOTAL(9,W10:W45)</f>
        <v>501656255</v>
      </c>
      <c r="X9" s="187"/>
      <c r="Y9" s="177"/>
      <c r="Z9" s="167"/>
    </row>
    <row r="10" spans="1:27" ht="18" customHeight="1">
      <c r="A10" s="355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SUBTOTAL(9,W11:W42)</f>
        <v>182373437</v>
      </c>
      <c r="X10" s="164"/>
      <c r="Y10" s="178" t="s">
        <v>9</v>
      </c>
      <c r="Z10" s="179"/>
    </row>
    <row r="11" spans="1:27" ht="18" customHeight="1" thickBot="1">
      <c r="A11" s="355"/>
      <c r="B11" s="759"/>
      <c r="C11" s="760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218"/>
      <c r="W11" s="159">
        <f ca="1">SUBTOTAL(9,W12:W38)</f>
        <v>177873437</v>
      </c>
      <c r="X11" s="160"/>
      <c r="Y11" s="168"/>
      <c r="Z11" s="168"/>
    </row>
    <row r="12" spans="1:27" ht="18" customHeight="1">
      <c r="A12" s="355"/>
      <c r="B12" s="73" t="s">
        <v>1740</v>
      </c>
      <c r="C12" s="72"/>
      <c r="D12" s="30">
        <f t="shared" ref="D12:I12" si="0">SUBTOTAL(9,D13:D29)</f>
        <v>12.3</v>
      </c>
      <c r="E12" s="31">
        <f t="shared" si="0"/>
        <v>19.099999999999994</v>
      </c>
      <c r="F12" s="31">
        <f t="shared" si="0"/>
        <v>70.8</v>
      </c>
      <c r="G12" s="31">
        <f t="shared" si="0"/>
        <v>71.5</v>
      </c>
      <c r="H12" s="31">
        <f t="shared" si="0"/>
        <v>164</v>
      </c>
      <c r="I12" s="32">
        <f t="shared" si="0"/>
        <v>193.10000000000002</v>
      </c>
      <c r="J12" s="654"/>
      <c r="L12" s="232"/>
      <c r="N12" s="354" t="str">
        <f>B12</f>
        <v>1. 개발계획</v>
      </c>
      <c r="O12" s="169"/>
      <c r="P12" s="169"/>
      <c r="Q12" s="169"/>
      <c r="R12" s="169"/>
      <c r="S12" s="169"/>
      <c r="T12" s="169"/>
      <c r="U12" s="226"/>
      <c r="V12" s="248"/>
      <c r="W12" s="193">
        <f ca="1">SUBTOTAL(9,W13:W29)</f>
        <v>142897799</v>
      </c>
      <c r="X12" s="194"/>
      <c r="Y12" s="170" t="str">
        <f>IF(A29&gt;0, "제 " &amp;A29&amp; " 호표","")</f>
        <v/>
      </c>
      <c r="Z12" s="170"/>
      <c r="AA12" s="229"/>
    </row>
    <row r="13" spans="1:27" ht="18" customHeight="1">
      <c r="A13" s="355"/>
      <c r="B13" s="409" t="s">
        <v>1741</v>
      </c>
      <c r="C13" s="237"/>
      <c r="D13" s="20">
        <v>0.7</v>
      </c>
      <c r="E13" s="21">
        <v>2.6</v>
      </c>
      <c r="F13" s="21">
        <v>4.7</v>
      </c>
      <c r="G13" s="21">
        <v>6.6</v>
      </c>
      <c r="H13" s="21">
        <v>13.5</v>
      </c>
      <c r="I13" s="22">
        <v>13.5</v>
      </c>
      <c r="J13" s="389" t="s">
        <v>1664</v>
      </c>
      <c r="L13" s="233">
        <v>1</v>
      </c>
      <c r="N13" s="292" t="str">
        <f t="shared" ref="N13:N38" si="1">B13</f>
        <v>1.1. 현황조사 및 분석</v>
      </c>
      <c r="O13" s="37"/>
      <c r="P13" s="37"/>
      <c r="Q13" s="37"/>
      <c r="R13" s="37"/>
      <c r="S13" s="37"/>
      <c r="T13" s="37"/>
      <c r="U13" s="227"/>
      <c r="V13" s="231"/>
      <c r="W13" s="153">
        <f t="array" aca="1" ref="W13" ca="1">SUM((ROUNDDOWN((D41:I41)*단가,0)))</f>
        <v>11261702</v>
      </c>
      <c r="X13" s="154"/>
      <c r="Y13" s="170" t="str">
        <f>IF(A41&gt;0, "제 " &amp;A41&amp; " 호표","")</f>
        <v>제 1 호표</v>
      </c>
      <c r="Z13" s="150"/>
    </row>
    <row r="14" spans="1:27" ht="18" customHeight="1">
      <c r="A14" s="355"/>
      <c r="B14" s="409" t="s">
        <v>1742</v>
      </c>
      <c r="C14" s="237"/>
      <c r="D14" s="20">
        <v>0.9</v>
      </c>
      <c r="E14" s="21">
        <v>2.4</v>
      </c>
      <c r="F14" s="21">
        <v>4.5999999999999996</v>
      </c>
      <c r="G14" s="21">
        <v>6.6</v>
      </c>
      <c r="H14" s="21">
        <v>6.6</v>
      </c>
      <c r="I14" s="22">
        <v>9.9</v>
      </c>
      <c r="J14" s="389" t="s">
        <v>1090</v>
      </c>
      <c r="L14" s="233">
        <v>1</v>
      </c>
      <c r="N14" s="292" t="str">
        <f t="shared" si="1"/>
        <v>1.2. 개발정비조건 및 계획내용 설정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SUM((ROUNDDOWN((D42:I42)*단가,0)))</f>
        <v>8724408</v>
      </c>
      <c r="X14" s="154"/>
      <c r="Y14" s="170" t="str">
        <f t="shared" ref="Y14:Y38" si="2">IF(A42&gt;0, "제 " &amp;A42&amp; " 호표","")</f>
        <v>제 2 호표</v>
      </c>
      <c r="Z14" s="150"/>
    </row>
    <row r="15" spans="1:27" ht="18" customHeight="1">
      <c r="A15" s="355"/>
      <c r="B15" s="223" t="s">
        <v>1743</v>
      </c>
      <c r="C15" s="237"/>
      <c r="D15" s="20">
        <v>0.6</v>
      </c>
      <c r="E15" s="21">
        <v>0.8</v>
      </c>
      <c r="F15" s="21">
        <v>2.7</v>
      </c>
      <c r="G15" s="21">
        <v>2.7</v>
      </c>
      <c r="H15" s="21">
        <v>6.7</v>
      </c>
      <c r="I15" s="22">
        <v>6.8</v>
      </c>
      <c r="J15" s="389" t="s">
        <v>1090</v>
      </c>
      <c r="L15" s="233">
        <v>1</v>
      </c>
      <c r="N15" s="292" t="str">
        <f t="shared" si="1"/>
        <v>1.3. 유치업종 검토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SUM((ROUNDDOWN((D43:I43)*단가,0)))</f>
        <v>5493436</v>
      </c>
      <c r="X15" s="154"/>
      <c r="Y15" s="170" t="str">
        <f t="shared" si="2"/>
        <v>제 3 호표</v>
      </c>
      <c r="Z15" s="150"/>
    </row>
    <row r="16" spans="1:27" ht="18" customHeight="1">
      <c r="A16" s="355"/>
      <c r="B16" s="223" t="s">
        <v>1744</v>
      </c>
      <c r="C16" s="237"/>
      <c r="D16" s="20">
        <v>0.6</v>
      </c>
      <c r="E16" s="21">
        <v>0.7</v>
      </c>
      <c r="F16" s="21">
        <v>2.7</v>
      </c>
      <c r="G16" s="21">
        <v>2.7</v>
      </c>
      <c r="H16" s="21">
        <v>10.199999999999999</v>
      </c>
      <c r="I16" s="22">
        <v>10.1</v>
      </c>
      <c r="J16" s="389" t="s">
        <v>1090</v>
      </c>
      <c r="L16" s="233">
        <v>1</v>
      </c>
      <c r="N16" s="292" t="str">
        <f t="shared" si="1"/>
        <v>1.4. 유치업종별 원단위 및 규격결정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SUM((ROUNDDOWN((D44:I44)*단가,0)))</f>
        <v>7105494</v>
      </c>
      <c r="X16" s="154"/>
      <c r="Y16" s="170" t="str">
        <f t="shared" si="2"/>
        <v>제 4 호표</v>
      </c>
      <c r="Z16" s="150"/>
    </row>
    <row r="17" spans="1:26" ht="18" customHeight="1">
      <c r="A17" s="355"/>
      <c r="B17" s="223" t="s">
        <v>1745</v>
      </c>
      <c r="C17" s="237"/>
      <c r="D17" s="20">
        <v>0.6</v>
      </c>
      <c r="E17" s="21">
        <v>0.8</v>
      </c>
      <c r="F17" s="21">
        <v>2.6</v>
      </c>
      <c r="G17" s="21">
        <v>2.6</v>
      </c>
      <c r="H17" s="21">
        <v>6.7</v>
      </c>
      <c r="I17" s="22">
        <v>6.7</v>
      </c>
      <c r="J17" s="389" t="s">
        <v>1090</v>
      </c>
      <c r="L17" s="233">
        <v>1</v>
      </c>
      <c r="N17" s="292" t="str">
        <f t="shared" si="1"/>
        <v>1.5. 인구유발 효과 및 수용계획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SUM((ROUNDDOWN((D45:I45)*단가,0)))</f>
        <v>5407825</v>
      </c>
      <c r="X17" s="154"/>
      <c r="Y17" s="170" t="str">
        <f t="shared" si="2"/>
        <v>제 5 호표</v>
      </c>
      <c r="Z17" s="150"/>
    </row>
    <row r="18" spans="1:26" ht="18" customHeight="1">
      <c r="A18" s="355"/>
      <c r="B18" s="223" t="s">
        <v>1746</v>
      </c>
      <c r="C18" s="237"/>
      <c r="D18" s="20">
        <v>0.5</v>
      </c>
      <c r="E18" s="21">
        <v>0.9</v>
      </c>
      <c r="F18" s="21">
        <v>4</v>
      </c>
      <c r="G18" s="21">
        <v>3.9</v>
      </c>
      <c r="H18" s="21">
        <v>6.7</v>
      </c>
      <c r="I18" s="22">
        <v>10</v>
      </c>
      <c r="J18" s="389" t="s">
        <v>1090</v>
      </c>
      <c r="L18" s="233">
        <v>1</v>
      </c>
      <c r="N18" s="292" t="str">
        <f t="shared" si="1"/>
        <v>1.6. 지역경제 파급효과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SUM((ROUNDDOWN((D46:I46)*단가,0)))</f>
        <v>7042644</v>
      </c>
      <c r="X18" s="154"/>
      <c r="Y18" s="170" t="str">
        <f t="shared" si="2"/>
        <v>제 6 호표</v>
      </c>
      <c r="Z18" s="150"/>
    </row>
    <row r="19" spans="1:26" ht="18" customHeight="1">
      <c r="A19" s="355"/>
      <c r="B19" s="223" t="s">
        <v>1747</v>
      </c>
      <c r="C19" s="237"/>
      <c r="D19" s="20">
        <v>1.3</v>
      </c>
      <c r="E19" s="21">
        <v>2</v>
      </c>
      <c r="F19" s="21">
        <v>4.5999999999999996</v>
      </c>
      <c r="G19" s="21">
        <v>0</v>
      </c>
      <c r="H19" s="21">
        <v>13.2</v>
      </c>
      <c r="I19" s="22">
        <v>13.2</v>
      </c>
      <c r="J19" s="389" t="s">
        <v>1090</v>
      </c>
      <c r="L19" s="233">
        <v>1</v>
      </c>
      <c r="N19" s="292" t="str">
        <f t="shared" si="1"/>
        <v>1.7. 구상안 작성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SUM((ROUNDDOWN((D47:I47)*단가,0)))</f>
        <v>9193360</v>
      </c>
      <c r="X19" s="154"/>
      <c r="Y19" s="170" t="str">
        <f t="shared" si="2"/>
        <v>제 7 호표</v>
      </c>
      <c r="Z19" s="150"/>
    </row>
    <row r="20" spans="1:26" ht="18" customHeight="1">
      <c r="A20" s="355"/>
      <c r="B20" s="223" t="s">
        <v>1748</v>
      </c>
      <c r="C20" s="237"/>
      <c r="D20" s="20">
        <v>0.7</v>
      </c>
      <c r="E20" s="21">
        <v>0.7</v>
      </c>
      <c r="F20" s="21">
        <v>4.0999999999999996</v>
      </c>
      <c r="G20" s="21">
        <v>4.0999999999999996</v>
      </c>
      <c r="H20" s="21">
        <v>6.7</v>
      </c>
      <c r="I20" s="22">
        <v>10.1</v>
      </c>
      <c r="J20" s="389" t="s">
        <v>1090</v>
      </c>
      <c r="L20" s="233">
        <v>1</v>
      </c>
      <c r="N20" s="292" t="str">
        <f t="shared" si="1"/>
        <v>1.8. 업종별 배분계획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SUM((ROUNDDOWN((D48:I48)*단가,0)))</f>
        <v>7176540</v>
      </c>
      <c r="X20" s="154"/>
      <c r="Y20" s="170" t="str">
        <f t="shared" si="2"/>
        <v>제 8 호표</v>
      </c>
      <c r="Z20" s="150"/>
    </row>
    <row r="21" spans="1:26" ht="18" customHeight="1">
      <c r="A21" s="355"/>
      <c r="B21" s="223" t="s">
        <v>1749</v>
      </c>
      <c r="C21" s="237"/>
      <c r="D21" s="20">
        <v>1.3</v>
      </c>
      <c r="E21" s="21">
        <v>1.3</v>
      </c>
      <c r="F21" s="21">
        <v>7.5</v>
      </c>
      <c r="G21" s="21">
        <v>8.1</v>
      </c>
      <c r="H21" s="21">
        <v>27</v>
      </c>
      <c r="I21" s="22">
        <v>27</v>
      </c>
      <c r="J21" s="389" t="s">
        <v>1090</v>
      </c>
      <c r="L21" s="233">
        <v>1</v>
      </c>
      <c r="N21" s="292" t="str">
        <f t="shared" si="1"/>
        <v>1.9. 토지이용계획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SUM((ROUNDDOWN((D49:I49)*단가,0)))</f>
        <v>18924729</v>
      </c>
      <c r="X21" s="154"/>
      <c r="Y21" s="170" t="str">
        <f t="shared" si="2"/>
        <v>제 9 호표</v>
      </c>
      <c r="Z21" s="150"/>
    </row>
    <row r="22" spans="1:26" ht="18" customHeight="1">
      <c r="A22" s="355"/>
      <c r="B22" s="223" t="s">
        <v>1750</v>
      </c>
      <c r="C22" s="237"/>
      <c r="D22" s="20">
        <v>0.8</v>
      </c>
      <c r="E22" s="21">
        <v>0.5</v>
      </c>
      <c r="F22" s="21">
        <v>4</v>
      </c>
      <c r="G22" s="21">
        <v>4</v>
      </c>
      <c r="H22" s="21">
        <v>13.2</v>
      </c>
      <c r="I22" s="22">
        <v>16.5</v>
      </c>
      <c r="J22" s="389" t="s">
        <v>1090</v>
      </c>
      <c r="L22" s="233">
        <v>1</v>
      </c>
      <c r="N22" s="292" t="str">
        <f t="shared" si="1"/>
        <v>1.10. 동선계획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SUM((ROUNDDOWN((D50:I50)*단가,0)))</f>
        <v>10219030</v>
      </c>
      <c r="X22" s="154"/>
      <c r="Y22" s="170" t="str">
        <f t="shared" si="2"/>
        <v>제 10 호표</v>
      </c>
      <c r="Z22" s="150"/>
    </row>
    <row r="23" spans="1:26" ht="18" customHeight="1">
      <c r="A23" s="326"/>
      <c r="B23" s="223" t="s">
        <v>1751</v>
      </c>
      <c r="C23" s="237"/>
      <c r="D23" s="20">
        <v>1</v>
      </c>
      <c r="E23" s="21">
        <v>1.6</v>
      </c>
      <c r="F23" s="21">
        <v>6.7</v>
      </c>
      <c r="G23" s="21">
        <v>6.7</v>
      </c>
      <c r="H23" s="21">
        <v>13.5</v>
      </c>
      <c r="I23" s="22">
        <v>13.5</v>
      </c>
      <c r="J23" s="389" t="s">
        <v>1090</v>
      </c>
      <c r="L23" s="233">
        <v>1</v>
      </c>
      <c r="N23" s="292" t="str">
        <f t="shared" si="1"/>
        <v>1.11. 공급처리시설계획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SUM((ROUNDDOWN((D51:I51)*단가,0)))</f>
        <v>11679797</v>
      </c>
      <c r="X23" s="154"/>
      <c r="Y23" s="170" t="str">
        <f t="shared" si="2"/>
        <v>제 11 호표</v>
      </c>
      <c r="Z23" s="150"/>
    </row>
    <row r="24" spans="1:26" ht="18" customHeight="1">
      <c r="A24" s="326"/>
      <c r="B24" s="223" t="s">
        <v>1752</v>
      </c>
      <c r="C24" s="237"/>
      <c r="D24" s="20">
        <v>0.5</v>
      </c>
      <c r="E24" s="21">
        <v>0.8</v>
      </c>
      <c r="F24" s="21">
        <v>4</v>
      </c>
      <c r="G24" s="21">
        <v>4</v>
      </c>
      <c r="H24" s="21">
        <v>6.6</v>
      </c>
      <c r="I24" s="22">
        <v>9.9</v>
      </c>
      <c r="J24" s="389" t="s">
        <v>1090</v>
      </c>
      <c r="L24" s="233">
        <v>1</v>
      </c>
      <c r="N24" s="292" t="str">
        <f t="shared" si="1"/>
        <v>1.12. 공원녹지계획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SUM((ROUNDDOWN((D52:I52)*단가,0)))</f>
        <v>6986268</v>
      </c>
      <c r="X24" s="154"/>
      <c r="Y24" s="170" t="str">
        <f t="shared" si="2"/>
        <v>제 12 호표</v>
      </c>
      <c r="Z24" s="150"/>
    </row>
    <row r="25" spans="1:26" ht="18" customHeight="1">
      <c r="A25" s="326"/>
      <c r="B25" s="223" t="s">
        <v>1753</v>
      </c>
      <c r="C25" s="237"/>
      <c r="D25" s="20">
        <v>0.5</v>
      </c>
      <c r="E25" s="21">
        <v>0.9</v>
      </c>
      <c r="F25" s="21">
        <v>4.0999999999999996</v>
      </c>
      <c r="G25" s="21">
        <v>4</v>
      </c>
      <c r="H25" s="21">
        <v>6.6</v>
      </c>
      <c r="I25" s="22">
        <v>10.199999999999999</v>
      </c>
      <c r="J25" s="389" t="s">
        <v>1090</v>
      </c>
      <c r="L25" s="233">
        <v>1</v>
      </c>
      <c r="N25" s="292" t="str">
        <f t="shared" si="1"/>
        <v>1.13. 환경관리계획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SUM((ROUNDDOWN((D53:I53)*단가,0)))</f>
        <v>7129717</v>
      </c>
      <c r="X25" s="154"/>
      <c r="Y25" s="170" t="str">
        <f t="shared" si="2"/>
        <v>제 13 호표</v>
      </c>
      <c r="Z25" s="150"/>
    </row>
    <row r="26" spans="1:26" ht="18" customHeight="1">
      <c r="A26" s="326"/>
      <c r="B26" s="223" t="s">
        <v>1754</v>
      </c>
      <c r="C26" s="237"/>
      <c r="D26" s="20">
        <v>0.5</v>
      </c>
      <c r="E26" s="21">
        <v>0.9</v>
      </c>
      <c r="F26" s="21">
        <v>4</v>
      </c>
      <c r="G26" s="21">
        <v>3.8</v>
      </c>
      <c r="H26" s="21">
        <v>6.6</v>
      </c>
      <c r="I26" s="22">
        <v>9.9</v>
      </c>
      <c r="J26" s="389" t="s">
        <v>1090</v>
      </c>
      <c r="L26" s="233">
        <v>1</v>
      </c>
      <c r="N26" s="292" t="str">
        <f t="shared" si="1"/>
        <v>1.14. 용지공급계획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SUM((ROUNDDOWN((D54:I54)*단가,0)))</f>
        <v>6964575</v>
      </c>
      <c r="X26" s="154"/>
      <c r="Y26" s="170" t="str">
        <f t="shared" si="2"/>
        <v>제 14 호표</v>
      </c>
      <c r="Z26" s="150"/>
    </row>
    <row r="27" spans="1:26" ht="18" customHeight="1">
      <c r="A27" s="326"/>
      <c r="B27" s="223" t="s">
        <v>1755</v>
      </c>
      <c r="C27" s="237"/>
      <c r="D27" s="20">
        <v>0.5</v>
      </c>
      <c r="E27" s="21">
        <v>0.9</v>
      </c>
      <c r="F27" s="21">
        <v>3.9</v>
      </c>
      <c r="G27" s="21">
        <v>3.7</v>
      </c>
      <c r="H27" s="21">
        <v>7</v>
      </c>
      <c r="I27" s="22">
        <v>6</v>
      </c>
      <c r="J27" s="389" t="s">
        <v>1090</v>
      </c>
      <c r="L27" s="233">
        <v>1</v>
      </c>
      <c r="N27" s="292" t="str">
        <f t="shared" si="1"/>
        <v>1.15. 재원조달 및 자금투자계획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SUM((ROUNDDOWN((D55:I55)*단가,0)))</f>
        <v>6022817</v>
      </c>
      <c r="X27" s="154"/>
      <c r="Y27" s="170" t="str">
        <f t="shared" si="2"/>
        <v>제 15 호표</v>
      </c>
      <c r="Z27" s="150"/>
    </row>
    <row r="28" spans="1:26" ht="18" customHeight="1">
      <c r="A28" s="355"/>
      <c r="B28" s="223" t="s">
        <v>1756</v>
      </c>
      <c r="C28" s="237"/>
      <c r="D28" s="20">
        <v>0.4</v>
      </c>
      <c r="E28" s="21">
        <v>0.9</v>
      </c>
      <c r="F28" s="21">
        <v>2.6</v>
      </c>
      <c r="G28" s="21">
        <v>4</v>
      </c>
      <c r="H28" s="21">
        <v>6.6</v>
      </c>
      <c r="I28" s="22">
        <v>9.9</v>
      </c>
      <c r="J28" s="389" t="s">
        <v>1090</v>
      </c>
      <c r="L28" s="233">
        <v>1</v>
      </c>
      <c r="N28" s="292" t="str">
        <f t="shared" si="1"/>
        <v>1.16. 운영관리계획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SUM((ROUNDDOWN((D56:I56)*단가,0)))</f>
        <v>6541643</v>
      </c>
      <c r="X28" s="154"/>
      <c r="Y28" s="170" t="str">
        <f t="shared" si="2"/>
        <v>제 16 호표</v>
      </c>
      <c r="Z28" s="150"/>
    </row>
    <row r="29" spans="1:26" ht="18" customHeight="1">
      <c r="A29" s="326"/>
      <c r="B29" s="223" t="s">
        <v>1757</v>
      </c>
      <c r="C29" s="237"/>
      <c r="D29" s="20">
        <v>0.9</v>
      </c>
      <c r="E29" s="21">
        <v>0.4</v>
      </c>
      <c r="F29" s="21">
        <v>4</v>
      </c>
      <c r="G29" s="21">
        <v>4</v>
      </c>
      <c r="H29" s="21">
        <v>6.6</v>
      </c>
      <c r="I29" s="22">
        <v>9.9</v>
      </c>
      <c r="J29" s="389" t="s">
        <v>1763</v>
      </c>
      <c r="L29" s="233">
        <v>1</v>
      </c>
      <c r="N29" s="292" t="str">
        <f t="shared" si="1"/>
        <v>1.17. 개발계획 승인도서 작성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SUM((ROUNDDOWN((D57:I57)*단가,0)))</f>
        <v>7023814</v>
      </c>
      <c r="X29" s="154"/>
      <c r="Y29" s="170" t="str">
        <f t="shared" si="2"/>
        <v>제 17 호표</v>
      </c>
      <c r="Z29" s="150"/>
    </row>
    <row r="30" spans="1:26" ht="18" customHeight="1">
      <c r="A30" s="326"/>
      <c r="B30" s="222" t="s">
        <v>1718</v>
      </c>
      <c r="C30" s="47"/>
      <c r="D30" s="33">
        <v>0</v>
      </c>
      <c r="E30" s="34">
        <v>0</v>
      </c>
      <c r="F30" s="34">
        <v>0</v>
      </c>
      <c r="G30" s="34">
        <v>0</v>
      </c>
      <c r="H30" s="34">
        <v>0</v>
      </c>
      <c r="I30" s="35">
        <v>0</v>
      </c>
      <c r="J30" s="594" t="s">
        <v>1739</v>
      </c>
      <c r="L30" s="233"/>
      <c r="N30" s="79" t="str">
        <f t="shared" si="1"/>
        <v>2. 실시계획</v>
      </c>
      <c r="O30" s="37"/>
      <c r="P30" s="37"/>
      <c r="Q30" s="37"/>
      <c r="R30" s="37"/>
      <c r="S30" s="37"/>
      <c r="T30" s="37"/>
      <c r="U30" s="227"/>
      <c r="V30" s="231"/>
      <c r="W30" s="193">
        <f ca="1">SUBTOTAL(9,W31:W32)</f>
        <v>6180879</v>
      </c>
      <c r="X30" s="154"/>
      <c r="Y30" s="170" t="str">
        <f t="shared" si="2"/>
        <v/>
      </c>
      <c r="Z30" s="150"/>
    </row>
    <row r="31" spans="1:26" ht="18" customHeight="1">
      <c r="A31" s="326"/>
      <c r="B31" s="222" t="s">
        <v>1758</v>
      </c>
      <c r="C31" s="47"/>
      <c r="D31" s="33">
        <f t="shared" ref="D31:I31" si="3">SUBTOTAL(9,D32:D33)</f>
        <v>0.6</v>
      </c>
      <c r="E31" s="34">
        <f t="shared" si="3"/>
        <v>2.5</v>
      </c>
      <c r="F31" s="34">
        <f t="shared" si="3"/>
        <v>8.1</v>
      </c>
      <c r="G31" s="34">
        <f t="shared" si="3"/>
        <v>8</v>
      </c>
      <c r="H31" s="34">
        <f t="shared" si="3"/>
        <v>13.5</v>
      </c>
      <c r="I31" s="35">
        <f t="shared" si="3"/>
        <v>16</v>
      </c>
      <c r="J31" s="594"/>
      <c r="L31" s="233"/>
      <c r="N31" s="79" t="str">
        <f t="shared" si="1"/>
        <v>3. 성과품작성</v>
      </c>
      <c r="O31" s="37"/>
      <c r="P31" s="37"/>
      <c r="Q31" s="37"/>
      <c r="R31" s="37"/>
      <c r="S31" s="37"/>
      <c r="T31" s="37"/>
      <c r="U31" s="227"/>
      <c r="V31" s="231"/>
      <c r="W31" s="193">
        <f ca="1">SUBTOTAL(9,W32:W33)</f>
        <v>13273062</v>
      </c>
      <c r="X31" s="154"/>
      <c r="Y31" s="170" t="str">
        <f t="shared" si="2"/>
        <v/>
      </c>
      <c r="Z31" s="150"/>
    </row>
    <row r="32" spans="1:26" ht="18" customHeight="1">
      <c r="A32" s="326"/>
      <c r="B32" s="223" t="s">
        <v>1759</v>
      </c>
      <c r="C32" s="237"/>
      <c r="D32" s="20">
        <v>0.3</v>
      </c>
      <c r="E32" s="21">
        <v>1.3</v>
      </c>
      <c r="F32" s="21">
        <v>4.0999999999999996</v>
      </c>
      <c r="G32" s="21">
        <v>4</v>
      </c>
      <c r="H32" s="21">
        <v>6.9</v>
      </c>
      <c r="I32" s="22">
        <v>5.9</v>
      </c>
      <c r="J32" s="400" t="s">
        <v>1090</v>
      </c>
      <c r="L32" s="233">
        <v>1</v>
      </c>
      <c r="N32" s="292" t="str">
        <f t="shared" si="1"/>
        <v>3.1. 보고서 작성 및 편집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SUM((ROUNDDOWN((D60:I60)*단가,0)))</f>
        <v>6180879</v>
      </c>
      <c r="X32" s="154"/>
      <c r="Y32" s="170" t="str">
        <f t="shared" si="2"/>
        <v>제 18 호표</v>
      </c>
      <c r="Z32" s="150"/>
    </row>
    <row r="33" spans="1:26" ht="18" customHeight="1">
      <c r="A33" s="326"/>
      <c r="B33" s="259" t="s">
        <v>1760</v>
      </c>
      <c r="C33" s="264"/>
      <c r="D33" s="40">
        <v>0.3</v>
      </c>
      <c r="E33" s="41">
        <v>1.2</v>
      </c>
      <c r="F33" s="41">
        <v>4</v>
      </c>
      <c r="G33" s="41">
        <v>4</v>
      </c>
      <c r="H33" s="41">
        <v>6.6</v>
      </c>
      <c r="I33" s="42">
        <v>10.1</v>
      </c>
      <c r="J33" s="685" t="s">
        <v>1090</v>
      </c>
      <c r="L33" s="233">
        <v>1</v>
      </c>
      <c r="N33" s="292" t="str">
        <f t="shared" si="1"/>
        <v>3.2. 관련도서 작성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SUM((ROUNDDOWN((D61:I61)*단가,0)))</f>
        <v>7092183</v>
      </c>
      <c r="X33" s="154"/>
      <c r="Y33" s="170" t="str">
        <f t="shared" si="2"/>
        <v>제 19 호표</v>
      </c>
      <c r="Z33" s="150"/>
    </row>
    <row r="34" spans="1:26" ht="18" customHeight="1">
      <c r="A34" s="326"/>
      <c r="B34" s="222" t="s">
        <v>650</v>
      </c>
      <c r="C34" s="47"/>
      <c r="D34" s="48">
        <f t="shared" ref="D34:I34" si="4">SUBTOTAL(9,D35:D38)</f>
        <v>8</v>
      </c>
      <c r="E34" s="49">
        <f t="shared" si="4"/>
        <v>8</v>
      </c>
      <c r="F34" s="49">
        <f t="shared" si="4"/>
        <v>8</v>
      </c>
      <c r="G34" s="49">
        <f t="shared" si="4"/>
        <v>16</v>
      </c>
      <c r="H34" s="49">
        <f t="shared" si="4"/>
        <v>16</v>
      </c>
      <c r="I34" s="50">
        <f t="shared" si="4"/>
        <v>16</v>
      </c>
      <c r="J34" s="620"/>
      <c r="L34" s="233"/>
      <c r="N34" s="79" t="str">
        <f t="shared" si="1"/>
        <v>4. 기술협의</v>
      </c>
      <c r="O34" s="37"/>
      <c r="P34" s="39"/>
      <c r="Q34" s="37"/>
      <c r="R34" s="117"/>
      <c r="S34" s="37"/>
      <c r="T34" s="37"/>
      <c r="U34" s="228"/>
      <c r="V34" s="231"/>
      <c r="W34" s="193">
        <f ca="1">SUBTOTAL(9,W35:W38)</f>
        <v>21702576</v>
      </c>
      <c r="X34" s="154"/>
      <c r="Y34" s="170" t="str">
        <f t="shared" si="2"/>
        <v/>
      </c>
      <c r="Z34" s="150"/>
    </row>
    <row r="35" spans="1:26" ht="18" customHeight="1">
      <c r="A35" s="326"/>
      <c r="B35" s="223" t="s">
        <v>1761</v>
      </c>
      <c r="C35" s="237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389" t="s">
        <v>1764</v>
      </c>
      <c r="L35" s="233">
        <v>1</v>
      </c>
      <c r="N35" s="292" t="str">
        <f t="shared" si="1"/>
        <v>4.1. 공청회/주민설명회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SUM((ROUNDDOWN((D63:I63)*단가,0)))</f>
        <v>5425644</v>
      </c>
      <c r="X35" s="154"/>
      <c r="Y35" s="170" t="str">
        <f t="shared" si="2"/>
        <v>제 20 호표</v>
      </c>
      <c r="Z35" s="150"/>
    </row>
    <row r="36" spans="1:26" ht="18" customHeight="1">
      <c r="A36" s="326"/>
      <c r="B36" s="223" t="s">
        <v>1762</v>
      </c>
      <c r="C36" s="237"/>
      <c r="D36" s="197">
        <v>2</v>
      </c>
      <c r="E36" s="198">
        <v>2</v>
      </c>
      <c r="F36" s="198">
        <v>2</v>
      </c>
      <c r="G36" s="198">
        <v>4</v>
      </c>
      <c r="H36" s="198">
        <v>4</v>
      </c>
      <c r="I36" s="199">
        <v>4</v>
      </c>
      <c r="J36" s="389" t="s">
        <v>1094</v>
      </c>
      <c r="L36" s="233">
        <v>1</v>
      </c>
      <c r="N36" s="292" t="str">
        <f t="shared" si="1"/>
        <v>4.2. 주민간담회/시민계획단</v>
      </c>
      <c r="O36" s="37"/>
      <c r="P36" s="39"/>
      <c r="Q36" s="37"/>
      <c r="R36" s="117"/>
      <c r="S36" s="37"/>
      <c r="T36" s="37"/>
      <c r="U36" s="228"/>
      <c r="V36" s="231"/>
      <c r="W36" s="153">
        <f t="array" aca="1" ref="W36" ca="1">SUM((ROUNDDOWN((D64:I64)*단가,0)))</f>
        <v>5425644</v>
      </c>
      <c r="X36" s="154"/>
      <c r="Y36" s="170" t="str">
        <f t="shared" si="2"/>
        <v>제 21 호표</v>
      </c>
      <c r="Z36" s="150"/>
    </row>
    <row r="37" spans="1:26" ht="18" customHeight="1">
      <c r="A37" s="326"/>
      <c r="B37" s="223" t="s">
        <v>1726</v>
      </c>
      <c r="C37" s="237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389" t="s">
        <v>1094</v>
      </c>
      <c r="L37" s="233">
        <v>1</v>
      </c>
      <c r="N37" s="292" t="str">
        <f t="shared" si="1"/>
        <v>4.3. 위원회심의 지원</v>
      </c>
      <c r="O37" s="37"/>
      <c r="P37" s="39"/>
      <c r="Q37" s="37"/>
      <c r="R37" s="117"/>
      <c r="S37" s="37"/>
      <c r="T37" s="37"/>
      <c r="U37" s="228"/>
      <c r="V37" s="231"/>
      <c r="W37" s="153">
        <f t="array" aca="1" ref="W37" ca="1">SUM((ROUNDDOWN((D65:I65)*단가,0)))</f>
        <v>5425644</v>
      </c>
      <c r="X37" s="154"/>
      <c r="Y37" s="170" t="str">
        <f t="shared" si="2"/>
        <v>제 22 호표</v>
      </c>
      <c r="Z37" s="150"/>
    </row>
    <row r="38" spans="1:26" ht="18" customHeight="1" thickBot="1">
      <c r="A38" s="326"/>
      <c r="B38" s="223" t="s">
        <v>1727</v>
      </c>
      <c r="C38" s="237"/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612" t="s">
        <v>1094</v>
      </c>
      <c r="L38" s="233">
        <v>1</v>
      </c>
      <c r="N38" s="292" t="str">
        <f t="shared" si="1"/>
        <v>4.4. 관계기관 협의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SUM((ROUNDDOWN((D66:I66)*단가,0)))</f>
        <v>5425644</v>
      </c>
      <c r="X38" s="154"/>
      <c r="Y38" s="170" t="str">
        <f t="shared" si="2"/>
        <v>제 23 호표</v>
      </c>
      <c r="Z38" s="150"/>
    </row>
    <row r="39" spans="1:26" ht="18" customHeight="1" thickBot="1">
      <c r="A39" s="326"/>
      <c r="B39" s="14" t="s">
        <v>30</v>
      </c>
      <c r="C39" s="250"/>
      <c r="D39" s="249" t="s">
        <v>12</v>
      </c>
      <c r="E39" s="251"/>
      <c r="F39" s="251"/>
      <c r="G39" s="251"/>
      <c r="H39" s="251"/>
      <c r="I39" s="250"/>
      <c r="J39" s="175" t="s">
        <v>31</v>
      </c>
      <c r="N39" s="290" t="s">
        <v>10</v>
      </c>
      <c r="O39" s="129"/>
      <c r="P39" s="130"/>
      <c r="Q39" s="124"/>
      <c r="R39" s="131"/>
      <c r="S39" s="124"/>
      <c r="T39" s="124"/>
      <c r="U39" s="181"/>
      <c r="V39" s="181"/>
      <c r="W39" s="159">
        <f>SUBTOTAL(9,W40:W42)</f>
        <v>4500000</v>
      </c>
      <c r="X39" s="160"/>
      <c r="Y39" s="124"/>
      <c r="Z39" s="124"/>
    </row>
    <row r="40" spans="1:26" ht="18" customHeight="1">
      <c r="A40" s="326"/>
      <c r="B40" s="73" t="s">
        <v>1740</v>
      </c>
      <c r="C40" s="72"/>
      <c r="D40" s="693">
        <f t="shared" ref="D40:I40" si="5">SUBTOTAL(9,D41:D57)</f>
        <v>12.3</v>
      </c>
      <c r="E40" s="694">
        <f t="shared" si="5"/>
        <v>19.099999999999994</v>
      </c>
      <c r="F40" s="694">
        <f t="shared" si="5"/>
        <v>70.8</v>
      </c>
      <c r="G40" s="694">
        <f t="shared" si="5"/>
        <v>71.5</v>
      </c>
      <c r="H40" s="694">
        <f t="shared" si="5"/>
        <v>164</v>
      </c>
      <c r="I40" s="695">
        <f t="shared" si="5"/>
        <v>193.10000000000002</v>
      </c>
      <c r="J40" s="73"/>
      <c r="N40" s="128" t="str">
        <f>"여비("&amp;TEXT(R40,"#인 ×")&amp;TEXT(S40,"#일 ×")&amp;TEXT(T40,"###,###원)")</f>
        <v>여비(3인 ×5일 ×100,000원)</v>
      </c>
      <c r="O40" s="78"/>
      <c r="P40" s="52"/>
      <c r="Q40" s="51"/>
      <c r="R40" s="146">
        <v>3</v>
      </c>
      <c r="S40" s="146">
        <v>5</v>
      </c>
      <c r="T40" s="147">
        <v>100000</v>
      </c>
      <c r="U40" s="182"/>
      <c r="V40" s="182"/>
      <c r="W40" s="161">
        <f>R40*S40*T40</f>
        <v>1500000</v>
      </c>
      <c r="X40" s="162"/>
      <c r="Y40" s="51"/>
      <c r="Z40" s="51"/>
    </row>
    <row r="41" spans="1:26" ht="18" customHeight="1">
      <c r="A41" s="326">
        <v>1</v>
      </c>
      <c r="B41" s="409" t="s">
        <v>1741</v>
      </c>
      <c r="C41" s="237"/>
      <c r="D41" s="20">
        <f t="array" ref="D41:I57">ROUNDDOWN(D13:I29*L13:L29*D5,3)</f>
        <v>0.7</v>
      </c>
      <c r="E41" s="21">
        <v>2.6</v>
      </c>
      <c r="F41" s="21">
        <v>4.7</v>
      </c>
      <c r="G41" s="21">
        <v>6.6</v>
      </c>
      <c r="H41" s="21">
        <v>13.5</v>
      </c>
      <c r="I41" s="22">
        <v>13.5</v>
      </c>
      <c r="J41" s="74"/>
      <c r="N41" s="79" t="s">
        <v>46</v>
      </c>
      <c r="O41" s="79"/>
      <c r="P41" s="39"/>
      <c r="Q41" s="37"/>
      <c r="R41" s="117"/>
      <c r="S41" s="37"/>
      <c r="T41" s="37"/>
      <c r="U41" s="180"/>
      <c r="V41" s="180"/>
      <c r="W41" s="157">
        <v>2000000</v>
      </c>
      <c r="X41" s="158"/>
      <c r="Y41" s="37"/>
      <c r="Z41" s="37"/>
    </row>
    <row r="42" spans="1:26" ht="18" customHeight="1">
      <c r="A42" s="326">
        <v>2</v>
      </c>
      <c r="B42" s="409" t="s">
        <v>1742</v>
      </c>
      <c r="C42" s="237"/>
      <c r="D42" s="20">
        <v>0.9</v>
      </c>
      <c r="E42" s="21">
        <v>2.4</v>
      </c>
      <c r="F42" s="21">
        <v>4.5999999999999996</v>
      </c>
      <c r="G42" s="21">
        <v>6.6</v>
      </c>
      <c r="H42" s="21">
        <v>6.6</v>
      </c>
      <c r="I42" s="22">
        <v>9.9</v>
      </c>
      <c r="J42" s="74"/>
      <c r="N42" s="132" t="s">
        <v>13</v>
      </c>
      <c r="O42" s="132"/>
      <c r="P42" s="38"/>
      <c r="Q42" s="38"/>
      <c r="R42" s="116"/>
      <c r="S42" s="38"/>
      <c r="T42" s="38"/>
      <c r="U42" s="183"/>
      <c r="V42" s="183"/>
      <c r="W42" s="155">
        <v>1000000</v>
      </c>
      <c r="X42" s="156"/>
      <c r="Y42" s="38"/>
      <c r="Z42" s="38"/>
    </row>
    <row r="43" spans="1:26" ht="18" customHeight="1">
      <c r="A43" s="326">
        <v>3</v>
      </c>
      <c r="B43" s="223" t="s">
        <v>1743</v>
      </c>
      <c r="C43" s="237"/>
      <c r="D43" s="20">
        <v>0.6</v>
      </c>
      <c r="E43" s="21">
        <v>0.8</v>
      </c>
      <c r="F43" s="21">
        <v>2.7</v>
      </c>
      <c r="G43" s="21">
        <v>2.7</v>
      </c>
      <c r="H43" s="21">
        <v>6.7</v>
      </c>
      <c r="I43" s="22">
        <v>6.8</v>
      </c>
      <c r="J43" s="74"/>
      <c r="N43" s="127" t="s">
        <v>47</v>
      </c>
      <c r="O43" s="123"/>
      <c r="P43" s="123"/>
      <c r="Q43" s="123"/>
      <c r="R43" s="123"/>
      <c r="S43" s="123"/>
      <c r="T43" s="123"/>
      <c r="U43" s="184"/>
      <c r="V43" s="184"/>
      <c r="W43" s="163">
        <f ca="1">SUBTOTAL(9,W44:W45)</f>
        <v>319282818</v>
      </c>
      <c r="X43" s="164"/>
      <c r="Y43" s="123"/>
      <c r="Z43" s="123"/>
    </row>
    <row r="44" spans="1:26" ht="18" customHeight="1">
      <c r="A44" s="326">
        <v>4</v>
      </c>
      <c r="B44" s="223" t="s">
        <v>1744</v>
      </c>
      <c r="C44" s="237"/>
      <c r="D44" s="20">
        <v>0.6</v>
      </c>
      <c r="E44" s="21">
        <v>0.7</v>
      </c>
      <c r="F44" s="21">
        <v>2.7</v>
      </c>
      <c r="G44" s="21">
        <v>2.7</v>
      </c>
      <c r="H44" s="21">
        <v>10.199999999999999</v>
      </c>
      <c r="I44" s="22">
        <v>10.1</v>
      </c>
      <c r="J44" s="74"/>
      <c r="N44" s="133" t="s">
        <v>861</v>
      </c>
      <c r="O44" s="124"/>
      <c r="P44" s="134"/>
      <c r="Q44" s="124"/>
      <c r="R44" s="131"/>
      <c r="S44" s="124"/>
      <c r="T44" s="181"/>
      <c r="U44" s="181"/>
      <c r="V44" s="190">
        <v>1.1499999999999999</v>
      </c>
      <c r="W44" s="159">
        <f ca="1">ROUNDDOWN(W11*V44,0)</f>
        <v>204554452</v>
      </c>
      <c r="X44" s="160"/>
      <c r="Y44" s="124"/>
      <c r="Z44" s="124"/>
    </row>
    <row r="45" spans="1:26" ht="18" customHeight="1" thickBot="1">
      <c r="A45" s="326">
        <v>5</v>
      </c>
      <c r="B45" s="223" t="s">
        <v>1745</v>
      </c>
      <c r="C45" s="237"/>
      <c r="D45" s="20">
        <v>0.6</v>
      </c>
      <c r="E45" s="21">
        <v>0.8</v>
      </c>
      <c r="F45" s="21">
        <v>2.6</v>
      </c>
      <c r="G45" s="21">
        <v>2.6</v>
      </c>
      <c r="H45" s="21">
        <v>6.7</v>
      </c>
      <c r="I45" s="22">
        <v>6.7</v>
      </c>
      <c r="J45" s="74"/>
      <c r="N45" s="135" t="s">
        <v>862</v>
      </c>
      <c r="O45" s="136"/>
      <c r="P45" s="137"/>
      <c r="Q45" s="136"/>
      <c r="R45" s="138"/>
      <c r="S45" s="136"/>
      <c r="T45" s="185"/>
      <c r="U45" s="185"/>
      <c r="V45" s="191">
        <v>0.3</v>
      </c>
      <c r="W45" s="165">
        <f ca="1">ROUNDDOWN((W11+W44)*V45,0)</f>
        <v>114728366</v>
      </c>
      <c r="X45" s="166"/>
      <c r="Y45" s="136"/>
      <c r="Z45" s="136"/>
    </row>
    <row r="46" spans="1:26" ht="18" customHeight="1">
      <c r="A46" s="326">
        <v>6</v>
      </c>
      <c r="B46" s="223" t="s">
        <v>1746</v>
      </c>
      <c r="C46" s="237"/>
      <c r="D46" s="20">
        <v>0.5</v>
      </c>
      <c r="E46" s="21">
        <v>0.9</v>
      </c>
      <c r="F46" s="21">
        <v>4</v>
      </c>
      <c r="G46" s="21">
        <v>3.9</v>
      </c>
      <c r="H46" s="21">
        <v>6.7</v>
      </c>
      <c r="I46" s="22">
        <v>10</v>
      </c>
      <c r="J46" s="74"/>
    </row>
    <row r="47" spans="1:26" ht="18" customHeight="1">
      <c r="A47" s="326">
        <v>7</v>
      </c>
      <c r="B47" s="223" t="s">
        <v>1747</v>
      </c>
      <c r="C47" s="237"/>
      <c r="D47" s="20">
        <v>1.3</v>
      </c>
      <c r="E47" s="21">
        <v>2</v>
      </c>
      <c r="F47" s="21">
        <v>4.5999999999999996</v>
      </c>
      <c r="G47" s="21">
        <v>0</v>
      </c>
      <c r="H47" s="21">
        <v>13.2</v>
      </c>
      <c r="I47" s="22">
        <v>13.2</v>
      </c>
      <c r="J47" s="74"/>
    </row>
    <row r="48" spans="1:26" ht="18" customHeight="1">
      <c r="A48" s="326">
        <v>8</v>
      </c>
      <c r="B48" s="223" t="s">
        <v>1748</v>
      </c>
      <c r="C48" s="237"/>
      <c r="D48" s="20">
        <v>0.7</v>
      </c>
      <c r="E48" s="21">
        <v>0.7</v>
      </c>
      <c r="F48" s="21">
        <v>4.0999999999999996</v>
      </c>
      <c r="G48" s="21">
        <v>4.0999999999999996</v>
      </c>
      <c r="H48" s="21">
        <v>6.7</v>
      </c>
      <c r="I48" s="22">
        <v>10.1</v>
      </c>
      <c r="J48" s="74"/>
    </row>
    <row r="49" spans="1:13" ht="18" customHeight="1">
      <c r="A49" s="326">
        <v>9</v>
      </c>
      <c r="B49" s="223" t="s">
        <v>1749</v>
      </c>
      <c r="C49" s="237"/>
      <c r="D49" s="20">
        <v>1.3</v>
      </c>
      <c r="E49" s="21">
        <v>1.3</v>
      </c>
      <c r="F49" s="21">
        <v>7.5</v>
      </c>
      <c r="G49" s="21">
        <v>8.1</v>
      </c>
      <c r="H49" s="21">
        <v>27</v>
      </c>
      <c r="I49" s="22">
        <v>27</v>
      </c>
      <c r="J49" s="74"/>
    </row>
    <row r="50" spans="1:13" ht="18" customHeight="1">
      <c r="A50" s="326">
        <v>10</v>
      </c>
      <c r="B50" s="223" t="s">
        <v>1750</v>
      </c>
      <c r="C50" s="237"/>
      <c r="D50" s="20">
        <v>0.8</v>
      </c>
      <c r="E50" s="21">
        <v>0.5</v>
      </c>
      <c r="F50" s="21">
        <v>4</v>
      </c>
      <c r="G50" s="21">
        <v>4</v>
      </c>
      <c r="H50" s="21">
        <v>13.2</v>
      </c>
      <c r="I50" s="22">
        <v>16.5</v>
      </c>
      <c r="J50" s="74"/>
    </row>
    <row r="51" spans="1:13" ht="18" customHeight="1">
      <c r="A51" s="326">
        <v>11</v>
      </c>
      <c r="B51" s="223" t="s">
        <v>1751</v>
      </c>
      <c r="C51" s="237"/>
      <c r="D51" s="20">
        <v>1</v>
      </c>
      <c r="E51" s="21">
        <v>1.6</v>
      </c>
      <c r="F51" s="21">
        <v>6.7</v>
      </c>
      <c r="G51" s="21">
        <v>6.7</v>
      </c>
      <c r="H51" s="21">
        <v>13.5</v>
      </c>
      <c r="I51" s="22">
        <v>13.5</v>
      </c>
      <c r="J51" s="75"/>
    </row>
    <row r="52" spans="1:13" ht="18" customHeight="1">
      <c r="A52" s="326">
        <v>12</v>
      </c>
      <c r="B52" s="223" t="s">
        <v>1752</v>
      </c>
      <c r="C52" s="237"/>
      <c r="D52" s="20">
        <v>0.5</v>
      </c>
      <c r="E52" s="21">
        <v>0.8</v>
      </c>
      <c r="F52" s="21">
        <v>4</v>
      </c>
      <c r="G52" s="21">
        <v>4</v>
      </c>
      <c r="H52" s="21">
        <v>6.6</v>
      </c>
      <c r="I52" s="22">
        <v>9.9</v>
      </c>
      <c r="J52" s="74"/>
    </row>
    <row r="53" spans="1:13" ht="18" customHeight="1">
      <c r="A53" s="326">
        <v>13</v>
      </c>
      <c r="B53" s="223" t="s">
        <v>1753</v>
      </c>
      <c r="C53" s="237"/>
      <c r="D53" s="20">
        <v>0.5</v>
      </c>
      <c r="E53" s="21">
        <v>0.9</v>
      </c>
      <c r="F53" s="21">
        <v>4.0999999999999996</v>
      </c>
      <c r="G53" s="21">
        <v>4</v>
      </c>
      <c r="H53" s="21">
        <v>6.6</v>
      </c>
      <c r="I53" s="22">
        <v>10.199999999999999</v>
      </c>
      <c r="J53" s="74"/>
    </row>
    <row r="54" spans="1:13" ht="18" customHeight="1">
      <c r="A54" s="326">
        <v>14</v>
      </c>
      <c r="B54" s="223" t="s">
        <v>1754</v>
      </c>
      <c r="C54" s="237"/>
      <c r="D54" s="20">
        <v>0.5</v>
      </c>
      <c r="E54" s="21">
        <v>0.9</v>
      </c>
      <c r="F54" s="21">
        <v>4</v>
      </c>
      <c r="G54" s="21">
        <v>3.8</v>
      </c>
      <c r="H54" s="21">
        <v>6.6</v>
      </c>
      <c r="I54" s="22">
        <v>9.9</v>
      </c>
      <c r="J54" s="74"/>
    </row>
    <row r="55" spans="1:13" ht="18" customHeight="1">
      <c r="A55" s="326">
        <v>15</v>
      </c>
      <c r="B55" s="223" t="s">
        <v>1755</v>
      </c>
      <c r="C55" s="237"/>
      <c r="D55" s="20">
        <v>0.5</v>
      </c>
      <c r="E55" s="21">
        <v>0.9</v>
      </c>
      <c r="F55" s="21">
        <v>3.9</v>
      </c>
      <c r="G55" s="21">
        <v>3.7</v>
      </c>
      <c r="H55" s="21">
        <v>7</v>
      </c>
      <c r="I55" s="22">
        <v>6</v>
      </c>
      <c r="J55" s="74"/>
    </row>
    <row r="56" spans="1:13" ht="18" customHeight="1">
      <c r="A56" s="326">
        <v>16</v>
      </c>
      <c r="B56" s="223" t="s">
        <v>1756</v>
      </c>
      <c r="C56" s="237"/>
      <c r="D56" s="20">
        <v>0.4</v>
      </c>
      <c r="E56" s="21">
        <v>0.9</v>
      </c>
      <c r="F56" s="21">
        <v>2.6</v>
      </c>
      <c r="G56" s="21">
        <v>4</v>
      </c>
      <c r="H56" s="21">
        <v>6.6</v>
      </c>
      <c r="I56" s="22">
        <v>9.9</v>
      </c>
      <c r="J56" s="74"/>
    </row>
    <row r="57" spans="1:13" ht="18" customHeight="1">
      <c r="A57" s="326">
        <v>17</v>
      </c>
      <c r="B57" s="223" t="s">
        <v>1757</v>
      </c>
      <c r="C57" s="237"/>
      <c r="D57" s="20">
        <v>0.9</v>
      </c>
      <c r="E57" s="21">
        <v>0.4</v>
      </c>
      <c r="F57" s="21">
        <v>4</v>
      </c>
      <c r="G57" s="21">
        <v>4</v>
      </c>
      <c r="H57" s="21">
        <v>6.6</v>
      </c>
      <c r="I57" s="22">
        <v>9.9</v>
      </c>
      <c r="J57" s="74"/>
      <c r="L57" s="171"/>
    </row>
    <row r="58" spans="1:13" ht="18" customHeight="1">
      <c r="A58" s="355"/>
      <c r="B58" s="222" t="s">
        <v>1718</v>
      </c>
      <c r="C58" s="47"/>
      <c r="D58" s="33">
        <v>0</v>
      </c>
      <c r="E58" s="34">
        <v>0</v>
      </c>
      <c r="F58" s="34">
        <v>0</v>
      </c>
      <c r="G58" s="34">
        <v>0</v>
      </c>
      <c r="H58" s="34">
        <v>0</v>
      </c>
      <c r="I58" s="35">
        <v>0</v>
      </c>
      <c r="J58" s="13"/>
      <c r="L58" s="171"/>
    </row>
    <row r="59" spans="1:13" ht="18" customHeight="1">
      <c r="A59" s="355"/>
      <c r="B59" s="222" t="s">
        <v>1758</v>
      </c>
      <c r="C59" s="47"/>
      <c r="D59" s="33">
        <f t="shared" ref="D59:I59" si="6">SUBTOTAL(9,D60:D61)</f>
        <v>0.6</v>
      </c>
      <c r="E59" s="34">
        <f t="shared" si="6"/>
        <v>2.5</v>
      </c>
      <c r="F59" s="34">
        <f t="shared" si="6"/>
        <v>8.1</v>
      </c>
      <c r="G59" s="34">
        <f t="shared" si="6"/>
        <v>8</v>
      </c>
      <c r="H59" s="34">
        <f t="shared" si="6"/>
        <v>13.5</v>
      </c>
      <c r="I59" s="35">
        <f t="shared" si="6"/>
        <v>16</v>
      </c>
      <c r="J59" s="13"/>
      <c r="L59" s="171"/>
    </row>
    <row r="60" spans="1:13" ht="18" customHeight="1">
      <c r="A60" s="326">
        <v>18</v>
      </c>
      <c r="B60" s="223" t="s">
        <v>1759</v>
      </c>
      <c r="C60" s="237"/>
      <c r="D60" s="20">
        <f t="array" ref="D60:I61">ROUNDDOWN(D32:I33*L32:L33*D5,3)</f>
        <v>0.3</v>
      </c>
      <c r="E60" s="21">
        <v>1.3</v>
      </c>
      <c r="F60" s="21">
        <v>4.0999999999999996</v>
      </c>
      <c r="G60" s="21">
        <v>4</v>
      </c>
      <c r="H60" s="21">
        <v>6.9</v>
      </c>
      <c r="I60" s="22">
        <v>5.9</v>
      </c>
      <c r="J60" s="23"/>
      <c r="L60" s="171"/>
    </row>
    <row r="61" spans="1:13" ht="18" customHeight="1">
      <c r="A61" s="326">
        <v>19</v>
      </c>
      <c r="B61" s="259" t="s">
        <v>1760</v>
      </c>
      <c r="C61" s="237"/>
      <c r="D61" s="20">
        <v>0.3</v>
      </c>
      <c r="E61" s="21">
        <v>1.2</v>
      </c>
      <c r="F61" s="21">
        <v>4</v>
      </c>
      <c r="G61" s="21">
        <v>4</v>
      </c>
      <c r="H61" s="21">
        <v>6.6</v>
      </c>
      <c r="I61" s="22">
        <v>10.1</v>
      </c>
      <c r="J61" s="23"/>
      <c r="L61" s="171"/>
    </row>
    <row r="62" spans="1:13" ht="18" customHeight="1">
      <c r="A62" s="326"/>
      <c r="B62" s="222" t="s">
        <v>650</v>
      </c>
      <c r="C62" s="47"/>
      <c r="D62" s="48">
        <f t="shared" ref="D62:I62" si="7">SUBTOTAL(9,D63:D66)</f>
        <v>8</v>
      </c>
      <c r="E62" s="49">
        <f t="shared" si="7"/>
        <v>8</v>
      </c>
      <c r="F62" s="49">
        <f t="shared" si="7"/>
        <v>8</v>
      </c>
      <c r="G62" s="49">
        <f t="shared" si="7"/>
        <v>16</v>
      </c>
      <c r="H62" s="49">
        <f t="shared" si="7"/>
        <v>16</v>
      </c>
      <c r="I62" s="50">
        <f t="shared" si="7"/>
        <v>16</v>
      </c>
      <c r="J62" s="287"/>
      <c r="L62" s="171"/>
      <c r="M62" s="171"/>
    </row>
    <row r="63" spans="1:13" ht="18" customHeight="1">
      <c r="A63" s="326">
        <v>20</v>
      </c>
      <c r="B63" s="223" t="s">
        <v>1761</v>
      </c>
      <c r="C63" s="237"/>
      <c r="D63" s="20">
        <f t="array" ref="D63:I66">ROUNDDOWN(D35:I38*L35:L38*I5,3)</f>
        <v>2</v>
      </c>
      <c r="E63" s="198">
        <v>2</v>
      </c>
      <c r="F63" s="198">
        <v>2</v>
      </c>
      <c r="G63" s="198">
        <v>4</v>
      </c>
      <c r="H63" s="198">
        <v>4</v>
      </c>
      <c r="I63" s="199">
        <v>4</v>
      </c>
      <c r="J63" s="74"/>
      <c r="L63" s="171"/>
      <c r="M63" s="171"/>
    </row>
    <row r="64" spans="1:13" ht="18" customHeight="1">
      <c r="A64" s="326">
        <v>21</v>
      </c>
      <c r="B64" s="223" t="s">
        <v>1762</v>
      </c>
      <c r="C64" s="237"/>
      <c r="D64" s="197">
        <v>2</v>
      </c>
      <c r="E64" s="198">
        <v>2</v>
      </c>
      <c r="F64" s="198">
        <v>2</v>
      </c>
      <c r="G64" s="198">
        <v>4</v>
      </c>
      <c r="H64" s="198">
        <v>4</v>
      </c>
      <c r="I64" s="199">
        <v>4</v>
      </c>
      <c r="J64" s="74"/>
      <c r="K64" s="171" t="s">
        <v>14</v>
      </c>
      <c r="L64" s="171"/>
      <c r="M64" s="171"/>
    </row>
    <row r="65" spans="1:26" ht="18" customHeight="1">
      <c r="A65" s="326">
        <v>22</v>
      </c>
      <c r="B65" s="223" t="s">
        <v>1726</v>
      </c>
      <c r="C65" s="237"/>
      <c r="D65" s="197">
        <v>2</v>
      </c>
      <c r="E65" s="198">
        <v>2</v>
      </c>
      <c r="F65" s="198">
        <v>2</v>
      </c>
      <c r="G65" s="198">
        <v>4</v>
      </c>
      <c r="H65" s="198">
        <v>4</v>
      </c>
      <c r="I65" s="199">
        <v>4</v>
      </c>
      <c r="J65" s="74"/>
      <c r="K65" s="171" t="s">
        <v>14</v>
      </c>
      <c r="L65" s="171"/>
      <c r="M65" s="171"/>
    </row>
    <row r="66" spans="1:26" ht="18" customHeight="1" thickBot="1">
      <c r="A66" s="326">
        <v>23</v>
      </c>
      <c r="B66" s="388" t="s">
        <v>1727</v>
      </c>
      <c r="C66" s="401"/>
      <c r="D66" s="343">
        <v>2</v>
      </c>
      <c r="E66" s="344">
        <v>2</v>
      </c>
      <c r="F66" s="344">
        <v>2</v>
      </c>
      <c r="G66" s="344">
        <v>4</v>
      </c>
      <c r="H66" s="344">
        <v>4</v>
      </c>
      <c r="I66" s="345">
        <v>4</v>
      </c>
      <c r="J66" s="176"/>
      <c r="K66" s="171" t="s">
        <v>14</v>
      </c>
      <c r="L66" s="171"/>
      <c r="M66" s="171"/>
    </row>
    <row r="67" spans="1:26" ht="18" customHeight="1">
      <c r="A67" s="326"/>
      <c r="B67" s="85" t="s">
        <v>1696</v>
      </c>
      <c r="C67" s="9" t="s">
        <v>1730</v>
      </c>
      <c r="K67" s="171" t="s">
        <v>14</v>
      </c>
      <c r="L67" s="171"/>
      <c r="M67" s="171"/>
    </row>
    <row r="68" spans="1:26" ht="18" customHeight="1" thickBot="1">
      <c r="A68" s="326"/>
      <c r="B68" s="8"/>
      <c r="C68" s="9" t="s">
        <v>1731</v>
      </c>
      <c r="K68" s="171" t="s">
        <v>14</v>
      </c>
      <c r="L68" s="171"/>
      <c r="M68" s="171"/>
      <c r="N68" s="66" t="s">
        <v>18</v>
      </c>
      <c r="O68" s="2"/>
      <c r="P68" s="2"/>
      <c r="Q68" s="2"/>
      <c r="R68" s="3"/>
      <c r="S68" s="4"/>
      <c r="T68" s="3"/>
      <c r="U68" s="4"/>
      <c r="V68" s="3"/>
      <c r="W68" s="4"/>
      <c r="X68" s="3"/>
      <c r="Y68" s="4"/>
      <c r="Z68" s="2"/>
    </row>
    <row r="69" spans="1:26" ht="18" customHeight="1">
      <c r="A69" s="326"/>
      <c r="B69" s="80"/>
      <c r="C69" s="9" t="s">
        <v>1732</v>
      </c>
      <c r="K69" s="171" t="s">
        <v>14</v>
      </c>
      <c r="L69" s="171"/>
      <c r="M69" s="171"/>
      <c r="N69" s="765" t="s">
        <v>19</v>
      </c>
      <c r="O69" s="755" t="s">
        <v>20</v>
      </c>
      <c r="P69" s="755" t="s">
        <v>21</v>
      </c>
      <c r="Q69" s="755" t="s">
        <v>16</v>
      </c>
      <c r="R69" s="5" t="s">
        <v>22</v>
      </c>
      <c r="S69" s="5"/>
      <c r="T69" s="5" t="s">
        <v>23</v>
      </c>
      <c r="U69" s="5"/>
      <c r="V69" s="5" t="s">
        <v>24</v>
      </c>
      <c r="W69" s="5"/>
      <c r="X69" s="5" t="s">
        <v>25</v>
      </c>
      <c r="Y69" s="5"/>
      <c r="Z69" s="755" t="s">
        <v>26</v>
      </c>
    </row>
    <row r="70" spans="1:26" ht="18" customHeight="1" thickBot="1">
      <c r="A70" s="326"/>
      <c r="C70" s="9" t="s">
        <v>1733</v>
      </c>
      <c r="K70" s="171" t="s">
        <v>14</v>
      </c>
      <c r="L70" s="171"/>
      <c r="M70" s="171"/>
      <c r="N70" s="766"/>
      <c r="O70" s="756"/>
      <c r="P70" s="756"/>
      <c r="Q70" s="756"/>
      <c r="R70" s="67" t="s">
        <v>27</v>
      </c>
      <c r="S70" s="67" t="s">
        <v>28</v>
      </c>
      <c r="T70" s="67" t="s">
        <v>27</v>
      </c>
      <c r="U70" s="67" t="s">
        <v>28</v>
      </c>
      <c r="V70" s="67" t="s">
        <v>27</v>
      </c>
      <c r="W70" s="67" t="s">
        <v>28</v>
      </c>
      <c r="X70" s="67" t="s">
        <v>27</v>
      </c>
      <c r="Y70" s="67" t="s">
        <v>28</v>
      </c>
      <c r="Z70" s="756"/>
    </row>
    <row r="71" spans="1:26" ht="18" customHeight="1" thickTop="1">
      <c r="A71" s="326"/>
      <c r="C71" s="9" t="s">
        <v>1734</v>
      </c>
      <c r="K71" s="171" t="s">
        <v>14</v>
      </c>
      <c r="L71" s="171"/>
      <c r="M71" s="171"/>
      <c r="N71" s="318" t="str">
        <f ca="1">"제 " &amp; Z71 &amp; " 호표  "&amp; OFFSET($A$1,MATCH(Z71,$A:$A,0)-1,1)</f>
        <v>제 1 호표  1.1. 현황조사 및 분석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v>1</v>
      </c>
    </row>
    <row r="72" spans="1:26" ht="18" customHeight="1">
      <c r="A72" s="326"/>
      <c r="C72" s="9" t="s">
        <v>1735</v>
      </c>
      <c r="K72" s="171" t="s">
        <v>14</v>
      </c>
      <c r="L72" s="171"/>
      <c r="M72" s="171"/>
      <c r="N72" s="140" t="s">
        <v>43</v>
      </c>
      <c r="O72" s="172">
        <v>3</v>
      </c>
      <c r="P72" s="219">
        <f ca="1">OFFSET($A$1,MATCH(Z71,$A:$A,0)-1,O72)</f>
        <v>0.7</v>
      </c>
      <c r="Q72" s="141" t="s">
        <v>29</v>
      </c>
      <c r="R72" s="142">
        <f t="shared" ref="R72:S77" ca="1" si="8">T72</f>
        <v>467217</v>
      </c>
      <c r="S72" s="142">
        <f t="shared" ca="1" si="8"/>
        <v>327051</v>
      </c>
      <c r="T72" s="142">
        <f ca="1">기술사</f>
        <v>467217</v>
      </c>
      <c r="U72" s="142">
        <f t="shared" ref="U72:U77" ca="1" si="9">ROUNDDOWN(P72*R72,0)</f>
        <v>327051</v>
      </c>
      <c r="V72" s="142"/>
      <c r="W72" s="142"/>
      <c r="X72" s="142"/>
      <c r="Y72" s="142"/>
      <c r="Z72" s="114"/>
    </row>
    <row r="73" spans="1:26" ht="18" customHeight="1">
      <c r="A73" s="326"/>
      <c r="C73" s="9" t="s">
        <v>1736</v>
      </c>
      <c r="K73" s="171" t="s">
        <v>14</v>
      </c>
      <c r="L73" s="171"/>
      <c r="M73" s="171"/>
      <c r="N73" s="143" t="s">
        <v>32</v>
      </c>
      <c r="O73" s="173">
        <v>4</v>
      </c>
      <c r="P73" s="234">
        <f ca="1">OFFSET($A$1,MATCH(Z71,$A:$A,0)-1,O73)</f>
        <v>2.6</v>
      </c>
      <c r="Q73" s="144" t="s">
        <v>29</v>
      </c>
      <c r="R73" s="118">
        <f t="shared" ca="1" si="8"/>
        <v>373353</v>
      </c>
      <c r="S73" s="118">
        <f t="shared" ca="1" si="8"/>
        <v>970717</v>
      </c>
      <c r="T73" s="118">
        <f ca="1">특급</f>
        <v>373353</v>
      </c>
      <c r="U73" s="118">
        <f t="shared" ca="1" si="9"/>
        <v>970717</v>
      </c>
      <c r="V73" s="118"/>
      <c r="W73" s="118"/>
      <c r="X73" s="118"/>
      <c r="Y73" s="118"/>
      <c r="Z73" s="115"/>
    </row>
    <row r="74" spans="1:26" ht="18" customHeight="1">
      <c r="A74" s="326"/>
      <c r="C74" s="9" t="s">
        <v>1765</v>
      </c>
      <c r="K74" s="171" t="s">
        <v>14</v>
      </c>
      <c r="L74" s="171"/>
      <c r="M74" s="171"/>
      <c r="N74" s="145" t="s">
        <v>39</v>
      </c>
      <c r="O74" s="173">
        <v>5</v>
      </c>
      <c r="P74" s="234">
        <f ca="1">OFFSET($A$1,MATCH(Z71,$A:$A,0)-1,O74)</f>
        <v>4.7</v>
      </c>
      <c r="Q74" s="144" t="s">
        <v>29</v>
      </c>
      <c r="R74" s="118">
        <f t="shared" ca="1" si="8"/>
        <v>310884</v>
      </c>
      <c r="S74" s="118">
        <f t="shared" ca="1" si="8"/>
        <v>1461154</v>
      </c>
      <c r="T74" s="118">
        <f ca="1">고급</f>
        <v>310884</v>
      </c>
      <c r="U74" s="118">
        <f t="shared" ca="1" si="9"/>
        <v>1461154</v>
      </c>
      <c r="V74" s="118"/>
      <c r="W74" s="118"/>
      <c r="X74" s="118"/>
      <c r="Y74" s="118"/>
      <c r="Z74" s="115"/>
    </row>
    <row r="75" spans="1:26" ht="18" customHeight="1">
      <c r="A75" s="326"/>
      <c r="K75" s="171" t="s">
        <v>14</v>
      </c>
      <c r="L75" s="171"/>
      <c r="M75" s="171"/>
      <c r="N75" s="145" t="s">
        <v>40</v>
      </c>
      <c r="O75" s="173">
        <v>6</v>
      </c>
      <c r="P75" s="234">
        <f ca="1">OFFSET($A$1,MATCH(Z71,$A:$A,0)-1,O75)</f>
        <v>6.6</v>
      </c>
      <c r="Q75" s="144" t="s">
        <v>29</v>
      </c>
      <c r="R75" s="118">
        <f t="shared" ca="1" si="8"/>
        <v>295138</v>
      </c>
      <c r="S75" s="118">
        <f t="shared" ca="1" si="8"/>
        <v>1947910</v>
      </c>
      <c r="T75" s="118">
        <f ca="1">중급</f>
        <v>295138</v>
      </c>
      <c r="U75" s="118">
        <f t="shared" ca="1" si="9"/>
        <v>1947910</v>
      </c>
      <c r="V75" s="118"/>
      <c r="W75" s="118"/>
      <c r="X75" s="118"/>
      <c r="Y75" s="118"/>
      <c r="Z75" s="115"/>
    </row>
    <row r="76" spans="1:26" ht="18" customHeight="1">
      <c r="A76" s="326"/>
      <c r="K76" s="171" t="s">
        <v>14</v>
      </c>
      <c r="L76" s="171"/>
      <c r="M76" s="171"/>
      <c r="N76" s="145" t="s">
        <v>41</v>
      </c>
      <c r="O76" s="173">
        <v>7</v>
      </c>
      <c r="P76" s="234">
        <f ca="1">OFFSET($A$1,MATCH(Z71,$A:$A,0)-1,O76)</f>
        <v>13.5</v>
      </c>
      <c r="Q76" s="144" t="s">
        <v>29</v>
      </c>
      <c r="R76" s="118">
        <f t="shared" ca="1" si="8"/>
        <v>235459</v>
      </c>
      <c r="S76" s="118">
        <f t="shared" ca="1" si="8"/>
        <v>3178696</v>
      </c>
      <c r="T76" s="118">
        <f ca="1">초급</f>
        <v>235459</v>
      </c>
      <c r="U76" s="118">
        <f t="shared" ca="1" si="9"/>
        <v>3178696</v>
      </c>
      <c r="V76" s="118"/>
      <c r="W76" s="118"/>
      <c r="X76" s="118"/>
      <c r="Y76" s="118"/>
      <c r="Z76" s="115"/>
    </row>
    <row r="77" spans="1:26" ht="18" customHeight="1">
      <c r="A77" s="326"/>
      <c r="K77" s="171" t="s">
        <v>14</v>
      </c>
      <c r="L77" s="171"/>
      <c r="M77" s="171"/>
      <c r="N77" s="319" t="s">
        <v>42</v>
      </c>
      <c r="O77" s="174">
        <v>8</v>
      </c>
      <c r="P77" s="235">
        <f ca="1">OFFSET($A$1,MATCH(Z71,$A:$A,0)-1,O77)</f>
        <v>13.5</v>
      </c>
      <c r="Q77" s="322" t="s">
        <v>29</v>
      </c>
      <c r="R77" s="323">
        <f t="shared" ca="1" si="8"/>
        <v>250087</v>
      </c>
      <c r="S77" s="323">
        <f t="shared" ca="1" si="8"/>
        <v>3376174</v>
      </c>
      <c r="T77" s="323">
        <f ca="1">보조원</f>
        <v>250087</v>
      </c>
      <c r="U77" s="323">
        <f t="shared" ca="1" si="9"/>
        <v>3376174</v>
      </c>
      <c r="V77" s="323"/>
      <c r="W77" s="323"/>
      <c r="X77" s="323"/>
      <c r="Y77" s="323"/>
      <c r="Z77" s="324"/>
    </row>
    <row r="78" spans="1:26" ht="18" customHeight="1">
      <c r="A78" s="326"/>
      <c r="K78" s="171" t="s">
        <v>14</v>
      </c>
      <c r="L78" s="171"/>
      <c r="M78" s="171"/>
      <c r="N78" s="139" t="s">
        <v>17</v>
      </c>
      <c r="O78" s="68"/>
      <c r="P78" s="69"/>
      <c r="Q78" s="70"/>
      <c r="R78" s="71"/>
      <c r="S78" s="71">
        <f ca="1">SUBTOTAL(9,S72:S77)</f>
        <v>11261702</v>
      </c>
      <c r="T78" s="71"/>
      <c r="U78" s="71">
        <f ca="1">SUBTOTAL(9,U72:U77)</f>
        <v>11261702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M79" s="171"/>
      <c r="N79" s="318" t="str">
        <f ca="1">"제 " &amp; Z79 &amp; " 호표  "&amp; OFFSET($A$1,MATCH(Z79,$A:$A,0)-1,1)</f>
        <v>제 2 호표  1.2. 개발정비조건 및 계획내용 설정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2</v>
      </c>
    </row>
    <row r="80" spans="1:26" ht="18" customHeight="1">
      <c r="K80" s="171" t="s">
        <v>14</v>
      </c>
      <c r="L80" s="171"/>
      <c r="M80" s="171"/>
      <c r="N80" s="140" t="s">
        <v>43</v>
      </c>
      <c r="O80" s="172">
        <v>3</v>
      </c>
      <c r="P80" s="219">
        <f ca="1">OFFSET($A$1,MATCH(Z79,$A:$A,0)-1,O80)</f>
        <v>0.9</v>
      </c>
      <c r="Q80" s="141" t="s">
        <v>29</v>
      </c>
      <c r="R80" s="142">
        <f t="shared" ref="R80:S85" ca="1" si="10">T80</f>
        <v>467217</v>
      </c>
      <c r="S80" s="142">
        <f t="shared" ca="1" si="10"/>
        <v>420495</v>
      </c>
      <c r="T80" s="142">
        <f ca="1">기술사</f>
        <v>467217</v>
      </c>
      <c r="U80" s="142">
        <f t="shared" ref="U80:U85" ca="1" si="11">ROUNDDOWN(P80*R80,0)</f>
        <v>420495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M81" s="171"/>
      <c r="N81" s="143" t="s">
        <v>32</v>
      </c>
      <c r="O81" s="173">
        <v>4</v>
      </c>
      <c r="P81" s="234">
        <f ca="1">OFFSET($A$1,MATCH(Z79,$A:$A,0)-1,O81)</f>
        <v>2.4</v>
      </c>
      <c r="Q81" s="144" t="s">
        <v>29</v>
      </c>
      <c r="R81" s="118">
        <f t="shared" ca="1" si="10"/>
        <v>373353</v>
      </c>
      <c r="S81" s="118">
        <f t="shared" ca="1" si="10"/>
        <v>896047</v>
      </c>
      <c r="T81" s="118">
        <f ca="1">특급</f>
        <v>373353</v>
      </c>
      <c r="U81" s="118">
        <f t="shared" ca="1" si="11"/>
        <v>896047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39</v>
      </c>
      <c r="O82" s="173">
        <v>5</v>
      </c>
      <c r="P82" s="234">
        <f ca="1">OFFSET($A$1,MATCH(Z79,$A:$A,0)-1,O82)</f>
        <v>4.5999999999999996</v>
      </c>
      <c r="Q82" s="144" t="s">
        <v>29</v>
      </c>
      <c r="R82" s="118">
        <f t="shared" ca="1" si="10"/>
        <v>310884</v>
      </c>
      <c r="S82" s="118">
        <f t="shared" ca="1" si="10"/>
        <v>1430066</v>
      </c>
      <c r="T82" s="118">
        <f ca="1">고급</f>
        <v>310884</v>
      </c>
      <c r="U82" s="118">
        <f t="shared" ca="1" si="11"/>
        <v>1430066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40</v>
      </c>
      <c r="O83" s="173">
        <v>6</v>
      </c>
      <c r="P83" s="234">
        <f ca="1">OFFSET($A$1,MATCH(Z79,$A:$A,0)-1,O83)</f>
        <v>6.6</v>
      </c>
      <c r="Q83" s="144" t="s">
        <v>29</v>
      </c>
      <c r="R83" s="118">
        <f t="shared" ca="1" si="10"/>
        <v>295138</v>
      </c>
      <c r="S83" s="118">
        <f t="shared" ca="1" si="10"/>
        <v>1947910</v>
      </c>
      <c r="T83" s="118">
        <f ca="1">중급</f>
        <v>295138</v>
      </c>
      <c r="U83" s="118">
        <f t="shared" ca="1" si="11"/>
        <v>1947910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41</v>
      </c>
      <c r="O84" s="173">
        <v>7</v>
      </c>
      <c r="P84" s="234">
        <f ca="1">OFFSET($A$1,MATCH(Z79,$A:$A,0)-1,O84)</f>
        <v>6.6</v>
      </c>
      <c r="Q84" s="144" t="s">
        <v>29</v>
      </c>
      <c r="R84" s="118">
        <f t="shared" ca="1" si="10"/>
        <v>235459</v>
      </c>
      <c r="S84" s="118">
        <f t="shared" ca="1" si="10"/>
        <v>1554029</v>
      </c>
      <c r="T84" s="118">
        <f ca="1">초급</f>
        <v>235459</v>
      </c>
      <c r="U84" s="118">
        <f t="shared" ca="1" si="11"/>
        <v>1554029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319" t="s">
        <v>42</v>
      </c>
      <c r="O85" s="174">
        <v>8</v>
      </c>
      <c r="P85" s="235">
        <f ca="1">OFFSET($A$1,MATCH(Z79,$A:$A,0)-1,O85)</f>
        <v>9.9</v>
      </c>
      <c r="Q85" s="322" t="s">
        <v>29</v>
      </c>
      <c r="R85" s="323">
        <f t="shared" ca="1" si="10"/>
        <v>250087</v>
      </c>
      <c r="S85" s="323">
        <f t="shared" ca="1" si="10"/>
        <v>2475861</v>
      </c>
      <c r="T85" s="323">
        <f ca="1">보조원</f>
        <v>250087</v>
      </c>
      <c r="U85" s="323">
        <f t="shared" ca="1" si="11"/>
        <v>2475861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M86" s="171"/>
      <c r="N86" s="139" t="s">
        <v>17</v>
      </c>
      <c r="O86" s="68"/>
      <c r="P86" s="69"/>
      <c r="Q86" s="70"/>
      <c r="R86" s="71"/>
      <c r="S86" s="71">
        <f ca="1">SUBTOTAL(9,S80:S85)</f>
        <v>8724408</v>
      </c>
      <c r="T86" s="71"/>
      <c r="U86" s="71">
        <f ca="1">SUBTOTAL(9,U80:U85)</f>
        <v>8724408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M87" s="171"/>
      <c r="N87" s="318" t="str">
        <f ca="1">"제 " &amp; Z87 &amp; " 호표  "&amp; OFFSET($A$1,MATCH(Z87,$A:$A,0)-1,1)</f>
        <v>제 3 호표  1.3. 유치업종 검토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3</v>
      </c>
    </row>
    <row r="88" spans="11:26" ht="18" customHeight="1">
      <c r="K88" s="171" t="s">
        <v>14</v>
      </c>
      <c r="L88" s="171"/>
      <c r="M88" s="171"/>
      <c r="N88" s="140" t="s">
        <v>43</v>
      </c>
      <c r="O88" s="172">
        <v>3</v>
      </c>
      <c r="P88" s="219">
        <f ca="1">OFFSET($A$1,MATCH(Z87,$A:$A,0)-1,O88)</f>
        <v>0.6</v>
      </c>
      <c r="Q88" s="141" t="s">
        <v>29</v>
      </c>
      <c r="R88" s="142">
        <f t="shared" ref="R88:S93" ca="1" si="12">T88</f>
        <v>467217</v>
      </c>
      <c r="S88" s="142">
        <f t="shared" ca="1" si="12"/>
        <v>280330</v>
      </c>
      <c r="T88" s="142">
        <f ca="1">기술사</f>
        <v>467217</v>
      </c>
      <c r="U88" s="142">
        <f t="shared" ref="U88:U93" ca="1" si="13">ROUNDDOWN(P88*R88,0)</f>
        <v>280330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M89" s="171"/>
      <c r="N89" s="143" t="s">
        <v>32</v>
      </c>
      <c r="O89" s="173">
        <v>4</v>
      </c>
      <c r="P89" s="234">
        <f ca="1">OFFSET($A$1,MATCH(Z87,$A:$A,0)-1,O89)</f>
        <v>0.8</v>
      </c>
      <c r="Q89" s="144" t="s">
        <v>29</v>
      </c>
      <c r="R89" s="118">
        <f t="shared" ca="1" si="12"/>
        <v>373353</v>
      </c>
      <c r="S89" s="118">
        <f t="shared" ca="1" si="12"/>
        <v>298682</v>
      </c>
      <c r="T89" s="118">
        <f ca="1">특급</f>
        <v>373353</v>
      </c>
      <c r="U89" s="118">
        <f t="shared" ca="1" si="13"/>
        <v>298682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39</v>
      </c>
      <c r="O90" s="173">
        <v>5</v>
      </c>
      <c r="P90" s="234">
        <f ca="1">OFFSET($A$1,MATCH(Z87,$A:$A,0)-1,O90)</f>
        <v>2.7</v>
      </c>
      <c r="Q90" s="144" t="s">
        <v>29</v>
      </c>
      <c r="R90" s="118">
        <f t="shared" ca="1" si="12"/>
        <v>310884</v>
      </c>
      <c r="S90" s="118">
        <f t="shared" ca="1" si="12"/>
        <v>839386</v>
      </c>
      <c r="T90" s="118">
        <f ca="1">고급</f>
        <v>310884</v>
      </c>
      <c r="U90" s="118">
        <f t="shared" ca="1" si="13"/>
        <v>839386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40</v>
      </c>
      <c r="O91" s="173">
        <v>6</v>
      </c>
      <c r="P91" s="234">
        <f ca="1">OFFSET($A$1,MATCH(Z87,$A:$A,0)-1,O91)</f>
        <v>2.7</v>
      </c>
      <c r="Q91" s="144" t="s">
        <v>29</v>
      </c>
      <c r="R91" s="118">
        <f t="shared" ca="1" si="12"/>
        <v>295138</v>
      </c>
      <c r="S91" s="118">
        <f t="shared" ca="1" si="12"/>
        <v>796872</v>
      </c>
      <c r="T91" s="118">
        <f ca="1">중급</f>
        <v>295138</v>
      </c>
      <c r="U91" s="118">
        <f t="shared" ca="1" si="13"/>
        <v>796872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41</v>
      </c>
      <c r="O92" s="173">
        <v>7</v>
      </c>
      <c r="P92" s="234">
        <f ca="1">OFFSET($A$1,MATCH(Z87,$A:$A,0)-1,O92)</f>
        <v>6.7</v>
      </c>
      <c r="Q92" s="144" t="s">
        <v>29</v>
      </c>
      <c r="R92" s="118">
        <f t="shared" ca="1" si="12"/>
        <v>235459</v>
      </c>
      <c r="S92" s="118">
        <f t="shared" ca="1" si="12"/>
        <v>1577575</v>
      </c>
      <c r="T92" s="118">
        <f ca="1">초급</f>
        <v>235459</v>
      </c>
      <c r="U92" s="118">
        <f t="shared" ca="1" si="13"/>
        <v>1577575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319" t="s">
        <v>42</v>
      </c>
      <c r="O93" s="174">
        <v>8</v>
      </c>
      <c r="P93" s="235">
        <f ca="1">OFFSET($A$1,MATCH(Z87,$A:$A,0)-1,O93)</f>
        <v>6.8</v>
      </c>
      <c r="Q93" s="322" t="s">
        <v>29</v>
      </c>
      <c r="R93" s="323">
        <f t="shared" ca="1" si="12"/>
        <v>250087</v>
      </c>
      <c r="S93" s="323">
        <f t="shared" ca="1" si="12"/>
        <v>1700591</v>
      </c>
      <c r="T93" s="323">
        <f ca="1">보조원</f>
        <v>250087</v>
      </c>
      <c r="U93" s="323">
        <f t="shared" ca="1" si="13"/>
        <v>1700591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M94" s="171"/>
      <c r="N94" s="139" t="s">
        <v>17</v>
      </c>
      <c r="O94" s="68"/>
      <c r="P94" s="69"/>
      <c r="Q94" s="70"/>
      <c r="R94" s="71"/>
      <c r="S94" s="71">
        <f ca="1">SUBTOTAL(9,S88:S93)</f>
        <v>5493436</v>
      </c>
      <c r="T94" s="71"/>
      <c r="U94" s="71">
        <f ca="1">SUBTOTAL(9,U88:U93)</f>
        <v>5493436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M95" s="171"/>
      <c r="N95" s="318" t="str">
        <f ca="1">"제 " &amp; Z95 &amp; " 호표  "&amp; OFFSET($A$1,MATCH(Z95,$A:$A,0)-1,1)</f>
        <v>제 4 호표  1.4. 유치업종별 원단위 및 규격결정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4</v>
      </c>
    </row>
    <row r="96" spans="11:26" ht="18" customHeight="1">
      <c r="K96" s="171" t="s">
        <v>14</v>
      </c>
      <c r="L96" s="171"/>
      <c r="M96" s="171"/>
      <c r="N96" s="140" t="s">
        <v>43</v>
      </c>
      <c r="O96" s="172">
        <v>3</v>
      </c>
      <c r="P96" s="219">
        <f ca="1">OFFSET($A$1,MATCH(Z95,$A:$A,0)-1,O96)</f>
        <v>0.6</v>
      </c>
      <c r="Q96" s="141" t="s">
        <v>29</v>
      </c>
      <c r="R96" s="142">
        <f t="shared" ref="R96:S101" ca="1" si="14">T96</f>
        <v>467217</v>
      </c>
      <c r="S96" s="142">
        <f t="shared" ca="1" si="14"/>
        <v>280330</v>
      </c>
      <c r="T96" s="142">
        <f ca="1">기술사</f>
        <v>467217</v>
      </c>
      <c r="U96" s="142">
        <f t="shared" ref="U96:U101" ca="1" si="15">ROUNDDOWN(P96*R96,0)</f>
        <v>280330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M97" s="171"/>
      <c r="N97" s="143" t="s">
        <v>32</v>
      </c>
      <c r="O97" s="173">
        <v>4</v>
      </c>
      <c r="P97" s="234">
        <f ca="1">OFFSET($A$1,MATCH(Z95,$A:$A,0)-1,O97)</f>
        <v>0.7</v>
      </c>
      <c r="Q97" s="144" t="s">
        <v>29</v>
      </c>
      <c r="R97" s="118">
        <f t="shared" ca="1" si="14"/>
        <v>373353</v>
      </c>
      <c r="S97" s="118">
        <f t="shared" ca="1" si="14"/>
        <v>261347</v>
      </c>
      <c r="T97" s="118">
        <f ca="1">특급</f>
        <v>373353</v>
      </c>
      <c r="U97" s="118">
        <f t="shared" ca="1" si="15"/>
        <v>261347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39</v>
      </c>
      <c r="O98" s="173">
        <v>5</v>
      </c>
      <c r="P98" s="234">
        <f ca="1">OFFSET($A$1,MATCH(Z95,$A:$A,0)-1,O98)</f>
        <v>2.7</v>
      </c>
      <c r="Q98" s="144" t="s">
        <v>29</v>
      </c>
      <c r="R98" s="118">
        <f t="shared" ca="1" si="14"/>
        <v>310884</v>
      </c>
      <c r="S98" s="118">
        <f t="shared" ca="1" si="14"/>
        <v>839386</v>
      </c>
      <c r="T98" s="118">
        <f ca="1">고급</f>
        <v>310884</v>
      </c>
      <c r="U98" s="118">
        <f t="shared" ca="1" si="15"/>
        <v>839386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40</v>
      </c>
      <c r="O99" s="173">
        <v>6</v>
      </c>
      <c r="P99" s="234">
        <f ca="1">OFFSET($A$1,MATCH(Z95,$A:$A,0)-1,O99)</f>
        <v>2.7</v>
      </c>
      <c r="Q99" s="144" t="s">
        <v>29</v>
      </c>
      <c r="R99" s="118">
        <f t="shared" ca="1" si="14"/>
        <v>295138</v>
      </c>
      <c r="S99" s="118">
        <f t="shared" ca="1" si="14"/>
        <v>796872</v>
      </c>
      <c r="T99" s="118">
        <f ca="1">중급</f>
        <v>295138</v>
      </c>
      <c r="U99" s="118">
        <f t="shared" ca="1" si="15"/>
        <v>796872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41</v>
      </c>
      <c r="O100" s="173">
        <v>7</v>
      </c>
      <c r="P100" s="234">
        <f ca="1">OFFSET($A$1,MATCH(Z95,$A:$A,0)-1,O100)</f>
        <v>10.199999999999999</v>
      </c>
      <c r="Q100" s="144" t="s">
        <v>29</v>
      </c>
      <c r="R100" s="118">
        <f t="shared" ca="1" si="14"/>
        <v>235459</v>
      </c>
      <c r="S100" s="118">
        <f t="shared" ca="1" si="14"/>
        <v>2401681</v>
      </c>
      <c r="T100" s="118">
        <f ca="1">초급</f>
        <v>235459</v>
      </c>
      <c r="U100" s="118">
        <f t="shared" ca="1" si="15"/>
        <v>2401681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319" t="s">
        <v>42</v>
      </c>
      <c r="O101" s="174">
        <v>8</v>
      </c>
      <c r="P101" s="235">
        <f ca="1">OFFSET($A$1,MATCH(Z95,$A:$A,0)-1,O101)</f>
        <v>10.1</v>
      </c>
      <c r="Q101" s="322" t="s">
        <v>29</v>
      </c>
      <c r="R101" s="323">
        <f t="shared" ca="1" si="14"/>
        <v>250087</v>
      </c>
      <c r="S101" s="323">
        <f t="shared" ca="1" si="14"/>
        <v>2525878</v>
      </c>
      <c r="T101" s="323">
        <f ca="1">보조원</f>
        <v>250087</v>
      </c>
      <c r="U101" s="323">
        <f t="shared" ca="1" si="15"/>
        <v>2525878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M102" s="171"/>
      <c r="N102" s="139" t="s">
        <v>17</v>
      </c>
      <c r="O102" s="68"/>
      <c r="P102" s="69"/>
      <c r="Q102" s="70"/>
      <c r="R102" s="71"/>
      <c r="S102" s="71">
        <f ca="1">SUBTOTAL(9,S96:S101)</f>
        <v>7105494</v>
      </c>
      <c r="T102" s="71"/>
      <c r="U102" s="71">
        <f ca="1">SUBTOTAL(9,U96:U101)</f>
        <v>7105494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M103" s="171"/>
      <c r="N103" s="318" t="str">
        <f ca="1">"제 " &amp; Z103 &amp; " 호표  "&amp; OFFSET($A$1,MATCH(Z103,$A:$A,0)-1,1)</f>
        <v>제 5 호표  1.5. 인구유발 효과 및 수용계획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5</v>
      </c>
    </row>
    <row r="104" spans="11:26" ht="18" customHeight="1">
      <c r="K104" s="171" t="s">
        <v>14</v>
      </c>
      <c r="L104" s="171"/>
      <c r="M104" s="171"/>
      <c r="N104" s="140" t="s">
        <v>43</v>
      </c>
      <c r="O104" s="172">
        <v>3</v>
      </c>
      <c r="P104" s="219">
        <f ca="1">OFFSET($A$1,MATCH(Z103,$A:$A,0)-1,O104)</f>
        <v>0.6</v>
      </c>
      <c r="Q104" s="141" t="s">
        <v>29</v>
      </c>
      <c r="R104" s="142">
        <f t="shared" ref="R104:S109" ca="1" si="16">T104</f>
        <v>467217</v>
      </c>
      <c r="S104" s="142">
        <f t="shared" ca="1" si="16"/>
        <v>280330</v>
      </c>
      <c r="T104" s="142">
        <f ca="1">기술사</f>
        <v>467217</v>
      </c>
      <c r="U104" s="142">
        <f t="shared" ref="U104:U109" ca="1" si="17">ROUNDDOWN(P104*R104,0)</f>
        <v>280330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M105" s="171"/>
      <c r="N105" s="143" t="s">
        <v>32</v>
      </c>
      <c r="O105" s="173">
        <v>4</v>
      </c>
      <c r="P105" s="234">
        <f ca="1">OFFSET($A$1,MATCH(Z103,$A:$A,0)-1,O105)</f>
        <v>0.8</v>
      </c>
      <c r="Q105" s="144" t="s">
        <v>29</v>
      </c>
      <c r="R105" s="118">
        <f t="shared" ca="1" si="16"/>
        <v>373353</v>
      </c>
      <c r="S105" s="118">
        <f t="shared" ca="1" si="16"/>
        <v>298682</v>
      </c>
      <c r="T105" s="118">
        <f ca="1">특급</f>
        <v>373353</v>
      </c>
      <c r="U105" s="118">
        <f t="shared" ca="1" si="17"/>
        <v>298682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39</v>
      </c>
      <c r="O106" s="173">
        <v>5</v>
      </c>
      <c r="P106" s="234">
        <f ca="1">OFFSET($A$1,MATCH(Z103,$A:$A,0)-1,O106)</f>
        <v>2.6</v>
      </c>
      <c r="Q106" s="144" t="s">
        <v>29</v>
      </c>
      <c r="R106" s="118">
        <f t="shared" ca="1" si="16"/>
        <v>310884</v>
      </c>
      <c r="S106" s="118">
        <f t="shared" ca="1" si="16"/>
        <v>808298</v>
      </c>
      <c r="T106" s="118">
        <f ca="1">고급</f>
        <v>310884</v>
      </c>
      <c r="U106" s="118">
        <f t="shared" ca="1" si="17"/>
        <v>808298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40</v>
      </c>
      <c r="O107" s="173">
        <v>6</v>
      </c>
      <c r="P107" s="234">
        <f ca="1">OFFSET($A$1,MATCH(Z103,$A:$A,0)-1,O107)</f>
        <v>2.6</v>
      </c>
      <c r="Q107" s="144" t="s">
        <v>29</v>
      </c>
      <c r="R107" s="118">
        <f t="shared" ca="1" si="16"/>
        <v>295138</v>
      </c>
      <c r="S107" s="118">
        <f t="shared" ca="1" si="16"/>
        <v>767358</v>
      </c>
      <c r="T107" s="118">
        <f ca="1">중급</f>
        <v>295138</v>
      </c>
      <c r="U107" s="118">
        <f t="shared" ca="1" si="17"/>
        <v>767358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41</v>
      </c>
      <c r="O108" s="173">
        <v>7</v>
      </c>
      <c r="P108" s="234">
        <f ca="1">OFFSET($A$1,MATCH(Z103,$A:$A,0)-1,O108)</f>
        <v>6.7</v>
      </c>
      <c r="Q108" s="144" t="s">
        <v>29</v>
      </c>
      <c r="R108" s="118">
        <f t="shared" ca="1" si="16"/>
        <v>235459</v>
      </c>
      <c r="S108" s="118">
        <f t="shared" ca="1" si="16"/>
        <v>1577575</v>
      </c>
      <c r="T108" s="118">
        <f ca="1">초급</f>
        <v>235459</v>
      </c>
      <c r="U108" s="118">
        <f t="shared" ca="1" si="17"/>
        <v>1577575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319" t="s">
        <v>42</v>
      </c>
      <c r="O109" s="174">
        <v>8</v>
      </c>
      <c r="P109" s="235">
        <f ca="1">OFFSET($A$1,MATCH(Z103,$A:$A,0)-1,O109)</f>
        <v>6.7</v>
      </c>
      <c r="Q109" s="322" t="s">
        <v>29</v>
      </c>
      <c r="R109" s="323">
        <f t="shared" ca="1" si="16"/>
        <v>250087</v>
      </c>
      <c r="S109" s="323">
        <f t="shared" ca="1" si="16"/>
        <v>1675582</v>
      </c>
      <c r="T109" s="323">
        <f ca="1">보조원</f>
        <v>250087</v>
      </c>
      <c r="U109" s="323">
        <f t="shared" ca="1" si="17"/>
        <v>1675582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M110" s="171"/>
      <c r="N110" s="139" t="s">
        <v>17</v>
      </c>
      <c r="O110" s="68"/>
      <c r="P110" s="69"/>
      <c r="Q110" s="70"/>
      <c r="R110" s="71"/>
      <c r="S110" s="71">
        <f ca="1">SUBTOTAL(9,S104:S109)</f>
        <v>5407825</v>
      </c>
      <c r="T110" s="71"/>
      <c r="U110" s="71">
        <f ca="1">SUBTOTAL(9,U104:U109)</f>
        <v>5407825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M111" s="171"/>
      <c r="N111" s="318" t="str">
        <f ca="1">"제 " &amp; Z111 &amp; " 호표  "&amp; OFFSET($A$1,MATCH(Z111,$A:$A,0)-1,1)</f>
        <v>제 6 호표  1.6. 지역경제 파급효과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6</v>
      </c>
    </row>
    <row r="112" spans="11:26" ht="18" customHeight="1">
      <c r="K112" s="171" t="s">
        <v>14</v>
      </c>
      <c r="L112" s="171"/>
      <c r="M112" s="171"/>
      <c r="N112" s="140" t="s">
        <v>43</v>
      </c>
      <c r="O112" s="172">
        <v>3</v>
      </c>
      <c r="P112" s="219">
        <f ca="1">OFFSET($A$1,MATCH(Z111,$A:$A,0)-1,O112)</f>
        <v>0.5</v>
      </c>
      <c r="Q112" s="141" t="s">
        <v>29</v>
      </c>
      <c r="R112" s="142">
        <f t="shared" ref="R112:S117" ca="1" si="18">T112</f>
        <v>467217</v>
      </c>
      <c r="S112" s="142">
        <f t="shared" ca="1" si="18"/>
        <v>233608</v>
      </c>
      <c r="T112" s="142">
        <f ca="1">기술사</f>
        <v>467217</v>
      </c>
      <c r="U112" s="142">
        <f t="shared" ref="U112:U117" ca="1" si="19">ROUNDDOWN(P112*R112,0)</f>
        <v>233608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M113" s="171"/>
      <c r="N113" s="143" t="s">
        <v>32</v>
      </c>
      <c r="O113" s="173">
        <v>4</v>
      </c>
      <c r="P113" s="234">
        <f ca="1">OFFSET($A$1,MATCH(Z111,$A:$A,0)-1,O113)</f>
        <v>0.9</v>
      </c>
      <c r="Q113" s="144" t="s">
        <v>29</v>
      </c>
      <c r="R113" s="118">
        <f t="shared" ca="1" si="18"/>
        <v>373353</v>
      </c>
      <c r="S113" s="118">
        <f t="shared" ca="1" si="18"/>
        <v>336017</v>
      </c>
      <c r="T113" s="118">
        <f ca="1">특급</f>
        <v>373353</v>
      </c>
      <c r="U113" s="118">
        <f t="shared" ca="1" si="19"/>
        <v>336017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39</v>
      </c>
      <c r="O114" s="173">
        <v>5</v>
      </c>
      <c r="P114" s="234">
        <f ca="1">OFFSET($A$1,MATCH(Z111,$A:$A,0)-1,O114)</f>
        <v>4</v>
      </c>
      <c r="Q114" s="144" t="s">
        <v>29</v>
      </c>
      <c r="R114" s="118">
        <f t="shared" ca="1" si="18"/>
        <v>310884</v>
      </c>
      <c r="S114" s="118">
        <f t="shared" ca="1" si="18"/>
        <v>1243536</v>
      </c>
      <c r="T114" s="118">
        <f ca="1">고급</f>
        <v>310884</v>
      </c>
      <c r="U114" s="118">
        <f t="shared" ca="1" si="19"/>
        <v>1243536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40</v>
      </c>
      <c r="O115" s="173">
        <v>6</v>
      </c>
      <c r="P115" s="234">
        <f ca="1">OFFSET($A$1,MATCH(Z111,$A:$A,0)-1,O115)</f>
        <v>3.9</v>
      </c>
      <c r="Q115" s="144" t="s">
        <v>29</v>
      </c>
      <c r="R115" s="118">
        <f t="shared" ca="1" si="18"/>
        <v>295138</v>
      </c>
      <c r="S115" s="118">
        <f t="shared" ca="1" si="18"/>
        <v>1151038</v>
      </c>
      <c r="T115" s="118">
        <f ca="1">중급</f>
        <v>295138</v>
      </c>
      <c r="U115" s="118">
        <f t="shared" ca="1" si="19"/>
        <v>1151038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41</v>
      </c>
      <c r="O116" s="173">
        <v>7</v>
      </c>
      <c r="P116" s="234">
        <f ca="1">OFFSET($A$1,MATCH(Z111,$A:$A,0)-1,O116)</f>
        <v>6.7</v>
      </c>
      <c r="Q116" s="144" t="s">
        <v>29</v>
      </c>
      <c r="R116" s="118">
        <f t="shared" ca="1" si="18"/>
        <v>235459</v>
      </c>
      <c r="S116" s="118">
        <f t="shared" ca="1" si="18"/>
        <v>1577575</v>
      </c>
      <c r="T116" s="118">
        <f ca="1">초급</f>
        <v>235459</v>
      </c>
      <c r="U116" s="118">
        <f t="shared" ca="1" si="19"/>
        <v>1577575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319" t="s">
        <v>42</v>
      </c>
      <c r="O117" s="174">
        <v>8</v>
      </c>
      <c r="P117" s="235">
        <f ca="1">OFFSET($A$1,MATCH(Z111,$A:$A,0)-1,O117)</f>
        <v>10</v>
      </c>
      <c r="Q117" s="322" t="s">
        <v>29</v>
      </c>
      <c r="R117" s="323">
        <f t="shared" ca="1" si="18"/>
        <v>250087</v>
      </c>
      <c r="S117" s="323">
        <f t="shared" ca="1" si="18"/>
        <v>2500870</v>
      </c>
      <c r="T117" s="323">
        <f ca="1">보조원</f>
        <v>250087</v>
      </c>
      <c r="U117" s="323">
        <f t="shared" ca="1" si="19"/>
        <v>2500870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7042644</v>
      </c>
      <c r="T118" s="71"/>
      <c r="U118" s="71">
        <f ca="1">SUBTOTAL(9,U112:U117)</f>
        <v>7042644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  <c r="N119" s="318" t="str">
        <f ca="1">"제 " &amp; Z119 &amp; " 호표  "&amp; OFFSET($A$1,MATCH(Z119,$A:$A,0)-1,1)</f>
        <v>제 7 호표  1.7. 구상안 작성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7</v>
      </c>
    </row>
    <row r="120" spans="11:26" ht="18" customHeight="1">
      <c r="K120" s="171" t="s">
        <v>14</v>
      </c>
      <c r="L120" s="171"/>
      <c r="M120" s="171"/>
      <c r="N120" s="140" t="s">
        <v>43</v>
      </c>
      <c r="O120" s="172">
        <v>3</v>
      </c>
      <c r="P120" s="219">
        <f ca="1">OFFSET($A$1,MATCH(Z119,$A:$A,0)-1,O120)</f>
        <v>1.3</v>
      </c>
      <c r="Q120" s="141" t="s">
        <v>29</v>
      </c>
      <c r="R120" s="142">
        <f t="shared" ref="R120:S125" ca="1" si="20">T120</f>
        <v>467217</v>
      </c>
      <c r="S120" s="142">
        <f t="shared" ca="1" si="20"/>
        <v>607382</v>
      </c>
      <c r="T120" s="142">
        <f ca="1">기술사</f>
        <v>467217</v>
      </c>
      <c r="U120" s="142">
        <f t="shared" ref="U120:U125" ca="1" si="21">ROUNDDOWN(P120*R120,0)</f>
        <v>607382</v>
      </c>
      <c r="V120" s="142"/>
      <c r="W120" s="142"/>
      <c r="X120" s="142"/>
      <c r="Y120" s="142"/>
      <c r="Z120" s="114"/>
    </row>
    <row r="121" spans="11:26" ht="18" customHeight="1">
      <c r="K121" s="171" t="s">
        <v>14</v>
      </c>
      <c r="L121" s="171"/>
      <c r="M121" s="171"/>
      <c r="N121" s="143" t="s">
        <v>32</v>
      </c>
      <c r="O121" s="173">
        <v>4</v>
      </c>
      <c r="P121" s="234">
        <f ca="1">OFFSET($A$1,MATCH(Z119,$A:$A,0)-1,O121)</f>
        <v>2</v>
      </c>
      <c r="Q121" s="144" t="s">
        <v>29</v>
      </c>
      <c r="R121" s="118">
        <f t="shared" ca="1" si="20"/>
        <v>373353</v>
      </c>
      <c r="S121" s="118">
        <f t="shared" ca="1" si="20"/>
        <v>746706</v>
      </c>
      <c r="T121" s="118">
        <f ca="1">특급</f>
        <v>373353</v>
      </c>
      <c r="U121" s="118">
        <f t="shared" ca="1" si="21"/>
        <v>746706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39</v>
      </c>
      <c r="O122" s="173">
        <v>5</v>
      </c>
      <c r="P122" s="234">
        <f ca="1">OFFSET($A$1,MATCH(Z119,$A:$A,0)-1,O122)</f>
        <v>4.5999999999999996</v>
      </c>
      <c r="Q122" s="144" t="s">
        <v>29</v>
      </c>
      <c r="R122" s="118">
        <f t="shared" ca="1" si="20"/>
        <v>310884</v>
      </c>
      <c r="S122" s="118">
        <f t="shared" ca="1" si="20"/>
        <v>1430066</v>
      </c>
      <c r="T122" s="118">
        <f ca="1">고급</f>
        <v>310884</v>
      </c>
      <c r="U122" s="118">
        <f t="shared" ca="1" si="21"/>
        <v>1430066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40</v>
      </c>
      <c r="O123" s="173">
        <v>6</v>
      </c>
      <c r="P123" s="234">
        <f ca="1">OFFSET($A$1,MATCH(Z119,$A:$A,0)-1,O123)</f>
        <v>0</v>
      </c>
      <c r="Q123" s="144" t="s">
        <v>29</v>
      </c>
      <c r="R123" s="118">
        <f t="shared" ca="1" si="20"/>
        <v>295138</v>
      </c>
      <c r="S123" s="118">
        <f t="shared" ca="1" si="20"/>
        <v>0</v>
      </c>
      <c r="T123" s="118">
        <f ca="1">중급</f>
        <v>295138</v>
      </c>
      <c r="U123" s="118">
        <f t="shared" ca="1" si="21"/>
        <v>0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41</v>
      </c>
      <c r="O124" s="173">
        <v>7</v>
      </c>
      <c r="P124" s="234">
        <f ca="1">OFFSET($A$1,MATCH(Z119,$A:$A,0)-1,O124)</f>
        <v>13.2</v>
      </c>
      <c r="Q124" s="144" t="s">
        <v>29</v>
      </c>
      <c r="R124" s="118">
        <f t="shared" ca="1" si="20"/>
        <v>235459</v>
      </c>
      <c r="S124" s="118">
        <f t="shared" ca="1" si="20"/>
        <v>3108058</v>
      </c>
      <c r="T124" s="118">
        <f ca="1">초급</f>
        <v>235459</v>
      </c>
      <c r="U124" s="118">
        <f t="shared" ca="1" si="21"/>
        <v>3108058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319" t="s">
        <v>42</v>
      </c>
      <c r="O125" s="174">
        <v>8</v>
      </c>
      <c r="P125" s="235">
        <f ca="1">OFFSET($A$1,MATCH(Z119,$A:$A,0)-1,O125)</f>
        <v>13.2</v>
      </c>
      <c r="Q125" s="322" t="s">
        <v>29</v>
      </c>
      <c r="R125" s="323">
        <f t="shared" ca="1" si="20"/>
        <v>250087</v>
      </c>
      <c r="S125" s="323">
        <f t="shared" ca="1" si="20"/>
        <v>3301148</v>
      </c>
      <c r="T125" s="323">
        <f ca="1">보조원</f>
        <v>250087</v>
      </c>
      <c r="U125" s="323">
        <f t="shared" ca="1" si="21"/>
        <v>3301148</v>
      </c>
      <c r="V125" s="323"/>
      <c r="W125" s="323"/>
      <c r="X125" s="323"/>
      <c r="Y125" s="323"/>
      <c r="Z125" s="324"/>
    </row>
    <row r="126" spans="11:26" ht="18" customHeight="1">
      <c r="K126" s="171" t="s">
        <v>14</v>
      </c>
      <c r="L126" s="171"/>
      <c r="M126" s="171"/>
      <c r="N126" s="139" t="s">
        <v>17</v>
      </c>
      <c r="O126" s="68"/>
      <c r="P126" s="69"/>
      <c r="Q126" s="70"/>
      <c r="R126" s="71"/>
      <c r="S126" s="71">
        <f ca="1">SUBTOTAL(9,S120:S125)</f>
        <v>9193360</v>
      </c>
      <c r="T126" s="71"/>
      <c r="U126" s="71">
        <f ca="1">SUBTOTAL(9,U120:U125)</f>
        <v>9193360</v>
      </c>
      <c r="V126" s="71"/>
      <c r="W126" s="71"/>
      <c r="X126" s="71"/>
      <c r="Y126" s="71"/>
      <c r="Z126" s="68"/>
    </row>
    <row r="127" spans="11:26" ht="18" customHeight="1">
      <c r="K127" s="171" t="s">
        <v>14</v>
      </c>
      <c r="L127" s="171"/>
      <c r="M127" s="171"/>
      <c r="N127" s="318" t="str">
        <f ca="1">"제 " &amp; Z127 &amp; " 호표  "&amp; OFFSET($A$1,MATCH(Z127,$A:$A,0)-1,1)</f>
        <v>제 8 호표  1.8. 업종별 배분계획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8</v>
      </c>
    </row>
    <row r="128" spans="11:26" ht="18" customHeight="1">
      <c r="K128" s="171" t="s">
        <v>14</v>
      </c>
      <c r="L128" s="171"/>
      <c r="M128" s="171"/>
      <c r="N128" s="140" t="s">
        <v>43</v>
      </c>
      <c r="O128" s="172">
        <v>3</v>
      </c>
      <c r="P128" s="219">
        <f ca="1">OFFSET($A$1,MATCH(Z127,$A:$A,0)-1,O128)</f>
        <v>0.7</v>
      </c>
      <c r="Q128" s="141" t="s">
        <v>29</v>
      </c>
      <c r="R128" s="142">
        <f t="shared" ref="R128:S133" ca="1" si="22">T128</f>
        <v>467217</v>
      </c>
      <c r="S128" s="142">
        <f t="shared" ca="1" si="22"/>
        <v>327051</v>
      </c>
      <c r="T128" s="142">
        <f ca="1">기술사</f>
        <v>467217</v>
      </c>
      <c r="U128" s="142">
        <f t="shared" ref="U128:U133" ca="1" si="23">ROUNDDOWN(P128*R128,0)</f>
        <v>327051</v>
      </c>
      <c r="V128" s="142"/>
      <c r="W128" s="142"/>
      <c r="X128" s="142"/>
      <c r="Y128" s="142"/>
      <c r="Z128" s="114"/>
    </row>
    <row r="129" spans="11:26" ht="18" customHeight="1">
      <c r="K129" s="171" t="s">
        <v>14</v>
      </c>
      <c r="L129" s="171"/>
      <c r="M129" s="171"/>
      <c r="N129" s="143" t="s">
        <v>32</v>
      </c>
      <c r="O129" s="173">
        <v>4</v>
      </c>
      <c r="P129" s="234">
        <f ca="1">OFFSET($A$1,MATCH(Z127,$A:$A,0)-1,O129)</f>
        <v>0.7</v>
      </c>
      <c r="Q129" s="144" t="s">
        <v>29</v>
      </c>
      <c r="R129" s="118">
        <f t="shared" ca="1" si="22"/>
        <v>373353</v>
      </c>
      <c r="S129" s="118">
        <f t="shared" ca="1" si="22"/>
        <v>261347</v>
      </c>
      <c r="T129" s="118">
        <f ca="1">특급</f>
        <v>373353</v>
      </c>
      <c r="U129" s="118">
        <f t="shared" ca="1" si="23"/>
        <v>261347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145" t="s">
        <v>39</v>
      </c>
      <c r="O130" s="173">
        <v>5</v>
      </c>
      <c r="P130" s="234">
        <f ca="1">OFFSET($A$1,MATCH(Z127,$A:$A,0)-1,O130)</f>
        <v>4.0999999999999996</v>
      </c>
      <c r="Q130" s="144" t="s">
        <v>29</v>
      </c>
      <c r="R130" s="118">
        <f t="shared" ca="1" si="22"/>
        <v>310884</v>
      </c>
      <c r="S130" s="118">
        <f t="shared" ca="1" si="22"/>
        <v>1274624</v>
      </c>
      <c r="T130" s="118">
        <f ca="1">고급</f>
        <v>310884</v>
      </c>
      <c r="U130" s="118">
        <f t="shared" ca="1" si="23"/>
        <v>1274624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145" t="s">
        <v>40</v>
      </c>
      <c r="O131" s="173">
        <v>6</v>
      </c>
      <c r="P131" s="234">
        <f ca="1">OFFSET($A$1,MATCH(Z127,$A:$A,0)-1,O131)</f>
        <v>4.0999999999999996</v>
      </c>
      <c r="Q131" s="144" t="s">
        <v>29</v>
      </c>
      <c r="R131" s="118">
        <f t="shared" ca="1" si="22"/>
        <v>295138</v>
      </c>
      <c r="S131" s="118">
        <f t="shared" ca="1" si="22"/>
        <v>1210065</v>
      </c>
      <c r="T131" s="118">
        <f ca="1">중급</f>
        <v>295138</v>
      </c>
      <c r="U131" s="118">
        <f t="shared" ca="1" si="23"/>
        <v>1210065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145" t="s">
        <v>41</v>
      </c>
      <c r="O132" s="173">
        <v>7</v>
      </c>
      <c r="P132" s="234">
        <f ca="1">OFFSET($A$1,MATCH(Z127,$A:$A,0)-1,O132)</f>
        <v>6.7</v>
      </c>
      <c r="Q132" s="144" t="s">
        <v>29</v>
      </c>
      <c r="R132" s="118">
        <f t="shared" ca="1" si="22"/>
        <v>235459</v>
      </c>
      <c r="S132" s="118">
        <f t="shared" ca="1" si="22"/>
        <v>1577575</v>
      </c>
      <c r="T132" s="118">
        <f ca="1">초급</f>
        <v>235459</v>
      </c>
      <c r="U132" s="118">
        <f t="shared" ca="1" si="23"/>
        <v>1577575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319" t="s">
        <v>42</v>
      </c>
      <c r="O133" s="174">
        <v>8</v>
      </c>
      <c r="P133" s="235">
        <f ca="1">OFFSET($A$1,MATCH(Z127,$A:$A,0)-1,O133)</f>
        <v>10.1</v>
      </c>
      <c r="Q133" s="322" t="s">
        <v>29</v>
      </c>
      <c r="R133" s="323">
        <f t="shared" ca="1" si="22"/>
        <v>250087</v>
      </c>
      <c r="S133" s="323">
        <f t="shared" ca="1" si="22"/>
        <v>2525878</v>
      </c>
      <c r="T133" s="323">
        <f ca="1">보조원</f>
        <v>250087</v>
      </c>
      <c r="U133" s="323">
        <f t="shared" ca="1" si="23"/>
        <v>2525878</v>
      </c>
      <c r="V133" s="323"/>
      <c r="W133" s="323"/>
      <c r="X133" s="323"/>
      <c r="Y133" s="323"/>
      <c r="Z133" s="324"/>
    </row>
    <row r="134" spans="11:26" ht="18" customHeight="1">
      <c r="K134" s="171" t="s">
        <v>14</v>
      </c>
      <c r="L134" s="171"/>
      <c r="M134" s="171"/>
      <c r="N134" s="139" t="s">
        <v>17</v>
      </c>
      <c r="O134" s="68"/>
      <c r="P134" s="69"/>
      <c r="Q134" s="70"/>
      <c r="R134" s="71"/>
      <c r="S134" s="71">
        <f ca="1">SUBTOTAL(9,S128:S133)</f>
        <v>7176540</v>
      </c>
      <c r="T134" s="71"/>
      <c r="U134" s="71">
        <f ca="1">SUBTOTAL(9,U128:U133)</f>
        <v>7176540</v>
      </c>
      <c r="V134" s="71"/>
      <c r="W134" s="71"/>
      <c r="X134" s="71"/>
      <c r="Y134" s="71"/>
      <c r="Z134" s="68"/>
    </row>
    <row r="135" spans="11:26" ht="18" customHeight="1">
      <c r="K135" s="171" t="s">
        <v>14</v>
      </c>
      <c r="L135" s="171"/>
      <c r="M135" s="171"/>
      <c r="N135" s="318" t="str">
        <f ca="1">"제 " &amp; Z135 &amp; " 호표  "&amp; OFFSET($A$1,MATCH(Z135,$A:$A,0)-1,1)</f>
        <v>제 9 호표  1.9. 토지이용계획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9</v>
      </c>
    </row>
    <row r="136" spans="11:26" ht="18" customHeight="1">
      <c r="K136" s="171" t="s">
        <v>14</v>
      </c>
      <c r="L136" s="171"/>
      <c r="M136" s="171"/>
      <c r="N136" s="140" t="s">
        <v>43</v>
      </c>
      <c r="O136" s="172">
        <v>3</v>
      </c>
      <c r="P136" s="219">
        <f ca="1">OFFSET($A$1,MATCH(Z135,$A:$A,0)-1,O136)</f>
        <v>1.3</v>
      </c>
      <c r="Q136" s="141" t="s">
        <v>29</v>
      </c>
      <c r="R136" s="142">
        <f t="shared" ref="R136:S141" ca="1" si="24">T136</f>
        <v>467217</v>
      </c>
      <c r="S136" s="142">
        <f t="shared" ca="1" si="24"/>
        <v>607382</v>
      </c>
      <c r="T136" s="142">
        <f ca="1">기술사</f>
        <v>467217</v>
      </c>
      <c r="U136" s="142">
        <f t="shared" ref="U136:U141" ca="1" si="25">ROUNDDOWN(P136*R136,0)</f>
        <v>607382</v>
      </c>
      <c r="V136" s="142"/>
      <c r="W136" s="142"/>
      <c r="X136" s="142"/>
      <c r="Y136" s="142"/>
      <c r="Z136" s="114"/>
    </row>
    <row r="137" spans="11:26" ht="18" customHeight="1">
      <c r="K137" s="171" t="s">
        <v>14</v>
      </c>
      <c r="L137" s="171"/>
      <c r="M137" s="171"/>
      <c r="N137" s="143" t="s">
        <v>32</v>
      </c>
      <c r="O137" s="173">
        <v>4</v>
      </c>
      <c r="P137" s="234">
        <f ca="1">OFFSET($A$1,MATCH(Z135,$A:$A,0)-1,O137)</f>
        <v>1.3</v>
      </c>
      <c r="Q137" s="144" t="s">
        <v>29</v>
      </c>
      <c r="R137" s="118">
        <f t="shared" ca="1" si="24"/>
        <v>373353</v>
      </c>
      <c r="S137" s="118">
        <f t="shared" ca="1" si="24"/>
        <v>485358</v>
      </c>
      <c r="T137" s="118">
        <f ca="1">특급</f>
        <v>373353</v>
      </c>
      <c r="U137" s="118">
        <f t="shared" ca="1" si="25"/>
        <v>485358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39</v>
      </c>
      <c r="O138" s="173">
        <v>5</v>
      </c>
      <c r="P138" s="234">
        <f ca="1">OFFSET($A$1,MATCH(Z135,$A:$A,0)-1,O138)</f>
        <v>7.5</v>
      </c>
      <c r="Q138" s="144" t="s">
        <v>29</v>
      </c>
      <c r="R138" s="118">
        <f t="shared" ca="1" si="24"/>
        <v>310884</v>
      </c>
      <c r="S138" s="118">
        <f t="shared" ca="1" si="24"/>
        <v>2331630</v>
      </c>
      <c r="T138" s="118">
        <f ca="1">고급</f>
        <v>310884</v>
      </c>
      <c r="U138" s="118">
        <f t="shared" ca="1" si="25"/>
        <v>2331630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40</v>
      </c>
      <c r="O139" s="173">
        <v>6</v>
      </c>
      <c r="P139" s="234">
        <f ca="1">OFFSET($A$1,MATCH(Z135,$A:$A,0)-1,O139)</f>
        <v>8.1</v>
      </c>
      <c r="Q139" s="144" t="s">
        <v>29</v>
      </c>
      <c r="R139" s="118">
        <f t="shared" ca="1" si="24"/>
        <v>295138</v>
      </c>
      <c r="S139" s="118">
        <f t="shared" ca="1" si="24"/>
        <v>2390617</v>
      </c>
      <c r="T139" s="118">
        <f ca="1">중급</f>
        <v>295138</v>
      </c>
      <c r="U139" s="118">
        <f t="shared" ca="1" si="25"/>
        <v>2390617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41</v>
      </c>
      <c r="O140" s="173">
        <v>7</v>
      </c>
      <c r="P140" s="234">
        <f ca="1">OFFSET($A$1,MATCH(Z135,$A:$A,0)-1,O140)</f>
        <v>27</v>
      </c>
      <c r="Q140" s="144" t="s">
        <v>29</v>
      </c>
      <c r="R140" s="118">
        <f t="shared" ca="1" si="24"/>
        <v>235459</v>
      </c>
      <c r="S140" s="118">
        <f t="shared" ca="1" si="24"/>
        <v>6357393</v>
      </c>
      <c r="T140" s="118">
        <f ca="1">초급</f>
        <v>235459</v>
      </c>
      <c r="U140" s="118">
        <f t="shared" ca="1" si="25"/>
        <v>6357393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319" t="s">
        <v>42</v>
      </c>
      <c r="O141" s="174">
        <v>8</v>
      </c>
      <c r="P141" s="235">
        <f ca="1">OFFSET($A$1,MATCH(Z135,$A:$A,0)-1,O141)</f>
        <v>27</v>
      </c>
      <c r="Q141" s="322" t="s">
        <v>29</v>
      </c>
      <c r="R141" s="323">
        <f t="shared" ca="1" si="24"/>
        <v>250087</v>
      </c>
      <c r="S141" s="323">
        <f t="shared" ca="1" si="24"/>
        <v>6752349</v>
      </c>
      <c r="T141" s="323">
        <f ca="1">보조원</f>
        <v>250087</v>
      </c>
      <c r="U141" s="323">
        <f t="shared" ca="1" si="25"/>
        <v>6752349</v>
      </c>
      <c r="V141" s="323"/>
      <c r="W141" s="323"/>
      <c r="X141" s="323"/>
      <c r="Y141" s="323"/>
      <c r="Z141" s="324"/>
    </row>
    <row r="142" spans="11:26" ht="18" customHeight="1">
      <c r="K142" s="171" t="s">
        <v>14</v>
      </c>
      <c r="L142" s="171"/>
      <c r="M142" s="171"/>
      <c r="N142" s="139" t="s">
        <v>17</v>
      </c>
      <c r="O142" s="68"/>
      <c r="P142" s="69"/>
      <c r="Q142" s="70"/>
      <c r="R142" s="71"/>
      <c r="S142" s="71">
        <f ca="1">SUBTOTAL(9,S136:S141)</f>
        <v>18924729</v>
      </c>
      <c r="T142" s="71"/>
      <c r="U142" s="71">
        <f ca="1">SUBTOTAL(9,U136:U141)</f>
        <v>18924729</v>
      </c>
      <c r="V142" s="71"/>
      <c r="W142" s="71"/>
      <c r="X142" s="71"/>
      <c r="Y142" s="71"/>
      <c r="Z142" s="68"/>
    </row>
    <row r="143" spans="11:26" ht="18" customHeight="1">
      <c r="K143" s="171" t="s">
        <v>14</v>
      </c>
      <c r="L143" s="171"/>
      <c r="M143" s="171"/>
      <c r="N143" s="318" t="str">
        <f ca="1">"제 " &amp; Z143 &amp; " 호표  "&amp; OFFSET($A$1,MATCH(Z143,$A:$A,0)-1,1)</f>
        <v>제 10 호표  1.10. 동선계획</v>
      </c>
      <c r="O143" s="221"/>
      <c r="P143" s="148"/>
      <c r="Q143" s="148"/>
      <c r="R143" s="149"/>
      <c r="S143" s="149"/>
      <c r="T143" s="149"/>
      <c r="U143" s="149"/>
      <c r="V143" s="149"/>
      <c r="W143" s="149"/>
      <c r="X143" s="149"/>
      <c r="Y143" s="149"/>
      <c r="Z143" s="325">
        <f>Z135+1</f>
        <v>10</v>
      </c>
    </row>
    <row r="144" spans="11:26" ht="18" customHeight="1">
      <c r="K144" s="171" t="s">
        <v>14</v>
      </c>
      <c r="L144" s="171"/>
      <c r="M144" s="171"/>
      <c r="N144" s="140" t="s">
        <v>43</v>
      </c>
      <c r="O144" s="172">
        <v>3</v>
      </c>
      <c r="P144" s="219">
        <f ca="1">OFFSET($A$1,MATCH(Z143,$A:$A,0)-1,O144)</f>
        <v>0.8</v>
      </c>
      <c r="Q144" s="141" t="s">
        <v>29</v>
      </c>
      <c r="R144" s="142">
        <f t="shared" ref="R144:S149" ca="1" si="26">T144</f>
        <v>467217</v>
      </c>
      <c r="S144" s="142">
        <f t="shared" ca="1" si="26"/>
        <v>373773</v>
      </c>
      <c r="T144" s="142">
        <f ca="1">기술사</f>
        <v>467217</v>
      </c>
      <c r="U144" s="142">
        <f t="shared" ref="U144:U149" ca="1" si="27">ROUNDDOWN(P144*R144,0)</f>
        <v>373773</v>
      </c>
      <c r="V144" s="142"/>
      <c r="W144" s="142"/>
      <c r="X144" s="142"/>
      <c r="Y144" s="142"/>
      <c r="Z144" s="114"/>
    </row>
    <row r="145" spans="11:26" ht="18" customHeight="1">
      <c r="K145" s="171" t="s">
        <v>14</v>
      </c>
      <c r="L145" s="171"/>
      <c r="M145" s="171"/>
      <c r="N145" s="143" t="s">
        <v>32</v>
      </c>
      <c r="O145" s="173">
        <v>4</v>
      </c>
      <c r="P145" s="234">
        <f ca="1">OFFSET($A$1,MATCH(Z143,$A:$A,0)-1,O145)</f>
        <v>0.5</v>
      </c>
      <c r="Q145" s="144" t="s">
        <v>29</v>
      </c>
      <c r="R145" s="118">
        <f t="shared" ca="1" si="26"/>
        <v>373353</v>
      </c>
      <c r="S145" s="118">
        <f t="shared" ca="1" si="26"/>
        <v>186676</v>
      </c>
      <c r="T145" s="118">
        <f ca="1">특급</f>
        <v>373353</v>
      </c>
      <c r="U145" s="118">
        <f t="shared" ca="1" si="27"/>
        <v>186676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145" t="s">
        <v>39</v>
      </c>
      <c r="O146" s="173">
        <v>5</v>
      </c>
      <c r="P146" s="234">
        <f ca="1">OFFSET($A$1,MATCH(Z143,$A:$A,0)-1,O146)</f>
        <v>4</v>
      </c>
      <c r="Q146" s="144" t="s">
        <v>29</v>
      </c>
      <c r="R146" s="118">
        <f t="shared" ca="1" si="26"/>
        <v>310884</v>
      </c>
      <c r="S146" s="118">
        <f t="shared" ca="1" si="26"/>
        <v>1243536</v>
      </c>
      <c r="T146" s="118">
        <f ca="1">고급</f>
        <v>310884</v>
      </c>
      <c r="U146" s="118">
        <f t="shared" ca="1" si="27"/>
        <v>1243536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40</v>
      </c>
      <c r="O147" s="173">
        <v>6</v>
      </c>
      <c r="P147" s="234">
        <f ca="1">OFFSET($A$1,MATCH(Z143,$A:$A,0)-1,O147)</f>
        <v>4</v>
      </c>
      <c r="Q147" s="144" t="s">
        <v>29</v>
      </c>
      <c r="R147" s="118">
        <f t="shared" ca="1" si="26"/>
        <v>295138</v>
      </c>
      <c r="S147" s="118">
        <f t="shared" ca="1" si="26"/>
        <v>1180552</v>
      </c>
      <c r="T147" s="118">
        <f ca="1">중급</f>
        <v>295138</v>
      </c>
      <c r="U147" s="118">
        <f t="shared" ca="1" si="27"/>
        <v>1180552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41</v>
      </c>
      <c r="O148" s="173">
        <v>7</v>
      </c>
      <c r="P148" s="234">
        <f ca="1">OFFSET($A$1,MATCH(Z143,$A:$A,0)-1,O148)</f>
        <v>13.2</v>
      </c>
      <c r="Q148" s="144" t="s">
        <v>29</v>
      </c>
      <c r="R148" s="118">
        <f t="shared" ca="1" si="26"/>
        <v>235459</v>
      </c>
      <c r="S148" s="118">
        <f t="shared" ca="1" si="26"/>
        <v>3108058</v>
      </c>
      <c r="T148" s="118">
        <f ca="1">초급</f>
        <v>235459</v>
      </c>
      <c r="U148" s="118">
        <f t="shared" ca="1" si="27"/>
        <v>3108058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319" t="s">
        <v>42</v>
      </c>
      <c r="O149" s="174">
        <v>8</v>
      </c>
      <c r="P149" s="235">
        <f ca="1">OFFSET($A$1,MATCH(Z143,$A:$A,0)-1,O149)</f>
        <v>16.5</v>
      </c>
      <c r="Q149" s="322" t="s">
        <v>29</v>
      </c>
      <c r="R149" s="323">
        <f t="shared" ca="1" si="26"/>
        <v>250087</v>
      </c>
      <c r="S149" s="323">
        <f t="shared" ca="1" si="26"/>
        <v>4126435</v>
      </c>
      <c r="T149" s="323">
        <f ca="1">보조원</f>
        <v>250087</v>
      </c>
      <c r="U149" s="323">
        <f t="shared" ca="1" si="27"/>
        <v>4126435</v>
      </c>
      <c r="V149" s="323"/>
      <c r="W149" s="323"/>
      <c r="X149" s="323"/>
      <c r="Y149" s="323"/>
      <c r="Z149" s="324"/>
    </row>
    <row r="150" spans="11:26" ht="18" customHeight="1">
      <c r="K150" s="171" t="s">
        <v>14</v>
      </c>
      <c r="L150" s="171"/>
      <c r="M150" s="171"/>
      <c r="N150" s="139" t="s">
        <v>17</v>
      </c>
      <c r="O150" s="68"/>
      <c r="P150" s="69"/>
      <c r="Q150" s="70"/>
      <c r="R150" s="71"/>
      <c r="S150" s="71">
        <f ca="1">SUBTOTAL(9,S144:S149)</f>
        <v>10219030</v>
      </c>
      <c r="T150" s="71"/>
      <c r="U150" s="71">
        <f ca="1">SUBTOTAL(9,U144:U149)</f>
        <v>10219030</v>
      </c>
      <c r="V150" s="71"/>
      <c r="W150" s="71"/>
      <c r="X150" s="71"/>
      <c r="Y150" s="71"/>
      <c r="Z150" s="68"/>
    </row>
    <row r="151" spans="11:26" ht="18" customHeight="1">
      <c r="K151" s="171" t="s">
        <v>14</v>
      </c>
      <c r="L151" s="171"/>
      <c r="M151" s="171"/>
      <c r="N151" s="318" t="str">
        <f ca="1">"제 " &amp; Z151 &amp; " 호표  "&amp; OFFSET($A$1,MATCH(Z151,$A:$A,0)-1,1)</f>
        <v>제 11 호표  1.11. 공급처리시설계획</v>
      </c>
      <c r="O151" s="221"/>
      <c r="P151" s="148"/>
      <c r="Q151" s="148"/>
      <c r="R151" s="149"/>
      <c r="S151" s="149"/>
      <c r="T151" s="149"/>
      <c r="U151" s="149"/>
      <c r="V151" s="149"/>
      <c r="W151" s="149"/>
      <c r="X151" s="149"/>
      <c r="Y151" s="149"/>
      <c r="Z151" s="325">
        <f>Z143+1</f>
        <v>11</v>
      </c>
    </row>
    <row r="152" spans="11:26" ht="18" customHeight="1">
      <c r="K152" s="171" t="s">
        <v>14</v>
      </c>
      <c r="L152" s="171"/>
      <c r="M152" s="171"/>
      <c r="N152" s="140" t="s">
        <v>43</v>
      </c>
      <c r="O152" s="172">
        <v>3</v>
      </c>
      <c r="P152" s="219">
        <f ca="1">OFFSET($A$1,MATCH(Z151,$A:$A,0)-1,O152)</f>
        <v>1</v>
      </c>
      <c r="Q152" s="141" t="s">
        <v>29</v>
      </c>
      <c r="R152" s="142">
        <f t="shared" ref="R152:S157" ca="1" si="28">T152</f>
        <v>467217</v>
      </c>
      <c r="S152" s="142">
        <f t="shared" ca="1" si="28"/>
        <v>467217</v>
      </c>
      <c r="T152" s="142">
        <f ca="1">기술사</f>
        <v>467217</v>
      </c>
      <c r="U152" s="142">
        <f t="shared" ref="U152:U157" ca="1" si="29">ROUNDDOWN(P152*R152,0)</f>
        <v>467217</v>
      </c>
      <c r="V152" s="142"/>
      <c r="W152" s="142"/>
      <c r="X152" s="142"/>
      <c r="Y152" s="142"/>
      <c r="Z152" s="114"/>
    </row>
    <row r="153" spans="11:26" ht="18" customHeight="1">
      <c r="K153" s="171" t="s">
        <v>14</v>
      </c>
      <c r="L153" s="171"/>
      <c r="M153" s="171"/>
      <c r="N153" s="143" t="s">
        <v>32</v>
      </c>
      <c r="O153" s="173">
        <v>4</v>
      </c>
      <c r="P153" s="234">
        <f ca="1">OFFSET($A$1,MATCH(Z151,$A:$A,0)-1,O153)</f>
        <v>1.6</v>
      </c>
      <c r="Q153" s="144" t="s">
        <v>29</v>
      </c>
      <c r="R153" s="118">
        <f t="shared" ca="1" si="28"/>
        <v>373353</v>
      </c>
      <c r="S153" s="118">
        <f t="shared" ca="1" si="28"/>
        <v>597364</v>
      </c>
      <c r="T153" s="118">
        <f ca="1">특급</f>
        <v>373353</v>
      </c>
      <c r="U153" s="118">
        <f t="shared" ca="1" si="29"/>
        <v>597364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39</v>
      </c>
      <c r="O154" s="173">
        <v>5</v>
      </c>
      <c r="P154" s="234">
        <f ca="1">OFFSET($A$1,MATCH(Z151,$A:$A,0)-1,O154)</f>
        <v>6.7</v>
      </c>
      <c r="Q154" s="144" t="s">
        <v>29</v>
      </c>
      <c r="R154" s="118">
        <f t="shared" ca="1" si="28"/>
        <v>310884</v>
      </c>
      <c r="S154" s="118">
        <f t="shared" ca="1" si="28"/>
        <v>2082922</v>
      </c>
      <c r="T154" s="118">
        <f ca="1">고급</f>
        <v>310884</v>
      </c>
      <c r="U154" s="118">
        <f t="shared" ca="1" si="29"/>
        <v>2082922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40</v>
      </c>
      <c r="O155" s="173">
        <v>6</v>
      </c>
      <c r="P155" s="234">
        <f ca="1">OFFSET($A$1,MATCH(Z151,$A:$A,0)-1,O155)</f>
        <v>6.7</v>
      </c>
      <c r="Q155" s="144" t="s">
        <v>29</v>
      </c>
      <c r="R155" s="118">
        <f t="shared" ca="1" si="28"/>
        <v>295138</v>
      </c>
      <c r="S155" s="118">
        <f t="shared" ca="1" si="28"/>
        <v>1977424</v>
      </c>
      <c r="T155" s="118">
        <f ca="1">중급</f>
        <v>295138</v>
      </c>
      <c r="U155" s="118">
        <f t="shared" ca="1" si="29"/>
        <v>1977424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41</v>
      </c>
      <c r="O156" s="173">
        <v>7</v>
      </c>
      <c r="P156" s="234">
        <f ca="1">OFFSET($A$1,MATCH(Z151,$A:$A,0)-1,O156)</f>
        <v>13.5</v>
      </c>
      <c r="Q156" s="144" t="s">
        <v>29</v>
      </c>
      <c r="R156" s="118">
        <f t="shared" ca="1" si="28"/>
        <v>235459</v>
      </c>
      <c r="S156" s="118">
        <f t="shared" ca="1" si="28"/>
        <v>3178696</v>
      </c>
      <c r="T156" s="118">
        <f ca="1">초급</f>
        <v>235459</v>
      </c>
      <c r="U156" s="118">
        <f t="shared" ca="1" si="29"/>
        <v>3178696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319" t="s">
        <v>42</v>
      </c>
      <c r="O157" s="174">
        <v>8</v>
      </c>
      <c r="P157" s="235">
        <f ca="1">OFFSET($A$1,MATCH(Z151,$A:$A,0)-1,O157)</f>
        <v>13.5</v>
      </c>
      <c r="Q157" s="322" t="s">
        <v>29</v>
      </c>
      <c r="R157" s="323">
        <f t="shared" ca="1" si="28"/>
        <v>250087</v>
      </c>
      <c r="S157" s="323">
        <f t="shared" ca="1" si="28"/>
        <v>3376174</v>
      </c>
      <c r="T157" s="323">
        <f ca="1">보조원</f>
        <v>250087</v>
      </c>
      <c r="U157" s="323">
        <f t="shared" ca="1" si="29"/>
        <v>3376174</v>
      </c>
      <c r="V157" s="323"/>
      <c r="W157" s="323"/>
      <c r="X157" s="323"/>
      <c r="Y157" s="323"/>
      <c r="Z157" s="324"/>
    </row>
    <row r="158" spans="11:26" ht="18" customHeight="1">
      <c r="K158" s="171" t="s">
        <v>14</v>
      </c>
      <c r="L158" s="171"/>
      <c r="M158" s="171"/>
      <c r="N158" s="139" t="s">
        <v>17</v>
      </c>
      <c r="O158" s="68"/>
      <c r="P158" s="69"/>
      <c r="Q158" s="70"/>
      <c r="R158" s="71"/>
      <c r="S158" s="71">
        <f ca="1">SUBTOTAL(9,S152:S157)</f>
        <v>11679797</v>
      </c>
      <c r="T158" s="71"/>
      <c r="U158" s="71">
        <f ca="1">SUBTOTAL(9,U152:U157)</f>
        <v>11679797</v>
      </c>
      <c r="V158" s="71"/>
      <c r="W158" s="71"/>
      <c r="X158" s="71"/>
      <c r="Y158" s="71"/>
      <c r="Z158" s="68"/>
    </row>
    <row r="159" spans="11:26" ht="18" customHeight="1">
      <c r="K159" s="171" t="s">
        <v>14</v>
      </c>
      <c r="L159" s="171"/>
      <c r="M159" s="171"/>
      <c r="N159" s="318" t="str">
        <f ca="1">"제 " &amp; Z159 &amp; " 호표  "&amp; OFFSET($A$1,MATCH(Z159,$A:$A,0)-1,1)</f>
        <v>제 12 호표  1.12. 공원녹지계획</v>
      </c>
      <c r="O159" s="221"/>
      <c r="P159" s="148"/>
      <c r="Q159" s="148"/>
      <c r="R159" s="149"/>
      <c r="S159" s="149"/>
      <c r="T159" s="149"/>
      <c r="U159" s="149"/>
      <c r="V159" s="149"/>
      <c r="W159" s="149"/>
      <c r="X159" s="149"/>
      <c r="Y159" s="149"/>
      <c r="Z159" s="325">
        <f>Z151+1</f>
        <v>12</v>
      </c>
    </row>
    <row r="160" spans="11:26" ht="18" customHeight="1">
      <c r="K160" s="171" t="s">
        <v>14</v>
      </c>
      <c r="L160" s="171"/>
      <c r="M160" s="171"/>
      <c r="N160" s="140" t="s">
        <v>43</v>
      </c>
      <c r="O160" s="172">
        <v>3</v>
      </c>
      <c r="P160" s="219">
        <f ca="1">OFFSET($A$1,MATCH(Z159,$A:$A,0)-1,O160)</f>
        <v>0.5</v>
      </c>
      <c r="Q160" s="141" t="s">
        <v>29</v>
      </c>
      <c r="R160" s="142">
        <f t="shared" ref="R160:S165" ca="1" si="30">T160</f>
        <v>467217</v>
      </c>
      <c r="S160" s="142">
        <f t="shared" ca="1" si="30"/>
        <v>233608</v>
      </c>
      <c r="T160" s="142">
        <f ca="1">기술사</f>
        <v>467217</v>
      </c>
      <c r="U160" s="142">
        <f t="shared" ref="U160:U165" ca="1" si="31">ROUNDDOWN(P160*R160,0)</f>
        <v>233608</v>
      </c>
      <c r="V160" s="142"/>
      <c r="W160" s="142"/>
      <c r="X160" s="142"/>
      <c r="Y160" s="142"/>
      <c r="Z160" s="114"/>
    </row>
    <row r="161" spans="11:26" ht="18" customHeight="1">
      <c r="K161" s="171" t="s">
        <v>14</v>
      </c>
      <c r="L161" s="171"/>
      <c r="M161" s="171"/>
      <c r="N161" s="143" t="s">
        <v>32</v>
      </c>
      <c r="O161" s="173">
        <v>4</v>
      </c>
      <c r="P161" s="234">
        <f ca="1">OFFSET($A$1,MATCH(Z159,$A:$A,0)-1,O161)</f>
        <v>0.8</v>
      </c>
      <c r="Q161" s="144" t="s">
        <v>29</v>
      </c>
      <c r="R161" s="118">
        <f t="shared" ca="1" si="30"/>
        <v>373353</v>
      </c>
      <c r="S161" s="118">
        <f t="shared" ca="1" si="30"/>
        <v>298682</v>
      </c>
      <c r="T161" s="118">
        <f ca="1">특급</f>
        <v>373353</v>
      </c>
      <c r="U161" s="118">
        <f t="shared" ca="1" si="31"/>
        <v>298682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39</v>
      </c>
      <c r="O162" s="173">
        <v>5</v>
      </c>
      <c r="P162" s="234">
        <f ca="1">OFFSET($A$1,MATCH(Z159,$A:$A,0)-1,O162)</f>
        <v>4</v>
      </c>
      <c r="Q162" s="144" t="s">
        <v>29</v>
      </c>
      <c r="R162" s="118">
        <f t="shared" ca="1" si="30"/>
        <v>310884</v>
      </c>
      <c r="S162" s="118">
        <f t="shared" ca="1" si="30"/>
        <v>1243536</v>
      </c>
      <c r="T162" s="118">
        <f ca="1">고급</f>
        <v>310884</v>
      </c>
      <c r="U162" s="118">
        <f t="shared" ca="1" si="31"/>
        <v>1243536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40</v>
      </c>
      <c r="O163" s="173">
        <v>6</v>
      </c>
      <c r="P163" s="234">
        <f ca="1">OFFSET($A$1,MATCH(Z159,$A:$A,0)-1,O163)</f>
        <v>4</v>
      </c>
      <c r="Q163" s="144" t="s">
        <v>29</v>
      </c>
      <c r="R163" s="118">
        <f t="shared" ca="1" si="30"/>
        <v>295138</v>
      </c>
      <c r="S163" s="118">
        <f t="shared" ca="1" si="30"/>
        <v>1180552</v>
      </c>
      <c r="T163" s="118">
        <f ca="1">중급</f>
        <v>295138</v>
      </c>
      <c r="U163" s="118">
        <f t="shared" ca="1" si="31"/>
        <v>1180552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41</v>
      </c>
      <c r="O164" s="173">
        <v>7</v>
      </c>
      <c r="P164" s="234">
        <f ca="1">OFFSET($A$1,MATCH(Z159,$A:$A,0)-1,O164)</f>
        <v>6.6</v>
      </c>
      <c r="Q164" s="144" t="s">
        <v>29</v>
      </c>
      <c r="R164" s="118">
        <f t="shared" ca="1" si="30"/>
        <v>235459</v>
      </c>
      <c r="S164" s="118">
        <f t="shared" ca="1" si="30"/>
        <v>1554029</v>
      </c>
      <c r="T164" s="118">
        <f ca="1">초급</f>
        <v>235459</v>
      </c>
      <c r="U164" s="118">
        <f t="shared" ca="1" si="31"/>
        <v>1554029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319" t="s">
        <v>42</v>
      </c>
      <c r="O165" s="174">
        <v>8</v>
      </c>
      <c r="P165" s="235">
        <f ca="1">OFFSET($A$1,MATCH(Z159,$A:$A,0)-1,O165)</f>
        <v>9.9</v>
      </c>
      <c r="Q165" s="322" t="s">
        <v>29</v>
      </c>
      <c r="R165" s="323">
        <f t="shared" ca="1" si="30"/>
        <v>250087</v>
      </c>
      <c r="S165" s="323">
        <f t="shared" ca="1" si="30"/>
        <v>2475861</v>
      </c>
      <c r="T165" s="323">
        <f ca="1">보조원</f>
        <v>250087</v>
      </c>
      <c r="U165" s="323">
        <f t="shared" ca="1" si="31"/>
        <v>2475861</v>
      </c>
      <c r="V165" s="323"/>
      <c r="W165" s="323"/>
      <c r="X165" s="323"/>
      <c r="Y165" s="323"/>
      <c r="Z165" s="324"/>
    </row>
    <row r="166" spans="11:26" ht="18" customHeight="1">
      <c r="K166" s="171" t="s">
        <v>14</v>
      </c>
      <c r="L166" s="171"/>
      <c r="M166" s="171"/>
      <c r="N166" s="139" t="s">
        <v>17</v>
      </c>
      <c r="O166" s="68"/>
      <c r="P166" s="69"/>
      <c r="Q166" s="70"/>
      <c r="R166" s="71"/>
      <c r="S166" s="71">
        <f ca="1">SUBTOTAL(9,S160:S165)</f>
        <v>6986268</v>
      </c>
      <c r="T166" s="71"/>
      <c r="U166" s="71">
        <f ca="1">SUBTOTAL(9,U160:U165)</f>
        <v>6986268</v>
      </c>
      <c r="V166" s="71"/>
      <c r="W166" s="71"/>
      <c r="X166" s="71"/>
      <c r="Y166" s="71"/>
      <c r="Z166" s="68"/>
    </row>
    <row r="167" spans="11:26" ht="18" customHeight="1">
      <c r="K167" s="171" t="s">
        <v>14</v>
      </c>
      <c r="L167" s="171"/>
      <c r="M167" s="171"/>
      <c r="N167" s="318" t="str">
        <f ca="1">"제 " &amp; Z167 &amp; " 호표  "&amp; OFFSET($A$1,MATCH(Z167,$A:$A,0)-1,1)</f>
        <v>제 13 호표  1.13. 환경관리계획</v>
      </c>
      <c r="O167" s="221"/>
      <c r="P167" s="148"/>
      <c r="Q167" s="148"/>
      <c r="R167" s="149"/>
      <c r="S167" s="149"/>
      <c r="T167" s="149"/>
      <c r="U167" s="149"/>
      <c r="V167" s="149"/>
      <c r="W167" s="149"/>
      <c r="X167" s="149"/>
      <c r="Y167" s="149"/>
      <c r="Z167" s="325">
        <f>Z159+1</f>
        <v>13</v>
      </c>
    </row>
    <row r="168" spans="11:26" ht="18" customHeight="1">
      <c r="K168" s="171" t="s">
        <v>14</v>
      </c>
      <c r="L168" s="171"/>
      <c r="M168" s="171"/>
      <c r="N168" s="140" t="s">
        <v>43</v>
      </c>
      <c r="O168" s="172">
        <v>3</v>
      </c>
      <c r="P168" s="219">
        <f ca="1">OFFSET($A$1,MATCH(Z167,$A:$A,0)-1,O168)</f>
        <v>0.5</v>
      </c>
      <c r="Q168" s="141" t="s">
        <v>29</v>
      </c>
      <c r="R168" s="142">
        <f t="shared" ref="R168:S173" ca="1" si="32">T168</f>
        <v>467217</v>
      </c>
      <c r="S168" s="142">
        <f t="shared" ca="1" si="32"/>
        <v>233608</v>
      </c>
      <c r="T168" s="142">
        <f ca="1">기술사</f>
        <v>467217</v>
      </c>
      <c r="U168" s="142">
        <f t="shared" ref="U168:U173" ca="1" si="33">ROUNDDOWN(P168*R168,0)</f>
        <v>233608</v>
      </c>
      <c r="V168" s="142"/>
      <c r="W168" s="142"/>
      <c r="X168" s="142"/>
      <c r="Y168" s="142"/>
      <c r="Z168" s="114"/>
    </row>
    <row r="169" spans="11:26" ht="18" customHeight="1">
      <c r="K169" s="171" t="s">
        <v>14</v>
      </c>
      <c r="L169" s="171"/>
      <c r="M169" s="171"/>
      <c r="N169" s="143" t="s">
        <v>32</v>
      </c>
      <c r="O169" s="173">
        <v>4</v>
      </c>
      <c r="P169" s="234">
        <f ca="1">OFFSET($A$1,MATCH(Z167,$A:$A,0)-1,O169)</f>
        <v>0.9</v>
      </c>
      <c r="Q169" s="144" t="s">
        <v>29</v>
      </c>
      <c r="R169" s="118">
        <f t="shared" ca="1" si="32"/>
        <v>373353</v>
      </c>
      <c r="S169" s="118">
        <f t="shared" ca="1" si="32"/>
        <v>336017</v>
      </c>
      <c r="T169" s="118">
        <f ca="1">특급</f>
        <v>373353</v>
      </c>
      <c r="U169" s="118">
        <f t="shared" ca="1" si="33"/>
        <v>336017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39</v>
      </c>
      <c r="O170" s="173">
        <v>5</v>
      </c>
      <c r="P170" s="234">
        <f ca="1">OFFSET($A$1,MATCH(Z167,$A:$A,0)-1,O170)</f>
        <v>4.0999999999999996</v>
      </c>
      <c r="Q170" s="144" t="s">
        <v>29</v>
      </c>
      <c r="R170" s="118">
        <f t="shared" ca="1" si="32"/>
        <v>310884</v>
      </c>
      <c r="S170" s="118">
        <f t="shared" ca="1" si="32"/>
        <v>1274624</v>
      </c>
      <c r="T170" s="118">
        <f ca="1">고급</f>
        <v>310884</v>
      </c>
      <c r="U170" s="118">
        <f t="shared" ca="1" si="33"/>
        <v>1274624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40</v>
      </c>
      <c r="O171" s="173">
        <v>6</v>
      </c>
      <c r="P171" s="234">
        <f ca="1">OFFSET($A$1,MATCH(Z167,$A:$A,0)-1,O171)</f>
        <v>4</v>
      </c>
      <c r="Q171" s="144" t="s">
        <v>29</v>
      </c>
      <c r="R171" s="118">
        <f t="shared" ca="1" si="32"/>
        <v>295138</v>
      </c>
      <c r="S171" s="118">
        <f t="shared" ca="1" si="32"/>
        <v>1180552</v>
      </c>
      <c r="T171" s="118">
        <f ca="1">중급</f>
        <v>295138</v>
      </c>
      <c r="U171" s="118">
        <f t="shared" ca="1" si="33"/>
        <v>1180552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41</v>
      </c>
      <c r="O172" s="173">
        <v>7</v>
      </c>
      <c r="P172" s="234">
        <f ca="1">OFFSET($A$1,MATCH(Z167,$A:$A,0)-1,O172)</f>
        <v>6.6</v>
      </c>
      <c r="Q172" s="144" t="s">
        <v>29</v>
      </c>
      <c r="R172" s="118">
        <f t="shared" ca="1" si="32"/>
        <v>235459</v>
      </c>
      <c r="S172" s="118">
        <f t="shared" ca="1" si="32"/>
        <v>1554029</v>
      </c>
      <c r="T172" s="118">
        <f ca="1">초급</f>
        <v>235459</v>
      </c>
      <c r="U172" s="118">
        <f t="shared" ca="1" si="33"/>
        <v>1554029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319" t="s">
        <v>42</v>
      </c>
      <c r="O173" s="174">
        <v>8</v>
      </c>
      <c r="P173" s="235">
        <f ca="1">OFFSET($A$1,MATCH(Z167,$A:$A,0)-1,O173)</f>
        <v>10.199999999999999</v>
      </c>
      <c r="Q173" s="322" t="s">
        <v>29</v>
      </c>
      <c r="R173" s="323">
        <f t="shared" ca="1" si="32"/>
        <v>250087</v>
      </c>
      <c r="S173" s="323">
        <f t="shared" ca="1" si="32"/>
        <v>2550887</v>
      </c>
      <c r="T173" s="323">
        <f ca="1">보조원</f>
        <v>250087</v>
      </c>
      <c r="U173" s="323">
        <f t="shared" ca="1" si="33"/>
        <v>2550887</v>
      </c>
      <c r="V173" s="323"/>
      <c r="W173" s="323"/>
      <c r="X173" s="323"/>
      <c r="Y173" s="323"/>
      <c r="Z173" s="324"/>
    </row>
    <row r="174" spans="11:26" ht="18" customHeight="1">
      <c r="K174" s="171" t="s">
        <v>14</v>
      </c>
      <c r="L174" s="171"/>
      <c r="M174" s="171"/>
      <c r="N174" s="139" t="s">
        <v>17</v>
      </c>
      <c r="O174" s="68"/>
      <c r="P174" s="69"/>
      <c r="Q174" s="70"/>
      <c r="R174" s="71"/>
      <c r="S174" s="71">
        <f ca="1">SUBTOTAL(9,S168:S173)</f>
        <v>7129717</v>
      </c>
      <c r="T174" s="71"/>
      <c r="U174" s="71">
        <f ca="1">SUBTOTAL(9,U168:U173)</f>
        <v>7129717</v>
      </c>
      <c r="V174" s="71"/>
      <c r="W174" s="71"/>
      <c r="X174" s="71"/>
      <c r="Y174" s="71"/>
      <c r="Z174" s="68"/>
    </row>
    <row r="175" spans="11:26" ht="18" customHeight="1">
      <c r="K175" s="171" t="s">
        <v>14</v>
      </c>
      <c r="L175" s="171"/>
      <c r="M175" s="171"/>
      <c r="N175" s="318" t="str">
        <f ca="1">"제 " &amp; Z175 &amp; " 호표  "&amp; OFFSET($A$1,MATCH(Z175,$A:$A,0)-1,1)</f>
        <v>제 14 호표  1.14. 용지공급계획</v>
      </c>
      <c r="O175" s="221"/>
      <c r="P175" s="148"/>
      <c r="Q175" s="148"/>
      <c r="R175" s="149"/>
      <c r="S175" s="149"/>
      <c r="T175" s="149"/>
      <c r="U175" s="149"/>
      <c r="V175" s="149"/>
      <c r="W175" s="149"/>
      <c r="X175" s="149"/>
      <c r="Y175" s="149"/>
      <c r="Z175" s="325">
        <f>Z167+1</f>
        <v>14</v>
      </c>
    </row>
    <row r="176" spans="11:26" ht="18" customHeight="1">
      <c r="K176" s="171" t="s">
        <v>14</v>
      </c>
      <c r="L176" s="171"/>
      <c r="M176" s="171"/>
      <c r="N176" s="140" t="s">
        <v>43</v>
      </c>
      <c r="O176" s="172">
        <v>3</v>
      </c>
      <c r="P176" s="219">
        <f ca="1">OFFSET($A$1,MATCH(Z175,$A:$A,0)-1,O176)</f>
        <v>0.5</v>
      </c>
      <c r="Q176" s="141" t="s">
        <v>29</v>
      </c>
      <c r="R176" s="142">
        <f t="shared" ref="R176:S181" ca="1" si="34">T176</f>
        <v>467217</v>
      </c>
      <c r="S176" s="142">
        <f t="shared" ca="1" si="34"/>
        <v>233608</v>
      </c>
      <c r="T176" s="142">
        <f ca="1">기술사</f>
        <v>467217</v>
      </c>
      <c r="U176" s="142">
        <f t="shared" ref="U176:U181" ca="1" si="35">ROUNDDOWN(P176*R176,0)</f>
        <v>233608</v>
      </c>
      <c r="V176" s="142"/>
      <c r="W176" s="142"/>
      <c r="X176" s="142"/>
      <c r="Y176" s="142"/>
      <c r="Z176" s="114"/>
    </row>
    <row r="177" spans="11:26" ht="18" customHeight="1">
      <c r="K177" s="171" t="s">
        <v>14</v>
      </c>
      <c r="L177" s="171"/>
      <c r="M177" s="171"/>
      <c r="N177" s="143" t="s">
        <v>32</v>
      </c>
      <c r="O177" s="173">
        <v>4</v>
      </c>
      <c r="P177" s="234">
        <f ca="1">OFFSET($A$1,MATCH(Z175,$A:$A,0)-1,O177)</f>
        <v>0.9</v>
      </c>
      <c r="Q177" s="144" t="s">
        <v>29</v>
      </c>
      <c r="R177" s="118">
        <f t="shared" ca="1" si="34"/>
        <v>373353</v>
      </c>
      <c r="S177" s="118">
        <f t="shared" ca="1" si="34"/>
        <v>336017</v>
      </c>
      <c r="T177" s="118">
        <f ca="1">특급</f>
        <v>373353</v>
      </c>
      <c r="U177" s="118">
        <f t="shared" ca="1" si="35"/>
        <v>336017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39</v>
      </c>
      <c r="O178" s="173">
        <v>5</v>
      </c>
      <c r="P178" s="234">
        <f ca="1">OFFSET($A$1,MATCH(Z175,$A:$A,0)-1,O178)</f>
        <v>4</v>
      </c>
      <c r="Q178" s="144" t="s">
        <v>29</v>
      </c>
      <c r="R178" s="118">
        <f t="shared" ca="1" si="34"/>
        <v>310884</v>
      </c>
      <c r="S178" s="118">
        <f t="shared" ca="1" si="34"/>
        <v>1243536</v>
      </c>
      <c r="T178" s="118">
        <f ca="1">고급</f>
        <v>310884</v>
      </c>
      <c r="U178" s="118">
        <f t="shared" ca="1" si="35"/>
        <v>1243536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40</v>
      </c>
      <c r="O179" s="173">
        <v>6</v>
      </c>
      <c r="P179" s="234">
        <f ca="1">OFFSET($A$1,MATCH(Z175,$A:$A,0)-1,O179)</f>
        <v>3.8</v>
      </c>
      <c r="Q179" s="144" t="s">
        <v>29</v>
      </c>
      <c r="R179" s="118">
        <f t="shared" ca="1" si="34"/>
        <v>295138</v>
      </c>
      <c r="S179" s="118">
        <f t="shared" ca="1" si="34"/>
        <v>1121524</v>
      </c>
      <c r="T179" s="118">
        <f ca="1">중급</f>
        <v>295138</v>
      </c>
      <c r="U179" s="118">
        <f t="shared" ca="1" si="35"/>
        <v>1121524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41</v>
      </c>
      <c r="O180" s="173">
        <v>7</v>
      </c>
      <c r="P180" s="234">
        <f ca="1">OFFSET($A$1,MATCH(Z175,$A:$A,0)-1,O180)</f>
        <v>6.6</v>
      </c>
      <c r="Q180" s="144" t="s">
        <v>29</v>
      </c>
      <c r="R180" s="118">
        <f t="shared" ca="1" si="34"/>
        <v>235459</v>
      </c>
      <c r="S180" s="118">
        <f t="shared" ca="1" si="34"/>
        <v>1554029</v>
      </c>
      <c r="T180" s="118">
        <f ca="1">초급</f>
        <v>235459</v>
      </c>
      <c r="U180" s="118">
        <f t="shared" ca="1" si="35"/>
        <v>1554029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319" t="s">
        <v>42</v>
      </c>
      <c r="O181" s="174">
        <v>8</v>
      </c>
      <c r="P181" s="235">
        <f ca="1">OFFSET($A$1,MATCH(Z175,$A:$A,0)-1,O181)</f>
        <v>9.9</v>
      </c>
      <c r="Q181" s="322" t="s">
        <v>29</v>
      </c>
      <c r="R181" s="323">
        <f t="shared" ca="1" si="34"/>
        <v>250087</v>
      </c>
      <c r="S181" s="323">
        <f t="shared" ca="1" si="34"/>
        <v>2475861</v>
      </c>
      <c r="T181" s="323">
        <f ca="1">보조원</f>
        <v>250087</v>
      </c>
      <c r="U181" s="323">
        <f t="shared" ca="1" si="35"/>
        <v>2475861</v>
      </c>
      <c r="V181" s="323"/>
      <c r="W181" s="323"/>
      <c r="X181" s="323"/>
      <c r="Y181" s="323"/>
      <c r="Z181" s="324"/>
    </row>
    <row r="182" spans="11:26" ht="18" customHeight="1">
      <c r="K182" s="171" t="s">
        <v>14</v>
      </c>
      <c r="L182" s="171"/>
      <c r="M182" s="171"/>
      <c r="N182" s="139" t="s">
        <v>17</v>
      </c>
      <c r="O182" s="68"/>
      <c r="P182" s="69"/>
      <c r="Q182" s="70"/>
      <c r="R182" s="71"/>
      <c r="S182" s="71">
        <f ca="1">SUBTOTAL(9,S176:S181)</f>
        <v>6964575</v>
      </c>
      <c r="T182" s="71"/>
      <c r="U182" s="71">
        <f ca="1">SUBTOTAL(9,U176:U181)</f>
        <v>6964575</v>
      </c>
      <c r="V182" s="71"/>
      <c r="W182" s="71"/>
      <c r="X182" s="71"/>
      <c r="Y182" s="71"/>
      <c r="Z182" s="68"/>
    </row>
    <row r="183" spans="11:26" ht="18" customHeight="1">
      <c r="K183" s="171" t="s">
        <v>14</v>
      </c>
      <c r="L183" s="171"/>
      <c r="M183" s="171"/>
      <c r="N183" s="318" t="str">
        <f ca="1">"제 " &amp; Z183 &amp; " 호표  "&amp; OFFSET($A$1,MATCH(Z183,$A:$A,0)-1,1)</f>
        <v>제 15 호표  1.15. 재원조달 및 자금투자계획</v>
      </c>
      <c r="O183" s="221"/>
      <c r="P183" s="148"/>
      <c r="Q183" s="148"/>
      <c r="R183" s="149"/>
      <c r="S183" s="149"/>
      <c r="T183" s="149"/>
      <c r="U183" s="149"/>
      <c r="V183" s="149"/>
      <c r="W183" s="149"/>
      <c r="X183" s="149"/>
      <c r="Y183" s="149"/>
      <c r="Z183" s="325">
        <f>Z175+1</f>
        <v>15</v>
      </c>
    </row>
    <row r="184" spans="11:26" ht="18" customHeight="1">
      <c r="K184" s="171" t="s">
        <v>14</v>
      </c>
      <c r="L184" s="171"/>
      <c r="M184" s="171"/>
      <c r="N184" s="140" t="s">
        <v>43</v>
      </c>
      <c r="O184" s="172">
        <v>3</v>
      </c>
      <c r="P184" s="219">
        <f ca="1">OFFSET($A$1,MATCH(Z183,$A:$A,0)-1,O184)</f>
        <v>0.5</v>
      </c>
      <c r="Q184" s="141" t="s">
        <v>29</v>
      </c>
      <c r="R184" s="142">
        <f t="shared" ref="R184:S189" ca="1" si="36">T184</f>
        <v>467217</v>
      </c>
      <c r="S184" s="142">
        <f t="shared" ca="1" si="36"/>
        <v>233608</v>
      </c>
      <c r="T184" s="142">
        <f ca="1">기술사</f>
        <v>467217</v>
      </c>
      <c r="U184" s="142">
        <f t="shared" ref="U184:U189" ca="1" si="37">ROUNDDOWN(P184*R184,0)</f>
        <v>233608</v>
      </c>
      <c r="V184" s="142"/>
      <c r="W184" s="142"/>
      <c r="X184" s="142"/>
      <c r="Y184" s="142"/>
      <c r="Z184" s="114"/>
    </row>
    <row r="185" spans="11:26" ht="18" customHeight="1">
      <c r="K185" s="171" t="s">
        <v>14</v>
      </c>
      <c r="L185" s="171"/>
      <c r="M185" s="171"/>
      <c r="N185" s="143" t="s">
        <v>32</v>
      </c>
      <c r="O185" s="173">
        <v>4</v>
      </c>
      <c r="P185" s="234">
        <f ca="1">OFFSET($A$1,MATCH(Z183,$A:$A,0)-1,O185)</f>
        <v>0.9</v>
      </c>
      <c r="Q185" s="144" t="s">
        <v>29</v>
      </c>
      <c r="R185" s="118">
        <f t="shared" ca="1" si="36"/>
        <v>373353</v>
      </c>
      <c r="S185" s="118">
        <f t="shared" ca="1" si="36"/>
        <v>336017</v>
      </c>
      <c r="T185" s="118">
        <f ca="1">특급</f>
        <v>373353</v>
      </c>
      <c r="U185" s="118">
        <f t="shared" ca="1" si="37"/>
        <v>336017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39</v>
      </c>
      <c r="O186" s="173">
        <v>5</v>
      </c>
      <c r="P186" s="234">
        <f ca="1">OFFSET($A$1,MATCH(Z183,$A:$A,0)-1,O186)</f>
        <v>3.9</v>
      </c>
      <c r="Q186" s="144" t="s">
        <v>29</v>
      </c>
      <c r="R186" s="118">
        <f t="shared" ca="1" si="36"/>
        <v>310884</v>
      </c>
      <c r="S186" s="118">
        <f t="shared" ca="1" si="36"/>
        <v>1212447</v>
      </c>
      <c r="T186" s="118">
        <f ca="1">고급</f>
        <v>310884</v>
      </c>
      <c r="U186" s="118">
        <f t="shared" ca="1" si="37"/>
        <v>1212447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40</v>
      </c>
      <c r="O187" s="173">
        <v>6</v>
      </c>
      <c r="P187" s="234">
        <f ca="1">OFFSET($A$1,MATCH(Z183,$A:$A,0)-1,O187)</f>
        <v>3.7</v>
      </c>
      <c r="Q187" s="144" t="s">
        <v>29</v>
      </c>
      <c r="R187" s="118">
        <f t="shared" ca="1" si="36"/>
        <v>295138</v>
      </c>
      <c r="S187" s="118">
        <f t="shared" ca="1" si="36"/>
        <v>1092010</v>
      </c>
      <c r="T187" s="118">
        <f ca="1">중급</f>
        <v>295138</v>
      </c>
      <c r="U187" s="118">
        <f t="shared" ca="1" si="37"/>
        <v>1092010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41</v>
      </c>
      <c r="O188" s="173">
        <v>7</v>
      </c>
      <c r="P188" s="234">
        <f ca="1">OFFSET($A$1,MATCH(Z183,$A:$A,0)-1,O188)</f>
        <v>7</v>
      </c>
      <c r="Q188" s="144" t="s">
        <v>29</v>
      </c>
      <c r="R188" s="118">
        <f t="shared" ca="1" si="36"/>
        <v>235459</v>
      </c>
      <c r="S188" s="118">
        <f t="shared" ca="1" si="36"/>
        <v>1648213</v>
      </c>
      <c r="T188" s="118">
        <f ca="1">초급</f>
        <v>235459</v>
      </c>
      <c r="U188" s="118">
        <f t="shared" ca="1" si="37"/>
        <v>1648213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319" t="s">
        <v>42</v>
      </c>
      <c r="O189" s="174">
        <v>8</v>
      </c>
      <c r="P189" s="235">
        <f ca="1">OFFSET($A$1,MATCH(Z183,$A:$A,0)-1,O189)</f>
        <v>6</v>
      </c>
      <c r="Q189" s="322" t="s">
        <v>29</v>
      </c>
      <c r="R189" s="323">
        <f t="shared" ca="1" si="36"/>
        <v>250087</v>
      </c>
      <c r="S189" s="323">
        <f t="shared" ca="1" si="36"/>
        <v>1500522</v>
      </c>
      <c r="T189" s="323">
        <f ca="1">보조원</f>
        <v>250087</v>
      </c>
      <c r="U189" s="323">
        <f t="shared" ca="1" si="37"/>
        <v>1500522</v>
      </c>
      <c r="V189" s="323"/>
      <c r="W189" s="323"/>
      <c r="X189" s="323"/>
      <c r="Y189" s="323"/>
      <c r="Z189" s="324"/>
    </row>
    <row r="190" spans="11:26" ht="18" customHeight="1">
      <c r="K190" s="171" t="s">
        <v>14</v>
      </c>
      <c r="L190" s="171"/>
      <c r="M190" s="171"/>
      <c r="N190" s="139" t="s">
        <v>17</v>
      </c>
      <c r="O190" s="68"/>
      <c r="P190" s="69"/>
      <c r="Q190" s="70"/>
      <c r="R190" s="71"/>
      <c r="S190" s="71">
        <f ca="1">SUBTOTAL(9,S184:S189)</f>
        <v>6022817</v>
      </c>
      <c r="T190" s="71"/>
      <c r="U190" s="71">
        <f ca="1">SUBTOTAL(9,U184:U189)</f>
        <v>6022817</v>
      </c>
      <c r="V190" s="71"/>
      <c r="W190" s="71"/>
      <c r="X190" s="71"/>
      <c r="Y190" s="71"/>
      <c r="Z190" s="68"/>
    </row>
    <row r="191" spans="11:26" ht="18" customHeight="1">
      <c r="K191" s="171" t="s">
        <v>14</v>
      </c>
      <c r="L191" s="171"/>
      <c r="M191" s="171"/>
      <c r="N191" s="318" t="str">
        <f ca="1">"제 " &amp; Z191 &amp; " 호표  "&amp; OFFSET($A$1,MATCH(Z191,$A:$A,0)-1,1)</f>
        <v>제 16 호표  1.16. 운영관리계획</v>
      </c>
      <c r="O191" s="221"/>
      <c r="P191" s="148"/>
      <c r="Q191" s="148"/>
      <c r="R191" s="149"/>
      <c r="S191" s="149"/>
      <c r="T191" s="149"/>
      <c r="U191" s="149"/>
      <c r="V191" s="149"/>
      <c r="W191" s="149"/>
      <c r="X191" s="149"/>
      <c r="Y191" s="149"/>
      <c r="Z191" s="325">
        <f>Z183+1</f>
        <v>16</v>
      </c>
    </row>
    <row r="192" spans="11:26" ht="18" customHeight="1">
      <c r="K192" s="171" t="s">
        <v>14</v>
      </c>
      <c r="L192" s="171"/>
      <c r="M192" s="171"/>
      <c r="N192" s="140" t="s">
        <v>43</v>
      </c>
      <c r="O192" s="172">
        <v>3</v>
      </c>
      <c r="P192" s="219">
        <f ca="1">OFFSET($A$1,MATCH(Z191,$A:$A,0)-1,O192)</f>
        <v>0.4</v>
      </c>
      <c r="Q192" s="141" t="s">
        <v>29</v>
      </c>
      <c r="R192" s="142">
        <f t="shared" ref="R192:S197" ca="1" si="38">T192</f>
        <v>467217</v>
      </c>
      <c r="S192" s="142">
        <f t="shared" ca="1" si="38"/>
        <v>186886</v>
      </c>
      <c r="T192" s="142">
        <f ca="1">기술사</f>
        <v>467217</v>
      </c>
      <c r="U192" s="142">
        <f t="shared" ref="U192:U197" ca="1" si="39">ROUNDDOWN(P192*R192,0)</f>
        <v>186886</v>
      </c>
      <c r="V192" s="142"/>
      <c r="W192" s="142"/>
      <c r="X192" s="142"/>
      <c r="Y192" s="142"/>
      <c r="Z192" s="114"/>
    </row>
    <row r="193" spans="11:26" ht="18" customHeight="1">
      <c r="K193" s="171" t="s">
        <v>14</v>
      </c>
      <c r="L193" s="171"/>
      <c r="M193" s="171"/>
      <c r="N193" s="143" t="s">
        <v>32</v>
      </c>
      <c r="O193" s="173">
        <v>4</v>
      </c>
      <c r="P193" s="234">
        <f ca="1">OFFSET($A$1,MATCH(Z191,$A:$A,0)-1,O193)</f>
        <v>0.9</v>
      </c>
      <c r="Q193" s="144" t="s">
        <v>29</v>
      </c>
      <c r="R193" s="118">
        <f t="shared" ca="1" si="38"/>
        <v>373353</v>
      </c>
      <c r="S193" s="118">
        <f t="shared" ca="1" si="38"/>
        <v>336017</v>
      </c>
      <c r="T193" s="118">
        <f ca="1">특급</f>
        <v>373353</v>
      </c>
      <c r="U193" s="118">
        <f t="shared" ca="1" si="39"/>
        <v>336017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39</v>
      </c>
      <c r="O194" s="173">
        <v>5</v>
      </c>
      <c r="P194" s="234">
        <f ca="1">OFFSET($A$1,MATCH(Z191,$A:$A,0)-1,O194)</f>
        <v>2.6</v>
      </c>
      <c r="Q194" s="144" t="s">
        <v>29</v>
      </c>
      <c r="R194" s="118">
        <f t="shared" ca="1" si="38"/>
        <v>310884</v>
      </c>
      <c r="S194" s="118">
        <f t="shared" ca="1" si="38"/>
        <v>808298</v>
      </c>
      <c r="T194" s="118">
        <f ca="1">고급</f>
        <v>310884</v>
      </c>
      <c r="U194" s="118">
        <f t="shared" ca="1" si="39"/>
        <v>808298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40</v>
      </c>
      <c r="O195" s="173">
        <v>6</v>
      </c>
      <c r="P195" s="234">
        <f ca="1">OFFSET($A$1,MATCH(Z191,$A:$A,0)-1,O195)</f>
        <v>4</v>
      </c>
      <c r="Q195" s="144" t="s">
        <v>29</v>
      </c>
      <c r="R195" s="118">
        <f t="shared" ca="1" si="38"/>
        <v>295138</v>
      </c>
      <c r="S195" s="118">
        <f t="shared" ca="1" si="38"/>
        <v>1180552</v>
      </c>
      <c r="T195" s="118">
        <f ca="1">중급</f>
        <v>295138</v>
      </c>
      <c r="U195" s="118">
        <f t="shared" ca="1" si="39"/>
        <v>1180552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41</v>
      </c>
      <c r="O196" s="173">
        <v>7</v>
      </c>
      <c r="P196" s="234">
        <f ca="1">OFFSET($A$1,MATCH(Z191,$A:$A,0)-1,O196)</f>
        <v>6.6</v>
      </c>
      <c r="Q196" s="144" t="s">
        <v>29</v>
      </c>
      <c r="R196" s="118">
        <f t="shared" ca="1" si="38"/>
        <v>235459</v>
      </c>
      <c r="S196" s="118">
        <f t="shared" ca="1" si="38"/>
        <v>1554029</v>
      </c>
      <c r="T196" s="118">
        <f ca="1">초급</f>
        <v>235459</v>
      </c>
      <c r="U196" s="118">
        <f t="shared" ca="1" si="39"/>
        <v>1554029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319" t="s">
        <v>42</v>
      </c>
      <c r="O197" s="174">
        <v>8</v>
      </c>
      <c r="P197" s="235">
        <f ca="1">OFFSET($A$1,MATCH(Z191,$A:$A,0)-1,O197)</f>
        <v>9.9</v>
      </c>
      <c r="Q197" s="322" t="s">
        <v>29</v>
      </c>
      <c r="R197" s="323">
        <f t="shared" ca="1" si="38"/>
        <v>250087</v>
      </c>
      <c r="S197" s="323">
        <f t="shared" ca="1" si="38"/>
        <v>2475861</v>
      </c>
      <c r="T197" s="323">
        <f ca="1">보조원</f>
        <v>250087</v>
      </c>
      <c r="U197" s="323">
        <f t="shared" ca="1" si="39"/>
        <v>2475861</v>
      </c>
      <c r="V197" s="323"/>
      <c r="W197" s="323"/>
      <c r="X197" s="323"/>
      <c r="Y197" s="323"/>
      <c r="Z197" s="324"/>
    </row>
    <row r="198" spans="11:26" ht="18" customHeight="1">
      <c r="K198" s="171" t="s">
        <v>14</v>
      </c>
      <c r="L198" s="171"/>
      <c r="M198" s="171"/>
      <c r="N198" s="139" t="s">
        <v>17</v>
      </c>
      <c r="O198" s="68"/>
      <c r="P198" s="69"/>
      <c r="Q198" s="70"/>
      <c r="R198" s="71"/>
      <c r="S198" s="71">
        <f ca="1">SUBTOTAL(9,S192:S197)</f>
        <v>6541643</v>
      </c>
      <c r="T198" s="71"/>
      <c r="U198" s="71">
        <f ca="1">SUBTOTAL(9,U192:U197)</f>
        <v>6541643</v>
      </c>
      <c r="V198" s="71"/>
      <c r="W198" s="71"/>
      <c r="X198" s="71"/>
      <c r="Y198" s="71"/>
      <c r="Z198" s="68"/>
    </row>
    <row r="199" spans="11:26" ht="18" customHeight="1">
      <c r="K199" s="171" t="s">
        <v>14</v>
      </c>
      <c r="L199" s="171"/>
      <c r="M199" s="171"/>
      <c r="N199" s="318" t="str">
        <f ca="1">"제 " &amp; Z199 &amp; " 호표  "&amp; OFFSET($A$1,MATCH(Z199,$A:$A,0)-1,1)</f>
        <v>제 17 호표  1.17. 개발계획 승인도서 작성</v>
      </c>
      <c r="O199" s="221"/>
      <c r="P199" s="148"/>
      <c r="Q199" s="148"/>
      <c r="R199" s="149"/>
      <c r="S199" s="149"/>
      <c r="T199" s="149"/>
      <c r="U199" s="149"/>
      <c r="V199" s="149"/>
      <c r="W199" s="149"/>
      <c r="X199" s="149"/>
      <c r="Y199" s="149"/>
      <c r="Z199" s="325">
        <f>Z191+1</f>
        <v>17</v>
      </c>
    </row>
    <row r="200" spans="11:26" ht="18" customHeight="1">
      <c r="K200" s="171" t="s">
        <v>14</v>
      </c>
      <c r="L200" s="171"/>
      <c r="M200" s="171"/>
      <c r="N200" s="140" t="s">
        <v>43</v>
      </c>
      <c r="O200" s="172">
        <v>3</v>
      </c>
      <c r="P200" s="219">
        <f ca="1">OFFSET($A$1,MATCH(Z199,$A:$A,0)-1,O200)</f>
        <v>0.9</v>
      </c>
      <c r="Q200" s="141" t="s">
        <v>29</v>
      </c>
      <c r="R200" s="142">
        <f t="shared" ref="R200:S205" ca="1" si="40">T200</f>
        <v>467217</v>
      </c>
      <c r="S200" s="142">
        <f t="shared" ca="1" si="40"/>
        <v>420495</v>
      </c>
      <c r="T200" s="142">
        <f ca="1">기술사</f>
        <v>467217</v>
      </c>
      <c r="U200" s="142">
        <f t="shared" ref="U200:U205" ca="1" si="41">ROUNDDOWN(P200*R200,0)</f>
        <v>420495</v>
      </c>
      <c r="V200" s="142"/>
      <c r="W200" s="142"/>
      <c r="X200" s="142"/>
      <c r="Y200" s="142"/>
      <c r="Z200" s="114"/>
    </row>
    <row r="201" spans="11:26" ht="18" customHeight="1">
      <c r="K201" s="171" t="s">
        <v>14</v>
      </c>
      <c r="L201" s="171"/>
      <c r="M201" s="171"/>
      <c r="N201" s="143" t="s">
        <v>32</v>
      </c>
      <c r="O201" s="173">
        <v>4</v>
      </c>
      <c r="P201" s="234">
        <f ca="1">OFFSET($A$1,MATCH(Z199,$A:$A,0)-1,O201)</f>
        <v>0.4</v>
      </c>
      <c r="Q201" s="144" t="s">
        <v>29</v>
      </c>
      <c r="R201" s="118">
        <f t="shared" ca="1" si="40"/>
        <v>373353</v>
      </c>
      <c r="S201" s="118">
        <f t="shared" ca="1" si="40"/>
        <v>149341</v>
      </c>
      <c r="T201" s="118">
        <f ca="1">특급</f>
        <v>373353</v>
      </c>
      <c r="U201" s="118">
        <f t="shared" ca="1" si="41"/>
        <v>149341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39</v>
      </c>
      <c r="O202" s="173">
        <v>5</v>
      </c>
      <c r="P202" s="234">
        <f ca="1">OFFSET($A$1,MATCH(Z199,$A:$A,0)-1,O202)</f>
        <v>4</v>
      </c>
      <c r="Q202" s="144" t="s">
        <v>29</v>
      </c>
      <c r="R202" s="118">
        <f t="shared" ca="1" si="40"/>
        <v>310884</v>
      </c>
      <c r="S202" s="118">
        <f t="shared" ca="1" si="40"/>
        <v>1243536</v>
      </c>
      <c r="T202" s="118">
        <f ca="1">고급</f>
        <v>310884</v>
      </c>
      <c r="U202" s="118">
        <f t="shared" ca="1" si="41"/>
        <v>1243536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40</v>
      </c>
      <c r="O203" s="173">
        <v>6</v>
      </c>
      <c r="P203" s="234">
        <f ca="1">OFFSET($A$1,MATCH(Z199,$A:$A,0)-1,O203)</f>
        <v>4</v>
      </c>
      <c r="Q203" s="144" t="s">
        <v>29</v>
      </c>
      <c r="R203" s="118">
        <f t="shared" ca="1" si="40"/>
        <v>295138</v>
      </c>
      <c r="S203" s="118">
        <f t="shared" ca="1" si="40"/>
        <v>1180552</v>
      </c>
      <c r="T203" s="118">
        <f ca="1">중급</f>
        <v>295138</v>
      </c>
      <c r="U203" s="118">
        <f t="shared" ca="1" si="41"/>
        <v>1180552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41</v>
      </c>
      <c r="O204" s="173">
        <v>7</v>
      </c>
      <c r="P204" s="234">
        <f ca="1">OFFSET($A$1,MATCH(Z199,$A:$A,0)-1,O204)</f>
        <v>6.6</v>
      </c>
      <c r="Q204" s="144" t="s">
        <v>29</v>
      </c>
      <c r="R204" s="118">
        <f t="shared" ca="1" si="40"/>
        <v>235459</v>
      </c>
      <c r="S204" s="118">
        <f t="shared" ca="1" si="40"/>
        <v>1554029</v>
      </c>
      <c r="T204" s="118">
        <f ca="1">초급</f>
        <v>235459</v>
      </c>
      <c r="U204" s="118">
        <f t="shared" ca="1" si="41"/>
        <v>1554029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319" t="s">
        <v>42</v>
      </c>
      <c r="O205" s="174">
        <v>8</v>
      </c>
      <c r="P205" s="235">
        <f ca="1">OFFSET($A$1,MATCH(Z199,$A:$A,0)-1,O205)</f>
        <v>9.9</v>
      </c>
      <c r="Q205" s="322" t="s">
        <v>29</v>
      </c>
      <c r="R205" s="323">
        <f t="shared" ca="1" si="40"/>
        <v>250087</v>
      </c>
      <c r="S205" s="323">
        <f t="shared" ca="1" si="40"/>
        <v>2475861</v>
      </c>
      <c r="T205" s="323">
        <f ca="1">보조원</f>
        <v>250087</v>
      </c>
      <c r="U205" s="323">
        <f t="shared" ca="1" si="41"/>
        <v>2475861</v>
      </c>
      <c r="V205" s="323"/>
      <c r="W205" s="323"/>
      <c r="X205" s="323"/>
      <c r="Y205" s="323"/>
      <c r="Z205" s="324"/>
    </row>
    <row r="206" spans="11:26" ht="18" customHeight="1">
      <c r="K206" s="171" t="s">
        <v>14</v>
      </c>
      <c r="L206" s="171"/>
      <c r="M206" s="171"/>
      <c r="N206" s="139" t="s">
        <v>17</v>
      </c>
      <c r="O206" s="68"/>
      <c r="P206" s="69"/>
      <c r="Q206" s="70"/>
      <c r="R206" s="71"/>
      <c r="S206" s="71">
        <f ca="1">SUBTOTAL(9,S200:S205)</f>
        <v>7023814</v>
      </c>
      <c r="T206" s="71"/>
      <c r="U206" s="71">
        <f ca="1">SUBTOTAL(9,U200:U205)</f>
        <v>7023814</v>
      </c>
      <c r="V206" s="71"/>
      <c r="W206" s="71"/>
      <c r="X206" s="71"/>
      <c r="Y206" s="71"/>
      <c r="Z206" s="68"/>
    </row>
    <row r="207" spans="11:26" ht="18" customHeight="1">
      <c r="K207" s="171" t="s">
        <v>14</v>
      </c>
      <c r="L207" s="171"/>
      <c r="M207" s="171"/>
      <c r="N207" s="318" t="str">
        <f ca="1">"제 " &amp; Z207 &amp; " 호표  "&amp; OFFSET($A$1,MATCH(Z207,$A:$A,0)-1,1)</f>
        <v>제 18 호표  3.1. 보고서 작성 및 편집</v>
      </c>
      <c r="O207" s="221"/>
      <c r="P207" s="148"/>
      <c r="Q207" s="148"/>
      <c r="R207" s="149"/>
      <c r="S207" s="149"/>
      <c r="T207" s="149"/>
      <c r="U207" s="149"/>
      <c r="V207" s="149"/>
      <c r="W207" s="149"/>
      <c r="X207" s="149"/>
      <c r="Y207" s="149"/>
      <c r="Z207" s="325">
        <f>Z199+1</f>
        <v>18</v>
      </c>
    </row>
    <row r="208" spans="11:26" ht="18" customHeight="1">
      <c r="K208" s="171" t="s">
        <v>14</v>
      </c>
      <c r="L208" s="171"/>
      <c r="M208" s="171"/>
      <c r="N208" s="140" t="s">
        <v>43</v>
      </c>
      <c r="O208" s="172">
        <v>3</v>
      </c>
      <c r="P208" s="219">
        <f ca="1">OFFSET($A$1,MATCH(Z207,$A:$A,0)-1,O208)</f>
        <v>0.3</v>
      </c>
      <c r="Q208" s="141" t="s">
        <v>29</v>
      </c>
      <c r="R208" s="142">
        <f t="shared" ref="R208:S213" ca="1" si="42">T208</f>
        <v>467217</v>
      </c>
      <c r="S208" s="142">
        <f t="shared" ca="1" si="42"/>
        <v>140165</v>
      </c>
      <c r="T208" s="142">
        <f ca="1">기술사</f>
        <v>467217</v>
      </c>
      <c r="U208" s="142">
        <f t="shared" ref="U208:U213" ca="1" si="43">ROUNDDOWN(P208*R208,0)</f>
        <v>140165</v>
      </c>
      <c r="V208" s="142"/>
      <c r="W208" s="142"/>
      <c r="X208" s="142"/>
      <c r="Y208" s="142"/>
      <c r="Z208" s="114"/>
    </row>
    <row r="209" spans="11:26" ht="18" customHeight="1">
      <c r="K209" s="171" t="s">
        <v>14</v>
      </c>
      <c r="L209" s="171"/>
      <c r="M209" s="171"/>
      <c r="N209" s="143" t="s">
        <v>32</v>
      </c>
      <c r="O209" s="173">
        <v>4</v>
      </c>
      <c r="P209" s="234">
        <f ca="1">OFFSET($A$1,MATCH(Z207,$A:$A,0)-1,O209)</f>
        <v>1.3</v>
      </c>
      <c r="Q209" s="144" t="s">
        <v>29</v>
      </c>
      <c r="R209" s="118">
        <f t="shared" ca="1" si="42"/>
        <v>373353</v>
      </c>
      <c r="S209" s="118">
        <f t="shared" ca="1" si="42"/>
        <v>485358</v>
      </c>
      <c r="T209" s="118">
        <f ca="1">특급</f>
        <v>373353</v>
      </c>
      <c r="U209" s="118">
        <f t="shared" ca="1" si="43"/>
        <v>485358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39</v>
      </c>
      <c r="O210" s="173">
        <v>5</v>
      </c>
      <c r="P210" s="234">
        <f ca="1">OFFSET($A$1,MATCH(Z207,$A:$A,0)-1,O210)</f>
        <v>4.0999999999999996</v>
      </c>
      <c r="Q210" s="144" t="s">
        <v>29</v>
      </c>
      <c r="R210" s="118">
        <f t="shared" ca="1" si="42"/>
        <v>310884</v>
      </c>
      <c r="S210" s="118">
        <f t="shared" ca="1" si="42"/>
        <v>1274624</v>
      </c>
      <c r="T210" s="118">
        <f ca="1">고급</f>
        <v>310884</v>
      </c>
      <c r="U210" s="118">
        <f t="shared" ca="1" si="43"/>
        <v>1274624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40</v>
      </c>
      <c r="O211" s="173">
        <v>6</v>
      </c>
      <c r="P211" s="234">
        <f ca="1">OFFSET($A$1,MATCH(Z207,$A:$A,0)-1,O211)</f>
        <v>4</v>
      </c>
      <c r="Q211" s="144" t="s">
        <v>29</v>
      </c>
      <c r="R211" s="118">
        <f t="shared" ca="1" si="42"/>
        <v>295138</v>
      </c>
      <c r="S211" s="118">
        <f t="shared" ca="1" si="42"/>
        <v>1180552</v>
      </c>
      <c r="T211" s="118">
        <f ca="1">중급</f>
        <v>295138</v>
      </c>
      <c r="U211" s="118">
        <f t="shared" ca="1" si="43"/>
        <v>1180552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41</v>
      </c>
      <c r="O212" s="173">
        <v>7</v>
      </c>
      <c r="P212" s="234">
        <f ca="1">OFFSET($A$1,MATCH(Z207,$A:$A,0)-1,O212)</f>
        <v>6.9</v>
      </c>
      <c r="Q212" s="144" t="s">
        <v>29</v>
      </c>
      <c r="R212" s="118">
        <f t="shared" ca="1" si="42"/>
        <v>235459</v>
      </c>
      <c r="S212" s="118">
        <f t="shared" ca="1" si="42"/>
        <v>1624667</v>
      </c>
      <c r="T212" s="118">
        <f ca="1">초급</f>
        <v>235459</v>
      </c>
      <c r="U212" s="118">
        <f t="shared" ca="1" si="43"/>
        <v>1624667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319" t="s">
        <v>42</v>
      </c>
      <c r="O213" s="174">
        <v>8</v>
      </c>
      <c r="P213" s="235">
        <f ca="1">OFFSET($A$1,MATCH(Z207,$A:$A,0)-1,O213)</f>
        <v>5.9</v>
      </c>
      <c r="Q213" s="322" t="s">
        <v>29</v>
      </c>
      <c r="R213" s="323">
        <f t="shared" ca="1" si="42"/>
        <v>250087</v>
      </c>
      <c r="S213" s="323">
        <f t="shared" ca="1" si="42"/>
        <v>1475513</v>
      </c>
      <c r="T213" s="323">
        <f ca="1">보조원</f>
        <v>250087</v>
      </c>
      <c r="U213" s="323">
        <f t="shared" ca="1" si="43"/>
        <v>1475513</v>
      </c>
      <c r="V213" s="323"/>
      <c r="W213" s="323"/>
      <c r="X213" s="323"/>
      <c r="Y213" s="323"/>
      <c r="Z213" s="324"/>
    </row>
    <row r="214" spans="11:26" ht="18" customHeight="1">
      <c r="K214" s="171" t="s">
        <v>14</v>
      </c>
      <c r="L214" s="171"/>
      <c r="M214" s="171"/>
      <c r="N214" s="139" t="s">
        <v>17</v>
      </c>
      <c r="O214" s="68"/>
      <c r="P214" s="69"/>
      <c r="Q214" s="70"/>
      <c r="R214" s="71"/>
      <c r="S214" s="71">
        <f ca="1">SUBTOTAL(9,S208:S213)</f>
        <v>6180879</v>
      </c>
      <c r="T214" s="71"/>
      <c r="U214" s="71">
        <f ca="1">SUBTOTAL(9,U208:U213)</f>
        <v>6180879</v>
      </c>
      <c r="V214" s="71"/>
      <c r="W214" s="71"/>
      <c r="X214" s="71"/>
      <c r="Y214" s="71"/>
      <c r="Z214" s="68"/>
    </row>
    <row r="215" spans="11:26" ht="18" customHeight="1">
      <c r="K215" s="171" t="s">
        <v>14</v>
      </c>
      <c r="L215" s="171"/>
      <c r="M215" s="171"/>
      <c r="N215" s="318" t="str">
        <f ca="1">"제 " &amp; Z215 &amp; " 호표  "&amp; OFFSET($A$1,MATCH(Z215,$A:$A,0)-1,1)</f>
        <v>제 19 호표  3.2. 관련도서 작성</v>
      </c>
      <c r="O215" s="221"/>
      <c r="P215" s="148"/>
      <c r="Q215" s="148"/>
      <c r="R215" s="149"/>
      <c r="S215" s="149"/>
      <c r="T215" s="149"/>
      <c r="U215" s="149"/>
      <c r="V215" s="149"/>
      <c r="W215" s="149"/>
      <c r="X215" s="149"/>
      <c r="Y215" s="149"/>
      <c r="Z215" s="325">
        <f>Z207+1</f>
        <v>19</v>
      </c>
    </row>
    <row r="216" spans="11:26" ht="18" customHeight="1">
      <c r="K216" s="171" t="s">
        <v>14</v>
      </c>
      <c r="L216" s="171"/>
      <c r="M216" s="171"/>
      <c r="N216" s="140" t="s">
        <v>43</v>
      </c>
      <c r="O216" s="172">
        <v>3</v>
      </c>
      <c r="P216" s="219">
        <f ca="1">OFFSET($A$1,MATCH(Z215,$A:$A,0)-1,O216)</f>
        <v>0.3</v>
      </c>
      <c r="Q216" s="141" t="s">
        <v>29</v>
      </c>
      <c r="R216" s="142">
        <f t="shared" ref="R216:S221" ca="1" si="44">T216</f>
        <v>467217</v>
      </c>
      <c r="S216" s="142">
        <f t="shared" ca="1" si="44"/>
        <v>140165</v>
      </c>
      <c r="T216" s="142">
        <f ca="1">기술사</f>
        <v>467217</v>
      </c>
      <c r="U216" s="142">
        <f t="shared" ref="U216:U221" ca="1" si="45">ROUNDDOWN(P216*R216,0)</f>
        <v>140165</v>
      </c>
      <c r="V216" s="142"/>
      <c r="W216" s="142"/>
      <c r="X216" s="142"/>
      <c r="Y216" s="142"/>
      <c r="Z216" s="114"/>
    </row>
    <row r="217" spans="11:26" ht="18" customHeight="1">
      <c r="K217" s="171" t="s">
        <v>14</v>
      </c>
      <c r="L217" s="171"/>
      <c r="M217" s="171"/>
      <c r="N217" s="143" t="s">
        <v>32</v>
      </c>
      <c r="O217" s="173">
        <v>4</v>
      </c>
      <c r="P217" s="234">
        <f ca="1">OFFSET($A$1,MATCH(Z215,$A:$A,0)-1,O217)</f>
        <v>1.2</v>
      </c>
      <c r="Q217" s="144" t="s">
        <v>29</v>
      </c>
      <c r="R217" s="118">
        <f t="shared" ca="1" si="44"/>
        <v>373353</v>
      </c>
      <c r="S217" s="118">
        <f t="shared" ca="1" si="44"/>
        <v>448023</v>
      </c>
      <c r="T217" s="118">
        <f ca="1">특급</f>
        <v>373353</v>
      </c>
      <c r="U217" s="118">
        <f t="shared" ca="1" si="45"/>
        <v>448023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39</v>
      </c>
      <c r="O218" s="173">
        <v>5</v>
      </c>
      <c r="P218" s="234">
        <f ca="1">OFFSET($A$1,MATCH(Z215,$A:$A,0)-1,O218)</f>
        <v>4</v>
      </c>
      <c r="Q218" s="144" t="s">
        <v>29</v>
      </c>
      <c r="R218" s="118">
        <f t="shared" ca="1" si="44"/>
        <v>310884</v>
      </c>
      <c r="S218" s="118">
        <f t="shared" ca="1" si="44"/>
        <v>1243536</v>
      </c>
      <c r="T218" s="118">
        <f ca="1">고급</f>
        <v>310884</v>
      </c>
      <c r="U218" s="118">
        <f t="shared" ca="1" si="45"/>
        <v>1243536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40</v>
      </c>
      <c r="O219" s="173">
        <v>6</v>
      </c>
      <c r="P219" s="234">
        <f ca="1">OFFSET($A$1,MATCH(Z215,$A:$A,0)-1,O219)</f>
        <v>4</v>
      </c>
      <c r="Q219" s="144" t="s">
        <v>29</v>
      </c>
      <c r="R219" s="118">
        <f t="shared" ca="1" si="44"/>
        <v>295138</v>
      </c>
      <c r="S219" s="118">
        <f t="shared" ca="1" si="44"/>
        <v>1180552</v>
      </c>
      <c r="T219" s="118">
        <f ca="1">중급</f>
        <v>295138</v>
      </c>
      <c r="U219" s="118">
        <f t="shared" ca="1" si="45"/>
        <v>1180552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41</v>
      </c>
      <c r="O220" s="173">
        <v>7</v>
      </c>
      <c r="P220" s="234">
        <f ca="1">OFFSET($A$1,MATCH(Z215,$A:$A,0)-1,O220)</f>
        <v>6.6</v>
      </c>
      <c r="Q220" s="144" t="s">
        <v>29</v>
      </c>
      <c r="R220" s="118">
        <f t="shared" ca="1" si="44"/>
        <v>235459</v>
      </c>
      <c r="S220" s="118">
        <f t="shared" ca="1" si="44"/>
        <v>1554029</v>
      </c>
      <c r="T220" s="118">
        <f ca="1">초급</f>
        <v>235459</v>
      </c>
      <c r="U220" s="118">
        <f t="shared" ca="1" si="45"/>
        <v>1554029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319" t="s">
        <v>42</v>
      </c>
      <c r="O221" s="174">
        <v>8</v>
      </c>
      <c r="P221" s="235">
        <f ca="1">OFFSET($A$1,MATCH(Z215,$A:$A,0)-1,O221)</f>
        <v>10.1</v>
      </c>
      <c r="Q221" s="322" t="s">
        <v>29</v>
      </c>
      <c r="R221" s="323">
        <f t="shared" ca="1" si="44"/>
        <v>250087</v>
      </c>
      <c r="S221" s="323">
        <f t="shared" ca="1" si="44"/>
        <v>2525878</v>
      </c>
      <c r="T221" s="323">
        <f ca="1">보조원</f>
        <v>250087</v>
      </c>
      <c r="U221" s="323">
        <f t="shared" ca="1" si="45"/>
        <v>2525878</v>
      </c>
      <c r="V221" s="323"/>
      <c r="W221" s="323"/>
      <c r="X221" s="323"/>
      <c r="Y221" s="323"/>
      <c r="Z221" s="324"/>
    </row>
    <row r="222" spans="11:26" ht="18" customHeight="1">
      <c r="K222" s="171" t="s">
        <v>14</v>
      </c>
      <c r="L222" s="171"/>
      <c r="M222" s="171"/>
      <c r="N222" s="139" t="s">
        <v>17</v>
      </c>
      <c r="O222" s="68"/>
      <c r="P222" s="69"/>
      <c r="Q222" s="70"/>
      <c r="R222" s="71"/>
      <c r="S222" s="71">
        <f ca="1">SUBTOTAL(9,S216:S221)</f>
        <v>7092183</v>
      </c>
      <c r="T222" s="71"/>
      <c r="U222" s="71">
        <f ca="1">SUBTOTAL(9,U216:U221)</f>
        <v>7092183</v>
      </c>
      <c r="V222" s="71"/>
      <c r="W222" s="71"/>
      <c r="X222" s="71"/>
      <c r="Y222" s="71"/>
      <c r="Z222" s="68"/>
    </row>
    <row r="223" spans="11:26" ht="18" customHeight="1">
      <c r="K223" s="171" t="s">
        <v>14</v>
      </c>
      <c r="L223" s="171"/>
      <c r="M223" s="171"/>
      <c r="N223" s="318" t="str">
        <f ca="1">"제 " &amp; Z223 &amp; " 호표  "&amp; OFFSET($A$1,MATCH(Z223,$A:$A,0)-1,1)</f>
        <v>제 20 호표  4.1. 공청회/주민설명회</v>
      </c>
      <c r="O223" s="221"/>
      <c r="P223" s="148"/>
      <c r="Q223" s="148"/>
      <c r="R223" s="149"/>
      <c r="S223" s="149"/>
      <c r="T223" s="149"/>
      <c r="U223" s="149"/>
      <c r="V223" s="149"/>
      <c r="W223" s="149"/>
      <c r="X223" s="149"/>
      <c r="Y223" s="149"/>
      <c r="Z223" s="325">
        <f>Z215+1</f>
        <v>20</v>
      </c>
    </row>
    <row r="224" spans="11:26" ht="18" customHeight="1">
      <c r="K224" s="171" t="s">
        <v>14</v>
      </c>
      <c r="L224" s="171"/>
      <c r="M224" s="171"/>
      <c r="N224" s="140" t="s">
        <v>43</v>
      </c>
      <c r="O224" s="172">
        <v>3</v>
      </c>
      <c r="P224" s="219">
        <f ca="1">OFFSET($A$1,MATCH(Z223,$A:$A,0)-1,O224)</f>
        <v>2</v>
      </c>
      <c r="Q224" s="141" t="s">
        <v>29</v>
      </c>
      <c r="R224" s="142">
        <f t="shared" ref="R224:S229" ca="1" si="46">T224</f>
        <v>467217</v>
      </c>
      <c r="S224" s="142">
        <f t="shared" ca="1" si="46"/>
        <v>934434</v>
      </c>
      <c r="T224" s="142">
        <f ca="1">기술사</f>
        <v>467217</v>
      </c>
      <c r="U224" s="142">
        <f t="shared" ref="U224:U229" ca="1" si="47">ROUNDDOWN(P224*R224,0)</f>
        <v>934434</v>
      </c>
      <c r="V224" s="142"/>
      <c r="W224" s="142"/>
      <c r="X224" s="142"/>
      <c r="Y224" s="142"/>
      <c r="Z224" s="114"/>
    </row>
    <row r="225" spans="11:28" ht="18" customHeight="1">
      <c r="K225" s="171" t="s">
        <v>14</v>
      </c>
      <c r="L225" s="171"/>
      <c r="M225" s="171"/>
      <c r="N225" s="143" t="s">
        <v>32</v>
      </c>
      <c r="O225" s="173">
        <v>4</v>
      </c>
      <c r="P225" s="234">
        <f ca="1">OFFSET($A$1,MATCH(Z223,$A:$A,0)-1,O225)</f>
        <v>2</v>
      </c>
      <c r="Q225" s="144" t="s">
        <v>29</v>
      </c>
      <c r="R225" s="118">
        <f t="shared" ca="1" si="46"/>
        <v>373353</v>
      </c>
      <c r="S225" s="118">
        <f t="shared" ca="1" si="46"/>
        <v>746706</v>
      </c>
      <c r="T225" s="118">
        <f ca="1">특급</f>
        <v>373353</v>
      </c>
      <c r="U225" s="118">
        <f t="shared" ca="1" si="47"/>
        <v>746706</v>
      </c>
      <c r="V225" s="118"/>
      <c r="W225" s="118"/>
      <c r="X225" s="118"/>
      <c r="Y225" s="118"/>
      <c r="Z225" s="115"/>
    </row>
    <row r="226" spans="11:28" ht="18" customHeight="1">
      <c r="K226" s="171" t="s">
        <v>14</v>
      </c>
      <c r="L226" s="171"/>
      <c r="M226" s="171"/>
      <c r="N226" s="145" t="s">
        <v>39</v>
      </c>
      <c r="O226" s="173">
        <v>5</v>
      </c>
      <c r="P226" s="234">
        <f ca="1">OFFSET($A$1,MATCH(Z223,$A:$A,0)-1,O226)</f>
        <v>2</v>
      </c>
      <c r="Q226" s="144" t="s">
        <v>29</v>
      </c>
      <c r="R226" s="118">
        <f t="shared" ca="1" si="46"/>
        <v>310884</v>
      </c>
      <c r="S226" s="118">
        <f t="shared" ca="1" si="46"/>
        <v>621768</v>
      </c>
      <c r="T226" s="118">
        <f ca="1">고급</f>
        <v>310884</v>
      </c>
      <c r="U226" s="118">
        <f t="shared" ca="1" si="47"/>
        <v>621768</v>
      </c>
      <c r="V226" s="118"/>
      <c r="W226" s="118"/>
      <c r="X226" s="118"/>
      <c r="Y226" s="118"/>
      <c r="Z226" s="115"/>
    </row>
    <row r="227" spans="11:28" ht="18" customHeight="1">
      <c r="K227" s="171" t="s">
        <v>14</v>
      </c>
      <c r="L227" s="171"/>
      <c r="M227" s="171"/>
      <c r="N227" s="145" t="s">
        <v>40</v>
      </c>
      <c r="O227" s="173">
        <v>6</v>
      </c>
      <c r="P227" s="234">
        <f ca="1">OFFSET($A$1,MATCH(Z223,$A:$A,0)-1,O227)</f>
        <v>4</v>
      </c>
      <c r="Q227" s="144" t="s">
        <v>29</v>
      </c>
      <c r="R227" s="118">
        <f t="shared" ca="1" si="46"/>
        <v>295138</v>
      </c>
      <c r="S227" s="118">
        <f t="shared" ca="1" si="46"/>
        <v>1180552</v>
      </c>
      <c r="T227" s="118">
        <f ca="1">중급</f>
        <v>295138</v>
      </c>
      <c r="U227" s="118">
        <f t="shared" ca="1" si="47"/>
        <v>1180552</v>
      </c>
      <c r="V227" s="118"/>
      <c r="W227" s="118"/>
      <c r="X227" s="118"/>
      <c r="Y227" s="118"/>
      <c r="Z227" s="115"/>
    </row>
    <row r="228" spans="11:28" ht="18" customHeight="1">
      <c r="K228" s="171" t="s">
        <v>14</v>
      </c>
      <c r="L228" s="171"/>
      <c r="M228" s="171"/>
      <c r="N228" s="145" t="s">
        <v>41</v>
      </c>
      <c r="O228" s="173">
        <v>7</v>
      </c>
      <c r="P228" s="234">
        <f ca="1">OFFSET($A$1,MATCH(Z223,$A:$A,0)-1,O228)</f>
        <v>4</v>
      </c>
      <c r="Q228" s="144" t="s">
        <v>29</v>
      </c>
      <c r="R228" s="118">
        <f t="shared" ca="1" si="46"/>
        <v>235459</v>
      </c>
      <c r="S228" s="118">
        <f t="shared" ca="1" si="46"/>
        <v>941836</v>
      </c>
      <c r="T228" s="118">
        <f ca="1">초급</f>
        <v>235459</v>
      </c>
      <c r="U228" s="118">
        <f t="shared" ca="1" si="47"/>
        <v>941836</v>
      </c>
      <c r="V228" s="118"/>
      <c r="W228" s="118"/>
      <c r="X228" s="118"/>
      <c r="Y228" s="118"/>
      <c r="Z228" s="115"/>
    </row>
    <row r="229" spans="11:28" ht="18" customHeight="1">
      <c r="K229" s="171" t="s">
        <v>14</v>
      </c>
      <c r="L229" s="171"/>
      <c r="M229" s="171"/>
      <c r="N229" s="319" t="s">
        <v>42</v>
      </c>
      <c r="O229" s="174">
        <v>8</v>
      </c>
      <c r="P229" s="235">
        <f ca="1">OFFSET($A$1,MATCH(Z223,$A:$A,0)-1,O229)</f>
        <v>4</v>
      </c>
      <c r="Q229" s="322" t="s">
        <v>29</v>
      </c>
      <c r="R229" s="323">
        <f t="shared" ca="1" si="46"/>
        <v>250087</v>
      </c>
      <c r="S229" s="323">
        <f t="shared" ca="1" si="46"/>
        <v>1000348</v>
      </c>
      <c r="T229" s="323">
        <f ca="1">보조원</f>
        <v>250087</v>
      </c>
      <c r="U229" s="323">
        <f t="shared" ca="1" si="47"/>
        <v>1000348</v>
      </c>
      <c r="V229" s="323"/>
      <c r="W229" s="323"/>
      <c r="X229" s="323"/>
      <c r="Y229" s="323"/>
      <c r="Z229" s="324"/>
    </row>
    <row r="230" spans="11:28" ht="18" customHeight="1">
      <c r="K230" s="171" t="s">
        <v>14</v>
      </c>
      <c r="L230" s="171"/>
      <c r="M230" s="171"/>
      <c r="N230" s="139" t="s">
        <v>17</v>
      </c>
      <c r="O230" s="68"/>
      <c r="P230" s="69"/>
      <c r="Q230" s="70"/>
      <c r="R230" s="71"/>
      <c r="S230" s="71">
        <f ca="1">SUBTOTAL(9,S224:S229)</f>
        <v>5425644</v>
      </c>
      <c r="T230" s="71"/>
      <c r="U230" s="71">
        <f ca="1">SUBTOTAL(9,U224:U229)</f>
        <v>5425644</v>
      </c>
      <c r="V230" s="71"/>
      <c r="W230" s="71"/>
      <c r="X230" s="71"/>
      <c r="Y230" s="71"/>
      <c r="Z230" s="68"/>
    </row>
    <row r="231" spans="11:28" ht="18" customHeight="1">
      <c r="K231" s="171" t="s">
        <v>14</v>
      </c>
      <c r="L231" s="171"/>
      <c r="M231" s="171"/>
      <c r="N231" s="318" t="str">
        <f ca="1">"제 " &amp; Z231 &amp; " 호표  "&amp; OFFSET($A$1,MATCH(Z231,$A:$A,0)-1,1)</f>
        <v>제 21 호표  4.2. 주민간담회/시민계획단</v>
      </c>
      <c r="O231" s="221"/>
      <c r="P231" s="148"/>
      <c r="Q231" s="148"/>
      <c r="R231" s="149"/>
      <c r="S231" s="149"/>
      <c r="T231" s="149"/>
      <c r="U231" s="149"/>
      <c r="V231" s="149"/>
      <c r="W231" s="149"/>
      <c r="X231" s="149"/>
      <c r="Y231" s="149"/>
      <c r="Z231" s="325">
        <f>Z223+1</f>
        <v>21</v>
      </c>
    </row>
    <row r="232" spans="11:28" ht="18" customHeight="1">
      <c r="K232" s="171" t="s">
        <v>14</v>
      </c>
      <c r="L232" s="171"/>
      <c r="M232" s="171"/>
      <c r="N232" s="140" t="s">
        <v>43</v>
      </c>
      <c r="O232" s="172">
        <v>3</v>
      </c>
      <c r="P232" s="219">
        <f ca="1">OFFSET($A$1,MATCH(Z231,$A:$A,0)-1,O232)</f>
        <v>2</v>
      </c>
      <c r="Q232" s="141" t="s">
        <v>29</v>
      </c>
      <c r="R232" s="142">
        <f t="shared" ref="R232:S237" ca="1" si="48">T232</f>
        <v>467217</v>
      </c>
      <c r="S232" s="142">
        <f t="shared" ca="1" si="48"/>
        <v>934434</v>
      </c>
      <c r="T232" s="142">
        <f ca="1">기술사</f>
        <v>467217</v>
      </c>
      <c r="U232" s="142">
        <f t="shared" ref="U232:U237" ca="1" si="49">ROUNDDOWN(P232*R232,0)</f>
        <v>934434</v>
      </c>
      <c r="V232" s="142"/>
      <c r="W232" s="142"/>
      <c r="X232" s="142"/>
      <c r="Y232" s="142"/>
      <c r="Z232" s="114"/>
    </row>
    <row r="233" spans="11:28" ht="18" customHeight="1">
      <c r="K233" s="171" t="s">
        <v>14</v>
      </c>
      <c r="L233" s="171"/>
      <c r="M233" s="171"/>
      <c r="N233" s="143" t="s">
        <v>32</v>
      </c>
      <c r="O233" s="173">
        <v>4</v>
      </c>
      <c r="P233" s="234">
        <f ca="1">OFFSET($A$1,MATCH(Z231,$A:$A,0)-1,O233)</f>
        <v>2</v>
      </c>
      <c r="Q233" s="144" t="s">
        <v>29</v>
      </c>
      <c r="R233" s="118">
        <f t="shared" ca="1" si="48"/>
        <v>373353</v>
      </c>
      <c r="S233" s="118">
        <f t="shared" ca="1" si="48"/>
        <v>746706</v>
      </c>
      <c r="T233" s="118">
        <f ca="1">특급</f>
        <v>373353</v>
      </c>
      <c r="U233" s="118">
        <f t="shared" ca="1" si="49"/>
        <v>746706</v>
      </c>
      <c r="V233" s="118"/>
      <c r="W233" s="118"/>
      <c r="X233" s="118"/>
      <c r="Y233" s="118"/>
      <c r="Z233" s="115"/>
    </row>
    <row r="234" spans="11:28" ht="18" customHeight="1">
      <c r="K234" s="171" t="s">
        <v>14</v>
      </c>
      <c r="L234" s="171"/>
      <c r="M234" s="171"/>
      <c r="N234" s="145" t="s">
        <v>39</v>
      </c>
      <c r="O234" s="173">
        <v>5</v>
      </c>
      <c r="P234" s="234">
        <f ca="1">OFFSET($A$1,MATCH(Z231,$A:$A,0)-1,O234)</f>
        <v>2</v>
      </c>
      <c r="Q234" s="144" t="s">
        <v>29</v>
      </c>
      <c r="R234" s="118">
        <f t="shared" ca="1" si="48"/>
        <v>310884</v>
      </c>
      <c r="S234" s="118">
        <f t="shared" ca="1" si="48"/>
        <v>621768</v>
      </c>
      <c r="T234" s="118">
        <f ca="1">고급</f>
        <v>310884</v>
      </c>
      <c r="U234" s="118">
        <f t="shared" ca="1" si="49"/>
        <v>621768</v>
      </c>
      <c r="V234" s="118"/>
      <c r="W234" s="118"/>
      <c r="X234" s="118"/>
      <c r="Y234" s="118"/>
      <c r="Z234" s="115"/>
    </row>
    <row r="235" spans="11:28" ht="18" customHeight="1">
      <c r="K235" s="171" t="s">
        <v>14</v>
      </c>
      <c r="L235" s="171"/>
      <c r="M235" s="171"/>
      <c r="N235" s="145" t="s">
        <v>40</v>
      </c>
      <c r="O235" s="173">
        <v>6</v>
      </c>
      <c r="P235" s="234">
        <f ca="1">OFFSET($A$1,MATCH(Z231,$A:$A,0)-1,O235)</f>
        <v>4</v>
      </c>
      <c r="Q235" s="144" t="s">
        <v>29</v>
      </c>
      <c r="R235" s="118">
        <f t="shared" ca="1" si="48"/>
        <v>295138</v>
      </c>
      <c r="S235" s="118">
        <f t="shared" ca="1" si="48"/>
        <v>1180552</v>
      </c>
      <c r="T235" s="118">
        <f ca="1">중급</f>
        <v>295138</v>
      </c>
      <c r="U235" s="118">
        <f t="shared" ca="1" si="49"/>
        <v>1180552</v>
      </c>
      <c r="V235" s="118"/>
      <c r="W235" s="118"/>
      <c r="X235" s="118"/>
      <c r="Y235" s="118"/>
      <c r="Z235" s="115"/>
    </row>
    <row r="236" spans="11:28" ht="18" customHeight="1">
      <c r="K236" s="171" t="s">
        <v>14</v>
      </c>
      <c r="L236" s="171"/>
      <c r="M236" s="171"/>
      <c r="N236" s="145" t="s">
        <v>41</v>
      </c>
      <c r="O236" s="173">
        <v>7</v>
      </c>
      <c r="P236" s="234">
        <f ca="1">OFFSET($A$1,MATCH(Z231,$A:$A,0)-1,O236)</f>
        <v>4</v>
      </c>
      <c r="Q236" s="144" t="s">
        <v>29</v>
      </c>
      <c r="R236" s="118">
        <f t="shared" ca="1" si="48"/>
        <v>235459</v>
      </c>
      <c r="S236" s="118">
        <f t="shared" ca="1" si="48"/>
        <v>941836</v>
      </c>
      <c r="T236" s="118">
        <f ca="1">초급</f>
        <v>235459</v>
      </c>
      <c r="U236" s="118">
        <f t="shared" ca="1" si="49"/>
        <v>941836</v>
      </c>
      <c r="V236" s="118"/>
      <c r="W236" s="118"/>
      <c r="X236" s="118"/>
      <c r="Y236" s="118"/>
      <c r="Z236" s="115"/>
      <c r="AA236" s="171"/>
      <c r="AB236" s="171"/>
    </row>
    <row r="237" spans="11:28" ht="18" customHeight="1">
      <c r="K237" s="171" t="s">
        <v>14</v>
      </c>
      <c r="L237" s="171"/>
      <c r="M237" s="171"/>
      <c r="N237" s="319" t="s">
        <v>42</v>
      </c>
      <c r="O237" s="174">
        <v>8</v>
      </c>
      <c r="P237" s="235">
        <f ca="1">OFFSET($A$1,MATCH(Z231,$A:$A,0)-1,O237)</f>
        <v>4</v>
      </c>
      <c r="Q237" s="322" t="s">
        <v>29</v>
      </c>
      <c r="R237" s="323">
        <f t="shared" ca="1" si="48"/>
        <v>250087</v>
      </c>
      <c r="S237" s="323">
        <f t="shared" ca="1" si="48"/>
        <v>1000348</v>
      </c>
      <c r="T237" s="323">
        <f ca="1">보조원</f>
        <v>250087</v>
      </c>
      <c r="U237" s="323">
        <f t="shared" ca="1" si="49"/>
        <v>1000348</v>
      </c>
      <c r="V237" s="323"/>
      <c r="W237" s="323"/>
      <c r="X237" s="323"/>
      <c r="Y237" s="323"/>
      <c r="Z237" s="324"/>
      <c r="AA237" s="171"/>
      <c r="AB237" s="171"/>
    </row>
    <row r="238" spans="11:28" ht="18" customHeight="1">
      <c r="K238" s="171" t="s">
        <v>14</v>
      </c>
      <c r="L238" s="171"/>
      <c r="M238" s="171"/>
      <c r="N238" s="139" t="s">
        <v>17</v>
      </c>
      <c r="O238" s="68"/>
      <c r="P238" s="69"/>
      <c r="Q238" s="70"/>
      <c r="R238" s="71"/>
      <c r="S238" s="71">
        <f ca="1">SUBTOTAL(9,S232:S237)</f>
        <v>5425644</v>
      </c>
      <c r="T238" s="71"/>
      <c r="U238" s="71">
        <f ca="1">SUBTOTAL(9,U232:U237)</f>
        <v>5425644</v>
      </c>
      <c r="V238" s="71"/>
      <c r="W238" s="71"/>
      <c r="X238" s="71"/>
      <c r="Y238" s="71"/>
      <c r="Z238" s="68"/>
      <c r="AA238" s="171"/>
      <c r="AB238" s="171"/>
    </row>
    <row r="239" spans="11:28" ht="18" customHeight="1">
      <c r="K239" s="171" t="s">
        <v>14</v>
      </c>
      <c r="L239" s="171"/>
      <c r="M239" s="171"/>
      <c r="N239" s="318" t="str">
        <f ca="1">"제 " &amp; Z239 &amp; " 호표  "&amp; OFFSET($A$1,MATCH(Z239,$A:$A,0)-1,1)</f>
        <v>제 22 호표  4.3. 위원회심의 지원</v>
      </c>
      <c r="O239" s="221"/>
      <c r="P239" s="148"/>
      <c r="Q239" s="148"/>
      <c r="R239" s="149"/>
      <c r="S239" s="149"/>
      <c r="T239" s="149"/>
      <c r="U239" s="149"/>
      <c r="V239" s="149"/>
      <c r="W239" s="149"/>
      <c r="X239" s="149"/>
      <c r="Y239" s="149"/>
      <c r="Z239" s="325">
        <f>Z231+1</f>
        <v>22</v>
      </c>
      <c r="AA239" s="171"/>
      <c r="AB239" s="171"/>
    </row>
    <row r="240" spans="11:28" ht="18" customHeight="1">
      <c r="K240" s="171" t="s">
        <v>14</v>
      </c>
      <c r="L240" s="171"/>
      <c r="M240" s="171"/>
      <c r="N240" s="140" t="s">
        <v>43</v>
      </c>
      <c r="O240" s="172">
        <v>3</v>
      </c>
      <c r="P240" s="219">
        <f ca="1">OFFSET($A$1,MATCH(Z239,$A:$A,0)-1,O240)</f>
        <v>2</v>
      </c>
      <c r="Q240" s="141" t="s">
        <v>29</v>
      </c>
      <c r="R240" s="142">
        <f t="shared" ref="R240:S245" ca="1" si="50">T240</f>
        <v>467217</v>
      </c>
      <c r="S240" s="142">
        <f t="shared" ca="1" si="50"/>
        <v>934434</v>
      </c>
      <c r="T240" s="142">
        <f ca="1">기술사</f>
        <v>467217</v>
      </c>
      <c r="U240" s="142">
        <f t="shared" ref="U240:U245" ca="1" si="51">ROUNDDOWN(P240*R240,0)</f>
        <v>934434</v>
      </c>
      <c r="V240" s="142"/>
      <c r="W240" s="142"/>
      <c r="X240" s="142"/>
      <c r="Y240" s="142"/>
      <c r="Z240" s="114"/>
    </row>
    <row r="241" spans="11:28" ht="18" customHeight="1">
      <c r="K241" s="171" t="s">
        <v>14</v>
      </c>
      <c r="L241" s="171"/>
      <c r="M241" s="171"/>
      <c r="N241" s="143" t="s">
        <v>32</v>
      </c>
      <c r="O241" s="173">
        <v>4</v>
      </c>
      <c r="P241" s="234">
        <f ca="1">OFFSET($A$1,MATCH(Z239,$A:$A,0)-1,O241)</f>
        <v>2</v>
      </c>
      <c r="Q241" s="144" t="s">
        <v>29</v>
      </c>
      <c r="R241" s="118">
        <f t="shared" ca="1" si="50"/>
        <v>373353</v>
      </c>
      <c r="S241" s="118">
        <f t="shared" ca="1" si="50"/>
        <v>746706</v>
      </c>
      <c r="T241" s="118">
        <f ca="1">특급</f>
        <v>373353</v>
      </c>
      <c r="U241" s="118">
        <f t="shared" ca="1" si="51"/>
        <v>746706</v>
      </c>
      <c r="V241" s="118"/>
      <c r="W241" s="118"/>
      <c r="X241" s="118"/>
      <c r="Y241" s="118"/>
      <c r="Z241" s="115"/>
    </row>
    <row r="242" spans="11:28" ht="18" customHeight="1">
      <c r="K242" s="171" t="s">
        <v>14</v>
      </c>
      <c r="L242" s="171"/>
      <c r="M242" s="171"/>
      <c r="N242" s="145" t="s">
        <v>39</v>
      </c>
      <c r="O242" s="173">
        <v>5</v>
      </c>
      <c r="P242" s="234">
        <f ca="1">OFFSET($A$1,MATCH(Z239,$A:$A,0)-1,O242)</f>
        <v>2</v>
      </c>
      <c r="Q242" s="144" t="s">
        <v>29</v>
      </c>
      <c r="R242" s="118">
        <f t="shared" ca="1" si="50"/>
        <v>310884</v>
      </c>
      <c r="S242" s="118">
        <f t="shared" ca="1" si="50"/>
        <v>621768</v>
      </c>
      <c r="T242" s="118">
        <f ca="1">고급</f>
        <v>310884</v>
      </c>
      <c r="U242" s="118">
        <f t="shared" ca="1" si="51"/>
        <v>621768</v>
      </c>
      <c r="V242" s="118"/>
      <c r="W242" s="118"/>
      <c r="X242" s="118"/>
      <c r="Y242" s="118"/>
      <c r="Z242" s="115"/>
    </row>
    <row r="243" spans="11:28" ht="18" customHeight="1">
      <c r="K243" s="171" t="s">
        <v>14</v>
      </c>
      <c r="L243" s="171"/>
      <c r="M243" s="171"/>
      <c r="N243" s="145" t="s">
        <v>40</v>
      </c>
      <c r="O243" s="173">
        <v>6</v>
      </c>
      <c r="P243" s="234">
        <f ca="1">OFFSET($A$1,MATCH(Z239,$A:$A,0)-1,O243)</f>
        <v>4</v>
      </c>
      <c r="Q243" s="144" t="s">
        <v>29</v>
      </c>
      <c r="R243" s="118">
        <f t="shared" ca="1" si="50"/>
        <v>295138</v>
      </c>
      <c r="S243" s="118">
        <f t="shared" ca="1" si="50"/>
        <v>1180552</v>
      </c>
      <c r="T243" s="118">
        <f ca="1">중급</f>
        <v>295138</v>
      </c>
      <c r="U243" s="118">
        <f t="shared" ca="1" si="51"/>
        <v>1180552</v>
      </c>
      <c r="V243" s="118"/>
      <c r="W243" s="118"/>
      <c r="X243" s="118"/>
      <c r="Y243" s="118"/>
      <c r="Z243" s="115"/>
    </row>
    <row r="244" spans="11:28" ht="18" customHeight="1">
      <c r="K244" s="171" t="s">
        <v>14</v>
      </c>
      <c r="L244" s="171"/>
      <c r="M244" s="171"/>
      <c r="N244" s="145" t="s">
        <v>41</v>
      </c>
      <c r="O244" s="173">
        <v>7</v>
      </c>
      <c r="P244" s="234">
        <f ca="1">OFFSET($A$1,MATCH(Z239,$A:$A,0)-1,O244)</f>
        <v>4</v>
      </c>
      <c r="Q244" s="144" t="s">
        <v>29</v>
      </c>
      <c r="R244" s="118">
        <f t="shared" ca="1" si="50"/>
        <v>235459</v>
      </c>
      <c r="S244" s="118">
        <f t="shared" ca="1" si="50"/>
        <v>941836</v>
      </c>
      <c r="T244" s="118">
        <f ca="1">초급</f>
        <v>235459</v>
      </c>
      <c r="U244" s="118">
        <f t="shared" ca="1" si="51"/>
        <v>941836</v>
      </c>
      <c r="V244" s="118"/>
      <c r="W244" s="118"/>
      <c r="X244" s="118"/>
      <c r="Y244" s="118"/>
      <c r="Z244" s="115"/>
    </row>
    <row r="245" spans="11:28" ht="18" customHeight="1">
      <c r="K245" s="171" t="s">
        <v>14</v>
      </c>
      <c r="L245" s="171"/>
      <c r="M245" s="171"/>
      <c r="N245" s="319" t="s">
        <v>42</v>
      </c>
      <c r="O245" s="174">
        <v>8</v>
      </c>
      <c r="P245" s="235">
        <f ca="1">OFFSET($A$1,MATCH(Z239,$A:$A,0)-1,O245)</f>
        <v>4</v>
      </c>
      <c r="Q245" s="322" t="s">
        <v>29</v>
      </c>
      <c r="R245" s="323">
        <f t="shared" ca="1" si="50"/>
        <v>250087</v>
      </c>
      <c r="S245" s="323">
        <f t="shared" ca="1" si="50"/>
        <v>1000348</v>
      </c>
      <c r="T245" s="323">
        <f ca="1">보조원</f>
        <v>250087</v>
      </c>
      <c r="U245" s="323">
        <f t="shared" ca="1" si="51"/>
        <v>1000348</v>
      </c>
      <c r="V245" s="323"/>
      <c r="W245" s="323"/>
      <c r="X245" s="323"/>
      <c r="Y245" s="323"/>
      <c r="Z245" s="324"/>
    </row>
    <row r="246" spans="11:28" ht="18" customHeight="1">
      <c r="K246" s="171" t="s">
        <v>14</v>
      </c>
      <c r="L246" s="171"/>
      <c r="M246" s="171"/>
      <c r="N246" s="139" t="s">
        <v>17</v>
      </c>
      <c r="O246" s="68"/>
      <c r="P246" s="69"/>
      <c r="Q246" s="70"/>
      <c r="R246" s="71"/>
      <c r="S246" s="71">
        <f ca="1">SUBTOTAL(9,S240:S245)</f>
        <v>5425644</v>
      </c>
      <c r="T246" s="71"/>
      <c r="U246" s="71">
        <f ca="1">SUBTOTAL(9,U240:U245)</f>
        <v>5425644</v>
      </c>
      <c r="V246" s="71"/>
      <c r="W246" s="71"/>
      <c r="X246" s="71"/>
      <c r="Y246" s="71"/>
      <c r="Z246" s="68"/>
    </row>
    <row r="247" spans="11:28" ht="18" customHeight="1">
      <c r="K247" s="171" t="s">
        <v>14</v>
      </c>
      <c r="L247" s="171"/>
      <c r="M247" s="171"/>
      <c r="N247" s="318" t="str">
        <f ca="1">"제 " &amp; Z247 &amp; " 호표  "&amp; OFFSET($A$1,MATCH(Z247,$A:$A,0)-1,1)</f>
        <v>제 23 호표  4.4. 관계기관 협의</v>
      </c>
      <c r="O247" s="221"/>
      <c r="P247" s="148"/>
      <c r="Q247" s="148"/>
      <c r="R247" s="149"/>
      <c r="S247" s="149"/>
      <c r="T247" s="149"/>
      <c r="U247" s="149"/>
      <c r="V247" s="149"/>
      <c r="W247" s="149"/>
      <c r="X247" s="149"/>
      <c r="Y247" s="149"/>
      <c r="Z247" s="325">
        <f>Z239+1</f>
        <v>23</v>
      </c>
    </row>
    <row r="248" spans="11:28" ht="18" customHeight="1">
      <c r="K248" s="171" t="s">
        <v>14</v>
      </c>
      <c r="L248" s="171"/>
      <c r="M248" s="171"/>
      <c r="N248" s="140" t="s">
        <v>43</v>
      </c>
      <c r="O248" s="172">
        <v>3</v>
      </c>
      <c r="P248" s="219">
        <f ca="1">OFFSET($A$1,MATCH(Z247,$A:$A,0)-1,O248)</f>
        <v>2</v>
      </c>
      <c r="Q248" s="141" t="s">
        <v>29</v>
      </c>
      <c r="R248" s="142">
        <f t="shared" ref="R248:S253" ca="1" si="52">T248</f>
        <v>467217</v>
      </c>
      <c r="S248" s="142">
        <f t="shared" ca="1" si="52"/>
        <v>934434</v>
      </c>
      <c r="T248" s="142">
        <f ca="1">기술사</f>
        <v>467217</v>
      </c>
      <c r="U248" s="142">
        <f t="shared" ref="U248:U253" ca="1" si="53">ROUNDDOWN(P248*R248,0)</f>
        <v>934434</v>
      </c>
      <c r="V248" s="142"/>
      <c r="W248" s="142"/>
      <c r="X248" s="142"/>
      <c r="Y248" s="142"/>
      <c r="Z248" s="114"/>
    </row>
    <row r="249" spans="11:28" ht="18" customHeight="1">
      <c r="K249" s="171" t="s">
        <v>14</v>
      </c>
      <c r="L249" s="171"/>
      <c r="M249" s="171"/>
      <c r="N249" s="143" t="s">
        <v>32</v>
      </c>
      <c r="O249" s="173">
        <v>4</v>
      </c>
      <c r="P249" s="234">
        <f ca="1">OFFSET($A$1,MATCH(Z247,$A:$A,0)-1,O249)</f>
        <v>2</v>
      </c>
      <c r="Q249" s="144" t="s">
        <v>29</v>
      </c>
      <c r="R249" s="118">
        <f t="shared" ca="1" si="52"/>
        <v>373353</v>
      </c>
      <c r="S249" s="118">
        <f t="shared" ca="1" si="52"/>
        <v>746706</v>
      </c>
      <c r="T249" s="118">
        <f ca="1">특급</f>
        <v>373353</v>
      </c>
      <c r="U249" s="118">
        <f t="shared" ca="1" si="53"/>
        <v>746706</v>
      </c>
      <c r="V249" s="118"/>
      <c r="W249" s="118"/>
      <c r="X249" s="118"/>
      <c r="Y249" s="118"/>
      <c r="Z249" s="115"/>
    </row>
    <row r="250" spans="11:28" ht="18" customHeight="1">
      <c r="K250" s="171" t="s">
        <v>14</v>
      </c>
      <c r="L250" s="171"/>
      <c r="M250" s="171"/>
      <c r="N250" s="145" t="s">
        <v>39</v>
      </c>
      <c r="O250" s="173">
        <v>5</v>
      </c>
      <c r="P250" s="234">
        <f ca="1">OFFSET($A$1,MATCH(Z247,$A:$A,0)-1,O250)</f>
        <v>2</v>
      </c>
      <c r="Q250" s="144" t="s">
        <v>29</v>
      </c>
      <c r="R250" s="118">
        <f t="shared" ca="1" si="52"/>
        <v>310884</v>
      </c>
      <c r="S250" s="118">
        <f t="shared" ca="1" si="52"/>
        <v>621768</v>
      </c>
      <c r="T250" s="118">
        <f ca="1">고급</f>
        <v>310884</v>
      </c>
      <c r="U250" s="118">
        <f t="shared" ca="1" si="53"/>
        <v>621768</v>
      </c>
      <c r="V250" s="118"/>
      <c r="W250" s="118"/>
      <c r="X250" s="118"/>
      <c r="Y250" s="118"/>
      <c r="Z250" s="115"/>
    </row>
    <row r="251" spans="11:28" ht="18" customHeight="1">
      <c r="K251" s="171" t="s">
        <v>14</v>
      </c>
      <c r="L251" s="171"/>
      <c r="M251" s="171"/>
      <c r="N251" s="145" t="s">
        <v>40</v>
      </c>
      <c r="O251" s="173">
        <v>6</v>
      </c>
      <c r="P251" s="234">
        <f ca="1">OFFSET($A$1,MATCH(Z247,$A:$A,0)-1,O251)</f>
        <v>4</v>
      </c>
      <c r="Q251" s="144" t="s">
        <v>29</v>
      </c>
      <c r="R251" s="118">
        <f t="shared" ca="1" si="52"/>
        <v>295138</v>
      </c>
      <c r="S251" s="118">
        <f t="shared" ca="1" si="52"/>
        <v>1180552</v>
      </c>
      <c r="T251" s="118">
        <f ca="1">중급</f>
        <v>295138</v>
      </c>
      <c r="U251" s="118">
        <f t="shared" ca="1" si="53"/>
        <v>1180552</v>
      </c>
      <c r="V251" s="118"/>
      <c r="W251" s="118"/>
      <c r="X251" s="118"/>
      <c r="Y251" s="118"/>
      <c r="Z251" s="115"/>
    </row>
    <row r="252" spans="11:28" ht="18" customHeight="1">
      <c r="K252" s="171" t="s">
        <v>14</v>
      </c>
      <c r="L252" s="171"/>
      <c r="M252" s="171"/>
      <c r="N252" s="145" t="s">
        <v>41</v>
      </c>
      <c r="O252" s="173">
        <v>7</v>
      </c>
      <c r="P252" s="234">
        <f ca="1">OFFSET($A$1,MATCH(Z247,$A:$A,0)-1,O252)</f>
        <v>4</v>
      </c>
      <c r="Q252" s="144" t="s">
        <v>29</v>
      </c>
      <c r="R252" s="118">
        <f t="shared" ca="1" si="52"/>
        <v>235459</v>
      </c>
      <c r="S252" s="118">
        <f t="shared" ca="1" si="52"/>
        <v>941836</v>
      </c>
      <c r="T252" s="118">
        <f ca="1">초급</f>
        <v>235459</v>
      </c>
      <c r="U252" s="118">
        <f t="shared" ca="1" si="53"/>
        <v>941836</v>
      </c>
      <c r="V252" s="118"/>
      <c r="W252" s="118"/>
      <c r="X252" s="118"/>
      <c r="Y252" s="118"/>
      <c r="Z252" s="115"/>
      <c r="AA252" s="171"/>
      <c r="AB252" s="171"/>
    </row>
    <row r="253" spans="11:28" ht="18" customHeight="1">
      <c r="K253" s="171" t="s">
        <v>14</v>
      </c>
      <c r="L253" s="171"/>
      <c r="M253" s="171"/>
      <c r="N253" s="319" t="s">
        <v>42</v>
      </c>
      <c r="O253" s="174">
        <v>8</v>
      </c>
      <c r="P253" s="235">
        <f ca="1">OFFSET($A$1,MATCH(Z247,$A:$A,0)-1,O253)</f>
        <v>4</v>
      </c>
      <c r="Q253" s="322" t="s">
        <v>29</v>
      </c>
      <c r="R253" s="323">
        <f t="shared" ca="1" si="52"/>
        <v>250087</v>
      </c>
      <c r="S253" s="323">
        <f t="shared" ca="1" si="52"/>
        <v>1000348</v>
      </c>
      <c r="T253" s="323">
        <f ca="1">보조원</f>
        <v>250087</v>
      </c>
      <c r="U253" s="323">
        <f t="shared" ca="1" si="53"/>
        <v>1000348</v>
      </c>
      <c r="V253" s="323"/>
      <c r="W253" s="323"/>
      <c r="X253" s="323"/>
      <c r="Y253" s="323"/>
      <c r="Z253" s="324"/>
      <c r="AA253" s="171"/>
      <c r="AB253" s="171"/>
    </row>
    <row r="254" spans="11:28" ht="18" customHeight="1">
      <c r="K254" s="171" t="s">
        <v>14</v>
      </c>
      <c r="L254" s="171"/>
      <c r="M254" s="171"/>
      <c r="N254" s="139" t="s">
        <v>17</v>
      </c>
      <c r="O254" s="68"/>
      <c r="P254" s="69"/>
      <c r="Q254" s="70"/>
      <c r="R254" s="71"/>
      <c r="S254" s="71">
        <f ca="1">SUBTOTAL(9,S248:S253)</f>
        <v>5425644</v>
      </c>
      <c r="T254" s="71"/>
      <c r="U254" s="71">
        <f ca="1">SUBTOTAL(9,U248:U253)</f>
        <v>5425644</v>
      </c>
      <c r="V254" s="71"/>
      <c r="W254" s="71"/>
      <c r="X254" s="71"/>
      <c r="Y254" s="71"/>
      <c r="Z254" s="68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</row>
    <row r="268" spans="11:28" ht="18" customHeight="1">
      <c r="K268" s="171" t="s">
        <v>14</v>
      </c>
      <c r="L268" s="171"/>
      <c r="M268" s="171"/>
      <c r="P268" s="236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  <c r="P740" s="236"/>
    </row>
    <row r="741" spans="11:16" ht="18" customHeight="1">
      <c r="K741" s="171" t="s">
        <v>14</v>
      </c>
      <c r="L741" s="171"/>
      <c r="M741" s="171"/>
      <c r="P741" s="236"/>
    </row>
    <row r="742" spans="11:16" ht="18" customHeight="1">
      <c r="K742" s="171" t="s">
        <v>14</v>
      </c>
      <c r="L742" s="171"/>
      <c r="M742" s="171"/>
      <c r="P742" s="236"/>
    </row>
    <row r="743" spans="11:16" ht="18" customHeight="1">
      <c r="K743" s="171" t="s">
        <v>14</v>
      </c>
      <c r="L743" s="171"/>
      <c r="M743" s="171"/>
      <c r="P743" s="236"/>
    </row>
    <row r="744" spans="11:16" ht="18" customHeight="1">
      <c r="K744" s="171" t="s">
        <v>14</v>
      </c>
      <c r="L744" s="171"/>
      <c r="M744" s="171"/>
      <c r="P744" s="236"/>
    </row>
    <row r="745" spans="11:16" ht="18" customHeight="1">
      <c r="K745" s="171" t="s">
        <v>14</v>
      </c>
      <c r="L745" s="171"/>
      <c r="M745" s="171"/>
      <c r="P745" s="236"/>
    </row>
    <row r="746" spans="11:16" ht="18" customHeight="1">
      <c r="K746" s="171" t="s">
        <v>14</v>
      </c>
      <c r="L746" s="171"/>
      <c r="M746" s="171"/>
    </row>
    <row r="747" spans="11:16" ht="18" customHeight="1">
      <c r="K747" s="171" t="s">
        <v>14</v>
      </c>
      <c r="L747" s="171"/>
      <c r="M747" s="171"/>
    </row>
    <row r="748" spans="11:16" ht="18" customHeight="1">
      <c r="K748" s="171" t="s">
        <v>14</v>
      </c>
      <c r="L748" s="171"/>
      <c r="M748" s="171"/>
    </row>
    <row r="749" spans="11:16" ht="18" customHeight="1">
      <c r="K749" s="171" t="s">
        <v>14</v>
      </c>
      <c r="L749" s="171"/>
      <c r="M749" s="171"/>
    </row>
    <row r="750" spans="11:16" ht="18" customHeight="1">
      <c r="K750" s="171" t="s">
        <v>14</v>
      </c>
      <c r="L750" s="171"/>
      <c r="M750" s="171"/>
    </row>
    <row r="751" spans="11:16" ht="18" customHeight="1">
      <c r="K751" s="171" t="s">
        <v>14</v>
      </c>
      <c r="L751" s="171"/>
      <c r="M751" s="171"/>
    </row>
    <row r="752" spans="11:16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M808" s="171"/>
    </row>
    <row r="809" spans="11:13" ht="18" customHeight="1">
      <c r="K809" s="171" t="s">
        <v>14</v>
      </c>
      <c r="M809" s="171"/>
    </row>
    <row r="810" spans="11:13" ht="18" customHeight="1">
      <c r="K810" s="171" t="s">
        <v>14</v>
      </c>
      <c r="M810" s="171"/>
    </row>
    <row r="811" spans="11:13" ht="18" customHeight="1">
      <c r="K811" s="171" t="s">
        <v>14</v>
      </c>
      <c r="M811" s="171"/>
    </row>
    <row r="812" spans="11:13" ht="18" customHeight="1">
      <c r="K812" s="171" t="s">
        <v>14</v>
      </c>
      <c r="M812" s="171"/>
    </row>
    <row r="813" spans="11:13" ht="18" customHeight="1">
      <c r="K813" s="171" t="s">
        <v>14</v>
      </c>
      <c r="M813" s="171"/>
    </row>
    <row r="814" spans="11:13" ht="18" customHeight="1">
      <c r="K814" s="171" t="s">
        <v>14</v>
      </c>
    </row>
    <row r="815" spans="11:13" ht="18" customHeight="1">
      <c r="K815" s="171" t="s">
        <v>14</v>
      </c>
    </row>
  </sheetData>
  <mergeCells count="17">
    <mergeCell ref="Q69:Q70"/>
    <mergeCell ref="Z69:Z70"/>
    <mergeCell ref="N69:N70"/>
    <mergeCell ref="B10:C11"/>
    <mergeCell ref="J10:J11"/>
    <mergeCell ref="L10:L11"/>
    <mergeCell ref="O69:O70"/>
    <mergeCell ref="P69:P70"/>
    <mergeCell ref="B5:C5"/>
    <mergeCell ref="D5:E5"/>
    <mergeCell ref="G5:H5"/>
    <mergeCell ref="B3:C3"/>
    <mergeCell ref="D3:E3"/>
    <mergeCell ref="G3:H3"/>
    <mergeCell ref="B4:C4"/>
    <mergeCell ref="D4:E4"/>
    <mergeCell ref="G4:H4"/>
  </mergeCells>
  <phoneticPr fontId="14" type="noConversion"/>
  <conditionalFormatting sqref="V12:V38">
    <cfRule type="cellIs" dxfId="5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2" min="13" max="28" man="1"/>
    <brk id="79" min="13" max="28" man="1"/>
    <brk id="100" min="13" max="2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65">
    <tabColor rgb="FF00B050"/>
    <pageSetUpPr fitToPage="1"/>
  </sheetPr>
  <dimension ref="A1:AB818"/>
  <sheetViews>
    <sheetView showGridLines="0" zoomScale="85" zoomScaleNormal="85" zoomScaleSheetLayoutView="75" workbookViewId="0">
      <selection activeCell="G3" sqref="G3:H3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464</v>
      </c>
    </row>
    <row r="2" spans="1:27" ht="19.5" thickBot="1">
      <c r="A2" s="326"/>
      <c r="B2" s="66" t="s">
        <v>1</v>
      </c>
    </row>
    <row r="3" spans="1:27" ht="18" customHeight="1">
      <c r="A3" s="326"/>
      <c r="B3" s="773" t="s">
        <v>70</v>
      </c>
      <c r="C3" s="774"/>
      <c r="D3" s="775">
        <v>20</v>
      </c>
      <c r="E3" s="776"/>
      <c r="F3" s="44" t="s">
        <v>53</v>
      </c>
      <c r="G3" s="767" t="s">
        <v>1104</v>
      </c>
      <c r="H3" s="768"/>
      <c r="I3" s="656">
        <v>2</v>
      </c>
      <c r="J3" s="669" t="s">
        <v>1512</v>
      </c>
      <c r="AA3" s="6"/>
    </row>
    <row r="4" spans="1:27" ht="18" customHeight="1">
      <c r="A4" s="326"/>
      <c r="B4" s="777" t="s">
        <v>1659</v>
      </c>
      <c r="C4" s="778"/>
      <c r="D4" s="779">
        <v>20</v>
      </c>
      <c r="E4" s="780"/>
      <c r="F4" s="65" t="str">
        <f>F3</f>
        <v>만㎡</v>
      </c>
      <c r="G4" s="769" t="s">
        <v>1109</v>
      </c>
      <c r="H4" s="770"/>
      <c r="I4" s="298">
        <v>2</v>
      </c>
      <c r="J4" s="670" t="s">
        <v>794</v>
      </c>
      <c r="AA4" s="6"/>
    </row>
    <row r="5" spans="1:27" ht="18" customHeight="1" thickBot="1">
      <c r="A5" s="326"/>
      <c r="B5" s="781" t="s">
        <v>111</v>
      </c>
      <c r="C5" s="782"/>
      <c r="D5" s="783">
        <f>ROUND((IF(D4&lt;=3,3,D4)/D3)^0.5,3)</f>
        <v>1</v>
      </c>
      <c r="E5" s="784"/>
      <c r="F5" s="45"/>
      <c r="G5" s="771" t="s">
        <v>1102</v>
      </c>
      <c r="H5" s="772"/>
      <c r="I5" s="646">
        <f>ROUND(I4/I3,3)</f>
        <v>1</v>
      </c>
      <c r="J5" s="671"/>
      <c r="AA5" s="6"/>
    </row>
    <row r="6" spans="1:27" ht="18" customHeight="1">
      <c r="A6" s="358"/>
      <c r="B6" s="9" t="s">
        <v>1703</v>
      </c>
      <c r="C6" s="36"/>
      <c r="D6" s="36"/>
      <c r="E6" s="36"/>
      <c r="F6" s="36"/>
      <c r="G6" s="9" t="s">
        <v>1107</v>
      </c>
      <c r="J6" s="36"/>
    </row>
    <row r="7" spans="1:27" ht="18" customHeight="1">
      <c r="B7" s="677"/>
      <c r="E7" s="824"/>
      <c r="F7" s="824"/>
    </row>
    <row r="8" spans="1:27" ht="18" customHeight="1">
      <c r="R8" s="1"/>
      <c r="S8" s="1"/>
      <c r="Z8" s="6"/>
    </row>
    <row r="9" spans="1:27" ht="18" customHeight="1">
      <c r="C9" s="677"/>
      <c r="D9" s="677"/>
      <c r="E9" s="64"/>
      <c r="G9" s="36"/>
      <c r="R9" s="1"/>
      <c r="S9" s="1"/>
      <c r="Z9" s="6"/>
    </row>
    <row r="10" spans="1:27" ht="18" customHeight="1">
      <c r="A10" s="326"/>
      <c r="B10" s="9"/>
      <c r="C10" s="9"/>
      <c r="D10" s="64"/>
      <c r="E10" s="64"/>
      <c r="G10" s="36"/>
      <c r="R10" s="1"/>
      <c r="S10" s="1"/>
      <c r="W10" s="6">
        <f t="array" aca="1" ref="W10" ca="1">SUM((N73:N208=N80)*S73:S208)</f>
        <v>147421752</v>
      </c>
      <c r="Z10" s="6"/>
    </row>
    <row r="11" spans="1:27" ht="18" customHeight="1">
      <c r="A11" s="326"/>
      <c r="B11" s="9"/>
      <c r="C11" s="9"/>
      <c r="D11" s="64"/>
      <c r="E11" s="64"/>
      <c r="G11" s="36"/>
      <c r="R11" s="1"/>
      <c r="S11" s="1"/>
      <c r="T11" s="1"/>
    </row>
    <row r="12" spans="1:27" ht="18" customHeight="1">
      <c r="A12" s="355"/>
      <c r="G12" s="36"/>
      <c r="W12" s="188" t="s">
        <v>3</v>
      </c>
      <c r="X12" s="189"/>
      <c r="AA12" s="229"/>
    </row>
    <row r="13" spans="1:27" ht="18" customHeight="1" thickBot="1">
      <c r="A13" s="355"/>
      <c r="B13" s="66" t="s">
        <v>4</v>
      </c>
      <c r="C13" s="9"/>
      <c r="D13" s="64"/>
      <c r="E13" s="64"/>
      <c r="G13" s="36"/>
      <c r="N13" s="66" t="s">
        <v>5</v>
      </c>
    </row>
    <row r="14" spans="1:27" ht="18" customHeight="1" thickBot="1">
      <c r="A14" s="355"/>
      <c r="B14" s="9"/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SUBTOTAL(9,W15:W47)</f>
        <v>462037821</v>
      </c>
      <c r="X14" s="187"/>
      <c r="Y14" s="177"/>
      <c r="Z14" s="167"/>
    </row>
    <row r="15" spans="1:27" ht="18" customHeight="1">
      <c r="A15" s="355"/>
      <c r="B15" s="757" t="s">
        <v>30</v>
      </c>
      <c r="C15" s="758"/>
      <c r="D15" s="14" t="s">
        <v>6</v>
      </c>
      <c r="E15" s="15"/>
      <c r="F15" s="15"/>
      <c r="G15" s="15"/>
      <c r="H15" s="15"/>
      <c r="I15" s="16"/>
      <c r="J15" s="761" t="s">
        <v>31</v>
      </c>
      <c r="L15" s="763" t="s">
        <v>7</v>
      </c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SUBTOTAL(9,W16:W44)</f>
        <v>168198684</v>
      </c>
      <c r="X15" s="164"/>
      <c r="Y15" s="178" t="s">
        <v>9</v>
      </c>
      <c r="Z15" s="179"/>
    </row>
    <row r="16" spans="1:27" ht="18" customHeight="1" thickBot="1">
      <c r="A16" s="355"/>
      <c r="B16" s="759"/>
      <c r="C16" s="760"/>
      <c r="D16" s="17" t="s">
        <v>33</v>
      </c>
      <c r="E16" s="19" t="s">
        <v>34</v>
      </c>
      <c r="F16" s="19" t="s">
        <v>35</v>
      </c>
      <c r="G16" s="19" t="s">
        <v>36</v>
      </c>
      <c r="H16" s="19" t="s">
        <v>37</v>
      </c>
      <c r="I16" s="18" t="s">
        <v>38</v>
      </c>
      <c r="J16" s="762"/>
      <c r="L16" s="764"/>
      <c r="N16" s="290" t="s">
        <v>45</v>
      </c>
      <c r="O16" s="124"/>
      <c r="P16" s="125"/>
      <c r="Q16" s="126"/>
      <c r="R16" s="126"/>
      <c r="S16" s="126"/>
      <c r="T16" s="126"/>
      <c r="U16" s="181"/>
      <c r="V16" s="218"/>
      <c r="W16" s="159">
        <f ca="1">SUBTOTAL(9,W17:W40)</f>
        <v>163698684</v>
      </c>
      <c r="X16" s="160"/>
      <c r="Y16" s="168"/>
      <c r="Z16" s="168"/>
    </row>
    <row r="17" spans="1:26" ht="18" customHeight="1">
      <c r="A17" s="355"/>
      <c r="B17" s="73" t="s">
        <v>1767</v>
      </c>
      <c r="C17" s="72"/>
      <c r="D17" s="30">
        <f t="shared" ref="D17:I17" si="0">SUBTOTAL(9,D18:D31)</f>
        <v>15.8</v>
      </c>
      <c r="E17" s="31">
        <f t="shared" si="0"/>
        <v>22.3</v>
      </c>
      <c r="F17" s="31">
        <f t="shared" si="0"/>
        <v>62.099999999999987</v>
      </c>
      <c r="G17" s="31">
        <f t="shared" si="0"/>
        <v>62.4</v>
      </c>
      <c r="H17" s="31">
        <f t="shared" si="0"/>
        <v>140.10000000000002</v>
      </c>
      <c r="I17" s="32">
        <f t="shared" si="0"/>
        <v>158.5</v>
      </c>
      <c r="J17" s="654"/>
      <c r="L17" s="232"/>
      <c r="N17" s="354" t="str">
        <f>B17</f>
        <v>1. 개발계획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SUBTOTAL(9,W18:W31)</f>
        <v>126056866</v>
      </c>
      <c r="X17" s="194"/>
      <c r="Y17" s="170" t="str">
        <f>IF(A42&gt;0, "제 " &amp;A42&amp; " 호표","")</f>
        <v/>
      </c>
      <c r="Z17" s="170"/>
    </row>
    <row r="18" spans="1:26" ht="18" customHeight="1">
      <c r="A18" s="355"/>
      <c r="B18" s="409" t="s">
        <v>1768</v>
      </c>
      <c r="C18" s="237"/>
      <c r="D18" s="20">
        <v>0.6</v>
      </c>
      <c r="E18" s="21">
        <v>1.8</v>
      </c>
      <c r="F18" s="21">
        <v>5</v>
      </c>
      <c r="G18" s="21">
        <v>5.3</v>
      </c>
      <c r="H18" s="21">
        <v>13.9</v>
      </c>
      <c r="I18" s="22">
        <v>13.9</v>
      </c>
      <c r="J18" s="389" t="s">
        <v>1664</v>
      </c>
      <c r="L18" s="233">
        <v>1</v>
      </c>
      <c r="N18" s="292" t="str">
        <f t="shared" ref="N18:N40" si="1">B18</f>
        <v>1.1. 현황조사 및 분석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SUM((ROUNDDOWN((D43:I43)*단가,0)))</f>
        <v>10820105</v>
      </c>
      <c r="X18" s="154"/>
      <c r="Y18" s="170" t="str">
        <f>IF(A43&gt;0, "제 " &amp;A43&amp; " 호표","")</f>
        <v>제 1 호표</v>
      </c>
      <c r="Z18" s="150"/>
    </row>
    <row r="19" spans="1:26" ht="18" customHeight="1">
      <c r="A19" s="355"/>
      <c r="B19" s="696" t="s">
        <v>1702</v>
      </c>
      <c r="C19" s="237"/>
      <c r="D19" s="20">
        <v>0.8</v>
      </c>
      <c r="E19" s="21">
        <v>1.6</v>
      </c>
      <c r="F19" s="21">
        <v>4</v>
      </c>
      <c r="G19" s="21">
        <v>4.2</v>
      </c>
      <c r="H19" s="21">
        <v>6</v>
      </c>
      <c r="I19" s="22">
        <v>7.7</v>
      </c>
      <c r="J19" s="389" t="s">
        <v>1090</v>
      </c>
      <c r="L19" s="233">
        <v>1</v>
      </c>
      <c r="N19" s="292" t="str">
        <f t="shared" si="1"/>
        <v>1.2. 개발정비조건 및 계획내용 설정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SUM((ROUNDDOWN((D44:I44)*단가,0)))</f>
        <v>6792675</v>
      </c>
      <c r="X19" s="154"/>
      <c r="Y19" s="170" t="str">
        <f t="shared" ref="Y19:Y40" si="2">IF(A44&gt;0, "제 " &amp;A44&amp; " 호표","")</f>
        <v>제 2 호표</v>
      </c>
      <c r="Z19" s="150"/>
    </row>
    <row r="20" spans="1:26" ht="18" customHeight="1">
      <c r="A20" s="355"/>
      <c r="B20" s="223" t="s">
        <v>1769</v>
      </c>
      <c r="C20" s="237"/>
      <c r="D20" s="20">
        <v>0.7</v>
      </c>
      <c r="E20" s="21">
        <v>1.2</v>
      </c>
      <c r="F20" s="21">
        <v>2.9</v>
      </c>
      <c r="G20" s="21">
        <v>2.6</v>
      </c>
      <c r="H20" s="21">
        <v>7.4</v>
      </c>
      <c r="I20" s="22">
        <v>7.4</v>
      </c>
      <c r="J20" s="389" t="s">
        <v>1090</v>
      </c>
      <c r="L20" s="233">
        <v>1</v>
      </c>
      <c r="N20" s="292" t="str">
        <f t="shared" si="1"/>
        <v>1.3. 유치시설 검토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SUM((ROUNDDOWN((D45:I45)*단가,0)))</f>
        <v>6037034</v>
      </c>
      <c r="X20" s="154"/>
      <c r="Y20" s="170" t="str">
        <f t="shared" si="2"/>
        <v>제 3 호표</v>
      </c>
      <c r="Z20" s="150"/>
    </row>
    <row r="21" spans="1:26" ht="18" customHeight="1">
      <c r="A21" s="355"/>
      <c r="B21" s="223" t="s">
        <v>1770</v>
      </c>
      <c r="C21" s="237"/>
      <c r="D21" s="20">
        <v>0.8</v>
      </c>
      <c r="E21" s="21">
        <v>1.1000000000000001</v>
      </c>
      <c r="F21" s="21">
        <v>2.9</v>
      </c>
      <c r="G21" s="21">
        <v>2.6</v>
      </c>
      <c r="H21" s="21">
        <v>7.5</v>
      </c>
      <c r="I21" s="22">
        <v>7.5</v>
      </c>
      <c r="J21" s="389" t="s">
        <v>1090</v>
      </c>
      <c r="L21" s="233">
        <v>1</v>
      </c>
      <c r="N21" s="292" t="str">
        <f t="shared" si="1"/>
        <v>1.4. 유치업종 원단위 및 규모설정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SUM((ROUNDDOWN((D46:I46)*단가,0)))</f>
        <v>6094976</v>
      </c>
      <c r="X21" s="154"/>
      <c r="Y21" s="170" t="str">
        <f t="shared" si="2"/>
        <v>제 4 호표</v>
      </c>
      <c r="Z21" s="150"/>
    </row>
    <row r="22" spans="1:26" ht="18" customHeight="1">
      <c r="A22" s="355"/>
      <c r="B22" s="223" t="s">
        <v>1771</v>
      </c>
      <c r="C22" s="237"/>
      <c r="D22" s="20">
        <v>1.2</v>
      </c>
      <c r="E22" s="21">
        <v>2.8</v>
      </c>
      <c r="F22" s="21">
        <v>5</v>
      </c>
      <c r="G22" s="21">
        <v>6.3</v>
      </c>
      <c r="H22" s="21">
        <v>7.3</v>
      </c>
      <c r="I22" s="22">
        <v>7.3</v>
      </c>
      <c r="J22" s="389" t="s">
        <v>1090</v>
      </c>
      <c r="L22" s="233">
        <v>1</v>
      </c>
      <c r="N22" s="292" t="str">
        <f t="shared" si="1"/>
        <v>1.5. 구상안 작성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SUM((ROUNDDOWN((D47:I47)*단가,0)))</f>
        <v>8564322</v>
      </c>
      <c r="X22" s="154"/>
      <c r="Y22" s="170" t="str">
        <f t="shared" si="2"/>
        <v>제 5 호표</v>
      </c>
      <c r="Z22" s="150"/>
    </row>
    <row r="23" spans="1:26" ht="18" customHeight="1">
      <c r="A23" s="355"/>
      <c r="B23" s="223" t="s">
        <v>1772</v>
      </c>
      <c r="C23" s="237"/>
      <c r="D23" s="20">
        <v>1.1000000000000001</v>
      </c>
      <c r="E23" s="21">
        <v>1.2</v>
      </c>
      <c r="F23" s="21">
        <v>2.9</v>
      </c>
      <c r="G23" s="21">
        <v>2.6</v>
      </c>
      <c r="H23" s="21">
        <v>7.4</v>
      </c>
      <c r="I23" s="22">
        <v>7.4</v>
      </c>
      <c r="J23" s="389" t="s">
        <v>1090</v>
      </c>
      <c r="L23" s="233">
        <v>1</v>
      </c>
      <c r="N23" s="292" t="str">
        <f t="shared" si="1"/>
        <v>1.6. 유통단지망 구성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SUM((ROUNDDOWN((D48:I48)*단가,0)))</f>
        <v>6223921</v>
      </c>
      <c r="X23" s="154"/>
      <c r="Y23" s="170" t="str">
        <f t="shared" si="2"/>
        <v>제 6 호표</v>
      </c>
      <c r="Z23" s="150"/>
    </row>
    <row r="24" spans="1:26" ht="18" customHeight="1">
      <c r="A24" s="355"/>
      <c r="B24" s="223" t="s">
        <v>1773</v>
      </c>
      <c r="C24" s="237"/>
      <c r="D24" s="20">
        <v>2</v>
      </c>
      <c r="E24" s="21">
        <v>2.2000000000000002</v>
      </c>
      <c r="F24" s="21">
        <v>8.1</v>
      </c>
      <c r="G24" s="21">
        <v>7.8</v>
      </c>
      <c r="H24" s="21">
        <v>19.5</v>
      </c>
      <c r="I24" s="22">
        <v>22.3</v>
      </c>
      <c r="J24" s="389" t="s">
        <v>1090</v>
      </c>
      <c r="L24" s="233">
        <v>1</v>
      </c>
      <c r="N24" s="292" t="str">
        <f t="shared" si="1"/>
        <v>1.7. 토지이용계획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SUM((ROUNDDOWN((D49:I49)*단가,0)))</f>
        <v>16744436</v>
      </c>
      <c r="X24" s="154"/>
      <c r="Y24" s="170" t="str">
        <f t="shared" si="2"/>
        <v>제 7 호표</v>
      </c>
      <c r="Z24" s="150"/>
    </row>
    <row r="25" spans="1:26" ht="18" customHeight="1">
      <c r="A25" s="355"/>
      <c r="B25" s="223" t="s">
        <v>1774</v>
      </c>
      <c r="C25" s="237"/>
      <c r="D25" s="20">
        <v>1.1000000000000001</v>
      </c>
      <c r="E25" s="21">
        <v>1.3</v>
      </c>
      <c r="F25" s="21">
        <v>4.3</v>
      </c>
      <c r="G25" s="21">
        <v>3.8</v>
      </c>
      <c r="H25" s="21">
        <v>12.6</v>
      </c>
      <c r="I25" s="22">
        <v>15.7</v>
      </c>
      <c r="J25" s="389" t="s">
        <v>1090</v>
      </c>
      <c r="L25" s="233">
        <v>1</v>
      </c>
      <c r="N25" s="292" t="str">
        <f t="shared" si="1"/>
        <v>1.8. 동선계획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SUM((ROUNDDOWN((D50:I50)*단가,0)))</f>
        <v>10350769</v>
      </c>
      <c r="X25" s="154"/>
      <c r="Y25" s="170" t="str">
        <f t="shared" si="2"/>
        <v>제 8 호표</v>
      </c>
      <c r="Z25" s="150"/>
    </row>
    <row r="26" spans="1:26" ht="18" customHeight="1">
      <c r="A26" s="355"/>
      <c r="B26" s="223" t="s">
        <v>1775</v>
      </c>
      <c r="C26" s="237"/>
      <c r="D26" s="20">
        <v>1.3</v>
      </c>
      <c r="E26" s="21">
        <v>2.2000000000000002</v>
      </c>
      <c r="F26" s="21">
        <v>5.6</v>
      </c>
      <c r="G26" s="21">
        <v>6.1</v>
      </c>
      <c r="H26" s="21">
        <v>10.7</v>
      </c>
      <c r="I26" s="22">
        <v>12</v>
      </c>
      <c r="J26" s="389" t="s">
        <v>1090</v>
      </c>
      <c r="L26" s="233">
        <v>1</v>
      </c>
      <c r="N26" s="292" t="str">
        <f t="shared" si="1"/>
        <v>1.9. 유치시설배치계획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SUM((ROUNDDOWN((D51:I51)*단가,0)))</f>
        <v>10490504</v>
      </c>
      <c r="X26" s="154"/>
      <c r="Y26" s="170" t="str">
        <f t="shared" si="2"/>
        <v>제 9 호표</v>
      </c>
      <c r="Z26" s="150"/>
    </row>
    <row r="27" spans="1:26" ht="18" customHeight="1">
      <c r="A27" s="355"/>
      <c r="B27" s="223" t="s">
        <v>1776</v>
      </c>
      <c r="C27" s="237"/>
      <c r="D27" s="20">
        <v>1.1000000000000001</v>
      </c>
      <c r="E27" s="21">
        <v>1.3</v>
      </c>
      <c r="F27" s="21">
        <v>4.3</v>
      </c>
      <c r="G27" s="21">
        <v>4.5</v>
      </c>
      <c r="H27" s="21">
        <v>11.3</v>
      </c>
      <c r="I27" s="22">
        <v>14</v>
      </c>
      <c r="J27" s="389" t="s">
        <v>1090</v>
      </c>
      <c r="L27" s="233">
        <v>1</v>
      </c>
      <c r="N27" s="292" t="str">
        <f t="shared" si="1"/>
        <v>1.10. 건축계획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SUM((ROUNDDOWN((D52:I52)*단가,0)))</f>
        <v>9826122</v>
      </c>
      <c r="X27" s="154"/>
      <c r="Y27" s="170" t="str">
        <f t="shared" si="2"/>
        <v>제 10 호표</v>
      </c>
      <c r="Z27" s="150"/>
    </row>
    <row r="28" spans="1:26" ht="18" customHeight="1">
      <c r="A28" s="326"/>
      <c r="B28" s="223" t="s">
        <v>1777</v>
      </c>
      <c r="C28" s="237"/>
      <c r="D28" s="20">
        <v>1.4</v>
      </c>
      <c r="E28" s="21">
        <v>2.2999999999999998</v>
      </c>
      <c r="F28" s="21">
        <v>7.3</v>
      </c>
      <c r="G28" s="21">
        <v>6.5</v>
      </c>
      <c r="H28" s="21">
        <v>14.9</v>
      </c>
      <c r="I28" s="22">
        <v>14.5</v>
      </c>
      <c r="J28" s="389" t="s">
        <v>1090</v>
      </c>
      <c r="L28" s="233">
        <v>1</v>
      </c>
      <c r="N28" s="292" t="str">
        <f t="shared" si="1"/>
        <v>1.11. 공급처리시설계획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SUM((ROUNDDOWN((D53:I53)*단가,0)))</f>
        <v>12835264</v>
      </c>
      <c r="X28" s="154"/>
      <c r="Y28" s="170" t="str">
        <f t="shared" si="2"/>
        <v>제 11 호표</v>
      </c>
      <c r="Z28" s="150"/>
    </row>
    <row r="29" spans="1:26" ht="18" customHeight="1">
      <c r="A29" s="326"/>
      <c r="B29" s="223" t="s">
        <v>1778</v>
      </c>
      <c r="C29" s="237"/>
      <c r="D29" s="20">
        <v>0.9</v>
      </c>
      <c r="E29" s="21">
        <v>1.2</v>
      </c>
      <c r="F29" s="21">
        <v>4.3</v>
      </c>
      <c r="G29" s="21">
        <v>3.9</v>
      </c>
      <c r="H29" s="21">
        <v>7.5</v>
      </c>
      <c r="I29" s="22">
        <v>10.9</v>
      </c>
      <c r="J29" s="389" t="s">
        <v>1090</v>
      </c>
      <c r="L29" s="233">
        <v>1</v>
      </c>
      <c r="N29" s="292" t="str">
        <f t="shared" si="1"/>
        <v>1.12. 환경관리계획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SUM((ROUNDDOWN((D54:I54)*단가,0)))</f>
        <v>7848247</v>
      </c>
      <c r="X29" s="154"/>
      <c r="Y29" s="170" t="str">
        <f t="shared" si="2"/>
        <v>제 12 호표</v>
      </c>
      <c r="Z29" s="150"/>
    </row>
    <row r="30" spans="1:26" ht="18" customHeight="1">
      <c r="A30" s="326"/>
      <c r="B30" s="223" t="s">
        <v>1779</v>
      </c>
      <c r="C30" s="237"/>
      <c r="D30" s="20">
        <v>0.8</v>
      </c>
      <c r="E30" s="21">
        <v>1.1000000000000001</v>
      </c>
      <c r="F30" s="21">
        <v>2.9</v>
      </c>
      <c r="G30" s="21">
        <v>3.8</v>
      </c>
      <c r="H30" s="21">
        <v>7.3</v>
      </c>
      <c r="I30" s="22">
        <v>10.8</v>
      </c>
      <c r="J30" s="389" t="s">
        <v>1090</v>
      </c>
      <c r="L30" s="233">
        <v>1</v>
      </c>
      <c r="N30" s="292" t="str">
        <f t="shared" si="1"/>
        <v>1.13. 운영관리계획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SUM((ROUNDDOWN((D55:I55)*단가,0)))</f>
        <v>7227337</v>
      </c>
      <c r="X30" s="154"/>
      <c r="Y30" s="170" t="str">
        <f t="shared" si="2"/>
        <v>제 13 호표</v>
      </c>
      <c r="Z30" s="150"/>
    </row>
    <row r="31" spans="1:26" ht="18" customHeight="1">
      <c r="A31" s="326"/>
      <c r="B31" s="223" t="s">
        <v>1780</v>
      </c>
      <c r="C31" s="237"/>
      <c r="D31" s="20">
        <v>2</v>
      </c>
      <c r="E31" s="21">
        <v>1</v>
      </c>
      <c r="F31" s="21">
        <v>2.6</v>
      </c>
      <c r="G31" s="21">
        <v>2.4</v>
      </c>
      <c r="H31" s="21">
        <v>6.8</v>
      </c>
      <c r="I31" s="22">
        <v>7.1</v>
      </c>
      <c r="J31" s="389" t="s">
        <v>1090</v>
      </c>
      <c r="L31" s="233">
        <v>1</v>
      </c>
      <c r="N31" s="292" t="str">
        <f t="shared" si="1"/>
        <v>1.14. 개발계획 승인도서 작성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SUM((ROUNDDOWN((D56:I56)*단가,0)))</f>
        <v>6201154</v>
      </c>
      <c r="X31" s="154"/>
      <c r="Y31" s="170" t="str">
        <f t="shared" si="2"/>
        <v>제 14 호표</v>
      </c>
      <c r="Z31" s="150"/>
    </row>
    <row r="32" spans="1:26" ht="18" customHeight="1">
      <c r="A32" s="326"/>
      <c r="B32" s="222" t="s">
        <v>1781</v>
      </c>
      <c r="C32" s="47"/>
      <c r="D32" s="33">
        <v>0</v>
      </c>
      <c r="E32" s="34">
        <v>0</v>
      </c>
      <c r="F32" s="34">
        <v>0</v>
      </c>
      <c r="G32" s="34">
        <v>0</v>
      </c>
      <c r="H32" s="34">
        <v>0</v>
      </c>
      <c r="I32" s="35">
        <v>0</v>
      </c>
      <c r="J32" s="594" t="s">
        <v>1766</v>
      </c>
      <c r="L32" s="233"/>
      <c r="N32" s="79" t="str">
        <f t="shared" si="1"/>
        <v>2. 실시계획</v>
      </c>
      <c r="O32" s="37"/>
      <c r="P32" s="37"/>
      <c r="Q32" s="37"/>
      <c r="R32" s="37"/>
      <c r="S32" s="37"/>
      <c r="T32" s="37"/>
      <c r="U32" s="227"/>
      <c r="V32" s="231"/>
      <c r="W32" s="193"/>
      <c r="X32" s="154"/>
      <c r="Y32" s="170" t="str">
        <f t="shared" si="2"/>
        <v/>
      </c>
      <c r="Z32" s="150"/>
    </row>
    <row r="33" spans="1:26" ht="18" customHeight="1">
      <c r="A33" s="326"/>
      <c r="B33" s="222" t="s">
        <v>1720</v>
      </c>
      <c r="C33" s="47"/>
      <c r="D33" s="33">
        <f t="shared" ref="D33:I33" si="3">SUBTOTAL(9,D34:D35)</f>
        <v>1</v>
      </c>
      <c r="E33" s="34">
        <f t="shared" si="3"/>
        <v>2.8</v>
      </c>
      <c r="F33" s="34">
        <f t="shared" si="3"/>
        <v>7.5</v>
      </c>
      <c r="G33" s="34">
        <f t="shared" si="3"/>
        <v>7.3999999999999995</v>
      </c>
      <c r="H33" s="34">
        <f t="shared" si="3"/>
        <v>20</v>
      </c>
      <c r="I33" s="35">
        <f t="shared" si="3"/>
        <v>20.8</v>
      </c>
      <c r="J33" s="594"/>
      <c r="L33" s="233"/>
      <c r="N33" s="79" t="str">
        <f t="shared" si="1"/>
        <v>3. 성과품작성</v>
      </c>
      <c r="O33" s="37"/>
      <c r="P33" s="37"/>
      <c r="Q33" s="37"/>
      <c r="R33" s="37"/>
      <c r="S33" s="37"/>
      <c r="T33" s="37"/>
      <c r="U33" s="227"/>
      <c r="V33" s="231"/>
      <c r="W33" s="193">
        <f ca="1">SUBTOTAL(9,W34:W35)</f>
        <v>15939242</v>
      </c>
      <c r="X33" s="154"/>
      <c r="Y33" s="170" t="str">
        <f t="shared" si="2"/>
        <v/>
      </c>
      <c r="Z33" s="150"/>
    </row>
    <row r="34" spans="1:26" ht="18" customHeight="1">
      <c r="A34" s="326"/>
      <c r="B34" s="223" t="s">
        <v>1782</v>
      </c>
      <c r="C34" s="237"/>
      <c r="D34" s="20">
        <v>0.6</v>
      </c>
      <c r="E34" s="21">
        <v>1.5</v>
      </c>
      <c r="F34" s="21">
        <v>5</v>
      </c>
      <c r="G34" s="21">
        <v>4.5999999999999996</v>
      </c>
      <c r="H34" s="21">
        <v>10</v>
      </c>
      <c r="I34" s="22">
        <v>7.5</v>
      </c>
      <c r="J34" s="400" t="s">
        <v>1090</v>
      </c>
      <c r="L34" s="233">
        <v>1</v>
      </c>
      <c r="N34" s="292" t="str">
        <f t="shared" si="1"/>
        <v>3.1. 보고서작성 및 편집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SUM((ROUNDDOWN((D59:I59)*단가,0)))</f>
        <v>7982655</v>
      </c>
      <c r="X34" s="154"/>
      <c r="Y34" s="170" t="str">
        <f t="shared" si="2"/>
        <v>제 15 호표</v>
      </c>
      <c r="Z34" s="150"/>
    </row>
    <row r="35" spans="1:26" ht="18" customHeight="1">
      <c r="A35" s="326"/>
      <c r="B35" s="259" t="s">
        <v>1760</v>
      </c>
      <c r="C35" s="264"/>
      <c r="D35" s="40">
        <v>0.4</v>
      </c>
      <c r="E35" s="41">
        <v>1.3</v>
      </c>
      <c r="F35" s="41">
        <v>2.5</v>
      </c>
      <c r="G35" s="41">
        <v>2.8</v>
      </c>
      <c r="H35" s="41">
        <v>10</v>
      </c>
      <c r="I35" s="42">
        <v>13.3</v>
      </c>
      <c r="J35" s="685" t="s">
        <v>1090</v>
      </c>
      <c r="L35" s="233">
        <v>1</v>
      </c>
      <c r="N35" s="292" t="str">
        <f t="shared" si="1"/>
        <v>3.2. 관련도서 작성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SUM((ROUNDDOWN((D60:I60)*단가,0)))</f>
        <v>7956587</v>
      </c>
      <c r="X35" s="154"/>
      <c r="Y35" s="170" t="str">
        <f t="shared" si="2"/>
        <v>제 16 호표</v>
      </c>
      <c r="Z35" s="150"/>
    </row>
    <row r="36" spans="1:26" ht="18" customHeight="1">
      <c r="A36" s="326"/>
      <c r="B36" s="222" t="s">
        <v>1783</v>
      </c>
      <c r="C36" s="47"/>
      <c r="D36" s="48">
        <f t="shared" ref="D36:I36" si="4">SUBTOTAL(9,D37:D40)</f>
        <v>8</v>
      </c>
      <c r="E36" s="49">
        <f t="shared" si="4"/>
        <v>8</v>
      </c>
      <c r="F36" s="49">
        <f t="shared" si="4"/>
        <v>8</v>
      </c>
      <c r="G36" s="49">
        <f t="shared" si="4"/>
        <v>16</v>
      </c>
      <c r="H36" s="49">
        <f t="shared" si="4"/>
        <v>16</v>
      </c>
      <c r="I36" s="50">
        <f t="shared" si="4"/>
        <v>16</v>
      </c>
      <c r="J36" s="620"/>
      <c r="L36" s="233"/>
      <c r="N36" s="79" t="str">
        <f t="shared" si="1"/>
        <v>4. 기술협의</v>
      </c>
      <c r="O36" s="37"/>
      <c r="P36" s="39"/>
      <c r="Q36" s="37"/>
      <c r="R36" s="117"/>
      <c r="S36" s="37"/>
      <c r="T36" s="37"/>
      <c r="U36" s="228"/>
      <c r="V36" s="231"/>
      <c r="W36" s="193">
        <f ca="1">SUBTOTAL(9,W37:W40)</f>
        <v>21702576</v>
      </c>
      <c r="X36" s="154"/>
      <c r="Y36" s="170" t="str">
        <f t="shared" si="2"/>
        <v/>
      </c>
      <c r="Z36" s="150"/>
    </row>
    <row r="37" spans="1:26" ht="18" customHeight="1">
      <c r="A37" s="326"/>
      <c r="B37" s="223" t="s">
        <v>1761</v>
      </c>
      <c r="C37" s="237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389" t="s">
        <v>1785</v>
      </c>
      <c r="L37" s="233">
        <v>1</v>
      </c>
      <c r="N37" s="292" t="str">
        <f t="shared" si="1"/>
        <v>4.1. 공청회/주민설명회</v>
      </c>
      <c r="O37" s="37"/>
      <c r="P37" s="39"/>
      <c r="Q37" s="37"/>
      <c r="R37" s="117"/>
      <c r="S37" s="37"/>
      <c r="T37" s="37"/>
      <c r="U37" s="228"/>
      <c r="V37" s="231"/>
      <c r="W37" s="153">
        <f t="array" aca="1" ref="W37" ca="1">SUM((ROUNDDOWN((D62:I62)*단가,0)))</f>
        <v>5425644</v>
      </c>
      <c r="X37" s="154"/>
      <c r="Y37" s="170" t="str">
        <f t="shared" si="2"/>
        <v>제 17 호표</v>
      </c>
      <c r="Z37" s="150"/>
    </row>
    <row r="38" spans="1:26" ht="18" customHeight="1">
      <c r="A38" s="326"/>
      <c r="B38" s="223" t="s">
        <v>1784</v>
      </c>
      <c r="C38" s="237"/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389" t="s">
        <v>1094</v>
      </c>
      <c r="L38" s="233">
        <v>1</v>
      </c>
      <c r="N38" s="292" t="str">
        <f t="shared" si="1"/>
        <v>4.2. 주민간담회/시민계획단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SUM((ROUNDDOWN((D63:I63)*단가,0)))</f>
        <v>5425644</v>
      </c>
      <c r="X38" s="154"/>
      <c r="Y38" s="170" t="str">
        <f t="shared" si="2"/>
        <v>제 18 호표</v>
      </c>
      <c r="Z38" s="150"/>
    </row>
    <row r="39" spans="1:26" ht="18" customHeight="1">
      <c r="A39" s="326"/>
      <c r="B39" s="223" t="s">
        <v>1726</v>
      </c>
      <c r="C39" s="237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389" t="s">
        <v>1094</v>
      </c>
      <c r="L39" s="233">
        <v>1</v>
      </c>
      <c r="N39" s="292" t="str">
        <f t="shared" si="1"/>
        <v>4.3. 위원회심의 지원</v>
      </c>
      <c r="O39" s="37"/>
      <c r="P39" s="39"/>
      <c r="Q39" s="37"/>
      <c r="R39" s="117"/>
      <c r="S39" s="37"/>
      <c r="T39" s="37"/>
      <c r="U39" s="228"/>
      <c r="V39" s="231"/>
      <c r="W39" s="153">
        <f t="array" aca="1" ref="W39" ca="1">SUM((ROUNDDOWN((D64:I64)*단가,0)))</f>
        <v>5425644</v>
      </c>
      <c r="X39" s="154"/>
      <c r="Y39" s="170" t="str">
        <f t="shared" si="2"/>
        <v>제 19 호표</v>
      </c>
      <c r="Z39" s="150"/>
    </row>
    <row r="40" spans="1:26" ht="18" customHeight="1" thickBot="1">
      <c r="A40" s="326"/>
      <c r="B40" s="223" t="s">
        <v>1727</v>
      </c>
      <c r="C40" s="237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612" t="s">
        <v>1094</v>
      </c>
      <c r="L40" s="233">
        <v>1</v>
      </c>
      <c r="N40" s="292" t="str">
        <f t="shared" si="1"/>
        <v>4.4. 관계기관 협의</v>
      </c>
      <c r="O40" s="37"/>
      <c r="P40" s="39"/>
      <c r="Q40" s="37"/>
      <c r="R40" s="117"/>
      <c r="S40" s="37"/>
      <c r="T40" s="37"/>
      <c r="U40" s="228"/>
      <c r="V40" s="231"/>
      <c r="W40" s="153">
        <f t="array" aca="1" ref="W40" ca="1">SUM((ROUNDDOWN((D65:I65)*단가,0)))</f>
        <v>5425644</v>
      </c>
      <c r="X40" s="154"/>
      <c r="Y40" s="170" t="str">
        <f t="shared" si="2"/>
        <v>제 20 호표</v>
      </c>
      <c r="Z40" s="150"/>
    </row>
    <row r="41" spans="1:26" ht="18" customHeight="1" thickBot="1">
      <c r="A41" s="326"/>
      <c r="B41" s="14" t="s">
        <v>30</v>
      </c>
      <c r="C41" s="250"/>
      <c r="D41" s="249" t="s">
        <v>12</v>
      </c>
      <c r="E41" s="251"/>
      <c r="F41" s="251"/>
      <c r="G41" s="251"/>
      <c r="H41" s="251"/>
      <c r="I41" s="250"/>
      <c r="J41" s="175" t="s">
        <v>31</v>
      </c>
      <c r="N41" s="290" t="s">
        <v>10</v>
      </c>
      <c r="O41" s="129"/>
      <c r="P41" s="130"/>
      <c r="Q41" s="124"/>
      <c r="R41" s="131"/>
      <c r="S41" s="124"/>
      <c r="T41" s="124"/>
      <c r="U41" s="181"/>
      <c r="V41" s="181"/>
      <c r="W41" s="159">
        <f>SUBTOTAL(9,W42:W44)</f>
        <v>4500000</v>
      </c>
      <c r="X41" s="160"/>
      <c r="Y41" s="124"/>
      <c r="Z41" s="124"/>
    </row>
    <row r="42" spans="1:26" ht="18" customHeight="1">
      <c r="A42" s="326"/>
      <c r="B42" s="73" t="s">
        <v>1767</v>
      </c>
      <c r="C42" s="72"/>
      <c r="D42" s="693">
        <f t="shared" ref="D42:I42" si="5">SUBTOTAL(9,D43:D56)</f>
        <v>15.8</v>
      </c>
      <c r="E42" s="694">
        <f t="shared" si="5"/>
        <v>22.3</v>
      </c>
      <c r="F42" s="694">
        <f t="shared" si="5"/>
        <v>62.099999999999987</v>
      </c>
      <c r="G42" s="694">
        <f t="shared" si="5"/>
        <v>62.4</v>
      </c>
      <c r="H42" s="694">
        <f t="shared" si="5"/>
        <v>140.10000000000002</v>
      </c>
      <c r="I42" s="695">
        <f t="shared" si="5"/>
        <v>158.5</v>
      </c>
      <c r="J42" s="73"/>
      <c r="N42" s="128" t="str">
        <f>"여비("&amp;TEXT(R42,"#인 ×")&amp;TEXT(S42,"#일 ×")&amp;TEXT(T42,"###,###원)")</f>
        <v>여비(3인 ×5일 ×100,000원)</v>
      </c>
      <c r="O42" s="78"/>
      <c r="P42" s="52"/>
      <c r="Q42" s="51"/>
      <c r="R42" s="146">
        <v>3</v>
      </c>
      <c r="S42" s="146">
        <v>5</v>
      </c>
      <c r="T42" s="147">
        <v>100000</v>
      </c>
      <c r="U42" s="182"/>
      <c r="V42" s="182"/>
      <c r="W42" s="161">
        <f>R42*S42*T42</f>
        <v>1500000</v>
      </c>
      <c r="X42" s="162"/>
      <c r="Y42" s="51"/>
      <c r="Z42" s="51"/>
    </row>
    <row r="43" spans="1:26" ht="18" customHeight="1">
      <c r="A43" s="326">
        <v>1</v>
      </c>
      <c r="B43" s="409" t="s">
        <v>1768</v>
      </c>
      <c r="C43" s="237"/>
      <c r="D43" s="20">
        <f t="array" ref="D43:I56">ROUNDDOWN(D18:I31*L18:L31*D5,3)</f>
        <v>0.6</v>
      </c>
      <c r="E43" s="21">
        <v>1.8</v>
      </c>
      <c r="F43" s="21">
        <v>5</v>
      </c>
      <c r="G43" s="21">
        <v>5.3</v>
      </c>
      <c r="H43" s="21">
        <v>13.9</v>
      </c>
      <c r="I43" s="22">
        <v>13.9</v>
      </c>
      <c r="J43" s="74"/>
      <c r="N43" s="79" t="s">
        <v>46</v>
      </c>
      <c r="O43" s="79"/>
      <c r="P43" s="39"/>
      <c r="Q43" s="37"/>
      <c r="R43" s="117"/>
      <c r="S43" s="37"/>
      <c r="T43" s="37"/>
      <c r="U43" s="180"/>
      <c r="V43" s="180"/>
      <c r="W43" s="157">
        <v>2000000</v>
      </c>
      <c r="X43" s="158"/>
      <c r="Y43" s="37"/>
      <c r="Z43" s="37"/>
    </row>
    <row r="44" spans="1:26" ht="18" customHeight="1">
      <c r="A44" s="326">
        <v>2</v>
      </c>
      <c r="B44" s="696" t="s">
        <v>1702</v>
      </c>
      <c r="C44" s="237"/>
      <c r="D44" s="20">
        <v>0.8</v>
      </c>
      <c r="E44" s="21">
        <v>1.6</v>
      </c>
      <c r="F44" s="21">
        <v>4</v>
      </c>
      <c r="G44" s="21">
        <v>4.2</v>
      </c>
      <c r="H44" s="21">
        <v>6</v>
      </c>
      <c r="I44" s="22">
        <v>7.7</v>
      </c>
      <c r="J44" s="74"/>
      <c r="N44" s="132" t="s">
        <v>13</v>
      </c>
      <c r="O44" s="132"/>
      <c r="P44" s="38"/>
      <c r="Q44" s="38"/>
      <c r="R44" s="116"/>
      <c r="S44" s="38"/>
      <c r="T44" s="38"/>
      <c r="U44" s="183"/>
      <c r="V44" s="183"/>
      <c r="W44" s="155">
        <v>1000000</v>
      </c>
      <c r="X44" s="156"/>
      <c r="Y44" s="38"/>
      <c r="Z44" s="38"/>
    </row>
    <row r="45" spans="1:26" ht="18" customHeight="1">
      <c r="A45" s="326">
        <v>3</v>
      </c>
      <c r="B45" s="223" t="s">
        <v>1769</v>
      </c>
      <c r="C45" s="237"/>
      <c r="D45" s="20">
        <v>0.7</v>
      </c>
      <c r="E45" s="21">
        <v>1.2</v>
      </c>
      <c r="F45" s="21">
        <v>2.9</v>
      </c>
      <c r="G45" s="21">
        <v>2.6</v>
      </c>
      <c r="H45" s="21">
        <v>7.4</v>
      </c>
      <c r="I45" s="22">
        <v>7.4</v>
      </c>
      <c r="J45" s="74"/>
      <c r="N45" s="127" t="s">
        <v>47</v>
      </c>
      <c r="O45" s="123"/>
      <c r="P45" s="123"/>
      <c r="Q45" s="123"/>
      <c r="R45" s="123"/>
      <c r="S45" s="123"/>
      <c r="T45" s="123"/>
      <c r="U45" s="184"/>
      <c r="V45" s="184"/>
      <c r="W45" s="163">
        <f ca="1">SUBTOTAL(9,W46:W47)</f>
        <v>293839137</v>
      </c>
      <c r="X45" s="164"/>
      <c r="Y45" s="123"/>
      <c r="Z45" s="123"/>
    </row>
    <row r="46" spans="1:26" ht="18" customHeight="1">
      <c r="A46" s="326">
        <v>4</v>
      </c>
      <c r="B46" s="223" t="s">
        <v>1770</v>
      </c>
      <c r="C46" s="237"/>
      <c r="D46" s="20">
        <v>0.8</v>
      </c>
      <c r="E46" s="21">
        <v>1.1000000000000001</v>
      </c>
      <c r="F46" s="21">
        <v>2.9</v>
      </c>
      <c r="G46" s="21">
        <v>2.6</v>
      </c>
      <c r="H46" s="21">
        <v>7.5</v>
      </c>
      <c r="I46" s="22">
        <v>7.5</v>
      </c>
      <c r="J46" s="74"/>
      <c r="N46" s="133" t="s">
        <v>861</v>
      </c>
      <c r="O46" s="124"/>
      <c r="P46" s="134"/>
      <c r="Q46" s="124"/>
      <c r="R46" s="131"/>
      <c r="S46" s="124"/>
      <c r="T46" s="181"/>
      <c r="U46" s="181"/>
      <c r="V46" s="190">
        <v>1.1499999999999999</v>
      </c>
      <c r="W46" s="159">
        <f ca="1">ROUNDDOWN(W16*V46,0)</f>
        <v>188253486</v>
      </c>
      <c r="X46" s="160"/>
      <c r="Y46" s="124"/>
      <c r="Z46" s="124"/>
    </row>
    <row r="47" spans="1:26" ht="18" customHeight="1" thickBot="1">
      <c r="A47" s="326">
        <v>5</v>
      </c>
      <c r="B47" s="223" t="s">
        <v>1771</v>
      </c>
      <c r="C47" s="237"/>
      <c r="D47" s="20">
        <v>1.2</v>
      </c>
      <c r="E47" s="21">
        <v>2.8</v>
      </c>
      <c r="F47" s="21">
        <v>5</v>
      </c>
      <c r="G47" s="21">
        <v>6.3</v>
      </c>
      <c r="H47" s="21">
        <v>7.3</v>
      </c>
      <c r="I47" s="22">
        <v>7.3</v>
      </c>
      <c r="J47" s="74"/>
      <c r="N47" s="135" t="s">
        <v>862</v>
      </c>
      <c r="O47" s="136"/>
      <c r="P47" s="137"/>
      <c r="Q47" s="136"/>
      <c r="R47" s="138"/>
      <c r="S47" s="136"/>
      <c r="T47" s="185"/>
      <c r="U47" s="185"/>
      <c r="V47" s="191">
        <v>0.3</v>
      </c>
      <c r="W47" s="165">
        <f ca="1">ROUNDDOWN((W16+W46)*V47,0)</f>
        <v>105585651</v>
      </c>
      <c r="X47" s="166"/>
      <c r="Y47" s="136"/>
      <c r="Z47" s="136"/>
    </row>
    <row r="48" spans="1:26" ht="18" customHeight="1">
      <c r="A48" s="326">
        <v>6</v>
      </c>
      <c r="B48" s="223" t="s">
        <v>1772</v>
      </c>
      <c r="C48" s="237"/>
      <c r="D48" s="20">
        <v>1.1000000000000001</v>
      </c>
      <c r="E48" s="21">
        <v>1.2</v>
      </c>
      <c r="F48" s="21">
        <v>2.9</v>
      </c>
      <c r="G48" s="21">
        <v>2.6</v>
      </c>
      <c r="H48" s="21">
        <v>7.4</v>
      </c>
      <c r="I48" s="22">
        <v>7.4</v>
      </c>
      <c r="J48" s="74"/>
    </row>
    <row r="49" spans="1:13" ht="18" customHeight="1">
      <c r="A49" s="326">
        <v>7</v>
      </c>
      <c r="B49" s="223" t="s">
        <v>1773</v>
      </c>
      <c r="C49" s="237"/>
      <c r="D49" s="20">
        <v>2</v>
      </c>
      <c r="E49" s="21">
        <v>2.2000000000000002</v>
      </c>
      <c r="F49" s="21">
        <v>8.1</v>
      </c>
      <c r="G49" s="21">
        <v>7.8</v>
      </c>
      <c r="H49" s="21">
        <v>19.5</v>
      </c>
      <c r="I49" s="22">
        <v>22.3</v>
      </c>
      <c r="J49" s="74"/>
    </row>
    <row r="50" spans="1:13" ht="18" customHeight="1">
      <c r="A50" s="326">
        <v>8</v>
      </c>
      <c r="B50" s="223" t="s">
        <v>1774</v>
      </c>
      <c r="C50" s="237"/>
      <c r="D50" s="20">
        <v>1.1000000000000001</v>
      </c>
      <c r="E50" s="21">
        <v>1.3</v>
      </c>
      <c r="F50" s="21">
        <v>4.3</v>
      </c>
      <c r="G50" s="21">
        <v>3.8</v>
      </c>
      <c r="H50" s="21">
        <v>12.6</v>
      </c>
      <c r="I50" s="22">
        <v>15.7</v>
      </c>
      <c r="J50" s="74"/>
    </row>
    <row r="51" spans="1:13" ht="18" customHeight="1">
      <c r="A51" s="326">
        <v>9</v>
      </c>
      <c r="B51" s="223" t="s">
        <v>1775</v>
      </c>
      <c r="C51" s="237"/>
      <c r="D51" s="20">
        <v>1.3</v>
      </c>
      <c r="E51" s="21">
        <v>2.2000000000000002</v>
      </c>
      <c r="F51" s="21">
        <v>5.6</v>
      </c>
      <c r="G51" s="21">
        <v>6.1</v>
      </c>
      <c r="H51" s="21">
        <v>10.7</v>
      </c>
      <c r="I51" s="22">
        <v>12</v>
      </c>
      <c r="J51" s="74"/>
    </row>
    <row r="52" spans="1:13" ht="18" customHeight="1">
      <c r="A52" s="326">
        <v>10</v>
      </c>
      <c r="B52" s="223" t="s">
        <v>1776</v>
      </c>
      <c r="C52" s="237"/>
      <c r="D52" s="20">
        <v>1.1000000000000001</v>
      </c>
      <c r="E52" s="21">
        <v>1.3</v>
      </c>
      <c r="F52" s="21">
        <v>4.3</v>
      </c>
      <c r="G52" s="21">
        <v>4.5</v>
      </c>
      <c r="H52" s="21">
        <v>11.3</v>
      </c>
      <c r="I52" s="22">
        <v>14</v>
      </c>
      <c r="J52" s="74"/>
    </row>
    <row r="53" spans="1:13" ht="18" customHeight="1">
      <c r="A53" s="326">
        <v>11</v>
      </c>
      <c r="B53" s="223" t="s">
        <v>1777</v>
      </c>
      <c r="C53" s="237"/>
      <c r="D53" s="20">
        <v>1.4</v>
      </c>
      <c r="E53" s="21">
        <v>2.2999999999999998</v>
      </c>
      <c r="F53" s="21">
        <v>7.3</v>
      </c>
      <c r="G53" s="21">
        <v>6.5</v>
      </c>
      <c r="H53" s="21">
        <v>14.9</v>
      </c>
      <c r="I53" s="22">
        <v>14.5</v>
      </c>
      <c r="J53" s="74"/>
    </row>
    <row r="54" spans="1:13" ht="18" customHeight="1">
      <c r="A54" s="326">
        <v>12</v>
      </c>
      <c r="B54" s="223" t="s">
        <v>1778</v>
      </c>
      <c r="C54" s="237"/>
      <c r="D54" s="20">
        <v>0.9</v>
      </c>
      <c r="E54" s="21">
        <v>1.2</v>
      </c>
      <c r="F54" s="21">
        <v>4.3</v>
      </c>
      <c r="G54" s="21">
        <v>3.9</v>
      </c>
      <c r="H54" s="21">
        <v>7.5</v>
      </c>
      <c r="I54" s="22">
        <v>10.9</v>
      </c>
      <c r="J54" s="74"/>
    </row>
    <row r="55" spans="1:13" ht="18" customHeight="1">
      <c r="A55" s="326">
        <v>13</v>
      </c>
      <c r="B55" s="223" t="s">
        <v>1779</v>
      </c>
      <c r="C55" s="237"/>
      <c r="D55" s="20">
        <v>0.8</v>
      </c>
      <c r="E55" s="21">
        <v>1.1000000000000001</v>
      </c>
      <c r="F55" s="21">
        <v>2.9</v>
      </c>
      <c r="G55" s="21">
        <v>3.8</v>
      </c>
      <c r="H55" s="21">
        <v>7.3</v>
      </c>
      <c r="I55" s="22">
        <v>10.8</v>
      </c>
      <c r="J55" s="74"/>
    </row>
    <row r="56" spans="1:13" ht="18" customHeight="1">
      <c r="A56" s="326">
        <v>14</v>
      </c>
      <c r="B56" s="223" t="s">
        <v>1780</v>
      </c>
      <c r="C56" s="237"/>
      <c r="D56" s="20">
        <v>2</v>
      </c>
      <c r="E56" s="21">
        <v>1</v>
      </c>
      <c r="F56" s="21">
        <v>2.6</v>
      </c>
      <c r="G56" s="21">
        <v>2.4</v>
      </c>
      <c r="H56" s="21">
        <v>6.8</v>
      </c>
      <c r="I56" s="22">
        <v>7.1</v>
      </c>
      <c r="J56" s="74"/>
    </row>
    <row r="57" spans="1:13" ht="18" customHeight="1">
      <c r="A57" s="326"/>
      <c r="B57" s="222" t="s">
        <v>1781</v>
      </c>
      <c r="C57" s="47"/>
      <c r="D57" s="33">
        <v>0</v>
      </c>
      <c r="E57" s="34">
        <v>0</v>
      </c>
      <c r="F57" s="34">
        <v>0</v>
      </c>
      <c r="G57" s="34">
        <v>0</v>
      </c>
      <c r="H57" s="34">
        <v>0</v>
      </c>
      <c r="I57" s="35">
        <v>0</v>
      </c>
      <c r="J57" s="13"/>
    </row>
    <row r="58" spans="1:13" ht="18" customHeight="1">
      <c r="A58" s="326"/>
      <c r="B58" s="222" t="s">
        <v>1720</v>
      </c>
      <c r="C58" s="47"/>
      <c r="D58" s="33">
        <f t="shared" ref="D58:I58" si="6">SUBTOTAL(9,D59:D60)</f>
        <v>1</v>
      </c>
      <c r="E58" s="34">
        <f t="shared" si="6"/>
        <v>2.8</v>
      </c>
      <c r="F58" s="34">
        <f t="shared" si="6"/>
        <v>7.5</v>
      </c>
      <c r="G58" s="34">
        <f t="shared" si="6"/>
        <v>7.3999999999999995</v>
      </c>
      <c r="H58" s="34">
        <f t="shared" si="6"/>
        <v>20</v>
      </c>
      <c r="I58" s="35">
        <f t="shared" si="6"/>
        <v>20.8</v>
      </c>
      <c r="J58" s="13"/>
    </row>
    <row r="59" spans="1:13" ht="18" customHeight="1">
      <c r="A59" s="326">
        <v>15</v>
      </c>
      <c r="B59" s="223" t="s">
        <v>1782</v>
      </c>
      <c r="C59" s="237"/>
      <c r="D59" s="20">
        <f t="array" ref="D59:I60">ROUNDDOWN(D34:I35*L34:L35*D5,3)</f>
        <v>0.6</v>
      </c>
      <c r="E59" s="21">
        <v>1.5</v>
      </c>
      <c r="F59" s="21">
        <v>5</v>
      </c>
      <c r="G59" s="21">
        <v>4.5999999999999996</v>
      </c>
      <c r="H59" s="21">
        <v>10</v>
      </c>
      <c r="I59" s="22">
        <v>7.5</v>
      </c>
      <c r="J59" s="23"/>
    </row>
    <row r="60" spans="1:13" ht="18" customHeight="1">
      <c r="A60" s="326">
        <v>16</v>
      </c>
      <c r="B60" s="259" t="s">
        <v>1760</v>
      </c>
      <c r="C60" s="237"/>
      <c r="D60" s="20">
        <v>0.4</v>
      </c>
      <c r="E60" s="21">
        <v>1.3</v>
      </c>
      <c r="F60" s="21">
        <v>2.5</v>
      </c>
      <c r="G60" s="21">
        <v>2.8</v>
      </c>
      <c r="H60" s="21">
        <v>10</v>
      </c>
      <c r="I60" s="22">
        <v>13.3</v>
      </c>
      <c r="J60" s="23"/>
      <c r="L60" s="171"/>
    </row>
    <row r="61" spans="1:13" ht="18" customHeight="1">
      <c r="A61" s="326"/>
      <c r="B61" s="222" t="s">
        <v>1783</v>
      </c>
      <c r="C61" s="47"/>
      <c r="D61" s="48">
        <f t="shared" ref="D61:I61" si="7">SUBTOTAL(9,D62:D65)</f>
        <v>8</v>
      </c>
      <c r="E61" s="49">
        <f t="shared" si="7"/>
        <v>8</v>
      </c>
      <c r="F61" s="49">
        <f t="shared" si="7"/>
        <v>8</v>
      </c>
      <c r="G61" s="49">
        <f t="shared" si="7"/>
        <v>16</v>
      </c>
      <c r="H61" s="49">
        <f t="shared" si="7"/>
        <v>16</v>
      </c>
      <c r="I61" s="50">
        <f t="shared" si="7"/>
        <v>16</v>
      </c>
      <c r="J61" s="287"/>
      <c r="L61" s="171"/>
    </row>
    <row r="62" spans="1:13" ht="18" customHeight="1">
      <c r="A62" s="326">
        <v>17</v>
      </c>
      <c r="B62" s="223" t="s">
        <v>1761</v>
      </c>
      <c r="C62" s="237"/>
      <c r="D62" s="20">
        <f t="array" ref="D62:I65">ROUNDDOWN(D37:I40*L37:L40*I5,3)</f>
        <v>2</v>
      </c>
      <c r="E62" s="198">
        <v>2</v>
      </c>
      <c r="F62" s="198">
        <v>2</v>
      </c>
      <c r="G62" s="198">
        <v>4</v>
      </c>
      <c r="H62" s="198">
        <v>4</v>
      </c>
      <c r="I62" s="199">
        <v>4</v>
      </c>
      <c r="J62" s="74"/>
      <c r="L62" s="171"/>
    </row>
    <row r="63" spans="1:13" ht="18" customHeight="1">
      <c r="A63" s="326">
        <v>18</v>
      </c>
      <c r="B63" s="223" t="s">
        <v>1784</v>
      </c>
      <c r="C63" s="237"/>
      <c r="D63" s="197">
        <v>2</v>
      </c>
      <c r="E63" s="198">
        <v>2</v>
      </c>
      <c r="F63" s="198">
        <v>2</v>
      </c>
      <c r="G63" s="198">
        <v>4</v>
      </c>
      <c r="H63" s="198">
        <v>4</v>
      </c>
      <c r="I63" s="199">
        <v>4</v>
      </c>
      <c r="J63" s="74"/>
      <c r="L63" s="171"/>
    </row>
    <row r="64" spans="1:13" ht="18" customHeight="1">
      <c r="A64" s="326">
        <v>19</v>
      </c>
      <c r="B64" s="223" t="s">
        <v>1726</v>
      </c>
      <c r="C64" s="237"/>
      <c r="D64" s="197">
        <v>2</v>
      </c>
      <c r="E64" s="198">
        <v>2</v>
      </c>
      <c r="F64" s="198">
        <v>2</v>
      </c>
      <c r="G64" s="198">
        <v>4</v>
      </c>
      <c r="H64" s="198">
        <v>4</v>
      </c>
      <c r="I64" s="199">
        <v>4</v>
      </c>
      <c r="J64" s="74"/>
      <c r="L64" s="171"/>
      <c r="M64" s="171"/>
    </row>
    <row r="65" spans="1:26" ht="18" customHeight="1" thickBot="1">
      <c r="A65" s="326">
        <v>20</v>
      </c>
      <c r="B65" s="388" t="s">
        <v>1727</v>
      </c>
      <c r="C65" s="401"/>
      <c r="D65" s="343">
        <v>2</v>
      </c>
      <c r="E65" s="344">
        <v>2</v>
      </c>
      <c r="F65" s="344">
        <v>2</v>
      </c>
      <c r="G65" s="344">
        <v>4</v>
      </c>
      <c r="H65" s="344">
        <v>4</v>
      </c>
      <c r="I65" s="345">
        <v>4</v>
      </c>
      <c r="J65" s="176"/>
      <c r="L65" s="171"/>
      <c r="M65" s="171"/>
    </row>
    <row r="66" spans="1:26" ht="18" customHeight="1">
      <c r="A66" s="326"/>
      <c r="B66" s="85" t="s">
        <v>1696</v>
      </c>
      <c r="C66" s="9" t="s">
        <v>1730</v>
      </c>
      <c r="L66" s="171"/>
      <c r="M66" s="171"/>
    </row>
    <row r="67" spans="1:26" ht="18" customHeight="1">
      <c r="A67" s="326"/>
      <c r="B67" s="8"/>
      <c r="C67" s="9" t="s">
        <v>1731</v>
      </c>
      <c r="K67" s="171" t="s">
        <v>14</v>
      </c>
      <c r="L67" s="171"/>
      <c r="M67" s="171"/>
    </row>
    <row r="68" spans="1:26" ht="18" customHeight="1">
      <c r="A68" s="326"/>
      <c r="B68" s="80"/>
      <c r="C68" s="9" t="s">
        <v>1732</v>
      </c>
      <c r="K68" s="171" t="s">
        <v>14</v>
      </c>
      <c r="L68" s="171"/>
      <c r="M68" s="171"/>
    </row>
    <row r="69" spans="1:26" ht="18" customHeight="1">
      <c r="A69" s="326"/>
      <c r="C69" s="9" t="s">
        <v>1733</v>
      </c>
      <c r="K69" s="171" t="s">
        <v>14</v>
      </c>
      <c r="L69" s="171"/>
      <c r="M69" s="171"/>
    </row>
    <row r="70" spans="1:26" ht="18" customHeight="1" thickBot="1">
      <c r="A70" s="326"/>
      <c r="C70" s="9" t="s">
        <v>1734</v>
      </c>
      <c r="K70" s="171" t="s">
        <v>14</v>
      </c>
      <c r="L70" s="171"/>
      <c r="M70" s="171"/>
      <c r="N70" s="66" t="s">
        <v>18</v>
      </c>
      <c r="O70" s="2"/>
      <c r="P70" s="2"/>
      <c r="Q70" s="2"/>
      <c r="R70" s="3"/>
      <c r="S70" s="4"/>
      <c r="T70" s="3"/>
      <c r="U70" s="4"/>
      <c r="V70" s="3"/>
      <c r="W70" s="4"/>
      <c r="X70" s="3"/>
      <c r="Y70" s="4"/>
      <c r="Z70" s="2"/>
    </row>
    <row r="71" spans="1:26" ht="18" customHeight="1">
      <c r="A71" s="326"/>
      <c r="C71" s="9" t="s">
        <v>1735</v>
      </c>
      <c r="K71" s="171" t="s">
        <v>14</v>
      </c>
      <c r="L71" s="171"/>
      <c r="M71" s="171"/>
      <c r="N71" s="765" t="s">
        <v>19</v>
      </c>
      <c r="O71" s="755" t="s">
        <v>20</v>
      </c>
      <c r="P71" s="755" t="s">
        <v>21</v>
      </c>
      <c r="Q71" s="755" t="s">
        <v>16</v>
      </c>
      <c r="R71" s="5" t="s">
        <v>22</v>
      </c>
      <c r="S71" s="5"/>
      <c r="T71" s="5" t="s">
        <v>23</v>
      </c>
      <c r="U71" s="5"/>
      <c r="V71" s="5" t="s">
        <v>24</v>
      </c>
      <c r="W71" s="5"/>
      <c r="X71" s="5" t="s">
        <v>25</v>
      </c>
      <c r="Y71" s="5"/>
      <c r="Z71" s="755" t="s">
        <v>26</v>
      </c>
    </row>
    <row r="72" spans="1:26" ht="18" customHeight="1" thickBot="1">
      <c r="A72" s="326"/>
      <c r="C72" s="9" t="s">
        <v>1736</v>
      </c>
      <c r="K72" s="171" t="s">
        <v>14</v>
      </c>
      <c r="L72" s="171"/>
      <c r="M72" s="171"/>
      <c r="N72" s="766"/>
      <c r="O72" s="756"/>
      <c r="P72" s="756"/>
      <c r="Q72" s="756"/>
      <c r="R72" s="67" t="s">
        <v>27</v>
      </c>
      <c r="S72" s="67" t="s">
        <v>28</v>
      </c>
      <c r="T72" s="67" t="s">
        <v>27</v>
      </c>
      <c r="U72" s="67" t="s">
        <v>28</v>
      </c>
      <c r="V72" s="67" t="s">
        <v>27</v>
      </c>
      <c r="W72" s="67" t="s">
        <v>28</v>
      </c>
      <c r="X72" s="67" t="s">
        <v>27</v>
      </c>
      <c r="Y72" s="67" t="s">
        <v>28</v>
      </c>
      <c r="Z72" s="756"/>
    </row>
    <row r="73" spans="1:26" ht="18" customHeight="1" thickTop="1">
      <c r="A73" s="326"/>
      <c r="C73" s="9" t="s">
        <v>1765</v>
      </c>
      <c r="K73" s="171" t="s">
        <v>14</v>
      </c>
      <c r="L73" s="171"/>
      <c r="M73" s="171"/>
      <c r="N73" s="318" t="str">
        <f ca="1">"제 " &amp; Z73 &amp; " 호표  "&amp; OFFSET($A$1,MATCH(Z73,$A:$A,0)-1,1)</f>
        <v>제 1 호표  1.1. 현황조사 및 분석</v>
      </c>
      <c r="O73" s="221"/>
      <c r="P73" s="148"/>
      <c r="Q73" s="148"/>
      <c r="R73" s="149"/>
      <c r="S73" s="149"/>
      <c r="T73" s="149"/>
      <c r="U73" s="149"/>
      <c r="V73" s="149"/>
      <c r="W73" s="149"/>
      <c r="X73" s="149"/>
      <c r="Y73" s="149"/>
      <c r="Z73" s="325">
        <v>1</v>
      </c>
    </row>
    <row r="74" spans="1:26" ht="18" customHeight="1">
      <c r="A74" s="326"/>
      <c r="C74" s="9"/>
      <c r="K74" s="171" t="s">
        <v>14</v>
      </c>
      <c r="L74" s="171"/>
      <c r="M74" s="171"/>
      <c r="N74" s="140" t="s">
        <v>43</v>
      </c>
      <c r="O74" s="172">
        <v>3</v>
      </c>
      <c r="P74" s="219">
        <f ca="1">OFFSET($A$1,MATCH(Z73,$A:$A,0)-1,O74)</f>
        <v>0.6</v>
      </c>
      <c r="Q74" s="141" t="s">
        <v>29</v>
      </c>
      <c r="R74" s="142">
        <f t="shared" ref="R74:S79" ca="1" si="8">T74</f>
        <v>467217</v>
      </c>
      <c r="S74" s="142">
        <f t="shared" ca="1" si="8"/>
        <v>280330</v>
      </c>
      <c r="T74" s="142">
        <f ca="1">기술사</f>
        <v>467217</v>
      </c>
      <c r="U74" s="142">
        <f t="shared" ref="U74:U79" ca="1" si="9">ROUNDDOWN(P74*R74,0)</f>
        <v>280330</v>
      </c>
      <c r="V74" s="142"/>
      <c r="W74" s="142"/>
      <c r="X74" s="142"/>
      <c r="Y74" s="142"/>
      <c r="Z74" s="114"/>
    </row>
    <row r="75" spans="1:26" ht="18" customHeight="1">
      <c r="A75" s="326"/>
      <c r="K75" s="171" t="s">
        <v>14</v>
      </c>
      <c r="L75" s="171"/>
      <c r="M75" s="171"/>
      <c r="N75" s="143" t="s">
        <v>32</v>
      </c>
      <c r="O75" s="173">
        <v>4</v>
      </c>
      <c r="P75" s="234">
        <f ca="1">OFFSET($A$1,MATCH(Z73,$A:$A,0)-1,O75)</f>
        <v>1.8</v>
      </c>
      <c r="Q75" s="144" t="s">
        <v>29</v>
      </c>
      <c r="R75" s="118">
        <f t="shared" ca="1" si="8"/>
        <v>373353</v>
      </c>
      <c r="S75" s="118">
        <f t="shared" ca="1" si="8"/>
        <v>672035</v>
      </c>
      <c r="T75" s="118">
        <f ca="1">특급</f>
        <v>373353</v>
      </c>
      <c r="U75" s="118">
        <f t="shared" ca="1" si="9"/>
        <v>672035</v>
      </c>
      <c r="V75" s="118"/>
      <c r="W75" s="118"/>
      <c r="X75" s="118"/>
      <c r="Y75" s="118"/>
      <c r="Z75" s="115"/>
    </row>
    <row r="76" spans="1:26" ht="18" customHeight="1">
      <c r="A76" s="326"/>
      <c r="K76" s="171" t="s">
        <v>14</v>
      </c>
      <c r="L76" s="171"/>
      <c r="M76" s="171"/>
      <c r="N76" s="145" t="s">
        <v>39</v>
      </c>
      <c r="O76" s="173">
        <v>5</v>
      </c>
      <c r="P76" s="234">
        <f ca="1">OFFSET($A$1,MATCH(Z73,$A:$A,0)-1,O76)</f>
        <v>5</v>
      </c>
      <c r="Q76" s="144" t="s">
        <v>29</v>
      </c>
      <c r="R76" s="118">
        <f t="shared" ca="1" si="8"/>
        <v>310884</v>
      </c>
      <c r="S76" s="118">
        <f t="shared" ca="1" si="8"/>
        <v>1554420</v>
      </c>
      <c r="T76" s="118">
        <f ca="1">고급</f>
        <v>310884</v>
      </c>
      <c r="U76" s="118">
        <f t="shared" ca="1" si="9"/>
        <v>1554420</v>
      </c>
      <c r="V76" s="118"/>
      <c r="W76" s="118"/>
      <c r="X76" s="118"/>
      <c r="Y76" s="118"/>
      <c r="Z76" s="115"/>
    </row>
    <row r="77" spans="1:26" ht="18" customHeight="1">
      <c r="A77" s="326"/>
      <c r="K77" s="171" t="s">
        <v>14</v>
      </c>
      <c r="L77" s="171"/>
      <c r="M77" s="171"/>
      <c r="N77" s="145" t="s">
        <v>40</v>
      </c>
      <c r="O77" s="173">
        <v>6</v>
      </c>
      <c r="P77" s="234">
        <f ca="1">OFFSET($A$1,MATCH(Z73,$A:$A,0)-1,O77)</f>
        <v>5.3</v>
      </c>
      <c r="Q77" s="144" t="s">
        <v>29</v>
      </c>
      <c r="R77" s="118">
        <f t="shared" ca="1" si="8"/>
        <v>295138</v>
      </c>
      <c r="S77" s="118">
        <f t="shared" ca="1" si="8"/>
        <v>1564231</v>
      </c>
      <c r="T77" s="118">
        <f ca="1">중급</f>
        <v>295138</v>
      </c>
      <c r="U77" s="118">
        <f t="shared" ca="1" si="9"/>
        <v>1564231</v>
      </c>
      <c r="V77" s="118"/>
      <c r="W77" s="118"/>
      <c r="X77" s="118"/>
      <c r="Y77" s="118"/>
      <c r="Z77" s="115"/>
    </row>
    <row r="78" spans="1:26" ht="18" customHeight="1">
      <c r="A78" s="326"/>
      <c r="K78" s="171" t="s">
        <v>14</v>
      </c>
      <c r="L78" s="171"/>
      <c r="M78" s="171"/>
      <c r="N78" s="145" t="s">
        <v>41</v>
      </c>
      <c r="O78" s="173">
        <v>7</v>
      </c>
      <c r="P78" s="234">
        <f ca="1">OFFSET($A$1,MATCH(Z73,$A:$A,0)-1,O78)</f>
        <v>13.9</v>
      </c>
      <c r="Q78" s="144" t="s">
        <v>29</v>
      </c>
      <c r="R78" s="118">
        <f t="shared" ca="1" si="8"/>
        <v>235459</v>
      </c>
      <c r="S78" s="118">
        <f t="shared" ca="1" si="8"/>
        <v>3272880</v>
      </c>
      <c r="T78" s="118">
        <f ca="1">초급</f>
        <v>235459</v>
      </c>
      <c r="U78" s="118">
        <f t="shared" ca="1" si="9"/>
        <v>3272880</v>
      </c>
      <c r="V78" s="118"/>
      <c r="W78" s="118"/>
      <c r="X78" s="118"/>
      <c r="Y78" s="118"/>
      <c r="Z78" s="115"/>
    </row>
    <row r="79" spans="1:26" ht="18" customHeight="1">
      <c r="A79" s="326"/>
      <c r="K79" s="171" t="s">
        <v>14</v>
      </c>
      <c r="L79" s="171"/>
      <c r="M79" s="171"/>
      <c r="N79" s="319" t="s">
        <v>42</v>
      </c>
      <c r="O79" s="174">
        <v>8</v>
      </c>
      <c r="P79" s="235">
        <f ca="1">OFFSET($A$1,MATCH(Z73,$A:$A,0)-1,O79)</f>
        <v>13.9</v>
      </c>
      <c r="Q79" s="322" t="s">
        <v>29</v>
      </c>
      <c r="R79" s="323">
        <f t="shared" ca="1" si="8"/>
        <v>250087</v>
      </c>
      <c r="S79" s="323">
        <f t="shared" ca="1" si="8"/>
        <v>3476209</v>
      </c>
      <c r="T79" s="323">
        <f ca="1">보조원</f>
        <v>250087</v>
      </c>
      <c r="U79" s="323">
        <f t="shared" ca="1" si="9"/>
        <v>3476209</v>
      </c>
      <c r="V79" s="323"/>
      <c r="W79" s="323"/>
      <c r="X79" s="323"/>
      <c r="Y79" s="323"/>
      <c r="Z79" s="324"/>
    </row>
    <row r="80" spans="1:26" ht="18" customHeight="1">
      <c r="A80" s="326"/>
      <c r="K80" s="171" t="s">
        <v>14</v>
      </c>
      <c r="L80" s="171"/>
      <c r="M80" s="171"/>
      <c r="N80" s="139" t="s">
        <v>17</v>
      </c>
      <c r="O80" s="68"/>
      <c r="P80" s="69"/>
      <c r="Q80" s="70"/>
      <c r="R80" s="71"/>
      <c r="S80" s="71">
        <f ca="1">SUBTOTAL(9,S74:S79)</f>
        <v>10820105</v>
      </c>
      <c r="T80" s="71"/>
      <c r="U80" s="71">
        <f ca="1">SUBTOTAL(9,U74:U79)</f>
        <v>10820105</v>
      </c>
      <c r="V80" s="71"/>
      <c r="W80" s="71"/>
      <c r="X80" s="71"/>
      <c r="Y80" s="71"/>
      <c r="Z80" s="68"/>
    </row>
    <row r="81" spans="11:26" ht="18" customHeight="1">
      <c r="K81" s="171" t="s">
        <v>14</v>
      </c>
      <c r="L81" s="171"/>
      <c r="M81" s="171"/>
      <c r="N81" s="318" t="str">
        <f ca="1">"제 " &amp; Z81 &amp; " 호표  "&amp; OFFSET($A$1,MATCH(Z81,$A:$A,0)-1,1)</f>
        <v>제 2 호표  1.2. 개발정비조건 및 계획내용 설정</v>
      </c>
      <c r="O81" s="221"/>
      <c r="P81" s="148"/>
      <c r="Q81" s="148"/>
      <c r="R81" s="149"/>
      <c r="S81" s="149"/>
      <c r="T81" s="149"/>
      <c r="U81" s="149"/>
      <c r="V81" s="149"/>
      <c r="W81" s="149"/>
      <c r="X81" s="149"/>
      <c r="Y81" s="149"/>
      <c r="Z81" s="325">
        <f>Z73+1</f>
        <v>2</v>
      </c>
    </row>
    <row r="82" spans="11:26" ht="18" customHeight="1">
      <c r="K82" s="171" t="s">
        <v>14</v>
      </c>
      <c r="L82" s="171"/>
      <c r="M82" s="171"/>
      <c r="N82" s="140" t="s">
        <v>43</v>
      </c>
      <c r="O82" s="172">
        <v>3</v>
      </c>
      <c r="P82" s="219">
        <f ca="1">OFFSET($A$1,MATCH(Z81,$A:$A,0)-1,O82)</f>
        <v>0.8</v>
      </c>
      <c r="Q82" s="141" t="s">
        <v>29</v>
      </c>
      <c r="R82" s="142">
        <f t="shared" ref="R82:S87" ca="1" si="10">T82</f>
        <v>467217</v>
      </c>
      <c r="S82" s="142">
        <f t="shared" ca="1" si="10"/>
        <v>373773</v>
      </c>
      <c r="T82" s="142">
        <f ca="1">기술사</f>
        <v>467217</v>
      </c>
      <c r="U82" s="142">
        <f t="shared" ref="U82:U87" ca="1" si="11">ROUNDDOWN(P82*R82,0)</f>
        <v>373773</v>
      </c>
      <c r="V82" s="142"/>
      <c r="W82" s="142"/>
      <c r="X82" s="142"/>
      <c r="Y82" s="142"/>
      <c r="Z82" s="114"/>
    </row>
    <row r="83" spans="11:26" ht="18" customHeight="1">
      <c r="K83" s="171" t="s">
        <v>14</v>
      </c>
      <c r="L83" s="171"/>
      <c r="M83" s="171"/>
      <c r="N83" s="143" t="s">
        <v>32</v>
      </c>
      <c r="O83" s="173">
        <v>4</v>
      </c>
      <c r="P83" s="234">
        <f ca="1">OFFSET($A$1,MATCH(Z81,$A:$A,0)-1,O83)</f>
        <v>1.6</v>
      </c>
      <c r="Q83" s="144" t="s">
        <v>29</v>
      </c>
      <c r="R83" s="118">
        <f t="shared" ca="1" si="10"/>
        <v>373353</v>
      </c>
      <c r="S83" s="118">
        <f t="shared" ca="1" si="10"/>
        <v>597364</v>
      </c>
      <c r="T83" s="118">
        <f ca="1">특급</f>
        <v>373353</v>
      </c>
      <c r="U83" s="118">
        <f t="shared" ca="1" si="11"/>
        <v>597364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39</v>
      </c>
      <c r="O84" s="173">
        <v>5</v>
      </c>
      <c r="P84" s="234">
        <f ca="1">OFFSET($A$1,MATCH(Z81,$A:$A,0)-1,O84)</f>
        <v>4</v>
      </c>
      <c r="Q84" s="144" t="s">
        <v>29</v>
      </c>
      <c r="R84" s="118">
        <f t="shared" ca="1" si="10"/>
        <v>310884</v>
      </c>
      <c r="S84" s="118">
        <f t="shared" ca="1" si="10"/>
        <v>1243536</v>
      </c>
      <c r="T84" s="118">
        <f ca="1">고급</f>
        <v>310884</v>
      </c>
      <c r="U84" s="118">
        <f t="shared" ca="1" si="11"/>
        <v>1243536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145" t="s">
        <v>40</v>
      </c>
      <c r="O85" s="173">
        <v>6</v>
      </c>
      <c r="P85" s="234">
        <f ca="1">OFFSET($A$1,MATCH(Z81,$A:$A,0)-1,O85)</f>
        <v>4.2</v>
      </c>
      <c r="Q85" s="144" t="s">
        <v>29</v>
      </c>
      <c r="R85" s="118">
        <f t="shared" ca="1" si="10"/>
        <v>295138</v>
      </c>
      <c r="S85" s="118">
        <f t="shared" ca="1" si="10"/>
        <v>1239579</v>
      </c>
      <c r="T85" s="118">
        <f ca="1">중급</f>
        <v>295138</v>
      </c>
      <c r="U85" s="118">
        <f t="shared" ca="1" si="11"/>
        <v>1239579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145" t="s">
        <v>41</v>
      </c>
      <c r="O86" s="173">
        <v>7</v>
      </c>
      <c r="P86" s="234">
        <f ca="1">OFFSET($A$1,MATCH(Z81,$A:$A,0)-1,O86)</f>
        <v>6</v>
      </c>
      <c r="Q86" s="144" t="s">
        <v>29</v>
      </c>
      <c r="R86" s="118">
        <f t="shared" ca="1" si="10"/>
        <v>235459</v>
      </c>
      <c r="S86" s="118">
        <f t="shared" ca="1" si="10"/>
        <v>1412754</v>
      </c>
      <c r="T86" s="118">
        <f ca="1">초급</f>
        <v>235459</v>
      </c>
      <c r="U86" s="118">
        <f t="shared" ca="1" si="11"/>
        <v>1412754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319" t="s">
        <v>42</v>
      </c>
      <c r="O87" s="174">
        <v>8</v>
      </c>
      <c r="P87" s="235">
        <f ca="1">OFFSET($A$1,MATCH(Z81,$A:$A,0)-1,O87)</f>
        <v>7.7</v>
      </c>
      <c r="Q87" s="322" t="s">
        <v>29</v>
      </c>
      <c r="R87" s="323">
        <f t="shared" ca="1" si="10"/>
        <v>250087</v>
      </c>
      <c r="S87" s="323">
        <f t="shared" ca="1" si="10"/>
        <v>1925669</v>
      </c>
      <c r="T87" s="323">
        <f ca="1">보조원</f>
        <v>250087</v>
      </c>
      <c r="U87" s="323">
        <f t="shared" ca="1" si="11"/>
        <v>1925669</v>
      </c>
      <c r="V87" s="323"/>
      <c r="W87" s="323"/>
      <c r="X87" s="323"/>
      <c r="Y87" s="323"/>
      <c r="Z87" s="324"/>
    </row>
    <row r="88" spans="11:26" ht="18" customHeight="1">
      <c r="K88" s="171" t="s">
        <v>14</v>
      </c>
      <c r="L88" s="171"/>
      <c r="M88" s="171"/>
      <c r="N88" s="139" t="s">
        <v>17</v>
      </c>
      <c r="O88" s="68"/>
      <c r="P88" s="69"/>
      <c r="Q88" s="70"/>
      <c r="R88" s="71"/>
      <c r="S88" s="71">
        <f ca="1">SUBTOTAL(9,S82:S87)</f>
        <v>6792675</v>
      </c>
      <c r="T88" s="71"/>
      <c r="U88" s="71">
        <f ca="1">SUBTOTAL(9,U82:U87)</f>
        <v>6792675</v>
      </c>
      <c r="V88" s="71"/>
      <c r="W88" s="71"/>
      <c r="X88" s="71"/>
      <c r="Y88" s="71"/>
      <c r="Z88" s="68"/>
    </row>
    <row r="89" spans="11:26" ht="18" customHeight="1">
      <c r="K89" s="171" t="s">
        <v>14</v>
      </c>
      <c r="L89" s="171"/>
      <c r="M89" s="171"/>
      <c r="N89" s="318" t="str">
        <f ca="1">"제 " &amp; Z89 &amp; " 호표  "&amp; OFFSET($A$1,MATCH(Z89,$A:$A,0)-1,1)</f>
        <v>제 3 호표  1.3. 유치시설 검토</v>
      </c>
      <c r="O89" s="221"/>
      <c r="P89" s="148"/>
      <c r="Q89" s="148"/>
      <c r="R89" s="149"/>
      <c r="S89" s="149"/>
      <c r="T89" s="149"/>
      <c r="U89" s="149"/>
      <c r="V89" s="149"/>
      <c r="W89" s="149"/>
      <c r="X89" s="149"/>
      <c r="Y89" s="149"/>
      <c r="Z89" s="325">
        <f>Z81+1</f>
        <v>3</v>
      </c>
    </row>
    <row r="90" spans="11:26" ht="18" customHeight="1">
      <c r="K90" s="171" t="s">
        <v>14</v>
      </c>
      <c r="L90" s="171"/>
      <c r="M90" s="171"/>
      <c r="N90" s="140" t="s">
        <v>43</v>
      </c>
      <c r="O90" s="172">
        <v>3</v>
      </c>
      <c r="P90" s="219">
        <f ca="1">OFFSET($A$1,MATCH(Z89,$A:$A,0)-1,O90)</f>
        <v>0.7</v>
      </c>
      <c r="Q90" s="141" t="s">
        <v>29</v>
      </c>
      <c r="R90" s="142">
        <f t="shared" ref="R90:S95" ca="1" si="12">T90</f>
        <v>467217</v>
      </c>
      <c r="S90" s="142">
        <f t="shared" ca="1" si="12"/>
        <v>327051</v>
      </c>
      <c r="T90" s="142">
        <f ca="1">기술사</f>
        <v>467217</v>
      </c>
      <c r="U90" s="142">
        <f t="shared" ref="U90:U95" ca="1" si="13">ROUNDDOWN(P90*R90,0)</f>
        <v>327051</v>
      </c>
      <c r="V90" s="142"/>
      <c r="W90" s="142"/>
      <c r="X90" s="142"/>
      <c r="Y90" s="142"/>
      <c r="Z90" s="114"/>
    </row>
    <row r="91" spans="11:26" ht="18" customHeight="1">
      <c r="K91" s="171" t="s">
        <v>14</v>
      </c>
      <c r="L91" s="171"/>
      <c r="M91" s="171"/>
      <c r="N91" s="143" t="s">
        <v>32</v>
      </c>
      <c r="O91" s="173">
        <v>4</v>
      </c>
      <c r="P91" s="234">
        <f ca="1">OFFSET($A$1,MATCH(Z89,$A:$A,0)-1,O91)</f>
        <v>1.2</v>
      </c>
      <c r="Q91" s="144" t="s">
        <v>29</v>
      </c>
      <c r="R91" s="118">
        <f t="shared" ca="1" si="12"/>
        <v>373353</v>
      </c>
      <c r="S91" s="118">
        <f t="shared" ca="1" si="12"/>
        <v>448023</v>
      </c>
      <c r="T91" s="118">
        <f ca="1">특급</f>
        <v>373353</v>
      </c>
      <c r="U91" s="118">
        <f t="shared" ca="1" si="13"/>
        <v>448023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39</v>
      </c>
      <c r="O92" s="173">
        <v>5</v>
      </c>
      <c r="P92" s="234">
        <f ca="1">OFFSET($A$1,MATCH(Z89,$A:$A,0)-1,O92)</f>
        <v>2.9</v>
      </c>
      <c r="Q92" s="144" t="s">
        <v>29</v>
      </c>
      <c r="R92" s="118">
        <f t="shared" ca="1" si="12"/>
        <v>310884</v>
      </c>
      <c r="S92" s="118">
        <f t="shared" ca="1" si="12"/>
        <v>901563</v>
      </c>
      <c r="T92" s="118">
        <f ca="1">고급</f>
        <v>310884</v>
      </c>
      <c r="U92" s="118">
        <f t="shared" ca="1" si="13"/>
        <v>901563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145" t="s">
        <v>40</v>
      </c>
      <c r="O93" s="173">
        <v>6</v>
      </c>
      <c r="P93" s="234">
        <f ca="1">OFFSET($A$1,MATCH(Z89,$A:$A,0)-1,O93)</f>
        <v>2.6</v>
      </c>
      <c r="Q93" s="144" t="s">
        <v>29</v>
      </c>
      <c r="R93" s="118">
        <f t="shared" ca="1" si="12"/>
        <v>295138</v>
      </c>
      <c r="S93" s="118">
        <f t="shared" ca="1" si="12"/>
        <v>767358</v>
      </c>
      <c r="T93" s="118">
        <f ca="1">중급</f>
        <v>295138</v>
      </c>
      <c r="U93" s="118">
        <f t="shared" ca="1" si="13"/>
        <v>767358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145" t="s">
        <v>41</v>
      </c>
      <c r="O94" s="173">
        <v>7</v>
      </c>
      <c r="P94" s="234">
        <f ca="1">OFFSET($A$1,MATCH(Z89,$A:$A,0)-1,O94)</f>
        <v>7.4</v>
      </c>
      <c r="Q94" s="144" t="s">
        <v>29</v>
      </c>
      <c r="R94" s="118">
        <f t="shared" ca="1" si="12"/>
        <v>235459</v>
      </c>
      <c r="S94" s="118">
        <f t="shared" ca="1" si="12"/>
        <v>1742396</v>
      </c>
      <c r="T94" s="118">
        <f ca="1">초급</f>
        <v>235459</v>
      </c>
      <c r="U94" s="118">
        <f t="shared" ca="1" si="13"/>
        <v>1742396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319" t="s">
        <v>42</v>
      </c>
      <c r="O95" s="174">
        <v>8</v>
      </c>
      <c r="P95" s="235">
        <f ca="1">OFFSET($A$1,MATCH(Z89,$A:$A,0)-1,O95)</f>
        <v>7.4</v>
      </c>
      <c r="Q95" s="322" t="s">
        <v>29</v>
      </c>
      <c r="R95" s="323">
        <f t="shared" ca="1" si="12"/>
        <v>250087</v>
      </c>
      <c r="S95" s="323">
        <f t="shared" ca="1" si="12"/>
        <v>1850643</v>
      </c>
      <c r="T95" s="323">
        <f ca="1">보조원</f>
        <v>250087</v>
      </c>
      <c r="U95" s="323">
        <f t="shared" ca="1" si="13"/>
        <v>1850643</v>
      </c>
      <c r="V95" s="323"/>
      <c r="W95" s="323"/>
      <c r="X95" s="323"/>
      <c r="Y95" s="323"/>
      <c r="Z95" s="324"/>
    </row>
    <row r="96" spans="11:26" ht="18" customHeight="1">
      <c r="K96" s="171" t="s">
        <v>14</v>
      </c>
      <c r="L96" s="171"/>
      <c r="M96" s="171"/>
      <c r="N96" s="139" t="s">
        <v>17</v>
      </c>
      <c r="O96" s="68"/>
      <c r="P96" s="69"/>
      <c r="Q96" s="70"/>
      <c r="R96" s="71"/>
      <c r="S96" s="71">
        <f ca="1">SUBTOTAL(9,S90:S95)</f>
        <v>6037034</v>
      </c>
      <c r="T96" s="71"/>
      <c r="U96" s="71">
        <f ca="1">SUBTOTAL(9,U90:U95)</f>
        <v>6037034</v>
      </c>
      <c r="V96" s="71"/>
      <c r="W96" s="71"/>
      <c r="X96" s="71"/>
      <c r="Y96" s="71"/>
      <c r="Z96" s="68"/>
    </row>
    <row r="97" spans="11:26" ht="18" customHeight="1">
      <c r="K97" s="171" t="s">
        <v>14</v>
      </c>
      <c r="L97" s="171"/>
      <c r="M97" s="171"/>
      <c r="N97" s="318" t="str">
        <f ca="1">"제 " &amp; Z97 &amp; " 호표  "&amp; OFFSET($A$1,MATCH(Z97,$A:$A,0)-1,1)</f>
        <v>제 4 호표  1.4. 유치업종 원단위 및 규모설정</v>
      </c>
      <c r="O97" s="221"/>
      <c r="P97" s="148"/>
      <c r="Q97" s="148"/>
      <c r="R97" s="149"/>
      <c r="S97" s="149"/>
      <c r="T97" s="149"/>
      <c r="U97" s="149"/>
      <c r="V97" s="149"/>
      <c r="W97" s="149"/>
      <c r="X97" s="149"/>
      <c r="Y97" s="149"/>
      <c r="Z97" s="325">
        <f>Z89+1</f>
        <v>4</v>
      </c>
    </row>
    <row r="98" spans="11:26" ht="18" customHeight="1">
      <c r="K98" s="171" t="s">
        <v>14</v>
      </c>
      <c r="L98" s="171"/>
      <c r="M98" s="171"/>
      <c r="N98" s="140" t="s">
        <v>43</v>
      </c>
      <c r="O98" s="172">
        <v>3</v>
      </c>
      <c r="P98" s="219">
        <f ca="1">OFFSET($A$1,MATCH(Z97,$A:$A,0)-1,O98)</f>
        <v>0.8</v>
      </c>
      <c r="Q98" s="141" t="s">
        <v>29</v>
      </c>
      <c r="R98" s="142">
        <f t="shared" ref="R98:S103" ca="1" si="14">T98</f>
        <v>467217</v>
      </c>
      <c r="S98" s="142">
        <f t="shared" ca="1" si="14"/>
        <v>373773</v>
      </c>
      <c r="T98" s="142">
        <f ca="1">기술사</f>
        <v>467217</v>
      </c>
      <c r="U98" s="142">
        <f t="shared" ref="U98:U103" ca="1" si="15">ROUNDDOWN(P98*R98,0)</f>
        <v>373773</v>
      </c>
      <c r="V98" s="142"/>
      <c r="W98" s="142"/>
      <c r="X98" s="142"/>
      <c r="Y98" s="142"/>
      <c r="Z98" s="114"/>
    </row>
    <row r="99" spans="11:26" ht="18" customHeight="1">
      <c r="K99" s="171" t="s">
        <v>14</v>
      </c>
      <c r="L99" s="171"/>
      <c r="M99" s="171"/>
      <c r="N99" s="143" t="s">
        <v>32</v>
      </c>
      <c r="O99" s="173">
        <v>4</v>
      </c>
      <c r="P99" s="234">
        <f ca="1">OFFSET($A$1,MATCH(Z97,$A:$A,0)-1,O99)</f>
        <v>1.1000000000000001</v>
      </c>
      <c r="Q99" s="144" t="s">
        <v>29</v>
      </c>
      <c r="R99" s="118">
        <f t="shared" ca="1" si="14"/>
        <v>373353</v>
      </c>
      <c r="S99" s="118">
        <f t="shared" ca="1" si="14"/>
        <v>410688</v>
      </c>
      <c r="T99" s="118">
        <f ca="1">특급</f>
        <v>373353</v>
      </c>
      <c r="U99" s="118">
        <f t="shared" ca="1" si="15"/>
        <v>410688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39</v>
      </c>
      <c r="O100" s="173">
        <v>5</v>
      </c>
      <c r="P100" s="234">
        <f ca="1">OFFSET($A$1,MATCH(Z97,$A:$A,0)-1,O100)</f>
        <v>2.9</v>
      </c>
      <c r="Q100" s="144" t="s">
        <v>29</v>
      </c>
      <c r="R100" s="118">
        <f t="shared" ca="1" si="14"/>
        <v>310884</v>
      </c>
      <c r="S100" s="118">
        <f t="shared" ca="1" si="14"/>
        <v>901563</v>
      </c>
      <c r="T100" s="118">
        <f ca="1">고급</f>
        <v>310884</v>
      </c>
      <c r="U100" s="118">
        <f t="shared" ca="1" si="15"/>
        <v>901563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40</v>
      </c>
      <c r="O101" s="173">
        <v>6</v>
      </c>
      <c r="P101" s="234">
        <f ca="1">OFFSET($A$1,MATCH(Z97,$A:$A,0)-1,O101)</f>
        <v>2.6</v>
      </c>
      <c r="Q101" s="144" t="s">
        <v>29</v>
      </c>
      <c r="R101" s="118">
        <f t="shared" ca="1" si="14"/>
        <v>295138</v>
      </c>
      <c r="S101" s="118">
        <f t="shared" ca="1" si="14"/>
        <v>767358</v>
      </c>
      <c r="T101" s="118">
        <f ca="1">중급</f>
        <v>295138</v>
      </c>
      <c r="U101" s="118">
        <f t="shared" ca="1" si="15"/>
        <v>767358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145" t="s">
        <v>41</v>
      </c>
      <c r="O102" s="173">
        <v>7</v>
      </c>
      <c r="P102" s="234">
        <f ca="1">OFFSET($A$1,MATCH(Z97,$A:$A,0)-1,O102)</f>
        <v>7.5</v>
      </c>
      <c r="Q102" s="144" t="s">
        <v>29</v>
      </c>
      <c r="R102" s="118">
        <f t="shared" ca="1" si="14"/>
        <v>235459</v>
      </c>
      <c r="S102" s="118">
        <f t="shared" ca="1" si="14"/>
        <v>1765942</v>
      </c>
      <c r="T102" s="118">
        <f ca="1">초급</f>
        <v>235459</v>
      </c>
      <c r="U102" s="118">
        <f t="shared" ca="1" si="15"/>
        <v>1765942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319" t="s">
        <v>42</v>
      </c>
      <c r="O103" s="174">
        <v>8</v>
      </c>
      <c r="P103" s="235">
        <f ca="1">OFFSET($A$1,MATCH(Z97,$A:$A,0)-1,O103)</f>
        <v>7.5</v>
      </c>
      <c r="Q103" s="322" t="s">
        <v>29</v>
      </c>
      <c r="R103" s="323">
        <f t="shared" ca="1" si="14"/>
        <v>250087</v>
      </c>
      <c r="S103" s="323">
        <f t="shared" ca="1" si="14"/>
        <v>1875652</v>
      </c>
      <c r="T103" s="323">
        <f ca="1">보조원</f>
        <v>250087</v>
      </c>
      <c r="U103" s="323">
        <f t="shared" ca="1" si="15"/>
        <v>1875652</v>
      </c>
      <c r="V103" s="323"/>
      <c r="W103" s="323"/>
      <c r="X103" s="323"/>
      <c r="Y103" s="323"/>
      <c r="Z103" s="324"/>
    </row>
    <row r="104" spans="11:26" ht="18" customHeight="1">
      <c r="K104" s="171" t="s">
        <v>14</v>
      </c>
      <c r="L104" s="171"/>
      <c r="M104" s="171"/>
      <c r="N104" s="139" t="s">
        <v>17</v>
      </c>
      <c r="O104" s="68"/>
      <c r="P104" s="69"/>
      <c r="Q104" s="70"/>
      <c r="R104" s="71"/>
      <c r="S104" s="71">
        <f ca="1">SUBTOTAL(9,S98:S103)</f>
        <v>6094976</v>
      </c>
      <c r="T104" s="71"/>
      <c r="U104" s="71">
        <f ca="1">SUBTOTAL(9,U98:U103)</f>
        <v>6094976</v>
      </c>
      <c r="V104" s="71"/>
      <c r="W104" s="71"/>
      <c r="X104" s="71"/>
      <c r="Y104" s="71"/>
      <c r="Z104" s="68"/>
    </row>
    <row r="105" spans="11:26" ht="18" customHeight="1">
      <c r="K105" s="171" t="s">
        <v>14</v>
      </c>
      <c r="L105" s="171"/>
      <c r="M105" s="171"/>
      <c r="N105" s="318" t="str">
        <f ca="1">"제 " &amp; Z105 &amp; " 호표  "&amp; OFFSET($A$1,MATCH(Z105,$A:$A,0)-1,1)</f>
        <v>제 5 호표  1.5. 구상안 작성</v>
      </c>
      <c r="O105" s="221"/>
      <c r="P105" s="148"/>
      <c r="Q105" s="148"/>
      <c r="R105" s="149"/>
      <c r="S105" s="149"/>
      <c r="T105" s="149"/>
      <c r="U105" s="149"/>
      <c r="V105" s="149"/>
      <c r="W105" s="149"/>
      <c r="X105" s="149"/>
      <c r="Y105" s="149"/>
      <c r="Z105" s="325">
        <f>Z97+1</f>
        <v>5</v>
      </c>
    </row>
    <row r="106" spans="11:26" ht="18" customHeight="1">
      <c r="K106" s="171" t="s">
        <v>14</v>
      </c>
      <c r="L106" s="171"/>
      <c r="M106" s="171"/>
      <c r="N106" s="140" t="s">
        <v>43</v>
      </c>
      <c r="O106" s="172">
        <v>3</v>
      </c>
      <c r="P106" s="219">
        <f ca="1">OFFSET($A$1,MATCH(Z105,$A:$A,0)-1,O106)</f>
        <v>1.2</v>
      </c>
      <c r="Q106" s="141" t="s">
        <v>29</v>
      </c>
      <c r="R106" s="142">
        <f t="shared" ref="R106:S111" ca="1" si="16">T106</f>
        <v>467217</v>
      </c>
      <c r="S106" s="142">
        <f t="shared" ca="1" si="16"/>
        <v>560660</v>
      </c>
      <c r="T106" s="142">
        <f ca="1">기술사</f>
        <v>467217</v>
      </c>
      <c r="U106" s="142">
        <f t="shared" ref="U106:U111" ca="1" si="17">ROUNDDOWN(P106*R106,0)</f>
        <v>560660</v>
      </c>
      <c r="V106" s="142"/>
      <c r="W106" s="142"/>
      <c r="X106" s="142"/>
      <c r="Y106" s="142"/>
      <c r="Z106" s="114"/>
    </row>
    <row r="107" spans="11:26" ht="18" customHeight="1">
      <c r="K107" s="171" t="s">
        <v>14</v>
      </c>
      <c r="L107" s="171"/>
      <c r="M107" s="171"/>
      <c r="N107" s="143" t="s">
        <v>32</v>
      </c>
      <c r="O107" s="173">
        <v>4</v>
      </c>
      <c r="P107" s="234">
        <f ca="1">OFFSET($A$1,MATCH(Z105,$A:$A,0)-1,O107)</f>
        <v>2.8</v>
      </c>
      <c r="Q107" s="144" t="s">
        <v>29</v>
      </c>
      <c r="R107" s="118">
        <f t="shared" ca="1" si="16"/>
        <v>373353</v>
      </c>
      <c r="S107" s="118">
        <f t="shared" ca="1" si="16"/>
        <v>1045388</v>
      </c>
      <c r="T107" s="118">
        <f ca="1">특급</f>
        <v>373353</v>
      </c>
      <c r="U107" s="118">
        <f t="shared" ca="1" si="17"/>
        <v>1045388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39</v>
      </c>
      <c r="O108" s="173">
        <v>5</v>
      </c>
      <c r="P108" s="234">
        <f ca="1">OFFSET($A$1,MATCH(Z105,$A:$A,0)-1,O108)</f>
        <v>5</v>
      </c>
      <c r="Q108" s="144" t="s">
        <v>29</v>
      </c>
      <c r="R108" s="118">
        <f t="shared" ca="1" si="16"/>
        <v>310884</v>
      </c>
      <c r="S108" s="118">
        <f t="shared" ca="1" si="16"/>
        <v>1554420</v>
      </c>
      <c r="T108" s="118">
        <f ca="1">고급</f>
        <v>310884</v>
      </c>
      <c r="U108" s="118">
        <f t="shared" ca="1" si="17"/>
        <v>1554420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145" t="s">
        <v>40</v>
      </c>
      <c r="O109" s="173">
        <v>6</v>
      </c>
      <c r="P109" s="234">
        <f ca="1">OFFSET($A$1,MATCH(Z105,$A:$A,0)-1,O109)</f>
        <v>6.3</v>
      </c>
      <c r="Q109" s="144" t="s">
        <v>29</v>
      </c>
      <c r="R109" s="118">
        <f t="shared" ca="1" si="16"/>
        <v>295138</v>
      </c>
      <c r="S109" s="118">
        <f t="shared" ca="1" si="16"/>
        <v>1859369</v>
      </c>
      <c r="T109" s="118">
        <f ca="1">중급</f>
        <v>295138</v>
      </c>
      <c r="U109" s="118">
        <f t="shared" ca="1" si="17"/>
        <v>1859369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41</v>
      </c>
      <c r="O110" s="173">
        <v>7</v>
      </c>
      <c r="P110" s="234">
        <f ca="1">OFFSET($A$1,MATCH(Z105,$A:$A,0)-1,O110)</f>
        <v>7.3</v>
      </c>
      <c r="Q110" s="144" t="s">
        <v>29</v>
      </c>
      <c r="R110" s="118">
        <f t="shared" ca="1" si="16"/>
        <v>235459</v>
      </c>
      <c r="S110" s="118">
        <f t="shared" ca="1" si="16"/>
        <v>1718850</v>
      </c>
      <c r="T110" s="118">
        <f ca="1">초급</f>
        <v>235459</v>
      </c>
      <c r="U110" s="118">
        <f t="shared" ca="1" si="17"/>
        <v>1718850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319" t="s">
        <v>42</v>
      </c>
      <c r="O111" s="174">
        <v>8</v>
      </c>
      <c r="P111" s="235">
        <f ca="1">OFFSET($A$1,MATCH(Z105,$A:$A,0)-1,O111)</f>
        <v>7.3</v>
      </c>
      <c r="Q111" s="322" t="s">
        <v>29</v>
      </c>
      <c r="R111" s="323">
        <f t="shared" ca="1" si="16"/>
        <v>250087</v>
      </c>
      <c r="S111" s="323">
        <f t="shared" ca="1" si="16"/>
        <v>1825635</v>
      </c>
      <c r="T111" s="323">
        <f ca="1">보조원</f>
        <v>250087</v>
      </c>
      <c r="U111" s="323">
        <f t="shared" ca="1" si="17"/>
        <v>1825635</v>
      </c>
      <c r="V111" s="323"/>
      <c r="W111" s="323"/>
      <c r="X111" s="323"/>
      <c r="Y111" s="323"/>
      <c r="Z111" s="324"/>
    </row>
    <row r="112" spans="11:26" ht="18" customHeight="1">
      <c r="K112" s="171" t="s">
        <v>14</v>
      </c>
      <c r="L112" s="171"/>
      <c r="M112" s="171"/>
      <c r="N112" s="139" t="s">
        <v>17</v>
      </c>
      <c r="O112" s="68"/>
      <c r="P112" s="69"/>
      <c r="Q112" s="70"/>
      <c r="R112" s="71"/>
      <c r="S112" s="71">
        <f ca="1">SUBTOTAL(9,S106:S111)</f>
        <v>8564322</v>
      </c>
      <c r="T112" s="71"/>
      <c r="U112" s="71">
        <f ca="1">SUBTOTAL(9,U106:U111)</f>
        <v>8564322</v>
      </c>
      <c r="V112" s="71"/>
      <c r="W112" s="71"/>
      <c r="X112" s="71"/>
      <c r="Y112" s="71"/>
      <c r="Z112" s="68"/>
    </row>
    <row r="113" spans="11:26" ht="18" customHeight="1">
      <c r="K113" s="171" t="s">
        <v>14</v>
      </c>
      <c r="L113" s="171"/>
      <c r="M113" s="171"/>
      <c r="N113" s="318" t="str">
        <f ca="1">"제 " &amp; Z113 &amp; " 호표  "&amp; OFFSET($A$1,MATCH(Z113,$A:$A,0)-1,1)</f>
        <v>제 6 호표  1.6. 유통단지망 구성</v>
      </c>
      <c r="O113" s="221"/>
      <c r="P113" s="148"/>
      <c r="Q113" s="148"/>
      <c r="R113" s="149"/>
      <c r="S113" s="149"/>
      <c r="T113" s="149"/>
      <c r="U113" s="149"/>
      <c r="V113" s="149"/>
      <c r="W113" s="149"/>
      <c r="X113" s="149"/>
      <c r="Y113" s="149"/>
      <c r="Z113" s="325">
        <f>Z105+1</f>
        <v>6</v>
      </c>
    </row>
    <row r="114" spans="11:26" ht="18" customHeight="1">
      <c r="K114" s="171" t="s">
        <v>14</v>
      </c>
      <c r="L114" s="171"/>
      <c r="M114" s="171"/>
      <c r="N114" s="140" t="s">
        <v>43</v>
      </c>
      <c r="O114" s="172">
        <v>3</v>
      </c>
      <c r="P114" s="219">
        <f ca="1">OFFSET($A$1,MATCH(Z113,$A:$A,0)-1,O114)</f>
        <v>1.1000000000000001</v>
      </c>
      <c r="Q114" s="141" t="s">
        <v>29</v>
      </c>
      <c r="R114" s="142">
        <f t="shared" ref="R114:S119" ca="1" si="18">T114</f>
        <v>467217</v>
      </c>
      <c r="S114" s="142">
        <f t="shared" ca="1" si="18"/>
        <v>513938</v>
      </c>
      <c r="T114" s="142">
        <f ca="1">기술사</f>
        <v>467217</v>
      </c>
      <c r="U114" s="142">
        <f t="shared" ref="U114:U119" ca="1" si="19">ROUNDDOWN(P114*R114,0)</f>
        <v>513938</v>
      </c>
      <c r="V114" s="142"/>
      <c r="W114" s="142"/>
      <c r="X114" s="142"/>
      <c r="Y114" s="142"/>
      <c r="Z114" s="114"/>
    </row>
    <row r="115" spans="11:26" ht="18" customHeight="1">
      <c r="K115" s="171" t="s">
        <v>14</v>
      </c>
      <c r="L115" s="171"/>
      <c r="M115" s="171"/>
      <c r="N115" s="143" t="s">
        <v>32</v>
      </c>
      <c r="O115" s="173">
        <v>4</v>
      </c>
      <c r="P115" s="234">
        <f ca="1">OFFSET($A$1,MATCH(Z113,$A:$A,0)-1,O115)</f>
        <v>1.2</v>
      </c>
      <c r="Q115" s="144" t="s">
        <v>29</v>
      </c>
      <c r="R115" s="118">
        <f t="shared" ca="1" si="18"/>
        <v>373353</v>
      </c>
      <c r="S115" s="118">
        <f t="shared" ca="1" si="18"/>
        <v>448023</v>
      </c>
      <c r="T115" s="118">
        <f ca="1">특급</f>
        <v>373353</v>
      </c>
      <c r="U115" s="118">
        <f t="shared" ca="1" si="19"/>
        <v>448023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39</v>
      </c>
      <c r="O116" s="173">
        <v>5</v>
      </c>
      <c r="P116" s="234">
        <f ca="1">OFFSET($A$1,MATCH(Z113,$A:$A,0)-1,O116)</f>
        <v>2.9</v>
      </c>
      <c r="Q116" s="144" t="s">
        <v>29</v>
      </c>
      <c r="R116" s="118">
        <f t="shared" ca="1" si="18"/>
        <v>310884</v>
      </c>
      <c r="S116" s="118">
        <f t="shared" ca="1" si="18"/>
        <v>901563</v>
      </c>
      <c r="T116" s="118">
        <f ca="1">고급</f>
        <v>310884</v>
      </c>
      <c r="U116" s="118">
        <f t="shared" ca="1" si="19"/>
        <v>901563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40</v>
      </c>
      <c r="O117" s="173">
        <v>6</v>
      </c>
      <c r="P117" s="234">
        <f ca="1">OFFSET($A$1,MATCH(Z113,$A:$A,0)-1,O117)</f>
        <v>2.6</v>
      </c>
      <c r="Q117" s="144" t="s">
        <v>29</v>
      </c>
      <c r="R117" s="118">
        <f t="shared" ca="1" si="18"/>
        <v>295138</v>
      </c>
      <c r="S117" s="118">
        <f t="shared" ca="1" si="18"/>
        <v>767358</v>
      </c>
      <c r="T117" s="118">
        <f ca="1">중급</f>
        <v>295138</v>
      </c>
      <c r="U117" s="118">
        <f t="shared" ca="1" si="19"/>
        <v>767358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41</v>
      </c>
      <c r="O118" s="173">
        <v>7</v>
      </c>
      <c r="P118" s="234">
        <f ca="1">OFFSET($A$1,MATCH(Z113,$A:$A,0)-1,O118)</f>
        <v>7.4</v>
      </c>
      <c r="Q118" s="144" t="s">
        <v>29</v>
      </c>
      <c r="R118" s="118">
        <f t="shared" ca="1" si="18"/>
        <v>235459</v>
      </c>
      <c r="S118" s="118">
        <f t="shared" ca="1" si="18"/>
        <v>1742396</v>
      </c>
      <c r="T118" s="118">
        <f ca="1">초급</f>
        <v>235459</v>
      </c>
      <c r="U118" s="118">
        <f t="shared" ca="1" si="19"/>
        <v>1742396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319" t="s">
        <v>42</v>
      </c>
      <c r="O119" s="174">
        <v>8</v>
      </c>
      <c r="P119" s="235">
        <f ca="1">OFFSET($A$1,MATCH(Z113,$A:$A,0)-1,O119)</f>
        <v>7.4</v>
      </c>
      <c r="Q119" s="322" t="s">
        <v>29</v>
      </c>
      <c r="R119" s="323">
        <f t="shared" ca="1" si="18"/>
        <v>250087</v>
      </c>
      <c r="S119" s="323">
        <f t="shared" ca="1" si="18"/>
        <v>1850643</v>
      </c>
      <c r="T119" s="323">
        <f ca="1">보조원</f>
        <v>250087</v>
      </c>
      <c r="U119" s="323">
        <f t="shared" ca="1" si="19"/>
        <v>1850643</v>
      </c>
      <c r="V119" s="323"/>
      <c r="W119" s="323"/>
      <c r="X119" s="323"/>
      <c r="Y119" s="323"/>
      <c r="Z119" s="324"/>
    </row>
    <row r="120" spans="11:26" ht="18" customHeight="1">
      <c r="K120" s="171" t="s">
        <v>14</v>
      </c>
      <c r="L120" s="171"/>
      <c r="M120" s="171"/>
      <c r="N120" s="139" t="s">
        <v>17</v>
      </c>
      <c r="O120" s="68"/>
      <c r="P120" s="69"/>
      <c r="Q120" s="70"/>
      <c r="R120" s="71"/>
      <c r="S120" s="71">
        <f ca="1">SUBTOTAL(9,S114:S119)</f>
        <v>6223921</v>
      </c>
      <c r="T120" s="71"/>
      <c r="U120" s="71">
        <f ca="1">SUBTOTAL(9,U114:U119)</f>
        <v>6223921</v>
      </c>
      <c r="V120" s="71"/>
      <c r="W120" s="71"/>
      <c r="X120" s="71"/>
      <c r="Y120" s="71"/>
      <c r="Z120" s="68"/>
    </row>
    <row r="121" spans="11:26" ht="18" customHeight="1">
      <c r="K121" s="171" t="s">
        <v>14</v>
      </c>
      <c r="L121" s="171"/>
      <c r="M121" s="171"/>
      <c r="N121" s="318" t="str">
        <f ca="1">"제 " &amp; Z121 &amp; " 호표  "&amp; OFFSET($A$1,MATCH(Z121,$A:$A,0)-1,1)</f>
        <v>제 7 호표  1.7. 토지이용계획</v>
      </c>
      <c r="O121" s="221"/>
      <c r="P121" s="148"/>
      <c r="Q121" s="148"/>
      <c r="R121" s="149"/>
      <c r="S121" s="149"/>
      <c r="T121" s="149"/>
      <c r="U121" s="149"/>
      <c r="V121" s="149"/>
      <c r="W121" s="149"/>
      <c r="X121" s="149"/>
      <c r="Y121" s="149"/>
      <c r="Z121" s="325">
        <f>Z113+1</f>
        <v>7</v>
      </c>
    </row>
    <row r="122" spans="11:26" ht="18" customHeight="1">
      <c r="K122" s="171" t="s">
        <v>14</v>
      </c>
      <c r="L122" s="171"/>
      <c r="M122" s="171"/>
      <c r="N122" s="140" t="s">
        <v>43</v>
      </c>
      <c r="O122" s="172">
        <v>3</v>
      </c>
      <c r="P122" s="219">
        <f ca="1">OFFSET($A$1,MATCH(Z121,$A:$A,0)-1,O122)</f>
        <v>2</v>
      </c>
      <c r="Q122" s="141" t="s">
        <v>29</v>
      </c>
      <c r="R122" s="142">
        <f t="shared" ref="R122:S127" ca="1" si="20">T122</f>
        <v>467217</v>
      </c>
      <c r="S122" s="142">
        <f t="shared" ca="1" si="20"/>
        <v>934434</v>
      </c>
      <c r="T122" s="142">
        <f ca="1">기술사</f>
        <v>467217</v>
      </c>
      <c r="U122" s="142">
        <f t="shared" ref="U122:U127" ca="1" si="21">ROUNDDOWN(P122*R122,0)</f>
        <v>934434</v>
      </c>
      <c r="V122" s="142"/>
      <c r="W122" s="142"/>
      <c r="X122" s="142"/>
      <c r="Y122" s="142"/>
      <c r="Z122" s="114"/>
    </row>
    <row r="123" spans="11:26" ht="18" customHeight="1">
      <c r="K123" s="171" t="s">
        <v>14</v>
      </c>
      <c r="L123" s="171"/>
      <c r="M123" s="171"/>
      <c r="N123" s="143" t="s">
        <v>32</v>
      </c>
      <c r="O123" s="173">
        <v>4</v>
      </c>
      <c r="P123" s="234">
        <f ca="1">OFFSET($A$1,MATCH(Z121,$A:$A,0)-1,O123)</f>
        <v>2.2000000000000002</v>
      </c>
      <c r="Q123" s="144" t="s">
        <v>29</v>
      </c>
      <c r="R123" s="118">
        <f t="shared" ca="1" si="20"/>
        <v>373353</v>
      </c>
      <c r="S123" s="118">
        <f t="shared" ca="1" si="20"/>
        <v>821376</v>
      </c>
      <c r="T123" s="118">
        <f ca="1">특급</f>
        <v>373353</v>
      </c>
      <c r="U123" s="118">
        <f t="shared" ca="1" si="21"/>
        <v>821376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39</v>
      </c>
      <c r="O124" s="173">
        <v>5</v>
      </c>
      <c r="P124" s="234">
        <f ca="1">OFFSET($A$1,MATCH(Z121,$A:$A,0)-1,O124)</f>
        <v>8.1</v>
      </c>
      <c r="Q124" s="144" t="s">
        <v>29</v>
      </c>
      <c r="R124" s="118">
        <f t="shared" ca="1" si="20"/>
        <v>310884</v>
      </c>
      <c r="S124" s="118">
        <f t="shared" ca="1" si="20"/>
        <v>2518160</v>
      </c>
      <c r="T124" s="118">
        <f ca="1">고급</f>
        <v>310884</v>
      </c>
      <c r="U124" s="118">
        <f t="shared" ca="1" si="21"/>
        <v>2518160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40</v>
      </c>
      <c r="O125" s="173">
        <v>6</v>
      </c>
      <c r="P125" s="234">
        <f ca="1">OFFSET($A$1,MATCH(Z121,$A:$A,0)-1,O125)</f>
        <v>7.8</v>
      </c>
      <c r="Q125" s="144" t="s">
        <v>29</v>
      </c>
      <c r="R125" s="118">
        <f t="shared" ca="1" si="20"/>
        <v>295138</v>
      </c>
      <c r="S125" s="118">
        <f t="shared" ca="1" si="20"/>
        <v>2302076</v>
      </c>
      <c r="T125" s="118">
        <f ca="1">중급</f>
        <v>295138</v>
      </c>
      <c r="U125" s="118">
        <f t="shared" ca="1" si="21"/>
        <v>2302076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41</v>
      </c>
      <c r="O126" s="173">
        <v>7</v>
      </c>
      <c r="P126" s="234">
        <f ca="1">OFFSET($A$1,MATCH(Z121,$A:$A,0)-1,O126)</f>
        <v>19.5</v>
      </c>
      <c r="Q126" s="144" t="s">
        <v>29</v>
      </c>
      <c r="R126" s="118">
        <f t="shared" ca="1" si="20"/>
        <v>235459</v>
      </c>
      <c r="S126" s="118">
        <f t="shared" ca="1" si="20"/>
        <v>4591450</v>
      </c>
      <c r="T126" s="118">
        <f ca="1">초급</f>
        <v>235459</v>
      </c>
      <c r="U126" s="118">
        <f t="shared" ca="1" si="21"/>
        <v>4591450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319" t="s">
        <v>42</v>
      </c>
      <c r="O127" s="174">
        <v>8</v>
      </c>
      <c r="P127" s="235">
        <f ca="1">OFFSET($A$1,MATCH(Z121,$A:$A,0)-1,O127)</f>
        <v>22.3</v>
      </c>
      <c r="Q127" s="322" t="s">
        <v>29</v>
      </c>
      <c r="R127" s="323">
        <f t="shared" ca="1" si="20"/>
        <v>250087</v>
      </c>
      <c r="S127" s="323">
        <f t="shared" ca="1" si="20"/>
        <v>5576940</v>
      </c>
      <c r="T127" s="323">
        <f ca="1">보조원</f>
        <v>250087</v>
      </c>
      <c r="U127" s="323">
        <f t="shared" ca="1" si="21"/>
        <v>5576940</v>
      </c>
      <c r="V127" s="323"/>
      <c r="W127" s="323"/>
      <c r="X127" s="323"/>
      <c r="Y127" s="323"/>
      <c r="Z127" s="324"/>
    </row>
    <row r="128" spans="11:26" ht="18" customHeight="1">
      <c r="K128" s="171" t="s">
        <v>14</v>
      </c>
      <c r="L128" s="171"/>
      <c r="M128" s="171"/>
      <c r="N128" s="139" t="s">
        <v>17</v>
      </c>
      <c r="O128" s="68"/>
      <c r="P128" s="69"/>
      <c r="Q128" s="70"/>
      <c r="R128" s="71"/>
      <c r="S128" s="71">
        <f ca="1">SUBTOTAL(9,S122:S127)</f>
        <v>16744436</v>
      </c>
      <c r="T128" s="71"/>
      <c r="U128" s="71">
        <f ca="1">SUBTOTAL(9,U122:U127)</f>
        <v>16744436</v>
      </c>
      <c r="V128" s="71"/>
      <c r="W128" s="71"/>
      <c r="X128" s="71"/>
      <c r="Y128" s="71"/>
      <c r="Z128" s="68"/>
    </row>
    <row r="129" spans="11:26" ht="18" customHeight="1">
      <c r="K129" s="171" t="s">
        <v>14</v>
      </c>
      <c r="L129" s="171"/>
      <c r="M129" s="171"/>
      <c r="N129" s="318" t="str">
        <f ca="1">"제 " &amp; Z129 &amp; " 호표  "&amp; OFFSET($A$1,MATCH(Z129,$A:$A,0)-1,1)</f>
        <v>제 8 호표  1.8. 동선계획</v>
      </c>
      <c r="O129" s="221"/>
      <c r="P129" s="148"/>
      <c r="Q129" s="148"/>
      <c r="R129" s="149"/>
      <c r="S129" s="149"/>
      <c r="T129" s="149"/>
      <c r="U129" s="149"/>
      <c r="V129" s="149"/>
      <c r="W129" s="149"/>
      <c r="X129" s="149"/>
      <c r="Y129" s="149"/>
      <c r="Z129" s="325">
        <f>Z121+1</f>
        <v>8</v>
      </c>
    </row>
    <row r="130" spans="11:26" ht="18" customHeight="1">
      <c r="K130" s="171" t="s">
        <v>14</v>
      </c>
      <c r="L130" s="171"/>
      <c r="M130" s="171"/>
      <c r="N130" s="140" t="s">
        <v>43</v>
      </c>
      <c r="O130" s="172">
        <v>3</v>
      </c>
      <c r="P130" s="219">
        <f ca="1">OFFSET($A$1,MATCH(Z129,$A:$A,0)-1,O130)</f>
        <v>1.1000000000000001</v>
      </c>
      <c r="Q130" s="141" t="s">
        <v>29</v>
      </c>
      <c r="R130" s="142">
        <f t="shared" ref="R130:S135" ca="1" si="22">T130</f>
        <v>467217</v>
      </c>
      <c r="S130" s="142">
        <f t="shared" ca="1" si="22"/>
        <v>513938</v>
      </c>
      <c r="T130" s="142">
        <f ca="1">기술사</f>
        <v>467217</v>
      </c>
      <c r="U130" s="142">
        <f t="shared" ref="U130:U135" ca="1" si="23">ROUNDDOWN(P130*R130,0)</f>
        <v>513938</v>
      </c>
      <c r="V130" s="142"/>
      <c r="W130" s="142"/>
      <c r="X130" s="142"/>
      <c r="Y130" s="142"/>
      <c r="Z130" s="114"/>
    </row>
    <row r="131" spans="11:26" ht="18" customHeight="1">
      <c r="K131" s="171" t="s">
        <v>14</v>
      </c>
      <c r="L131" s="171"/>
      <c r="M131" s="171"/>
      <c r="N131" s="143" t="s">
        <v>32</v>
      </c>
      <c r="O131" s="173">
        <v>4</v>
      </c>
      <c r="P131" s="234">
        <f ca="1">OFFSET($A$1,MATCH(Z129,$A:$A,0)-1,O131)</f>
        <v>1.3</v>
      </c>
      <c r="Q131" s="144" t="s">
        <v>29</v>
      </c>
      <c r="R131" s="118">
        <f t="shared" ca="1" si="22"/>
        <v>373353</v>
      </c>
      <c r="S131" s="118">
        <f t="shared" ca="1" si="22"/>
        <v>485358</v>
      </c>
      <c r="T131" s="118">
        <f ca="1">특급</f>
        <v>373353</v>
      </c>
      <c r="U131" s="118">
        <f t="shared" ca="1" si="23"/>
        <v>485358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145" t="s">
        <v>39</v>
      </c>
      <c r="O132" s="173">
        <v>5</v>
      </c>
      <c r="P132" s="234">
        <f ca="1">OFFSET($A$1,MATCH(Z129,$A:$A,0)-1,O132)</f>
        <v>4.3</v>
      </c>
      <c r="Q132" s="144" t="s">
        <v>29</v>
      </c>
      <c r="R132" s="118">
        <f t="shared" ca="1" si="22"/>
        <v>310884</v>
      </c>
      <c r="S132" s="118">
        <f t="shared" ca="1" si="22"/>
        <v>1336801</v>
      </c>
      <c r="T132" s="118">
        <f ca="1">고급</f>
        <v>310884</v>
      </c>
      <c r="U132" s="118">
        <f t="shared" ca="1" si="23"/>
        <v>1336801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40</v>
      </c>
      <c r="O133" s="173">
        <v>6</v>
      </c>
      <c r="P133" s="234">
        <f ca="1">OFFSET($A$1,MATCH(Z129,$A:$A,0)-1,O133)</f>
        <v>3.8</v>
      </c>
      <c r="Q133" s="144" t="s">
        <v>29</v>
      </c>
      <c r="R133" s="118">
        <f t="shared" ca="1" si="22"/>
        <v>295138</v>
      </c>
      <c r="S133" s="118">
        <f t="shared" ca="1" si="22"/>
        <v>1121524</v>
      </c>
      <c r="T133" s="118">
        <f ca="1">중급</f>
        <v>295138</v>
      </c>
      <c r="U133" s="118">
        <f t="shared" ca="1" si="23"/>
        <v>1121524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41</v>
      </c>
      <c r="O134" s="173">
        <v>7</v>
      </c>
      <c r="P134" s="234">
        <f ca="1">OFFSET($A$1,MATCH(Z129,$A:$A,0)-1,O134)</f>
        <v>12.6</v>
      </c>
      <c r="Q134" s="144" t="s">
        <v>29</v>
      </c>
      <c r="R134" s="118">
        <f t="shared" ca="1" si="22"/>
        <v>235459</v>
      </c>
      <c r="S134" s="118">
        <f t="shared" ca="1" si="22"/>
        <v>2966783</v>
      </c>
      <c r="T134" s="118">
        <f ca="1">초급</f>
        <v>235459</v>
      </c>
      <c r="U134" s="118">
        <f t="shared" ca="1" si="23"/>
        <v>2966783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319" t="s">
        <v>42</v>
      </c>
      <c r="O135" s="174">
        <v>8</v>
      </c>
      <c r="P135" s="235">
        <f ca="1">OFFSET($A$1,MATCH(Z129,$A:$A,0)-1,O135)</f>
        <v>15.7</v>
      </c>
      <c r="Q135" s="322" t="s">
        <v>29</v>
      </c>
      <c r="R135" s="323">
        <f t="shared" ca="1" si="22"/>
        <v>250087</v>
      </c>
      <c r="S135" s="323">
        <f t="shared" ca="1" si="22"/>
        <v>3926365</v>
      </c>
      <c r="T135" s="323">
        <f ca="1">보조원</f>
        <v>250087</v>
      </c>
      <c r="U135" s="323">
        <f t="shared" ca="1" si="23"/>
        <v>3926365</v>
      </c>
      <c r="V135" s="323"/>
      <c r="W135" s="323"/>
      <c r="X135" s="323"/>
      <c r="Y135" s="323"/>
      <c r="Z135" s="324"/>
    </row>
    <row r="136" spans="11:26" ht="18" customHeight="1">
      <c r="K136" s="171" t="s">
        <v>14</v>
      </c>
      <c r="L136" s="171"/>
      <c r="M136" s="171"/>
      <c r="N136" s="139" t="s">
        <v>17</v>
      </c>
      <c r="O136" s="68"/>
      <c r="P136" s="69"/>
      <c r="Q136" s="70"/>
      <c r="R136" s="71"/>
      <c r="S136" s="71">
        <f ca="1">SUBTOTAL(9,S130:S135)</f>
        <v>10350769</v>
      </c>
      <c r="T136" s="71"/>
      <c r="U136" s="71">
        <f ca="1">SUBTOTAL(9,U130:U135)</f>
        <v>10350769</v>
      </c>
      <c r="V136" s="71"/>
      <c r="W136" s="71"/>
      <c r="X136" s="71"/>
      <c r="Y136" s="71"/>
      <c r="Z136" s="68"/>
    </row>
    <row r="137" spans="11:26" ht="18" customHeight="1">
      <c r="K137" s="171" t="s">
        <v>14</v>
      </c>
      <c r="L137" s="171"/>
      <c r="M137" s="171"/>
      <c r="N137" s="318" t="str">
        <f ca="1">"제 " &amp; Z137 &amp; " 호표  "&amp; OFFSET($A$1,MATCH(Z137,$A:$A,0)-1,1)</f>
        <v>제 9 호표  1.9. 유치시설배치계획</v>
      </c>
      <c r="O137" s="221"/>
      <c r="P137" s="148"/>
      <c r="Q137" s="148"/>
      <c r="R137" s="149"/>
      <c r="S137" s="149"/>
      <c r="T137" s="149"/>
      <c r="U137" s="149"/>
      <c r="V137" s="149"/>
      <c r="W137" s="149"/>
      <c r="X137" s="149"/>
      <c r="Y137" s="149"/>
      <c r="Z137" s="325">
        <f>Z129+1</f>
        <v>9</v>
      </c>
    </row>
    <row r="138" spans="11:26" ht="18" customHeight="1">
      <c r="K138" s="171" t="s">
        <v>14</v>
      </c>
      <c r="L138" s="171"/>
      <c r="M138" s="171"/>
      <c r="N138" s="140" t="s">
        <v>43</v>
      </c>
      <c r="O138" s="172">
        <v>3</v>
      </c>
      <c r="P138" s="219">
        <f ca="1">OFFSET($A$1,MATCH(Z137,$A:$A,0)-1,O138)</f>
        <v>1.3</v>
      </c>
      <c r="Q138" s="141" t="s">
        <v>29</v>
      </c>
      <c r="R138" s="142">
        <f t="shared" ref="R138:S143" ca="1" si="24">T138</f>
        <v>467217</v>
      </c>
      <c r="S138" s="142">
        <f t="shared" ca="1" si="24"/>
        <v>607382</v>
      </c>
      <c r="T138" s="142">
        <f ca="1">기술사</f>
        <v>467217</v>
      </c>
      <c r="U138" s="142">
        <f t="shared" ref="U138:U143" ca="1" si="25">ROUNDDOWN(P138*R138,0)</f>
        <v>607382</v>
      </c>
      <c r="V138" s="142"/>
      <c r="W138" s="142"/>
      <c r="X138" s="142"/>
      <c r="Y138" s="142"/>
      <c r="Z138" s="114"/>
    </row>
    <row r="139" spans="11:26" ht="18" customHeight="1">
      <c r="K139" s="171" t="s">
        <v>14</v>
      </c>
      <c r="L139" s="171"/>
      <c r="M139" s="171"/>
      <c r="N139" s="143" t="s">
        <v>32</v>
      </c>
      <c r="O139" s="173">
        <v>4</v>
      </c>
      <c r="P139" s="234">
        <f ca="1">OFFSET($A$1,MATCH(Z137,$A:$A,0)-1,O139)</f>
        <v>2.2000000000000002</v>
      </c>
      <c r="Q139" s="144" t="s">
        <v>29</v>
      </c>
      <c r="R139" s="118">
        <f t="shared" ca="1" si="24"/>
        <v>373353</v>
      </c>
      <c r="S139" s="118">
        <f t="shared" ca="1" si="24"/>
        <v>821376</v>
      </c>
      <c r="T139" s="118">
        <f ca="1">특급</f>
        <v>373353</v>
      </c>
      <c r="U139" s="118">
        <f t="shared" ca="1" si="25"/>
        <v>821376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39</v>
      </c>
      <c r="O140" s="173">
        <v>5</v>
      </c>
      <c r="P140" s="234">
        <f ca="1">OFFSET($A$1,MATCH(Z137,$A:$A,0)-1,O140)</f>
        <v>5.6</v>
      </c>
      <c r="Q140" s="144" t="s">
        <v>29</v>
      </c>
      <c r="R140" s="118">
        <f t="shared" ca="1" si="24"/>
        <v>310884</v>
      </c>
      <c r="S140" s="118">
        <f t="shared" ca="1" si="24"/>
        <v>1740950</v>
      </c>
      <c r="T140" s="118">
        <f ca="1">고급</f>
        <v>310884</v>
      </c>
      <c r="U140" s="118">
        <f t="shared" ca="1" si="25"/>
        <v>1740950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40</v>
      </c>
      <c r="O141" s="173">
        <v>6</v>
      </c>
      <c r="P141" s="234">
        <f ca="1">OFFSET($A$1,MATCH(Z137,$A:$A,0)-1,O141)</f>
        <v>6.1</v>
      </c>
      <c r="Q141" s="144" t="s">
        <v>29</v>
      </c>
      <c r="R141" s="118">
        <f t="shared" ca="1" si="24"/>
        <v>295138</v>
      </c>
      <c r="S141" s="118">
        <f t="shared" ca="1" si="24"/>
        <v>1800341</v>
      </c>
      <c r="T141" s="118">
        <f ca="1">중급</f>
        <v>295138</v>
      </c>
      <c r="U141" s="118">
        <f t="shared" ca="1" si="25"/>
        <v>1800341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41</v>
      </c>
      <c r="O142" s="173">
        <v>7</v>
      </c>
      <c r="P142" s="234">
        <f ca="1">OFFSET($A$1,MATCH(Z137,$A:$A,0)-1,O142)</f>
        <v>10.7</v>
      </c>
      <c r="Q142" s="144" t="s">
        <v>29</v>
      </c>
      <c r="R142" s="118">
        <f t="shared" ca="1" si="24"/>
        <v>235459</v>
      </c>
      <c r="S142" s="118">
        <f t="shared" ca="1" si="24"/>
        <v>2519411</v>
      </c>
      <c r="T142" s="118">
        <f ca="1">초급</f>
        <v>235459</v>
      </c>
      <c r="U142" s="118">
        <f t="shared" ca="1" si="25"/>
        <v>2519411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319" t="s">
        <v>42</v>
      </c>
      <c r="O143" s="174">
        <v>8</v>
      </c>
      <c r="P143" s="235">
        <f ca="1">OFFSET($A$1,MATCH(Z137,$A:$A,0)-1,O143)</f>
        <v>12</v>
      </c>
      <c r="Q143" s="322" t="s">
        <v>29</v>
      </c>
      <c r="R143" s="323">
        <f t="shared" ca="1" si="24"/>
        <v>250087</v>
      </c>
      <c r="S143" s="323">
        <f t="shared" ca="1" si="24"/>
        <v>3001044</v>
      </c>
      <c r="T143" s="323">
        <f ca="1">보조원</f>
        <v>250087</v>
      </c>
      <c r="U143" s="323">
        <f t="shared" ca="1" si="25"/>
        <v>3001044</v>
      </c>
      <c r="V143" s="323"/>
      <c r="W143" s="323"/>
      <c r="X143" s="323"/>
      <c r="Y143" s="323"/>
      <c r="Z143" s="324"/>
    </row>
    <row r="144" spans="11:26" ht="18" customHeight="1">
      <c r="K144" s="171" t="s">
        <v>14</v>
      </c>
      <c r="L144" s="171"/>
      <c r="M144" s="171"/>
      <c r="N144" s="139" t="s">
        <v>17</v>
      </c>
      <c r="O144" s="68"/>
      <c r="P144" s="69"/>
      <c r="Q144" s="70"/>
      <c r="R144" s="71"/>
      <c r="S144" s="71">
        <f ca="1">SUBTOTAL(9,S138:S143)</f>
        <v>10490504</v>
      </c>
      <c r="T144" s="71"/>
      <c r="U144" s="71">
        <f ca="1">SUBTOTAL(9,U138:U143)</f>
        <v>10490504</v>
      </c>
      <c r="V144" s="71"/>
      <c r="W144" s="71"/>
      <c r="X144" s="71"/>
      <c r="Y144" s="71"/>
      <c r="Z144" s="68"/>
    </row>
    <row r="145" spans="11:26" ht="18" customHeight="1">
      <c r="K145" s="171" t="s">
        <v>14</v>
      </c>
      <c r="L145" s="171"/>
      <c r="M145" s="171"/>
      <c r="N145" s="318" t="str">
        <f ca="1">"제 " &amp; Z145 &amp; " 호표  "&amp; OFFSET($A$1,MATCH(Z145,$A:$A,0)-1,1)</f>
        <v>제 10 호표  1.10. 건축계획</v>
      </c>
      <c r="O145" s="221"/>
      <c r="P145" s="148"/>
      <c r="Q145" s="148"/>
      <c r="R145" s="149"/>
      <c r="S145" s="149"/>
      <c r="T145" s="149"/>
      <c r="U145" s="149"/>
      <c r="V145" s="149"/>
      <c r="W145" s="149"/>
      <c r="X145" s="149"/>
      <c r="Y145" s="149"/>
      <c r="Z145" s="325">
        <f>Z137+1</f>
        <v>10</v>
      </c>
    </row>
    <row r="146" spans="11:26" ht="18" customHeight="1">
      <c r="K146" s="171" t="s">
        <v>14</v>
      </c>
      <c r="L146" s="171"/>
      <c r="M146" s="171"/>
      <c r="N146" s="140" t="s">
        <v>43</v>
      </c>
      <c r="O146" s="172">
        <v>3</v>
      </c>
      <c r="P146" s="219">
        <f ca="1">OFFSET($A$1,MATCH(Z145,$A:$A,0)-1,O146)</f>
        <v>1.1000000000000001</v>
      </c>
      <c r="Q146" s="141" t="s">
        <v>29</v>
      </c>
      <c r="R146" s="142">
        <f t="shared" ref="R146:S151" ca="1" si="26">T146</f>
        <v>467217</v>
      </c>
      <c r="S146" s="142">
        <f t="shared" ca="1" si="26"/>
        <v>513938</v>
      </c>
      <c r="T146" s="142">
        <f ca="1">기술사</f>
        <v>467217</v>
      </c>
      <c r="U146" s="142">
        <f t="shared" ref="U146:U151" ca="1" si="27">ROUNDDOWN(P146*R146,0)</f>
        <v>513938</v>
      </c>
      <c r="V146" s="142"/>
      <c r="W146" s="142"/>
      <c r="X146" s="142"/>
      <c r="Y146" s="142"/>
      <c r="Z146" s="114"/>
    </row>
    <row r="147" spans="11:26" ht="18" customHeight="1">
      <c r="K147" s="171" t="s">
        <v>14</v>
      </c>
      <c r="L147" s="171"/>
      <c r="M147" s="171"/>
      <c r="N147" s="143" t="s">
        <v>32</v>
      </c>
      <c r="O147" s="173">
        <v>4</v>
      </c>
      <c r="P147" s="234">
        <f ca="1">OFFSET($A$1,MATCH(Z145,$A:$A,0)-1,O147)</f>
        <v>1.3</v>
      </c>
      <c r="Q147" s="144" t="s">
        <v>29</v>
      </c>
      <c r="R147" s="118">
        <f t="shared" ca="1" si="26"/>
        <v>373353</v>
      </c>
      <c r="S147" s="118">
        <f t="shared" ca="1" si="26"/>
        <v>485358</v>
      </c>
      <c r="T147" s="118">
        <f ca="1">특급</f>
        <v>373353</v>
      </c>
      <c r="U147" s="118">
        <f t="shared" ca="1" si="27"/>
        <v>485358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39</v>
      </c>
      <c r="O148" s="173">
        <v>5</v>
      </c>
      <c r="P148" s="234">
        <f ca="1">OFFSET($A$1,MATCH(Z145,$A:$A,0)-1,O148)</f>
        <v>4.3</v>
      </c>
      <c r="Q148" s="144" t="s">
        <v>29</v>
      </c>
      <c r="R148" s="118">
        <f t="shared" ca="1" si="26"/>
        <v>310884</v>
      </c>
      <c r="S148" s="118">
        <f t="shared" ca="1" si="26"/>
        <v>1336801</v>
      </c>
      <c r="T148" s="118">
        <f ca="1">고급</f>
        <v>310884</v>
      </c>
      <c r="U148" s="118">
        <f t="shared" ca="1" si="27"/>
        <v>1336801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40</v>
      </c>
      <c r="O149" s="173">
        <v>6</v>
      </c>
      <c r="P149" s="234">
        <f ca="1">OFFSET($A$1,MATCH(Z145,$A:$A,0)-1,O149)</f>
        <v>4.5</v>
      </c>
      <c r="Q149" s="144" t="s">
        <v>29</v>
      </c>
      <c r="R149" s="118">
        <f t="shared" ca="1" si="26"/>
        <v>295138</v>
      </c>
      <c r="S149" s="118">
        <f t="shared" ca="1" si="26"/>
        <v>1328121</v>
      </c>
      <c r="T149" s="118">
        <f ca="1">중급</f>
        <v>295138</v>
      </c>
      <c r="U149" s="118">
        <f t="shared" ca="1" si="27"/>
        <v>1328121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41</v>
      </c>
      <c r="O150" s="173">
        <v>7</v>
      </c>
      <c r="P150" s="234">
        <f ca="1">OFFSET($A$1,MATCH(Z145,$A:$A,0)-1,O150)</f>
        <v>11.3</v>
      </c>
      <c r="Q150" s="144" t="s">
        <v>29</v>
      </c>
      <c r="R150" s="118">
        <f t="shared" ca="1" si="26"/>
        <v>235459</v>
      </c>
      <c r="S150" s="118">
        <f t="shared" ca="1" si="26"/>
        <v>2660686</v>
      </c>
      <c r="T150" s="118">
        <f ca="1">초급</f>
        <v>235459</v>
      </c>
      <c r="U150" s="118">
        <f t="shared" ca="1" si="27"/>
        <v>2660686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319" t="s">
        <v>42</v>
      </c>
      <c r="O151" s="174">
        <v>8</v>
      </c>
      <c r="P151" s="235">
        <f ca="1">OFFSET($A$1,MATCH(Z145,$A:$A,0)-1,O151)</f>
        <v>14</v>
      </c>
      <c r="Q151" s="322" t="s">
        <v>29</v>
      </c>
      <c r="R151" s="323">
        <f t="shared" ca="1" si="26"/>
        <v>250087</v>
      </c>
      <c r="S151" s="323">
        <f t="shared" ca="1" si="26"/>
        <v>3501218</v>
      </c>
      <c r="T151" s="323">
        <f ca="1">보조원</f>
        <v>250087</v>
      </c>
      <c r="U151" s="323">
        <f t="shared" ca="1" si="27"/>
        <v>3501218</v>
      </c>
      <c r="V151" s="323"/>
      <c r="W151" s="323"/>
      <c r="X151" s="323"/>
      <c r="Y151" s="323"/>
      <c r="Z151" s="324"/>
    </row>
    <row r="152" spans="11:26" ht="18" customHeight="1">
      <c r="K152" s="171" t="s">
        <v>14</v>
      </c>
      <c r="L152" s="171"/>
      <c r="M152" s="171"/>
      <c r="N152" s="139" t="s">
        <v>17</v>
      </c>
      <c r="O152" s="68"/>
      <c r="P152" s="69"/>
      <c r="Q152" s="70"/>
      <c r="R152" s="71"/>
      <c r="S152" s="71">
        <f ca="1">SUBTOTAL(9,S146:S151)</f>
        <v>9826122</v>
      </c>
      <c r="T152" s="71"/>
      <c r="U152" s="71">
        <f ca="1">SUBTOTAL(9,U146:U151)</f>
        <v>9826122</v>
      </c>
      <c r="V152" s="71"/>
      <c r="W152" s="71"/>
      <c r="X152" s="71"/>
      <c r="Y152" s="71"/>
      <c r="Z152" s="68"/>
    </row>
    <row r="153" spans="11:26" ht="18" customHeight="1">
      <c r="K153" s="171" t="s">
        <v>14</v>
      </c>
      <c r="L153" s="171"/>
      <c r="M153" s="171"/>
      <c r="N153" s="318" t="str">
        <f ca="1">"제 " &amp; Z153 &amp; " 호표  "&amp; OFFSET($A$1,MATCH(Z153,$A:$A,0)-1,1)</f>
        <v>제 11 호표  1.11. 공급처리시설계획</v>
      </c>
      <c r="O153" s="221"/>
      <c r="P153" s="148"/>
      <c r="Q153" s="148"/>
      <c r="R153" s="149"/>
      <c r="S153" s="149"/>
      <c r="T153" s="149"/>
      <c r="U153" s="149"/>
      <c r="V153" s="149"/>
      <c r="W153" s="149"/>
      <c r="X153" s="149"/>
      <c r="Y153" s="149"/>
      <c r="Z153" s="325">
        <f>Z145+1</f>
        <v>11</v>
      </c>
    </row>
    <row r="154" spans="11:26" ht="18" customHeight="1">
      <c r="K154" s="171" t="s">
        <v>14</v>
      </c>
      <c r="L154" s="171"/>
      <c r="M154" s="171"/>
      <c r="N154" s="140" t="s">
        <v>43</v>
      </c>
      <c r="O154" s="172">
        <v>3</v>
      </c>
      <c r="P154" s="219">
        <f ca="1">OFFSET($A$1,MATCH(Z153,$A:$A,0)-1,O154)</f>
        <v>1.4</v>
      </c>
      <c r="Q154" s="141" t="s">
        <v>29</v>
      </c>
      <c r="R154" s="142">
        <f t="shared" ref="R154:S159" ca="1" si="28">T154</f>
        <v>467217</v>
      </c>
      <c r="S154" s="142">
        <f t="shared" ca="1" si="28"/>
        <v>654103</v>
      </c>
      <c r="T154" s="142">
        <f ca="1">기술사</f>
        <v>467217</v>
      </c>
      <c r="U154" s="142">
        <f t="shared" ref="U154:U159" ca="1" si="29">ROUNDDOWN(P154*R154,0)</f>
        <v>654103</v>
      </c>
      <c r="V154" s="142"/>
      <c r="W154" s="142"/>
      <c r="X154" s="142"/>
      <c r="Y154" s="142"/>
      <c r="Z154" s="114"/>
    </row>
    <row r="155" spans="11:26" ht="18" customHeight="1">
      <c r="K155" s="171" t="s">
        <v>14</v>
      </c>
      <c r="L155" s="171"/>
      <c r="M155" s="171"/>
      <c r="N155" s="143" t="s">
        <v>32</v>
      </c>
      <c r="O155" s="173">
        <v>4</v>
      </c>
      <c r="P155" s="234">
        <f ca="1">OFFSET($A$1,MATCH(Z153,$A:$A,0)-1,O155)</f>
        <v>2.2999999999999998</v>
      </c>
      <c r="Q155" s="144" t="s">
        <v>29</v>
      </c>
      <c r="R155" s="118">
        <f t="shared" ca="1" si="28"/>
        <v>373353</v>
      </c>
      <c r="S155" s="118">
        <f t="shared" ca="1" si="28"/>
        <v>858711</v>
      </c>
      <c r="T155" s="118">
        <f ca="1">특급</f>
        <v>373353</v>
      </c>
      <c r="U155" s="118">
        <f t="shared" ca="1" si="29"/>
        <v>858711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39</v>
      </c>
      <c r="O156" s="173">
        <v>5</v>
      </c>
      <c r="P156" s="234">
        <f ca="1">OFFSET($A$1,MATCH(Z153,$A:$A,0)-1,O156)</f>
        <v>7.3</v>
      </c>
      <c r="Q156" s="144" t="s">
        <v>29</v>
      </c>
      <c r="R156" s="118">
        <f t="shared" ca="1" si="28"/>
        <v>310884</v>
      </c>
      <c r="S156" s="118">
        <f t="shared" ca="1" si="28"/>
        <v>2269453</v>
      </c>
      <c r="T156" s="118">
        <f ca="1">고급</f>
        <v>310884</v>
      </c>
      <c r="U156" s="118">
        <f t="shared" ca="1" si="29"/>
        <v>2269453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40</v>
      </c>
      <c r="O157" s="173">
        <v>6</v>
      </c>
      <c r="P157" s="234">
        <f ca="1">OFFSET($A$1,MATCH(Z153,$A:$A,0)-1,O157)</f>
        <v>6.5</v>
      </c>
      <c r="Q157" s="144" t="s">
        <v>29</v>
      </c>
      <c r="R157" s="118">
        <f t="shared" ca="1" si="28"/>
        <v>295138</v>
      </c>
      <c r="S157" s="118">
        <f t="shared" ca="1" si="28"/>
        <v>1918397</v>
      </c>
      <c r="T157" s="118">
        <f ca="1">중급</f>
        <v>295138</v>
      </c>
      <c r="U157" s="118">
        <f t="shared" ca="1" si="29"/>
        <v>1918397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41</v>
      </c>
      <c r="O158" s="173">
        <v>7</v>
      </c>
      <c r="P158" s="234">
        <f ca="1">OFFSET($A$1,MATCH(Z153,$A:$A,0)-1,O158)</f>
        <v>14.9</v>
      </c>
      <c r="Q158" s="144" t="s">
        <v>29</v>
      </c>
      <c r="R158" s="118">
        <f t="shared" ca="1" si="28"/>
        <v>235459</v>
      </c>
      <c r="S158" s="118">
        <f t="shared" ca="1" si="28"/>
        <v>3508339</v>
      </c>
      <c r="T158" s="118">
        <f ca="1">초급</f>
        <v>235459</v>
      </c>
      <c r="U158" s="118">
        <f t="shared" ca="1" si="29"/>
        <v>3508339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319" t="s">
        <v>42</v>
      </c>
      <c r="O159" s="174">
        <v>8</v>
      </c>
      <c r="P159" s="235">
        <f ca="1">OFFSET($A$1,MATCH(Z153,$A:$A,0)-1,O159)</f>
        <v>14.5</v>
      </c>
      <c r="Q159" s="322" t="s">
        <v>29</v>
      </c>
      <c r="R159" s="323">
        <f t="shared" ca="1" si="28"/>
        <v>250087</v>
      </c>
      <c r="S159" s="323">
        <f t="shared" ca="1" si="28"/>
        <v>3626261</v>
      </c>
      <c r="T159" s="323">
        <f ca="1">보조원</f>
        <v>250087</v>
      </c>
      <c r="U159" s="323">
        <f t="shared" ca="1" si="29"/>
        <v>3626261</v>
      </c>
      <c r="V159" s="323"/>
      <c r="W159" s="323"/>
      <c r="X159" s="323"/>
      <c r="Y159" s="323"/>
      <c r="Z159" s="324"/>
    </row>
    <row r="160" spans="11:26" ht="18" customHeight="1">
      <c r="K160" s="171" t="s">
        <v>14</v>
      </c>
      <c r="L160" s="171"/>
      <c r="M160" s="171"/>
      <c r="N160" s="139" t="s">
        <v>17</v>
      </c>
      <c r="O160" s="68"/>
      <c r="P160" s="69"/>
      <c r="Q160" s="70"/>
      <c r="R160" s="71"/>
      <c r="S160" s="71">
        <f ca="1">SUBTOTAL(9,S154:S159)</f>
        <v>12835264</v>
      </c>
      <c r="T160" s="71"/>
      <c r="U160" s="71">
        <f ca="1">SUBTOTAL(9,U154:U159)</f>
        <v>12835264</v>
      </c>
      <c r="V160" s="71"/>
      <c r="W160" s="71"/>
      <c r="X160" s="71"/>
      <c r="Y160" s="71"/>
      <c r="Z160" s="68"/>
    </row>
    <row r="161" spans="11:26" ht="18" customHeight="1">
      <c r="K161" s="171" t="s">
        <v>14</v>
      </c>
      <c r="L161" s="171"/>
      <c r="M161" s="171"/>
      <c r="N161" s="318" t="str">
        <f ca="1">"제 " &amp; Z161 &amp; " 호표  "&amp; OFFSET($A$1,MATCH(Z161,$A:$A,0)-1,1)</f>
        <v>제 12 호표  1.12. 환경관리계획</v>
      </c>
      <c r="O161" s="221"/>
      <c r="P161" s="148"/>
      <c r="Q161" s="148"/>
      <c r="R161" s="149"/>
      <c r="S161" s="149"/>
      <c r="T161" s="149"/>
      <c r="U161" s="149"/>
      <c r="V161" s="149"/>
      <c r="W161" s="149"/>
      <c r="X161" s="149"/>
      <c r="Y161" s="149"/>
      <c r="Z161" s="325">
        <f>Z153+1</f>
        <v>12</v>
      </c>
    </row>
    <row r="162" spans="11:26" ht="18" customHeight="1">
      <c r="K162" s="171" t="s">
        <v>14</v>
      </c>
      <c r="L162" s="171"/>
      <c r="M162" s="171"/>
      <c r="N162" s="140" t="s">
        <v>43</v>
      </c>
      <c r="O162" s="172">
        <v>3</v>
      </c>
      <c r="P162" s="219">
        <f ca="1">OFFSET($A$1,MATCH(Z161,$A:$A,0)-1,O162)</f>
        <v>0.9</v>
      </c>
      <c r="Q162" s="141" t="s">
        <v>29</v>
      </c>
      <c r="R162" s="142">
        <f t="shared" ref="R162:S167" ca="1" si="30">T162</f>
        <v>467217</v>
      </c>
      <c r="S162" s="142">
        <f t="shared" ca="1" si="30"/>
        <v>420495</v>
      </c>
      <c r="T162" s="142">
        <f ca="1">기술사</f>
        <v>467217</v>
      </c>
      <c r="U162" s="142">
        <f t="shared" ref="U162:U167" ca="1" si="31">ROUNDDOWN(P162*R162,0)</f>
        <v>420495</v>
      </c>
      <c r="V162" s="142"/>
      <c r="W162" s="142"/>
      <c r="X162" s="142"/>
      <c r="Y162" s="142"/>
      <c r="Z162" s="114"/>
    </row>
    <row r="163" spans="11:26" ht="18" customHeight="1">
      <c r="K163" s="171" t="s">
        <v>14</v>
      </c>
      <c r="L163" s="171"/>
      <c r="M163" s="171"/>
      <c r="N163" s="143" t="s">
        <v>32</v>
      </c>
      <c r="O163" s="173">
        <v>4</v>
      </c>
      <c r="P163" s="234">
        <f ca="1">OFFSET($A$1,MATCH(Z161,$A:$A,0)-1,O163)</f>
        <v>1.2</v>
      </c>
      <c r="Q163" s="144" t="s">
        <v>29</v>
      </c>
      <c r="R163" s="118">
        <f t="shared" ca="1" si="30"/>
        <v>373353</v>
      </c>
      <c r="S163" s="118">
        <f t="shared" ca="1" si="30"/>
        <v>448023</v>
      </c>
      <c r="T163" s="118">
        <f ca="1">특급</f>
        <v>373353</v>
      </c>
      <c r="U163" s="118">
        <f t="shared" ca="1" si="31"/>
        <v>448023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39</v>
      </c>
      <c r="O164" s="173">
        <v>5</v>
      </c>
      <c r="P164" s="234">
        <f ca="1">OFFSET($A$1,MATCH(Z161,$A:$A,0)-1,O164)</f>
        <v>4.3</v>
      </c>
      <c r="Q164" s="144" t="s">
        <v>29</v>
      </c>
      <c r="R164" s="118">
        <f t="shared" ca="1" si="30"/>
        <v>310884</v>
      </c>
      <c r="S164" s="118">
        <f t="shared" ca="1" si="30"/>
        <v>1336801</v>
      </c>
      <c r="T164" s="118">
        <f ca="1">고급</f>
        <v>310884</v>
      </c>
      <c r="U164" s="118">
        <f t="shared" ca="1" si="31"/>
        <v>1336801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40</v>
      </c>
      <c r="O165" s="173">
        <v>6</v>
      </c>
      <c r="P165" s="234">
        <f ca="1">OFFSET($A$1,MATCH(Z161,$A:$A,0)-1,O165)</f>
        <v>3.9</v>
      </c>
      <c r="Q165" s="144" t="s">
        <v>29</v>
      </c>
      <c r="R165" s="118">
        <f t="shared" ca="1" si="30"/>
        <v>295138</v>
      </c>
      <c r="S165" s="118">
        <f t="shared" ca="1" si="30"/>
        <v>1151038</v>
      </c>
      <c r="T165" s="118">
        <f ca="1">중급</f>
        <v>295138</v>
      </c>
      <c r="U165" s="118">
        <f t="shared" ca="1" si="31"/>
        <v>1151038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41</v>
      </c>
      <c r="O166" s="173">
        <v>7</v>
      </c>
      <c r="P166" s="234">
        <f ca="1">OFFSET($A$1,MATCH(Z161,$A:$A,0)-1,O166)</f>
        <v>7.5</v>
      </c>
      <c r="Q166" s="144" t="s">
        <v>29</v>
      </c>
      <c r="R166" s="118">
        <f t="shared" ca="1" si="30"/>
        <v>235459</v>
      </c>
      <c r="S166" s="118">
        <f t="shared" ca="1" si="30"/>
        <v>1765942</v>
      </c>
      <c r="T166" s="118">
        <f ca="1">초급</f>
        <v>235459</v>
      </c>
      <c r="U166" s="118">
        <f t="shared" ca="1" si="31"/>
        <v>1765942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319" t="s">
        <v>42</v>
      </c>
      <c r="O167" s="174">
        <v>8</v>
      </c>
      <c r="P167" s="235">
        <f ca="1">OFFSET($A$1,MATCH(Z161,$A:$A,0)-1,O167)</f>
        <v>10.9</v>
      </c>
      <c r="Q167" s="322" t="s">
        <v>29</v>
      </c>
      <c r="R167" s="323">
        <f t="shared" ca="1" si="30"/>
        <v>250087</v>
      </c>
      <c r="S167" s="323">
        <f t="shared" ca="1" si="30"/>
        <v>2725948</v>
      </c>
      <c r="T167" s="323">
        <f ca="1">보조원</f>
        <v>250087</v>
      </c>
      <c r="U167" s="323">
        <f t="shared" ca="1" si="31"/>
        <v>2725948</v>
      </c>
      <c r="V167" s="323"/>
      <c r="W167" s="323"/>
      <c r="X167" s="323"/>
      <c r="Y167" s="323"/>
      <c r="Z167" s="324"/>
    </row>
    <row r="168" spans="11:26" ht="18" customHeight="1">
      <c r="K168" s="171" t="s">
        <v>14</v>
      </c>
      <c r="L168" s="171"/>
      <c r="M168" s="171"/>
      <c r="N168" s="139" t="s">
        <v>17</v>
      </c>
      <c r="O168" s="68"/>
      <c r="P168" s="69"/>
      <c r="Q168" s="70"/>
      <c r="R168" s="71"/>
      <c r="S168" s="71">
        <f ca="1">SUBTOTAL(9,S162:S167)</f>
        <v>7848247</v>
      </c>
      <c r="T168" s="71"/>
      <c r="U168" s="71">
        <f ca="1">SUBTOTAL(9,U162:U167)</f>
        <v>7848247</v>
      </c>
      <c r="V168" s="71"/>
      <c r="W168" s="71"/>
      <c r="X168" s="71"/>
      <c r="Y168" s="71"/>
      <c r="Z168" s="68"/>
    </row>
    <row r="169" spans="11:26" ht="18" customHeight="1">
      <c r="K169" s="171" t="s">
        <v>14</v>
      </c>
      <c r="L169" s="171"/>
      <c r="M169" s="171"/>
      <c r="N169" s="318" t="str">
        <f ca="1">"제 " &amp; Z169 &amp; " 호표  "&amp; OFFSET($A$1,MATCH(Z169,$A:$A,0)-1,1)</f>
        <v>제 13 호표  1.13. 운영관리계획</v>
      </c>
      <c r="O169" s="221"/>
      <c r="P169" s="148"/>
      <c r="Q169" s="148"/>
      <c r="R169" s="149"/>
      <c r="S169" s="149"/>
      <c r="T169" s="149"/>
      <c r="U169" s="149"/>
      <c r="V169" s="149"/>
      <c r="W169" s="149"/>
      <c r="X169" s="149"/>
      <c r="Y169" s="149"/>
      <c r="Z169" s="325">
        <f>Z161+1</f>
        <v>13</v>
      </c>
    </row>
    <row r="170" spans="11:26" ht="18" customHeight="1">
      <c r="K170" s="171" t="s">
        <v>14</v>
      </c>
      <c r="L170" s="171"/>
      <c r="M170" s="171"/>
      <c r="N170" s="140" t="s">
        <v>43</v>
      </c>
      <c r="O170" s="172">
        <v>3</v>
      </c>
      <c r="P170" s="219">
        <f ca="1">OFFSET($A$1,MATCH(Z169,$A:$A,0)-1,O170)</f>
        <v>0.8</v>
      </c>
      <c r="Q170" s="141" t="s">
        <v>29</v>
      </c>
      <c r="R170" s="142">
        <f t="shared" ref="R170:S175" ca="1" si="32">T170</f>
        <v>467217</v>
      </c>
      <c r="S170" s="142">
        <f t="shared" ca="1" si="32"/>
        <v>373773</v>
      </c>
      <c r="T170" s="142">
        <f ca="1">기술사</f>
        <v>467217</v>
      </c>
      <c r="U170" s="142">
        <f t="shared" ref="U170:U175" ca="1" si="33">ROUNDDOWN(P170*R170,0)</f>
        <v>373773</v>
      </c>
      <c r="V170" s="142"/>
      <c r="W170" s="142"/>
      <c r="X170" s="142"/>
      <c r="Y170" s="142"/>
      <c r="Z170" s="114"/>
    </row>
    <row r="171" spans="11:26" ht="18" customHeight="1">
      <c r="K171" s="171" t="s">
        <v>14</v>
      </c>
      <c r="L171" s="171"/>
      <c r="M171" s="171"/>
      <c r="N171" s="143" t="s">
        <v>32</v>
      </c>
      <c r="O171" s="173">
        <v>4</v>
      </c>
      <c r="P171" s="234">
        <f ca="1">OFFSET($A$1,MATCH(Z169,$A:$A,0)-1,O171)</f>
        <v>1.1000000000000001</v>
      </c>
      <c r="Q171" s="144" t="s">
        <v>29</v>
      </c>
      <c r="R171" s="118">
        <f t="shared" ca="1" si="32"/>
        <v>373353</v>
      </c>
      <c r="S171" s="118">
        <f t="shared" ca="1" si="32"/>
        <v>410688</v>
      </c>
      <c r="T171" s="118">
        <f ca="1">특급</f>
        <v>373353</v>
      </c>
      <c r="U171" s="118">
        <f t="shared" ca="1" si="33"/>
        <v>410688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39</v>
      </c>
      <c r="O172" s="173">
        <v>5</v>
      </c>
      <c r="P172" s="234">
        <f ca="1">OFFSET($A$1,MATCH(Z169,$A:$A,0)-1,O172)</f>
        <v>2.9</v>
      </c>
      <c r="Q172" s="144" t="s">
        <v>29</v>
      </c>
      <c r="R172" s="118">
        <f t="shared" ca="1" si="32"/>
        <v>310884</v>
      </c>
      <c r="S172" s="118">
        <f t="shared" ca="1" si="32"/>
        <v>901563</v>
      </c>
      <c r="T172" s="118">
        <f ca="1">고급</f>
        <v>310884</v>
      </c>
      <c r="U172" s="118">
        <f t="shared" ca="1" si="33"/>
        <v>901563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40</v>
      </c>
      <c r="O173" s="173">
        <v>6</v>
      </c>
      <c r="P173" s="234">
        <f ca="1">OFFSET($A$1,MATCH(Z169,$A:$A,0)-1,O173)</f>
        <v>3.8</v>
      </c>
      <c r="Q173" s="144" t="s">
        <v>29</v>
      </c>
      <c r="R173" s="118">
        <f t="shared" ca="1" si="32"/>
        <v>295138</v>
      </c>
      <c r="S173" s="118">
        <f t="shared" ca="1" si="32"/>
        <v>1121524</v>
      </c>
      <c r="T173" s="118">
        <f ca="1">중급</f>
        <v>295138</v>
      </c>
      <c r="U173" s="118">
        <f t="shared" ca="1" si="33"/>
        <v>1121524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41</v>
      </c>
      <c r="O174" s="173">
        <v>7</v>
      </c>
      <c r="P174" s="234">
        <f ca="1">OFFSET($A$1,MATCH(Z169,$A:$A,0)-1,O174)</f>
        <v>7.3</v>
      </c>
      <c r="Q174" s="144" t="s">
        <v>29</v>
      </c>
      <c r="R174" s="118">
        <f t="shared" ca="1" si="32"/>
        <v>235459</v>
      </c>
      <c r="S174" s="118">
        <f t="shared" ca="1" si="32"/>
        <v>1718850</v>
      </c>
      <c r="T174" s="118">
        <f ca="1">초급</f>
        <v>235459</v>
      </c>
      <c r="U174" s="118">
        <f t="shared" ca="1" si="33"/>
        <v>1718850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319" t="s">
        <v>42</v>
      </c>
      <c r="O175" s="174">
        <v>8</v>
      </c>
      <c r="P175" s="235">
        <f ca="1">OFFSET($A$1,MATCH(Z169,$A:$A,0)-1,O175)</f>
        <v>10.8</v>
      </c>
      <c r="Q175" s="322" t="s">
        <v>29</v>
      </c>
      <c r="R175" s="323">
        <f t="shared" ca="1" si="32"/>
        <v>250087</v>
      </c>
      <c r="S175" s="323">
        <f t="shared" ca="1" si="32"/>
        <v>2700939</v>
      </c>
      <c r="T175" s="323">
        <f ca="1">보조원</f>
        <v>250087</v>
      </c>
      <c r="U175" s="323">
        <f t="shared" ca="1" si="33"/>
        <v>2700939</v>
      </c>
      <c r="V175" s="323"/>
      <c r="W175" s="323"/>
      <c r="X175" s="323"/>
      <c r="Y175" s="323"/>
      <c r="Z175" s="324"/>
    </row>
    <row r="176" spans="11:26" ht="18" customHeight="1">
      <c r="K176" s="171" t="s">
        <v>14</v>
      </c>
      <c r="L176" s="171"/>
      <c r="M176" s="171"/>
      <c r="N176" s="139" t="s">
        <v>17</v>
      </c>
      <c r="O176" s="68"/>
      <c r="P176" s="69"/>
      <c r="Q176" s="70"/>
      <c r="R176" s="71"/>
      <c r="S176" s="71">
        <f ca="1">SUBTOTAL(9,S170:S175)</f>
        <v>7227337</v>
      </c>
      <c r="T176" s="71"/>
      <c r="U176" s="71">
        <f ca="1">SUBTOTAL(9,U170:U175)</f>
        <v>7227337</v>
      </c>
      <c r="V176" s="71"/>
      <c r="W176" s="71"/>
      <c r="X176" s="71"/>
      <c r="Y176" s="71"/>
      <c r="Z176" s="68"/>
    </row>
    <row r="177" spans="11:26" ht="18" customHeight="1">
      <c r="K177" s="171" t="s">
        <v>14</v>
      </c>
      <c r="L177" s="171"/>
      <c r="M177" s="171"/>
      <c r="N177" s="318" t="str">
        <f ca="1">"제 " &amp; Z177 &amp; " 호표  "&amp; OFFSET($A$1,MATCH(Z177,$A:$A,0)-1,1)</f>
        <v>제 14 호표  1.14. 개발계획 승인도서 작성</v>
      </c>
      <c r="O177" s="221"/>
      <c r="P177" s="148"/>
      <c r="Q177" s="148"/>
      <c r="R177" s="149"/>
      <c r="S177" s="149"/>
      <c r="T177" s="149"/>
      <c r="U177" s="149"/>
      <c r="V177" s="149"/>
      <c r="W177" s="149"/>
      <c r="X177" s="149"/>
      <c r="Y177" s="149"/>
      <c r="Z177" s="325">
        <f>Z169+1</f>
        <v>14</v>
      </c>
    </row>
    <row r="178" spans="11:26" ht="18" customHeight="1">
      <c r="K178" s="171" t="s">
        <v>14</v>
      </c>
      <c r="L178" s="171"/>
      <c r="M178" s="171"/>
      <c r="N178" s="140" t="s">
        <v>43</v>
      </c>
      <c r="O178" s="172">
        <v>3</v>
      </c>
      <c r="P178" s="219">
        <f ca="1">OFFSET($A$1,MATCH(Z177,$A:$A,0)-1,O178)</f>
        <v>2</v>
      </c>
      <c r="Q178" s="141" t="s">
        <v>29</v>
      </c>
      <c r="R178" s="142">
        <f t="shared" ref="R178:S183" ca="1" si="34">T178</f>
        <v>467217</v>
      </c>
      <c r="S178" s="142">
        <f t="shared" ca="1" si="34"/>
        <v>934434</v>
      </c>
      <c r="T178" s="142">
        <f ca="1">기술사</f>
        <v>467217</v>
      </c>
      <c r="U178" s="142">
        <f t="shared" ref="U178:U183" ca="1" si="35">ROUNDDOWN(P178*R178,0)</f>
        <v>934434</v>
      </c>
      <c r="V178" s="142"/>
      <c r="W178" s="142"/>
      <c r="X178" s="142"/>
      <c r="Y178" s="142"/>
      <c r="Z178" s="114"/>
    </row>
    <row r="179" spans="11:26" ht="18" customHeight="1">
      <c r="K179" s="171" t="s">
        <v>14</v>
      </c>
      <c r="L179" s="171"/>
      <c r="M179" s="171"/>
      <c r="N179" s="143" t="s">
        <v>32</v>
      </c>
      <c r="O179" s="173">
        <v>4</v>
      </c>
      <c r="P179" s="234">
        <f ca="1">OFFSET($A$1,MATCH(Z177,$A:$A,0)-1,O179)</f>
        <v>1</v>
      </c>
      <c r="Q179" s="144" t="s">
        <v>29</v>
      </c>
      <c r="R179" s="118">
        <f t="shared" ca="1" si="34"/>
        <v>373353</v>
      </c>
      <c r="S179" s="118">
        <f t="shared" ca="1" si="34"/>
        <v>373353</v>
      </c>
      <c r="T179" s="118">
        <f ca="1">특급</f>
        <v>373353</v>
      </c>
      <c r="U179" s="118">
        <f t="shared" ca="1" si="35"/>
        <v>373353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39</v>
      </c>
      <c r="O180" s="173">
        <v>5</v>
      </c>
      <c r="P180" s="234">
        <f ca="1">OFFSET($A$1,MATCH(Z177,$A:$A,0)-1,O180)</f>
        <v>2.6</v>
      </c>
      <c r="Q180" s="144" t="s">
        <v>29</v>
      </c>
      <c r="R180" s="118">
        <f t="shared" ca="1" si="34"/>
        <v>310884</v>
      </c>
      <c r="S180" s="118">
        <f t="shared" ca="1" si="34"/>
        <v>808298</v>
      </c>
      <c r="T180" s="118">
        <f ca="1">고급</f>
        <v>310884</v>
      </c>
      <c r="U180" s="118">
        <f t="shared" ca="1" si="35"/>
        <v>808298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40</v>
      </c>
      <c r="O181" s="173">
        <v>6</v>
      </c>
      <c r="P181" s="234">
        <f ca="1">OFFSET($A$1,MATCH(Z177,$A:$A,0)-1,O181)</f>
        <v>2.4</v>
      </c>
      <c r="Q181" s="144" t="s">
        <v>29</v>
      </c>
      <c r="R181" s="118">
        <f t="shared" ca="1" si="34"/>
        <v>295138</v>
      </c>
      <c r="S181" s="118">
        <f t="shared" ca="1" si="34"/>
        <v>708331</v>
      </c>
      <c r="T181" s="118">
        <f ca="1">중급</f>
        <v>295138</v>
      </c>
      <c r="U181" s="118">
        <f t="shared" ca="1" si="35"/>
        <v>708331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41</v>
      </c>
      <c r="O182" s="173">
        <v>7</v>
      </c>
      <c r="P182" s="234">
        <f ca="1">OFFSET($A$1,MATCH(Z177,$A:$A,0)-1,O182)</f>
        <v>6.8</v>
      </c>
      <c r="Q182" s="144" t="s">
        <v>29</v>
      </c>
      <c r="R182" s="118">
        <f t="shared" ca="1" si="34"/>
        <v>235459</v>
      </c>
      <c r="S182" s="118">
        <f t="shared" ca="1" si="34"/>
        <v>1601121</v>
      </c>
      <c r="T182" s="118">
        <f ca="1">초급</f>
        <v>235459</v>
      </c>
      <c r="U182" s="118">
        <f t="shared" ca="1" si="35"/>
        <v>1601121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319" t="s">
        <v>42</v>
      </c>
      <c r="O183" s="174">
        <v>8</v>
      </c>
      <c r="P183" s="235">
        <f ca="1">OFFSET($A$1,MATCH(Z177,$A:$A,0)-1,O183)</f>
        <v>7.1</v>
      </c>
      <c r="Q183" s="322" t="s">
        <v>29</v>
      </c>
      <c r="R183" s="323">
        <f t="shared" ca="1" si="34"/>
        <v>250087</v>
      </c>
      <c r="S183" s="323">
        <f t="shared" ca="1" si="34"/>
        <v>1775617</v>
      </c>
      <c r="T183" s="323">
        <f ca="1">보조원</f>
        <v>250087</v>
      </c>
      <c r="U183" s="323">
        <f t="shared" ca="1" si="35"/>
        <v>1775617</v>
      </c>
      <c r="V183" s="323"/>
      <c r="W183" s="323"/>
      <c r="X183" s="323"/>
      <c r="Y183" s="323"/>
      <c r="Z183" s="324"/>
    </row>
    <row r="184" spans="11:26" ht="18" customHeight="1">
      <c r="K184" s="171" t="s">
        <v>14</v>
      </c>
      <c r="L184" s="171"/>
      <c r="M184" s="171"/>
      <c r="N184" s="139" t="s">
        <v>17</v>
      </c>
      <c r="O184" s="68"/>
      <c r="P184" s="69"/>
      <c r="Q184" s="70"/>
      <c r="R184" s="71"/>
      <c r="S184" s="71">
        <f ca="1">SUBTOTAL(9,S178:S183)</f>
        <v>6201154</v>
      </c>
      <c r="T184" s="71"/>
      <c r="U184" s="71">
        <f ca="1">SUBTOTAL(9,U178:U183)</f>
        <v>6201154</v>
      </c>
      <c r="V184" s="71"/>
      <c r="W184" s="71"/>
      <c r="X184" s="71"/>
      <c r="Y184" s="71"/>
      <c r="Z184" s="68"/>
    </row>
    <row r="185" spans="11:26" ht="18" customHeight="1">
      <c r="K185" s="171" t="s">
        <v>14</v>
      </c>
      <c r="L185" s="171"/>
      <c r="M185" s="171"/>
      <c r="N185" s="318" t="str">
        <f ca="1">"제 " &amp; Z185 &amp; " 호표  "&amp; OFFSET($A$1,MATCH(Z185,$A:$A,0)-1,1)</f>
        <v>제 15 호표  3.1. 보고서작성 및 편집</v>
      </c>
      <c r="O185" s="221"/>
      <c r="P185" s="148"/>
      <c r="Q185" s="148"/>
      <c r="R185" s="149"/>
      <c r="S185" s="149"/>
      <c r="T185" s="149"/>
      <c r="U185" s="149"/>
      <c r="V185" s="149"/>
      <c r="W185" s="149"/>
      <c r="X185" s="149"/>
      <c r="Y185" s="149"/>
      <c r="Z185" s="325">
        <f>Z177+1</f>
        <v>15</v>
      </c>
    </row>
    <row r="186" spans="11:26" ht="18" customHeight="1">
      <c r="K186" s="171" t="s">
        <v>14</v>
      </c>
      <c r="L186" s="171"/>
      <c r="M186" s="171"/>
      <c r="N186" s="140" t="s">
        <v>43</v>
      </c>
      <c r="O186" s="172">
        <v>3</v>
      </c>
      <c r="P186" s="219">
        <f ca="1">OFFSET($A$1,MATCH(Z185,$A:$A,0)-1,O186)</f>
        <v>0.6</v>
      </c>
      <c r="Q186" s="141" t="s">
        <v>29</v>
      </c>
      <c r="R186" s="142">
        <f t="shared" ref="R186:S191" ca="1" si="36">T186</f>
        <v>467217</v>
      </c>
      <c r="S186" s="142">
        <f t="shared" ca="1" si="36"/>
        <v>280330</v>
      </c>
      <c r="T186" s="142">
        <f ca="1">기술사</f>
        <v>467217</v>
      </c>
      <c r="U186" s="142">
        <f t="shared" ref="U186:U191" ca="1" si="37">ROUNDDOWN(P186*R186,0)</f>
        <v>280330</v>
      </c>
      <c r="V186" s="142"/>
      <c r="W186" s="142"/>
      <c r="X186" s="142"/>
      <c r="Y186" s="142"/>
      <c r="Z186" s="114"/>
    </row>
    <row r="187" spans="11:26" ht="18" customHeight="1">
      <c r="K187" s="171" t="s">
        <v>14</v>
      </c>
      <c r="L187" s="171"/>
      <c r="M187" s="171"/>
      <c r="N187" s="143" t="s">
        <v>32</v>
      </c>
      <c r="O187" s="173">
        <v>4</v>
      </c>
      <c r="P187" s="234">
        <f ca="1">OFFSET($A$1,MATCH(Z185,$A:$A,0)-1,O187)</f>
        <v>1.5</v>
      </c>
      <c r="Q187" s="144" t="s">
        <v>29</v>
      </c>
      <c r="R187" s="118">
        <f t="shared" ca="1" si="36"/>
        <v>373353</v>
      </c>
      <c r="S187" s="118">
        <f t="shared" ca="1" si="36"/>
        <v>560029</v>
      </c>
      <c r="T187" s="118">
        <f ca="1">특급</f>
        <v>373353</v>
      </c>
      <c r="U187" s="118">
        <f t="shared" ca="1" si="37"/>
        <v>560029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39</v>
      </c>
      <c r="O188" s="173">
        <v>5</v>
      </c>
      <c r="P188" s="234">
        <f ca="1">OFFSET($A$1,MATCH(Z185,$A:$A,0)-1,O188)</f>
        <v>5</v>
      </c>
      <c r="Q188" s="144" t="s">
        <v>29</v>
      </c>
      <c r="R188" s="118">
        <f t="shared" ca="1" si="36"/>
        <v>310884</v>
      </c>
      <c r="S188" s="118">
        <f t="shared" ca="1" si="36"/>
        <v>1554420</v>
      </c>
      <c r="T188" s="118">
        <f ca="1">고급</f>
        <v>310884</v>
      </c>
      <c r="U188" s="118">
        <f t="shared" ca="1" si="37"/>
        <v>1554420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40</v>
      </c>
      <c r="O189" s="173">
        <v>6</v>
      </c>
      <c r="P189" s="234">
        <f ca="1">OFFSET($A$1,MATCH(Z185,$A:$A,0)-1,O189)</f>
        <v>4.5999999999999996</v>
      </c>
      <c r="Q189" s="144" t="s">
        <v>29</v>
      </c>
      <c r="R189" s="118">
        <f t="shared" ca="1" si="36"/>
        <v>295138</v>
      </c>
      <c r="S189" s="118">
        <f t="shared" ca="1" si="36"/>
        <v>1357634</v>
      </c>
      <c r="T189" s="118">
        <f ca="1">중급</f>
        <v>295138</v>
      </c>
      <c r="U189" s="118">
        <f t="shared" ca="1" si="37"/>
        <v>1357634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41</v>
      </c>
      <c r="O190" s="173">
        <v>7</v>
      </c>
      <c r="P190" s="234">
        <f ca="1">OFFSET($A$1,MATCH(Z185,$A:$A,0)-1,O190)</f>
        <v>10</v>
      </c>
      <c r="Q190" s="144" t="s">
        <v>29</v>
      </c>
      <c r="R190" s="118">
        <f t="shared" ca="1" si="36"/>
        <v>235459</v>
      </c>
      <c r="S190" s="118">
        <f t="shared" ca="1" si="36"/>
        <v>2354590</v>
      </c>
      <c r="T190" s="118">
        <f ca="1">초급</f>
        <v>235459</v>
      </c>
      <c r="U190" s="118">
        <f t="shared" ca="1" si="37"/>
        <v>2354590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319" t="s">
        <v>42</v>
      </c>
      <c r="O191" s="174">
        <v>8</v>
      </c>
      <c r="P191" s="235">
        <f ca="1">OFFSET($A$1,MATCH(Z185,$A:$A,0)-1,O191)</f>
        <v>7.5</v>
      </c>
      <c r="Q191" s="322" t="s">
        <v>29</v>
      </c>
      <c r="R191" s="323">
        <f t="shared" ca="1" si="36"/>
        <v>250087</v>
      </c>
      <c r="S191" s="323">
        <f t="shared" ca="1" si="36"/>
        <v>1875652</v>
      </c>
      <c r="T191" s="323">
        <f ca="1">보조원</f>
        <v>250087</v>
      </c>
      <c r="U191" s="323">
        <f t="shared" ca="1" si="37"/>
        <v>1875652</v>
      </c>
      <c r="V191" s="323"/>
      <c r="W191" s="323"/>
      <c r="X191" s="323"/>
      <c r="Y191" s="323"/>
      <c r="Z191" s="324"/>
    </row>
    <row r="192" spans="11:26" ht="18" customHeight="1">
      <c r="K192" s="171" t="s">
        <v>14</v>
      </c>
      <c r="L192" s="171"/>
      <c r="M192" s="171"/>
      <c r="N192" s="139" t="s">
        <v>17</v>
      </c>
      <c r="O192" s="68"/>
      <c r="P192" s="69"/>
      <c r="Q192" s="70"/>
      <c r="R192" s="71"/>
      <c r="S192" s="71">
        <f ca="1">SUBTOTAL(9,S186:S191)</f>
        <v>7982655</v>
      </c>
      <c r="T192" s="71"/>
      <c r="U192" s="71">
        <f ca="1">SUBTOTAL(9,U186:U191)</f>
        <v>7982655</v>
      </c>
      <c r="V192" s="71"/>
      <c r="W192" s="71"/>
      <c r="X192" s="71"/>
      <c r="Y192" s="71"/>
      <c r="Z192" s="68"/>
    </row>
    <row r="193" spans="11:26" ht="18" customHeight="1">
      <c r="K193" s="171" t="s">
        <v>14</v>
      </c>
      <c r="L193" s="171"/>
      <c r="M193" s="171"/>
      <c r="N193" s="318" t="str">
        <f ca="1">"제 " &amp; Z193 &amp; " 호표  "&amp; OFFSET($A$1,MATCH(Z193,$A:$A,0)-1,1)</f>
        <v>제 16 호표  3.2. 관련도서 작성</v>
      </c>
      <c r="O193" s="221"/>
      <c r="P193" s="148"/>
      <c r="Q193" s="148"/>
      <c r="R193" s="149"/>
      <c r="S193" s="149"/>
      <c r="T193" s="149"/>
      <c r="U193" s="149"/>
      <c r="V193" s="149"/>
      <c r="W193" s="149"/>
      <c r="X193" s="149"/>
      <c r="Y193" s="149"/>
      <c r="Z193" s="325">
        <f>Z185+1</f>
        <v>16</v>
      </c>
    </row>
    <row r="194" spans="11:26" ht="18" customHeight="1">
      <c r="K194" s="171" t="s">
        <v>14</v>
      </c>
      <c r="L194" s="171"/>
      <c r="M194" s="171"/>
      <c r="N194" s="140" t="s">
        <v>43</v>
      </c>
      <c r="O194" s="172">
        <v>3</v>
      </c>
      <c r="P194" s="219">
        <f ca="1">OFFSET($A$1,MATCH(Z193,$A:$A,0)-1,O194)</f>
        <v>0.4</v>
      </c>
      <c r="Q194" s="141" t="s">
        <v>29</v>
      </c>
      <c r="R194" s="142">
        <f t="shared" ref="R194:S199" ca="1" si="38">T194</f>
        <v>467217</v>
      </c>
      <c r="S194" s="142">
        <f t="shared" ca="1" si="38"/>
        <v>186886</v>
      </c>
      <c r="T194" s="142">
        <f ca="1">기술사</f>
        <v>467217</v>
      </c>
      <c r="U194" s="142">
        <f t="shared" ref="U194:U199" ca="1" si="39">ROUNDDOWN(P194*R194,0)</f>
        <v>186886</v>
      </c>
      <c r="V194" s="142"/>
      <c r="W194" s="142"/>
      <c r="X194" s="142"/>
      <c r="Y194" s="142"/>
      <c r="Z194" s="114"/>
    </row>
    <row r="195" spans="11:26" ht="18" customHeight="1">
      <c r="K195" s="171" t="s">
        <v>14</v>
      </c>
      <c r="L195" s="171"/>
      <c r="M195" s="171"/>
      <c r="N195" s="143" t="s">
        <v>32</v>
      </c>
      <c r="O195" s="173">
        <v>4</v>
      </c>
      <c r="P195" s="234">
        <f ca="1">OFFSET($A$1,MATCH(Z193,$A:$A,0)-1,O195)</f>
        <v>1.3</v>
      </c>
      <c r="Q195" s="144" t="s">
        <v>29</v>
      </c>
      <c r="R195" s="118">
        <f t="shared" ca="1" si="38"/>
        <v>373353</v>
      </c>
      <c r="S195" s="118">
        <f t="shared" ca="1" si="38"/>
        <v>485358</v>
      </c>
      <c r="T195" s="118">
        <f ca="1">특급</f>
        <v>373353</v>
      </c>
      <c r="U195" s="118">
        <f t="shared" ca="1" si="39"/>
        <v>485358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39</v>
      </c>
      <c r="O196" s="173">
        <v>5</v>
      </c>
      <c r="P196" s="234">
        <f ca="1">OFFSET($A$1,MATCH(Z193,$A:$A,0)-1,O196)</f>
        <v>2.5</v>
      </c>
      <c r="Q196" s="144" t="s">
        <v>29</v>
      </c>
      <c r="R196" s="118">
        <f t="shared" ca="1" si="38"/>
        <v>310884</v>
      </c>
      <c r="S196" s="118">
        <f t="shared" ca="1" si="38"/>
        <v>777210</v>
      </c>
      <c r="T196" s="118">
        <f ca="1">고급</f>
        <v>310884</v>
      </c>
      <c r="U196" s="118">
        <f t="shared" ca="1" si="39"/>
        <v>777210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40</v>
      </c>
      <c r="O197" s="173">
        <v>6</v>
      </c>
      <c r="P197" s="234">
        <f ca="1">OFFSET($A$1,MATCH(Z193,$A:$A,0)-1,O197)</f>
        <v>2.8</v>
      </c>
      <c r="Q197" s="144" t="s">
        <v>29</v>
      </c>
      <c r="R197" s="118">
        <f t="shared" ca="1" si="38"/>
        <v>295138</v>
      </c>
      <c r="S197" s="118">
        <f t="shared" ca="1" si="38"/>
        <v>826386</v>
      </c>
      <c r="T197" s="118">
        <f ca="1">중급</f>
        <v>295138</v>
      </c>
      <c r="U197" s="118">
        <f t="shared" ca="1" si="39"/>
        <v>826386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41</v>
      </c>
      <c r="O198" s="173">
        <v>7</v>
      </c>
      <c r="P198" s="234">
        <f ca="1">OFFSET($A$1,MATCH(Z193,$A:$A,0)-1,O198)</f>
        <v>10</v>
      </c>
      <c r="Q198" s="144" t="s">
        <v>29</v>
      </c>
      <c r="R198" s="118">
        <f t="shared" ca="1" si="38"/>
        <v>235459</v>
      </c>
      <c r="S198" s="118">
        <f t="shared" ca="1" si="38"/>
        <v>2354590</v>
      </c>
      <c r="T198" s="118">
        <f ca="1">초급</f>
        <v>235459</v>
      </c>
      <c r="U198" s="118">
        <f t="shared" ca="1" si="39"/>
        <v>2354590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319" t="s">
        <v>42</v>
      </c>
      <c r="O199" s="174">
        <v>8</v>
      </c>
      <c r="P199" s="235">
        <f ca="1">OFFSET($A$1,MATCH(Z193,$A:$A,0)-1,O199)</f>
        <v>13.3</v>
      </c>
      <c r="Q199" s="322" t="s">
        <v>29</v>
      </c>
      <c r="R199" s="323">
        <f t="shared" ca="1" si="38"/>
        <v>250087</v>
      </c>
      <c r="S199" s="323">
        <f t="shared" ca="1" si="38"/>
        <v>3326157</v>
      </c>
      <c r="T199" s="323">
        <f ca="1">보조원</f>
        <v>250087</v>
      </c>
      <c r="U199" s="323">
        <f t="shared" ca="1" si="39"/>
        <v>3326157</v>
      </c>
      <c r="V199" s="323"/>
      <c r="W199" s="323"/>
      <c r="X199" s="323"/>
      <c r="Y199" s="323"/>
      <c r="Z199" s="324"/>
    </row>
    <row r="200" spans="11:26" ht="18" customHeight="1">
      <c r="K200" s="171" t="s">
        <v>14</v>
      </c>
      <c r="L200" s="171"/>
      <c r="M200" s="171"/>
      <c r="N200" s="139" t="s">
        <v>17</v>
      </c>
      <c r="O200" s="68"/>
      <c r="P200" s="69"/>
      <c r="Q200" s="70"/>
      <c r="R200" s="71"/>
      <c r="S200" s="71">
        <f ca="1">SUBTOTAL(9,S194:S199)</f>
        <v>7956587</v>
      </c>
      <c r="T200" s="71"/>
      <c r="U200" s="71">
        <f ca="1">SUBTOTAL(9,U194:U199)</f>
        <v>7956587</v>
      </c>
      <c r="V200" s="71"/>
      <c r="W200" s="71"/>
      <c r="X200" s="71"/>
      <c r="Y200" s="71"/>
      <c r="Z200" s="68"/>
    </row>
    <row r="201" spans="11:26" ht="18" customHeight="1">
      <c r="K201" s="171" t="s">
        <v>14</v>
      </c>
      <c r="L201" s="171"/>
      <c r="M201" s="171"/>
      <c r="N201" s="318" t="str">
        <f ca="1">"제 " &amp; Z201 &amp; " 호표  "&amp; OFFSET($A$1,MATCH(Z201,$A:$A,0)-1,1)</f>
        <v>제 17 호표  4.1. 공청회/주민설명회</v>
      </c>
      <c r="O201" s="221"/>
      <c r="P201" s="148"/>
      <c r="Q201" s="148"/>
      <c r="R201" s="149"/>
      <c r="S201" s="149"/>
      <c r="T201" s="149"/>
      <c r="U201" s="149"/>
      <c r="V201" s="149"/>
      <c r="W201" s="149"/>
      <c r="X201" s="149"/>
      <c r="Y201" s="149"/>
      <c r="Z201" s="325">
        <f>Z193+1</f>
        <v>17</v>
      </c>
    </row>
    <row r="202" spans="11:26" ht="18" customHeight="1">
      <c r="K202" s="171" t="s">
        <v>14</v>
      </c>
      <c r="L202" s="171"/>
      <c r="M202" s="171"/>
      <c r="N202" s="140" t="s">
        <v>43</v>
      </c>
      <c r="O202" s="172">
        <v>3</v>
      </c>
      <c r="P202" s="219">
        <f ca="1">OFFSET($A$1,MATCH(Z201,$A:$A,0)-1,O202)</f>
        <v>2</v>
      </c>
      <c r="Q202" s="141" t="s">
        <v>29</v>
      </c>
      <c r="R202" s="142">
        <f t="shared" ref="R202:S207" ca="1" si="40">T202</f>
        <v>467217</v>
      </c>
      <c r="S202" s="142">
        <f t="shared" ca="1" si="40"/>
        <v>934434</v>
      </c>
      <c r="T202" s="142">
        <f ca="1">기술사</f>
        <v>467217</v>
      </c>
      <c r="U202" s="142">
        <f t="shared" ref="U202:U207" ca="1" si="41">ROUNDDOWN(P202*R202,0)</f>
        <v>934434</v>
      </c>
      <c r="V202" s="142"/>
      <c r="W202" s="142"/>
      <c r="X202" s="142"/>
      <c r="Y202" s="142"/>
      <c r="Z202" s="114"/>
    </row>
    <row r="203" spans="11:26" ht="18" customHeight="1">
      <c r="K203" s="171" t="s">
        <v>14</v>
      </c>
      <c r="L203" s="171"/>
      <c r="M203" s="171"/>
      <c r="N203" s="143" t="s">
        <v>32</v>
      </c>
      <c r="O203" s="173">
        <v>4</v>
      </c>
      <c r="P203" s="234">
        <f ca="1">OFFSET($A$1,MATCH(Z201,$A:$A,0)-1,O203)</f>
        <v>2</v>
      </c>
      <c r="Q203" s="144" t="s">
        <v>29</v>
      </c>
      <c r="R203" s="118">
        <f t="shared" ca="1" si="40"/>
        <v>373353</v>
      </c>
      <c r="S203" s="118">
        <f t="shared" ca="1" si="40"/>
        <v>746706</v>
      </c>
      <c r="T203" s="118">
        <f ca="1">특급</f>
        <v>373353</v>
      </c>
      <c r="U203" s="118">
        <f t="shared" ca="1" si="41"/>
        <v>746706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39</v>
      </c>
      <c r="O204" s="173">
        <v>5</v>
      </c>
      <c r="P204" s="234">
        <f ca="1">OFFSET($A$1,MATCH(Z201,$A:$A,0)-1,O204)</f>
        <v>2</v>
      </c>
      <c r="Q204" s="144" t="s">
        <v>29</v>
      </c>
      <c r="R204" s="118">
        <f t="shared" ca="1" si="40"/>
        <v>310884</v>
      </c>
      <c r="S204" s="118">
        <f t="shared" ca="1" si="40"/>
        <v>621768</v>
      </c>
      <c r="T204" s="118">
        <f ca="1">고급</f>
        <v>310884</v>
      </c>
      <c r="U204" s="118">
        <f t="shared" ca="1" si="41"/>
        <v>621768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40</v>
      </c>
      <c r="O205" s="173">
        <v>6</v>
      </c>
      <c r="P205" s="234">
        <f ca="1">OFFSET($A$1,MATCH(Z201,$A:$A,0)-1,O205)</f>
        <v>4</v>
      </c>
      <c r="Q205" s="144" t="s">
        <v>29</v>
      </c>
      <c r="R205" s="118">
        <f t="shared" ca="1" si="40"/>
        <v>295138</v>
      </c>
      <c r="S205" s="118">
        <f t="shared" ca="1" si="40"/>
        <v>1180552</v>
      </c>
      <c r="T205" s="118">
        <f ca="1">중급</f>
        <v>295138</v>
      </c>
      <c r="U205" s="118">
        <f t="shared" ca="1" si="41"/>
        <v>1180552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145" t="s">
        <v>41</v>
      </c>
      <c r="O206" s="173">
        <v>7</v>
      </c>
      <c r="P206" s="234">
        <f ca="1">OFFSET($A$1,MATCH(Z201,$A:$A,0)-1,O206)</f>
        <v>4</v>
      </c>
      <c r="Q206" s="144" t="s">
        <v>29</v>
      </c>
      <c r="R206" s="118">
        <f t="shared" ca="1" si="40"/>
        <v>235459</v>
      </c>
      <c r="S206" s="118">
        <f t="shared" ca="1" si="40"/>
        <v>941836</v>
      </c>
      <c r="T206" s="118">
        <f ca="1">초급</f>
        <v>235459</v>
      </c>
      <c r="U206" s="118">
        <f t="shared" ca="1" si="41"/>
        <v>941836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319" t="s">
        <v>42</v>
      </c>
      <c r="O207" s="174">
        <v>8</v>
      </c>
      <c r="P207" s="235">
        <f ca="1">OFFSET($A$1,MATCH(Z201,$A:$A,0)-1,O207)</f>
        <v>4</v>
      </c>
      <c r="Q207" s="322" t="s">
        <v>29</v>
      </c>
      <c r="R207" s="323">
        <f t="shared" ca="1" si="40"/>
        <v>250087</v>
      </c>
      <c r="S207" s="323">
        <f t="shared" ca="1" si="40"/>
        <v>1000348</v>
      </c>
      <c r="T207" s="323">
        <f ca="1">보조원</f>
        <v>250087</v>
      </c>
      <c r="U207" s="323">
        <f t="shared" ca="1" si="41"/>
        <v>1000348</v>
      </c>
      <c r="V207" s="323"/>
      <c r="W207" s="323"/>
      <c r="X207" s="323"/>
      <c r="Y207" s="323"/>
      <c r="Z207" s="324"/>
    </row>
    <row r="208" spans="11:26" ht="18" customHeight="1">
      <c r="K208" s="171" t="s">
        <v>14</v>
      </c>
      <c r="L208" s="171"/>
      <c r="M208" s="171"/>
      <c r="N208" s="139" t="s">
        <v>17</v>
      </c>
      <c r="O208" s="68"/>
      <c r="P208" s="69"/>
      <c r="Q208" s="70"/>
      <c r="R208" s="71"/>
      <c r="S208" s="71">
        <f ca="1">SUBTOTAL(9,S202:S207)</f>
        <v>5425644</v>
      </c>
      <c r="T208" s="71"/>
      <c r="U208" s="71">
        <f ca="1">SUBTOTAL(9,U202:U207)</f>
        <v>5425644</v>
      </c>
      <c r="V208" s="71"/>
      <c r="W208" s="71"/>
      <c r="X208" s="71"/>
      <c r="Y208" s="71"/>
      <c r="Z208" s="68"/>
    </row>
    <row r="209" spans="11:26" ht="18" customHeight="1">
      <c r="K209" s="171" t="s">
        <v>14</v>
      </c>
      <c r="L209" s="171"/>
      <c r="M209" s="171"/>
      <c r="N209" s="318" t="str">
        <f ca="1">"제 " &amp; Z209 &amp; " 호표  "&amp; OFFSET($A$1,MATCH(Z209,$A:$A,0)-1,1)</f>
        <v>제 18 호표  4.2. 주민간담회/시민계획단</v>
      </c>
      <c r="O209" s="221"/>
      <c r="P209" s="148"/>
      <c r="Q209" s="148"/>
      <c r="R209" s="149"/>
      <c r="S209" s="149"/>
      <c r="T209" s="149"/>
      <c r="U209" s="149"/>
      <c r="V209" s="149"/>
      <c r="W209" s="149"/>
      <c r="X209" s="149"/>
      <c r="Y209" s="149"/>
      <c r="Z209" s="325">
        <f>Z201+1</f>
        <v>18</v>
      </c>
    </row>
    <row r="210" spans="11:26" ht="18" customHeight="1">
      <c r="K210" s="171" t="s">
        <v>14</v>
      </c>
      <c r="L210" s="171"/>
      <c r="M210" s="171"/>
      <c r="N210" s="140" t="s">
        <v>43</v>
      </c>
      <c r="O210" s="172">
        <v>3</v>
      </c>
      <c r="P210" s="219">
        <f ca="1">OFFSET($A$1,MATCH(Z209,$A:$A,0)-1,O210)</f>
        <v>2</v>
      </c>
      <c r="Q210" s="141" t="s">
        <v>29</v>
      </c>
      <c r="R210" s="142">
        <f t="shared" ref="R210:S215" ca="1" si="42">T210</f>
        <v>467217</v>
      </c>
      <c r="S210" s="142">
        <f t="shared" ca="1" si="42"/>
        <v>934434</v>
      </c>
      <c r="T210" s="142">
        <f ca="1">기술사</f>
        <v>467217</v>
      </c>
      <c r="U210" s="142">
        <f t="shared" ref="U210:U215" ca="1" si="43">ROUNDDOWN(P210*R210,0)</f>
        <v>934434</v>
      </c>
      <c r="V210" s="142"/>
      <c r="W210" s="142"/>
      <c r="X210" s="142"/>
      <c r="Y210" s="142"/>
      <c r="Z210" s="114"/>
    </row>
    <row r="211" spans="11:26" ht="18" customHeight="1">
      <c r="K211" s="171" t="s">
        <v>14</v>
      </c>
      <c r="L211" s="171"/>
      <c r="M211" s="171"/>
      <c r="N211" s="143" t="s">
        <v>32</v>
      </c>
      <c r="O211" s="173">
        <v>4</v>
      </c>
      <c r="P211" s="234">
        <f ca="1">OFFSET($A$1,MATCH(Z209,$A:$A,0)-1,O211)</f>
        <v>2</v>
      </c>
      <c r="Q211" s="144" t="s">
        <v>29</v>
      </c>
      <c r="R211" s="118">
        <f t="shared" ca="1" si="42"/>
        <v>373353</v>
      </c>
      <c r="S211" s="118">
        <f t="shared" ca="1" si="42"/>
        <v>746706</v>
      </c>
      <c r="T211" s="118">
        <f ca="1">특급</f>
        <v>373353</v>
      </c>
      <c r="U211" s="118">
        <f t="shared" ca="1" si="43"/>
        <v>746706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39</v>
      </c>
      <c r="O212" s="173">
        <v>5</v>
      </c>
      <c r="P212" s="234">
        <f ca="1">OFFSET($A$1,MATCH(Z209,$A:$A,0)-1,O212)</f>
        <v>2</v>
      </c>
      <c r="Q212" s="144" t="s">
        <v>29</v>
      </c>
      <c r="R212" s="118">
        <f t="shared" ca="1" si="42"/>
        <v>310884</v>
      </c>
      <c r="S212" s="118">
        <f t="shared" ca="1" si="42"/>
        <v>621768</v>
      </c>
      <c r="T212" s="118">
        <f ca="1">고급</f>
        <v>310884</v>
      </c>
      <c r="U212" s="118">
        <f t="shared" ca="1" si="43"/>
        <v>621768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40</v>
      </c>
      <c r="O213" s="173">
        <v>6</v>
      </c>
      <c r="P213" s="234">
        <f ca="1">OFFSET($A$1,MATCH(Z209,$A:$A,0)-1,O213)</f>
        <v>4</v>
      </c>
      <c r="Q213" s="144" t="s">
        <v>29</v>
      </c>
      <c r="R213" s="118">
        <f t="shared" ca="1" si="42"/>
        <v>295138</v>
      </c>
      <c r="S213" s="118">
        <f t="shared" ca="1" si="42"/>
        <v>1180552</v>
      </c>
      <c r="T213" s="118">
        <f ca="1">중급</f>
        <v>295138</v>
      </c>
      <c r="U213" s="118">
        <f t="shared" ca="1" si="43"/>
        <v>1180552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145" t="s">
        <v>41</v>
      </c>
      <c r="O214" s="173">
        <v>7</v>
      </c>
      <c r="P214" s="234">
        <f ca="1">OFFSET($A$1,MATCH(Z209,$A:$A,0)-1,O214)</f>
        <v>4</v>
      </c>
      <c r="Q214" s="144" t="s">
        <v>29</v>
      </c>
      <c r="R214" s="118">
        <f t="shared" ca="1" si="42"/>
        <v>235459</v>
      </c>
      <c r="S214" s="118">
        <f t="shared" ca="1" si="42"/>
        <v>941836</v>
      </c>
      <c r="T214" s="118">
        <f ca="1">초급</f>
        <v>235459</v>
      </c>
      <c r="U214" s="118">
        <f t="shared" ca="1" si="43"/>
        <v>941836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319" t="s">
        <v>42</v>
      </c>
      <c r="O215" s="174">
        <v>8</v>
      </c>
      <c r="P215" s="235">
        <f ca="1">OFFSET($A$1,MATCH(Z209,$A:$A,0)-1,O215)</f>
        <v>4</v>
      </c>
      <c r="Q215" s="322" t="s">
        <v>29</v>
      </c>
      <c r="R215" s="323">
        <f t="shared" ca="1" si="42"/>
        <v>250087</v>
      </c>
      <c r="S215" s="323">
        <f t="shared" ca="1" si="42"/>
        <v>1000348</v>
      </c>
      <c r="T215" s="323">
        <f ca="1">보조원</f>
        <v>250087</v>
      </c>
      <c r="U215" s="323">
        <f t="shared" ca="1" si="43"/>
        <v>1000348</v>
      </c>
      <c r="V215" s="323"/>
      <c r="W215" s="323"/>
      <c r="X215" s="323"/>
      <c r="Y215" s="323"/>
      <c r="Z215" s="324"/>
    </row>
    <row r="216" spans="11:26" ht="18" customHeight="1">
      <c r="K216" s="171" t="s">
        <v>14</v>
      </c>
      <c r="L216" s="171"/>
      <c r="M216" s="171"/>
      <c r="N216" s="139" t="s">
        <v>17</v>
      </c>
      <c r="O216" s="68"/>
      <c r="P216" s="69"/>
      <c r="Q216" s="70"/>
      <c r="R216" s="71"/>
      <c r="S216" s="71">
        <f ca="1">SUBTOTAL(9,S210:S215)</f>
        <v>5425644</v>
      </c>
      <c r="T216" s="71"/>
      <c r="U216" s="71">
        <f ca="1">SUBTOTAL(9,U210:U215)</f>
        <v>5425644</v>
      </c>
      <c r="V216" s="71"/>
      <c r="W216" s="71"/>
      <c r="X216" s="71"/>
      <c r="Y216" s="71"/>
      <c r="Z216" s="68"/>
    </row>
    <row r="217" spans="11:26" ht="18" customHeight="1">
      <c r="K217" s="171" t="s">
        <v>14</v>
      </c>
      <c r="L217" s="171"/>
      <c r="M217" s="171"/>
      <c r="N217" s="318" t="str">
        <f ca="1">"제 " &amp; Z217 &amp; " 호표  "&amp; OFFSET($A$1,MATCH(Z217,$A:$A,0)-1,1)</f>
        <v>제 19 호표  4.3. 위원회심의 지원</v>
      </c>
      <c r="O217" s="221"/>
      <c r="P217" s="148"/>
      <c r="Q217" s="148"/>
      <c r="R217" s="149"/>
      <c r="S217" s="149"/>
      <c r="T217" s="149"/>
      <c r="U217" s="149"/>
      <c r="V217" s="149"/>
      <c r="W217" s="149"/>
      <c r="X217" s="149"/>
      <c r="Y217" s="149"/>
      <c r="Z217" s="325">
        <f>Z209+1</f>
        <v>19</v>
      </c>
    </row>
    <row r="218" spans="11:26" ht="18" customHeight="1">
      <c r="K218" s="171" t="s">
        <v>14</v>
      </c>
      <c r="L218" s="171"/>
      <c r="M218" s="171"/>
      <c r="N218" s="140" t="s">
        <v>43</v>
      </c>
      <c r="O218" s="172">
        <v>3</v>
      </c>
      <c r="P218" s="219">
        <f ca="1">OFFSET($A$1,MATCH(Z217,$A:$A,0)-1,O218)</f>
        <v>2</v>
      </c>
      <c r="Q218" s="141" t="s">
        <v>29</v>
      </c>
      <c r="R218" s="142">
        <f t="shared" ref="R218:S223" ca="1" si="44">T218</f>
        <v>467217</v>
      </c>
      <c r="S218" s="142">
        <f t="shared" ca="1" si="44"/>
        <v>934434</v>
      </c>
      <c r="T218" s="142">
        <f ca="1">기술사</f>
        <v>467217</v>
      </c>
      <c r="U218" s="142">
        <f t="shared" ref="U218:U223" ca="1" si="45">ROUNDDOWN(P218*R218,0)</f>
        <v>934434</v>
      </c>
      <c r="V218" s="142"/>
      <c r="W218" s="142"/>
      <c r="X218" s="142"/>
      <c r="Y218" s="142"/>
      <c r="Z218" s="114"/>
    </row>
    <row r="219" spans="11:26" ht="18" customHeight="1">
      <c r="K219" s="171" t="s">
        <v>14</v>
      </c>
      <c r="L219" s="171"/>
      <c r="M219" s="171"/>
      <c r="N219" s="143" t="s">
        <v>32</v>
      </c>
      <c r="O219" s="173">
        <v>4</v>
      </c>
      <c r="P219" s="234">
        <f ca="1">OFFSET($A$1,MATCH(Z217,$A:$A,0)-1,O219)</f>
        <v>2</v>
      </c>
      <c r="Q219" s="144" t="s">
        <v>29</v>
      </c>
      <c r="R219" s="118">
        <f t="shared" ca="1" si="44"/>
        <v>373353</v>
      </c>
      <c r="S219" s="118">
        <f t="shared" ca="1" si="44"/>
        <v>746706</v>
      </c>
      <c r="T219" s="118">
        <f ca="1">특급</f>
        <v>373353</v>
      </c>
      <c r="U219" s="118">
        <f t="shared" ca="1" si="45"/>
        <v>746706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39</v>
      </c>
      <c r="O220" s="173">
        <v>5</v>
      </c>
      <c r="P220" s="234">
        <f ca="1">OFFSET($A$1,MATCH(Z217,$A:$A,0)-1,O220)</f>
        <v>2</v>
      </c>
      <c r="Q220" s="144" t="s">
        <v>29</v>
      </c>
      <c r="R220" s="118">
        <f t="shared" ca="1" si="44"/>
        <v>310884</v>
      </c>
      <c r="S220" s="118">
        <f t="shared" ca="1" si="44"/>
        <v>621768</v>
      </c>
      <c r="T220" s="118">
        <f ca="1">고급</f>
        <v>310884</v>
      </c>
      <c r="U220" s="118">
        <f t="shared" ca="1" si="45"/>
        <v>621768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40</v>
      </c>
      <c r="O221" s="173">
        <v>6</v>
      </c>
      <c r="P221" s="234">
        <f ca="1">OFFSET($A$1,MATCH(Z217,$A:$A,0)-1,O221)</f>
        <v>4</v>
      </c>
      <c r="Q221" s="144" t="s">
        <v>29</v>
      </c>
      <c r="R221" s="118">
        <f t="shared" ca="1" si="44"/>
        <v>295138</v>
      </c>
      <c r="S221" s="118">
        <f t="shared" ca="1" si="44"/>
        <v>1180552</v>
      </c>
      <c r="T221" s="118">
        <f ca="1">중급</f>
        <v>295138</v>
      </c>
      <c r="U221" s="118">
        <f t="shared" ca="1" si="45"/>
        <v>1180552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145" t="s">
        <v>41</v>
      </c>
      <c r="O222" s="173">
        <v>7</v>
      </c>
      <c r="P222" s="234">
        <f ca="1">OFFSET($A$1,MATCH(Z217,$A:$A,0)-1,O222)</f>
        <v>4</v>
      </c>
      <c r="Q222" s="144" t="s">
        <v>29</v>
      </c>
      <c r="R222" s="118">
        <f t="shared" ca="1" si="44"/>
        <v>235459</v>
      </c>
      <c r="S222" s="118">
        <f t="shared" ca="1" si="44"/>
        <v>941836</v>
      </c>
      <c r="T222" s="118">
        <f ca="1">초급</f>
        <v>235459</v>
      </c>
      <c r="U222" s="118">
        <f t="shared" ca="1" si="45"/>
        <v>941836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319" t="s">
        <v>42</v>
      </c>
      <c r="O223" s="174">
        <v>8</v>
      </c>
      <c r="P223" s="235">
        <f ca="1">OFFSET($A$1,MATCH(Z217,$A:$A,0)-1,O223)</f>
        <v>4</v>
      </c>
      <c r="Q223" s="322" t="s">
        <v>29</v>
      </c>
      <c r="R223" s="323">
        <f t="shared" ca="1" si="44"/>
        <v>250087</v>
      </c>
      <c r="S223" s="323">
        <f t="shared" ca="1" si="44"/>
        <v>1000348</v>
      </c>
      <c r="T223" s="323">
        <f ca="1">보조원</f>
        <v>250087</v>
      </c>
      <c r="U223" s="323">
        <f t="shared" ca="1" si="45"/>
        <v>1000348</v>
      </c>
      <c r="V223" s="323"/>
      <c r="W223" s="323"/>
      <c r="X223" s="323"/>
      <c r="Y223" s="323"/>
      <c r="Z223" s="324"/>
    </row>
    <row r="224" spans="11:26" ht="18" customHeight="1">
      <c r="K224" s="171" t="s">
        <v>14</v>
      </c>
      <c r="L224" s="171"/>
      <c r="M224" s="171"/>
      <c r="N224" s="139" t="s">
        <v>17</v>
      </c>
      <c r="O224" s="68"/>
      <c r="P224" s="69"/>
      <c r="Q224" s="70"/>
      <c r="R224" s="71"/>
      <c r="S224" s="71">
        <f ca="1">SUBTOTAL(9,S218:S223)</f>
        <v>5425644</v>
      </c>
      <c r="T224" s="71"/>
      <c r="U224" s="71">
        <f ca="1">SUBTOTAL(9,U218:U223)</f>
        <v>5425644</v>
      </c>
      <c r="V224" s="71"/>
      <c r="W224" s="71"/>
      <c r="X224" s="71"/>
      <c r="Y224" s="71"/>
      <c r="Z224" s="68"/>
    </row>
    <row r="225" spans="11:28" ht="18" customHeight="1">
      <c r="K225" s="171" t="s">
        <v>14</v>
      </c>
      <c r="L225" s="171"/>
      <c r="M225" s="171"/>
      <c r="N225" s="318" t="str">
        <f ca="1">"제 " &amp; Z225 &amp; " 호표  "&amp; OFFSET($A$1,MATCH(Z225,$A:$A,0)-1,1)</f>
        <v>제 20 호표  4.4. 관계기관 협의</v>
      </c>
      <c r="O225" s="221"/>
      <c r="P225" s="148"/>
      <c r="Q225" s="148"/>
      <c r="R225" s="149"/>
      <c r="S225" s="149"/>
      <c r="T225" s="149"/>
      <c r="U225" s="149"/>
      <c r="V225" s="149"/>
      <c r="W225" s="149"/>
      <c r="X225" s="149"/>
      <c r="Y225" s="149"/>
      <c r="Z225" s="325">
        <f>Z217+1</f>
        <v>20</v>
      </c>
    </row>
    <row r="226" spans="11:28" ht="18" customHeight="1">
      <c r="K226" s="171" t="s">
        <v>14</v>
      </c>
      <c r="L226" s="171"/>
      <c r="M226" s="171"/>
      <c r="N226" s="140" t="s">
        <v>43</v>
      </c>
      <c r="O226" s="172">
        <v>3</v>
      </c>
      <c r="P226" s="219">
        <f ca="1">OFFSET($A$1,MATCH(Z225,$A:$A,0)-1,O226)</f>
        <v>2</v>
      </c>
      <c r="Q226" s="141" t="s">
        <v>29</v>
      </c>
      <c r="R226" s="142">
        <f t="shared" ref="R226:S231" ca="1" si="46">T226</f>
        <v>467217</v>
      </c>
      <c r="S226" s="142">
        <f t="shared" ca="1" si="46"/>
        <v>934434</v>
      </c>
      <c r="T226" s="142">
        <f ca="1">기술사</f>
        <v>467217</v>
      </c>
      <c r="U226" s="142">
        <f t="shared" ref="U226:U231" ca="1" si="47">ROUNDDOWN(P226*R226,0)</f>
        <v>934434</v>
      </c>
      <c r="V226" s="142"/>
      <c r="W226" s="142"/>
      <c r="X226" s="142"/>
      <c r="Y226" s="142"/>
      <c r="Z226" s="114"/>
    </row>
    <row r="227" spans="11:28" ht="18" customHeight="1">
      <c r="K227" s="171" t="s">
        <v>14</v>
      </c>
      <c r="L227" s="171"/>
      <c r="M227" s="171"/>
      <c r="N227" s="143" t="s">
        <v>32</v>
      </c>
      <c r="O227" s="173">
        <v>4</v>
      </c>
      <c r="P227" s="234">
        <f ca="1">OFFSET($A$1,MATCH(Z225,$A:$A,0)-1,O227)</f>
        <v>2</v>
      </c>
      <c r="Q227" s="144" t="s">
        <v>29</v>
      </c>
      <c r="R227" s="118">
        <f t="shared" ca="1" si="46"/>
        <v>373353</v>
      </c>
      <c r="S227" s="118">
        <f t="shared" ca="1" si="46"/>
        <v>746706</v>
      </c>
      <c r="T227" s="118">
        <f ca="1">특급</f>
        <v>373353</v>
      </c>
      <c r="U227" s="118">
        <f t="shared" ca="1" si="47"/>
        <v>746706</v>
      </c>
      <c r="V227" s="118"/>
      <c r="W227" s="118"/>
      <c r="X227" s="118"/>
      <c r="Y227" s="118"/>
      <c r="Z227" s="115"/>
    </row>
    <row r="228" spans="11:28" ht="18" customHeight="1">
      <c r="K228" s="171" t="s">
        <v>14</v>
      </c>
      <c r="L228" s="171"/>
      <c r="M228" s="171"/>
      <c r="N228" s="145" t="s">
        <v>39</v>
      </c>
      <c r="O228" s="173">
        <v>5</v>
      </c>
      <c r="P228" s="234">
        <f ca="1">OFFSET($A$1,MATCH(Z225,$A:$A,0)-1,O228)</f>
        <v>2</v>
      </c>
      <c r="Q228" s="144" t="s">
        <v>29</v>
      </c>
      <c r="R228" s="118">
        <f t="shared" ca="1" si="46"/>
        <v>310884</v>
      </c>
      <c r="S228" s="118">
        <f t="shared" ca="1" si="46"/>
        <v>621768</v>
      </c>
      <c r="T228" s="118">
        <f ca="1">고급</f>
        <v>310884</v>
      </c>
      <c r="U228" s="118">
        <f t="shared" ca="1" si="47"/>
        <v>621768</v>
      </c>
      <c r="V228" s="118"/>
      <c r="W228" s="118"/>
      <c r="X228" s="118"/>
      <c r="Y228" s="118"/>
      <c r="Z228" s="115"/>
    </row>
    <row r="229" spans="11:28" ht="18" customHeight="1">
      <c r="K229" s="171" t="s">
        <v>14</v>
      </c>
      <c r="L229" s="171"/>
      <c r="M229" s="171"/>
      <c r="N229" s="145" t="s">
        <v>40</v>
      </c>
      <c r="O229" s="173">
        <v>6</v>
      </c>
      <c r="P229" s="234">
        <f ca="1">OFFSET($A$1,MATCH(Z225,$A:$A,0)-1,O229)</f>
        <v>4</v>
      </c>
      <c r="Q229" s="144" t="s">
        <v>29</v>
      </c>
      <c r="R229" s="118">
        <f t="shared" ca="1" si="46"/>
        <v>295138</v>
      </c>
      <c r="S229" s="118">
        <f t="shared" ca="1" si="46"/>
        <v>1180552</v>
      </c>
      <c r="T229" s="118">
        <f ca="1">중급</f>
        <v>295138</v>
      </c>
      <c r="U229" s="118">
        <f t="shared" ca="1" si="47"/>
        <v>1180552</v>
      </c>
      <c r="V229" s="118"/>
      <c r="W229" s="118"/>
      <c r="X229" s="118"/>
      <c r="Y229" s="118"/>
      <c r="Z229" s="115"/>
    </row>
    <row r="230" spans="11:28" ht="18" customHeight="1">
      <c r="K230" s="171" t="s">
        <v>14</v>
      </c>
      <c r="L230" s="171"/>
      <c r="M230" s="171"/>
      <c r="N230" s="145" t="s">
        <v>41</v>
      </c>
      <c r="O230" s="173">
        <v>7</v>
      </c>
      <c r="P230" s="234">
        <f ca="1">OFFSET($A$1,MATCH(Z225,$A:$A,0)-1,O230)</f>
        <v>4</v>
      </c>
      <c r="Q230" s="144" t="s">
        <v>29</v>
      </c>
      <c r="R230" s="118">
        <f t="shared" ca="1" si="46"/>
        <v>235459</v>
      </c>
      <c r="S230" s="118">
        <f t="shared" ca="1" si="46"/>
        <v>941836</v>
      </c>
      <c r="T230" s="118">
        <f ca="1">초급</f>
        <v>235459</v>
      </c>
      <c r="U230" s="118">
        <f t="shared" ca="1" si="47"/>
        <v>941836</v>
      </c>
      <c r="V230" s="118"/>
      <c r="W230" s="118"/>
      <c r="X230" s="118"/>
      <c r="Y230" s="118"/>
      <c r="Z230" s="115"/>
    </row>
    <row r="231" spans="11:28" ht="18" customHeight="1">
      <c r="K231" s="171" t="s">
        <v>14</v>
      </c>
      <c r="L231" s="171"/>
      <c r="M231" s="171"/>
      <c r="N231" s="319" t="s">
        <v>42</v>
      </c>
      <c r="O231" s="174">
        <v>8</v>
      </c>
      <c r="P231" s="235">
        <f ca="1">OFFSET($A$1,MATCH(Z225,$A:$A,0)-1,O231)</f>
        <v>4</v>
      </c>
      <c r="Q231" s="322" t="s">
        <v>29</v>
      </c>
      <c r="R231" s="323">
        <f t="shared" ca="1" si="46"/>
        <v>250087</v>
      </c>
      <c r="S231" s="323">
        <f t="shared" ca="1" si="46"/>
        <v>1000348</v>
      </c>
      <c r="T231" s="323">
        <f ca="1">보조원</f>
        <v>250087</v>
      </c>
      <c r="U231" s="323">
        <f t="shared" ca="1" si="47"/>
        <v>1000348</v>
      </c>
      <c r="V231" s="323"/>
      <c r="W231" s="323"/>
      <c r="X231" s="323"/>
      <c r="Y231" s="323"/>
      <c r="Z231" s="324"/>
    </row>
    <row r="232" spans="11:28" ht="18" customHeight="1">
      <c r="K232" s="171" t="s">
        <v>14</v>
      </c>
      <c r="L232" s="171"/>
      <c r="M232" s="171"/>
      <c r="N232" s="139" t="s">
        <v>17</v>
      </c>
      <c r="O232" s="68"/>
      <c r="P232" s="69"/>
      <c r="Q232" s="70"/>
      <c r="R232" s="71"/>
      <c r="S232" s="71">
        <f ca="1">SUBTOTAL(9,S226:S231)</f>
        <v>5425644</v>
      </c>
      <c r="T232" s="71"/>
      <c r="U232" s="71">
        <f ca="1">SUBTOTAL(9,U226:U231)</f>
        <v>5425644</v>
      </c>
      <c r="V232" s="71"/>
      <c r="W232" s="71"/>
      <c r="X232" s="71"/>
      <c r="Y232" s="71"/>
      <c r="Z232" s="68"/>
    </row>
    <row r="233" spans="11:28" ht="18" customHeight="1">
      <c r="K233" s="171" t="s">
        <v>14</v>
      </c>
      <c r="L233" s="171"/>
      <c r="M233" s="171"/>
      <c r="P233" s="236"/>
    </row>
    <row r="234" spans="11:28" ht="18" customHeight="1">
      <c r="K234" s="171" t="s">
        <v>14</v>
      </c>
      <c r="L234" s="171"/>
      <c r="M234" s="171"/>
      <c r="P234" s="236"/>
    </row>
    <row r="235" spans="11:28" ht="18" customHeight="1">
      <c r="K235" s="171" t="s">
        <v>14</v>
      </c>
      <c r="L235" s="171"/>
      <c r="M235" s="171"/>
      <c r="P235" s="236"/>
    </row>
    <row r="236" spans="11:28" ht="18" customHeight="1">
      <c r="K236" s="171" t="s">
        <v>14</v>
      </c>
      <c r="L236" s="171"/>
      <c r="M236" s="171"/>
      <c r="P236" s="236"/>
      <c r="AA236" s="171"/>
      <c r="AB236" s="171"/>
    </row>
    <row r="237" spans="11:28" ht="18" customHeight="1">
      <c r="K237" s="171" t="s">
        <v>14</v>
      </c>
      <c r="L237" s="171"/>
      <c r="M237" s="171"/>
      <c r="P237" s="236"/>
      <c r="AA237" s="171"/>
      <c r="AB237" s="171"/>
    </row>
    <row r="238" spans="11:28" ht="18" customHeight="1">
      <c r="K238" s="171" t="s">
        <v>14</v>
      </c>
      <c r="L238" s="171"/>
      <c r="M238" s="171"/>
      <c r="P238" s="236"/>
      <c r="AA238" s="171"/>
      <c r="AB238" s="171"/>
    </row>
    <row r="239" spans="11:28" ht="18" customHeight="1">
      <c r="K239" s="171" t="s">
        <v>14</v>
      </c>
      <c r="L239" s="171"/>
      <c r="M239" s="171"/>
      <c r="P239" s="236"/>
      <c r="AA239" s="171"/>
      <c r="AB239" s="171"/>
    </row>
    <row r="240" spans="11:28" ht="18" customHeight="1">
      <c r="K240" s="171" t="s">
        <v>14</v>
      </c>
      <c r="L240" s="171"/>
      <c r="M240" s="171"/>
      <c r="P240" s="236"/>
    </row>
    <row r="241" spans="11:28" ht="18" customHeight="1">
      <c r="K241" s="171" t="s">
        <v>14</v>
      </c>
      <c r="L241" s="171"/>
      <c r="M241" s="171"/>
      <c r="P241" s="236"/>
    </row>
    <row r="242" spans="11:28" ht="18" customHeight="1">
      <c r="K242" s="171" t="s">
        <v>14</v>
      </c>
      <c r="L242" s="171"/>
      <c r="M242" s="171"/>
      <c r="P242" s="236"/>
    </row>
    <row r="243" spans="11:28" ht="18" customHeight="1">
      <c r="K243" s="171" t="s">
        <v>14</v>
      </c>
      <c r="L243" s="171"/>
      <c r="M243" s="171"/>
      <c r="P243" s="236"/>
    </row>
    <row r="244" spans="11:28" ht="18" customHeight="1">
      <c r="K244" s="171" t="s">
        <v>14</v>
      </c>
      <c r="L244" s="171"/>
      <c r="M244" s="171"/>
      <c r="P244" s="236"/>
    </row>
    <row r="245" spans="11:28" ht="18" customHeight="1">
      <c r="K245" s="171" t="s">
        <v>14</v>
      </c>
      <c r="L245" s="171"/>
      <c r="M245" s="171"/>
      <c r="P245" s="236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</row>
    <row r="251" spans="11:28" ht="18" customHeight="1">
      <c r="K251" s="171" t="s">
        <v>14</v>
      </c>
      <c r="L251" s="171"/>
      <c r="M251" s="171"/>
      <c r="P251" s="236"/>
    </row>
    <row r="252" spans="11:28" ht="18" customHeight="1">
      <c r="K252" s="171" t="s">
        <v>14</v>
      </c>
      <c r="L252" s="171"/>
      <c r="M252" s="171"/>
      <c r="P252" s="236"/>
      <c r="AA252" s="171"/>
      <c r="AB252" s="171"/>
    </row>
    <row r="253" spans="11:28" ht="18" customHeight="1">
      <c r="K253" s="171" t="s">
        <v>14</v>
      </c>
      <c r="L253" s="171"/>
      <c r="M253" s="171"/>
      <c r="P253" s="236"/>
      <c r="AA253" s="171"/>
      <c r="AB253" s="171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</row>
    <row r="268" spans="11:28" ht="18" customHeight="1">
      <c r="K268" s="171" t="s">
        <v>14</v>
      </c>
      <c r="L268" s="171"/>
      <c r="M268" s="171"/>
      <c r="P268" s="236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</row>
    <row r="725" spans="11:16" ht="18" customHeight="1">
      <c r="K725" s="171" t="s">
        <v>14</v>
      </c>
      <c r="L725" s="171"/>
      <c r="M725" s="171"/>
    </row>
    <row r="726" spans="11:16" ht="18" customHeight="1">
      <c r="K726" s="171" t="s">
        <v>14</v>
      </c>
      <c r="L726" s="171"/>
      <c r="M726" s="171"/>
    </row>
    <row r="727" spans="11:16" ht="18" customHeight="1">
      <c r="K727" s="171" t="s">
        <v>14</v>
      </c>
      <c r="L727" s="171"/>
      <c r="M727" s="171"/>
    </row>
    <row r="728" spans="11:16" ht="18" customHeight="1">
      <c r="K728" s="171" t="s">
        <v>14</v>
      </c>
      <c r="L728" s="171"/>
      <c r="M728" s="171"/>
    </row>
    <row r="729" spans="11:16" ht="18" customHeight="1">
      <c r="K729" s="171" t="s">
        <v>14</v>
      </c>
      <c r="L729" s="171"/>
      <c r="M729" s="171"/>
    </row>
    <row r="730" spans="11:16" ht="18" customHeight="1">
      <c r="K730" s="171" t="s">
        <v>14</v>
      </c>
      <c r="L730" s="171"/>
      <c r="M730" s="171"/>
    </row>
    <row r="731" spans="11:16" ht="18" customHeight="1">
      <c r="K731" s="171" t="s">
        <v>14</v>
      </c>
      <c r="L731" s="171"/>
      <c r="M731" s="171"/>
    </row>
    <row r="732" spans="11:16" ht="18" customHeight="1">
      <c r="K732" s="171" t="s">
        <v>14</v>
      </c>
      <c r="L732" s="171"/>
      <c r="M732" s="171"/>
    </row>
    <row r="733" spans="11:16" ht="18" customHeight="1">
      <c r="K733" s="171" t="s">
        <v>14</v>
      </c>
      <c r="L733" s="171"/>
      <c r="M733" s="171"/>
    </row>
    <row r="734" spans="11:16" ht="18" customHeight="1">
      <c r="K734" s="171" t="s">
        <v>14</v>
      </c>
      <c r="L734" s="171"/>
      <c r="M734" s="171"/>
    </row>
    <row r="735" spans="11:16" ht="18" customHeight="1">
      <c r="K735" s="171" t="s">
        <v>14</v>
      </c>
      <c r="L735" s="171"/>
      <c r="M735" s="171"/>
    </row>
    <row r="736" spans="11:16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M811" s="171"/>
    </row>
    <row r="812" spans="11:13" ht="18" customHeight="1">
      <c r="K812" s="171" t="s">
        <v>14</v>
      </c>
      <c r="M812" s="171"/>
    </row>
    <row r="813" spans="11:13" ht="18" customHeight="1">
      <c r="K813" s="171" t="s">
        <v>14</v>
      </c>
      <c r="M813" s="171"/>
    </row>
    <row r="814" spans="11:13" ht="18" customHeight="1">
      <c r="K814" s="171" t="s">
        <v>14</v>
      </c>
      <c r="M814" s="171"/>
    </row>
    <row r="815" spans="11:13" ht="18" customHeight="1">
      <c r="K815" s="171" t="s">
        <v>14</v>
      </c>
      <c r="M815" s="171"/>
    </row>
    <row r="816" spans="11:13" ht="18" customHeight="1">
      <c r="K816" s="171" t="s">
        <v>14</v>
      </c>
    </row>
    <row r="817" spans="11:11" ht="18" customHeight="1">
      <c r="K817" s="171" t="s">
        <v>14</v>
      </c>
    </row>
    <row r="818" spans="11:11" ht="18" customHeight="1">
      <c r="K818" s="171" t="s">
        <v>14</v>
      </c>
    </row>
  </sheetData>
  <mergeCells count="18">
    <mergeCell ref="Z71:Z72"/>
    <mergeCell ref="B15:C16"/>
    <mergeCell ref="J15:J16"/>
    <mergeCell ref="L15:L16"/>
    <mergeCell ref="N71:N72"/>
    <mergeCell ref="O71:O72"/>
    <mergeCell ref="B5:C5"/>
    <mergeCell ref="D5:E5"/>
    <mergeCell ref="G5:H5"/>
    <mergeCell ref="P71:P72"/>
    <mergeCell ref="Q71:Q72"/>
    <mergeCell ref="E7:F7"/>
    <mergeCell ref="B3:C3"/>
    <mergeCell ref="D3:E3"/>
    <mergeCell ref="G3:H3"/>
    <mergeCell ref="B4:C4"/>
    <mergeCell ref="D4:E4"/>
    <mergeCell ref="G4:H4"/>
  </mergeCells>
  <phoneticPr fontId="14" type="noConversion"/>
  <conditionalFormatting sqref="V17:V40">
    <cfRule type="cellIs" dxfId="5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2" min="13" max="28" man="1"/>
    <brk id="79" min="13" max="28" man="1"/>
    <brk id="100" min="13" max="2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">
    <tabColor rgb="FF00B050"/>
  </sheetPr>
  <dimension ref="A1:AG865"/>
  <sheetViews>
    <sheetView showGridLines="0" zoomScale="85" zoomScaleNormal="85" zoomScaleSheetLayoutView="85" workbookViewId="0">
      <selection activeCell="B35" sqref="B35"/>
    </sheetView>
  </sheetViews>
  <sheetFormatPr defaultColWidth="12" defaultRowHeight="18" customHeight="1"/>
  <cols>
    <col min="1" max="1" width="3.5" style="1" customWidth="1"/>
    <col min="2" max="2" width="9.1640625" style="327" customWidth="1"/>
    <col min="3" max="3" width="3.6640625" style="1" customWidth="1"/>
    <col min="4" max="4" width="52.83203125" style="1" customWidth="1"/>
    <col min="5" max="5" width="10.1640625" style="1" bestFit="1" customWidth="1"/>
    <col min="6" max="11" width="9.83203125" style="1" customWidth="1"/>
    <col min="12" max="13" width="11.83203125" style="1" customWidth="1"/>
    <col min="14" max="17" width="12.33203125" style="1" customWidth="1"/>
    <col min="18" max="18" width="22.6640625" style="1" customWidth="1"/>
    <col min="19" max="19" width="6.83203125" style="1" customWidth="1"/>
    <col min="20" max="20" width="22.33203125" style="1" customWidth="1"/>
    <col min="21" max="21" width="8.6640625" style="1" customWidth="1"/>
    <col min="22" max="22" width="14.5" style="1" bestFit="1" customWidth="1"/>
    <col min="23" max="23" width="8.33203125" style="1" bestFit="1" customWidth="1"/>
    <col min="24" max="24" width="14.83203125" style="6" bestFit="1" customWidth="1"/>
    <col min="25" max="25" width="17.83203125" style="6" bestFit="1" customWidth="1"/>
    <col min="26" max="26" width="15.6640625" style="6" bestFit="1" customWidth="1"/>
    <col min="27" max="27" width="19.5" style="6" bestFit="1" customWidth="1"/>
    <col min="28" max="28" width="13.6640625" style="6" bestFit="1" customWidth="1"/>
    <col min="29" max="29" width="20.6640625" style="6" bestFit="1" customWidth="1"/>
    <col min="30" max="31" width="13.1640625" style="6" bestFit="1" customWidth="1"/>
    <col min="32" max="32" width="16" style="1" bestFit="1" customWidth="1"/>
    <col min="33" max="33" width="28.33203125" style="1" bestFit="1" customWidth="1"/>
    <col min="34" max="16384" width="12" style="1"/>
  </cols>
  <sheetData>
    <row r="1" spans="3:32" ht="22.5">
      <c r="C1" s="7" t="s">
        <v>144</v>
      </c>
    </row>
    <row r="2" spans="3:32" ht="19.5" thickBot="1">
      <c r="C2" s="66" t="s">
        <v>69</v>
      </c>
      <c r="W2" s="6"/>
      <c r="AE2" s="1"/>
    </row>
    <row r="3" spans="3:32" ht="18" customHeight="1">
      <c r="C3" s="830" t="s">
        <v>61</v>
      </c>
      <c r="D3" s="831"/>
      <c r="E3" s="301">
        <v>10</v>
      </c>
      <c r="F3" s="305">
        <v>10</v>
      </c>
      <c r="G3" s="306"/>
      <c r="H3" s="273" t="s">
        <v>58</v>
      </c>
      <c r="J3" s="171">
        <v>3</v>
      </c>
      <c r="L3" s="825"/>
      <c r="M3" s="825"/>
      <c r="N3" s="825"/>
      <c r="O3" s="825"/>
      <c r="P3" s="825"/>
      <c r="Q3" s="431"/>
      <c r="R3" s="431"/>
      <c r="AF3" s="6"/>
    </row>
    <row r="4" spans="3:32" ht="18" customHeight="1">
      <c r="C4" s="834" t="s">
        <v>101</v>
      </c>
      <c r="D4" s="835"/>
      <c r="E4" s="307"/>
      <c r="F4" s="298">
        <v>60</v>
      </c>
      <c r="G4" s="299"/>
      <c r="H4" s="274" t="s">
        <v>102</v>
      </c>
      <c r="L4" s="825"/>
      <c r="M4" s="825"/>
      <c r="N4" s="825"/>
      <c r="O4" s="825"/>
      <c r="P4" s="825"/>
      <c r="Q4" s="432"/>
      <c r="R4" s="432"/>
      <c r="AF4" s="6"/>
    </row>
    <row r="5" spans="3:32" ht="18" customHeight="1" thickBot="1">
      <c r="C5" s="832" t="s">
        <v>104</v>
      </c>
      <c r="D5" s="833"/>
      <c r="E5" s="308"/>
      <c r="F5" s="309">
        <v>300</v>
      </c>
      <c r="G5" s="310"/>
      <c r="H5" s="276" t="s">
        <v>103</v>
      </c>
      <c r="L5" s="826"/>
      <c r="M5" s="826"/>
      <c r="N5" s="826"/>
      <c r="O5" s="826"/>
      <c r="P5" s="826"/>
      <c r="Q5" s="433"/>
      <c r="R5" s="433"/>
      <c r="AF5" s="6"/>
    </row>
    <row r="6" spans="3:32" ht="18" customHeight="1">
      <c r="C6" s="836" t="s">
        <v>1788</v>
      </c>
      <c r="D6" s="837"/>
      <c r="E6" s="336" t="s">
        <v>1786</v>
      </c>
      <c r="F6" s="336"/>
      <c r="G6" s="329">
        <f>ROUND((IF($F$3&lt;=3,3,$F$3)/$E$3)^0.6,3)</f>
        <v>1</v>
      </c>
      <c r="H6" s="332"/>
      <c r="J6" s="36"/>
      <c r="L6" s="827"/>
      <c r="M6" s="827"/>
      <c r="N6" s="827"/>
      <c r="O6" s="827"/>
      <c r="P6" s="827"/>
      <c r="Q6" s="433"/>
      <c r="R6" s="433"/>
      <c r="AF6" s="6"/>
    </row>
    <row r="7" spans="3:32" ht="18" customHeight="1" thickBot="1">
      <c r="C7" s="828" t="s">
        <v>1789</v>
      </c>
      <c r="D7" s="829"/>
      <c r="E7" s="337" t="s">
        <v>100</v>
      </c>
      <c r="F7" s="337"/>
      <c r="G7" s="330">
        <f>ROUND(0.075*(IF($F$3&lt;=3,3,$F$3))+0.25,3)</f>
        <v>1</v>
      </c>
      <c r="H7" s="333"/>
      <c r="J7" s="36"/>
      <c r="L7" s="827"/>
      <c r="M7" s="827"/>
      <c r="N7" s="827"/>
      <c r="O7" s="827"/>
      <c r="P7" s="827"/>
      <c r="Q7" s="433"/>
      <c r="R7" s="433"/>
      <c r="AF7" s="6"/>
    </row>
    <row r="8" spans="3:32" ht="18" customHeight="1">
      <c r="C8" s="830" t="s">
        <v>1835</v>
      </c>
      <c r="D8" s="831"/>
      <c r="E8" s="277"/>
      <c r="F8" s="316"/>
      <c r="G8" s="331">
        <f>ROUNDDOWN(0.82+0.003*$F$4*(10/(IF($F$3&lt;=3,3,$F$3))),3)</f>
        <v>1</v>
      </c>
      <c r="H8" s="334"/>
      <c r="J8" s="36"/>
      <c r="L8" s="827"/>
      <c r="M8" s="827"/>
      <c r="N8" s="827"/>
      <c r="O8" s="827"/>
      <c r="P8" s="827"/>
      <c r="Q8" s="433"/>
      <c r="R8" s="433"/>
      <c r="AF8" s="6"/>
    </row>
    <row r="9" spans="3:32" ht="18" customHeight="1" thickBot="1">
      <c r="C9" s="832" t="s">
        <v>1836</v>
      </c>
      <c r="D9" s="833"/>
      <c r="E9" s="275"/>
      <c r="F9" s="317"/>
      <c r="G9" s="152">
        <f>ROUNDDOWN(0.58+0.0014*$F$5*(10/(IF($F$3&lt;=3,3,$F$3))),3)</f>
        <v>1</v>
      </c>
      <c r="H9" s="335"/>
      <c r="J9" s="36"/>
      <c r="AF9" s="6"/>
    </row>
    <row r="10" spans="3:32" ht="18" customHeight="1">
      <c r="C10" s="830" t="s">
        <v>1790</v>
      </c>
      <c r="D10" s="831"/>
      <c r="E10" s="697">
        <v>2</v>
      </c>
      <c r="F10" s="305">
        <v>2</v>
      </c>
      <c r="G10" s="306"/>
      <c r="H10" s="339" t="s">
        <v>1791</v>
      </c>
      <c r="J10" s="36"/>
      <c r="X10" s="1"/>
      <c r="AF10" s="6"/>
    </row>
    <row r="11" spans="3:32" ht="18" customHeight="1" thickBot="1">
      <c r="C11" s="832" t="s">
        <v>1102</v>
      </c>
      <c r="D11" s="833"/>
      <c r="E11" s="698"/>
      <c r="F11" s="338"/>
      <c r="G11" s="152">
        <f>ROUND(F10/E10,3)</f>
        <v>1</v>
      </c>
      <c r="H11" s="340"/>
      <c r="J11" s="36"/>
      <c r="S11" s="6"/>
      <c r="T11" s="6"/>
      <c r="U11" s="6"/>
      <c r="V11" s="6"/>
      <c r="W11" s="6"/>
      <c r="AA11" s="1"/>
      <c r="AB11" s="1"/>
      <c r="AC11" s="1"/>
      <c r="AD11" s="1"/>
      <c r="AE11" s="1"/>
    </row>
    <row r="12" spans="3:32" ht="18" customHeight="1">
      <c r="C12" s="9" t="s">
        <v>1787</v>
      </c>
      <c r="D12" s="9"/>
      <c r="F12" s="64"/>
      <c r="H12" s="36"/>
      <c r="K12" s="64"/>
      <c r="L12" s="64"/>
      <c r="N12" s="36"/>
      <c r="S12" s="6"/>
      <c r="T12" s="6"/>
      <c r="U12" s="6"/>
      <c r="V12" s="6"/>
      <c r="W12" s="6"/>
      <c r="AA12" s="1"/>
      <c r="AB12" s="1"/>
      <c r="AC12" s="1"/>
      <c r="AD12" s="1"/>
      <c r="AE12" s="1"/>
    </row>
    <row r="13" spans="3:32" ht="18" customHeight="1">
      <c r="C13" s="9"/>
      <c r="D13" s="9" t="s">
        <v>1792</v>
      </c>
      <c r="F13" s="64"/>
      <c r="H13" s="36"/>
      <c r="K13" s="64"/>
      <c r="L13" s="64"/>
      <c r="N13" s="36"/>
      <c r="S13" s="6"/>
      <c r="T13" s="6"/>
      <c r="U13" s="6"/>
      <c r="V13" s="6"/>
      <c r="W13" s="6"/>
      <c r="AA13" s="1"/>
      <c r="AB13" s="1"/>
      <c r="AC13" s="1"/>
      <c r="AD13" s="1"/>
      <c r="AE13" s="1"/>
    </row>
    <row r="14" spans="3:32" ht="18" customHeight="1">
      <c r="C14" s="9"/>
      <c r="D14" s="9"/>
      <c r="F14" s="64"/>
      <c r="H14" s="36"/>
      <c r="K14" s="64"/>
      <c r="L14" s="64"/>
      <c r="N14" s="36"/>
      <c r="X14" s="1"/>
      <c r="AF14" s="6"/>
    </row>
    <row r="15" spans="3:32" ht="18" customHeight="1">
      <c r="H15" s="36"/>
      <c r="N15" s="36"/>
      <c r="W15" s="6"/>
      <c r="AE15" s="1"/>
    </row>
    <row r="16" spans="3:32" ht="18" customHeight="1" thickBot="1">
      <c r="C16" s="66" t="s">
        <v>72</v>
      </c>
      <c r="D16" s="9"/>
      <c r="F16" s="64"/>
      <c r="G16" s="64"/>
      <c r="I16" s="36"/>
      <c r="L16" s="64"/>
      <c r="M16" s="64"/>
      <c r="O16" s="36"/>
      <c r="T16" s="66" t="s">
        <v>73</v>
      </c>
    </row>
    <row r="17" spans="1:33" ht="18" customHeight="1" thickBot="1">
      <c r="C17" s="9"/>
      <c r="T17" s="151" t="s">
        <v>44</v>
      </c>
      <c r="U17" s="119"/>
      <c r="V17" s="119"/>
      <c r="W17" s="120"/>
      <c r="X17" s="120"/>
      <c r="Y17" s="120"/>
      <c r="Z17" s="120"/>
      <c r="AA17" s="121"/>
      <c r="AB17" s="121"/>
      <c r="AC17" s="186">
        <f ca="1">SUBTOTAL(9,AC18:AC58)</f>
        <v>2110709191</v>
      </c>
      <c r="AD17" s="187"/>
      <c r="AE17" s="177"/>
      <c r="AF17" s="167"/>
    </row>
    <row r="18" spans="1:33" ht="18" customHeight="1">
      <c r="B18" s="326"/>
      <c r="C18" s="757" t="s">
        <v>30</v>
      </c>
      <c r="D18" s="758"/>
      <c r="E18" s="763" t="s">
        <v>96</v>
      </c>
      <c r="F18" s="14" t="s">
        <v>74</v>
      </c>
      <c r="G18" s="15"/>
      <c r="H18" s="15"/>
      <c r="I18" s="15"/>
      <c r="J18" s="15"/>
      <c r="K18" s="16"/>
      <c r="L18" s="14" t="s">
        <v>50</v>
      </c>
      <c r="M18" s="15"/>
      <c r="N18" s="15"/>
      <c r="O18" s="15"/>
      <c r="P18" s="15"/>
      <c r="Q18" s="16"/>
      <c r="R18" s="761" t="s">
        <v>31</v>
      </c>
      <c r="T18" s="127" t="s">
        <v>75</v>
      </c>
      <c r="U18" s="122"/>
      <c r="V18" s="122"/>
      <c r="W18" s="123"/>
      <c r="X18" s="123"/>
      <c r="Y18" s="123"/>
      <c r="Z18" s="123"/>
      <c r="AA18" s="184"/>
      <c r="AB18" s="184"/>
      <c r="AC18" s="163">
        <f ca="1">SUBTOTAL(9,AC19:AC55)</f>
        <v>755173235</v>
      </c>
      <c r="AD18" s="164"/>
      <c r="AE18" s="178" t="s">
        <v>85</v>
      </c>
      <c r="AF18" s="179"/>
    </row>
    <row r="19" spans="1:33" ht="18" customHeight="1" thickBot="1">
      <c r="B19" s="326"/>
      <c r="C19" s="759"/>
      <c r="D19" s="760"/>
      <c r="E19" s="764"/>
      <c r="F19" s="17" t="s">
        <v>33</v>
      </c>
      <c r="G19" s="19" t="s">
        <v>34</v>
      </c>
      <c r="H19" s="19" t="s">
        <v>35</v>
      </c>
      <c r="I19" s="19" t="s">
        <v>36</v>
      </c>
      <c r="J19" s="19" t="s">
        <v>37</v>
      </c>
      <c r="K19" s="18" t="s">
        <v>38</v>
      </c>
      <c r="L19" s="17" t="s">
        <v>33</v>
      </c>
      <c r="M19" s="19" t="s">
        <v>34</v>
      </c>
      <c r="N19" s="19" t="s">
        <v>35</v>
      </c>
      <c r="O19" s="19" t="s">
        <v>36</v>
      </c>
      <c r="P19" s="19" t="s">
        <v>37</v>
      </c>
      <c r="Q19" s="18" t="s">
        <v>38</v>
      </c>
      <c r="R19" s="762"/>
      <c r="T19" s="290" t="s">
        <v>45</v>
      </c>
      <c r="U19" s="124"/>
      <c r="V19" s="125"/>
      <c r="W19" s="126"/>
      <c r="X19" s="126"/>
      <c r="Y19" s="126"/>
      <c r="Z19" s="126"/>
      <c r="AA19" s="181"/>
      <c r="AB19" s="181"/>
      <c r="AC19" s="159">
        <f ca="1">SUBTOTAL(9,AC20:AC51)</f>
        <v>755173235</v>
      </c>
      <c r="AD19" s="160"/>
      <c r="AE19" s="168"/>
      <c r="AF19" s="168"/>
    </row>
    <row r="20" spans="1:33" ht="18" customHeight="1">
      <c r="A20" s="411"/>
      <c r="B20" s="326"/>
      <c r="C20" s="225" t="s">
        <v>1793</v>
      </c>
      <c r="D20" s="72"/>
      <c r="E20" s="341"/>
      <c r="F20" s="284">
        <f t="shared" ref="F20:Q20" si="0">SUBTOTAL(9,F21:F22)</f>
        <v>4.8</v>
      </c>
      <c r="G20" s="285">
        <f t="shared" si="0"/>
        <v>12.8</v>
      </c>
      <c r="H20" s="285">
        <f t="shared" si="0"/>
        <v>42.5</v>
      </c>
      <c r="I20" s="285">
        <f t="shared" si="0"/>
        <v>61</v>
      </c>
      <c r="J20" s="285">
        <f t="shared" si="0"/>
        <v>68</v>
      </c>
      <c r="K20" s="286">
        <f t="shared" si="0"/>
        <v>70.5</v>
      </c>
      <c r="L20" s="284">
        <f t="shared" si="0"/>
        <v>4.8</v>
      </c>
      <c r="M20" s="285">
        <f t="shared" si="0"/>
        <v>12.8</v>
      </c>
      <c r="N20" s="285">
        <f t="shared" si="0"/>
        <v>42.5</v>
      </c>
      <c r="O20" s="285">
        <f t="shared" si="0"/>
        <v>61</v>
      </c>
      <c r="P20" s="285">
        <f t="shared" si="0"/>
        <v>68</v>
      </c>
      <c r="Q20" s="286">
        <f t="shared" si="0"/>
        <v>70.5</v>
      </c>
      <c r="R20" s="654"/>
      <c r="T20" s="294" t="str">
        <f>C20</f>
        <v>1. 토지 및 권리조사</v>
      </c>
      <c r="U20" s="169"/>
      <c r="V20" s="169"/>
      <c r="W20" s="169"/>
      <c r="X20" s="169"/>
      <c r="Y20" s="169"/>
      <c r="Z20" s="169"/>
      <c r="AA20" s="226"/>
      <c r="AB20" s="230"/>
      <c r="AC20" s="193">
        <f ca="1">SUBTOTAL(9,AC21:AC22)</f>
        <v>71879892</v>
      </c>
      <c r="AD20" s="194"/>
      <c r="AE20" s="262" t="str">
        <f>IF(B20&gt;0, "제 " &amp; B20&amp; " 호표","")</f>
        <v/>
      </c>
      <c r="AF20" s="170"/>
      <c r="AG20" s="304"/>
    </row>
    <row r="21" spans="1:33" ht="18" customHeight="1">
      <c r="A21" s="411"/>
      <c r="B21" s="326">
        <v>1</v>
      </c>
      <c r="C21" s="223" t="s">
        <v>1794</v>
      </c>
      <c r="D21" s="23"/>
      <c r="E21" s="233">
        <v>1</v>
      </c>
      <c r="F21" s="197">
        <v>1.5</v>
      </c>
      <c r="G21" s="198">
        <v>4</v>
      </c>
      <c r="H21" s="198">
        <v>15.5</v>
      </c>
      <c r="I21" s="198">
        <v>21</v>
      </c>
      <c r="J21" s="198">
        <v>23</v>
      </c>
      <c r="K21" s="199">
        <v>23.5</v>
      </c>
      <c r="L21" s="706">
        <f t="array" ref="L21:Q22">ROUNDDOWN(F21:K22*E21:E22*G7,3)</f>
        <v>1.5</v>
      </c>
      <c r="M21" s="707">
        <v>4</v>
      </c>
      <c r="N21" s="707">
        <v>15.5</v>
      </c>
      <c r="O21" s="707">
        <v>21</v>
      </c>
      <c r="P21" s="707">
        <v>23</v>
      </c>
      <c r="Q21" s="708">
        <v>23.5</v>
      </c>
      <c r="R21" s="389" t="s">
        <v>1826</v>
      </c>
      <c r="T21" s="295" t="str">
        <f t="shared" ref="T21:T51" si="1">C21</f>
        <v>1.1. 토지 및 권리조사</v>
      </c>
      <c r="U21" s="37"/>
      <c r="V21" s="37"/>
      <c r="W21" s="37"/>
      <c r="X21" s="37"/>
      <c r="Y21" s="37"/>
      <c r="Z21" s="37"/>
      <c r="AA21" s="227"/>
      <c r="AB21" s="231"/>
      <c r="AC21" s="153">
        <f t="array" aca="1" ref="AC21" ca="1">SUM((ROUNDDOWN((L21:Q21)*단가,0)))</f>
        <v>24503438</v>
      </c>
      <c r="AD21" s="154"/>
      <c r="AE21" s="150" t="str">
        <f>IF(B21&gt;0, "제 " &amp; B21&amp; " 호표","")</f>
        <v>제 1 호표</v>
      </c>
      <c r="AF21" s="150"/>
      <c r="AG21" s="304"/>
    </row>
    <row r="22" spans="1:33" ht="18" customHeight="1">
      <c r="A22" s="411"/>
      <c r="B22" s="326">
        <v>2</v>
      </c>
      <c r="C22" s="223" t="s">
        <v>1795</v>
      </c>
      <c r="D22" s="23"/>
      <c r="E22" s="233">
        <v>1</v>
      </c>
      <c r="F22" s="197">
        <v>3.3</v>
      </c>
      <c r="G22" s="198">
        <v>8.8000000000000007</v>
      </c>
      <c r="H22" s="198">
        <v>27</v>
      </c>
      <c r="I22" s="198">
        <v>40</v>
      </c>
      <c r="J22" s="198">
        <v>45</v>
      </c>
      <c r="K22" s="199">
        <v>47</v>
      </c>
      <c r="L22" s="706">
        <v>3.3</v>
      </c>
      <c r="M22" s="707">
        <v>8.8000000000000007</v>
      </c>
      <c r="N22" s="707">
        <v>27</v>
      </c>
      <c r="O22" s="707">
        <v>40</v>
      </c>
      <c r="P22" s="707">
        <v>45</v>
      </c>
      <c r="Q22" s="708">
        <v>47</v>
      </c>
      <c r="R22" s="389" t="s">
        <v>1827</v>
      </c>
      <c r="T22" s="295" t="str">
        <f t="shared" si="1"/>
        <v>1.2. 도시시설조사</v>
      </c>
      <c r="U22" s="37"/>
      <c r="V22" s="37"/>
      <c r="W22" s="37"/>
      <c r="X22" s="37"/>
      <c r="Y22" s="37"/>
      <c r="Z22" s="37"/>
      <c r="AA22" s="227"/>
      <c r="AB22" s="231"/>
      <c r="AC22" s="153">
        <f t="array" aca="1" ref="AC22" ca="1">SUM((ROUNDDOWN((L22:Q22)*단가,0)))</f>
        <v>47376454</v>
      </c>
      <c r="AD22" s="154"/>
      <c r="AE22" s="150" t="str">
        <f t="shared" ref="AE22:AE51" si="2">IF(B22&gt;0, "제 " &amp; B22&amp; " 호표","")</f>
        <v>제 2 호표</v>
      </c>
      <c r="AF22" s="150"/>
      <c r="AG22" s="304"/>
    </row>
    <row r="23" spans="1:33" ht="18" customHeight="1">
      <c r="A23" s="411"/>
      <c r="B23" s="326"/>
      <c r="C23" s="222" t="s">
        <v>1796</v>
      </c>
      <c r="D23" s="47"/>
      <c r="E23" s="233"/>
      <c r="F23" s="214">
        <f t="shared" ref="F23:Q23" si="3">SUBTOTAL(9,F24:F26)</f>
        <v>23</v>
      </c>
      <c r="G23" s="215">
        <f t="shared" si="3"/>
        <v>38.4</v>
      </c>
      <c r="H23" s="215">
        <f t="shared" si="3"/>
        <v>72</v>
      </c>
      <c r="I23" s="215">
        <f t="shared" si="3"/>
        <v>91</v>
      </c>
      <c r="J23" s="215">
        <f t="shared" si="3"/>
        <v>102</v>
      </c>
      <c r="K23" s="216">
        <f t="shared" si="3"/>
        <v>102</v>
      </c>
      <c r="L23" s="709">
        <f t="shared" si="3"/>
        <v>23</v>
      </c>
      <c r="M23" s="710">
        <f t="shared" si="3"/>
        <v>38.4</v>
      </c>
      <c r="N23" s="710">
        <f t="shared" si="3"/>
        <v>72</v>
      </c>
      <c r="O23" s="710">
        <f t="shared" si="3"/>
        <v>91</v>
      </c>
      <c r="P23" s="710">
        <f t="shared" si="3"/>
        <v>102</v>
      </c>
      <c r="Q23" s="711">
        <f t="shared" si="3"/>
        <v>102</v>
      </c>
      <c r="R23" s="620"/>
      <c r="T23" s="294" t="str">
        <f t="shared" si="1"/>
        <v>2. 사업계획</v>
      </c>
      <c r="U23" s="37"/>
      <c r="V23" s="39"/>
      <c r="W23" s="37"/>
      <c r="X23" s="117"/>
      <c r="Y23" s="37"/>
      <c r="Z23" s="37"/>
      <c r="AA23" s="228"/>
      <c r="AB23" s="231"/>
      <c r="AC23" s="195">
        <f ca="1">SUBTOTAL(9,AC24:AC26)</f>
        <v>123849642</v>
      </c>
      <c r="AD23" s="196"/>
      <c r="AE23" s="150" t="str">
        <f t="shared" si="2"/>
        <v/>
      </c>
      <c r="AF23" s="150"/>
      <c r="AG23" s="304"/>
    </row>
    <row r="24" spans="1:33" ht="18" customHeight="1">
      <c r="A24" s="411"/>
      <c r="B24" s="326">
        <v>3</v>
      </c>
      <c r="C24" s="223" t="s">
        <v>1798</v>
      </c>
      <c r="D24" s="23"/>
      <c r="E24" s="233">
        <v>1</v>
      </c>
      <c r="F24" s="197">
        <v>19</v>
      </c>
      <c r="G24" s="198">
        <v>30.4</v>
      </c>
      <c r="H24" s="198">
        <v>51</v>
      </c>
      <c r="I24" s="198">
        <v>66</v>
      </c>
      <c r="J24" s="198">
        <v>71</v>
      </c>
      <c r="K24" s="199">
        <v>71</v>
      </c>
      <c r="L24" s="197">
        <f t="array" ref="L24:Q25">ROUNDDOWN(F24:K25*E24:E25*G6,3)</f>
        <v>19</v>
      </c>
      <c r="M24" s="198">
        <v>30.4</v>
      </c>
      <c r="N24" s="198">
        <v>51</v>
      </c>
      <c r="O24" s="198">
        <v>66</v>
      </c>
      <c r="P24" s="198">
        <v>71</v>
      </c>
      <c r="Q24" s="199">
        <v>71</v>
      </c>
      <c r="R24" s="389" t="s">
        <v>1828</v>
      </c>
      <c r="T24" s="295" t="str">
        <f t="shared" si="1"/>
        <v>2.1. 기본계획</v>
      </c>
      <c r="U24" s="37"/>
      <c r="V24" s="39"/>
      <c r="W24" s="37"/>
      <c r="X24" s="117"/>
      <c r="Y24" s="37"/>
      <c r="Z24" s="37"/>
      <c r="AA24" s="228"/>
      <c r="AB24" s="231"/>
      <c r="AC24" s="153">
        <f t="array" aca="1" ref="AC24" ca="1">SUM((ROUNDDOWN((L24:Q24)*단가,0)))</f>
        <v>90035012</v>
      </c>
      <c r="AD24" s="154"/>
      <c r="AE24" s="150" t="str">
        <f t="shared" si="2"/>
        <v>제 3 호표</v>
      </c>
      <c r="AF24" s="150"/>
      <c r="AG24" s="304"/>
    </row>
    <row r="25" spans="1:33" ht="18" customHeight="1">
      <c r="A25" s="411"/>
      <c r="B25" s="326">
        <v>4</v>
      </c>
      <c r="C25" s="223" t="s">
        <v>1797</v>
      </c>
      <c r="D25" s="23"/>
      <c r="E25" s="233">
        <v>1</v>
      </c>
      <c r="F25" s="281">
        <v>1.6</v>
      </c>
      <c r="G25" s="282">
        <v>3.2</v>
      </c>
      <c r="H25" s="282">
        <v>9</v>
      </c>
      <c r="I25" s="282">
        <v>8</v>
      </c>
      <c r="J25" s="282">
        <v>10</v>
      </c>
      <c r="K25" s="283">
        <v>10</v>
      </c>
      <c r="L25" s="281">
        <v>1.6</v>
      </c>
      <c r="M25" s="282">
        <v>3.2</v>
      </c>
      <c r="N25" s="282">
        <v>9</v>
      </c>
      <c r="O25" s="282">
        <v>8</v>
      </c>
      <c r="P25" s="282">
        <v>10</v>
      </c>
      <c r="Q25" s="283">
        <v>10</v>
      </c>
      <c r="R25" s="389" t="s">
        <v>1829</v>
      </c>
      <c r="T25" s="295" t="str">
        <f t="shared" si="1"/>
        <v>2.2. 자금계획</v>
      </c>
      <c r="U25" s="37"/>
      <c r="V25" s="39"/>
      <c r="W25" s="37"/>
      <c r="X25" s="117"/>
      <c r="Y25" s="37"/>
      <c r="Z25" s="37"/>
      <c r="AA25" s="228"/>
      <c r="AB25" s="231"/>
      <c r="AC25" s="153">
        <f t="array" aca="1" ref="AC25" ca="1">SUM((ROUNDDOWN((L25:Q25)*단가,0)))</f>
        <v>11956796</v>
      </c>
      <c r="AD25" s="154"/>
      <c r="AE25" s="150" t="str">
        <f t="shared" si="2"/>
        <v>제 4 호표</v>
      </c>
      <c r="AF25" s="150"/>
      <c r="AG25" s="304"/>
    </row>
    <row r="26" spans="1:33" ht="18" customHeight="1">
      <c r="A26" s="411"/>
      <c r="B26" s="326">
        <v>5</v>
      </c>
      <c r="C26" s="259" t="s">
        <v>1799</v>
      </c>
      <c r="D26" s="43"/>
      <c r="E26" s="328">
        <v>1</v>
      </c>
      <c r="F26" s="206">
        <v>2.4</v>
      </c>
      <c r="G26" s="207">
        <v>4.8</v>
      </c>
      <c r="H26" s="207">
        <v>12</v>
      </c>
      <c r="I26" s="207">
        <v>17</v>
      </c>
      <c r="J26" s="207">
        <v>21</v>
      </c>
      <c r="K26" s="208">
        <v>21</v>
      </c>
      <c r="L26" s="206">
        <f t="array" ref="L26:Q26">ROUNDDOWN(F26:K26*E26*G7,3)</f>
        <v>2.4</v>
      </c>
      <c r="M26" s="207">
        <v>4.8</v>
      </c>
      <c r="N26" s="207">
        <v>12</v>
      </c>
      <c r="O26" s="207">
        <v>17</v>
      </c>
      <c r="P26" s="207">
        <v>21</v>
      </c>
      <c r="Q26" s="208">
        <v>21</v>
      </c>
      <c r="R26" s="390" t="s">
        <v>1833</v>
      </c>
      <c r="T26" s="295" t="str">
        <f t="shared" si="1"/>
        <v>2.3. 사업계획서</v>
      </c>
      <c r="U26" s="37"/>
      <c r="V26" s="39"/>
      <c r="W26" s="37"/>
      <c r="X26" s="117"/>
      <c r="Y26" s="37"/>
      <c r="Z26" s="37"/>
      <c r="AA26" s="228"/>
      <c r="AB26" s="231"/>
      <c r="AC26" s="153">
        <f t="array" aca="1" ref="AC26" ca="1">SUM((ROUNDDOWN((L26:Q26)*단가,0)))</f>
        <v>21857834</v>
      </c>
      <c r="AD26" s="154"/>
      <c r="AE26" s="150" t="str">
        <f t="shared" si="2"/>
        <v>제 5 호표</v>
      </c>
      <c r="AF26" s="150"/>
      <c r="AG26" s="304"/>
    </row>
    <row r="27" spans="1:33" ht="18" customHeight="1">
      <c r="A27" s="411"/>
      <c r="B27" s="326"/>
      <c r="C27" s="288" t="s">
        <v>1800</v>
      </c>
      <c r="D27" s="47"/>
      <c r="E27" s="415"/>
      <c r="F27" s="412">
        <f t="shared" ref="F27:Q27" si="4">SUBTOTAL(9,F28)</f>
        <v>6</v>
      </c>
      <c r="G27" s="413">
        <f t="shared" si="4"/>
        <v>12</v>
      </c>
      <c r="H27" s="413">
        <f t="shared" si="4"/>
        <v>18</v>
      </c>
      <c r="I27" s="413">
        <f t="shared" si="4"/>
        <v>36</v>
      </c>
      <c r="J27" s="413">
        <f t="shared" si="4"/>
        <v>36</v>
      </c>
      <c r="K27" s="414">
        <f t="shared" si="4"/>
        <v>36</v>
      </c>
      <c r="L27" s="412">
        <f t="shared" si="4"/>
        <v>6</v>
      </c>
      <c r="M27" s="413">
        <f t="shared" si="4"/>
        <v>12</v>
      </c>
      <c r="N27" s="413">
        <f t="shared" si="4"/>
        <v>18</v>
      </c>
      <c r="O27" s="413">
        <f t="shared" si="4"/>
        <v>36</v>
      </c>
      <c r="P27" s="413">
        <f t="shared" si="4"/>
        <v>36</v>
      </c>
      <c r="Q27" s="414">
        <f t="shared" si="4"/>
        <v>36</v>
      </c>
      <c r="R27" s="620"/>
      <c r="T27" s="294" t="str">
        <f t="shared" si="1"/>
        <v>3. 보상계획</v>
      </c>
      <c r="U27" s="37"/>
      <c r="V27" s="39"/>
      <c r="W27" s="37"/>
      <c r="X27" s="117"/>
      <c r="Y27" s="37"/>
      <c r="Z27" s="37"/>
      <c r="AA27" s="228"/>
      <c r="AB27" s="231"/>
      <c r="AC27" s="715">
        <f ca="1">SUBTOTAL(9,AC28)</f>
        <v>40984074</v>
      </c>
      <c r="AD27" s="154"/>
      <c r="AE27" s="150" t="str">
        <f t="shared" si="2"/>
        <v/>
      </c>
      <c r="AF27" s="150"/>
      <c r="AG27" s="304"/>
    </row>
    <row r="28" spans="1:33" ht="18" customHeight="1">
      <c r="A28" s="411"/>
      <c r="B28" s="326">
        <v>6</v>
      </c>
      <c r="C28" s="224" t="s">
        <v>1801</v>
      </c>
      <c r="D28" s="27"/>
      <c r="E28" s="705">
        <v>1</v>
      </c>
      <c r="F28" s="200">
        <v>6</v>
      </c>
      <c r="G28" s="201">
        <v>12</v>
      </c>
      <c r="H28" s="201">
        <v>18</v>
      </c>
      <c r="I28" s="201">
        <v>36</v>
      </c>
      <c r="J28" s="201">
        <v>36</v>
      </c>
      <c r="K28" s="202">
        <v>36</v>
      </c>
      <c r="L28" s="200">
        <f t="array" ref="L28:Q28">ROUNDDOWN(F28:K28*E28*G7*G8,3)</f>
        <v>6</v>
      </c>
      <c r="M28" s="201">
        <v>12</v>
      </c>
      <c r="N28" s="201">
        <v>18</v>
      </c>
      <c r="O28" s="201">
        <v>36</v>
      </c>
      <c r="P28" s="201">
        <v>36</v>
      </c>
      <c r="Q28" s="202">
        <v>36</v>
      </c>
      <c r="R28" s="443" t="s">
        <v>1830</v>
      </c>
      <c r="T28" s="295" t="str">
        <f t="shared" si="1"/>
        <v>3.1. 유형보상</v>
      </c>
      <c r="U28" s="37"/>
      <c r="V28" s="39"/>
      <c r="W28" s="37"/>
      <c r="X28" s="117"/>
      <c r="Y28" s="37"/>
      <c r="Z28" s="37"/>
      <c r="AA28" s="228"/>
      <c r="AB28" s="231"/>
      <c r="AC28" s="153">
        <f t="array" aca="1" ref="AC28" ca="1">SUM((ROUNDDOWN((L28:Q28)*단가,0)))</f>
        <v>40984074</v>
      </c>
      <c r="AD28" s="154"/>
      <c r="AE28" s="150" t="str">
        <f t="shared" si="2"/>
        <v>제 6 호표</v>
      </c>
      <c r="AF28" s="150"/>
      <c r="AG28" s="304"/>
    </row>
    <row r="29" spans="1:33" ht="18" customHeight="1">
      <c r="A29" s="411"/>
      <c r="B29" s="326"/>
      <c r="C29" s="280" t="s">
        <v>1802</v>
      </c>
      <c r="D29" s="253"/>
      <c r="E29" s="701"/>
      <c r="F29" s="209">
        <f t="shared" ref="F29:Q29" si="5">SUBTOTAL(9,F30:F37)</f>
        <v>35.5</v>
      </c>
      <c r="G29" s="210">
        <f t="shared" si="5"/>
        <v>71</v>
      </c>
      <c r="H29" s="702">
        <f t="shared" si="5"/>
        <v>171</v>
      </c>
      <c r="I29" s="702">
        <f t="shared" si="5"/>
        <v>256.8</v>
      </c>
      <c r="J29" s="702">
        <f t="shared" si="5"/>
        <v>321.8</v>
      </c>
      <c r="K29" s="703">
        <f t="shared" si="5"/>
        <v>342.8</v>
      </c>
      <c r="L29" s="704">
        <f t="shared" si="5"/>
        <v>26.700000000000003</v>
      </c>
      <c r="M29" s="702">
        <f t="shared" si="5"/>
        <v>53.400000000000006</v>
      </c>
      <c r="N29" s="702">
        <f t="shared" si="5"/>
        <v>123</v>
      </c>
      <c r="O29" s="702">
        <f t="shared" si="5"/>
        <v>177.8</v>
      </c>
      <c r="P29" s="702">
        <f t="shared" si="5"/>
        <v>239.8</v>
      </c>
      <c r="Q29" s="703">
        <f t="shared" si="5"/>
        <v>260.8</v>
      </c>
      <c r="R29" s="653"/>
      <c r="T29" s="294" t="str">
        <f t="shared" si="1"/>
        <v>4. 환지계획</v>
      </c>
      <c r="U29" s="37"/>
      <c r="V29" s="39"/>
      <c r="W29" s="37"/>
      <c r="X29" s="117"/>
      <c r="Y29" s="37"/>
      <c r="Z29" s="37"/>
      <c r="AA29" s="228"/>
      <c r="AB29" s="231"/>
      <c r="AC29" s="195">
        <f ca="1">SUBTOTAL(9,AC30:AC37)</f>
        <v>244811766</v>
      </c>
      <c r="AD29" s="154"/>
      <c r="AE29" s="150" t="str">
        <f t="shared" si="2"/>
        <v/>
      </c>
      <c r="AF29" s="150"/>
      <c r="AG29" s="304"/>
    </row>
    <row r="30" spans="1:33" ht="18" customHeight="1">
      <c r="A30" s="411"/>
      <c r="B30" s="326">
        <v>7</v>
      </c>
      <c r="C30" s="223" t="s">
        <v>1803</v>
      </c>
      <c r="D30" s="23"/>
      <c r="E30" s="233">
        <v>1</v>
      </c>
      <c r="F30" s="197">
        <v>5.0999999999999996</v>
      </c>
      <c r="G30" s="198">
        <v>10.199999999999999</v>
      </c>
      <c r="H30" s="198">
        <v>27</v>
      </c>
      <c r="I30" s="198">
        <v>32.799999999999997</v>
      </c>
      <c r="J30" s="198">
        <v>42.8</v>
      </c>
      <c r="K30" s="199">
        <v>42.8</v>
      </c>
      <c r="L30" s="197">
        <f t="array" ref="L30:Q31">ROUNDDOWN(F30:K31*E30:E31*G7*G9,3)</f>
        <v>5.0999999999999996</v>
      </c>
      <c r="M30" s="198">
        <v>10.199999999999999</v>
      </c>
      <c r="N30" s="198">
        <v>27</v>
      </c>
      <c r="O30" s="198">
        <v>32.799999999999997</v>
      </c>
      <c r="P30" s="198">
        <v>42.8</v>
      </c>
      <c r="Q30" s="199">
        <v>42.8</v>
      </c>
      <c r="R30" s="389" t="s">
        <v>1832</v>
      </c>
      <c r="T30" s="295" t="str">
        <f t="shared" si="1"/>
        <v>4.1. 환지설계준비</v>
      </c>
      <c r="U30" s="37"/>
      <c r="V30" s="39"/>
      <c r="W30" s="37"/>
      <c r="X30" s="117"/>
      <c r="Y30" s="37"/>
      <c r="Z30" s="37"/>
      <c r="AA30" s="228"/>
      <c r="AB30" s="231"/>
      <c r="AC30" s="153">
        <f t="array" aca="1" ref="AC30" ca="1">SUM((ROUNDDOWN((L30:Q30)*단가,0)))</f>
        <v>45046768</v>
      </c>
      <c r="AD30" s="154"/>
      <c r="AE30" s="150" t="str">
        <f t="shared" si="2"/>
        <v>제 7 호표</v>
      </c>
      <c r="AF30" s="150"/>
      <c r="AG30" s="304"/>
    </row>
    <row r="31" spans="1:33" ht="18" customHeight="1">
      <c r="A31" s="411"/>
      <c r="B31" s="326">
        <v>8</v>
      </c>
      <c r="C31" s="223" t="s">
        <v>1804</v>
      </c>
      <c r="D31" s="23"/>
      <c r="E31" s="233">
        <v>1</v>
      </c>
      <c r="F31" s="197">
        <v>2</v>
      </c>
      <c r="G31" s="198">
        <v>4</v>
      </c>
      <c r="H31" s="198">
        <v>9</v>
      </c>
      <c r="I31" s="198">
        <v>12</v>
      </c>
      <c r="J31" s="198">
        <v>20</v>
      </c>
      <c r="K31" s="199">
        <v>20</v>
      </c>
      <c r="L31" s="197">
        <v>2</v>
      </c>
      <c r="M31" s="198">
        <v>4</v>
      </c>
      <c r="N31" s="198">
        <v>9</v>
      </c>
      <c r="O31" s="198">
        <v>12</v>
      </c>
      <c r="P31" s="198">
        <v>20</v>
      </c>
      <c r="Q31" s="199">
        <v>20</v>
      </c>
      <c r="R31" s="389" t="s">
        <v>1831</v>
      </c>
      <c r="T31" s="295" t="str">
        <f t="shared" si="1"/>
        <v>4.2. 토지평가</v>
      </c>
      <c r="U31" s="37"/>
      <c r="V31" s="39"/>
      <c r="W31" s="37"/>
      <c r="X31" s="117"/>
      <c r="Y31" s="37"/>
      <c r="Z31" s="37"/>
      <c r="AA31" s="228"/>
      <c r="AB31" s="231"/>
      <c r="AC31" s="153">
        <f t="array" aca="1" ref="AC31" ca="1">SUM((ROUNDDOWN((L31:Q31)*단가,0)))</f>
        <v>18478378</v>
      </c>
      <c r="AD31" s="154"/>
      <c r="AE31" s="150" t="str">
        <f t="shared" si="2"/>
        <v>제 8 호표</v>
      </c>
      <c r="AF31" s="150"/>
      <c r="AG31" s="304"/>
    </row>
    <row r="32" spans="1:33" ht="18" customHeight="1">
      <c r="A32" s="411"/>
      <c r="B32" s="678"/>
      <c r="C32" s="223" t="s">
        <v>1805</v>
      </c>
      <c r="D32" s="23"/>
      <c r="E32" s="233"/>
      <c r="F32" s="267"/>
      <c r="G32" s="268"/>
      <c r="H32" s="268"/>
      <c r="I32" s="268"/>
      <c r="J32" s="268"/>
      <c r="K32" s="269"/>
      <c r="L32" s="197">
        <f t="shared" ref="L32:Q32" si="6">SUBTOTAL(9,L33:L35)</f>
        <v>3.2</v>
      </c>
      <c r="M32" s="198">
        <f t="shared" si="6"/>
        <v>6.4</v>
      </c>
      <c r="N32" s="198">
        <f t="shared" si="6"/>
        <v>18</v>
      </c>
      <c r="O32" s="198">
        <f t="shared" si="6"/>
        <v>27</v>
      </c>
      <c r="P32" s="198">
        <f t="shared" si="6"/>
        <v>36</v>
      </c>
      <c r="Q32" s="199">
        <f t="shared" si="6"/>
        <v>36</v>
      </c>
      <c r="R32" s="389"/>
      <c r="T32" s="295" t="str">
        <f t="shared" si="1"/>
        <v>4.3. 환지계산</v>
      </c>
      <c r="U32" s="37"/>
      <c r="V32" s="39"/>
      <c r="W32" s="37"/>
      <c r="X32" s="117"/>
      <c r="Y32" s="37"/>
      <c r="Z32" s="37"/>
      <c r="AA32" s="228"/>
      <c r="AB32" s="231"/>
      <c r="AC32" s="715">
        <f ca="1">SUBTOTAL(9,AC33:AC35)</f>
        <v>34928847</v>
      </c>
      <c r="AD32" s="154"/>
      <c r="AE32" s="150" t="str">
        <f t="shared" si="2"/>
        <v/>
      </c>
      <c r="AF32" s="150"/>
      <c r="AG32" s="304"/>
    </row>
    <row r="33" spans="1:33" ht="18" customHeight="1">
      <c r="A33" s="411"/>
      <c r="B33" s="700" t="str">
        <f>IF($J$3=1,B31+1,"")</f>
        <v/>
      </c>
      <c r="C33" s="699" t="s">
        <v>1806</v>
      </c>
      <c r="D33" s="23"/>
      <c r="E33" s="233">
        <v>1</v>
      </c>
      <c r="F33" s="197">
        <v>3.2</v>
      </c>
      <c r="G33" s="198">
        <v>6.4</v>
      </c>
      <c r="H33" s="198">
        <v>18</v>
      </c>
      <c r="I33" s="198">
        <v>28</v>
      </c>
      <c r="J33" s="198">
        <v>31</v>
      </c>
      <c r="K33" s="199">
        <v>31</v>
      </c>
      <c r="L33" s="197">
        <f t="array" ref="L33:Q33">ROUNDDOWN(F33:K33*E33*$G$7*$G$9*IF(J3=1,1,0),3)</f>
        <v>0</v>
      </c>
      <c r="M33" s="198">
        <v>0</v>
      </c>
      <c r="N33" s="198">
        <v>0</v>
      </c>
      <c r="O33" s="198">
        <v>0</v>
      </c>
      <c r="P33" s="198">
        <v>0</v>
      </c>
      <c r="Q33" s="199">
        <v>0</v>
      </c>
      <c r="R33" s="389" t="s">
        <v>1831</v>
      </c>
      <c r="T33" s="303" t="str">
        <f t="shared" si="1"/>
        <v>4.3.1. 비례평가식</v>
      </c>
      <c r="U33" s="37"/>
      <c r="V33" s="39"/>
      <c r="W33" s="37"/>
      <c r="X33" s="117"/>
      <c r="Y33" s="37"/>
      <c r="Z33" s="37"/>
      <c r="AA33" s="228"/>
      <c r="AB33" s="231"/>
      <c r="AC33" s="153">
        <f t="array" aca="1" ref="AC33" ca="1">SUM((ROUNDDOWN((L33:Q33)*단가,0)))</f>
        <v>0</v>
      </c>
      <c r="AD33" s="154"/>
      <c r="AE33" s="150" t="str">
        <f t="shared" si="2"/>
        <v>제  호표</v>
      </c>
      <c r="AF33" s="150"/>
      <c r="AG33" s="304"/>
    </row>
    <row r="34" spans="1:33" ht="18" customHeight="1">
      <c r="A34" s="411"/>
      <c r="B34" s="700" t="str">
        <f>IF($J$3=2,B31+1,"")</f>
        <v/>
      </c>
      <c r="C34" s="699" t="s">
        <v>1809</v>
      </c>
      <c r="D34" s="23"/>
      <c r="E34" s="233">
        <v>1</v>
      </c>
      <c r="F34" s="197">
        <v>5.6</v>
      </c>
      <c r="G34" s="198">
        <v>11.2</v>
      </c>
      <c r="H34" s="198">
        <v>30</v>
      </c>
      <c r="I34" s="198">
        <v>51</v>
      </c>
      <c r="J34" s="198">
        <v>51</v>
      </c>
      <c r="K34" s="199">
        <v>51</v>
      </c>
      <c r="L34" s="197">
        <f t="array" ref="L34:Q34">ROUNDDOWN(F34:K34*E34*$G$7*$G$9*IF(J3=2,1,0),3)</f>
        <v>0</v>
      </c>
      <c r="M34" s="198">
        <v>0</v>
      </c>
      <c r="N34" s="198">
        <v>0</v>
      </c>
      <c r="O34" s="198">
        <v>0</v>
      </c>
      <c r="P34" s="198">
        <v>0</v>
      </c>
      <c r="Q34" s="199">
        <v>0</v>
      </c>
      <c r="R34" s="389" t="s">
        <v>1831</v>
      </c>
      <c r="T34" s="303" t="str">
        <f t="shared" si="1"/>
        <v>4.3.2. 절충식</v>
      </c>
      <c r="U34" s="37"/>
      <c r="V34" s="39"/>
      <c r="W34" s="37"/>
      <c r="X34" s="117"/>
      <c r="Y34" s="37"/>
      <c r="Z34" s="37"/>
      <c r="AA34" s="228"/>
      <c r="AB34" s="231"/>
      <c r="AC34" s="153">
        <f t="array" aca="1" ref="AC34" ca="1">SUM((ROUNDDOWN((L34:Q34)*단가,0)))</f>
        <v>0</v>
      </c>
      <c r="AD34" s="154"/>
      <c r="AE34" s="150" t="str">
        <f t="shared" si="2"/>
        <v>제  호표</v>
      </c>
      <c r="AF34" s="150"/>
      <c r="AG34" s="304"/>
    </row>
    <row r="35" spans="1:33" ht="18" customHeight="1">
      <c r="A35" s="411"/>
      <c r="B35" s="700">
        <f>IF($J$3=3,B31+1,"")</f>
        <v>9</v>
      </c>
      <c r="C35" s="699" t="s">
        <v>1808</v>
      </c>
      <c r="D35" s="23" t="s">
        <v>1807</v>
      </c>
      <c r="E35" s="233">
        <v>1</v>
      </c>
      <c r="F35" s="197">
        <v>3.2</v>
      </c>
      <c r="G35" s="198">
        <v>6.4</v>
      </c>
      <c r="H35" s="198">
        <v>18</v>
      </c>
      <c r="I35" s="198">
        <v>27</v>
      </c>
      <c r="J35" s="198">
        <v>36</v>
      </c>
      <c r="K35" s="199">
        <v>36</v>
      </c>
      <c r="L35" s="197">
        <f t="array" ref="L35:Q35">ROUNDDOWN(F35:K35*E35*$G$7*$G$9*IF(J3=3,1,0),3)</f>
        <v>3.2</v>
      </c>
      <c r="M35" s="198">
        <v>6.4</v>
      </c>
      <c r="N35" s="198">
        <v>18</v>
      </c>
      <c r="O35" s="198">
        <v>27</v>
      </c>
      <c r="P35" s="198">
        <v>36</v>
      </c>
      <c r="Q35" s="199">
        <v>36</v>
      </c>
      <c r="R35" s="389" t="s">
        <v>1831</v>
      </c>
      <c r="T35" s="303" t="str">
        <f t="shared" si="1"/>
        <v>4.3.3. 면적식</v>
      </c>
      <c r="U35" s="37"/>
      <c r="V35" s="39"/>
      <c r="W35" s="37"/>
      <c r="X35" s="117"/>
      <c r="Y35" s="37"/>
      <c r="Z35" s="37"/>
      <c r="AA35" s="228"/>
      <c r="AB35" s="231"/>
      <c r="AC35" s="153">
        <f t="array" aca="1" ref="AC35" ca="1">SUM((ROUNDDOWN((L35:Q35)*단가,0)))</f>
        <v>34928847</v>
      </c>
      <c r="AD35" s="154"/>
      <c r="AE35" s="150" t="str">
        <f t="shared" si="2"/>
        <v>제 9 호표</v>
      </c>
      <c r="AF35" s="150"/>
      <c r="AG35" s="304"/>
    </row>
    <row r="36" spans="1:33" ht="18" customHeight="1">
      <c r="A36" s="411"/>
      <c r="B36" s="326">
        <v>10</v>
      </c>
      <c r="C36" s="223" t="s">
        <v>1810</v>
      </c>
      <c r="D36" s="23"/>
      <c r="E36" s="233">
        <v>1</v>
      </c>
      <c r="F36" s="197">
        <v>12.4</v>
      </c>
      <c r="G36" s="198">
        <v>24.8</v>
      </c>
      <c r="H36" s="198">
        <v>54</v>
      </c>
      <c r="I36" s="198">
        <v>86</v>
      </c>
      <c r="J36" s="712">
        <v>111</v>
      </c>
      <c r="K36" s="713">
        <v>117</v>
      </c>
      <c r="L36" s="714">
        <f t="array" ref="L36:Q37">ROUNDDOWN(F36:K37*E36:E37*G7*G9,3)</f>
        <v>12.4</v>
      </c>
      <c r="M36" s="712">
        <v>24.8</v>
      </c>
      <c r="N36" s="712">
        <v>54</v>
      </c>
      <c r="O36" s="712">
        <v>86</v>
      </c>
      <c r="P36" s="712">
        <v>111</v>
      </c>
      <c r="Q36" s="713">
        <v>117</v>
      </c>
      <c r="R36" s="389" t="s">
        <v>1831</v>
      </c>
      <c r="T36" s="295" t="str">
        <f t="shared" si="1"/>
        <v>4.4. 환지할당</v>
      </c>
      <c r="U36" s="37"/>
      <c r="V36" s="39"/>
      <c r="W36" s="37"/>
      <c r="X36" s="117"/>
      <c r="Y36" s="37"/>
      <c r="Z36" s="37"/>
      <c r="AA36" s="228"/>
      <c r="AB36" s="231"/>
      <c r="AC36" s="153">
        <f t="array" aca="1" ref="AC36" ca="1">SUM((ROUNDDOWN((L36:Q36)*단가,0)))</f>
        <v>112618376</v>
      </c>
      <c r="AD36" s="154"/>
      <c r="AE36" s="150" t="str">
        <f t="shared" si="2"/>
        <v>제 10 호표</v>
      </c>
      <c r="AF36" s="150"/>
      <c r="AG36" s="304"/>
    </row>
    <row r="37" spans="1:33" ht="18" customHeight="1">
      <c r="A37" s="411"/>
      <c r="B37" s="326">
        <v>11</v>
      </c>
      <c r="C37" s="223" t="s">
        <v>1811</v>
      </c>
      <c r="D37" s="23"/>
      <c r="E37" s="233">
        <v>1</v>
      </c>
      <c r="F37" s="197">
        <v>4</v>
      </c>
      <c r="G37" s="198">
        <v>8</v>
      </c>
      <c r="H37" s="198">
        <v>15</v>
      </c>
      <c r="I37" s="198">
        <v>20</v>
      </c>
      <c r="J37" s="198">
        <v>30</v>
      </c>
      <c r="K37" s="199">
        <v>45</v>
      </c>
      <c r="L37" s="197">
        <v>4</v>
      </c>
      <c r="M37" s="198">
        <v>8</v>
      </c>
      <c r="N37" s="198">
        <v>15</v>
      </c>
      <c r="O37" s="198">
        <v>20</v>
      </c>
      <c r="P37" s="198">
        <v>30</v>
      </c>
      <c r="Q37" s="199">
        <v>45</v>
      </c>
      <c r="R37" s="389" t="s">
        <v>1831</v>
      </c>
      <c r="T37" s="295" t="str">
        <f t="shared" si="1"/>
        <v>4.5. 환지계산서</v>
      </c>
      <c r="U37" s="37"/>
      <c r="V37" s="39"/>
      <c r="W37" s="37"/>
      <c r="X37" s="117"/>
      <c r="Y37" s="37"/>
      <c r="Z37" s="37"/>
      <c r="AA37" s="228"/>
      <c r="AB37" s="231"/>
      <c r="AC37" s="153">
        <f t="array" aca="1" ref="AC37" ca="1">SUM((ROUNDDOWN((L37:Q37)*단가,0)))</f>
        <v>33739397</v>
      </c>
      <c r="AD37" s="154"/>
      <c r="AE37" s="150" t="str">
        <f t="shared" si="2"/>
        <v>제 11 호표</v>
      </c>
      <c r="AF37" s="150"/>
      <c r="AG37" s="304"/>
    </row>
    <row r="38" spans="1:33" ht="18" customHeight="1">
      <c r="A38" s="411"/>
      <c r="B38" s="326"/>
      <c r="C38" s="288" t="s">
        <v>1812</v>
      </c>
      <c r="D38" s="47"/>
      <c r="E38" s="233"/>
      <c r="F38" s="412">
        <f t="shared" ref="F38:Q38" si="7">SUBTOTAL(9,F39:F40)</f>
        <v>16.3</v>
      </c>
      <c r="G38" s="413">
        <f t="shared" si="7"/>
        <v>32.4</v>
      </c>
      <c r="H38" s="413">
        <f t="shared" si="7"/>
        <v>72.5</v>
      </c>
      <c r="I38" s="413">
        <f t="shared" si="7"/>
        <v>108.8</v>
      </c>
      <c r="J38" s="413">
        <f t="shared" si="7"/>
        <v>141.80000000000001</v>
      </c>
      <c r="K38" s="414">
        <f t="shared" si="7"/>
        <v>158.80000000000001</v>
      </c>
      <c r="L38" s="412">
        <f t="shared" si="7"/>
        <v>16.3</v>
      </c>
      <c r="M38" s="413">
        <f t="shared" si="7"/>
        <v>32.4</v>
      </c>
      <c r="N38" s="413">
        <f t="shared" si="7"/>
        <v>72.5</v>
      </c>
      <c r="O38" s="413">
        <f t="shared" si="7"/>
        <v>108.8</v>
      </c>
      <c r="P38" s="413">
        <f t="shared" si="7"/>
        <v>141.80000000000001</v>
      </c>
      <c r="Q38" s="414">
        <f t="shared" si="7"/>
        <v>158.80000000000001</v>
      </c>
      <c r="R38" s="620"/>
      <c r="T38" s="294" t="str">
        <f t="shared" si="1"/>
        <v>5. 환지처분</v>
      </c>
      <c r="U38" s="37"/>
      <c r="V38" s="39"/>
      <c r="W38" s="37"/>
      <c r="X38" s="117"/>
      <c r="Y38" s="37"/>
      <c r="Z38" s="37"/>
      <c r="AA38" s="228"/>
      <c r="AB38" s="231"/>
      <c r="AC38" s="195">
        <f ca="1">SUBTOTAL(9,AC39:AC40)</f>
        <v>147464278</v>
      </c>
      <c r="AD38" s="154"/>
      <c r="AE38" s="150" t="str">
        <f t="shared" si="2"/>
        <v/>
      </c>
      <c r="AF38" s="150"/>
      <c r="AG38" s="304"/>
    </row>
    <row r="39" spans="1:33" ht="18" customHeight="1">
      <c r="A39" s="411"/>
      <c r="B39" s="326">
        <v>12</v>
      </c>
      <c r="C39" s="223" t="s">
        <v>1813</v>
      </c>
      <c r="D39" s="23"/>
      <c r="E39" s="233">
        <v>1</v>
      </c>
      <c r="F39" s="714">
        <v>15.5</v>
      </c>
      <c r="G39" s="712">
        <v>31</v>
      </c>
      <c r="H39" s="712">
        <v>70</v>
      </c>
      <c r="I39" s="712">
        <v>101.8</v>
      </c>
      <c r="J39" s="712">
        <v>136.80000000000001</v>
      </c>
      <c r="K39" s="713">
        <v>155.80000000000001</v>
      </c>
      <c r="L39" s="714">
        <f t="array" ref="L39:Q40">ROUNDDOWN(F39:K40*E39:E40*G7*G9,3)</f>
        <v>15.5</v>
      </c>
      <c r="M39" s="712">
        <v>31</v>
      </c>
      <c r="N39" s="712">
        <v>70</v>
      </c>
      <c r="O39" s="712">
        <v>101.8</v>
      </c>
      <c r="P39" s="712">
        <v>136.80000000000001</v>
      </c>
      <c r="Q39" s="713">
        <v>155.80000000000001</v>
      </c>
      <c r="R39" s="389" t="s">
        <v>1831</v>
      </c>
      <c r="T39" s="295" t="str">
        <f t="shared" si="1"/>
        <v>5.1. 환지처분서</v>
      </c>
      <c r="U39" s="37"/>
      <c r="V39" s="39"/>
      <c r="W39" s="37"/>
      <c r="X39" s="117"/>
      <c r="Y39" s="37"/>
      <c r="Z39" s="37"/>
      <c r="AA39" s="228"/>
      <c r="AB39" s="231"/>
      <c r="AC39" s="153">
        <f t="array" aca="1" ref="AC39" ca="1">SUM((ROUNDDOWN((L39:Q39)*단가,0)))</f>
        <v>141797079</v>
      </c>
      <c r="AD39" s="154"/>
      <c r="AE39" s="150" t="str">
        <f t="shared" si="2"/>
        <v>제 12 호표</v>
      </c>
      <c r="AF39" s="150"/>
      <c r="AG39" s="304"/>
    </row>
    <row r="40" spans="1:33" ht="18" customHeight="1">
      <c r="A40" s="411"/>
      <c r="B40" s="326">
        <v>13</v>
      </c>
      <c r="C40" s="223" t="s">
        <v>1814</v>
      </c>
      <c r="D40" s="23"/>
      <c r="E40" s="233">
        <v>1</v>
      </c>
      <c r="F40" s="197">
        <v>0.8</v>
      </c>
      <c r="G40" s="198">
        <v>1.4</v>
      </c>
      <c r="H40" s="198">
        <v>2.5</v>
      </c>
      <c r="I40" s="198">
        <v>7</v>
      </c>
      <c r="J40" s="198">
        <v>5</v>
      </c>
      <c r="K40" s="199">
        <v>3</v>
      </c>
      <c r="L40" s="197">
        <v>0.8</v>
      </c>
      <c r="M40" s="198">
        <v>1.4</v>
      </c>
      <c r="N40" s="198">
        <v>2.5</v>
      </c>
      <c r="O40" s="198">
        <v>7</v>
      </c>
      <c r="P40" s="198">
        <v>5</v>
      </c>
      <c r="Q40" s="199">
        <v>3</v>
      </c>
      <c r="R40" s="389" t="s">
        <v>1831</v>
      </c>
      <c r="T40" s="295" t="str">
        <f t="shared" si="1"/>
        <v>5.2. 감가보상</v>
      </c>
      <c r="U40" s="37"/>
      <c r="V40" s="39"/>
      <c r="W40" s="37"/>
      <c r="X40" s="117"/>
      <c r="Y40" s="37"/>
      <c r="Z40" s="37"/>
      <c r="AA40" s="228"/>
      <c r="AB40" s="231"/>
      <c r="AC40" s="153">
        <f t="array" aca="1" ref="AC40" ca="1">SUM((ROUNDDOWN((L40:Q40)*단가,0)))</f>
        <v>5667199</v>
      </c>
      <c r="AD40" s="154"/>
      <c r="AE40" s="150" t="str">
        <f t="shared" si="2"/>
        <v>제 13 호표</v>
      </c>
      <c r="AF40" s="150"/>
      <c r="AG40" s="304"/>
    </row>
    <row r="41" spans="1:33" ht="18" customHeight="1">
      <c r="A41" s="411"/>
      <c r="B41" s="326"/>
      <c r="C41" s="288" t="s">
        <v>1815</v>
      </c>
      <c r="D41" s="47"/>
      <c r="E41" s="233"/>
      <c r="F41" s="412">
        <f t="shared" ref="F41:Q41" si="8">SUBTOTAL(9,F42:F43)</f>
        <v>3.8</v>
      </c>
      <c r="G41" s="413">
        <f t="shared" si="8"/>
        <v>9.9</v>
      </c>
      <c r="H41" s="413">
        <f t="shared" si="8"/>
        <v>28.799999999999997</v>
      </c>
      <c r="I41" s="413">
        <f t="shared" si="8"/>
        <v>74.7</v>
      </c>
      <c r="J41" s="413">
        <f t="shared" si="8"/>
        <v>104.9</v>
      </c>
      <c r="K41" s="414">
        <f t="shared" si="8"/>
        <v>112</v>
      </c>
      <c r="L41" s="412">
        <f t="shared" si="8"/>
        <v>3.8</v>
      </c>
      <c r="M41" s="413">
        <f t="shared" si="8"/>
        <v>9.9</v>
      </c>
      <c r="N41" s="413">
        <f t="shared" si="8"/>
        <v>28.799999999999997</v>
      </c>
      <c r="O41" s="413">
        <f t="shared" si="8"/>
        <v>74.7</v>
      </c>
      <c r="P41" s="413">
        <f t="shared" si="8"/>
        <v>104.9</v>
      </c>
      <c r="Q41" s="414">
        <f t="shared" si="8"/>
        <v>112</v>
      </c>
      <c r="R41" s="620"/>
      <c r="T41" s="294" t="str">
        <f t="shared" si="1"/>
        <v>6. 등기</v>
      </c>
      <c r="U41" s="37"/>
      <c r="V41" s="39"/>
      <c r="W41" s="37"/>
      <c r="X41" s="117"/>
      <c r="Y41" s="37"/>
      <c r="Z41" s="37"/>
      <c r="AA41" s="228"/>
      <c r="AB41" s="231"/>
      <c r="AC41" s="195">
        <f ca="1">SUBTOTAL(9,AC42:AC43)</f>
        <v>89181273</v>
      </c>
      <c r="AD41" s="154"/>
      <c r="AE41" s="150" t="str">
        <f t="shared" si="2"/>
        <v/>
      </c>
      <c r="AF41" s="150"/>
      <c r="AG41" s="304"/>
    </row>
    <row r="42" spans="1:33" ht="18" customHeight="1">
      <c r="A42" s="411"/>
      <c r="B42" s="326">
        <v>14</v>
      </c>
      <c r="C42" s="289" t="s">
        <v>1816</v>
      </c>
      <c r="D42" s="253"/>
      <c r="E42" s="233">
        <v>1</v>
      </c>
      <c r="F42" s="714">
        <v>3.3</v>
      </c>
      <c r="G42" s="712">
        <v>8.6</v>
      </c>
      <c r="H42" s="712">
        <v>24.4</v>
      </c>
      <c r="I42" s="712">
        <v>57.1</v>
      </c>
      <c r="J42" s="712">
        <v>73.7</v>
      </c>
      <c r="K42" s="713">
        <v>80.8</v>
      </c>
      <c r="L42" s="714">
        <f t="array" ref="L42:Q43">ROUNDDOWN(F42:K43*E42:E43*G7*G9,3)</f>
        <v>3.3</v>
      </c>
      <c r="M42" s="712">
        <v>8.6</v>
      </c>
      <c r="N42" s="712">
        <v>24.4</v>
      </c>
      <c r="O42" s="712">
        <v>57.1</v>
      </c>
      <c r="P42" s="712">
        <v>73.7</v>
      </c>
      <c r="Q42" s="713">
        <v>80.8</v>
      </c>
      <c r="R42" s="389" t="s">
        <v>1831</v>
      </c>
      <c r="T42" s="295" t="str">
        <f t="shared" si="1"/>
        <v>6.1. 토지등기</v>
      </c>
      <c r="U42" s="37"/>
      <c r="V42" s="39"/>
      <c r="W42" s="37"/>
      <c r="X42" s="117"/>
      <c r="Y42" s="37"/>
      <c r="Z42" s="37"/>
      <c r="AA42" s="228"/>
      <c r="AB42" s="231"/>
      <c r="AC42" s="153">
        <f t="array" aca="1" ref="AC42" ca="1">SUM((ROUNDDOWN((L42:Q42)*단가,0)))</f>
        <v>66750956</v>
      </c>
      <c r="AD42" s="154"/>
      <c r="AE42" s="150" t="str">
        <f t="shared" si="2"/>
        <v>제 14 호표</v>
      </c>
      <c r="AF42" s="150"/>
      <c r="AG42" s="304"/>
    </row>
    <row r="43" spans="1:33" ht="18" customHeight="1">
      <c r="A43" s="411"/>
      <c r="B43" s="326">
        <v>15</v>
      </c>
      <c r="C43" s="289" t="s">
        <v>1817</v>
      </c>
      <c r="D43" s="253"/>
      <c r="E43" s="233">
        <v>1</v>
      </c>
      <c r="F43" s="197">
        <v>0.5</v>
      </c>
      <c r="G43" s="198">
        <v>1.3</v>
      </c>
      <c r="H43" s="198">
        <v>4.4000000000000004</v>
      </c>
      <c r="I43" s="198">
        <v>17.600000000000001</v>
      </c>
      <c r="J43" s="198">
        <v>31.2</v>
      </c>
      <c r="K43" s="199">
        <v>31.2</v>
      </c>
      <c r="L43" s="197">
        <v>0.5</v>
      </c>
      <c r="M43" s="198">
        <v>1.3</v>
      </c>
      <c r="N43" s="198">
        <v>4.4000000000000004</v>
      </c>
      <c r="O43" s="198">
        <v>17.600000000000001</v>
      </c>
      <c r="P43" s="198">
        <v>31.2</v>
      </c>
      <c r="Q43" s="199">
        <v>31.2</v>
      </c>
      <c r="R43" s="389" t="s">
        <v>1830</v>
      </c>
      <c r="T43" s="295" t="str">
        <f t="shared" si="1"/>
        <v>6.2. 건물등기</v>
      </c>
      <c r="U43" s="37"/>
      <c r="V43" s="39"/>
      <c r="W43" s="37"/>
      <c r="X43" s="117"/>
      <c r="Y43" s="37"/>
      <c r="Z43" s="37"/>
      <c r="AA43" s="228"/>
      <c r="AB43" s="231"/>
      <c r="AC43" s="153">
        <f t="array" aca="1" ref="AC43" ca="1">SUM((ROUNDDOWN((L43:Q43)*단가,0)))</f>
        <v>22430317</v>
      </c>
      <c r="AD43" s="154"/>
      <c r="AE43" s="150" t="str">
        <f t="shared" si="2"/>
        <v>제 15 호표</v>
      </c>
      <c r="AF43" s="150"/>
      <c r="AG43" s="304"/>
    </row>
    <row r="44" spans="1:33" ht="18" customHeight="1">
      <c r="A44" s="411"/>
      <c r="B44" s="326"/>
      <c r="C44" s="288" t="s">
        <v>1818</v>
      </c>
      <c r="D44" s="47"/>
      <c r="E44" s="415"/>
      <c r="F44" s="412">
        <f t="shared" ref="F44:Q44" si="9">SUBTOTAL(9,F45:F46)</f>
        <v>1</v>
      </c>
      <c r="G44" s="413">
        <f t="shared" si="9"/>
        <v>3.4</v>
      </c>
      <c r="H44" s="413">
        <f t="shared" si="9"/>
        <v>7.6999999999999993</v>
      </c>
      <c r="I44" s="413">
        <f t="shared" si="9"/>
        <v>7.1999999999999993</v>
      </c>
      <c r="J44" s="413">
        <f t="shared" si="9"/>
        <v>17.7</v>
      </c>
      <c r="K44" s="414">
        <f t="shared" si="9"/>
        <v>19.5</v>
      </c>
      <c r="L44" s="412">
        <f t="shared" si="9"/>
        <v>1</v>
      </c>
      <c r="M44" s="413">
        <f t="shared" si="9"/>
        <v>3.4</v>
      </c>
      <c r="N44" s="413">
        <f t="shared" si="9"/>
        <v>7.6999999999999993</v>
      </c>
      <c r="O44" s="413">
        <f t="shared" si="9"/>
        <v>7.1999999999999993</v>
      </c>
      <c r="P44" s="413">
        <f t="shared" si="9"/>
        <v>17.7</v>
      </c>
      <c r="Q44" s="414">
        <f t="shared" si="9"/>
        <v>19.5</v>
      </c>
      <c r="R44" s="620"/>
      <c r="T44" s="294" t="str">
        <f t="shared" si="1"/>
        <v>7. 성과품 작성</v>
      </c>
      <c r="U44" s="37"/>
      <c r="V44" s="39"/>
      <c r="W44" s="37"/>
      <c r="X44" s="117"/>
      <c r="Y44" s="37"/>
      <c r="Z44" s="37"/>
      <c r="AA44" s="228"/>
      <c r="AB44" s="231"/>
      <c r="AC44" s="195">
        <f ca="1">SUBTOTAL(9,AC45:AC46)</f>
        <v>15299734</v>
      </c>
      <c r="AD44" s="154"/>
      <c r="AE44" s="150" t="str">
        <f t="shared" si="2"/>
        <v/>
      </c>
      <c r="AF44" s="150"/>
      <c r="AG44" s="304"/>
    </row>
    <row r="45" spans="1:33" ht="18" customHeight="1">
      <c r="A45" s="411"/>
      <c r="B45" s="326">
        <v>16</v>
      </c>
      <c r="C45" s="289" t="s">
        <v>1819</v>
      </c>
      <c r="D45" s="253"/>
      <c r="E45" s="233">
        <v>1</v>
      </c>
      <c r="F45" s="416">
        <v>0.7</v>
      </c>
      <c r="G45" s="417">
        <v>2.2999999999999998</v>
      </c>
      <c r="H45" s="417">
        <v>5.0999999999999996</v>
      </c>
      <c r="I45" s="417">
        <v>4.3</v>
      </c>
      <c r="J45" s="417">
        <v>7.7</v>
      </c>
      <c r="K45" s="418">
        <v>5.6</v>
      </c>
      <c r="L45" s="416">
        <f t="array" ref="L45:Q46">ROUNDDOWN(F45:K46*E45:E46*G7,3)</f>
        <v>0.7</v>
      </c>
      <c r="M45" s="417">
        <v>2.2999999999999998</v>
      </c>
      <c r="N45" s="417">
        <v>5.0999999999999996</v>
      </c>
      <c r="O45" s="417">
        <v>4.3</v>
      </c>
      <c r="P45" s="417">
        <v>7.7</v>
      </c>
      <c r="Q45" s="418">
        <v>5.6</v>
      </c>
      <c r="R45" s="389" t="s">
        <v>1094</v>
      </c>
      <c r="T45" s="295" t="str">
        <f t="shared" si="1"/>
        <v>7.1. 보고서작성 및 편집</v>
      </c>
      <c r="U45" s="37"/>
      <c r="V45" s="39"/>
      <c r="W45" s="37"/>
      <c r="X45" s="117"/>
      <c r="Y45" s="37"/>
      <c r="Z45" s="37"/>
      <c r="AA45" s="228"/>
      <c r="AB45" s="231"/>
      <c r="AC45" s="153">
        <f t="array" aca="1" ref="AC45" ca="1">SUM((ROUNDDOWN((L45:Q45)*단가,0)))</f>
        <v>7253884</v>
      </c>
      <c r="AD45" s="154"/>
      <c r="AE45" s="150" t="str">
        <f t="shared" si="2"/>
        <v>제 16 호표</v>
      </c>
      <c r="AF45" s="150"/>
      <c r="AG45" s="304"/>
    </row>
    <row r="46" spans="1:33" ht="18" customHeight="1">
      <c r="A46" s="411"/>
      <c r="B46" s="326">
        <f>B45+1</f>
        <v>17</v>
      </c>
      <c r="C46" s="289" t="s">
        <v>1820</v>
      </c>
      <c r="D46" s="253"/>
      <c r="E46" s="233">
        <v>1</v>
      </c>
      <c r="F46" s="419">
        <v>0.3</v>
      </c>
      <c r="G46" s="420">
        <v>1.1000000000000001</v>
      </c>
      <c r="H46" s="420">
        <v>2.6</v>
      </c>
      <c r="I46" s="420">
        <v>2.9</v>
      </c>
      <c r="J46" s="420">
        <v>10</v>
      </c>
      <c r="K46" s="421">
        <v>13.9</v>
      </c>
      <c r="L46" s="419">
        <v>0.3</v>
      </c>
      <c r="M46" s="420">
        <v>1.1000000000000001</v>
      </c>
      <c r="N46" s="420">
        <v>2.6</v>
      </c>
      <c r="O46" s="420">
        <v>2.9</v>
      </c>
      <c r="P46" s="420">
        <v>10</v>
      </c>
      <c r="Q46" s="421">
        <v>13.9</v>
      </c>
      <c r="R46" s="389" t="s">
        <v>1094</v>
      </c>
      <c r="T46" s="295" t="str">
        <f t="shared" si="1"/>
        <v>7.2. 관련도서 작성</v>
      </c>
      <c r="U46" s="37"/>
      <c r="V46" s="39"/>
      <c r="W46" s="37"/>
      <c r="X46" s="117"/>
      <c r="Y46" s="37"/>
      <c r="Z46" s="37"/>
      <c r="AA46" s="228"/>
      <c r="AB46" s="231"/>
      <c r="AC46" s="153">
        <f t="array" aca="1" ref="AC46" ca="1">SUM((ROUNDDOWN((L46:Q46)*단가,0)))</f>
        <v>8045850</v>
      </c>
      <c r="AD46" s="154"/>
      <c r="AE46" s="150" t="str">
        <f t="shared" si="2"/>
        <v>제 17 호표</v>
      </c>
      <c r="AF46" s="150"/>
      <c r="AG46" s="304"/>
    </row>
    <row r="47" spans="1:33" ht="18" customHeight="1">
      <c r="A47" s="411"/>
      <c r="B47" s="326"/>
      <c r="C47" s="288" t="s">
        <v>1821</v>
      </c>
      <c r="D47" s="47"/>
      <c r="E47" s="415"/>
      <c r="F47" s="412">
        <f t="shared" ref="F47:Q47" si="10">SUBTOTAL(9,F48:F51)</f>
        <v>8</v>
      </c>
      <c r="G47" s="413">
        <f t="shared" si="10"/>
        <v>8</v>
      </c>
      <c r="H47" s="413">
        <f t="shared" si="10"/>
        <v>8</v>
      </c>
      <c r="I47" s="413">
        <f t="shared" si="10"/>
        <v>16</v>
      </c>
      <c r="J47" s="413">
        <f t="shared" si="10"/>
        <v>16</v>
      </c>
      <c r="K47" s="414">
        <f t="shared" si="10"/>
        <v>16</v>
      </c>
      <c r="L47" s="412">
        <f t="shared" si="10"/>
        <v>8</v>
      </c>
      <c r="M47" s="413">
        <f t="shared" si="10"/>
        <v>8</v>
      </c>
      <c r="N47" s="413">
        <f t="shared" si="10"/>
        <v>8</v>
      </c>
      <c r="O47" s="413">
        <f t="shared" si="10"/>
        <v>16</v>
      </c>
      <c r="P47" s="413">
        <f t="shared" si="10"/>
        <v>16</v>
      </c>
      <c r="Q47" s="414">
        <f t="shared" si="10"/>
        <v>16</v>
      </c>
      <c r="R47" s="620"/>
      <c r="T47" s="294" t="str">
        <f t="shared" si="1"/>
        <v>8. 기술협의</v>
      </c>
      <c r="U47" s="37"/>
      <c r="V47" s="39"/>
      <c r="W47" s="37"/>
      <c r="X47" s="117"/>
      <c r="Y47" s="37"/>
      <c r="Z47" s="37"/>
      <c r="AA47" s="228"/>
      <c r="AB47" s="231"/>
      <c r="AC47" s="195">
        <f ca="1">SUBTOTAL(9,AC48:AC51)</f>
        <v>21702576</v>
      </c>
      <c r="AD47" s="154"/>
      <c r="AE47" s="150" t="str">
        <f t="shared" si="2"/>
        <v/>
      </c>
      <c r="AF47" s="150"/>
      <c r="AG47" s="304"/>
    </row>
    <row r="48" spans="1:33" ht="18" customHeight="1">
      <c r="B48" s="326">
        <f>B46+1</f>
        <v>18</v>
      </c>
      <c r="C48" s="289" t="s">
        <v>1822</v>
      </c>
      <c r="D48" s="253"/>
      <c r="E48" s="233">
        <v>1</v>
      </c>
      <c r="F48" s="416">
        <v>2</v>
      </c>
      <c r="G48" s="417">
        <v>2</v>
      </c>
      <c r="H48" s="417">
        <v>2</v>
      </c>
      <c r="I48" s="417">
        <v>4</v>
      </c>
      <c r="J48" s="417">
        <v>4</v>
      </c>
      <c r="K48" s="418">
        <v>4</v>
      </c>
      <c r="L48" s="197">
        <f t="array" ref="L48:Q51">ROUNDDOWN(F48:K51*E48:E51*G11,3)</f>
        <v>2</v>
      </c>
      <c r="M48" s="198">
        <v>2</v>
      </c>
      <c r="N48" s="198">
        <v>2</v>
      </c>
      <c r="O48" s="198">
        <v>4</v>
      </c>
      <c r="P48" s="198">
        <v>4</v>
      </c>
      <c r="Q48" s="199">
        <v>4</v>
      </c>
      <c r="R48" s="389" t="s">
        <v>1834</v>
      </c>
      <c r="T48" s="295" t="str">
        <f t="shared" si="1"/>
        <v>8.1. 공청회/주민설명회</v>
      </c>
      <c r="U48" s="37"/>
      <c r="V48" s="39"/>
      <c r="W48" s="37"/>
      <c r="X48" s="117"/>
      <c r="Y48" s="37"/>
      <c r="Z48" s="37"/>
      <c r="AA48" s="228"/>
      <c r="AB48" s="231"/>
      <c r="AC48" s="153">
        <f t="array" aca="1" ref="AC48" ca="1">SUM((ROUNDDOWN((L48:Q48)*단가,0)))</f>
        <v>5425644</v>
      </c>
      <c r="AD48" s="154"/>
      <c r="AE48" s="150" t="str">
        <f t="shared" si="2"/>
        <v>제 18 호표</v>
      </c>
      <c r="AF48" s="150"/>
      <c r="AG48" s="304"/>
    </row>
    <row r="49" spans="2:33" ht="18" customHeight="1">
      <c r="B49" s="326">
        <f>B48+1</f>
        <v>19</v>
      </c>
      <c r="C49" s="289" t="s">
        <v>1823</v>
      </c>
      <c r="D49" s="253"/>
      <c r="E49" s="233">
        <v>1</v>
      </c>
      <c r="F49" s="419">
        <v>2</v>
      </c>
      <c r="G49" s="420">
        <v>2</v>
      </c>
      <c r="H49" s="420">
        <v>2</v>
      </c>
      <c r="I49" s="420">
        <v>4</v>
      </c>
      <c r="J49" s="420">
        <v>4</v>
      </c>
      <c r="K49" s="421">
        <v>4</v>
      </c>
      <c r="L49" s="281">
        <v>2</v>
      </c>
      <c r="M49" s="282">
        <v>2</v>
      </c>
      <c r="N49" s="282">
        <v>2</v>
      </c>
      <c r="O49" s="282">
        <v>4</v>
      </c>
      <c r="P49" s="282">
        <v>4</v>
      </c>
      <c r="Q49" s="283">
        <v>4</v>
      </c>
      <c r="R49" s="389" t="s">
        <v>1689</v>
      </c>
      <c r="T49" s="295" t="str">
        <f t="shared" si="1"/>
        <v>8.2. 주민간담회/시민계획단</v>
      </c>
      <c r="U49" s="37"/>
      <c r="V49" s="39"/>
      <c r="W49" s="37"/>
      <c r="X49" s="117"/>
      <c r="Y49" s="37"/>
      <c r="Z49" s="37"/>
      <c r="AA49" s="228"/>
      <c r="AB49" s="231"/>
      <c r="AC49" s="153">
        <f t="array" aca="1" ref="AC49" ca="1">SUM((ROUNDDOWN((L49:Q49)*단가,0)))</f>
        <v>5425644</v>
      </c>
      <c r="AD49" s="154"/>
      <c r="AE49" s="150" t="str">
        <f t="shared" si="2"/>
        <v>제 19 호표</v>
      </c>
      <c r="AF49" s="150"/>
      <c r="AG49" s="304"/>
    </row>
    <row r="50" spans="2:33" ht="18" customHeight="1">
      <c r="B50" s="326">
        <f>B49+1</f>
        <v>20</v>
      </c>
      <c r="C50" s="289" t="s">
        <v>1824</v>
      </c>
      <c r="D50" s="253"/>
      <c r="E50" s="233">
        <v>1</v>
      </c>
      <c r="F50" s="416">
        <v>2</v>
      </c>
      <c r="G50" s="417">
        <v>2</v>
      </c>
      <c r="H50" s="417">
        <v>2</v>
      </c>
      <c r="I50" s="417">
        <v>4</v>
      </c>
      <c r="J50" s="417">
        <v>4</v>
      </c>
      <c r="K50" s="418">
        <v>4</v>
      </c>
      <c r="L50" s="197">
        <v>2</v>
      </c>
      <c r="M50" s="198">
        <v>2</v>
      </c>
      <c r="N50" s="198">
        <v>2</v>
      </c>
      <c r="O50" s="198">
        <v>4</v>
      </c>
      <c r="P50" s="198">
        <v>4</v>
      </c>
      <c r="Q50" s="199">
        <v>4</v>
      </c>
      <c r="R50" s="389" t="s">
        <v>1689</v>
      </c>
      <c r="T50" s="295" t="str">
        <f t="shared" si="1"/>
        <v>8.3. 위원회 심의 지원</v>
      </c>
      <c r="U50" s="37"/>
      <c r="V50" s="39"/>
      <c r="W50" s="37"/>
      <c r="X50" s="117"/>
      <c r="Y50" s="37"/>
      <c r="Z50" s="37"/>
      <c r="AA50" s="228"/>
      <c r="AB50" s="231"/>
      <c r="AC50" s="153">
        <f t="array" aca="1" ref="AC50" ca="1">SUM((ROUNDDOWN((L50:Q50)*단가,0)))</f>
        <v>5425644</v>
      </c>
      <c r="AD50" s="154"/>
      <c r="AE50" s="150" t="str">
        <f t="shared" si="2"/>
        <v>제 20 호표</v>
      </c>
      <c r="AF50" s="150"/>
      <c r="AG50" s="304"/>
    </row>
    <row r="51" spans="2:33" ht="18" customHeight="1" thickBot="1">
      <c r="B51" s="326">
        <f>B50+1</f>
        <v>21</v>
      </c>
      <c r="C51" s="388" t="s">
        <v>1825</v>
      </c>
      <c r="D51" s="342"/>
      <c r="E51" s="422">
        <v>1</v>
      </c>
      <c r="F51" s="423">
        <v>2</v>
      </c>
      <c r="G51" s="424">
        <v>2</v>
      </c>
      <c r="H51" s="424">
        <v>2</v>
      </c>
      <c r="I51" s="424">
        <v>4</v>
      </c>
      <c r="J51" s="424">
        <v>4</v>
      </c>
      <c r="K51" s="425">
        <v>4</v>
      </c>
      <c r="L51" s="343">
        <v>2</v>
      </c>
      <c r="M51" s="344">
        <v>2</v>
      </c>
      <c r="N51" s="344">
        <v>2</v>
      </c>
      <c r="O51" s="344">
        <v>4</v>
      </c>
      <c r="P51" s="344">
        <v>4</v>
      </c>
      <c r="Q51" s="345">
        <v>4</v>
      </c>
      <c r="R51" s="612" t="s">
        <v>1689</v>
      </c>
      <c r="T51" s="295" t="str">
        <f t="shared" si="1"/>
        <v>8.4. 관계기관 협의</v>
      </c>
      <c r="U51" s="37"/>
      <c r="V51" s="39"/>
      <c r="W51" s="37"/>
      <c r="X51" s="117"/>
      <c r="Y51" s="37"/>
      <c r="Z51" s="37"/>
      <c r="AA51" s="228"/>
      <c r="AB51" s="231"/>
      <c r="AC51" s="153">
        <f t="array" aca="1" ref="AC51" ca="1">SUM((ROUNDDOWN((L51:Q51)*단가,0)))</f>
        <v>5425644</v>
      </c>
      <c r="AD51" s="154"/>
      <c r="AE51" s="150" t="str">
        <f t="shared" si="2"/>
        <v>제 21 호표</v>
      </c>
      <c r="AF51" s="150"/>
      <c r="AG51" s="304"/>
    </row>
    <row r="52" spans="2:33" ht="18" customHeight="1">
      <c r="B52" s="326"/>
      <c r="C52" s="1" t="s">
        <v>1837</v>
      </c>
      <c r="D52" s="1" t="s">
        <v>1838</v>
      </c>
      <c r="E52" s="278"/>
      <c r="F52" s="278"/>
      <c r="G52" s="278"/>
      <c r="H52" s="278"/>
      <c r="I52" s="278"/>
      <c r="J52" s="278"/>
      <c r="K52" s="278"/>
      <c r="L52" s="278"/>
      <c r="M52" s="278"/>
      <c r="N52" s="278"/>
      <c r="O52" s="278"/>
      <c r="P52" s="278"/>
      <c r="Q52" s="278"/>
      <c r="R52" s="278"/>
      <c r="T52" s="290" t="s">
        <v>453</v>
      </c>
      <c r="U52" s="129"/>
      <c r="V52" s="130"/>
      <c r="W52" s="124"/>
      <c r="X52" s="131"/>
      <c r="Y52" s="124"/>
      <c r="Z52" s="124"/>
      <c r="AA52" s="181"/>
      <c r="AB52" s="181"/>
      <c r="AC52" s="159">
        <f>SUBTOTAL(9,AC53:AC55)</f>
        <v>0</v>
      </c>
      <c r="AD52" s="160"/>
      <c r="AE52" s="124"/>
      <c r="AF52" s="124"/>
    </row>
    <row r="53" spans="2:33" ht="18" customHeight="1">
      <c r="B53" s="326"/>
      <c r="C53" s="297"/>
      <c r="D53" s="1" t="s">
        <v>1839</v>
      </c>
      <c r="E53" s="278"/>
      <c r="F53" s="278"/>
      <c r="G53" s="278"/>
      <c r="H53" s="278"/>
      <c r="I53" s="278"/>
      <c r="J53" s="278"/>
      <c r="K53" s="278"/>
      <c r="L53" s="278"/>
      <c r="M53" s="278"/>
      <c r="N53" s="278"/>
      <c r="O53" s="278"/>
      <c r="P53" s="278"/>
      <c r="Q53" s="278"/>
      <c r="R53" s="278"/>
      <c r="T53" s="291" t="str">
        <f>"여비("&amp;TEXT(X53,"#인 ×")&amp;TEXT(Y53,"#일 ×")&amp;TEXT(Z53,"###,###원)")</f>
        <v>여비(인 ×10일 ×100,000원)</v>
      </c>
      <c r="U53" s="78"/>
      <c r="V53" s="52"/>
      <c r="W53" s="51"/>
      <c r="X53" s="146">
        <v>0</v>
      </c>
      <c r="Y53" s="146">
        <v>10</v>
      </c>
      <c r="Z53" s="147">
        <v>100000</v>
      </c>
      <c r="AA53" s="182"/>
      <c r="AB53" s="182"/>
      <c r="AC53" s="161">
        <f>X53*Y53*Z53</f>
        <v>0</v>
      </c>
      <c r="AD53" s="162"/>
      <c r="AE53" s="51"/>
      <c r="AF53" s="51"/>
    </row>
    <row r="54" spans="2:33" ht="18" customHeight="1">
      <c r="B54" s="326"/>
      <c r="D54" s="1" t="s">
        <v>1840</v>
      </c>
      <c r="E54" s="278"/>
      <c r="F54" s="278"/>
      <c r="G54" s="278"/>
      <c r="H54" s="278"/>
      <c r="I54" s="278"/>
      <c r="J54" s="278"/>
      <c r="K54" s="278"/>
      <c r="L54" s="278"/>
      <c r="M54" s="278"/>
      <c r="N54" s="278"/>
      <c r="O54" s="278"/>
      <c r="P54" s="278"/>
      <c r="Q54" s="278"/>
      <c r="R54" s="278"/>
      <c r="T54" s="292" t="s">
        <v>46</v>
      </c>
      <c r="U54" s="79"/>
      <c r="V54" s="39"/>
      <c r="W54" s="37"/>
      <c r="X54" s="117"/>
      <c r="Y54" s="37"/>
      <c r="Z54" s="37"/>
      <c r="AA54" s="180"/>
      <c r="AB54" s="180"/>
      <c r="AC54" s="157">
        <v>0</v>
      </c>
      <c r="AD54" s="158"/>
      <c r="AE54" s="37"/>
      <c r="AF54" s="37"/>
    </row>
    <row r="55" spans="2:33" ht="18" customHeight="1">
      <c r="B55" s="326"/>
      <c r="C55" s="278"/>
      <c r="D55" s="278"/>
      <c r="E55" s="278"/>
      <c r="F55" s="278"/>
      <c r="G55" s="278"/>
      <c r="H55" s="278"/>
      <c r="I55" s="278"/>
      <c r="J55" s="278"/>
      <c r="K55" s="278"/>
      <c r="L55" s="278"/>
      <c r="M55" s="278"/>
      <c r="N55" s="278"/>
      <c r="O55" s="278"/>
      <c r="P55" s="278"/>
      <c r="Q55" s="278"/>
      <c r="R55" s="278"/>
      <c r="T55" s="293" t="s">
        <v>79</v>
      </c>
      <c r="U55" s="132"/>
      <c r="V55" s="38"/>
      <c r="W55" s="38"/>
      <c r="X55" s="116"/>
      <c r="Y55" s="38"/>
      <c r="Z55" s="38"/>
      <c r="AA55" s="183"/>
      <c r="AB55" s="183"/>
      <c r="AC55" s="155">
        <v>0</v>
      </c>
      <c r="AD55" s="156"/>
      <c r="AE55" s="38"/>
      <c r="AF55" s="38"/>
    </row>
    <row r="56" spans="2:33" ht="18" customHeight="1">
      <c r="B56" s="326"/>
      <c r="C56" s="278"/>
      <c r="D56" s="278"/>
      <c r="E56" s="278"/>
      <c r="F56" s="278"/>
      <c r="G56" s="278"/>
      <c r="H56" s="278"/>
      <c r="I56" s="278"/>
      <c r="J56" s="278"/>
      <c r="K56" s="278"/>
      <c r="L56" s="278"/>
      <c r="M56" s="278"/>
      <c r="N56" s="278"/>
      <c r="O56" s="278"/>
      <c r="P56" s="278"/>
      <c r="Q56" s="278"/>
      <c r="R56" s="278"/>
      <c r="T56" s="127" t="s">
        <v>47</v>
      </c>
      <c r="U56" s="123"/>
      <c r="V56" s="123"/>
      <c r="W56" s="123"/>
      <c r="X56" s="123"/>
      <c r="Y56" s="123"/>
      <c r="Z56" s="123"/>
      <c r="AA56" s="184"/>
      <c r="AB56" s="184"/>
      <c r="AC56" s="163">
        <f ca="1">SUBTOTAL(9,AC57:AC58)</f>
        <v>1355535956</v>
      </c>
      <c r="AD56" s="164"/>
      <c r="AE56" s="123"/>
      <c r="AF56" s="123"/>
    </row>
    <row r="57" spans="2:33" ht="18" customHeight="1">
      <c r="B57" s="326"/>
      <c r="C57" s="278"/>
      <c r="D57" s="278"/>
      <c r="E57" s="278"/>
      <c r="F57" s="278"/>
      <c r="G57" s="278"/>
      <c r="H57" s="278"/>
      <c r="I57" s="278"/>
      <c r="J57" s="278"/>
      <c r="K57" s="278"/>
      <c r="L57" s="278"/>
      <c r="M57" s="278"/>
      <c r="N57" s="278"/>
      <c r="O57" s="278"/>
      <c r="P57" s="278"/>
      <c r="Q57" s="278"/>
      <c r="R57" s="278"/>
      <c r="T57" s="133" t="s">
        <v>861</v>
      </c>
      <c r="U57" s="124"/>
      <c r="V57" s="134"/>
      <c r="W57" s="124"/>
      <c r="X57" s="131"/>
      <c r="Y57" s="124"/>
      <c r="Z57" s="181"/>
      <c r="AA57" s="181"/>
      <c r="AB57" s="190">
        <v>1.1499999999999999</v>
      </c>
      <c r="AC57" s="159">
        <f ca="1">ROUNDDOWN(AC19*AB57,0)</f>
        <v>868449220</v>
      </c>
      <c r="AD57" s="160"/>
      <c r="AE57" s="124"/>
      <c r="AF57" s="124"/>
    </row>
    <row r="58" spans="2:33" ht="18" customHeight="1" thickBot="1">
      <c r="B58" s="326"/>
      <c r="C58" s="278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78"/>
      <c r="O58" s="278"/>
      <c r="P58" s="278"/>
      <c r="Q58" s="278"/>
      <c r="R58" s="278"/>
      <c r="T58" s="135" t="s">
        <v>862</v>
      </c>
      <c r="U58" s="136"/>
      <c r="V58" s="137"/>
      <c r="W58" s="136"/>
      <c r="X58" s="138"/>
      <c r="Y58" s="136"/>
      <c r="Z58" s="185"/>
      <c r="AA58" s="185"/>
      <c r="AB58" s="191">
        <v>0.3</v>
      </c>
      <c r="AC58" s="165">
        <f ca="1">ROUNDDOWN((AC19+AC57)*AB58,0)</f>
        <v>487086736</v>
      </c>
      <c r="AD58" s="166"/>
      <c r="AE58" s="136"/>
      <c r="AF58" s="136"/>
    </row>
    <row r="59" spans="2:33" ht="18" customHeight="1">
      <c r="B59" s="326"/>
      <c r="C59" s="278"/>
      <c r="D59" s="278"/>
      <c r="E59" s="278"/>
      <c r="F59" s="278"/>
      <c r="G59" s="278"/>
      <c r="H59" s="278"/>
      <c r="I59" s="278"/>
      <c r="J59" s="278"/>
      <c r="K59" s="278"/>
      <c r="L59" s="278"/>
      <c r="M59" s="278"/>
      <c r="N59" s="278"/>
      <c r="O59" s="278"/>
      <c r="P59" s="278"/>
      <c r="Q59" s="278"/>
      <c r="R59" s="278"/>
    </row>
    <row r="60" spans="2:33" ht="18" customHeight="1">
      <c r="B60" s="326"/>
      <c r="C60" s="278"/>
      <c r="D60" s="278"/>
      <c r="E60" s="278"/>
      <c r="F60" s="278"/>
      <c r="G60" s="278"/>
      <c r="H60" s="278"/>
      <c r="I60" s="278"/>
      <c r="J60" s="278"/>
      <c r="K60" s="278"/>
      <c r="L60" s="278"/>
      <c r="M60" s="278"/>
      <c r="N60" s="278"/>
      <c r="O60" s="278"/>
      <c r="P60" s="278"/>
      <c r="Q60" s="278"/>
      <c r="R60" s="278"/>
    </row>
    <row r="61" spans="2:33" ht="18" customHeight="1" thickBot="1">
      <c r="B61" s="326"/>
      <c r="C61" s="278"/>
      <c r="D61" s="278"/>
      <c r="E61" s="278"/>
      <c r="F61" s="278"/>
      <c r="G61" s="278"/>
      <c r="H61" s="278"/>
      <c r="I61" s="278"/>
      <c r="J61" s="278"/>
      <c r="K61" s="278"/>
      <c r="L61" s="278"/>
      <c r="M61" s="278"/>
      <c r="N61" s="278"/>
      <c r="O61" s="278"/>
      <c r="P61" s="278"/>
      <c r="Q61" s="278"/>
      <c r="R61" s="278"/>
      <c r="T61" s="66" t="s">
        <v>18</v>
      </c>
      <c r="U61" s="2"/>
      <c r="V61" s="2"/>
      <c r="W61" s="2"/>
      <c r="X61" s="3"/>
      <c r="Y61" s="4"/>
      <c r="Z61" s="3"/>
      <c r="AA61" s="4"/>
      <c r="AB61" s="3"/>
      <c r="AC61" s="4"/>
      <c r="AD61" s="3"/>
      <c r="AE61" s="4"/>
      <c r="AF61" s="2"/>
    </row>
    <row r="62" spans="2:33" ht="18" customHeight="1">
      <c r="B62" s="326"/>
      <c r="C62" s="278"/>
      <c r="D62" s="278"/>
      <c r="E62" s="278"/>
      <c r="F62" s="278"/>
      <c r="G62" s="278"/>
      <c r="H62" s="278"/>
      <c r="I62" s="278"/>
      <c r="J62" s="278"/>
      <c r="K62" s="278"/>
      <c r="L62" s="278"/>
      <c r="M62" s="278"/>
      <c r="N62" s="278"/>
      <c r="O62" s="278"/>
      <c r="P62" s="278"/>
      <c r="Q62" s="278"/>
      <c r="R62" s="278"/>
      <c r="T62" s="765" t="s">
        <v>19</v>
      </c>
      <c r="U62" s="755" t="s">
        <v>20</v>
      </c>
      <c r="V62" s="755" t="s">
        <v>21</v>
      </c>
      <c r="W62" s="755" t="s">
        <v>80</v>
      </c>
      <c r="X62" s="5" t="s">
        <v>22</v>
      </c>
      <c r="Y62" s="5"/>
      <c r="Z62" s="5" t="s">
        <v>23</v>
      </c>
      <c r="AA62" s="5"/>
      <c r="AB62" s="5" t="s">
        <v>24</v>
      </c>
      <c r="AC62" s="5"/>
      <c r="AD62" s="5" t="s">
        <v>25</v>
      </c>
      <c r="AE62" s="5"/>
      <c r="AF62" s="755" t="s">
        <v>26</v>
      </c>
    </row>
    <row r="63" spans="2:33" ht="18" customHeight="1" thickBot="1">
      <c r="B63" s="326"/>
      <c r="C63" s="278"/>
      <c r="D63" s="278"/>
      <c r="E63" s="278"/>
      <c r="F63" s="278"/>
      <c r="G63" s="278"/>
      <c r="H63" s="278"/>
      <c r="I63" s="278"/>
      <c r="J63" s="278"/>
      <c r="K63" s="278"/>
      <c r="L63" s="278"/>
      <c r="M63" s="278"/>
      <c r="N63" s="278"/>
      <c r="O63" s="278"/>
      <c r="P63" s="278"/>
      <c r="Q63" s="278"/>
      <c r="R63" s="278"/>
      <c r="T63" s="766"/>
      <c r="U63" s="756"/>
      <c r="V63" s="756"/>
      <c r="W63" s="756"/>
      <c r="X63" s="67" t="s">
        <v>27</v>
      </c>
      <c r="Y63" s="67" t="s">
        <v>28</v>
      </c>
      <c r="Z63" s="67" t="s">
        <v>27</v>
      </c>
      <c r="AA63" s="67" t="s">
        <v>28</v>
      </c>
      <c r="AB63" s="67" t="s">
        <v>27</v>
      </c>
      <c r="AC63" s="67" t="s">
        <v>28</v>
      </c>
      <c r="AD63" s="67" t="s">
        <v>27</v>
      </c>
      <c r="AE63" s="67" t="s">
        <v>28</v>
      </c>
      <c r="AF63" s="756"/>
    </row>
    <row r="64" spans="2:33" ht="18" customHeight="1" thickTop="1">
      <c r="B64" s="326"/>
      <c r="C64" s="278"/>
      <c r="D64" s="278"/>
      <c r="E64" s="278"/>
      <c r="F64" s="278"/>
      <c r="G64" s="278"/>
      <c r="H64" s="278"/>
      <c r="I64" s="278"/>
      <c r="J64" s="278"/>
      <c r="K64" s="278"/>
      <c r="L64" s="278"/>
      <c r="M64" s="278"/>
      <c r="N64" s="278"/>
      <c r="O64" s="278"/>
      <c r="P64" s="278"/>
      <c r="Q64" s="278"/>
      <c r="R64" s="278"/>
      <c r="T64" s="318" t="str">
        <f ca="1">"제 " &amp; AF64 &amp; " 호표  "&amp; OFFSET($T$1,MATCH(AF64,$B:$B,0)-1,0)</f>
        <v>제 1 호표  1.1. 토지 및 권리조사</v>
      </c>
      <c r="U64" s="221"/>
      <c r="V64" s="148"/>
      <c r="W64" s="148"/>
      <c r="X64" s="149"/>
      <c r="Y64" s="149"/>
      <c r="Z64" s="149"/>
      <c r="AA64" s="149"/>
      <c r="AB64" s="149"/>
      <c r="AC64" s="149"/>
      <c r="AD64" s="149"/>
      <c r="AE64" s="149"/>
      <c r="AF64" s="325">
        <v>1</v>
      </c>
    </row>
    <row r="65" spans="2:32" ht="18" customHeight="1">
      <c r="B65" s="326"/>
      <c r="C65" s="278"/>
      <c r="D65" s="278"/>
      <c r="E65" s="278"/>
      <c r="F65" s="278"/>
      <c r="G65" s="278"/>
      <c r="H65" s="278"/>
      <c r="I65" s="278"/>
      <c r="J65" s="278"/>
      <c r="K65" s="278"/>
      <c r="L65" s="278"/>
      <c r="M65" s="278"/>
      <c r="N65" s="278"/>
      <c r="O65" s="278"/>
      <c r="P65" s="278"/>
      <c r="Q65" s="278"/>
      <c r="R65" s="278"/>
      <c r="T65" s="140" t="s">
        <v>43</v>
      </c>
      <c r="U65" s="172"/>
      <c r="V65" s="219">
        <f ca="1">OFFSET($L$1,MATCH($AF64,$B:$B,0)-1,0)</f>
        <v>1.5</v>
      </c>
      <c r="W65" s="141" t="s">
        <v>29</v>
      </c>
      <c r="X65" s="142">
        <f t="shared" ref="X65:Y70" ca="1" si="11">Z65</f>
        <v>467217</v>
      </c>
      <c r="Y65" s="142">
        <f t="shared" ca="1" si="11"/>
        <v>700825</v>
      </c>
      <c r="Z65" s="142">
        <f ca="1">기술사</f>
        <v>467217</v>
      </c>
      <c r="AA65" s="142">
        <f t="shared" ref="AA65:AA70" ca="1" si="12">ROUNDDOWN(V65*X65,0)</f>
        <v>700825</v>
      </c>
      <c r="AB65" s="142"/>
      <c r="AC65" s="142"/>
      <c r="AD65" s="142"/>
      <c r="AE65" s="142"/>
      <c r="AF65" s="114"/>
    </row>
    <row r="66" spans="2:32" ht="18" customHeight="1">
      <c r="B66" s="326"/>
      <c r="C66" s="278"/>
      <c r="D66" s="278"/>
      <c r="E66" s="278"/>
      <c r="F66" s="278"/>
      <c r="G66" s="278"/>
      <c r="H66" s="278"/>
      <c r="I66" s="278"/>
      <c r="J66" s="278"/>
      <c r="K66" s="278"/>
      <c r="L66" s="278"/>
      <c r="M66" s="278"/>
      <c r="N66" s="278"/>
      <c r="O66" s="278"/>
      <c r="P66" s="278"/>
      <c r="Q66" s="278"/>
      <c r="R66" s="278"/>
      <c r="T66" s="143" t="s">
        <v>32</v>
      </c>
      <c r="U66" s="173"/>
      <c r="V66" s="219">
        <f ca="1">OFFSET($L$1,MATCH($AF64,$B:$B,0)-1,1)</f>
        <v>4</v>
      </c>
      <c r="W66" s="144" t="s">
        <v>29</v>
      </c>
      <c r="X66" s="118">
        <f t="shared" ca="1" si="11"/>
        <v>373353</v>
      </c>
      <c r="Y66" s="118">
        <f t="shared" ca="1" si="11"/>
        <v>1493412</v>
      </c>
      <c r="Z66" s="118">
        <f ca="1">특급</f>
        <v>373353</v>
      </c>
      <c r="AA66" s="118">
        <f t="shared" ca="1" si="12"/>
        <v>1493412</v>
      </c>
      <c r="AB66" s="118"/>
      <c r="AC66" s="118"/>
      <c r="AD66" s="118"/>
      <c r="AE66" s="118"/>
      <c r="AF66" s="115"/>
    </row>
    <row r="67" spans="2:32" ht="18" customHeight="1">
      <c r="B67" s="326"/>
      <c r="C67" s="278"/>
      <c r="D67" s="278"/>
      <c r="E67" s="278"/>
      <c r="F67" s="278"/>
      <c r="G67" s="278"/>
      <c r="H67" s="278"/>
      <c r="I67" s="278"/>
      <c r="J67" s="278"/>
      <c r="K67" s="278"/>
      <c r="L67" s="278"/>
      <c r="M67" s="278"/>
      <c r="N67" s="278"/>
      <c r="O67" s="278"/>
      <c r="P67" s="278"/>
      <c r="Q67" s="278"/>
      <c r="R67" s="278"/>
      <c r="T67" s="145" t="s">
        <v>39</v>
      </c>
      <c r="U67" s="173"/>
      <c r="V67" s="219">
        <f ca="1">OFFSET($L$1,MATCH($AF64,$B:$B,0)-1,2)</f>
        <v>15.5</v>
      </c>
      <c r="W67" s="144" t="s">
        <v>29</v>
      </c>
      <c r="X67" s="118">
        <f t="shared" ca="1" si="11"/>
        <v>310884</v>
      </c>
      <c r="Y67" s="118">
        <f t="shared" ca="1" si="11"/>
        <v>4818702</v>
      </c>
      <c r="Z67" s="118">
        <f ca="1">고급</f>
        <v>310884</v>
      </c>
      <c r="AA67" s="118">
        <f t="shared" ca="1" si="12"/>
        <v>4818702</v>
      </c>
      <c r="AB67" s="118"/>
      <c r="AC67" s="118"/>
      <c r="AD67" s="118"/>
      <c r="AE67" s="118"/>
      <c r="AF67" s="115"/>
    </row>
    <row r="68" spans="2:32" ht="18" customHeight="1">
      <c r="B68" s="326"/>
      <c r="C68" s="278"/>
      <c r="D68" s="278"/>
      <c r="E68" s="278"/>
      <c r="F68" s="278"/>
      <c r="G68" s="278"/>
      <c r="H68" s="278"/>
      <c r="I68" s="278"/>
      <c r="J68" s="278"/>
      <c r="K68" s="278"/>
      <c r="L68" s="278"/>
      <c r="M68" s="278"/>
      <c r="N68" s="278"/>
      <c r="O68" s="278"/>
      <c r="P68" s="278"/>
      <c r="Q68" s="278"/>
      <c r="R68" s="278"/>
      <c r="T68" s="145" t="s">
        <v>40</v>
      </c>
      <c r="U68" s="173"/>
      <c r="V68" s="219">
        <f ca="1">OFFSET($L$1,MATCH($AF64,$B:$B,0)-1,3)</f>
        <v>21</v>
      </c>
      <c r="W68" s="144" t="s">
        <v>29</v>
      </c>
      <c r="X68" s="118">
        <f t="shared" ca="1" si="11"/>
        <v>295138</v>
      </c>
      <c r="Y68" s="118">
        <f t="shared" ca="1" si="11"/>
        <v>6197898</v>
      </c>
      <c r="Z68" s="118">
        <f ca="1">중급</f>
        <v>295138</v>
      </c>
      <c r="AA68" s="118">
        <f t="shared" ca="1" si="12"/>
        <v>6197898</v>
      </c>
      <c r="AB68" s="118"/>
      <c r="AC68" s="118"/>
      <c r="AD68" s="118"/>
      <c r="AE68" s="118"/>
      <c r="AF68" s="115"/>
    </row>
    <row r="69" spans="2:32" ht="18" customHeight="1">
      <c r="B69" s="326"/>
      <c r="C69" s="278"/>
      <c r="D69" s="278"/>
      <c r="E69" s="278"/>
      <c r="F69" s="278"/>
      <c r="G69" s="278"/>
      <c r="H69" s="278"/>
      <c r="I69" s="278"/>
      <c r="J69" s="278"/>
      <c r="K69" s="278"/>
      <c r="L69" s="278"/>
      <c r="M69" s="278"/>
      <c r="N69" s="278"/>
      <c r="O69" s="278"/>
      <c r="P69" s="278"/>
      <c r="Q69" s="278"/>
      <c r="R69" s="278"/>
      <c r="T69" s="145" t="s">
        <v>41</v>
      </c>
      <c r="U69" s="173"/>
      <c r="V69" s="219">
        <f ca="1">OFFSET($L$1,MATCH($AF64,$B:$B,0)-1,4)</f>
        <v>23</v>
      </c>
      <c r="W69" s="144" t="s">
        <v>29</v>
      </c>
      <c r="X69" s="118">
        <f t="shared" ca="1" si="11"/>
        <v>235459</v>
      </c>
      <c r="Y69" s="118">
        <f t="shared" ca="1" si="11"/>
        <v>5415557</v>
      </c>
      <c r="Z69" s="118">
        <f ca="1">초급</f>
        <v>235459</v>
      </c>
      <c r="AA69" s="118">
        <f t="shared" ca="1" si="12"/>
        <v>5415557</v>
      </c>
      <c r="AB69" s="118"/>
      <c r="AC69" s="118"/>
      <c r="AD69" s="118"/>
      <c r="AE69" s="118"/>
      <c r="AF69" s="115"/>
    </row>
    <row r="70" spans="2:32" ht="18" customHeight="1">
      <c r="B70" s="326"/>
      <c r="C70" s="278"/>
      <c r="D70" s="278"/>
      <c r="E70" s="278"/>
      <c r="F70" s="278"/>
      <c r="G70" s="278"/>
      <c r="H70" s="278"/>
      <c r="I70" s="278"/>
      <c r="J70" s="278"/>
      <c r="K70" s="278"/>
      <c r="L70" s="278"/>
      <c r="M70" s="278"/>
      <c r="N70" s="278"/>
      <c r="O70" s="278"/>
      <c r="P70" s="278"/>
      <c r="Q70" s="278"/>
      <c r="R70" s="278"/>
      <c r="T70" s="319" t="s">
        <v>42</v>
      </c>
      <c r="U70" s="320"/>
      <c r="V70" s="321">
        <f ca="1">OFFSET($L$1,MATCH($AF64,$B:$B,0)-1,5)</f>
        <v>23.5</v>
      </c>
      <c r="W70" s="322" t="s">
        <v>29</v>
      </c>
      <c r="X70" s="323">
        <f t="shared" ca="1" si="11"/>
        <v>250087</v>
      </c>
      <c r="Y70" s="323">
        <f t="shared" ca="1" si="11"/>
        <v>5877044</v>
      </c>
      <c r="Z70" s="323">
        <f ca="1">보조원</f>
        <v>250087</v>
      </c>
      <c r="AA70" s="323">
        <f t="shared" ca="1" si="12"/>
        <v>5877044</v>
      </c>
      <c r="AB70" s="323"/>
      <c r="AC70" s="323"/>
      <c r="AD70" s="323"/>
      <c r="AE70" s="323"/>
      <c r="AF70" s="324"/>
    </row>
    <row r="71" spans="2:32" ht="18" customHeight="1">
      <c r="B71" s="326"/>
      <c r="C71" s="278"/>
      <c r="D71" s="278"/>
      <c r="E71" s="278"/>
      <c r="F71" s="278"/>
      <c r="G71" s="278"/>
      <c r="H71" s="278"/>
      <c r="I71" s="278"/>
      <c r="J71" s="278"/>
      <c r="K71" s="278"/>
      <c r="L71" s="278"/>
      <c r="M71" s="278"/>
      <c r="N71" s="278"/>
      <c r="O71" s="278"/>
      <c r="P71" s="278"/>
      <c r="Q71" s="278"/>
      <c r="R71" s="278"/>
      <c r="T71" s="139" t="s">
        <v>106</v>
      </c>
      <c r="U71" s="68"/>
      <c r="V71" s="69"/>
      <c r="W71" s="70"/>
      <c r="X71" s="71"/>
      <c r="Y71" s="71">
        <f ca="1">SUBTOTAL(9,Y65:Y70)</f>
        <v>24503438</v>
      </c>
      <c r="Z71" s="71"/>
      <c r="AA71" s="71">
        <f ca="1">SUBTOTAL(9,AA65:AA70)</f>
        <v>24503438</v>
      </c>
      <c r="AB71" s="71"/>
      <c r="AC71" s="71"/>
      <c r="AD71" s="71"/>
      <c r="AE71" s="71"/>
      <c r="AF71" s="68"/>
    </row>
    <row r="72" spans="2:32" ht="18" customHeight="1">
      <c r="B72" s="326"/>
      <c r="C72" s="278"/>
      <c r="D72" s="278"/>
      <c r="E72" s="278"/>
      <c r="F72" s="278"/>
      <c r="G72" s="278"/>
      <c r="H72" s="278"/>
      <c r="I72" s="278"/>
      <c r="J72" s="278"/>
      <c r="K72" s="278"/>
      <c r="L72" s="278"/>
      <c r="M72" s="278"/>
      <c r="N72" s="278"/>
      <c r="O72" s="278"/>
      <c r="P72" s="278"/>
      <c r="Q72" s="278"/>
      <c r="R72" s="278"/>
      <c r="T72" s="318" t="str">
        <f ca="1">"제 " &amp; AF72 &amp; " 호표  "&amp; OFFSET($T$1,MATCH(AF72,$B:$B,0)-1,0)</f>
        <v>제 2 호표  1.2. 도시시설조사</v>
      </c>
      <c r="U72" s="221"/>
      <c r="V72" s="148"/>
      <c r="W72" s="148"/>
      <c r="X72" s="149"/>
      <c r="Y72" s="149"/>
      <c r="Z72" s="149"/>
      <c r="AA72" s="149"/>
      <c r="AB72" s="149"/>
      <c r="AC72" s="149"/>
      <c r="AD72" s="149"/>
      <c r="AE72" s="149"/>
      <c r="AF72" s="325">
        <f>AF64+1</f>
        <v>2</v>
      </c>
    </row>
    <row r="73" spans="2:32" ht="18" customHeight="1">
      <c r="B73" s="326"/>
      <c r="C73" s="278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78"/>
      <c r="O73" s="278"/>
      <c r="P73" s="278"/>
      <c r="Q73" s="278"/>
      <c r="R73" s="278"/>
      <c r="T73" s="140" t="s">
        <v>43</v>
      </c>
      <c r="U73" s="172"/>
      <c r="V73" s="219">
        <f ca="1">OFFSET($L$1,MATCH($AF72,$B:$B,0)-1,0)</f>
        <v>3.3</v>
      </c>
      <c r="W73" s="141" t="s">
        <v>29</v>
      </c>
      <c r="X73" s="142">
        <f t="shared" ref="X73:Y78" ca="1" si="13">Z73</f>
        <v>467217</v>
      </c>
      <c r="Y73" s="142">
        <f t="shared" ca="1" si="13"/>
        <v>1541816</v>
      </c>
      <c r="Z73" s="142">
        <f ca="1">기술사</f>
        <v>467217</v>
      </c>
      <c r="AA73" s="142">
        <f t="shared" ref="AA73:AA78" ca="1" si="14">ROUNDDOWN(V73*X73,0)</f>
        <v>1541816</v>
      </c>
      <c r="AB73" s="142"/>
      <c r="AC73" s="142"/>
      <c r="AD73" s="142"/>
      <c r="AE73" s="142"/>
      <c r="AF73" s="114"/>
    </row>
    <row r="74" spans="2:32" ht="18" customHeight="1">
      <c r="B74" s="326"/>
      <c r="C74" s="278"/>
      <c r="D74" s="278"/>
      <c r="E74" s="278"/>
      <c r="F74" s="278"/>
      <c r="G74" s="278"/>
      <c r="H74" s="278"/>
      <c r="I74" s="278"/>
      <c r="J74" s="278"/>
      <c r="K74" s="278"/>
      <c r="L74" s="278"/>
      <c r="M74" s="278"/>
      <c r="N74" s="278"/>
      <c r="O74" s="278"/>
      <c r="P74" s="278"/>
      <c r="Q74" s="278"/>
      <c r="R74" s="278"/>
      <c r="T74" s="143" t="s">
        <v>32</v>
      </c>
      <c r="U74" s="173"/>
      <c r="V74" s="219">
        <f ca="1">OFFSET($L$1,MATCH($AF72,$B:$B,0)-1,1)</f>
        <v>8.8000000000000007</v>
      </c>
      <c r="W74" s="144" t="s">
        <v>29</v>
      </c>
      <c r="X74" s="118">
        <f t="shared" ca="1" si="13"/>
        <v>373353</v>
      </c>
      <c r="Y74" s="118">
        <f t="shared" ca="1" si="13"/>
        <v>3285506</v>
      </c>
      <c r="Z74" s="118">
        <f ca="1">특급</f>
        <v>373353</v>
      </c>
      <c r="AA74" s="118">
        <f t="shared" ca="1" si="14"/>
        <v>3285506</v>
      </c>
      <c r="AB74" s="118"/>
      <c r="AC74" s="118"/>
      <c r="AD74" s="118"/>
      <c r="AE74" s="118"/>
      <c r="AF74" s="115"/>
    </row>
    <row r="75" spans="2:32" ht="18" customHeight="1">
      <c r="B75" s="326"/>
      <c r="C75" s="278"/>
      <c r="D75" s="278"/>
      <c r="E75" s="278"/>
      <c r="F75" s="278"/>
      <c r="G75" s="278"/>
      <c r="H75" s="278"/>
      <c r="I75" s="278"/>
      <c r="J75" s="278"/>
      <c r="K75" s="278"/>
      <c r="L75" s="278"/>
      <c r="M75" s="278"/>
      <c r="N75" s="278"/>
      <c r="O75" s="278"/>
      <c r="P75" s="278"/>
      <c r="Q75" s="278"/>
      <c r="R75" s="278"/>
      <c r="T75" s="145" t="s">
        <v>39</v>
      </c>
      <c r="U75" s="173"/>
      <c r="V75" s="219">
        <f ca="1">OFFSET($L$1,MATCH($AF72,$B:$B,0)-1,2)</f>
        <v>27</v>
      </c>
      <c r="W75" s="144" t="s">
        <v>29</v>
      </c>
      <c r="X75" s="118">
        <f t="shared" ca="1" si="13"/>
        <v>310884</v>
      </c>
      <c r="Y75" s="118">
        <f t="shared" ca="1" si="13"/>
        <v>8393868</v>
      </c>
      <c r="Z75" s="118">
        <f ca="1">고급</f>
        <v>310884</v>
      </c>
      <c r="AA75" s="118">
        <f t="shared" ca="1" si="14"/>
        <v>8393868</v>
      </c>
      <c r="AB75" s="118"/>
      <c r="AC75" s="118"/>
      <c r="AD75" s="118"/>
      <c r="AE75" s="118"/>
      <c r="AF75" s="115"/>
    </row>
    <row r="76" spans="2:32" ht="18" customHeight="1">
      <c r="B76" s="326"/>
      <c r="C76" s="278"/>
      <c r="D76" s="278"/>
      <c r="E76" s="278"/>
      <c r="F76" s="278"/>
      <c r="G76" s="278"/>
      <c r="H76" s="278"/>
      <c r="I76" s="278"/>
      <c r="J76" s="278"/>
      <c r="K76" s="278"/>
      <c r="L76" s="278"/>
      <c r="M76" s="278"/>
      <c r="N76" s="278"/>
      <c r="O76" s="278"/>
      <c r="P76" s="278"/>
      <c r="Q76" s="278"/>
      <c r="R76" s="278"/>
      <c r="T76" s="145" t="s">
        <v>40</v>
      </c>
      <c r="U76" s="173"/>
      <c r="V76" s="219">
        <f ca="1">OFFSET($L$1,MATCH($AF72,$B:$B,0)-1,3)</f>
        <v>40</v>
      </c>
      <c r="W76" s="144" t="s">
        <v>29</v>
      </c>
      <c r="X76" s="118">
        <f t="shared" ca="1" si="13"/>
        <v>295138</v>
      </c>
      <c r="Y76" s="118">
        <f t="shared" ca="1" si="13"/>
        <v>11805520</v>
      </c>
      <c r="Z76" s="118">
        <f ca="1">중급</f>
        <v>295138</v>
      </c>
      <c r="AA76" s="118">
        <f t="shared" ca="1" si="14"/>
        <v>11805520</v>
      </c>
      <c r="AB76" s="118"/>
      <c r="AC76" s="118"/>
      <c r="AD76" s="118"/>
      <c r="AE76" s="118"/>
      <c r="AF76" s="115"/>
    </row>
    <row r="77" spans="2:32" ht="18" customHeight="1">
      <c r="B77" s="326"/>
      <c r="C77" s="278"/>
      <c r="D77" s="278"/>
      <c r="E77" s="278"/>
      <c r="F77" s="278"/>
      <c r="G77" s="278"/>
      <c r="H77" s="278"/>
      <c r="I77" s="278"/>
      <c r="J77" s="278"/>
      <c r="K77" s="278"/>
      <c r="L77" s="278"/>
      <c r="M77" s="278"/>
      <c r="N77" s="278"/>
      <c r="O77" s="278"/>
      <c r="P77" s="278"/>
      <c r="Q77" s="278"/>
      <c r="R77" s="278"/>
      <c r="T77" s="145" t="s">
        <v>41</v>
      </c>
      <c r="U77" s="173"/>
      <c r="V77" s="219">
        <f ca="1">OFFSET($L$1,MATCH($AF72,$B:$B,0)-1,4)</f>
        <v>45</v>
      </c>
      <c r="W77" s="144" t="s">
        <v>29</v>
      </c>
      <c r="X77" s="118">
        <f t="shared" ca="1" si="13"/>
        <v>235459</v>
      </c>
      <c r="Y77" s="118">
        <f t="shared" ca="1" si="13"/>
        <v>10595655</v>
      </c>
      <c r="Z77" s="118">
        <f ca="1">초급</f>
        <v>235459</v>
      </c>
      <c r="AA77" s="118">
        <f t="shared" ca="1" si="14"/>
        <v>10595655</v>
      </c>
      <c r="AB77" s="118"/>
      <c r="AC77" s="118"/>
      <c r="AD77" s="118"/>
      <c r="AE77" s="118"/>
      <c r="AF77" s="115"/>
    </row>
    <row r="78" spans="2:32" ht="18" customHeight="1">
      <c r="B78" s="326"/>
      <c r="C78" s="278"/>
      <c r="D78" s="278"/>
      <c r="E78" s="278"/>
      <c r="F78" s="278"/>
      <c r="G78" s="278"/>
      <c r="H78" s="278"/>
      <c r="I78" s="278"/>
      <c r="J78" s="278"/>
      <c r="K78" s="278"/>
      <c r="L78" s="278"/>
      <c r="M78" s="278"/>
      <c r="N78" s="278"/>
      <c r="O78" s="278"/>
      <c r="P78" s="278"/>
      <c r="Q78" s="278"/>
      <c r="R78" s="278"/>
      <c r="T78" s="319" t="s">
        <v>42</v>
      </c>
      <c r="U78" s="320"/>
      <c r="V78" s="321">
        <f ca="1">OFFSET($L$1,MATCH($AF72,$B:$B,0)-1,5)</f>
        <v>47</v>
      </c>
      <c r="W78" s="322" t="s">
        <v>29</v>
      </c>
      <c r="X78" s="323">
        <f t="shared" ca="1" si="13"/>
        <v>250087</v>
      </c>
      <c r="Y78" s="323">
        <f t="shared" ca="1" si="13"/>
        <v>11754089</v>
      </c>
      <c r="Z78" s="323">
        <f ca="1">보조원</f>
        <v>250087</v>
      </c>
      <c r="AA78" s="323">
        <f t="shared" ca="1" si="14"/>
        <v>11754089</v>
      </c>
      <c r="AB78" s="323"/>
      <c r="AC78" s="323"/>
      <c r="AD78" s="323"/>
      <c r="AE78" s="323"/>
      <c r="AF78" s="324"/>
    </row>
    <row r="79" spans="2:32" ht="18" customHeight="1">
      <c r="B79" s="326"/>
      <c r="C79" s="278"/>
      <c r="D79" s="278"/>
      <c r="E79" s="278"/>
      <c r="F79" s="278"/>
      <c r="G79" s="278"/>
      <c r="H79" s="278"/>
      <c r="I79" s="278"/>
      <c r="J79" s="278"/>
      <c r="K79" s="278"/>
      <c r="L79" s="278"/>
      <c r="M79" s="278"/>
      <c r="N79" s="278"/>
      <c r="O79" s="278"/>
      <c r="P79" s="278"/>
      <c r="Q79" s="278"/>
      <c r="R79" s="278"/>
      <c r="T79" s="139" t="s">
        <v>106</v>
      </c>
      <c r="U79" s="68"/>
      <c r="V79" s="69"/>
      <c r="W79" s="70"/>
      <c r="X79" s="71"/>
      <c r="Y79" s="71">
        <f ca="1">SUBTOTAL(9,Y73:Y78)</f>
        <v>47376454</v>
      </c>
      <c r="Z79" s="71"/>
      <c r="AA79" s="71">
        <f ca="1">SUBTOTAL(9,AA73:AA78)</f>
        <v>47376454</v>
      </c>
      <c r="AB79" s="71"/>
      <c r="AC79" s="71"/>
      <c r="AD79" s="71"/>
      <c r="AE79" s="71"/>
      <c r="AF79" s="68"/>
    </row>
    <row r="80" spans="2:32" ht="18" customHeight="1">
      <c r="B80" s="326"/>
      <c r="C80" s="278"/>
      <c r="D80" s="278"/>
      <c r="E80" s="278"/>
      <c r="F80" s="278"/>
      <c r="G80" s="278"/>
      <c r="H80" s="278"/>
      <c r="I80" s="278"/>
      <c r="J80" s="278"/>
      <c r="K80" s="278"/>
      <c r="L80" s="278"/>
      <c r="M80" s="278"/>
      <c r="N80" s="278"/>
      <c r="O80" s="278"/>
      <c r="P80" s="278"/>
      <c r="Q80" s="278"/>
      <c r="R80" s="278"/>
      <c r="T80" s="318" t="str">
        <f ca="1">"제 " &amp; AF80 &amp; " 호표  "&amp; OFFSET($T$1,MATCH(AF80,$B:$B,0)-1,0)</f>
        <v>제 3 호표  2.1. 기본계획</v>
      </c>
      <c r="U80" s="221"/>
      <c r="V80" s="148"/>
      <c r="W80" s="148"/>
      <c r="X80" s="149"/>
      <c r="Y80" s="149"/>
      <c r="Z80" s="149"/>
      <c r="AA80" s="149"/>
      <c r="AB80" s="149"/>
      <c r="AC80" s="149"/>
      <c r="AD80" s="149"/>
      <c r="AE80" s="149"/>
      <c r="AF80" s="325">
        <f>AF72+1</f>
        <v>3</v>
      </c>
    </row>
    <row r="81" spans="2:32" ht="18" customHeight="1">
      <c r="B81" s="326"/>
      <c r="C81" s="278"/>
      <c r="D81" s="278"/>
      <c r="E81" s="278"/>
      <c r="F81" s="278"/>
      <c r="G81" s="278"/>
      <c r="H81" s="278"/>
      <c r="I81" s="278"/>
      <c r="J81" s="278"/>
      <c r="K81" s="278"/>
      <c r="L81" s="278"/>
      <c r="M81" s="278"/>
      <c r="N81" s="278"/>
      <c r="O81" s="278"/>
      <c r="P81" s="278"/>
      <c r="Q81" s="278"/>
      <c r="R81" s="278"/>
      <c r="T81" s="140" t="s">
        <v>43</v>
      </c>
      <c r="U81" s="172"/>
      <c r="V81" s="219">
        <f ca="1">OFFSET($L$1,MATCH($AF80,$B:$B,0)-1,0)</f>
        <v>19</v>
      </c>
      <c r="W81" s="141" t="s">
        <v>29</v>
      </c>
      <c r="X81" s="142">
        <f t="shared" ref="X81:X86" ca="1" si="15">Z81</f>
        <v>467217</v>
      </c>
      <c r="Y81" s="142">
        <f t="shared" ref="Y81:Y86" ca="1" si="16">AA81</f>
        <v>8877123</v>
      </c>
      <c r="Z81" s="142">
        <f ca="1">기술사</f>
        <v>467217</v>
      </c>
      <c r="AA81" s="142">
        <f t="shared" ref="AA81:AA86" ca="1" si="17">ROUNDDOWN(V81*X81,0)</f>
        <v>8877123</v>
      </c>
      <c r="AB81" s="142"/>
      <c r="AC81" s="142"/>
      <c r="AD81" s="142"/>
      <c r="AE81" s="142"/>
      <c r="AF81" s="114"/>
    </row>
    <row r="82" spans="2:32" ht="18" customHeight="1">
      <c r="B82" s="326"/>
      <c r="C82" s="278"/>
      <c r="D82" s="278"/>
      <c r="E82" s="278"/>
      <c r="F82" s="278"/>
      <c r="G82" s="278"/>
      <c r="H82" s="278"/>
      <c r="I82" s="278"/>
      <c r="J82" s="278"/>
      <c r="K82" s="278"/>
      <c r="L82" s="278"/>
      <c r="M82" s="278"/>
      <c r="N82" s="278"/>
      <c r="O82" s="278"/>
      <c r="P82" s="278"/>
      <c r="Q82" s="278"/>
      <c r="R82" s="278"/>
      <c r="T82" s="143" t="s">
        <v>32</v>
      </c>
      <c r="U82" s="173"/>
      <c r="V82" s="219">
        <f ca="1">OFFSET($L$1,MATCH($AF80,$B:$B,0)-1,1)</f>
        <v>30.4</v>
      </c>
      <c r="W82" s="144" t="s">
        <v>29</v>
      </c>
      <c r="X82" s="118">
        <f t="shared" ca="1" si="15"/>
        <v>373353</v>
      </c>
      <c r="Y82" s="118">
        <f t="shared" ca="1" si="16"/>
        <v>11349931</v>
      </c>
      <c r="Z82" s="118">
        <f ca="1">특급</f>
        <v>373353</v>
      </c>
      <c r="AA82" s="118">
        <f t="shared" ca="1" si="17"/>
        <v>11349931</v>
      </c>
      <c r="AB82" s="118"/>
      <c r="AC82" s="118"/>
      <c r="AD82" s="118"/>
      <c r="AE82" s="118"/>
      <c r="AF82" s="115"/>
    </row>
    <row r="83" spans="2:32" ht="18" customHeight="1">
      <c r="B83" s="326"/>
      <c r="C83" s="278"/>
      <c r="D83" s="278"/>
      <c r="E83" s="278"/>
      <c r="F83" s="278"/>
      <c r="G83" s="278"/>
      <c r="H83" s="278"/>
      <c r="I83" s="278"/>
      <c r="J83" s="278"/>
      <c r="K83" s="278"/>
      <c r="L83" s="278"/>
      <c r="M83" s="278"/>
      <c r="N83" s="278"/>
      <c r="O83" s="278"/>
      <c r="P83" s="278"/>
      <c r="Q83" s="278"/>
      <c r="R83" s="278"/>
      <c r="T83" s="145" t="s">
        <v>39</v>
      </c>
      <c r="U83" s="173"/>
      <c r="V83" s="219">
        <f ca="1">OFFSET($L$1,MATCH($AF80,$B:$B,0)-1,2)</f>
        <v>51</v>
      </c>
      <c r="W83" s="144" t="s">
        <v>29</v>
      </c>
      <c r="X83" s="118">
        <f t="shared" ca="1" si="15"/>
        <v>310884</v>
      </c>
      <c r="Y83" s="118">
        <f t="shared" ca="1" si="16"/>
        <v>15855084</v>
      </c>
      <c r="Z83" s="118">
        <f ca="1">고급</f>
        <v>310884</v>
      </c>
      <c r="AA83" s="118">
        <f t="shared" ca="1" si="17"/>
        <v>15855084</v>
      </c>
      <c r="AB83" s="118"/>
      <c r="AC83" s="118"/>
      <c r="AD83" s="118"/>
      <c r="AE83" s="118"/>
      <c r="AF83" s="115"/>
    </row>
    <row r="84" spans="2:32" ht="18" customHeight="1">
      <c r="B84" s="326"/>
      <c r="C84" s="278"/>
      <c r="D84" s="278"/>
      <c r="E84" s="278"/>
      <c r="F84" s="278"/>
      <c r="G84" s="278"/>
      <c r="H84" s="278"/>
      <c r="I84" s="278"/>
      <c r="J84" s="278"/>
      <c r="K84" s="278"/>
      <c r="L84" s="278"/>
      <c r="M84" s="278"/>
      <c r="N84" s="278"/>
      <c r="O84" s="278"/>
      <c r="P84" s="278"/>
      <c r="Q84" s="278"/>
      <c r="R84" s="278"/>
      <c r="T84" s="145" t="s">
        <v>40</v>
      </c>
      <c r="U84" s="173"/>
      <c r="V84" s="219">
        <f ca="1">OFFSET($L$1,MATCH($AF80,$B:$B,0)-1,3)</f>
        <v>66</v>
      </c>
      <c r="W84" s="144" t="s">
        <v>29</v>
      </c>
      <c r="X84" s="118">
        <f t="shared" ca="1" si="15"/>
        <v>295138</v>
      </c>
      <c r="Y84" s="118">
        <f t="shared" ca="1" si="16"/>
        <v>19479108</v>
      </c>
      <c r="Z84" s="118">
        <f ca="1">중급</f>
        <v>295138</v>
      </c>
      <c r="AA84" s="118">
        <f t="shared" ca="1" si="17"/>
        <v>19479108</v>
      </c>
      <c r="AB84" s="118"/>
      <c r="AC84" s="118"/>
      <c r="AD84" s="118"/>
      <c r="AE84" s="118"/>
      <c r="AF84" s="115"/>
    </row>
    <row r="85" spans="2:32" ht="18" customHeight="1">
      <c r="B85" s="326"/>
      <c r="C85" s="278"/>
      <c r="D85" s="278"/>
      <c r="E85" s="278"/>
      <c r="F85" s="278"/>
      <c r="G85" s="278"/>
      <c r="H85" s="278"/>
      <c r="I85" s="278"/>
      <c r="J85" s="278"/>
      <c r="K85" s="278"/>
      <c r="L85" s="278"/>
      <c r="M85" s="278"/>
      <c r="N85" s="278"/>
      <c r="O85" s="278"/>
      <c r="P85" s="278"/>
      <c r="Q85" s="278"/>
      <c r="R85" s="278"/>
      <c r="T85" s="145" t="s">
        <v>41</v>
      </c>
      <c r="U85" s="173"/>
      <c r="V85" s="219">
        <f ca="1">OFFSET($L$1,MATCH($AF80,$B:$B,0)-1,4)</f>
        <v>71</v>
      </c>
      <c r="W85" s="144" t="s">
        <v>29</v>
      </c>
      <c r="X85" s="118">
        <f t="shared" ca="1" si="15"/>
        <v>235459</v>
      </c>
      <c r="Y85" s="118">
        <f t="shared" ca="1" si="16"/>
        <v>16717589</v>
      </c>
      <c r="Z85" s="118">
        <f ca="1">초급</f>
        <v>235459</v>
      </c>
      <c r="AA85" s="118">
        <f t="shared" ca="1" si="17"/>
        <v>16717589</v>
      </c>
      <c r="AB85" s="118"/>
      <c r="AC85" s="118"/>
      <c r="AD85" s="118"/>
      <c r="AE85" s="118"/>
      <c r="AF85" s="115"/>
    </row>
    <row r="86" spans="2:32" ht="18" customHeight="1">
      <c r="B86" s="326"/>
      <c r="C86" s="278"/>
      <c r="D86" s="278"/>
      <c r="E86" s="278"/>
      <c r="F86" s="278"/>
      <c r="G86" s="278"/>
      <c r="H86" s="278"/>
      <c r="I86" s="278"/>
      <c r="J86" s="278"/>
      <c r="K86" s="278"/>
      <c r="L86" s="278"/>
      <c r="M86" s="278"/>
      <c r="N86" s="278"/>
      <c r="O86" s="278"/>
      <c r="P86" s="278"/>
      <c r="Q86" s="278"/>
      <c r="R86" s="278"/>
      <c r="T86" s="319" t="s">
        <v>42</v>
      </c>
      <c r="U86" s="320"/>
      <c r="V86" s="321">
        <f ca="1">OFFSET($L$1,MATCH($AF80,$B:$B,0)-1,5)</f>
        <v>71</v>
      </c>
      <c r="W86" s="322" t="s">
        <v>29</v>
      </c>
      <c r="X86" s="323">
        <f t="shared" ca="1" si="15"/>
        <v>250087</v>
      </c>
      <c r="Y86" s="323">
        <f t="shared" ca="1" si="16"/>
        <v>17756177</v>
      </c>
      <c r="Z86" s="323">
        <f ca="1">보조원</f>
        <v>250087</v>
      </c>
      <c r="AA86" s="323">
        <f t="shared" ca="1" si="17"/>
        <v>17756177</v>
      </c>
      <c r="AB86" s="323"/>
      <c r="AC86" s="323"/>
      <c r="AD86" s="323"/>
      <c r="AE86" s="323"/>
      <c r="AF86" s="324"/>
    </row>
    <row r="87" spans="2:32" ht="18" customHeight="1">
      <c r="B87" s="326"/>
      <c r="C87" s="278"/>
      <c r="D87" s="278"/>
      <c r="E87" s="278"/>
      <c r="F87" s="278"/>
      <c r="G87" s="278"/>
      <c r="H87" s="278"/>
      <c r="I87" s="278"/>
      <c r="J87" s="278"/>
      <c r="K87" s="278"/>
      <c r="L87" s="278"/>
      <c r="M87" s="278"/>
      <c r="N87" s="278"/>
      <c r="O87" s="278"/>
      <c r="P87" s="278"/>
      <c r="Q87" s="278"/>
      <c r="R87" s="278"/>
      <c r="T87" s="139" t="s">
        <v>106</v>
      </c>
      <c r="U87" s="68"/>
      <c r="V87" s="69"/>
      <c r="W87" s="70"/>
      <c r="X87" s="71"/>
      <c r="Y87" s="71">
        <f ca="1">SUBTOTAL(9,Y81:Y86)</f>
        <v>90035012</v>
      </c>
      <c r="Z87" s="71"/>
      <c r="AA87" s="71">
        <f ca="1">SUBTOTAL(9,AA81:AA86)</f>
        <v>90035012</v>
      </c>
      <c r="AB87" s="71"/>
      <c r="AC87" s="71"/>
      <c r="AD87" s="71"/>
      <c r="AE87" s="71"/>
      <c r="AF87" s="68"/>
    </row>
    <row r="88" spans="2:32" ht="18" customHeight="1">
      <c r="B88" s="326"/>
      <c r="C88" s="278"/>
      <c r="D88" s="278"/>
      <c r="E88" s="278"/>
      <c r="F88" s="278"/>
      <c r="G88" s="278"/>
      <c r="H88" s="278"/>
      <c r="I88" s="278"/>
      <c r="J88" s="278"/>
      <c r="K88" s="278"/>
      <c r="L88" s="278"/>
      <c r="M88" s="278"/>
      <c r="N88" s="278"/>
      <c r="O88" s="278"/>
      <c r="P88" s="278"/>
      <c r="Q88" s="278"/>
      <c r="R88" s="278"/>
      <c r="T88" s="318" t="str">
        <f ca="1">"제 " &amp; AF88 &amp; " 호표  "&amp; OFFSET($T$1,MATCH(AF88,$B:$B,0)-1,0)</f>
        <v>제 4 호표  2.2. 자금계획</v>
      </c>
      <c r="U88" s="221"/>
      <c r="V88" s="148"/>
      <c r="W88" s="148"/>
      <c r="X88" s="149"/>
      <c r="Y88" s="149"/>
      <c r="Z88" s="149"/>
      <c r="AA88" s="149"/>
      <c r="AB88" s="149"/>
      <c r="AC88" s="149"/>
      <c r="AD88" s="149"/>
      <c r="AE88" s="149"/>
      <c r="AF88" s="325">
        <f>AF80+1</f>
        <v>4</v>
      </c>
    </row>
    <row r="89" spans="2:32" ht="18" customHeight="1">
      <c r="B89" s="326"/>
      <c r="C89" s="278"/>
      <c r="D89" s="278"/>
      <c r="E89" s="278"/>
      <c r="F89" s="278"/>
      <c r="G89" s="278"/>
      <c r="H89" s="278"/>
      <c r="I89" s="278"/>
      <c r="J89" s="278"/>
      <c r="K89" s="278"/>
      <c r="L89" s="278"/>
      <c r="M89" s="278"/>
      <c r="N89" s="278"/>
      <c r="O89" s="278"/>
      <c r="P89" s="278"/>
      <c r="Q89" s="278"/>
      <c r="R89" s="278"/>
      <c r="T89" s="140" t="s">
        <v>43</v>
      </c>
      <c r="U89" s="172"/>
      <c r="V89" s="219">
        <f ca="1">OFFSET($L$1,MATCH($AF88,$B:$B,0)-1,0)</f>
        <v>1.6</v>
      </c>
      <c r="W89" s="141" t="s">
        <v>29</v>
      </c>
      <c r="X89" s="142">
        <f t="shared" ref="X89:X94" ca="1" si="18">Z89</f>
        <v>467217</v>
      </c>
      <c r="Y89" s="142">
        <f t="shared" ref="Y89:Y94" ca="1" si="19">AA89</f>
        <v>747547</v>
      </c>
      <c r="Z89" s="142">
        <f ca="1">기술사</f>
        <v>467217</v>
      </c>
      <c r="AA89" s="142">
        <f t="shared" ref="AA89:AA94" ca="1" si="20">ROUNDDOWN(V89*X89,0)</f>
        <v>747547</v>
      </c>
      <c r="AB89" s="142"/>
      <c r="AC89" s="142"/>
      <c r="AD89" s="142"/>
      <c r="AE89" s="142"/>
      <c r="AF89" s="114"/>
    </row>
    <row r="90" spans="2:32" ht="18" customHeight="1">
      <c r="C90" s="278"/>
      <c r="D90" s="278"/>
      <c r="E90" s="278"/>
      <c r="F90" s="278"/>
      <c r="G90" s="278"/>
      <c r="H90" s="278"/>
      <c r="I90" s="278"/>
      <c r="J90" s="278"/>
      <c r="K90" s="278"/>
      <c r="L90" s="278"/>
      <c r="M90" s="278"/>
      <c r="N90" s="278"/>
      <c r="O90" s="278"/>
      <c r="P90" s="278"/>
      <c r="Q90" s="278"/>
      <c r="R90" s="278"/>
      <c r="T90" s="143" t="s">
        <v>32</v>
      </c>
      <c r="U90" s="173"/>
      <c r="V90" s="219">
        <f ca="1">OFFSET($L$1,MATCH($AF88,$B:$B,0)-1,1)</f>
        <v>3.2</v>
      </c>
      <c r="W90" s="144" t="s">
        <v>29</v>
      </c>
      <c r="X90" s="118">
        <f t="shared" ca="1" si="18"/>
        <v>373353</v>
      </c>
      <c r="Y90" s="118">
        <f t="shared" ca="1" si="19"/>
        <v>1194729</v>
      </c>
      <c r="Z90" s="118">
        <f ca="1">특급</f>
        <v>373353</v>
      </c>
      <c r="AA90" s="118">
        <f t="shared" ca="1" si="20"/>
        <v>1194729</v>
      </c>
      <c r="AB90" s="118"/>
      <c r="AC90" s="118"/>
      <c r="AD90" s="118"/>
      <c r="AE90" s="118"/>
      <c r="AF90" s="115"/>
    </row>
    <row r="91" spans="2:32" ht="18" customHeight="1">
      <c r="C91" s="278"/>
      <c r="D91" s="278"/>
      <c r="E91" s="278"/>
      <c r="F91" s="278"/>
      <c r="G91" s="278"/>
      <c r="H91" s="278"/>
      <c r="I91" s="278"/>
      <c r="J91" s="278"/>
      <c r="K91" s="278"/>
      <c r="L91" s="278"/>
      <c r="M91" s="278"/>
      <c r="N91" s="278"/>
      <c r="O91" s="278"/>
      <c r="P91" s="278"/>
      <c r="Q91" s="278"/>
      <c r="R91" s="278"/>
      <c r="T91" s="145" t="s">
        <v>39</v>
      </c>
      <c r="U91" s="173"/>
      <c r="V91" s="219">
        <f ca="1">OFFSET($L$1,MATCH($AF88,$B:$B,0)-1,2)</f>
        <v>9</v>
      </c>
      <c r="W91" s="144" t="s">
        <v>29</v>
      </c>
      <c r="X91" s="118">
        <f t="shared" ca="1" si="18"/>
        <v>310884</v>
      </c>
      <c r="Y91" s="118">
        <f t="shared" ca="1" si="19"/>
        <v>2797956</v>
      </c>
      <c r="Z91" s="118">
        <f ca="1">고급</f>
        <v>310884</v>
      </c>
      <c r="AA91" s="118">
        <f t="shared" ca="1" si="20"/>
        <v>2797956</v>
      </c>
      <c r="AB91" s="118"/>
      <c r="AC91" s="118"/>
      <c r="AD91" s="118"/>
      <c r="AE91" s="118"/>
      <c r="AF91" s="115"/>
    </row>
    <row r="92" spans="2:32" ht="18" customHeight="1">
      <c r="C92" s="278"/>
      <c r="D92" s="278"/>
      <c r="E92" s="278"/>
      <c r="F92" s="278"/>
      <c r="G92" s="278"/>
      <c r="H92" s="278"/>
      <c r="I92" s="278"/>
      <c r="J92" s="278"/>
      <c r="K92" s="278"/>
      <c r="L92" s="278"/>
      <c r="M92" s="278"/>
      <c r="N92" s="278"/>
      <c r="O92" s="278"/>
      <c r="P92" s="278"/>
      <c r="Q92" s="278"/>
      <c r="R92" s="278"/>
      <c r="T92" s="145" t="s">
        <v>40</v>
      </c>
      <c r="U92" s="173"/>
      <c r="V92" s="219">
        <f ca="1">OFFSET($L$1,MATCH($AF88,$B:$B,0)-1,3)</f>
        <v>8</v>
      </c>
      <c r="W92" s="144" t="s">
        <v>29</v>
      </c>
      <c r="X92" s="118">
        <f t="shared" ca="1" si="18"/>
        <v>295138</v>
      </c>
      <c r="Y92" s="118">
        <f t="shared" ca="1" si="19"/>
        <v>2361104</v>
      </c>
      <c r="Z92" s="118">
        <f ca="1">중급</f>
        <v>295138</v>
      </c>
      <c r="AA92" s="118">
        <f t="shared" ca="1" si="20"/>
        <v>2361104</v>
      </c>
      <c r="AB92" s="118"/>
      <c r="AC92" s="118"/>
      <c r="AD92" s="118"/>
      <c r="AE92" s="118"/>
      <c r="AF92" s="115"/>
    </row>
    <row r="93" spans="2:32" ht="18" customHeight="1">
      <c r="C93" s="278"/>
      <c r="D93" s="278"/>
      <c r="E93" s="278"/>
      <c r="F93" s="278"/>
      <c r="G93" s="278"/>
      <c r="H93" s="278"/>
      <c r="I93" s="278"/>
      <c r="J93" s="278"/>
      <c r="K93" s="278"/>
      <c r="L93" s="278"/>
      <c r="M93" s="278"/>
      <c r="N93" s="278"/>
      <c r="O93" s="278"/>
      <c r="P93" s="278"/>
      <c r="Q93" s="278"/>
      <c r="R93" s="278"/>
      <c r="T93" s="145" t="s">
        <v>41</v>
      </c>
      <c r="U93" s="173"/>
      <c r="V93" s="219">
        <f ca="1">OFFSET($L$1,MATCH($AF88,$B:$B,0)-1,4)</f>
        <v>10</v>
      </c>
      <c r="W93" s="144" t="s">
        <v>29</v>
      </c>
      <c r="X93" s="118">
        <f t="shared" ca="1" si="18"/>
        <v>235459</v>
      </c>
      <c r="Y93" s="118">
        <f t="shared" ca="1" si="19"/>
        <v>2354590</v>
      </c>
      <c r="Z93" s="118">
        <f ca="1">초급</f>
        <v>235459</v>
      </c>
      <c r="AA93" s="118">
        <f t="shared" ca="1" si="20"/>
        <v>2354590</v>
      </c>
      <c r="AB93" s="118"/>
      <c r="AC93" s="118"/>
      <c r="AD93" s="118"/>
      <c r="AE93" s="118"/>
      <c r="AF93" s="115"/>
    </row>
    <row r="94" spans="2:32" ht="18" customHeight="1">
      <c r="C94" s="278"/>
      <c r="D94" s="278"/>
      <c r="E94" s="278"/>
      <c r="F94" s="278"/>
      <c r="G94" s="278"/>
      <c r="H94" s="278"/>
      <c r="I94" s="278"/>
      <c r="J94" s="278"/>
      <c r="K94" s="278"/>
      <c r="L94" s="278"/>
      <c r="M94" s="278"/>
      <c r="N94" s="278"/>
      <c r="O94" s="278"/>
      <c r="P94" s="278"/>
      <c r="Q94" s="278"/>
      <c r="R94" s="278"/>
      <c r="T94" s="319" t="s">
        <v>42</v>
      </c>
      <c r="U94" s="320"/>
      <c r="V94" s="321">
        <f ca="1">OFFSET($L$1,MATCH($AF88,$B:$B,0)-1,5)</f>
        <v>10</v>
      </c>
      <c r="W94" s="322" t="s">
        <v>29</v>
      </c>
      <c r="X94" s="323">
        <f t="shared" ca="1" si="18"/>
        <v>250087</v>
      </c>
      <c r="Y94" s="323">
        <f t="shared" ca="1" si="19"/>
        <v>2500870</v>
      </c>
      <c r="Z94" s="323">
        <f ca="1">보조원</f>
        <v>250087</v>
      </c>
      <c r="AA94" s="323">
        <f t="shared" ca="1" si="20"/>
        <v>2500870</v>
      </c>
      <c r="AB94" s="323"/>
      <c r="AC94" s="323"/>
      <c r="AD94" s="323"/>
      <c r="AE94" s="323"/>
      <c r="AF94" s="324"/>
    </row>
    <row r="95" spans="2:32" ht="18" customHeight="1">
      <c r="E95" s="171"/>
      <c r="T95" s="139" t="s">
        <v>106</v>
      </c>
      <c r="U95" s="68"/>
      <c r="V95" s="69"/>
      <c r="W95" s="70"/>
      <c r="X95" s="71"/>
      <c r="Y95" s="71">
        <f ca="1">SUBTOTAL(9,Y89:Y94)</f>
        <v>11956796</v>
      </c>
      <c r="Z95" s="71"/>
      <c r="AA95" s="71">
        <f ca="1">SUBTOTAL(9,AA89:AA94)</f>
        <v>11956796</v>
      </c>
      <c r="AB95" s="71"/>
      <c r="AC95" s="71"/>
      <c r="AD95" s="71"/>
      <c r="AE95" s="71"/>
      <c r="AF95" s="68"/>
    </row>
    <row r="96" spans="2:32" ht="18" customHeight="1">
      <c r="E96" s="171"/>
      <c r="T96" s="318" t="str">
        <f ca="1">"제 " &amp; AF96 &amp; " 호표  "&amp; OFFSET($T$1,MATCH(AF96,$B:$B,0)-1,0)</f>
        <v>제 5 호표  2.3. 사업계획서</v>
      </c>
      <c r="U96" s="221"/>
      <c r="V96" s="148"/>
      <c r="W96" s="148"/>
      <c r="X96" s="149"/>
      <c r="Y96" s="149"/>
      <c r="Z96" s="149"/>
      <c r="AA96" s="149"/>
      <c r="AB96" s="149"/>
      <c r="AC96" s="149"/>
      <c r="AD96" s="149"/>
      <c r="AE96" s="149"/>
      <c r="AF96" s="325">
        <f>AF88+1</f>
        <v>5</v>
      </c>
    </row>
    <row r="97" spans="5:32" ht="18" customHeight="1">
      <c r="E97" s="171"/>
      <c r="T97" s="140" t="s">
        <v>43</v>
      </c>
      <c r="U97" s="172"/>
      <c r="V97" s="219">
        <f ca="1">OFFSET($L$1,MATCH($AF96,$B:$B,0)-1,0)</f>
        <v>2.4</v>
      </c>
      <c r="W97" s="141" t="s">
        <v>29</v>
      </c>
      <c r="X97" s="142">
        <f t="shared" ref="X97:X102" ca="1" si="21">Z97</f>
        <v>467217</v>
      </c>
      <c r="Y97" s="142">
        <f t="shared" ref="Y97:Y102" ca="1" si="22">AA97</f>
        <v>1121320</v>
      </c>
      <c r="Z97" s="142">
        <f ca="1">기술사</f>
        <v>467217</v>
      </c>
      <c r="AA97" s="142">
        <f t="shared" ref="AA97:AA102" ca="1" si="23">ROUNDDOWN(V97*X97,0)</f>
        <v>1121320</v>
      </c>
      <c r="AB97" s="142"/>
      <c r="AC97" s="142"/>
      <c r="AD97" s="142"/>
      <c r="AE97" s="142"/>
      <c r="AF97" s="114"/>
    </row>
    <row r="98" spans="5:32" ht="18" customHeight="1">
      <c r="E98" s="171"/>
      <c r="T98" s="143" t="s">
        <v>32</v>
      </c>
      <c r="U98" s="173"/>
      <c r="V98" s="219">
        <f ca="1">OFFSET($L$1,MATCH($AF96,$B:$B,0)-1,1)</f>
        <v>4.8</v>
      </c>
      <c r="W98" s="144" t="s">
        <v>29</v>
      </c>
      <c r="X98" s="118">
        <f t="shared" ca="1" si="21"/>
        <v>373353</v>
      </c>
      <c r="Y98" s="118">
        <f t="shared" ca="1" si="22"/>
        <v>1792094</v>
      </c>
      <c r="Z98" s="118">
        <f ca="1">특급</f>
        <v>373353</v>
      </c>
      <c r="AA98" s="118">
        <f t="shared" ca="1" si="23"/>
        <v>1792094</v>
      </c>
      <c r="AB98" s="118"/>
      <c r="AC98" s="118"/>
      <c r="AD98" s="118"/>
      <c r="AE98" s="118"/>
      <c r="AF98" s="115"/>
    </row>
    <row r="99" spans="5:32" ht="18" customHeight="1">
      <c r="E99" s="171"/>
      <c r="T99" s="145" t="s">
        <v>39</v>
      </c>
      <c r="U99" s="173"/>
      <c r="V99" s="219">
        <f ca="1">OFFSET($L$1,MATCH($AF96,$B:$B,0)-1,2)</f>
        <v>12</v>
      </c>
      <c r="W99" s="144" t="s">
        <v>29</v>
      </c>
      <c r="X99" s="118">
        <f t="shared" ca="1" si="21"/>
        <v>310884</v>
      </c>
      <c r="Y99" s="118">
        <f t="shared" ca="1" si="22"/>
        <v>3730608</v>
      </c>
      <c r="Z99" s="118">
        <f ca="1">고급</f>
        <v>310884</v>
      </c>
      <c r="AA99" s="118">
        <f t="shared" ca="1" si="23"/>
        <v>3730608</v>
      </c>
      <c r="AB99" s="118"/>
      <c r="AC99" s="118"/>
      <c r="AD99" s="118"/>
      <c r="AE99" s="118"/>
      <c r="AF99" s="115"/>
    </row>
    <row r="100" spans="5:32" ht="18" customHeight="1">
      <c r="E100" s="171"/>
      <c r="T100" s="145" t="s">
        <v>40</v>
      </c>
      <c r="U100" s="173"/>
      <c r="V100" s="219">
        <f ca="1">OFFSET($L$1,MATCH($AF96,$B:$B,0)-1,3)</f>
        <v>17</v>
      </c>
      <c r="W100" s="144" t="s">
        <v>29</v>
      </c>
      <c r="X100" s="118">
        <f t="shared" ca="1" si="21"/>
        <v>295138</v>
      </c>
      <c r="Y100" s="118">
        <f t="shared" ca="1" si="22"/>
        <v>5017346</v>
      </c>
      <c r="Z100" s="118">
        <f ca="1">중급</f>
        <v>295138</v>
      </c>
      <c r="AA100" s="118">
        <f t="shared" ca="1" si="23"/>
        <v>5017346</v>
      </c>
      <c r="AB100" s="118"/>
      <c r="AC100" s="118"/>
      <c r="AD100" s="118"/>
      <c r="AE100" s="118"/>
      <c r="AF100" s="115"/>
    </row>
    <row r="101" spans="5:32" ht="18" customHeight="1">
      <c r="E101" s="171"/>
      <c r="T101" s="145" t="s">
        <v>41</v>
      </c>
      <c r="U101" s="173"/>
      <c r="V101" s="219">
        <f ca="1">OFFSET($L$1,MATCH($AF96,$B:$B,0)-1,4)</f>
        <v>21</v>
      </c>
      <c r="W101" s="144" t="s">
        <v>29</v>
      </c>
      <c r="X101" s="118">
        <f t="shared" ca="1" si="21"/>
        <v>235459</v>
      </c>
      <c r="Y101" s="118">
        <f t="shared" ca="1" si="22"/>
        <v>4944639</v>
      </c>
      <c r="Z101" s="118">
        <f ca="1">초급</f>
        <v>235459</v>
      </c>
      <c r="AA101" s="118">
        <f t="shared" ca="1" si="23"/>
        <v>4944639</v>
      </c>
      <c r="AB101" s="118"/>
      <c r="AC101" s="118"/>
      <c r="AD101" s="118"/>
      <c r="AE101" s="118"/>
      <c r="AF101" s="115"/>
    </row>
    <row r="102" spans="5:32" ht="18" customHeight="1">
      <c r="E102" s="171"/>
      <c r="T102" s="319" t="s">
        <v>42</v>
      </c>
      <c r="U102" s="320"/>
      <c r="V102" s="321">
        <f ca="1">OFFSET($L$1,MATCH($AF96,$B:$B,0)-1,5)</f>
        <v>21</v>
      </c>
      <c r="W102" s="322" t="s">
        <v>29</v>
      </c>
      <c r="X102" s="323">
        <f t="shared" ca="1" si="21"/>
        <v>250087</v>
      </c>
      <c r="Y102" s="323">
        <f t="shared" ca="1" si="22"/>
        <v>5251827</v>
      </c>
      <c r="Z102" s="323">
        <f ca="1">보조원</f>
        <v>250087</v>
      </c>
      <c r="AA102" s="323">
        <f t="shared" ca="1" si="23"/>
        <v>5251827</v>
      </c>
      <c r="AB102" s="323"/>
      <c r="AC102" s="323"/>
      <c r="AD102" s="323"/>
      <c r="AE102" s="323"/>
      <c r="AF102" s="324"/>
    </row>
    <row r="103" spans="5:32" ht="18" customHeight="1">
      <c r="E103" s="171"/>
      <c r="T103" s="139" t="s">
        <v>106</v>
      </c>
      <c r="U103" s="68"/>
      <c r="V103" s="69"/>
      <c r="W103" s="70"/>
      <c r="X103" s="71"/>
      <c r="Y103" s="71">
        <f ca="1">SUBTOTAL(9,Y97:Y102)</f>
        <v>21857834</v>
      </c>
      <c r="Z103" s="71"/>
      <c r="AA103" s="71">
        <f ca="1">SUBTOTAL(9,AA97:AA102)</f>
        <v>21857834</v>
      </c>
      <c r="AB103" s="71"/>
      <c r="AC103" s="71"/>
      <c r="AD103" s="71"/>
      <c r="AE103" s="71"/>
      <c r="AF103" s="68"/>
    </row>
    <row r="104" spans="5:32" ht="18" customHeight="1">
      <c r="E104" s="171"/>
      <c r="T104" s="318" t="str">
        <f ca="1">"제 " &amp; AF104 &amp; " 호표  "&amp; OFFSET($T$1,MATCH(AF104,$B:$B,0)-1,0)</f>
        <v>제 6 호표  3.1. 유형보상</v>
      </c>
      <c r="U104" s="221"/>
      <c r="V104" s="148"/>
      <c r="W104" s="148"/>
      <c r="X104" s="149"/>
      <c r="Y104" s="149"/>
      <c r="Z104" s="149"/>
      <c r="AA104" s="149"/>
      <c r="AB104" s="149"/>
      <c r="AC104" s="149"/>
      <c r="AD104" s="149"/>
      <c r="AE104" s="149"/>
      <c r="AF104" s="325">
        <f>AF96+1</f>
        <v>6</v>
      </c>
    </row>
    <row r="105" spans="5:32" ht="18" customHeight="1">
      <c r="E105" s="171"/>
      <c r="T105" s="140" t="s">
        <v>43</v>
      </c>
      <c r="U105" s="172"/>
      <c r="V105" s="219">
        <f ca="1">OFFSET($L$1,MATCH($AF104,$B:$B,0)-1,0)</f>
        <v>6</v>
      </c>
      <c r="W105" s="141" t="s">
        <v>29</v>
      </c>
      <c r="X105" s="142">
        <f t="shared" ref="X105:X110" ca="1" si="24">Z105</f>
        <v>467217</v>
      </c>
      <c r="Y105" s="142">
        <f t="shared" ref="Y105:Y110" ca="1" si="25">AA105</f>
        <v>2803302</v>
      </c>
      <c r="Z105" s="142">
        <f ca="1">기술사</f>
        <v>467217</v>
      </c>
      <c r="AA105" s="142">
        <f t="shared" ref="AA105:AA110" ca="1" si="26">ROUNDDOWN(V105*X105,0)</f>
        <v>2803302</v>
      </c>
      <c r="AB105" s="142"/>
      <c r="AC105" s="142"/>
      <c r="AD105" s="142"/>
      <c r="AE105" s="142"/>
      <c r="AF105" s="114"/>
    </row>
    <row r="106" spans="5:32" ht="18" customHeight="1">
      <c r="E106" s="171"/>
      <c r="T106" s="143" t="s">
        <v>32</v>
      </c>
      <c r="U106" s="173"/>
      <c r="V106" s="219">
        <f ca="1">OFFSET($L$1,MATCH($AF104,$B:$B,0)-1,1)</f>
        <v>12</v>
      </c>
      <c r="W106" s="144" t="s">
        <v>29</v>
      </c>
      <c r="X106" s="118">
        <f t="shared" ca="1" si="24"/>
        <v>373353</v>
      </c>
      <c r="Y106" s="118">
        <f t="shared" ca="1" si="25"/>
        <v>4480236</v>
      </c>
      <c r="Z106" s="118">
        <f ca="1">특급</f>
        <v>373353</v>
      </c>
      <c r="AA106" s="118">
        <f t="shared" ca="1" si="26"/>
        <v>4480236</v>
      </c>
      <c r="AB106" s="118"/>
      <c r="AC106" s="118"/>
      <c r="AD106" s="118"/>
      <c r="AE106" s="118"/>
      <c r="AF106" s="115"/>
    </row>
    <row r="107" spans="5:32" ht="18" customHeight="1">
      <c r="E107" s="171"/>
      <c r="T107" s="145" t="s">
        <v>39</v>
      </c>
      <c r="U107" s="173"/>
      <c r="V107" s="219">
        <f ca="1">OFFSET($L$1,MATCH($AF104,$B:$B,0)-1,2)</f>
        <v>18</v>
      </c>
      <c r="W107" s="144" t="s">
        <v>29</v>
      </c>
      <c r="X107" s="118">
        <f t="shared" ca="1" si="24"/>
        <v>310884</v>
      </c>
      <c r="Y107" s="118">
        <f t="shared" ca="1" si="25"/>
        <v>5595912</v>
      </c>
      <c r="Z107" s="118">
        <f ca="1">고급</f>
        <v>310884</v>
      </c>
      <c r="AA107" s="118">
        <f t="shared" ca="1" si="26"/>
        <v>5595912</v>
      </c>
      <c r="AB107" s="118"/>
      <c r="AC107" s="118"/>
      <c r="AD107" s="118"/>
      <c r="AE107" s="118"/>
      <c r="AF107" s="115"/>
    </row>
    <row r="108" spans="5:32" ht="18" customHeight="1">
      <c r="E108" s="171"/>
      <c r="T108" s="145" t="s">
        <v>40</v>
      </c>
      <c r="U108" s="173"/>
      <c r="V108" s="219">
        <f ca="1">OFFSET($L$1,MATCH($AF104,$B:$B,0)-1,3)</f>
        <v>36</v>
      </c>
      <c r="W108" s="144" t="s">
        <v>29</v>
      </c>
      <c r="X108" s="118">
        <f t="shared" ca="1" si="24"/>
        <v>295138</v>
      </c>
      <c r="Y108" s="118">
        <f t="shared" ca="1" si="25"/>
        <v>10624968</v>
      </c>
      <c r="Z108" s="118">
        <f ca="1">중급</f>
        <v>295138</v>
      </c>
      <c r="AA108" s="118">
        <f t="shared" ca="1" si="26"/>
        <v>10624968</v>
      </c>
      <c r="AB108" s="118"/>
      <c r="AC108" s="118"/>
      <c r="AD108" s="118"/>
      <c r="AE108" s="118"/>
      <c r="AF108" s="115"/>
    </row>
    <row r="109" spans="5:32" ht="18" customHeight="1">
      <c r="E109" s="171"/>
      <c r="T109" s="145" t="s">
        <v>41</v>
      </c>
      <c r="U109" s="173"/>
      <c r="V109" s="219">
        <f ca="1">OFFSET($L$1,MATCH($AF104,$B:$B,0)-1,4)</f>
        <v>36</v>
      </c>
      <c r="W109" s="144" t="s">
        <v>29</v>
      </c>
      <c r="X109" s="118">
        <f t="shared" ca="1" si="24"/>
        <v>235459</v>
      </c>
      <c r="Y109" s="118">
        <f t="shared" ca="1" si="25"/>
        <v>8476524</v>
      </c>
      <c r="Z109" s="118">
        <f ca="1">초급</f>
        <v>235459</v>
      </c>
      <c r="AA109" s="118">
        <f t="shared" ca="1" si="26"/>
        <v>8476524</v>
      </c>
      <c r="AB109" s="118"/>
      <c r="AC109" s="118"/>
      <c r="AD109" s="118"/>
      <c r="AE109" s="118"/>
      <c r="AF109" s="115"/>
    </row>
    <row r="110" spans="5:32" ht="18" customHeight="1">
      <c r="E110" s="171"/>
      <c r="T110" s="319" t="s">
        <v>42</v>
      </c>
      <c r="U110" s="320"/>
      <c r="V110" s="321">
        <f ca="1">OFFSET($L$1,MATCH($AF104,$B:$B,0)-1,5)</f>
        <v>36</v>
      </c>
      <c r="W110" s="322" t="s">
        <v>29</v>
      </c>
      <c r="X110" s="323">
        <f t="shared" ca="1" si="24"/>
        <v>250087</v>
      </c>
      <c r="Y110" s="323">
        <f t="shared" ca="1" si="25"/>
        <v>9003132</v>
      </c>
      <c r="Z110" s="323">
        <f ca="1">보조원</f>
        <v>250087</v>
      </c>
      <c r="AA110" s="323">
        <f t="shared" ca="1" si="26"/>
        <v>9003132</v>
      </c>
      <c r="AB110" s="323"/>
      <c r="AC110" s="323"/>
      <c r="AD110" s="323"/>
      <c r="AE110" s="323"/>
      <c r="AF110" s="324"/>
    </row>
    <row r="111" spans="5:32" ht="18" customHeight="1">
      <c r="E111" s="171"/>
      <c r="T111" s="139" t="s">
        <v>106</v>
      </c>
      <c r="U111" s="68"/>
      <c r="V111" s="69"/>
      <c r="W111" s="70"/>
      <c r="X111" s="71"/>
      <c r="Y111" s="71">
        <f ca="1">SUBTOTAL(9,Y105:Y110)</f>
        <v>40984074</v>
      </c>
      <c r="Z111" s="71"/>
      <c r="AA111" s="71">
        <f ca="1">SUBTOTAL(9,AA105:AA110)</f>
        <v>40984074</v>
      </c>
      <c r="AB111" s="71"/>
      <c r="AC111" s="71"/>
      <c r="AD111" s="71"/>
      <c r="AE111" s="71"/>
      <c r="AF111" s="68"/>
    </row>
    <row r="112" spans="5:32" ht="18" customHeight="1">
      <c r="E112" s="171"/>
      <c r="T112" s="318" t="str">
        <f ca="1">"제 " &amp; AF112 &amp; " 호표  "&amp; OFFSET($T$1,MATCH(AF112,$B:$B,0)-1,0)</f>
        <v>제 7 호표  4.1. 환지설계준비</v>
      </c>
      <c r="U112" s="221"/>
      <c r="V112" s="148"/>
      <c r="W112" s="148"/>
      <c r="X112" s="149"/>
      <c r="Y112" s="149"/>
      <c r="Z112" s="149"/>
      <c r="AA112" s="149"/>
      <c r="AB112" s="149"/>
      <c r="AC112" s="149"/>
      <c r="AD112" s="149"/>
      <c r="AE112" s="149"/>
      <c r="AF112" s="325">
        <f>AF104+1</f>
        <v>7</v>
      </c>
    </row>
    <row r="113" spans="5:32" ht="18" customHeight="1">
      <c r="E113" s="171"/>
      <c r="T113" s="140" t="s">
        <v>43</v>
      </c>
      <c r="U113" s="172"/>
      <c r="V113" s="219">
        <f ca="1">OFFSET($L$1,MATCH($AF112,$B:$B,0)-1,0)</f>
        <v>5.0999999999999996</v>
      </c>
      <c r="W113" s="141" t="s">
        <v>29</v>
      </c>
      <c r="X113" s="142">
        <f t="shared" ref="X113:X118" ca="1" si="27">Z113</f>
        <v>467217</v>
      </c>
      <c r="Y113" s="142">
        <f t="shared" ref="Y113:Y118" ca="1" si="28">AA113</f>
        <v>2382806</v>
      </c>
      <c r="Z113" s="142">
        <f ca="1">기술사</f>
        <v>467217</v>
      </c>
      <c r="AA113" s="142">
        <f t="shared" ref="AA113:AA118" ca="1" si="29">ROUNDDOWN(V113*X113,0)</f>
        <v>2382806</v>
      </c>
      <c r="AB113" s="142"/>
      <c r="AC113" s="142"/>
      <c r="AD113" s="142"/>
      <c r="AE113" s="142"/>
      <c r="AF113" s="114"/>
    </row>
    <row r="114" spans="5:32" ht="18" customHeight="1">
      <c r="E114" s="171"/>
      <c r="T114" s="143" t="s">
        <v>32</v>
      </c>
      <c r="U114" s="173"/>
      <c r="V114" s="219">
        <f ca="1">OFFSET($L$1,MATCH($AF112,$B:$B,0)-1,1)</f>
        <v>10.199999999999999</v>
      </c>
      <c r="W114" s="144" t="s">
        <v>29</v>
      </c>
      <c r="X114" s="118">
        <f t="shared" ca="1" si="27"/>
        <v>373353</v>
      </c>
      <c r="Y114" s="118">
        <f t="shared" ca="1" si="28"/>
        <v>3808200</v>
      </c>
      <c r="Z114" s="118">
        <f ca="1">특급</f>
        <v>373353</v>
      </c>
      <c r="AA114" s="118">
        <f t="shared" ca="1" si="29"/>
        <v>3808200</v>
      </c>
      <c r="AB114" s="118"/>
      <c r="AC114" s="118"/>
      <c r="AD114" s="118"/>
      <c r="AE114" s="118"/>
      <c r="AF114" s="115"/>
    </row>
    <row r="115" spans="5:32" ht="18" customHeight="1">
      <c r="E115" s="171"/>
      <c r="T115" s="145" t="s">
        <v>39</v>
      </c>
      <c r="U115" s="173"/>
      <c r="V115" s="219">
        <f ca="1">OFFSET($L$1,MATCH($AF112,$B:$B,0)-1,2)</f>
        <v>27</v>
      </c>
      <c r="W115" s="144" t="s">
        <v>29</v>
      </c>
      <c r="X115" s="118">
        <f t="shared" ca="1" si="27"/>
        <v>310884</v>
      </c>
      <c r="Y115" s="118">
        <f t="shared" ca="1" si="28"/>
        <v>8393868</v>
      </c>
      <c r="Z115" s="118">
        <f ca="1">고급</f>
        <v>310884</v>
      </c>
      <c r="AA115" s="118">
        <f t="shared" ca="1" si="29"/>
        <v>8393868</v>
      </c>
      <c r="AB115" s="118"/>
      <c r="AC115" s="118"/>
      <c r="AD115" s="118"/>
      <c r="AE115" s="118"/>
      <c r="AF115" s="115"/>
    </row>
    <row r="116" spans="5:32" ht="18" customHeight="1">
      <c r="E116" s="171"/>
      <c r="T116" s="145" t="s">
        <v>40</v>
      </c>
      <c r="U116" s="173"/>
      <c r="V116" s="219">
        <f ca="1">OFFSET($L$1,MATCH($AF112,$B:$B,0)-1,3)</f>
        <v>32.799999999999997</v>
      </c>
      <c r="W116" s="144" t="s">
        <v>29</v>
      </c>
      <c r="X116" s="118">
        <f t="shared" ca="1" si="27"/>
        <v>295138</v>
      </c>
      <c r="Y116" s="118">
        <f t="shared" ca="1" si="28"/>
        <v>9680526</v>
      </c>
      <c r="Z116" s="118">
        <f ca="1">중급</f>
        <v>295138</v>
      </c>
      <c r="AA116" s="118">
        <f t="shared" ca="1" si="29"/>
        <v>9680526</v>
      </c>
      <c r="AB116" s="118"/>
      <c r="AC116" s="118"/>
      <c r="AD116" s="118"/>
      <c r="AE116" s="118"/>
      <c r="AF116" s="115"/>
    </row>
    <row r="117" spans="5:32" ht="18" customHeight="1">
      <c r="E117" s="171"/>
      <c r="T117" s="145" t="s">
        <v>41</v>
      </c>
      <c r="U117" s="173"/>
      <c r="V117" s="219">
        <f ca="1">OFFSET($L$1,MATCH($AF112,$B:$B,0)-1,4)</f>
        <v>42.8</v>
      </c>
      <c r="W117" s="144" t="s">
        <v>29</v>
      </c>
      <c r="X117" s="118">
        <f t="shared" ca="1" si="27"/>
        <v>235459</v>
      </c>
      <c r="Y117" s="118">
        <f t="shared" ca="1" si="28"/>
        <v>10077645</v>
      </c>
      <c r="Z117" s="118">
        <f ca="1">초급</f>
        <v>235459</v>
      </c>
      <c r="AA117" s="118">
        <f t="shared" ca="1" si="29"/>
        <v>10077645</v>
      </c>
      <c r="AB117" s="118"/>
      <c r="AC117" s="118"/>
      <c r="AD117" s="118"/>
      <c r="AE117" s="118"/>
      <c r="AF117" s="115"/>
    </row>
    <row r="118" spans="5:32" ht="18" customHeight="1">
      <c r="E118" s="171"/>
      <c r="T118" s="319" t="s">
        <v>42</v>
      </c>
      <c r="U118" s="320"/>
      <c r="V118" s="321">
        <f ca="1">OFFSET($L$1,MATCH($AF112,$B:$B,0)-1,5)</f>
        <v>42.8</v>
      </c>
      <c r="W118" s="322" t="s">
        <v>29</v>
      </c>
      <c r="X118" s="323">
        <f t="shared" ca="1" si="27"/>
        <v>250087</v>
      </c>
      <c r="Y118" s="323">
        <f t="shared" ca="1" si="28"/>
        <v>10703723</v>
      </c>
      <c r="Z118" s="323">
        <f ca="1">보조원</f>
        <v>250087</v>
      </c>
      <c r="AA118" s="323">
        <f t="shared" ca="1" si="29"/>
        <v>10703723</v>
      </c>
      <c r="AB118" s="323"/>
      <c r="AC118" s="323"/>
      <c r="AD118" s="323"/>
      <c r="AE118" s="323"/>
      <c r="AF118" s="324"/>
    </row>
    <row r="119" spans="5:32" ht="18" customHeight="1">
      <c r="E119" s="171"/>
      <c r="T119" s="139" t="s">
        <v>106</v>
      </c>
      <c r="U119" s="68"/>
      <c r="V119" s="69"/>
      <c r="W119" s="70"/>
      <c r="X119" s="71"/>
      <c r="Y119" s="71">
        <f ca="1">SUBTOTAL(9,Y113:Y118)</f>
        <v>45046768</v>
      </c>
      <c r="Z119" s="71"/>
      <c r="AA119" s="71">
        <f ca="1">SUBTOTAL(9,AA113:AA118)</f>
        <v>45046768</v>
      </c>
      <c r="AB119" s="71"/>
      <c r="AC119" s="71"/>
      <c r="AD119" s="71"/>
      <c r="AE119" s="71"/>
      <c r="AF119" s="68"/>
    </row>
    <row r="120" spans="5:32" ht="18" customHeight="1">
      <c r="E120" s="171"/>
      <c r="T120" s="318" t="str">
        <f ca="1">"제 " &amp; AF120 &amp; " 호표  "&amp; OFFSET($T$1,MATCH(AF120,$B:$B,0)-1,0)</f>
        <v>제 8 호표  4.2. 토지평가</v>
      </c>
      <c r="U120" s="221"/>
      <c r="V120" s="148"/>
      <c r="W120" s="148"/>
      <c r="X120" s="149"/>
      <c r="Y120" s="149"/>
      <c r="Z120" s="149"/>
      <c r="AA120" s="149"/>
      <c r="AB120" s="149"/>
      <c r="AC120" s="149"/>
      <c r="AD120" s="149"/>
      <c r="AE120" s="149"/>
      <c r="AF120" s="325">
        <f>AF112+1</f>
        <v>8</v>
      </c>
    </row>
    <row r="121" spans="5:32" ht="18" customHeight="1">
      <c r="E121" s="171"/>
      <c r="T121" s="140" t="s">
        <v>43</v>
      </c>
      <c r="U121" s="172"/>
      <c r="V121" s="219">
        <f ca="1">OFFSET($L$1,MATCH($AF120,$B:$B,0)-1,0)</f>
        <v>2</v>
      </c>
      <c r="W121" s="141" t="s">
        <v>29</v>
      </c>
      <c r="X121" s="142">
        <f t="shared" ref="X121:X126" ca="1" si="30">Z121</f>
        <v>467217</v>
      </c>
      <c r="Y121" s="142">
        <f t="shared" ref="Y121:Y126" ca="1" si="31">AA121</f>
        <v>934434</v>
      </c>
      <c r="Z121" s="142">
        <f ca="1">기술사</f>
        <v>467217</v>
      </c>
      <c r="AA121" s="142">
        <f t="shared" ref="AA121:AA126" ca="1" si="32">ROUNDDOWN(V121*X121,0)</f>
        <v>934434</v>
      </c>
      <c r="AB121" s="142"/>
      <c r="AC121" s="142"/>
      <c r="AD121" s="142"/>
      <c r="AE121" s="142"/>
      <c r="AF121" s="114"/>
    </row>
    <row r="122" spans="5:32" ht="18" customHeight="1">
      <c r="E122" s="171"/>
      <c r="T122" s="143" t="s">
        <v>32</v>
      </c>
      <c r="U122" s="173"/>
      <c r="V122" s="219">
        <f ca="1">OFFSET($L$1,MATCH($AF120,$B:$B,0)-1,1)</f>
        <v>4</v>
      </c>
      <c r="W122" s="144" t="s">
        <v>29</v>
      </c>
      <c r="X122" s="118">
        <f t="shared" ca="1" si="30"/>
        <v>373353</v>
      </c>
      <c r="Y122" s="118">
        <f t="shared" ca="1" si="31"/>
        <v>1493412</v>
      </c>
      <c r="Z122" s="118">
        <f ca="1">특급</f>
        <v>373353</v>
      </c>
      <c r="AA122" s="118">
        <f t="shared" ca="1" si="32"/>
        <v>1493412</v>
      </c>
      <c r="AB122" s="118"/>
      <c r="AC122" s="118"/>
      <c r="AD122" s="118"/>
      <c r="AE122" s="118"/>
      <c r="AF122" s="115"/>
    </row>
    <row r="123" spans="5:32" ht="18" customHeight="1">
      <c r="E123" s="171"/>
      <c r="T123" s="145" t="s">
        <v>39</v>
      </c>
      <c r="U123" s="173"/>
      <c r="V123" s="219">
        <f ca="1">OFFSET($L$1,MATCH($AF120,$B:$B,0)-1,2)</f>
        <v>9</v>
      </c>
      <c r="W123" s="144" t="s">
        <v>29</v>
      </c>
      <c r="X123" s="118">
        <f t="shared" ca="1" si="30"/>
        <v>310884</v>
      </c>
      <c r="Y123" s="118">
        <f t="shared" ca="1" si="31"/>
        <v>2797956</v>
      </c>
      <c r="Z123" s="118">
        <f ca="1">고급</f>
        <v>310884</v>
      </c>
      <c r="AA123" s="118">
        <f t="shared" ca="1" si="32"/>
        <v>2797956</v>
      </c>
      <c r="AB123" s="118"/>
      <c r="AC123" s="118"/>
      <c r="AD123" s="118"/>
      <c r="AE123" s="118"/>
      <c r="AF123" s="115"/>
    </row>
    <row r="124" spans="5:32" ht="18" customHeight="1">
      <c r="E124" s="171"/>
      <c r="T124" s="145" t="s">
        <v>40</v>
      </c>
      <c r="U124" s="173"/>
      <c r="V124" s="219">
        <f ca="1">OFFSET($L$1,MATCH($AF120,$B:$B,0)-1,3)</f>
        <v>12</v>
      </c>
      <c r="W124" s="144" t="s">
        <v>29</v>
      </c>
      <c r="X124" s="118">
        <f t="shared" ca="1" si="30"/>
        <v>295138</v>
      </c>
      <c r="Y124" s="118">
        <f t="shared" ca="1" si="31"/>
        <v>3541656</v>
      </c>
      <c r="Z124" s="118">
        <f ca="1">중급</f>
        <v>295138</v>
      </c>
      <c r="AA124" s="118">
        <f t="shared" ca="1" si="32"/>
        <v>3541656</v>
      </c>
      <c r="AB124" s="118"/>
      <c r="AC124" s="118"/>
      <c r="AD124" s="118"/>
      <c r="AE124" s="118"/>
      <c r="AF124" s="115"/>
    </row>
    <row r="125" spans="5:32" ht="18" customHeight="1">
      <c r="E125" s="171"/>
      <c r="T125" s="145" t="s">
        <v>41</v>
      </c>
      <c r="U125" s="173"/>
      <c r="V125" s="219">
        <f ca="1">OFFSET($L$1,MATCH($AF120,$B:$B,0)-1,4)</f>
        <v>20</v>
      </c>
      <c r="W125" s="144" t="s">
        <v>29</v>
      </c>
      <c r="X125" s="118">
        <f t="shared" ca="1" si="30"/>
        <v>235459</v>
      </c>
      <c r="Y125" s="118">
        <f t="shared" ca="1" si="31"/>
        <v>4709180</v>
      </c>
      <c r="Z125" s="118">
        <f ca="1">초급</f>
        <v>235459</v>
      </c>
      <c r="AA125" s="118">
        <f t="shared" ca="1" si="32"/>
        <v>4709180</v>
      </c>
      <c r="AB125" s="118"/>
      <c r="AC125" s="118"/>
      <c r="AD125" s="118"/>
      <c r="AE125" s="118"/>
      <c r="AF125" s="115"/>
    </row>
    <row r="126" spans="5:32" ht="18" customHeight="1">
      <c r="E126" s="171"/>
      <c r="T126" s="319" t="s">
        <v>42</v>
      </c>
      <c r="U126" s="320"/>
      <c r="V126" s="321">
        <f ca="1">OFFSET($L$1,MATCH($AF120,$B:$B,0)-1,5)</f>
        <v>20</v>
      </c>
      <c r="W126" s="322" t="s">
        <v>29</v>
      </c>
      <c r="X126" s="323">
        <f t="shared" ca="1" si="30"/>
        <v>250087</v>
      </c>
      <c r="Y126" s="323">
        <f t="shared" ca="1" si="31"/>
        <v>5001740</v>
      </c>
      <c r="Z126" s="323">
        <f ca="1">보조원</f>
        <v>250087</v>
      </c>
      <c r="AA126" s="323">
        <f t="shared" ca="1" si="32"/>
        <v>5001740</v>
      </c>
      <c r="AB126" s="323"/>
      <c r="AC126" s="323"/>
      <c r="AD126" s="323"/>
      <c r="AE126" s="323"/>
      <c r="AF126" s="324"/>
    </row>
    <row r="127" spans="5:32" ht="18" customHeight="1">
      <c r="E127" s="171"/>
      <c r="T127" s="139" t="s">
        <v>106</v>
      </c>
      <c r="U127" s="68"/>
      <c r="V127" s="69"/>
      <c r="W127" s="70"/>
      <c r="X127" s="71"/>
      <c r="Y127" s="71">
        <f ca="1">SUBTOTAL(9,Y121:Y126)</f>
        <v>18478378</v>
      </c>
      <c r="Z127" s="71"/>
      <c r="AA127" s="71">
        <f ca="1">SUBTOTAL(9,AA121:AA126)</f>
        <v>18478378</v>
      </c>
      <c r="AB127" s="71"/>
      <c r="AC127" s="71"/>
      <c r="AD127" s="71"/>
      <c r="AE127" s="71"/>
      <c r="AF127" s="68"/>
    </row>
    <row r="128" spans="5:32" ht="18" customHeight="1">
      <c r="E128" s="171"/>
      <c r="T128" s="318" t="str">
        <f ca="1">"제 " &amp; AF128 &amp; " 호표  "&amp; OFFSET($T$1,MATCH(AF128,$B:$B,0)-1,0)</f>
        <v>제 9 호표  4.3.3. 면적식</v>
      </c>
      <c r="U128" s="221"/>
      <c r="V128" s="148"/>
      <c r="W128" s="148"/>
      <c r="X128" s="149"/>
      <c r="Y128" s="149"/>
      <c r="Z128" s="149"/>
      <c r="AA128" s="149"/>
      <c r="AB128" s="149"/>
      <c r="AC128" s="149"/>
      <c r="AD128" s="149"/>
      <c r="AE128" s="149"/>
      <c r="AF128" s="325">
        <f>AF120+1</f>
        <v>9</v>
      </c>
    </row>
    <row r="129" spans="5:32" ht="18" customHeight="1">
      <c r="E129" s="171"/>
      <c r="T129" s="140" t="s">
        <v>43</v>
      </c>
      <c r="U129" s="172"/>
      <c r="V129" s="219">
        <f ca="1">OFFSET($L$1,MATCH($AF128,$B:$B,0)-1,0)</f>
        <v>3.2</v>
      </c>
      <c r="W129" s="141" t="s">
        <v>29</v>
      </c>
      <c r="X129" s="142">
        <f t="shared" ref="X129:X134" ca="1" si="33">Z129</f>
        <v>467217</v>
      </c>
      <c r="Y129" s="142">
        <f t="shared" ref="Y129:Y134" ca="1" si="34">AA129</f>
        <v>1495094</v>
      </c>
      <c r="Z129" s="142">
        <f ca="1">기술사</f>
        <v>467217</v>
      </c>
      <c r="AA129" s="142">
        <f t="shared" ref="AA129:AA134" ca="1" si="35">ROUNDDOWN(V129*X129,0)</f>
        <v>1495094</v>
      </c>
      <c r="AB129" s="142"/>
      <c r="AC129" s="142"/>
      <c r="AD129" s="142"/>
      <c r="AE129" s="142"/>
      <c r="AF129" s="114"/>
    </row>
    <row r="130" spans="5:32" ht="18" customHeight="1">
      <c r="E130" s="171"/>
      <c r="T130" s="143" t="s">
        <v>32</v>
      </c>
      <c r="U130" s="173"/>
      <c r="V130" s="219">
        <f ca="1">OFFSET($L$1,MATCH($AF128,$B:$B,0)-1,1)</f>
        <v>6.4</v>
      </c>
      <c r="W130" s="144" t="s">
        <v>29</v>
      </c>
      <c r="X130" s="118">
        <f t="shared" ca="1" si="33"/>
        <v>373353</v>
      </c>
      <c r="Y130" s="118">
        <f t="shared" ca="1" si="34"/>
        <v>2389459</v>
      </c>
      <c r="Z130" s="118">
        <f ca="1">특급</f>
        <v>373353</v>
      </c>
      <c r="AA130" s="118">
        <f t="shared" ca="1" si="35"/>
        <v>2389459</v>
      </c>
      <c r="AB130" s="118"/>
      <c r="AC130" s="118"/>
      <c r="AD130" s="118"/>
      <c r="AE130" s="118"/>
      <c r="AF130" s="115"/>
    </row>
    <row r="131" spans="5:32" ht="18" customHeight="1">
      <c r="E131" s="171"/>
      <c r="T131" s="145" t="s">
        <v>39</v>
      </c>
      <c r="U131" s="173"/>
      <c r="V131" s="219">
        <f ca="1">OFFSET($L$1,MATCH($AF128,$B:$B,0)-1,2)</f>
        <v>18</v>
      </c>
      <c r="W131" s="144" t="s">
        <v>29</v>
      </c>
      <c r="X131" s="118">
        <f t="shared" ca="1" si="33"/>
        <v>310884</v>
      </c>
      <c r="Y131" s="118">
        <f t="shared" ca="1" si="34"/>
        <v>5595912</v>
      </c>
      <c r="Z131" s="118">
        <f ca="1">고급</f>
        <v>310884</v>
      </c>
      <c r="AA131" s="118">
        <f t="shared" ca="1" si="35"/>
        <v>5595912</v>
      </c>
      <c r="AB131" s="118"/>
      <c r="AC131" s="118"/>
      <c r="AD131" s="118"/>
      <c r="AE131" s="118"/>
      <c r="AF131" s="115"/>
    </row>
    <row r="132" spans="5:32" ht="18" customHeight="1">
      <c r="E132" s="171"/>
      <c r="T132" s="145" t="s">
        <v>40</v>
      </c>
      <c r="U132" s="173"/>
      <c r="V132" s="219">
        <f ca="1">OFFSET($L$1,MATCH($AF128,$B:$B,0)-1,3)</f>
        <v>27</v>
      </c>
      <c r="W132" s="144" t="s">
        <v>29</v>
      </c>
      <c r="X132" s="118">
        <f t="shared" ca="1" si="33"/>
        <v>295138</v>
      </c>
      <c r="Y132" s="118">
        <f t="shared" ca="1" si="34"/>
        <v>7968726</v>
      </c>
      <c r="Z132" s="118">
        <f ca="1">중급</f>
        <v>295138</v>
      </c>
      <c r="AA132" s="118">
        <f t="shared" ca="1" si="35"/>
        <v>7968726</v>
      </c>
      <c r="AB132" s="118"/>
      <c r="AC132" s="118"/>
      <c r="AD132" s="118"/>
      <c r="AE132" s="118"/>
      <c r="AF132" s="115"/>
    </row>
    <row r="133" spans="5:32" ht="18" customHeight="1">
      <c r="E133" s="171"/>
      <c r="T133" s="145" t="s">
        <v>41</v>
      </c>
      <c r="U133" s="173"/>
      <c r="V133" s="219">
        <f ca="1">OFFSET($L$1,MATCH($AF128,$B:$B,0)-1,4)</f>
        <v>36</v>
      </c>
      <c r="W133" s="144" t="s">
        <v>29</v>
      </c>
      <c r="X133" s="118">
        <f t="shared" ca="1" si="33"/>
        <v>235459</v>
      </c>
      <c r="Y133" s="118">
        <f t="shared" ca="1" si="34"/>
        <v>8476524</v>
      </c>
      <c r="Z133" s="118">
        <f ca="1">초급</f>
        <v>235459</v>
      </c>
      <c r="AA133" s="118">
        <f t="shared" ca="1" si="35"/>
        <v>8476524</v>
      </c>
      <c r="AB133" s="118"/>
      <c r="AC133" s="118"/>
      <c r="AD133" s="118"/>
      <c r="AE133" s="118"/>
      <c r="AF133" s="115"/>
    </row>
    <row r="134" spans="5:32" ht="18" customHeight="1">
      <c r="E134" s="171"/>
      <c r="T134" s="319" t="s">
        <v>42</v>
      </c>
      <c r="U134" s="320"/>
      <c r="V134" s="321">
        <f ca="1">OFFSET($L$1,MATCH($AF128,$B:$B,0)-1,5)</f>
        <v>36</v>
      </c>
      <c r="W134" s="322" t="s">
        <v>29</v>
      </c>
      <c r="X134" s="323">
        <f t="shared" ca="1" si="33"/>
        <v>250087</v>
      </c>
      <c r="Y134" s="323">
        <f t="shared" ca="1" si="34"/>
        <v>9003132</v>
      </c>
      <c r="Z134" s="323">
        <f ca="1">보조원</f>
        <v>250087</v>
      </c>
      <c r="AA134" s="323">
        <f t="shared" ca="1" si="35"/>
        <v>9003132</v>
      </c>
      <c r="AB134" s="323"/>
      <c r="AC134" s="323"/>
      <c r="AD134" s="323"/>
      <c r="AE134" s="323"/>
      <c r="AF134" s="324"/>
    </row>
    <row r="135" spans="5:32" ht="18" customHeight="1">
      <c r="E135" s="171"/>
      <c r="T135" s="139" t="s">
        <v>106</v>
      </c>
      <c r="U135" s="68"/>
      <c r="V135" s="69"/>
      <c r="W135" s="70"/>
      <c r="X135" s="71"/>
      <c r="Y135" s="71">
        <f ca="1">SUBTOTAL(9,Y129:Y134)</f>
        <v>34928847</v>
      </c>
      <c r="Z135" s="71"/>
      <c r="AA135" s="71">
        <f ca="1">SUBTOTAL(9,AA129:AA134)</f>
        <v>34928847</v>
      </c>
      <c r="AB135" s="71"/>
      <c r="AC135" s="71"/>
      <c r="AD135" s="71"/>
      <c r="AE135" s="71"/>
      <c r="AF135" s="68"/>
    </row>
    <row r="136" spans="5:32" ht="18" customHeight="1">
      <c r="E136" s="171"/>
      <c r="T136" s="318" t="str">
        <f ca="1">"제 " &amp; AF136 &amp; " 호표  "&amp; OFFSET($T$1,MATCH(AF136,$B:$B,0)-1,0)</f>
        <v>제 10 호표  4.4. 환지할당</v>
      </c>
      <c r="U136" s="221"/>
      <c r="V136" s="148"/>
      <c r="W136" s="148"/>
      <c r="X136" s="149"/>
      <c r="Y136" s="149"/>
      <c r="Z136" s="149"/>
      <c r="AA136" s="149"/>
      <c r="AB136" s="149"/>
      <c r="AC136" s="149"/>
      <c r="AD136" s="149"/>
      <c r="AE136" s="149"/>
      <c r="AF136" s="325">
        <f>AF128+1</f>
        <v>10</v>
      </c>
    </row>
    <row r="137" spans="5:32" ht="18" customHeight="1">
      <c r="E137" s="171"/>
      <c r="T137" s="140" t="s">
        <v>43</v>
      </c>
      <c r="U137" s="172"/>
      <c r="V137" s="219">
        <f ca="1">OFFSET($L$1,MATCH($AF136,$B:$B,0)-1,0)</f>
        <v>12.4</v>
      </c>
      <c r="W137" s="141" t="s">
        <v>29</v>
      </c>
      <c r="X137" s="142">
        <f t="shared" ref="X137:X142" ca="1" si="36">Z137</f>
        <v>467217</v>
      </c>
      <c r="Y137" s="142">
        <f t="shared" ref="Y137:Y142" ca="1" si="37">AA137</f>
        <v>5793490</v>
      </c>
      <c r="Z137" s="142">
        <f ca="1">기술사</f>
        <v>467217</v>
      </c>
      <c r="AA137" s="142">
        <f t="shared" ref="AA137:AA142" ca="1" si="38">ROUNDDOWN(V137*X137,0)</f>
        <v>5793490</v>
      </c>
      <c r="AB137" s="142"/>
      <c r="AC137" s="142"/>
      <c r="AD137" s="142"/>
      <c r="AE137" s="142"/>
      <c r="AF137" s="114"/>
    </row>
    <row r="138" spans="5:32" ht="18" customHeight="1">
      <c r="E138" s="171"/>
      <c r="T138" s="143" t="s">
        <v>32</v>
      </c>
      <c r="U138" s="173"/>
      <c r="V138" s="219">
        <f ca="1">OFFSET($L$1,MATCH($AF136,$B:$B,0)-1,1)</f>
        <v>24.8</v>
      </c>
      <c r="W138" s="144" t="s">
        <v>29</v>
      </c>
      <c r="X138" s="118">
        <f t="shared" ca="1" si="36"/>
        <v>373353</v>
      </c>
      <c r="Y138" s="118">
        <f t="shared" ca="1" si="37"/>
        <v>9259154</v>
      </c>
      <c r="Z138" s="118">
        <f ca="1">특급</f>
        <v>373353</v>
      </c>
      <c r="AA138" s="118">
        <f t="shared" ca="1" si="38"/>
        <v>9259154</v>
      </c>
      <c r="AB138" s="118"/>
      <c r="AC138" s="118"/>
      <c r="AD138" s="118"/>
      <c r="AE138" s="118"/>
      <c r="AF138" s="115"/>
    </row>
    <row r="139" spans="5:32" ht="18" customHeight="1">
      <c r="E139" s="171"/>
      <c r="T139" s="145" t="s">
        <v>39</v>
      </c>
      <c r="U139" s="173"/>
      <c r="V139" s="219">
        <f ca="1">OFFSET($L$1,MATCH($AF136,$B:$B,0)-1,2)</f>
        <v>54</v>
      </c>
      <c r="W139" s="144" t="s">
        <v>29</v>
      </c>
      <c r="X139" s="118">
        <f t="shared" ca="1" si="36"/>
        <v>310884</v>
      </c>
      <c r="Y139" s="118">
        <f t="shared" ca="1" si="37"/>
        <v>16787736</v>
      </c>
      <c r="Z139" s="118">
        <f ca="1">고급</f>
        <v>310884</v>
      </c>
      <c r="AA139" s="118">
        <f t="shared" ca="1" si="38"/>
        <v>16787736</v>
      </c>
      <c r="AB139" s="118"/>
      <c r="AC139" s="118"/>
      <c r="AD139" s="118"/>
      <c r="AE139" s="118"/>
      <c r="AF139" s="115"/>
    </row>
    <row r="140" spans="5:32" ht="18" customHeight="1">
      <c r="E140" s="171"/>
      <c r="T140" s="145" t="s">
        <v>40</v>
      </c>
      <c r="U140" s="173"/>
      <c r="V140" s="219">
        <f ca="1">OFFSET($L$1,MATCH($AF136,$B:$B,0)-1,3)</f>
        <v>86</v>
      </c>
      <c r="W140" s="144" t="s">
        <v>29</v>
      </c>
      <c r="X140" s="118">
        <f t="shared" ca="1" si="36"/>
        <v>295138</v>
      </c>
      <c r="Y140" s="118">
        <f t="shared" ca="1" si="37"/>
        <v>25381868</v>
      </c>
      <c r="Z140" s="118">
        <f ca="1">중급</f>
        <v>295138</v>
      </c>
      <c r="AA140" s="118">
        <f t="shared" ca="1" si="38"/>
        <v>25381868</v>
      </c>
      <c r="AB140" s="118"/>
      <c r="AC140" s="118"/>
      <c r="AD140" s="118"/>
      <c r="AE140" s="118"/>
      <c r="AF140" s="115"/>
    </row>
    <row r="141" spans="5:32" ht="18" customHeight="1">
      <c r="E141" s="171"/>
      <c r="T141" s="145" t="s">
        <v>41</v>
      </c>
      <c r="U141" s="173"/>
      <c r="V141" s="219">
        <f ca="1">OFFSET($L$1,MATCH($AF136,$B:$B,0)-1,4)</f>
        <v>111</v>
      </c>
      <c r="W141" s="144" t="s">
        <v>29</v>
      </c>
      <c r="X141" s="118">
        <f t="shared" ca="1" si="36"/>
        <v>235459</v>
      </c>
      <c r="Y141" s="118">
        <f t="shared" ca="1" si="37"/>
        <v>26135949</v>
      </c>
      <c r="Z141" s="118">
        <f ca="1">초급</f>
        <v>235459</v>
      </c>
      <c r="AA141" s="118">
        <f t="shared" ca="1" si="38"/>
        <v>26135949</v>
      </c>
      <c r="AB141" s="118"/>
      <c r="AC141" s="118"/>
      <c r="AD141" s="118"/>
      <c r="AE141" s="118"/>
      <c r="AF141" s="115"/>
    </row>
    <row r="142" spans="5:32" ht="18" customHeight="1">
      <c r="E142" s="171"/>
      <c r="T142" s="319" t="s">
        <v>42</v>
      </c>
      <c r="U142" s="320"/>
      <c r="V142" s="321">
        <f ca="1">OFFSET($L$1,MATCH($AF136,$B:$B,0)-1,5)</f>
        <v>117</v>
      </c>
      <c r="W142" s="322" t="s">
        <v>29</v>
      </c>
      <c r="X142" s="323">
        <f t="shared" ca="1" si="36"/>
        <v>250087</v>
      </c>
      <c r="Y142" s="323">
        <f t="shared" ca="1" si="37"/>
        <v>29260179</v>
      </c>
      <c r="Z142" s="323">
        <f ca="1">보조원</f>
        <v>250087</v>
      </c>
      <c r="AA142" s="323">
        <f t="shared" ca="1" si="38"/>
        <v>29260179</v>
      </c>
      <c r="AB142" s="323"/>
      <c r="AC142" s="323"/>
      <c r="AD142" s="323"/>
      <c r="AE142" s="323"/>
      <c r="AF142" s="324"/>
    </row>
    <row r="143" spans="5:32" ht="18" customHeight="1">
      <c r="E143" s="171"/>
      <c r="T143" s="139" t="s">
        <v>106</v>
      </c>
      <c r="U143" s="68"/>
      <c r="V143" s="69"/>
      <c r="W143" s="70"/>
      <c r="X143" s="71"/>
      <c r="Y143" s="71">
        <f ca="1">SUBTOTAL(9,Y137:Y142)</f>
        <v>112618376</v>
      </c>
      <c r="Z143" s="71"/>
      <c r="AA143" s="71">
        <f ca="1">SUBTOTAL(9,AA137:AA142)</f>
        <v>112618376</v>
      </c>
      <c r="AB143" s="71"/>
      <c r="AC143" s="71"/>
      <c r="AD143" s="71"/>
      <c r="AE143" s="71"/>
      <c r="AF143" s="68"/>
    </row>
    <row r="144" spans="5:32" ht="18" customHeight="1">
      <c r="E144" s="171"/>
      <c r="T144" s="318" t="str">
        <f ca="1">"제 " &amp; AF144 &amp; " 호표  "&amp; OFFSET($T$1,MATCH(AF144,$B:$B,0)-1,0)</f>
        <v>제 11 호표  4.5. 환지계산서</v>
      </c>
      <c r="U144" s="221"/>
      <c r="V144" s="148"/>
      <c r="W144" s="148"/>
      <c r="X144" s="149"/>
      <c r="Y144" s="149"/>
      <c r="Z144" s="149"/>
      <c r="AA144" s="149"/>
      <c r="AB144" s="149"/>
      <c r="AC144" s="149"/>
      <c r="AD144" s="149"/>
      <c r="AE144" s="149"/>
      <c r="AF144" s="325">
        <f>AF136+1</f>
        <v>11</v>
      </c>
    </row>
    <row r="145" spans="5:32" ht="18" customHeight="1">
      <c r="E145" s="171"/>
      <c r="T145" s="140" t="s">
        <v>43</v>
      </c>
      <c r="U145" s="172"/>
      <c r="V145" s="219">
        <f ca="1">OFFSET($L$1,MATCH($AF144,$B:$B,0)-1,0)</f>
        <v>4</v>
      </c>
      <c r="W145" s="141" t="s">
        <v>29</v>
      </c>
      <c r="X145" s="142">
        <f t="shared" ref="X145:X150" ca="1" si="39">Z145</f>
        <v>467217</v>
      </c>
      <c r="Y145" s="142">
        <f t="shared" ref="Y145:Y150" ca="1" si="40">AA145</f>
        <v>1868868</v>
      </c>
      <c r="Z145" s="142">
        <f ca="1">기술사</f>
        <v>467217</v>
      </c>
      <c r="AA145" s="142">
        <f t="shared" ref="AA145:AA150" ca="1" si="41">ROUNDDOWN(V145*X145,0)</f>
        <v>1868868</v>
      </c>
      <c r="AB145" s="142"/>
      <c r="AC145" s="142"/>
      <c r="AD145" s="142"/>
      <c r="AE145" s="142"/>
      <c r="AF145" s="114"/>
    </row>
    <row r="146" spans="5:32" ht="18" customHeight="1">
      <c r="E146" s="171"/>
      <c r="T146" s="143" t="s">
        <v>32</v>
      </c>
      <c r="U146" s="173"/>
      <c r="V146" s="219">
        <f ca="1">OFFSET($L$1,MATCH($AF144,$B:$B,0)-1,1)</f>
        <v>8</v>
      </c>
      <c r="W146" s="144" t="s">
        <v>29</v>
      </c>
      <c r="X146" s="118">
        <f t="shared" ca="1" si="39"/>
        <v>373353</v>
      </c>
      <c r="Y146" s="118">
        <f t="shared" ca="1" si="40"/>
        <v>2986824</v>
      </c>
      <c r="Z146" s="118">
        <f ca="1">특급</f>
        <v>373353</v>
      </c>
      <c r="AA146" s="118">
        <f t="shared" ca="1" si="41"/>
        <v>2986824</v>
      </c>
      <c r="AB146" s="118"/>
      <c r="AC146" s="118"/>
      <c r="AD146" s="118"/>
      <c r="AE146" s="118"/>
      <c r="AF146" s="115"/>
    </row>
    <row r="147" spans="5:32" ht="18" customHeight="1">
      <c r="E147" s="171"/>
      <c r="T147" s="145" t="s">
        <v>39</v>
      </c>
      <c r="U147" s="173"/>
      <c r="V147" s="219">
        <f ca="1">OFFSET($L$1,MATCH($AF144,$B:$B,0)-1,2)</f>
        <v>15</v>
      </c>
      <c r="W147" s="144" t="s">
        <v>29</v>
      </c>
      <c r="X147" s="118">
        <f t="shared" ca="1" si="39"/>
        <v>310884</v>
      </c>
      <c r="Y147" s="118">
        <f t="shared" ca="1" si="40"/>
        <v>4663260</v>
      </c>
      <c r="Z147" s="118">
        <f ca="1">고급</f>
        <v>310884</v>
      </c>
      <c r="AA147" s="118">
        <f t="shared" ca="1" si="41"/>
        <v>4663260</v>
      </c>
      <c r="AB147" s="118"/>
      <c r="AC147" s="118"/>
      <c r="AD147" s="118"/>
      <c r="AE147" s="118"/>
      <c r="AF147" s="115"/>
    </row>
    <row r="148" spans="5:32" ht="18" customHeight="1">
      <c r="E148" s="171"/>
      <c r="T148" s="145" t="s">
        <v>40</v>
      </c>
      <c r="U148" s="173"/>
      <c r="V148" s="219">
        <f ca="1">OFFSET($L$1,MATCH($AF144,$B:$B,0)-1,3)</f>
        <v>20</v>
      </c>
      <c r="W148" s="144" t="s">
        <v>29</v>
      </c>
      <c r="X148" s="118">
        <f t="shared" ca="1" si="39"/>
        <v>295138</v>
      </c>
      <c r="Y148" s="118">
        <f t="shared" ca="1" si="40"/>
        <v>5902760</v>
      </c>
      <c r="Z148" s="118">
        <f ca="1">중급</f>
        <v>295138</v>
      </c>
      <c r="AA148" s="118">
        <f t="shared" ca="1" si="41"/>
        <v>5902760</v>
      </c>
      <c r="AB148" s="118"/>
      <c r="AC148" s="118"/>
      <c r="AD148" s="118"/>
      <c r="AE148" s="118"/>
      <c r="AF148" s="115"/>
    </row>
    <row r="149" spans="5:32" ht="18" customHeight="1">
      <c r="E149" s="171"/>
      <c r="T149" s="145" t="s">
        <v>41</v>
      </c>
      <c r="U149" s="173"/>
      <c r="V149" s="219">
        <f ca="1">OFFSET($L$1,MATCH($AF144,$B:$B,0)-1,4)</f>
        <v>30</v>
      </c>
      <c r="W149" s="144" t="s">
        <v>29</v>
      </c>
      <c r="X149" s="118">
        <f t="shared" ca="1" si="39"/>
        <v>235459</v>
      </c>
      <c r="Y149" s="118">
        <f t="shared" ca="1" si="40"/>
        <v>7063770</v>
      </c>
      <c r="Z149" s="118">
        <f ca="1">초급</f>
        <v>235459</v>
      </c>
      <c r="AA149" s="118">
        <f t="shared" ca="1" si="41"/>
        <v>7063770</v>
      </c>
      <c r="AB149" s="118"/>
      <c r="AC149" s="118"/>
      <c r="AD149" s="118"/>
      <c r="AE149" s="118"/>
      <c r="AF149" s="115"/>
    </row>
    <row r="150" spans="5:32" ht="18" customHeight="1">
      <c r="E150" s="171"/>
      <c r="T150" s="319" t="s">
        <v>42</v>
      </c>
      <c r="U150" s="320"/>
      <c r="V150" s="321">
        <f ca="1">OFFSET($L$1,MATCH($AF144,$B:$B,0)-1,5)</f>
        <v>45</v>
      </c>
      <c r="W150" s="322" t="s">
        <v>29</v>
      </c>
      <c r="X150" s="323">
        <f t="shared" ca="1" si="39"/>
        <v>250087</v>
      </c>
      <c r="Y150" s="323">
        <f t="shared" ca="1" si="40"/>
        <v>11253915</v>
      </c>
      <c r="Z150" s="323">
        <f ca="1">보조원</f>
        <v>250087</v>
      </c>
      <c r="AA150" s="323">
        <f t="shared" ca="1" si="41"/>
        <v>11253915</v>
      </c>
      <c r="AB150" s="323"/>
      <c r="AC150" s="323"/>
      <c r="AD150" s="323"/>
      <c r="AE150" s="323"/>
      <c r="AF150" s="324"/>
    </row>
    <row r="151" spans="5:32" ht="18" customHeight="1">
      <c r="E151" s="171"/>
      <c r="T151" s="139" t="s">
        <v>106</v>
      </c>
      <c r="U151" s="68"/>
      <c r="V151" s="69"/>
      <c r="W151" s="70"/>
      <c r="X151" s="71"/>
      <c r="Y151" s="71">
        <f ca="1">SUBTOTAL(9,Y145:Y150)</f>
        <v>33739397</v>
      </c>
      <c r="Z151" s="71"/>
      <c r="AA151" s="71">
        <f ca="1">SUBTOTAL(9,AA145:AA150)</f>
        <v>33739397</v>
      </c>
      <c r="AB151" s="71"/>
      <c r="AC151" s="71"/>
      <c r="AD151" s="71"/>
      <c r="AE151" s="71"/>
      <c r="AF151" s="68"/>
    </row>
    <row r="152" spans="5:32" ht="18" customHeight="1">
      <c r="E152" s="171"/>
      <c r="T152" s="318" t="str">
        <f ca="1">"제 " &amp; AF152 &amp; " 호표  "&amp; OFFSET($T$1,MATCH(AF152,$B:$B,0)-1,0)</f>
        <v>제 12 호표  5.1. 환지처분서</v>
      </c>
      <c r="U152" s="221"/>
      <c r="V152" s="148"/>
      <c r="W152" s="148"/>
      <c r="X152" s="149"/>
      <c r="Y152" s="149"/>
      <c r="Z152" s="149"/>
      <c r="AA152" s="149"/>
      <c r="AB152" s="149"/>
      <c r="AC152" s="149"/>
      <c r="AD152" s="149"/>
      <c r="AE152" s="149"/>
      <c r="AF152" s="325">
        <f>AF144+1</f>
        <v>12</v>
      </c>
    </row>
    <row r="153" spans="5:32" ht="18" customHeight="1">
      <c r="E153" s="171"/>
      <c r="T153" s="140" t="s">
        <v>43</v>
      </c>
      <c r="U153" s="172"/>
      <c r="V153" s="219">
        <f ca="1">OFFSET($L$1,MATCH($AF152,$B:$B,0)-1,0)</f>
        <v>15.5</v>
      </c>
      <c r="W153" s="141" t="s">
        <v>29</v>
      </c>
      <c r="X153" s="142">
        <f t="shared" ref="X153:X158" ca="1" si="42">Z153</f>
        <v>467217</v>
      </c>
      <c r="Y153" s="142">
        <f t="shared" ref="Y153:Y158" ca="1" si="43">AA153</f>
        <v>7241863</v>
      </c>
      <c r="Z153" s="142">
        <f ca="1">기술사</f>
        <v>467217</v>
      </c>
      <c r="AA153" s="142">
        <f t="shared" ref="AA153:AA158" ca="1" si="44">ROUNDDOWN(V153*X153,0)</f>
        <v>7241863</v>
      </c>
      <c r="AB153" s="142"/>
      <c r="AC153" s="142"/>
      <c r="AD153" s="142"/>
      <c r="AE153" s="142"/>
      <c r="AF153" s="114"/>
    </row>
    <row r="154" spans="5:32" ht="18" customHeight="1">
      <c r="E154" s="171"/>
      <c r="T154" s="143" t="s">
        <v>32</v>
      </c>
      <c r="U154" s="173"/>
      <c r="V154" s="219">
        <f ca="1">OFFSET($L$1,MATCH($AF152,$B:$B,0)-1,1)</f>
        <v>31</v>
      </c>
      <c r="W154" s="144" t="s">
        <v>29</v>
      </c>
      <c r="X154" s="118">
        <f t="shared" ca="1" si="42"/>
        <v>373353</v>
      </c>
      <c r="Y154" s="118">
        <f t="shared" ca="1" si="43"/>
        <v>11573943</v>
      </c>
      <c r="Z154" s="118">
        <f ca="1">특급</f>
        <v>373353</v>
      </c>
      <c r="AA154" s="118">
        <f t="shared" ca="1" si="44"/>
        <v>11573943</v>
      </c>
      <c r="AB154" s="118"/>
      <c r="AC154" s="118"/>
      <c r="AD154" s="118"/>
      <c r="AE154" s="118"/>
      <c r="AF154" s="115"/>
    </row>
    <row r="155" spans="5:32" ht="18" customHeight="1">
      <c r="E155" s="171"/>
      <c r="T155" s="145" t="s">
        <v>39</v>
      </c>
      <c r="U155" s="173"/>
      <c r="V155" s="219">
        <f ca="1">OFFSET($L$1,MATCH($AF152,$B:$B,0)-1,2)</f>
        <v>70</v>
      </c>
      <c r="W155" s="144" t="s">
        <v>29</v>
      </c>
      <c r="X155" s="118">
        <f t="shared" ca="1" si="42"/>
        <v>310884</v>
      </c>
      <c r="Y155" s="118">
        <f t="shared" ca="1" si="43"/>
        <v>21761880</v>
      </c>
      <c r="Z155" s="118">
        <f ca="1">고급</f>
        <v>310884</v>
      </c>
      <c r="AA155" s="118">
        <f t="shared" ca="1" si="44"/>
        <v>21761880</v>
      </c>
      <c r="AB155" s="118"/>
      <c r="AC155" s="118"/>
      <c r="AD155" s="118"/>
      <c r="AE155" s="118"/>
      <c r="AF155" s="115"/>
    </row>
    <row r="156" spans="5:32" ht="18" customHeight="1">
      <c r="E156" s="171"/>
      <c r="T156" s="145" t="s">
        <v>40</v>
      </c>
      <c r="U156" s="173"/>
      <c r="V156" s="219">
        <f ca="1">OFFSET($L$1,MATCH($AF152,$B:$B,0)-1,3)</f>
        <v>101.8</v>
      </c>
      <c r="W156" s="144" t="s">
        <v>29</v>
      </c>
      <c r="X156" s="118">
        <f t="shared" ca="1" si="42"/>
        <v>295138</v>
      </c>
      <c r="Y156" s="118">
        <f t="shared" ca="1" si="43"/>
        <v>30045048</v>
      </c>
      <c r="Z156" s="118">
        <f ca="1">중급</f>
        <v>295138</v>
      </c>
      <c r="AA156" s="118">
        <f t="shared" ca="1" si="44"/>
        <v>30045048</v>
      </c>
      <c r="AB156" s="118"/>
      <c r="AC156" s="118"/>
      <c r="AD156" s="118"/>
      <c r="AE156" s="118"/>
      <c r="AF156" s="115"/>
    </row>
    <row r="157" spans="5:32" ht="18" customHeight="1">
      <c r="E157" s="171"/>
      <c r="T157" s="145" t="s">
        <v>41</v>
      </c>
      <c r="U157" s="173"/>
      <c r="V157" s="219">
        <f ca="1">OFFSET($L$1,MATCH($AF152,$B:$B,0)-1,4)</f>
        <v>136.80000000000001</v>
      </c>
      <c r="W157" s="144" t="s">
        <v>29</v>
      </c>
      <c r="X157" s="118">
        <f t="shared" ca="1" si="42"/>
        <v>235459</v>
      </c>
      <c r="Y157" s="118">
        <f t="shared" ca="1" si="43"/>
        <v>32210791</v>
      </c>
      <c r="Z157" s="118">
        <f ca="1">초급</f>
        <v>235459</v>
      </c>
      <c r="AA157" s="118">
        <f t="shared" ca="1" si="44"/>
        <v>32210791</v>
      </c>
      <c r="AB157" s="118"/>
      <c r="AC157" s="118"/>
      <c r="AD157" s="118"/>
      <c r="AE157" s="118"/>
      <c r="AF157" s="115"/>
    </row>
    <row r="158" spans="5:32" ht="18" customHeight="1">
      <c r="E158" s="171"/>
      <c r="T158" s="319" t="s">
        <v>42</v>
      </c>
      <c r="U158" s="320"/>
      <c r="V158" s="321">
        <f ca="1">OFFSET($L$1,MATCH($AF152,$B:$B,0)-1,5)</f>
        <v>155.80000000000001</v>
      </c>
      <c r="W158" s="322" t="s">
        <v>29</v>
      </c>
      <c r="X158" s="323">
        <f t="shared" ca="1" si="42"/>
        <v>250087</v>
      </c>
      <c r="Y158" s="323">
        <f t="shared" ca="1" si="43"/>
        <v>38963554</v>
      </c>
      <c r="Z158" s="323">
        <f ca="1">보조원</f>
        <v>250087</v>
      </c>
      <c r="AA158" s="323">
        <f t="shared" ca="1" si="44"/>
        <v>38963554</v>
      </c>
      <c r="AB158" s="323"/>
      <c r="AC158" s="323"/>
      <c r="AD158" s="323"/>
      <c r="AE158" s="323"/>
      <c r="AF158" s="324"/>
    </row>
    <row r="159" spans="5:32" ht="18" customHeight="1">
      <c r="E159" s="171"/>
      <c r="T159" s="139" t="s">
        <v>106</v>
      </c>
      <c r="U159" s="68"/>
      <c r="V159" s="69"/>
      <c r="W159" s="70"/>
      <c r="X159" s="71"/>
      <c r="Y159" s="71">
        <f ca="1">SUBTOTAL(9,Y153:Y158)</f>
        <v>141797079</v>
      </c>
      <c r="Z159" s="71"/>
      <c r="AA159" s="71">
        <f ca="1">SUBTOTAL(9,AA153:AA158)</f>
        <v>141797079</v>
      </c>
      <c r="AB159" s="71"/>
      <c r="AC159" s="71"/>
      <c r="AD159" s="71"/>
      <c r="AE159" s="71"/>
      <c r="AF159" s="68"/>
    </row>
    <row r="160" spans="5:32" ht="18" customHeight="1">
      <c r="E160" s="171"/>
      <c r="T160" s="318" t="str">
        <f ca="1">"제 " &amp; AF160 &amp; " 호표  "&amp; OFFSET($T$1,MATCH(AF160,$B:$B,0)-1,0)</f>
        <v>제 13 호표  5.2. 감가보상</v>
      </c>
      <c r="U160" s="221"/>
      <c r="V160" s="148"/>
      <c r="W160" s="148"/>
      <c r="X160" s="149"/>
      <c r="Y160" s="149"/>
      <c r="Z160" s="149"/>
      <c r="AA160" s="149"/>
      <c r="AB160" s="149"/>
      <c r="AC160" s="149"/>
      <c r="AD160" s="149"/>
      <c r="AE160" s="149"/>
      <c r="AF160" s="325">
        <f>AF152+1</f>
        <v>13</v>
      </c>
    </row>
    <row r="161" spans="5:32" ht="18" customHeight="1">
      <c r="E161" s="171"/>
      <c r="T161" s="140" t="s">
        <v>43</v>
      </c>
      <c r="U161" s="172"/>
      <c r="V161" s="219">
        <f ca="1">OFFSET($L$1,MATCH($AF160,$B:$B,0)-1,0)</f>
        <v>0.8</v>
      </c>
      <c r="W161" s="141" t="s">
        <v>29</v>
      </c>
      <c r="X161" s="142">
        <f t="shared" ref="X161:X166" ca="1" si="45">Z161</f>
        <v>467217</v>
      </c>
      <c r="Y161" s="142">
        <f t="shared" ref="Y161:Y166" ca="1" si="46">AA161</f>
        <v>373773</v>
      </c>
      <c r="Z161" s="142">
        <f ca="1">기술사</f>
        <v>467217</v>
      </c>
      <c r="AA161" s="142">
        <f t="shared" ref="AA161:AA166" ca="1" si="47">ROUNDDOWN(V161*X161,0)</f>
        <v>373773</v>
      </c>
      <c r="AB161" s="142"/>
      <c r="AC161" s="142"/>
      <c r="AD161" s="142"/>
      <c r="AE161" s="142"/>
      <c r="AF161" s="114"/>
    </row>
    <row r="162" spans="5:32" ht="18" customHeight="1">
      <c r="E162" s="171"/>
      <c r="T162" s="143" t="s">
        <v>32</v>
      </c>
      <c r="U162" s="173"/>
      <c r="V162" s="219">
        <f ca="1">OFFSET($L$1,MATCH($AF160,$B:$B,0)-1,1)</f>
        <v>1.4</v>
      </c>
      <c r="W162" s="144" t="s">
        <v>29</v>
      </c>
      <c r="X162" s="118">
        <f t="shared" ca="1" si="45"/>
        <v>373353</v>
      </c>
      <c r="Y162" s="118">
        <f t="shared" ca="1" si="46"/>
        <v>522694</v>
      </c>
      <c r="Z162" s="118">
        <f ca="1">특급</f>
        <v>373353</v>
      </c>
      <c r="AA162" s="118">
        <f t="shared" ca="1" si="47"/>
        <v>522694</v>
      </c>
      <c r="AB162" s="118"/>
      <c r="AC162" s="118"/>
      <c r="AD162" s="118"/>
      <c r="AE162" s="118"/>
      <c r="AF162" s="115"/>
    </row>
    <row r="163" spans="5:32" ht="18" customHeight="1">
      <c r="E163" s="171"/>
      <c r="T163" s="145" t="s">
        <v>39</v>
      </c>
      <c r="U163" s="173"/>
      <c r="V163" s="219">
        <f ca="1">OFFSET($L$1,MATCH($AF160,$B:$B,0)-1,2)</f>
        <v>2.5</v>
      </c>
      <c r="W163" s="144" t="s">
        <v>29</v>
      </c>
      <c r="X163" s="118">
        <f t="shared" ca="1" si="45"/>
        <v>310884</v>
      </c>
      <c r="Y163" s="118">
        <f t="shared" ca="1" si="46"/>
        <v>777210</v>
      </c>
      <c r="Z163" s="118">
        <f ca="1">고급</f>
        <v>310884</v>
      </c>
      <c r="AA163" s="118">
        <f t="shared" ca="1" si="47"/>
        <v>777210</v>
      </c>
      <c r="AB163" s="118"/>
      <c r="AC163" s="118"/>
      <c r="AD163" s="118"/>
      <c r="AE163" s="118"/>
      <c r="AF163" s="115"/>
    </row>
    <row r="164" spans="5:32" ht="18" customHeight="1">
      <c r="E164" s="171"/>
      <c r="T164" s="145" t="s">
        <v>40</v>
      </c>
      <c r="U164" s="173"/>
      <c r="V164" s="219">
        <f ca="1">OFFSET($L$1,MATCH($AF160,$B:$B,0)-1,3)</f>
        <v>7</v>
      </c>
      <c r="W164" s="144" t="s">
        <v>29</v>
      </c>
      <c r="X164" s="118">
        <f t="shared" ca="1" si="45"/>
        <v>295138</v>
      </c>
      <c r="Y164" s="118">
        <f t="shared" ca="1" si="46"/>
        <v>2065966</v>
      </c>
      <c r="Z164" s="118">
        <f ca="1">중급</f>
        <v>295138</v>
      </c>
      <c r="AA164" s="118">
        <f t="shared" ca="1" si="47"/>
        <v>2065966</v>
      </c>
      <c r="AB164" s="118"/>
      <c r="AC164" s="118"/>
      <c r="AD164" s="118"/>
      <c r="AE164" s="118"/>
      <c r="AF164" s="115"/>
    </row>
    <row r="165" spans="5:32" ht="18" customHeight="1">
      <c r="E165" s="171"/>
      <c r="T165" s="145" t="s">
        <v>41</v>
      </c>
      <c r="U165" s="173"/>
      <c r="V165" s="219">
        <f ca="1">OFFSET($L$1,MATCH($AF160,$B:$B,0)-1,4)</f>
        <v>5</v>
      </c>
      <c r="W165" s="144" t="s">
        <v>29</v>
      </c>
      <c r="X165" s="118">
        <f t="shared" ca="1" si="45"/>
        <v>235459</v>
      </c>
      <c r="Y165" s="118">
        <f t="shared" ca="1" si="46"/>
        <v>1177295</v>
      </c>
      <c r="Z165" s="118">
        <f ca="1">초급</f>
        <v>235459</v>
      </c>
      <c r="AA165" s="118">
        <f t="shared" ca="1" si="47"/>
        <v>1177295</v>
      </c>
      <c r="AB165" s="118"/>
      <c r="AC165" s="118"/>
      <c r="AD165" s="118"/>
      <c r="AE165" s="118"/>
      <c r="AF165" s="115"/>
    </row>
    <row r="166" spans="5:32" ht="18" customHeight="1">
      <c r="E166" s="171"/>
      <c r="T166" s="319" t="s">
        <v>42</v>
      </c>
      <c r="U166" s="320"/>
      <c r="V166" s="321">
        <f ca="1">OFFSET($L$1,MATCH($AF160,$B:$B,0)-1,5)</f>
        <v>3</v>
      </c>
      <c r="W166" s="322" t="s">
        <v>29</v>
      </c>
      <c r="X166" s="323">
        <f t="shared" ca="1" si="45"/>
        <v>250087</v>
      </c>
      <c r="Y166" s="323">
        <f t="shared" ca="1" si="46"/>
        <v>750261</v>
      </c>
      <c r="Z166" s="323">
        <f ca="1">보조원</f>
        <v>250087</v>
      </c>
      <c r="AA166" s="323">
        <f t="shared" ca="1" si="47"/>
        <v>750261</v>
      </c>
      <c r="AB166" s="323"/>
      <c r="AC166" s="323"/>
      <c r="AD166" s="323"/>
      <c r="AE166" s="323"/>
      <c r="AF166" s="324"/>
    </row>
    <row r="167" spans="5:32" ht="18" customHeight="1">
      <c r="E167" s="171"/>
      <c r="T167" s="139" t="s">
        <v>106</v>
      </c>
      <c r="U167" s="68"/>
      <c r="V167" s="69"/>
      <c r="W167" s="70"/>
      <c r="X167" s="71"/>
      <c r="Y167" s="71">
        <f ca="1">SUBTOTAL(9,Y161:Y166)</f>
        <v>5667199</v>
      </c>
      <c r="Z167" s="71"/>
      <c r="AA167" s="71">
        <f ca="1">SUBTOTAL(9,AA161:AA166)</f>
        <v>5667199</v>
      </c>
      <c r="AB167" s="71"/>
      <c r="AC167" s="71"/>
      <c r="AD167" s="71"/>
      <c r="AE167" s="71"/>
      <c r="AF167" s="68"/>
    </row>
    <row r="168" spans="5:32" ht="18" customHeight="1">
      <c r="E168" s="171"/>
      <c r="T168" s="318" t="str">
        <f ca="1">"제 " &amp; AF168 &amp; " 호표  "&amp; OFFSET($T$1,MATCH(AF168,$B:$B,0)-1,0)</f>
        <v>제 14 호표  6.1. 토지등기</v>
      </c>
      <c r="U168" s="221"/>
      <c r="V168" s="148"/>
      <c r="W168" s="148"/>
      <c r="X168" s="149"/>
      <c r="Y168" s="149"/>
      <c r="Z168" s="149"/>
      <c r="AA168" s="149"/>
      <c r="AB168" s="149"/>
      <c r="AC168" s="149"/>
      <c r="AD168" s="149"/>
      <c r="AE168" s="149"/>
      <c r="AF168" s="325">
        <f>AF160+1</f>
        <v>14</v>
      </c>
    </row>
    <row r="169" spans="5:32" ht="18" customHeight="1">
      <c r="E169" s="171"/>
      <c r="T169" s="140" t="s">
        <v>43</v>
      </c>
      <c r="U169" s="172"/>
      <c r="V169" s="219">
        <f ca="1">OFFSET($L$1,MATCH($AF168,$B:$B,0)-1,0)</f>
        <v>3.3</v>
      </c>
      <c r="W169" s="141" t="s">
        <v>29</v>
      </c>
      <c r="X169" s="142">
        <f t="shared" ref="X169:X174" ca="1" si="48">Z169</f>
        <v>467217</v>
      </c>
      <c r="Y169" s="142">
        <f t="shared" ref="Y169:Y174" ca="1" si="49">AA169</f>
        <v>1541816</v>
      </c>
      <c r="Z169" s="142">
        <f ca="1">기술사</f>
        <v>467217</v>
      </c>
      <c r="AA169" s="142">
        <f t="shared" ref="AA169:AA174" ca="1" si="50">ROUNDDOWN(V169*X169,0)</f>
        <v>1541816</v>
      </c>
      <c r="AB169" s="142"/>
      <c r="AC169" s="142"/>
      <c r="AD169" s="142"/>
      <c r="AE169" s="142"/>
      <c r="AF169" s="114"/>
    </row>
    <row r="170" spans="5:32" ht="18" customHeight="1">
      <c r="E170" s="171"/>
      <c r="T170" s="143" t="s">
        <v>32</v>
      </c>
      <c r="U170" s="173"/>
      <c r="V170" s="219">
        <f ca="1">OFFSET($L$1,MATCH($AF168,$B:$B,0)-1,1)</f>
        <v>8.6</v>
      </c>
      <c r="W170" s="144" t="s">
        <v>29</v>
      </c>
      <c r="X170" s="118">
        <f t="shared" ca="1" si="48"/>
        <v>373353</v>
      </c>
      <c r="Y170" s="118">
        <f t="shared" ca="1" si="49"/>
        <v>3210835</v>
      </c>
      <c r="Z170" s="118">
        <f ca="1">특급</f>
        <v>373353</v>
      </c>
      <c r="AA170" s="118">
        <f t="shared" ca="1" si="50"/>
        <v>3210835</v>
      </c>
      <c r="AB170" s="118"/>
      <c r="AC170" s="118"/>
      <c r="AD170" s="118"/>
      <c r="AE170" s="118"/>
      <c r="AF170" s="115"/>
    </row>
    <row r="171" spans="5:32" ht="18" customHeight="1">
      <c r="E171" s="171"/>
      <c r="T171" s="145" t="s">
        <v>39</v>
      </c>
      <c r="U171" s="173"/>
      <c r="V171" s="219">
        <f ca="1">OFFSET($L$1,MATCH($AF168,$B:$B,0)-1,2)</f>
        <v>24.4</v>
      </c>
      <c r="W171" s="144" t="s">
        <v>29</v>
      </c>
      <c r="X171" s="118">
        <f t="shared" ca="1" si="48"/>
        <v>310884</v>
      </c>
      <c r="Y171" s="118">
        <f t="shared" ca="1" si="49"/>
        <v>7585569</v>
      </c>
      <c r="Z171" s="118">
        <f ca="1">고급</f>
        <v>310884</v>
      </c>
      <c r="AA171" s="118">
        <f t="shared" ca="1" si="50"/>
        <v>7585569</v>
      </c>
      <c r="AB171" s="118"/>
      <c r="AC171" s="118"/>
      <c r="AD171" s="118"/>
      <c r="AE171" s="118"/>
      <c r="AF171" s="115"/>
    </row>
    <row r="172" spans="5:32" ht="18" customHeight="1">
      <c r="E172" s="171"/>
      <c r="T172" s="145" t="s">
        <v>40</v>
      </c>
      <c r="U172" s="173"/>
      <c r="V172" s="219">
        <f ca="1">OFFSET($L$1,MATCH($AF168,$B:$B,0)-1,3)</f>
        <v>57.1</v>
      </c>
      <c r="W172" s="144" t="s">
        <v>29</v>
      </c>
      <c r="X172" s="118">
        <f t="shared" ca="1" si="48"/>
        <v>295138</v>
      </c>
      <c r="Y172" s="118">
        <f t="shared" ca="1" si="49"/>
        <v>16852379</v>
      </c>
      <c r="Z172" s="118">
        <f ca="1">중급</f>
        <v>295138</v>
      </c>
      <c r="AA172" s="118">
        <f t="shared" ca="1" si="50"/>
        <v>16852379</v>
      </c>
      <c r="AB172" s="118"/>
      <c r="AC172" s="118"/>
      <c r="AD172" s="118"/>
      <c r="AE172" s="118"/>
      <c r="AF172" s="115"/>
    </row>
    <row r="173" spans="5:32" ht="18" customHeight="1">
      <c r="E173" s="171"/>
      <c r="T173" s="145" t="s">
        <v>41</v>
      </c>
      <c r="U173" s="173"/>
      <c r="V173" s="219">
        <f ca="1">OFFSET($L$1,MATCH($AF168,$B:$B,0)-1,4)</f>
        <v>73.7</v>
      </c>
      <c r="W173" s="144" t="s">
        <v>29</v>
      </c>
      <c r="X173" s="118">
        <f t="shared" ca="1" si="48"/>
        <v>235459</v>
      </c>
      <c r="Y173" s="118">
        <f t="shared" ca="1" si="49"/>
        <v>17353328</v>
      </c>
      <c r="Z173" s="118">
        <f ca="1">초급</f>
        <v>235459</v>
      </c>
      <c r="AA173" s="118">
        <f t="shared" ca="1" si="50"/>
        <v>17353328</v>
      </c>
      <c r="AB173" s="118"/>
      <c r="AC173" s="118"/>
      <c r="AD173" s="118"/>
      <c r="AE173" s="118"/>
      <c r="AF173" s="115"/>
    </row>
    <row r="174" spans="5:32" ht="18" customHeight="1">
      <c r="E174" s="171"/>
      <c r="T174" s="319" t="s">
        <v>42</v>
      </c>
      <c r="U174" s="320"/>
      <c r="V174" s="321">
        <f ca="1">OFFSET($L$1,MATCH($AF168,$B:$B,0)-1,5)</f>
        <v>80.8</v>
      </c>
      <c r="W174" s="322" t="s">
        <v>29</v>
      </c>
      <c r="X174" s="323">
        <f t="shared" ca="1" si="48"/>
        <v>250087</v>
      </c>
      <c r="Y174" s="323">
        <f t="shared" ca="1" si="49"/>
        <v>20207029</v>
      </c>
      <c r="Z174" s="323">
        <f ca="1">보조원</f>
        <v>250087</v>
      </c>
      <c r="AA174" s="323">
        <f t="shared" ca="1" si="50"/>
        <v>20207029</v>
      </c>
      <c r="AB174" s="323"/>
      <c r="AC174" s="323"/>
      <c r="AD174" s="323"/>
      <c r="AE174" s="323"/>
      <c r="AF174" s="324"/>
    </row>
    <row r="175" spans="5:32" ht="18" customHeight="1">
      <c r="E175" s="171"/>
      <c r="T175" s="139" t="s">
        <v>106</v>
      </c>
      <c r="U175" s="68"/>
      <c r="V175" s="69"/>
      <c r="W175" s="70"/>
      <c r="X175" s="71"/>
      <c r="Y175" s="71">
        <f ca="1">SUBTOTAL(9,Y169:Y174)</f>
        <v>66750956</v>
      </c>
      <c r="Z175" s="71"/>
      <c r="AA175" s="71">
        <f ca="1">SUBTOTAL(9,AA169:AA174)</f>
        <v>66750956</v>
      </c>
      <c r="AB175" s="71"/>
      <c r="AC175" s="71"/>
      <c r="AD175" s="71"/>
      <c r="AE175" s="71"/>
      <c r="AF175" s="68"/>
    </row>
    <row r="176" spans="5:32" ht="18" customHeight="1">
      <c r="E176" s="171"/>
      <c r="T176" s="318" t="str">
        <f ca="1">"제 " &amp; AF176 &amp; " 호표  "&amp; OFFSET($T$1,MATCH(AF176,$B:$B,0)-1,0)</f>
        <v>제 15 호표  6.2. 건물등기</v>
      </c>
      <c r="U176" s="221"/>
      <c r="V176" s="148"/>
      <c r="W176" s="148"/>
      <c r="X176" s="149"/>
      <c r="Y176" s="149"/>
      <c r="Z176" s="149"/>
      <c r="AA176" s="149"/>
      <c r="AB176" s="149"/>
      <c r="AC176" s="149"/>
      <c r="AD176" s="149"/>
      <c r="AE176" s="149"/>
      <c r="AF176" s="325">
        <f>AF168+1</f>
        <v>15</v>
      </c>
    </row>
    <row r="177" spans="5:32" ht="18" customHeight="1">
      <c r="E177" s="171"/>
      <c r="T177" s="140" t="s">
        <v>43</v>
      </c>
      <c r="U177" s="172"/>
      <c r="V177" s="219">
        <f ca="1">OFFSET($L$1,MATCH($AF176,$B:$B,0)-1,0)</f>
        <v>0.5</v>
      </c>
      <c r="W177" s="141" t="s">
        <v>29</v>
      </c>
      <c r="X177" s="142">
        <f t="shared" ref="X177:X182" ca="1" si="51">Z177</f>
        <v>467217</v>
      </c>
      <c r="Y177" s="142">
        <f t="shared" ref="Y177:Y182" ca="1" si="52">AA177</f>
        <v>233608</v>
      </c>
      <c r="Z177" s="142">
        <f ca="1">기술사</f>
        <v>467217</v>
      </c>
      <c r="AA177" s="142">
        <f t="shared" ref="AA177:AA182" ca="1" si="53">ROUNDDOWN(V177*X177,0)</f>
        <v>233608</v>
      </c>
      <c r="AB177" s="142"/>
      <c r="AC177" s="142"/>
      <c r="AD177" s="142"/>
      <c r="AE177" s="142"/>
      <c r="AF177" s="114"/>
    </row>
    <row r="178" spans="5:32" ht="18" customHeight="1">
      <c r="E178" s="171"/>
      <c r="T178" s="143" t="s">
        <v>32</v>
      </c>
      <c r="U178" s="173"/>
      <c r="V178" s="219">
        <f ca="1">OFFSET($L$1,MATCH($AF176,$B:$B,0)-1,1)</f>
        <v>1.3</v>
      </c>
      <c r="W178" s="144" t="s">
        <v>29</v>
      </c>
      <c r="X178" s="118">
        <f t="shared" ca="1" si="51"/>
        <v>373353</v>
      </c>
      <c r="Y178" s="118">
        <f t="shared" ca="1" si="52"/>
        <v>485358</v>
      </c>
      <c r="Z178" s="118">
        <f ca="1">특급</f>
        <v>373353</v>
      </c>
      <c r="AA178" s="118">
        <f t="shared" ca="1" si="53"/>
        <v>485358</v>
      </c>
      <c r="AB178" s="118"/>
      <c r="AC178" s="118"/>
      <c r="AD178" s="118"/>
      <c r="AE178" s="118"/>
      <c r="AF178" s="115"/>
    </row>
    <row r="179" spans="5:32" ht="18" customHeight="1">
      <c r="E179" s="171"/>
      <c r="T179" s="145" t="s">
        <v>39</v>
      </c>
      <c r="U179" s="173"/>
      <c r="V179" s="219">
        <f ca="1">OFFSET($L$1,MATCH($AF176,$B:$B,0)-1,2)</f>
        <v>4.4000000000000004</v>
      </c>
      <c r="W179" s="144" t="s">
        <v>29</v>
      </c>
      <c r="X179" s="118">
        <f t="shared" ca="1" si="51"/>
        <v>310884</v>
      </c>
      <c r="Y179" s="118">
        <f t="shared" ca="1" si="52"/>
        <v>1367889</v>
      </c>
      <c r="Z179" s="118">
        <f ca="1">고급</f>
        <v>310884</v>
      </c>
      <c r="AA179" s="118">
        <f t="shared" ca="1" si="53"/>
        <v>1367889</v>
      </c>
      <c r="AB179" s="118"/>
      <c r="AC179" s="118"/>
      <c r="AD179" s="118"/>
      <c r="AE179" s="118"/>
      <c r="AF179" s="115"/>
    </row>
    <row r="180" spans="5:32" ht="18" customHeight="1">
      <c r="E180" s="171"/>
      <c r="T180" s="145" t="s">
        <v>40</v>
      </c>
      <c r="U180" s="173"/>
      <c r="V180" s="219">
        <f ca="1">OFFSET($L$1,MATCH($AF176,$B:$B,0)-1,3)</f>
        <v>17.600000000000001</v>
      </c>
      <c r="W180" s="144" t="s">
        <v>29</v>
      </c>
      <c r="X180" s="118">
        <f t="shared" ca="1" si="51"/>
        <v>295138</v>
      </c>
      <c r="Y180" s="118">
        <f t="shared" ca="1" si="52"/>
        <v>5194428</v>
      </c>
      <c r="Z180" s="118">
        <f ca="1">중급</f>
        <v>295138</v>
      </c>
      <c r="AA180" s="118">
        <f t="shared" ca="1" si="53"/>
        <v>5194428</v>
      </c>
      <c r="AB180" s="118"/>
      <c r="AC180" s="118"/>
      <c r="AD180" s="118"/>
      <c r="AE180" s="118"/>
      <c r="AF180" s="115"/>
    </row>
    <row r="181" spans="5:32" ht="18" customHeight="1">
      <c r="E181" s="171"/>
      <c r="T181" s="145" t="s">
        <v>41</v>
      </c>
      <c r="U181" s="173"/>
      <c r="V181" s="219">
        <f ca="1">OFFSET($L$1,MATCH($AF176,$B:$B,0)-1,4)</f>
        <v>31.2</v>
      </c>
      <c r="W181" s="144" t="s">
        <v>29</v>
      </c>
      <c r="X181" s="118">
        <f t="shared" ca="1" si="51"/>
        <v>235459</v>
      </c>
      <c r="Y181" s="118">
        <f t="shared" ca="1" si="52"/>
        <v>7346320</v>
      </c>
      <c r="Z181" s="118">
        <f ca="1">초급</f>
        <v>235459</v>
      </c>
      <c r="AA181" s="118">
        <f t="shared" ca="1" si="53"/>
        <v>7346320</v>
      </c>
      <c r="AB181" s="118"/>
      <c r="AC181" s="118"/>
      <c r="AD181" s="118"/>
      <c r="AE181" s="118"/>
      <c r="AF181" s="115"/>
    </row>
    <row r="182" spans="5:32" ht="18" customHeight="1">
      <c r="E182" s="171"/>
      <c r="T182" s="319" t="s">
        <v>42</v>
      </c>
      <c r="U182" s="320"/>
      <c r="V182" s="321">
        <f ca="1">OFFSET($L$1,MATCH($AF176,$B:$B,0)-1,5)</f>
        <v>31.2</v>
      </c>
      <c r="W182" s="322" t="s">
        <v>29</v>
      </c>
      <c r="X182" s="323">
        <f t="shared" ca="1" si="51"/>
        <v>250087</v>
      </c>
      <c r="Y182" s="323">
        <f t="shared" ca="1" si="52"/>
        <v>7802714</v>
      </c>
      <c r="Z182" s="323">
        <f ca="1">보조원</f>
        <v>250087</v>
      </c>
      <c r="AA182" s="323">
        <f t="shared" ca="1" si="53"/>
        <v>7802714</v>
      </c>
      <c r="AB182" s="323"/>
      <c r="AC182" s="323"/>
      <c r="AD182" s="323"/>
      <c r="AE182" s="323"/>
      <c r="AF182" s="324"/>
    </row>
    <row r="183" spans="5:32" ht="18" customHeight="1">
      <c r="E183" s="171"/>
      <c r="T183" s="139" t="s">
        <v>106</v>
      </c>
      <c r="U183" s="68"/>
      <c r="V183" s="69"/>
      <c r="W183" s="70"/>
      <c r="X183" s="71"/>
      <c r="Y183" s="71">
        <f ca="1">SUBTOTAL(9,Y177:Y182)</f>
        <v>22430317</v>
      </c>
      <c r="Z183" s="71"/>
      <c r="AA183" s="71">
        <f ca="1">SUBTOTAL(9,AA177:AA182)</f>
        <v>22430317</v>
      </c>
      <c r="AB183" s="71"/>
      <c r="AC183" s="71"/>
      <c r="AD183" s="71"/>
      <c r="AE183" s="71"/>
      <c r="AF183" s="68"/>
    </row>
    <row r="184" spans="5:32" ht="18" customHeight="1">
      <c r="E184" s="171"/>
      <c r="T184" s="318" t="str">
        <f ca="1">"제 " &amp; AF184 &amp; " 호표  "&amp; OFFSET($T$1,MATCH(AF184,$B:$B,0)-1,0)</f>
        <v>제 16 호표  7.1. 보고서작성 및 편집</v>
      </c>
      <c r="U184" s="221"/>
      <c r="V184" s="148"/>
      <c r="W184" s="148"/>
      <c r="X184" s="149"/>
      <c r="Y184" s="149"/>
      <c r="Z184" s="149"/>
      <c r="AA184" s="149"/>
      <c r="AB184" s="149"/>
      <c r="AC184" s="149"/>
      <c r="AD184" s="149"/>
      <c r="AE184" s="149"/>
      <c r="AF184" s="325">
        <f>AF176+1</f>
        <v>16</v>
      </c>
    </row>
    <row r="185" spans="5:32" ht="18" customHeight="1">
      <c r="E185" s="171"/>
      <c r="T185" s="140" t="s">
        <v>43</v>
      </c>
      <c r="U185" s="172"/>
      <c r="V185" s="219">
        <f ca="1">OFFSET($L$1,MATCH($AF184,$B:$B,0)-1,0)</f>
        <v>0.7</v>
      </c>
      <c r="W185" s="141" t="s">
        <v>29</v>
      </c>
      <c r="X185" s="142">
        <f t="shared" ref="X185:X190" ca="1" si="54">Z185</f>
        <v>467217</v>
      </c>
      <c r="Y185" s="142">
        <f t="shared" ref="Y185:Y190" ca="1" si="55">AA185</f>
        <v>327051</v>
      </c>
      <c r="Z185" s="142">
        <f ca="1">기술사</f>
        <v>467217</v>
      </c>
      <c r="AA185" s="142">
        <f t="shared" ref="AA185:AA190" ca="1" si="56">ROUNDDOWN(V185*X185,0)</f>
        <v>327051</v>
      </c>
      <c r="AB185" s="142"/>
      <c r="AC185" s="142"/>
      <c r="AD185" s="142"/>
      <c r="AE185" s="142"/>
      <c r="AF185" s="114"/>
    </row>
    <row r="186" spans="5:32" ht="18" customHeight="1">
      <c r="E186" s="171"/>
      <c r="T186" s="143" t="s">
        <v>32</v>
      </c>
      <c r="U186" s="173"/>
      <c r="V186" s="219">
        <f ca="1">OFFSET($L$1,MATCH($AF184,$B:$B,0)-1,1)</f>
        <v>2.2999999999999998</v>
      </c>
      <c r="W186" s="144" t="s">
        <v>29</v>
      </c>
      <c r="X186" s="118">
        <f t="shared" ca="1" si="54"/>
        <v>373353</v>
      </c>
      <c r="Y186" s="118">
        <f t="shared" ca="1" si="55"/>
        <v>858711</v>
      </c>
      <c r="Z186" s="118">
        <f ca="1">특급</f>
        <v>373353</v>
      </c>
      <c r="AA186" s="118">
        <f t="shared" ca="1" si="56"/>
        <v>858711</v>
      </c>
      <c r="AB186" s="118"/>
      <c r="AC186" s="118"/>
      <c r="AD186" s="118"/>
      <c r="AE186" s="118"/>
      <c r="AF186" s="115"/>
    </row>
    <row r="187" spans="5:32" ht="18" customHeight="1">
      <c r="E187" s="171"/>
      <c r="T187" s="145" t="s">
        <v>39</v>
      </c>
      <c r="U187" s="173"/>
      <c r="V187" s="219">
        <f ca="1">OFFSET($L$1,MATCH($AF184,$B:$B,0)-1,2)</f>
        <v>5.0999999999999996</v>
      </c>
      <c r="W187" s="144" t="s">
        <v>29</v>
      </c>
      <c r="X187" s="118">
        <f t="shared" ca="1" si="54"/>
        <v>310884</v>
      </c>
      <c r="Y187" s="118">
        <f t="shared" ca="1" si="55"/>
        <v>1585508</v>
      </c>
      <c r="Z187" s="118">
        <f ca="1">고급</f>
        <v>310884</v>
      </c>
      <c r="AA187" s="118">
        <f t="shared" ca="1" si="56"/>
        <v>1585508</v>
      </c>
      <c r="AB187" s="118"/>
      <c r="AC187" s="118"/>
      <c r="AD187" s="118"/>
      <c r="AE187" s="118"/>
      <c r="AF187" s="115"/>
    </row>
    <row r="188" spans="5:32" ht="18" customHeight="1">
      <c r="E188" s="171"/>
      <c r="T188" s="145" t="s">
        <v>40</v>
      </c>
      <c r="U188" s="173"/>
      <c r="V188" s="219">
        <f ca="1">OFFSET($L$1,MATCH($AF184,$B:$B,0)-1,3)</f>
        <v>4.3</v>
      </c>
      <c r="W188" s="144" t="s">
        <v>29</v>
      </c>
      <c r="X188" s="118">
        <f t="shared" ca="1" si="54"/>
        <v>295138</v>
      </c>
      <c r="Y188" s="118">
        <f t="shared" ca="1" si="55"/>
        <v>1269093</v>
      </c>
      <c r="Z188" s="118">
        <f ca="1">중급</f>
        <v>295138</v>
      </c>
      <c r="AA188" s="118">
        <f t="shared" ca="1" si="56"/>
        <v>1269093</v>
      </c>
      <c r="AB188" s="118"/>
      <c r="AC188" s="118"/>
      <c r="AD188" s="118"/>
      <c r="AE188" s="118"/>
      <c r="AF188" s="115"/>
    </row>
    <row r="189" spans="5:32" ht="18" customHeight="1">
      <c r="E189" s="171"/>
      <c r="T189" s="145" t="s">
        <v>41</v>
      </c>
      <c r="U189" s="173"/>
      <c r="V189" s="219">
        <f ca="1">OFFSET($L$1,MATCH($AF184,$B:$B,0)-1,4)</f>
        <v>7.7</v>
      </c>
      <c r="W189" s="144" t="s">
        <v>29</v>
      </c>
      <c r="X189" s="118">
        <f t="shared" ca="1" si="54"/>
        <v>235459</v>
      </c>
      <c r="Y189" s="118">
        <f t="shared" ca="1" si="55"/>
        <v>1813034</v>
      </c>
      <c r="Z189" s="118">
        <f ca="1">초급</f>
        <v>235459</v>
      </c>
      <c r="AA189" s="118">
        <f t="shared" ca="1" si="56"/>
        <v>1813034</v>
      </c>
      <c r="AB189" s="118"/>
      <c r="AC189" s="118"/>
      <c r="AD189" s="118"/>
      <c r="AE189" s="118"/>
      <c r="AF189" s="115"/>
    </row>
    <row r="190" spans="5:32" ht="18" customHeight="1">
      <c r="E190" s="171"/>
      <c r="T190" s="319" t="s">
        <v>42</v>
      </c>
      <c r="U190" s="320"/>
      <c r="V190" s="321">
        <f ca="1">OFFSET($L$1,MATCH($AF184,$B:$B,0)-1,5)</f>
        <v>5.6</v>
      </c>
      <c r="W190" s="322" t="s">
        <v>29</v>
      </c>
      <c r="X190" s="323">
        <f t="shared" ca="1" si="54"/>
        <v>250087</v>
      </c>
      <c r="Y190" s="323">
        <f t="shared" ca="1" si="55"/>
        <v>1400487</v>
      </c>
      <c r="Z190" s="323">
        <f ca="1">보조원</f>
        <v>250087</v>
      </c>
      <c r="AA190" s="323">
        <f t="shared" ca="1" si="56"/>
        <v>1400487</v>
      </c>
      <c r="AB190" s="323"/>
      <c r="AC190" s="323"/>
      <c r="AD190" s="323"/>
      <c r="AE190" s="323"/>
      <c r="AF190" s="324"/>
    </row>
    <row r="191" spans="5:32" ht="18" customHeight="1">
      <c r="E191" s="171"/>
      <c r="T191" s="139" t="s">
        <v>106</v>
      </c>
      <c r="U191" s="68"/>
      <c r="V191" s="69"/>
      <c r="W191" s="70"/>
      <c r="X191" s="71"/>
      <c r="Y191" s="71">
        <f ca="1">SUBTOTAL(9,Y185:Y190)</f>
        <v>7253884</v>
      </c>
      <c r="Z191" s="71"/>
      <c r="AA191" s="71">
        <f ca="1">SUBTOTAL(9,AA185:AA190)</f>
        <v>7253884</v>
      </c>
      <c r="AB191" s="71"/>
      <c r="AC191" s="71"/>
      <c r="AD191" s="71"/>
      <c r="AE191" s="71"/>
      <c r="AF191" s="68"/>
    </row>
    <row r="192" spans="5:32" ht="18" customHeight="1">
      <c r="E192" s="171"/>
      <c r="T192" s="318" t="str">
        <f ca="1">"제 " &amp; AF192 &amp; " 호표  "&amp; OFFSET($T$1,MATCH(AF192,$B:$B,0)-1,0)</f>
        <v>제 17 호표  7.2. 관련도서 작성</v>
      </c>
      <c r="U192" s="221"/>
      <c r="V192" s="148"/>
      <c r="W192" s="148"/>
      <c r="X192" s="149"/>
      <c r="Y192" s="149"/>
      <c r="Z192" s="149"/>
      <c r="AA192" s="149"/>
      <c r="AB192" s="149"/>
      <c r="AC192" s="149"/>
      <c r="AD192" s="149"/>
      <c r="AE192" s="149"/>
      <c r="AF192" s="325">
        <f>AF184+1</f>
        <v>17</v>
      </c>
    </row>
    <row r="193" spans="5:32" ht="18" customHeight="1">
      <c r="E193" s="171"/>
      <c r="T193" s="140" t="s">
        <v>43</v>
      </c>
      <c r="U193" s="172"/>
      <c r="V193" s="219">
        <f ca="1">OFFSET($L$1,MATCH($AF192,$B:$B,0)-1,0)</f>
        <v>0.3</v>
      </c>
      <c r="W193" s="141" t="s">
        <v>29</v>
      </c>
      <c r="X193" s="142">
        <f t="shared" ref="X193:X198" ca="1" si="57">Z193</f>
        <v>467217</v>
      </c>
      <c r="Y193" s="142">
        <f t="shared" ref="Y193:Y198" ca="1" si="58">AA193</f>
        <v>140165</v>
      </c>
      <c r="Z193" s="142">
        <f ca="1">기술사</f>
        <v>467217</v>
      </c>
      <c r="AA193" s="142">
        <f t="shared" ref="AA193:AA198" ca="1" si="59">ROUNDDOWN(V193*X193,0)</f>
        <v>140165</v>
      </c>
      <c r="AB193" s="142"/>
      <c r="AC193" s="142"/>
      <c r="AD193" s="142"/>
      <c r="AE193" s="142"/>
      <c r="AF193" s="114"/>
    </row>
    <row r="194" spans="5:32" ht="18" customHeight="1">
      <c r="E194" s="171"/>
      <c r="T194" s="143" t="s">
        <v>32</v>
      </c>
      <c r="U194" s="173"/>
      <c r="V194" s="219">
        <f ca="1">OFFSET($L$1,MATCH($AF192,$B:$B,0)-1,1)</f>
        <v>1.1000000000000001</v>
      </c>
      <c r="W194" s="144" t="s">
        <v>29</v>
      </c>
      <c r="X194" s="118">
        <f t="shared" ca="1" si="57"/>
        <v>373353</v>
      </c>
      <c r="Y194" s="118">
        <f t="shared" ca="1" si="58"/>
        <v>410688</v>
      </c>
      <c r="Z194" s="118">
        <f ca="1">특급</f>
        <v>373353</v>
      </c>
      <c r="AA194" s="118">
        <f t="shared" ca="1" si="59"/>
        <v>410688</v>
      </c>
      <c r="AB194" s="118"/>
      <c r="AC194" s="118"/>
      <c r="AD194" s="118"/>
      <c r="AE194" s="118"/>
      <c r="AF194" s="115"/>
    </row>
    <row r="195" spans="5:32" ht="18" customHeight="1">
      <c r="E195" s="171"/>
      <c r="T195" s="145" t="s">
        <v>39</v>
      </c>
      <c r="U195" s="173"/>
      <c r="V195" s="219">
        <f ca="1">OFFSET($L$1,MATCH($AF192,$B:$B,0)-1,2)</f>
        <v>2.6</v>
      </c>
      <c r="W195" s="144" t="s">
        <v>29</v>
      </c>
      <c r="X195" s="118">
        <f t="shared" ca="1" si="57"/>
        <v>310884</v>
      </c>
      <c r="Y195" s="118">
        <f t="shared" ca="1" si="58"/>
        <v>808298</v>
      </c>
      <c r="Z195" s="118">
        <f ca="1">고급</f>
        <v>310884</v>
      </c>
      <c r="AA195" s="118">
        <f t="shared" ca="1" si="59"/>
        <v>808298</v>
      </c>
      <c r="AB195" s="118"/>
      <c r="AC195" s="118"/>
      <c r="AD195" s="118"/>
      <c r="AE195" s="118"/>
      <c r="AF195" s="115"/>
    </row>
    <row r="196" spans="5:32" ht="18" customHeight="1">
      <c r="E196" s="171"/>
      <c r="T196" s="145" t="s">
        <v>40</v>
      </c>
      <c r="U196" s="173"/>
      <c r="V196" s="219">
        <f ca="1">OFFSET($L$1,MATCH($AF192,$B:$B,0)-1,3)</f>
        <v>2.9</v>
      </c>
      <c r="W196" s="144" t="s">
        <v>29</v>
      </c>
      <c r="X196" s="118">
        <f t="shared" ca="1" si="57"/>
        <v>295138</v>
      </c>
      <c r="Y196" s="118">
        <f t="shared" ca="1" si="58"/>
        <v>855900</v>
      </c>
      <c r="Z196" s="118">
        <f ca="1">중급</f>
        <v>295138</v>
      </c>
      <c r="AA196" s="118">
        <f t="shared" ca="1" si="59"/>
        <v>855900</v>
      </c>
      <c r="AB196" s="118"/>
      <c r="AC196" s="118"/>
      <c r="AD196" s="118"/>
      <c r="AE196" s="118"/>
      <c r="AF196" s="115"/>
    </row>
    <row r="197" spans="5:32" ht="18" customHeight="1">
      <c r="E197" s="171"/>
      <c r="T197" s="145" t="s">
        <v>41</v>
      </c>
      <c r="U197" s="173"/>
      <c r="V197" s="219">
        <f ca="1">OFFSET($L$1,MATCH($AF192,$B:$B,0)-1,4)</f>
        <v>10</v>
      </c>
      <c r="W197" s="144" t="s">
        <v>29</v>
      </c>
      <c r="X197" s="118">
        <f t="shared" ca="1" si="57"/>
        <v>235459</v>
      </c>
      <c r="Y197" s="118">
        <f t="shared" ca="1" si="58"/>
        <v>2354590</v>
      </c>
      <c r="Z197" s="118">
        <f ca="1">초급</f>
        <v>235459</v>
      </c>
      <c r="AA197" s="118">
        <f t="shared" ca="1" si="59"/>
        <v>2354590</v>
      </c>
      <c r="AB197" s="118"/>
      <c r="AC197" s="118"/>
      <c r="AD197" s="118"/>
      <c r="AE197" s="118"/>
      <c r="AF197" s="115"/>
    </row>
    <row r="198" spans="5:32" ht="18" customHeight="1">
      <c r="E198" s="171"/>
      <c r="T198" s="319" t="s">
        <v>42</v>
      </c>
      <c r="U198" s="320"/>
      <c r="V198" s="321">
        <f ca="1">OFFSET($L$1,MATCH($AF192,$B:$B,0)-1,5)</f>
        <v>13.9</v>
      </c>
      <c r="W198" s="322" t="s">
        <v>29</v>
      </c>
      <c r="X198" s="323">
        <f t="shared" ca="1" si="57"/>
        <v>250087</v>
      </c>
      <c r="Y198" s="323">
        <f t="shared" ca="1" si="58"/>
        <v>3476209</v>
      </c>
      <c r="Z198" s="323">
        <f ca="1">보조원</f>
        <v>250087</v>
      </c>
      <c r="AA198" s="323">
        <f t="shared" ca="1" si="59"/>
        <v>3476209</v>
      </c>
      <c r="AB198" s="323"/>
      <c r="AC198" s="323"/>
      <c r="AD198" s="323"/>
      <c r="AE198" s="323"/>
      <c r="AF198" s="324"/>
    </row>
    <row r="199" spans="5:32" ht="18" customHeight="1">
      <c r="E199" s="171"/>
      <c r="T199" s="139" t="s">
        <v>106</v>
      </c>
      <c r="U199" s="68"/>
      <c r="V199" s="69"/>
      <c r="W199" s="70"/>
      <c r="X199" s="71"/>
      <c r="Y199" s="71">
        <f ca="1">SUBTOTAL(9,Y193:Y198)</f>
        <v>8045850</v>
      </c>
      <c r="Z199" s="71"/>
      <c r="AA199" s="71">
        <f ca="1">SUBTOTAL(9,AA193:AA198)</f>
        <v>8045850</v>
      </c>
      <c r="AB199" s="71"/>
      <c r="AC199" s="71"/>
      <c r="AD199" s="71"/>
      <c r="AE199" s="71"/>
      <c r="AF199" s="68"/>
    </row>
    <row r="200" spans="5:32" ht="18" customHeight="1">
      <c r="E200" s="171"/>
      <c r="T200" s="318" t="str">
        <f ca="1">"제 " &amp; AF200 &amp; " 호표  "&amp; OFFSET($T$1,MATCH(AF200,$B:$B,0)-1,0)</f>
        <v>제 18 호표  8.1. 공청회/주민설명회</v>
      </c>
      <c r="U200" s="221"/>
      <c r="V200" s="148"/>
      <c r="W200" s="148"/>
      <c r="X200" s="149"/>
      <c r="Y200" s="149"/>
      <c r="Z200" s="149"/>
      <c r="AA200" s="149"/>
      <c r="AB200" s="149"/>
      <c r="AC200" s="149"/>
      <c r="AD200" s="149"/>
      <c r="AE200" s="149"/>
      <c r="AF200" s="325">
        <f>AF192+1</f>
        <v>18</v>
      </c>
    </row>
    <row r="201" spans="5:32" ht="18" customHeight="1">
      <c r="E201" s="171"/>
      <c r="T201" s="140" t="s">
        <v>43</v>
      </c>
      <c r="U201" s="172"/>
      <c r="V201" s="219">
        <f ca="1">OFFSET($L$1,MATCH($AF200,$B:$B,0)-1,0)</f>
        <v>2</v>
      </c>
      <c r="W201" s="141" t="s">
        <v>29</v>
      </c>
      <c r="X201" s="142">
        <f t="shared" ref="X201:X206" ca="1" si="60">Z201</f>
        <v>467217</v>
      </c>
      <c r="Y201" s="142">
        <f t="shared" ref="Y201:Y206" ca="1" si="61">AA201</f>
        <v>934434</v>
      </c>
      <c r="Z201" s="142">
        <f ca="1">기술사</f>
        <v>467217</v>
      </c>
      <c r="AA201" s="142">
        <f t="shared" ref="AA201:AA206" ca="1" si="62">ROUNDDOWN(V201*X201,0)</f>
        <v>934434</v>
      </c>
      <c r="AB201" s="142"/>
      <c r="AC201" s="142"/>
      <c r="AD201" s="142"/>
      <c r="AE201" s="142"/>
      <c r="AF201" s="114"/>
    </row>
    <row r="202" spans="5:32" ht="18" customHeight="1">
      <c r="E202" s="171"/>
      <c r="T202" s="143" t="s">
        <v>32</v>
      </c>
      <c r="U202" s="173"/>
      <c r="V202" s="219">
        <f ca="1">OFFSET($L$1,MATCH($AF200,$B:$B,0)-1,1)</f>
        <v>2</v>
      </c>
      <c r="W202" s="144" t="s">
        <v>29</v>
      </c>
      <c r="X202" s="118">
        <f t="shared" ca="1" si="60"/>
        <v>373353</v>
      </c>
      <c r="Y202" s="118">
        <f t="shared" ca="1" si="61"/>
        <v>746706</v>
      </c>
      <c r="Z202" s="118">
        <f ca="1">특급</f>
        <v>373353</v>
      </c>
      <c r="AA202" s="118">
        <f t="shared" ca="1" si="62"/>
        <v>746706</v>
      </c>
      <c r="AB202" s="118"/>
      <c r="AC202" s="118"/>
      <c r="AD202" s="118"/>
      <c r="AE202" s="118"/>
      <c r="AF202" s="115"/>
    </row>
    <row r="203" spans="5:32" ht="18" customHeight="1">
      <c r="E203" s="171"/>
      <c r="T203" s="145" t="s">
        <v>39</v>
      </c>
      <c r="U203" s="173"/>
      <c r="V203" s="219">
        <f ca="1">OFFSET($L$1,MATCH($AF200,$B:$B,0)-1,2)</f>
        <v>2</v>
      </c>
      <c r="W203" s="144" t="s">
        <v>29</v>
      </c>
      <c r="X203" s="118">
        <f t="shared" ca="1" si="60"/>
        <v>310884</v>
      </c>
      <c r="Y203" s="118">
        <f t="shared" ca="1" si="61"/>
        <v>621768</v>
      </c>
      <c r="Z203" s="118">
        <f ca="1">고급</f>
        <v>310884</v>
      </c>
      <c r="AA203" s="118">
        <f t="shared" ca="1" si="62"/>
        <v>621768</v>
      </c>
      <c r="AB203" s="118"/>
      <c r="AC203" s="118"/>
      <c r="AD203" s="118"/>
      <c r="AE203" s="118"/>
      <c r="AF203" s="115"/>
    </row>
    <row r="204" spans="5:32" ht="18" customHeight="1">
      <c r="E204" s="171"/>
      <c r="T204" s="145" t="s">
        <v>40</v>
      </c>
      <c r="U204" s="173"/>
      <c r="V204" s="219">
        <f ca="1">OFFSET($L$1,MATCH($AF200,$B:$B,0)-1,3)</f>
        <v>4</v>
      </c>
      <c r="W204" s="144" t="s">
        <v>29</v>
      </c>
      <c r="X204" s="118">
        <f t="shared" ca="1" si="60"/>
        <v>295138</v>
      </c>
      <c r="Y204" s="118">
        <f t="shared" ca="1" si="61"/>
        <v>1180552</v>
      </c>
      <c r="Z204" s="118">
        <f ca="1">중급</f>
        <v>295138</v>
      </c>
      <c r="AA204" s="118">
        <f t="shared" ca="1" si="62"/>
        <v>1180552</v>
      </c>
      <c r="AB204" s="118"/>
      <c r="AC204" s="118"/>
      <c r="AD204" s="118"/>
      <c r="AE204" s="118"/>
      <c r="AF204" s="115"/>
    </row>
    <row r="205" spans="5:32" ht="18" customHeight="1">
      <c r="E205" s="171"/>
      <c r="T205" s="145" t="s">
        <v>41</v>
      </c>
      <c r="U205" s="173"/>
      <c r="V205" s="219">
        <f ca="1">OFFSET($L$1,MATCH($AF200,$B:$B,0)-1,4)</f>
        <v>4</v>
      </c>
      <c r="W205" s="144" t="s">
        <v>29</v>
      </c>
      <c r="X205" s="118">
        <f t="shared" ca="1" si="60"/>
        <v>235459</v>
      </c>
      <c r="Y205" s="118">
        <f t="shared" ca="1" si="61"/>
        <v>941836</v>
      </c>
      <c r="Z205" s="118">
        <f ca="1">초급</f>
        <v>235459</v>
      </c>
      <c r="AA205" s="118">
        <f t="shared" ca="1" si="62"/>
        <v>941836</v>
      </c>
      <c r="AB205" s="118"/>
      <c r="AC205" s="118"/>
      <c r="AD205" s="118"/>
      <c r="AE205" s="118"/>
      <c r="AF205" s="115"/>
    </row>
    <row r="206" spans="5:32" ht="18" customHeight="1">
      <c r="E206" s="171"/>
      <c r="T206" s="319" t="s">
        <v>42</v>
      </c>
      <c r="U206" s="320"/>
      <c r="V206" s="321">
        <f ca="1">OFFSET($L$1,MATCH($AF200,$B:$B,0)-1,5)</f>
        <v>4</v>
      </c>
      <c r="W206" s="322" t="s">
        <v>29</v>
      </c>
      <c r="X206" s="323">
        <f t="shared" ca="1" si="60"/>
        <v>250087</v>
      </c>
      <c r="Y206" s="323">
        <f t="shared" ca="1" si="61"/>
        <v>1000348</v>
      </c>
      <c r="Z206" s="323">
        <f ca="1">보조원</f>
        <v>250087</v>
      </c>
      <c r="AA206" s="323">
        <f t="shared" ca="1" si="62"/>
        <v>1000348</v>
      </c>
      <c r="AB206" s="323"/>
      <c r="AC206" s="323"/>
      <c r="AD206" s="323"/>
      <c r="AE206" s="323"/>
      <c r="AF206" s="324"/>
    </row>
    <row r="207" spans="5:32" ht="18" customHeight="1">
      <c r="E207" s="171"/>
      <c r="T207" s="139" t="s">
        <v>106</v>
      </c>
      <c r="U207" s="68"/>
      <c r="V207" s="69"/>
      <c r="W207" s="70"/>
      <c r="X207" s="71"/>
      <c r="Y207" s="71">
        <f ca="1">SUBTOTAL(9,Y201:Y206)</f>
        <v>5425644</v>
      </c>
      <c r="Z207" s="71"/>
      <c r="AA207" s="71">
        <f ca="1">SUBTOTAL(9,AA201:AA206)</f>
        <v>5425644</v>
      </c>
      <c r="AB207" s="71"/>
      <c r="AC207" s="71"/>
      <c r="AD207" s="71"/>
      <c r="AE207" s="71"/>
      <c r="AF207" s="68"/>
    </row>
    <row r="208" spans="5:32" ht="18" customHeight="1">
      <c r="E208" s="171"/>
      <c r="T208" s="318" t="str">
        <f ca="1">"제 " &amp; AF208 &amp; " 호표  "&amp; OFFSET($T$1,MATCH(AF208,$B:$B,0)-1,0)</f>
        <v>제 19 호표  8.2. 주민간담회/시민계획단</v>
      </c>
      <c r="U208" s="221"/>
      <c r="V208" s="148"/>
      <c r="W208" s="148"/>
      <c r="X208" s="149"/>
      <c r="Y208" s="149"/>
      <c r="Z208" s="149"/>
      <c r="AA208" s="149"/>
      <c r="AB208" s="149"/>
      <c r="AC208" s="149"/>
      <c r="AD208" s="149"/>
      <c r="AE208" s="149"/>
      <c r="AF208" s="325">
        <f>AF200+1</f>
        <v>19</v>
      </c>
    </row>
    <row r="209" spans="5:32" ht="18" customHeight="1">
      <c r="E209" s="171"/>
      <c r="T209" s="140" t="s">
        <v>43</v>
      </c>
      <c r="U209" s="172"/>
      <c r="V209" s="219">
        <f ca="1">OFFSET($L$1,MATCH($AF208,$B:$B,0)-1,0)</f>
        <v>2</v>
      </c>
      <c r="W209" s="141" t="s">
        <v>29</v>
      </c>
      <c r="X209" s="142">
        <f t="shared" ref="X209:X214" ca="1" si="63">Z209</f>
        <v>467217</v>
      </c>
      <c r="Y209" s="142">
        <f t="shared" ref="Y209:Y214" ca="1" si="64">AA209</f>
        <v>934434</v>
      </c>
      <c r="Z209" s="142">
        <f ca="1">기술사</f>
        <v>467217</v>
      </c>
      <c r="AA209" s="142">
        <f t="shared" ref="AA209:AA214" ca="1" si="65">ROUNDDOWN(V209*X209,0)</f>
        <v>934434</v>
      </c>
      <c r="AB209" s="142"/>
      <c r="AC209" s="142"/>
      <c r="AD209" s="142"/>
      <c r="AE209" s="142"/>
      <c r="AF209" s="114"/>
    </row>
    <row r="210" spans="5:32" ht="18" customHeight="1">
      <c r="E210" s="171"/>
      <c r="T210" s="143" t="s">
        <v>32</v>
      </c>
      <c r="U210" s="173"/>
      <c r="V210" s="219">
        <f ca="1">OFFSET($L$1,MATCH($AF208,$B:$B,0)-1,1)</f>
        <v>2</v>
      </c>
      <c r="W210" s="144" t="s">
        <v>29</v>
      </c>
      <c r="X210" s="118">
        <f t="shared" ca="1" si="63"/>
        <v>373353</v>
      </c>
      <c r="Y210" s="118">
        <f t="shared" ca="1" si="64"/>
        <v>746706</v>
      </c>
      <c r="Z210" s="118">
        <f ca="1">특급</f>
        <v>373353</v>
      </c>
      <c r="AA210" s="118">
        <f t="shared" ca="1" si="65"/>
        <v>746706</v>
      </c>
      <c r="AB210" s="118"/>
      <c r="AC210" s="118"/>
      <c r="AD210" s="118"/>
      <c r="AE210" s="118"/>
      <c r="AF210" s="115"/>
    </row>
    <row r="211" spans="5:32" ht="18" customHeight="1">
      <c r="E211" s="171"/>
      <c r="T211" s="145" t="s">
        <v>39</v>
      </c>
      <c r="U211" s="173"/>
      <c r="V211" s="219">
        <f ca="1">OFFSET($L$1,MATCH($AF208,$B:$B,0)-1,2)</f>
        <v>2</v>
      </c>
      <c r="W211" s="144" t="s">
        <v>29</v>
      </c>
      <c r="X211" s="118">
        <f t="shared" ca="1" si="63"/>
        <v>310884</v>
      </c>
      <c r="Y211" s="118">
        <f t="shared" ca="1" si="64"/>
        <v>621768</v>
      </c>
      <c r="Z211" s="118">
        <f ca="1">고급</f>
        <v>310884</v>
      </c>
      <c r="AA211" s="118">
        <f t="shared" ca="1" si="65"/>
        <v>621768</v>
      </c>
      <c r="AB211" s="118"/>
      <c r="AC211" s="118"/>
      <c r="AD211" s="118"/>
      <c r="AE211" s="118"/>
      <c r="AF211" s="115"/>
    </row>
    <row r="212" spans="5:32" ht="18" customHeight="1">
      <c r="E212" s="171"/>
      <c r="T212" s="145" t="s">
        <v>40</v>
      </c>
      <c r="U212" s="173"/>
      <c r="V212" s="219">
        <f ca="1">OFFSET($L$1,MATCH($AF208,$B:$B,0)-1,3)</f>
        <v>4</v>
      </c>
      <c r="W212" s="144" t="s">
        <v>29</v>
      </c>
      <c r="X212" s="118">
        <f t="shared" ca="1" si="63"/>
        <v>295138</v>
      </c>
      <c r="Y212" s="118">
        <f t="shared" ca="1" si="64"/>
        <v>1180552</v>
      </c>
      <c r="Z212" s="118">
        <f ca="1">중급</f>
        <v>295138</v>
      </c>
      <c r="AA212" s="118">
        <f t="shared" ca="1" si="65"/>
        <v>1180552</v>
      </c>
      <c r="AB212" s="118"/>
      <c r="AC212" s="118"/>
      <c r="AD212" s="118"/>
      <c r="AE212" s="118"/>
      <c r="AF212" s="115"/>
    </row>
    <row r="213" spans="5:32" ht="18" customHeight="1">
      <c r="E213" s="171"/>
      <c r="T213" s="145" t="s">
        <v>41</v>
      </c>
      <c r="U213" s="173"/>
      <c r="V213" s="219">
        <f ca="1">OFFSET($L$1,MATCH($AF208,$B:$B,0)-1,4)</f>
        <v>4</v>
      </c>
      <c r="W213" s="144" t="s">
        <v>29</v>
      </c>
      <c r="X213" s="118">
        <f t="shared" ca="1" si="63"/>
        <v>235459</v>
      </c>
      <c r="Y213" s="118">
        <f t="shared" ca="1" si="64"/>
        <v>941836</v>
      </c>
      <c r="Z213" s="118">
        <f ca="1">초급</f>
        <v>235459</v>
      </c>
      <c r="AA213" s="118">
        <f t="shared" ca="1" si="65"/>
        <v>941836</v>
      </c>
      <c r="AB213" s="118"/>
      <c r="AC213" s="118"/>
      <c r="AD213" s="118"/>
      <c r="AE213" s="118"/>
      <c r="AF213" s="115"/>
    </row>
    <row r="214" spans="5:32" ht="18" customHeight="1">
      <c r="E214" s="171"/>
      <c r="T214" s="319" t="s">
        <v>42</v>
      </c>
      <c r="U214" s="320"/>
      <c r="V214" s="321">
        <f ca="1">OFFSET($L$1,MATCH($AF208,$B:$B,0)-1,5)</f>
        <v>4</v>
      </c>
      <c r="W214" s="322" t="s">
        <v>29</v>
      </c>
      <c r="X214" s="323">
        <f t="shared" ca="1" si="63"/>
        <v>250087</v>
      </c>
      <c r="Y214" s="323">
        <f t="shared" ca="1" si="64"/>
        <v>1000348</v>
      </c>
      <c r="Z214" s="323">
        <f ca="1">보조원</f>
        <v>250087</v>
      </c>
      <c r="AA214" s="323">
        <f t="shared" ca="1" si="65"/>
        <v>1000348</v>
      </c>
      <c r="AB214" s="323"/>
      <c r="AC214" s="323"/>
      <c r="AD214" s="323"/>
      <c r="AE214" s="323"/>
      <c r="AF214" s="324"/>
    </row>
    <row r="215" spans="5:32" ht="18" customHeight="1">
      <c r="E215" s="171"/>
      <c r="T215" s="139" t="s">
        <v>106</v>
      </c>
      <c r="U215" s="68"/>
      <c r="V215" s="69"/>
      <c r="W215" s="70"/>
      <c r="X215" s="71"/>
      <c r="Y215" s="71">
        <f ca="1">SUBTOTAL(9,Y209:Y214)</f>
        <v>5425644</v>
      </c>
      <c r="Z215" s="71"/>
      <c r="AA215" s="71">
        <f ca="1">SUBTOTAL(9,AA209:AA214)</f>
        <v>5425644</v>
      </c>
      <c r="AB215" s="71"/>
      <c r="AC215" s="71"/>
      <c r="AD215" s="71"/>
      <c r="AE215" s="71"/>
      <c r="AF215" s="68"/>
    </row>
    <row r="216" spans="5:32" ht="18" customHeight="1">
      <c r="E216" s="171"/>
      <c r="T216" s="318" t="str">
        <f ca="1">"제 " &amp; AF216 &amp; " 호표  "&amp; OFFSET($T$1,MATCH(AF216,$B:$B,0)-1,0)</f>
        <v>제 20 호표  8.3. 위원회 심의 지원</v>
      </c>
      <c r="U216" s="221"/>
      <c r="V216" s="148"/>
      <c r="W216" s="148"/>
      <c r="X216" s="149"/>
      <c r="Y216" s="149"/>
      <c r="Z216" s="149"/>
      <c r="AA216" s="149"/>
      <c r="AB216" s="149"/>
      <c r="AC216" s="149"/>
      <c r="AD216" s="149"/>
      <c r="AE216" s="149"/>
      <c r="AF216" s="325">
        <f>AF208+1</f>
        <v>20</v>
      </c>
    </row>
    <row r="217" spans="5:32" ht="18" customHeight="1">
      <c r="E217" s="171"/>
      <c r="T217" s="140" t="s">
        <v>43</v>
      </c>
      <c r="U217" s="172"/>
      <c r="V217" s="219">
        <f ca="1">OFFSET($L$1,MATCH($AF216,$B:$B,0)-1,0)</f>
        <v>2</v>
      </c>
      <c r="W217" s="141" t="s">
        <v>29</v>
      </c>
      <c r="X217" s="142">
        <f t="shared" ref="X217:X222" ca="1" si="66">Z217</f>
        <v>467217</v>
      </c>
      <c r="Y217" s="142">
        <f t="shared" ref="Y217:Y222" ca="1" si="67">AA217</f>
        <v>934434</v>
      </c>
      <c r="Z217" s="142">
        <f ca="1">기술사</f>
        <v>467217</v>
      </c>
      <c r="AA217" s="142">
        <f t="shared" ref="AA217:AA222" ca="1" si="68">ROUNDDOWN(V217*X217,0)</f>
        <v>934434</v>
      </c>
      <c r="AB217" s="142"/>
      <c r="AC217" s="142"/>
      <c r="AD217" s="142"/>
      <c r="AE217" s="142"/>
      <c r="AF217" s="114"/>
    </row>
    <row r="218" spans="5:32" ht="18" customHeight="1">
      <c r="E218" s="171"/>
      <c r="T218" s="143" t="s">
        <v>32</v>
      </c>
      <c r="U218" s="173"/>
      <c r="V218" s="219">
        <f ca="1">OFFSET($L$1,MATCH($AF216,$B:$B,0)-1,1)</f>
        <v>2</v>
      </c>
      <c r="W218" s="144" t="s">
        <v>29</v>
      </c>
      <c r="X218" s="118">
        <f t="shared" ca="1" si="66"/>
        <v>373353</v>
      </c>
      <c r="Y218" s="118">
        <f t="shared" ca="1" si="67"/>
        <v>746706</v>
      </c>
      <c r="Z218" s="118">
        <f ca="1">특급</f>
        <v>373353</v>
      </c>
      <c r="AA218" s="118">
        <f t="shared" ca="1" si="68"/>
        <v>746706</v>
      </c>
      <c r="AB218" s="118"/>
      <c r="AC218" s="118"/>
      <c r="AD218" s="118"/>
      <c r="AE218" s="118"/>
      <c r="AF218" s="115"/>
    </row>
    <row r="219" spans="5:32" ht="18" customHeight="1">
      <c r="E219" s="171"/>
      <c r="T219" s="145" t="s">
        <v>39</v>
      </c>
      <c r="U219" s="173"/>
      <c r="V219" s="219">
        <f ca="1">OFFSET($L$1,MATCH($AF216,$B:$B,0)-1,2)</f>
        <v>2</v>
      </c>
      <c r="W219" s="144" t="s">
        <v>29</v>
      </c>
      <c r="X219" s="118">
        <f t="shared" ca="1" si="66"/>
        <v>310884</v>
      </c>
      <c r="Y219" s="118">
        <f t="shared" ca="1" si="67"/>
        <v>621768</v>
      </c>
      <c r="Z219" s="118">
        <f ca="1">고급</f>
        <v>310884</v>
      </c>
      <c r="AA219" s="118">
        <f t="shared" ca="1" si="68"/>
        <v>621768</v>
      </c>
      <c r="AB219" s="118"/>
      <c r="AC219" s="118"/>
      <c r="AD219" s="118"/>
      <c r="AE219" s="118"/>
      <c r="AF219" s="115"/>
    </row>
    <row r="220" spans="5:32" ht="18" customHeight="1">
      <c r="E220" s="171"/>
      <c r="T220" s="145" t="s">
        <v>40</v>
      </c>
      <c r="U220" s="173"/>
      <c r="V220" s="219">
        <f ca="1">OFFSET($L$1,MATCH($AF216,$B:$B,0)-1,3)</f>
        <v>4</v>
      </c>
      <c r="W220" s="144" t="s">
        <v>29</v>
      </c>
      <c r="X220" s="118">
        <f t="shared" ca="1" si="66"/>
        <v>295138</v>
      </c>
      <c r="Y220" s="118">
        <f t="shared" ca="1" si="67"/>
        <v>1180552</v>
      </c>
      <c r="Z220" s="118">
        <f ca="1">중급</f>
        <v>295138</v>
      </c>
      <c r="AA220" s="118">
        <f t="shared" ca="1" si="68"/>
        <v>1180552</v>
      </c>
      <c r="AB220" s="118"/>
      <c r="AC220" s="118"/>
      <c r="AD220" s="118"/>
      <c r="AE220" s="118"/>
      <c r="AF220" s="115"/>
    </row>
    <row r="221" spans="5:32" ht="18" customHeight="1">
      <c r="E221" s="171"/>
      <c r="T221" s="145" t="s">
        <v>41</v>
      </c>
      <c r="U221" s="173"/>
      <c r="V221" s="219">
        <f ca="1">OFFSET($L$1,MATCH($AF216,$B:$B,0)-1,4)</f>
        <v>4</v>
      </c>
      <c r="W221" s="144" t="s">
        <v>29</v>
      </c>
      <c r="X221" s="118">
        <f t="shared" ca="1" si="66"/>
        <v>235459</v>
      </c>
      <c r="Y221" s="118">
        <f t="shared" ca="1" si="67"/>
        <v>941836</v>
      </c>
      <c r="Z221" s="118">
        <f ca="1">초급</f>
        <v>235459</v>
      </c>
      <c r="AA221" s="118">
        <f t="shared" ca="1" si="68"/>
        <v>941836</v>
      </c>
      <c r="AB221" s="118"/>
      <c r="AC221" s="118"/>
      <c r="AD221" s="118"/>
      <c r="AE221" s="118"/>
      <c r="AF221" s="115"/>
    </row>
    <row r="222" spans="5:32" ht="18" customHeight="1">
      <c r="E222" s="171"/>
      <c r="T222" s="319" t="s">
        <v>42</v>
      </c>
      <c r="U222" s="320"/>
      <c r="V222" s="321">
        <f ca="1">OFFSET($L$1,MATCH($AF216,$B:$B,0)-1,5)</f>
        <v>4</v>
      </c>
      <c r="W222" s="322" t="s">
        <v>29</v>
      </c>
      <c r="X222" s="323">
        <f t="shared" ca="1" si="66"/>
        <v>250087</v>
      </c>
      <c r="Y222" s="323">
        <f t="shared" ca="1" si="67"/>
        <v>1000348</v>
      </c>
      <c r="Z222" s="323">
        <f ca="1">보조원</f>
        <v>250087</v>
      </c>
      <c r="AA222" s="323">
        <f t="shared" ca="1" si="68"/>
        <v>1000348</v>
      </c>
      <c r="AB222" s="323"/>
      <c r="AC222" s="323"/>
      <c r="AD222" s="323"/>
      <c r="AE222" s="323"/>
      <c r="AF222" s="324"/>
    </row>
    <row r="223" spans="5:32" ht="18" customHeight="1">
      <c r="E223" s="171"/>
      <c r="T223" s="139" t="s">
        <v>106</v>
      </c>
      <c r="U223" s="68"/>
      <c r="V223" s="69"/>
      <c r="W223" s="70"/>
      <c r="X223" s="71"/>
      <c r="Y223" s="71">
        <f ca="1">SUBTOTAL(9,Y217:Y222)</f>
        <v>5425644</v>
      </c>
      <c r="Z223" s="71"/>
      <c r="AA223" s="71">
        <f ca="1">SUBTOTAL(9,AA217:AA222)</f>
        <v>5425644</v>
      </c>
      <c r="AB223" s="71"/>
      <c r="AC223" s="71"/>
      <c r="AD223" s="71"/>
      <c r="AE223" s="71"/>
      <c r="AF223" s="68"/>
    </row>
    <row r="224" spans="5:32" ht="18" customHeight="1">
      <c r="E224" s="171"/>
      <c r="T224" s="318" t="str">
        <f ca="1">"제 " &amp; AF224 &amp; " 호표  "&amp; OFFSET($T$1,MATCH(AF224,$B:$B,0)-1,0)</f>
        <v>제 21 호표  8.4. 관계기관 협의</v>
      </c>
      <c r="U224" s="221"/>
      <c r="V224" s="148"/>
      <c r="W224" s="148"/>
      <c r="X224" s="149"/>
      <c r="Y224" s="149"/>
      <c r="Z224" s="149"/>
      <c r="AA224" s="149"/>
      <c r="AB224" s="149"/>
      <c r="AC224" s="149"/>
      <c r="AD224" s="149"/>
      <c r="AE224" s="149"/>
      <c r="AF224" s="325">
        <f>AF216+1</f>
        <v>21</v>
      </c>
    </row>
    <row r="225" spans="5:32" ht="18" customHeight="1">
      <c r="E225" s="171"/>
      <c r="T225" s="140" t="s">
        <v>43</v>
      </c>
      <c r="U225" s="172"/>
      <c r="V225" s="219">
        <f ca="1">OFFSET($L$1,MATCH($AF224,$B:$B,0)-1,0)</f>
        <v>2</v>
      </c>
      <c r="W225" s="141" t="s">
        <v>29</v>
      </c>
      <c r="X225" s="142">
        <f t="shared" ref="X225:X230" ca="1" si="69">Z225</f>
        <v>467217</v>
      </c>
      <c r="Y225" s="142">
        <f t="shared" ref="Y225:Y230" ca="1" si="70">AA225</f>
        <v>934434</v>
      </c>
      <c r="Z225" s="142">
        <f ca="1">기술사</f>
        <v>467217</v>
      </c>
      <c r="AA225" s="142">
        <f t="shared" ref="AA225:AA230" ca="1" si="71">ROUNDDOWN(V225*X225,0)</f>
        <v>934434</v>
      </c>
      <c r="AB225" s="142"/>
      <c r="AC225" s="142"/>
      <c r="AD225" s="142"/>
      <c r="AE225" s="142"/>
      <c r="AF225" s="114"/>
    </row>
    <row r="226" spans="5:32" ht="18" customHeight="1">
      <c r="E226" s="171"/>
      <c r="T226" s="143" t="s">
        <v>32</v>
      </c>
      <c r="U226" s="173"/>
      <c r="V226" s="219">
        <f ca="1">OFFSET($L$1,MATCH($AF224,$B:$B,0)-1,1)</f>
        <v>2</v>
      </c>
      <c r="W226" s="144" t="s">
        <v>29</v>
      </c>
      <c r="X226" s="118">
        <f t="shared" ca="1" si="69"/>
        <v>373353</v>
      </c>
      <c r="Y226" s="118">
        <f t="shared" ca="1" si="70"/>
        <v>746706</v>
      </c>
      <c r="Z226" s="118">
        <f ca="1">특급</f>
        <v>373353</v>
      </c>
      <c r="AA226" s="118">
        <f t="shared" ca="1" si="71"/>
        <v>746706</v>
      </c>
      <c r="AB226" s="118"/>
      <c r="AC226" s="118"/>
      <c r="AD226" s="118"/>
      <c r="AE226" s="118"/>
      <c r="AF226" s="115"/>
    </row>
    <row r="227" spans="5:32" ht="18" customHeight="1">
      <c r="E227" s="171"/>
      <c r="T227" s="145" t="s">
        <v>39</v>
      </c>
      <c r="U227" s="173"/>
      <c r="V227" s="219">
        <f ca="1">OFFSET($L$1,MATCH($AF224,$B:$B,0)-1,2)</f>
        <v>2</v>
      </c>
      <c r="W227" s="144" t="s">
        <v>29</v>
      </c>
      <c r="X227" s="118">
        <f t="shared" ca="1" si="69"/>
        <v>310884</v>
      </c>
      <c r="Y227" s="118">
        <f t="shared" ca="1" si="70"/>
        <v>621768</v>
      </c>
      <c r="Z227" s="118">
        <f ca="1">고급</f>
        <v>310884</v>
      </c>
      <c r="AA227" s="118">
        <f t="shared" ca="1" si="71"/>
        <v>621768</v>
      </c>
      <c r="AB227" s="118"/>
      <c r="AC227" s="118"/>
      <c r="AD227" s="118"/>
      <c r="AE227" s="118"/>
      <c r="AF227" s="115"/>
    </row>
    <row r="228" spans="5:32" ht="18" customHeight="1">
      <c r="E228" s="171"/>
      <c r="T228" s="145" t="s">
        <v>40</v>
      </c>
      <c r="U228" s="173"/>
      <c r="V228" s="219">
        <f ca="1">OFFSET($L$1,MATCH($AF224,$B:$B,0)-1,3)</f>
        <v>4</v>
      </c>
      <c r="W228" s="144" t="s">
        <v>29</v>
      </c>
      <c r="X228" s="118">
        <f t="shared" ca="1" si="69"/>
        <v>295138</v>
      </c>
      <c r="Y228" s="118">
        <f t="shared" ca="1" si="70"/>
        <v>1180552</v>
      </c>
      <c r="Z228" s="118">
        <f ca="1">중급</f>
        <v>295138</v>
      </c>
      <c r="AA228" s="118">
        <f t="shared" ca="1" si="71"/>
        <v>1180552</v>
      </c>
      <c r="AB228" s="118"/>
      <c r="AC228" s="118"/>
      <c r="AD228" s="118"/>
      <c r="AE228" s="118"/>
      <c r="AF228" s="115"/>
    </row>
    <row r="229" spans="5:32" ht="18" customHeight="1">
      <c r="E229" s="171"/>
      <c r="T229" s="145" t="s">
        <v>41</v>
      </c>
      <c r="U229" s="173"/>
      <c r="V229" s="219">
        <f ca="1">OFFSET($L$1,MATCH($AF224,$B:$B,0)-1,4)</f>
        <v>4</v>
      </c>
      <c r="W229" s="144" t="s">
        <v>29</v>
      </c>
      <c r="X229" s="118">
        <f t="shared" ca="1" si="69"/>
        <v>235459</v>
      </c>
      <c r="Y229" s="118">
        <f t="shared" ca="1" si="70"/>
        <v>941836</v>
      </c>
      <c r="Z229" s="118">
        <f ca="1">초급</f>
        <v>235459</v>
      </c>
      <c r="AA229" s="118">
        <f t="shared" ca="1" si="71"/>
        <v>941836</v>
      </c>
      <c r="AB229" s="118"/>
      <c r="AC229" s="118"/>
      <c r="AD229" s="118"/>
      <c r="AE229" s="118"/>
      <c r="AF229" s="115"/>
    </row>
    <row r="230" spans="5:32" ht="18" customHeight="1">
      <c r="E230" s="171"/>
      <c r="T230" s="319" t="s">
        <v>42</v>
      </c>
      <c r="U230" s="320"/>
      <c r="V230" s="321">
        <f ca="1">OFFSET($L$1,MATCH($AF224,$B:$B,0)-1,5)</f>
        <v>4</v>
      </c>
      <c r="W230" s="322" t="s">
        <v>29</v>
      </c>
      <c r="X230" s="323">
        <f t="shared" ca="1" si="69"/>
        <v>250087</v>
      </c>
      <c r="Y230" s="323">
        <f t="shared" ca="1" si="70"/>
        <v>1000348</v>
      </c>
      <c r="Z230" s="323">
        <f ca="1">보조원</f>
        <v>250087</v>
      </c>
      <c r="AA230" s="323">
        <f t="shared" ca="1" si="71"/>
        <v>1000348</v>
      </c>
      <c r="AB230" s="323"/>
      <c r="AC230" s="323"/>
      <c r="AD230" s="323"/>
      <c r="AE230" s="323"/>
      <c r="AF230" s="324"/>
    </row>
    <row r="231" spans="5:32" ht="18" customHeight="1">
      <c r="E231" s="171"/>
      <c r="T231" s="139" t="s">
        <v>106</v>
      </c>
      <c r="U231" s="68"/>
      <c r="V231" s="69"/>
      <c r="W231" s="70"/>
      <c r="X231" s="71"/>
      <c r="Y231" s="71">
        <f ca="1">SUBTOTAL(9,Y225:Y230)</f>
        <v>5425644</v>
      </c>
      <c r="Z231" s="71"/>
      <c r="AA231" s="71">
        <f ca="1">SUBTOTAL(9,AA225:AA230)</f>
        <v>5425644</v>
      </c>
      <c r="AB231" s="71"/>
      <c r="AC231" s="71"/>
      <c r="AD231" s="71"/>
      <c r="AE231" s="71"/>
      <c r="AF231" s="68"/>
    </row>
    <row r="232" spans="5:32" ht="18" customHeight="1">
      <c r="E232" s="171"/>
      <c r="V232" s="236"/>
    </row>
    <row r="233" spans="5:32" ht="18" customHeight="1">
      <c r="E233" s="171"/>
      <c r="V233" s="236"/>
    </row>
    <row r="234" spans="5:32" ht="18" customHeight="1">
      <c r="E234" s="171"/>
      <c r="V234" s="236"/>
    </row>
    <row r="235" spans="5:32" ht="18" customHeight="1">
      <c r="E235" s="171"/>
      <c r="V235" s="236"/>
    </row>
    <row r="236" spans="5:32" ht="18" customHeight="1">
      <c r="E236" s="171"/>
      <c r="V236" s="236"/>
    </row>
    <row r="237" spans="5:32" ht="18" customHeight="1">
      <c r="E237" s="171"/>
      <c r="V237" s="236"/>
    </row>
    <row r="238" spans="5:32" ht="18" customHeight="1">
      <c r="E238" s="171"/>
      <c r="V238" s="236"/>
    </row>
    <row r="239" spans="5:32" ht="18" customHeight="1">
      <c r="E239" s="171"/>
      <c r="V239" s="236"/>
    </row>
    <row r="240" spans="5:32" ht="18" customHeight="1">
      <c r="E240" s="171"/>
      <c r="V240" s="236"/>
    </row>
    <row r="241" spans="5:22" ht="18" customHeight="1">
      <c r="E241" s="171"/>
      <c r="V241" s="236"/>
    </row>
    <row r="242" spans="5:22" ht="18" customHeight="1">
      <c r="E242" s="171"/>
      <c r="V242" s="236"/>
    </row>
    <row r="243" spans="5:22" ht="18" customHeight="1">
      <c r="E243" s="171"/>
      <c r="V243" s="236"/>
    </row>
    <row r="244" spans="5:22" ht="18" customHeight="1">
      <c r="E244" s="171"/>
      <c r="V244" s="236"/>
    </row>
    <row r="245" spans="5:22" ht="18" customHeight="1">
      <c r="E245" s="171"/>
      <c r="V245" s="236"/>
    </row>
    <row r="246" spans="5:22" ht="18" customHeight="1">
      <c r="E246" s="171"/>
      <c r="V246" s="236"/>
    </row>
    <row r="247" spans="5:22" ht="18" customHeight="1">
      <c r="E247" s="171"/>
      <c r="V247" s="236"/>
    </row>
    <row r="248" spans="5:22" ht="18" customHeight="1">
      <c r="E248" s="171"/>
      <c r="V248" s="236"/>
    </row>
    <row r="249" spans="5:22" ht="18" customHeight="1">
      <c r="E249" s="171"/>
      <c r="V249" s="236"/>
    </row>
    <row r="250" spans="5:22" ht="18" customHeight="1">
      <c r="E250" s="171"/>
      <c r="V250" s="236"/>
    </row>
    <row r="251" spans="5:22" ht="18" customHeight="1">
      <c r="E251" s="171"/>
      <c r="V251" s="236"/>
    </row>
    <row r="252" spans="5:22" ht="18" customHeight="1">
      <c r="E252" s="171"/>
      <c r="V252" s="236"/>
    </row>
    <row r="253" spans="5:22" ht="18" customHeight="1">
      <c r="E253" s="171"/>
      <c r="V253" s="236"/>
    </row>
    <row r="254" spans="5:22" ht="18" customHeight="1">
      <c r="E254" s="171"/>
      <c r="V254" s="236"/>
    </row>
    <row r="255" spans="5:22" ht="18" customHeight="1">
      <c r="E255" s="171"/>
      <c r="V255" s="236"/>
    </row>
    <row r="256" spans="5:22" ht="18" customHeight="1">
      <c r="E256" s="171"/>
      <c r="V256" s="236"/>
    </row>
    <row r="257" spans="5:22" ht="18" customHeight="1">
      <c r="E257" s="171"/>
      <c r="V257" s="236"/>
    </row>
    <row r="258" spans="5:22" ht="18" customHeight="1">
      <c r="E258" s="171"/>
      <c r="V258" s="236"/>
    </row>
    <row r="259" spans="5:22" ht="18" customHeight="1">
      <c r="E259" s="171"/>
      <c r="V259" s="236"/>
    </row>
    <row r="260" spans="5:22" ht="18" customHeight="1">
      <c r="E260" s="171"/>
      <c r="V260" s="236"/>
    </row>
    <row r="261" spans="5:22" ht="18" customHeight="1">
      <c r="E261" s="171"/>
      <c r="V261" s="236"/>
    </row>
    <row r="262" spans="5:22" ht="18" customHeight="1">
      <c r="E262" s="171"/>
      <c r="V262" s="236"/>
    </row>
    <row r="263" spans="5:22" ht="18" customHeight="1">
      <c r="E263" s="171"/>
      <c r="V263" s="236"/>
    </row>
    <row r="264" spans="5:22" ht="18" customHeight="1">
      <c r="E264" s="171"/>
      <c r="V264" s="236"/>
    </row>
    <row r="265" spans="5:22" ht="18" customHeight="1">
      <c r="E265" s="171"/>
      <c r="V265" s="236"/>
    </row>
    <row r="266" spans="5:22" ht="18" customHeight="1">
      <c r="E266" s="171"/>
      <c r="V266" s="236"/>
    </row>
    <row r="267" spans="5:22" ht="18" customHeight="1">
      <c r="E267" s="171"/>
      <c r="V267" s="236"/>
    </row>
    <row r="268" spans="5:22" ht="18" customHeight="1">
      <c r="E268" s="171"/>
      <c r="V268" s="236"/>
    </row>
    <row r="269" spans="5:22" ht="18" customHeight="1">
      <c r="E269" s="171"/>
      <c r="V269" s="236"/>
    </row>
    <row r="270" spans="5:22" ht="18" customHeight="1">
      <c r="E270" s="171"/>
      <c r="V270" s="236"/>
    </row>
    <row r="271" spans="5:22" ht="18" customHeight="1">
      <c r="E271" s="171"/>
      <c r="V271" s="236"/>
    </row>
    <row r="272" spans="5:22" ht="18" customHeight="1">
      <c r="E272" s="171"/>
      <c r="V272" s="236"/>
    </row>
    <row r="273" spans="5:22" ht="18" customHeight="1">
      <c r="E273" s="171"/>
      <c r="V273" s="236"/>
    </row>
    <row r="274" spans="5:22" ht="18" customHeight="1">
      <c r="E274" s="171"/>
      <c r="V274" s="236"/>
    </row>
    <row r="275" spans="5:22" ht="18" customHeight="1">
      <c r="E275" s="171"/>
      <c r="V275" s="236"/>
    </row>
    <row r="276" spans="5:22" ht="18" customHeight="1">
      <c r="E276" s="171"/>
      <c r="V276" s="236"/>
    </row>
    <row r="277" spans="5:22" ht="18" customHeight="1">
      <c r="E277" s="171"/>
      <c r="V277" s="236"/>
    </row>
    <row r="278" spans="5:22" ht="18" customHeight="1">
      <c r="E278" s="171"/>
      <c r="V278" s="236"/>
    </row>
    <row r="279" spans="5:22" ht="18" customHeight="1">
      <c r="E279" s="171"/>
      <c r="V279" s="236"/>
    </row>
    <row r="280" spans="5:22" ht="18" customHeight="1">
      <c r="E280" s="171"/>
      <c r="V280" s="236"/>
    </row>
    <row r="281" spans="5:22" ht="18" customHeight="1">
      <c r="E281" s="171"/>
      <c r="V281" s="236"/>
    </row>
    <row r="282" spans="5:22" ht="18" customHeight="1">
      <c r="E282" s="171"/>
      <c r="V282" s="236"/>
    </row>
    <row r="283" spans="5:22" ht="18" customHeight="1">
      <c r="E283" s="171"/>
      <c r="V283" s="236"/>
    </row>
    <row r="284" spans="5:22" ht="18" customHeight="1">
      <c r="E284" s="171"/>
      <c r="V284" s="236"/>
    </row>
    <row r="285" spans="5:22" ht="18" customHeight="1">
      <c r="E285" s="171"/>
      <c r="V285" s="236"/>
    </row>
    <row r="286" spans="5:22" ht="18" customHeight="1">
      <c r="E286" s="171"/>
      <c r="V286" s="236"/>
    </row>
    <row r="287" spans="5:22" ht="18" customHeight="1">
      <c r="E287" s="171"/>
      <c r="V287" s="236"/>
    </row>
    <row r="288" spans="5:22" ht="18" customHeight="1">
      <c r="E288" s="171"/>
      <c r="V288" s="236"/>
    </row>
    <row r="289" spans="5:22" ht="18" customHeight="1">
      <c r="E289" s="171"/>
      <c r="V289" s="236"/>
    </row>
    <row r="290" spans="5:22" ht="18" customHeight="1">
      <c r="E290" s="171"/>
      <c r="V290" s="236"/>
    </row>
    <row r="291" spans="5:22" ht="18" customHeight="1">
      <c r="E291" s="171"/>
      <c r="V291" s="236"/>
    </row>
    <row r="292" spans="5:22" ht="18" customHeight="1">
      <c r="E292" s="171"/>
      <c r="V292" s="236"/>
    </row>
    <row r="293" spans="5:22" ht="18" customHeight="1">
      <c r="E293" s="171"/>
      <c r="V293" s="236"/>
    </row>
    <row r="294" spans="5:22" ht="18" customHeight="1">
      <c r="E294" s="171"/>
      <c r="V294" s="236"/>
    </row>
    <row r="295" spans="5:22" ht="18" customHeight="1">
      <c r="E295" s="171"/>
      <c r="V295" s="236"/>
    </row>
    <row r="296" spans="5:22" ht="18" customHeight="1">
      <c r="E296" s="171"/>
      <c r="V296" s="236"/>
    </row>
    <row r="297" spans="5:22" ht="18" customHeight="1">
      <c r="E297" s="171"/>
      <c r="V297" s="236"/>
    </row>
    <row r="298" spans="5:22" ht="18" customHeight="1">
      <c r="E298" s="171"/>
      <c r="V298" s="236"/>
    </row>
    <row r="299" spans="5:22" ht="18" customHeight="1">
      <c r="E299" s="171"/>
      <c r="V299" s="236"/>
    </row>
    <row r="300" spans="5:22" ht="18" customHeight="1">
      <c r="E300" s="171"/>
      <c r="V300" s="236"/>
    </row>
    <row r="301" spans="5:22" ht="18" customHeight="1">
      <c r="E301" s="171"/>
      <c r="V301" s="236"/>
    </row>
    <row r="302" spans="5:22" ht="18" customHeight="1">
      <c r="E302" s="171"/>
      <c r="V302" s="236"/>
    </row>
    <row r="303" spans="5:22" ht="18" customHeight="1">
      <c r="E303" s="171"/>
      <c r="V303" s="236"/>
    </row>
    <row r="304" spans="5:22" ht="18" customHeight="1">
      <c r="E304" s="171"/>
      <c r="V304" s="236"/>
    </row>
    <row r="305" spans="5:22" ht="18" customHeight="1">
      <c r="E305" s="171"/>
      <c r="V305" s="236"/>
    </row>
    <row r="306" spans="5:22" ht="18" customHeight="1">
      <c r="E306" s="171"/>
      <c r="V306" s="236"/>
    </row>
    <row r="307" spans="5:22" ht="18" customHeight="1">
      <c r="E307" s="171"/>
      <c r="V307" s="236"/>
    </row>
    <row r="308" spans="5:22" ht="18" customHeight="1">
      <c r="E308" s="171"/>
      <c r="V308" s="236"/>
    </row>
    <row r="309" spans="5:22" ht="18" customHeight="1">
      <c r="E309" s="171"/>
      <c r="V309" s="236"/>
    </row>
    <row r="310" spans="5:22" ht="18" customHeight="1">
      <c r="E310" s="171"/>
      <c r="V310" s="236"/>
    </row>
    <row r="311" spans="5:22" ht="18" customHeight="1">
      <c r="E311" s="171"/>
      <c r="V311" s="236"/>
    </row>
    <row r="312" spans="5:22" ht="18" customHeight="1">
      <c r="E312" s="171"/>
      <c r="V312" s="236"/>
    </row>
    <row r="313" spans="5:22" ht="18" customHeight="1">
      <c r="E313" s="171"/>
      <c r="V313" s="236"/>
    </row>
    <row r="314" spans="5:22" ht="18" customHeight="1">
      <c r="E314" s="171"/>
      <c r="V314" s="236"/>
    </row>
    <row r="315" spans="5:22" ht="18" customHeight="1">
      <c r="E315" s="171"/>
      <c r="V315" s="236"/>
    </row>
    <row r="316" spans="5:22" ht="18" customHeight="1">
      <c r="E316" s="171"/>
      <c r="V316" s="236"/>
    </row>
    <row r="317" spans="5:22" ht="18" customHeight="1">
      <c r="E317" s="171"/>
      <c r="V317" s="236"/>
    </row>
    <row r="318" spans="5:22" ht="18" customHeight="1">
      <c r="E318" s="171"/>
      <c r="V318" s="236"/>
    </row>
    <row r="319" spans="5:22" ht="18" customHeight="1">
      <c r="E319" s="171"/>
      <c r="V319" s="236"/>
    </row>
    <row r="320" spans="5:22" ht="18" customHeight="1">
      <c r="E320" s="171"/>
      <c r="V320" s="236"/>
    </row>
    <row r="321" spans="5:22" ht="18" customHeight="1">
      <c r="E321" s="171"/>
      <c r="V321" s="236"/>
    </row>
    <row r="322" spans="5:22" ht="18" customHeight="1">
      <c r="E322" s="171"/>
      <c r="V322" s="236"/>
    </row>
    <row r="323" spans="5:22" ht="18" customHeight="1">
      <c r="E323" s="171"/>
      <c r="V323" s="236"/>
    </row>
    <row r="324" spans="5:22" ht="18" customHeight="1">
      <c r="E324" s="171"/>
      <c r="V324" s="236"/>
    </row>
    <row r="325" spans="5:22" ht="18" customHeight="1">
      <c r="E325" s="171"/>
      <c r="V325" s="236"/>
    </row>
    <row r="326" spans="5:22" ht="18" customHeight="1">
      <c r="E326" s="171"/>
      <c r="V326" s="236"/>
    </row>
    <row r="327" spans="5:22" ht="18" customHeight="1">
      <c r="E327" s="171"/>
      <c r="V327" s="236"/>
    </row>
    <row r="328" spans="5:22" ht="18" customHeight="1">
      <c r="E328" s="171"/>
      <c r="V328" s="236"/>
    </row>
    <row r="329" spans="5:22" ht="18" customHeight="1">
      <c r="E329" s="171"/>
      <c r="V329" s="236"/>
    </row>
    <row r="330" spans="5:22" ht="18" customHeight="1">
      <c r="E330" s="171"/>
      <c r="V330" s="236"/>
    </row>
    <row r="331" spans="5:22" ht="18" customHeight="1">
      <c r="E331" s="171"/>
      <c r="V331" s="236"/>
    </row>
    <row r="332" spans="5:22" ht="18" customHeight="1">
      <c r="E332" s="171"/>
      <c r="V332" s="236"/>
    </row>
    <row r="333" spans="5:22" ht="18" customHeight="1">
      <c r="E333" s="171"/>
      <c r="V333" s="236"/>
    </row>
    <row r="334" spans="5:22" ht="18" customHeight="1">
      <c r="E334" s="171"/>
      <c r="V334" s="236"/>
    </row>
    <row r="335" spans="5:22" ht="18" customHeight="1">
      <c r="E335" s="171"/>
      <c r="V335" s="236"/>
    </row>
    <row r="336" spans="5:22" ht="18" customHeight="1">
      <c r="E336" s="171"/>
      <c r="V336" s="236"/>
    </row>
    <row r="337" spans="5:22" ht="18" customHeight="1">
      <c r="E337" s="171"/>
      <c r="V337" s="236"/>
    </row>
    <row r="338" spans="5:22" ht="18" customHeight="1">
      <c r="E338" s="171"/>
      <c r="V338" s="236"/>
    </row>
    <row r="339" spans="5:22" ht="18" customHeight="1">
      <c r="E339" s="171"/>
      <c r="V339" s="236"/>
    </row>
    <row r="340" spans="5:22" ht="18" customHeight="1">
      <c r="E340" s="171"/>
      <c r="V340" s="236"/>
    </row>
    <row r="341" spans="5:22" ht="18" customHeight="1">
      <c r="E341" s="171"/>
      <c r="V341" s="236"/>
    </row>
    <row r="342" spans="5:22" ht="18" customHeight="1">
      <c r="E342" s="171"/>
      <c r="V342" s="236"/>
    </row>
    <row r="343" spans="5:22" ht="18" customHeight="1">
      <c r="E343" s="171"/>
      <c r="V343" s="236"/>
    </row>
    <row r="344" spans="5:22" ht="18" customHeight="1">
      <c r="E344" s="171"/>
      <c r="V344" s="236"/>
    </row>
    <row r="345" spans="5:22" ht="18" customHeight="1">
      <c r="E345" s="171"/>
      <c r="V345" s="236"/>
    </row>
    <row r="346" spans="5:22" ht="18" customHeight="1">
      <c r="E346" s="171"/>
      <c r="V346" s="236"/>
    </row>
    <row r="347" spans="5:22" ht="18" customHeight="1">
      <c r="E347" s="171"/>
      <c r="V347" s="236"/>
    </row>
    <row r="348" spans="5:22" ht="18" customHeight="1">
      <c r="E348" s="171"/>
      <c r="V348" s="236"/>
    </row>
    <row r="349" spans="5:22" ht="18" customHeight="1">
      <c r="E349" s="171"/>
      <c r="V349" s="236"/>
    </row>
    <row r="350" spans="5:22" ht="18" customHeight="1">
      <c r="E350" s="171"/>
      <c r="V350" s="236"/>
    </row>
    <row r="351" spans="5:22" ht="18" customHeight="1">
      <c r="E351" s="171"/>
      <c r="V351" s="236"/>
    </row>
    <row r="352" spans="5:22" ht="18" customHeight="1">
      <c r="E352" s="171"/>
      <c r="V352" s="236"/>
    </row>
    <row r="353" spans="5:22" ht="18" customHeight="1">
      <c r="E353" s="171"/>
      <c r="V353" s="236"/>
    </row>
    <row r="354" spans="5:22" ht="18" customHeight="1">
      <c r="E354" s="171"/>
      <c r="V354" s="236"/>
    </row>
    <row r="355" spans="5:22" ht="18" customHeight="1">
      <c r="E355" s="171"/>
      <c r="V355" s="236"/>
    </row>
    <row r="356" spans="5:22" ht="18" customHeight="1">
      <c r="E356" s="171"/>
      <c r="V356" s="236"/>
    </row>
    <row r="357" spans="5:22" ht="18" customHeight="1">
      <c r="E357" s="171"/>
      <c r="V357" s="236"/>
    </row>
    <row r="358" spans="5:22" ht="18" customHeight="1">
      <c r="E358" s="171"/>
      <c r="V358" s="236"/>
    </row>
    <row r="359" spans="5:22" ht="18" customHeight="1">
      <c r="E359" s="171"/>
      <c r="V359" s="236"/>
    </row>
    <row r="360" spans="5:22" ht="18" customHeight="1">
      <c r="E360" s="171"/>
      <c r="V360" s="236"/>
    </row>
    <row r="361" spans="5:22" ht="18" customHeight="1">
      <c r="E361" s="171"/>
      <c r="V361" s="236"/>
    </row>
    <row r="362" spans="5:22" ht="18" customHeight="1">
      <c r="E362" s="171"/>
      <c r="V362" s="236"/>
    </row>
    <row r="363" spans="5:22" ht="18" customHeight="1">
      <c r="E363" s="171"/>
      <c r="V363" s="236"/>
    </row>
    <row r="364" spans="5:22" ht="18" customHeight="1">
      <c r="E364" s="171"/>
      <c r="V364" s="236"/>
    </row>
    <row r="365" spans="5:22" ht="18" customHeight="1">
      <c r="E365" s="171"/>
      <c r="V365" s="236"/>
    </row>
    <row r="366" spans="5:22" ht="18" customHeight="1">
      <c r="E366" s="171"/>
      <c r="V366" s="236"/>
    </row>
    <row r="367" spans="5:22" ht="18" customHeight="1">
      <c r="E367" s="171"/>
      <c r="V367" s="236"/>
    </row>
    <row r="368" spans="5:22" ht="18" customHeight="1">
      <c r="E368" s="171"/>
      <c r="V368" s="236"/>
    </row>
    <row r="369" spans="5:22" ht="18" customHeight="1">
      <c r="E369" s="171"/>
      <c r="V369" s="236"/>
    </row>
    <row r="370" spans="5:22" ht="18" customHeight="1">
      <c r="E370" s="171"/>
      <c r="V370" s="236"/>
    </row>
    <row r="371" spans="5:22" ht="18" customHeight="1">
      <c r="E371" s="171"/>
      <c r="V371" s="236"/>
    </row>
    <row r="372" spans="5:22" ht="18" customHeight="1">
      <c r="E372" s="171"/>
      <c r="V372" s="236"/>
    </row>
    <row r="373" spans="5:22" ht="18" customHeight="1">
      <c r="E373" s="171"/>
      <c r="V373" s="236"/>
    </row>
    <row r="374" spans="5:22" ht="18" customHeight="1">
      <c r="E374" s="171"/>
      <c r="V374" s="236"/>
    </row>
    <row r="375" spans="5:22" ht="18" customHeight="1">
      <c r="E375" s="171"/>
      <c r="V375" s="236"/>
    </row>
    <row r="376" spans="5:22" ht="18" customHeight="1">
      <c r="E376" s="171"/>
      <c r="V376" s="236"/>
    </row>
    <row r="377" spans="5:22" ht="18" customHeight="1">
      <c r="E377" s="171"/>
      <c r="V377" s="236"/>
    </row>
    <row r="378" spans="5:22" ht="18" customHeight="1">
      <c r="E378" s="171"/>
      <c r="V378" s="236"/>
    </row>
    <row r="379" spans="5:22" ht="18" customHeight="1">
      <c r="E379" s="171"/>
      <c r="V379" s="236"/>
    </row>
    <row r="380" spans="5:22" ht="18" customHeight="1">
      <c r="E380" s="171"/>
      <c r="V380" s="236"/>
    </row>
    <row r="381" spans="5:22" ht="18" customHeight="1">
      <c r="E381" s="171"/>
      <c r="V381" s="236"/>
    </row>
    <row r="382" spans="5:22" ht="18" customHeight="1">
      <c r="E382" s="171"/>
      <c r="V382" s="236"/>
    </row>
    <row r="383" spans="5:22" ht="18" customHeight="1">
      <c r="E383" s="171"/>
      <c r="V383" s="236"/>
    </row>
    <row r="384" spans="5:22" ht="18" customHeight="1">
      <c r="E384" s="171"/>
      <c r="V384" s="236"/>
    </row>
    <row r="385" spans="5:22" ht="18" customHeight="1">
      <c r="E385" s="171"/>
      <c r="V385" s="236"/>
    </row>
    <row r="386" spans="5:22" ht="18" customHeight="1">
      <c r="E386" s="171"/>
      <c r="V386" s="236"/>
    </row>
    <row r="387" spans="5:22" ht="18" customHeight="1">
      <c r="E387" s="171"/>
      <c r="V387" s="236"/>
    </row>
    <row r="388" spans="5:22" ht="18" customHeight="1">
      <c r="E388" s="171"/>
      <c r="V388" s="236"/>
    </row>
    <row r="389" spans="5:22" ht="18" customHeight="1">
      <c r="E389" s="171"/>
      <c r="V389" s="236"/>
    </row>
    <row r="390" spans="5:22" ht="18" customHeight="1">
      <c r="E390" s="171"/>
      <c r="V390" s="236"/>
    </row>
    <row r="391" spans="5:22" ht="18" customHeight="1">
      <c r="E391" s="171"/>
      <c r="V391" s="236"/>
    </row>
    <row r="392" spans="5:22" ht="18" customHeight="1">
      <c r="E392" s="171"/>
      <c r="V392" s="236"/>
    </row>
    <row r="393" spans="5:22" ht="18" customHeight="1">
      <c r="E393" s="171"/>
      <c r="V393" s="236"/>
    </row>
    <row r="394" spans="5:22" ht="18" customHeight="1">
      <c r="E394" s="171"/>
      <c r="V394" s="236"/>
    </row>
    <row r="395" spans="5:22" ht="18" customHeight="1">
      <c r="E395" s="171"/>
      <c r="V395" s="236"/>
    </row>
    <row r="396" spans="5:22" ht="18" customHeight="1">
      <c r="E396" s="171"/>
      <c r="V396" s="236"/>
    </row>
    <row r="397" spans="5:22" ht="18" customHeight="1">
      <c r="E397" s="171"/>
      <c r="V397" s="236"/>
    </row>
    <row r="398" spans="5:22" ht="18" customHeight="1">
      <c r="E398" s="171"/>
      <c r="V398" s="236"/>
    </row>
    <row r="399" spans="5:22" ht="18" customHeight="1">
      <c r="E399" s="171"/>
      <c r="V399" s="236"/>
    </row>
    <row r="400" spans="5:22" ht="18" customHeight="1">
      <c r="E400" s="171"/>
      <c r="V400" s="236"/>
    </row>
    <row r="401" spans="5:22" ht="18" customHeight="1">
      <c r="E401" s="171"/>
      <c r="V401" s="236"/>
    </row>
    <row r="402" spans="5:22" ht="18" customHeight="1">
      <c r="E402" s="171"/>
      <c r="V402" s="236"/>
    </row>
    <row r="403" spans="5:22" ht="18" customHeight="1">
      <c r="E403" s="171"/>
      <c r="V403" s="236"/>
    </row>
    <row r="404" spans="5:22" ht="18" customHeight="1">
      <c r="E404" s="171"/>
      <c r="V404" s="236"/>
    </row>
    <row r="405" spans="5:22" ht="18" customHeight="1">
      <c r="E405" s="171"/>
      <c r="V405" s="236"/>
    </row>
    <row r="406" spans="5:22" ht="18" customHeight="1">
      <c r="E406" s="171"/>
      <c r="V406" s="236"/>
    </row>
    <row r="407" spans="5:22" ht="18" customHeight="1">
      <c r="E407" s="171"/>
      <c r="V407" s="236"/>
    </row>
    <row r="408" spans="5:22" ht="18" customHeight="1">
      <c r="E408" s="171"/>
      <c r="V408" s="236"/>
    </row>
    <row r="409" spans="5:22" ht="18" customHeight="1">
      <c r="E409" s="171"/>
      <c r="V409" s="236"/>
    </row>
    <row r="410" spans="5:22" ht="18" customHeight="1">
      <c r="E410" s="171"/>
      <c r="V410" s="236"/>
    </row>
    <row r="411" spans="5:22" ht="18" customHeight="1">
      <c r="E411" s="171"/>
      <c r="V411" s="236"/>
    </row>
    <row r="412" spans="5:22" ht="18" customHeight="1">
      <c r="E412" s="171"/>
      <c r="V412" s="236"/>
    </row>
    <row r="413" spans="5:22" ht="18" customHeight="1">
      <c r="E413" s="171"/>
      <c r="V413" s="236"/>
    </row>
    <row r="414" spans="5:22" ht="18" customHeight="1">
      <c r="E414" s="171"/>
      <c r="V414" s="236"/>
    </row>
    <row r="415" spans="5:22" ht="18" customHeight="1">
      <c r="E415" s="171"/>
      <c r="V415" s="236"/>
    </row>
    <row r="416" spans="5:22" ht="18" customHeight="1">
      <c r="E416" s="171"/>
      <c r="V416" s="236"/>
    </row>
    <row r="417" spans="5:22" ht="18" customHeight="1">
      <c r="E417" s="171"/>
      <c r="V417" s="236"/>
    </row>
    <row r="418" spans="5:22" ht="18" customHeight="1">
      <c r="E418" s="171"/>
      <c r="V418" s="236"/>
    </row>
    <row r="419" spans="5:22" ht="18" customHeight="1">
      <c r="E419" s="171"/>
      <c r="V419" s="236"/>
    </row>
    <row r="420" spans="5:22" ht="18" customHeight="1">
      <c r="E420" s="171"/>
      <c r="V420" s="236"/>
    </row>
    <row r="421" spans="5:22" ht="18" customHeight="1">
      <c r="E421" s="171"/>
      <c r="V421" s="236"/>
    </row>
    <row r="422" spans="5:22" ht="18" customHeight="1">
      <c r="E422" s="171"/>
      <c r="V422" s="236"/>
    </row>
    <row r="423" spans="5:22" ht="18" customHeight="1">
      <c r="E423" s="171"/>
      <c r="V423" s="236"/>
    </row>
    <row r="424" spans="5:22" ht="18" customHeight="1">
      <c r="E424" s="171"/>
      <c r="V424" s="236"/>
    </row>
    <row r="425" spans="5:22" ht="18" customHeight="1">
      <c r="E425" s="171"/>
      <c r="V425" s="236"/>
    </row>
    <row r="426" spans="5:22" ht="18" customHeight="1">
      <c r="E426" s="171"/>
      <c r="V426" s="236"/>
    </row>
    <row r="427" spans="5:22" ht="18" customHeight="1">
      <c r="E427" s="171"/>
      <c r="V427" s="236"/>
    </row>
    <row r="428" spans="5:22" ht="18" customHeight="1">
      <c r="E428" s="171"/>
      <c r="V428" s="236"/>
    </row>
    <row r="429" spans="5:22" ht="18" customHeight="1">
      <c r="E429" s="171"/>
      <c r="V429" s="236"/>
    </row>
    <row r="430" spans="5:22" ht="18" customHeight="1">
      <c r="E430" s="171"/>
      <c r="V430" s="236"/>
    </row>
    <row r="431" spans="5:22" ht="18" customHeight="1">
      <c r="E431" s="171"/>
      <c r="V431" s="236"/>
    </row>
    <row r="432" spans="5:22" ht="18" customHeight="1">
      <c r="E432" s="171"/>
      <c r="V432" s="236"/>
    </row>
    <row r="433" spans="5:22" ht="18" customHeight="1">
      <c r="E433" s="171"/>
      <c r="V433" s="236"/>
    </row>
    <row r="434" spans="5:22" ht="18" customHeight="1">
      <c r="E434" s="171"/>
      <c r="V434" s="236"/>
    </row>
    <row r="435" spans="5:22" ht="18" customHeight="1">
      <c r="E435" s="171"/>
      <c r="V435" s="236"/>
    </row>
    <row r="436" spans="5:22" ht="18" customHeight="1">
      <c r="E436" s="171"/>
      <c r="V436" s="236"/>
    </row>
    <row r="437" spans="5:22" ht="18" customHeight="1">
      <c r="E437" s="171"/>
      <c r="V437" s="236"/>
    </row>
    <row r="438" spans="5:22" ht="18" customHeight="1">
      <c r="E438" s="171"/>
      <c r="V438" s="236"/>
    </row>
    <row r="439" spans="5:22" ht="18" customHeight="1">
      <c r="E439" s="171"/>
      <c r="V439" s="236"/>
    </row>
    <row r="440" spans="5:22" ht="18" customHeight="1">
      <c r="E440" s="171"/>
      <c r="V440" s="236"/>
    </row>
    <row r="441" spans="5:22" ht="18" customHeight="1">
      <c r="E441" s="171"/>
      <c r="V441" s="236"/>
    </row>
    <row r="442" spans="5:22" ht="18" customHeight="1">
      <c r="E442" s="171"/>
      <c r="V442" s="236"/>
    </row>
    <row r="443" spans="5:22" ht="18" customHeight="1">
      <c r="E443" s="171"/>
      <c r="V443" s="236"/>
    </row>
    <row r="444" spans="5:22" ht="18" customHeight="1">
      <c r="E444" s="171"/>
      <c r="V444" s="236"/>
    </row>
    <row r="445" spans="5:22" ht="18" customHeight="1">
      <c r="E445" s="171"/>
      <c r="V445" s="236"/>
    </row>
    <row r="446" spans="5:22" ht="18" customHeight="1">
      <c r="E446" s="171"/>
      <c r="V446" s="236"/>
    </row>
    <row r="447" spans="5:22" ht="18" customHeight="1">
      <c r="E447" s="171"/>
      <c r="V447" s="236"/>
    </row>
    <row r="448" spans="5:22" ht="18" customHeight="1">
      <c r="E448" s="171"/>
      <c r="V448" s="236"/>
    </row>
    <row r="449" spans="5:22" ht="18" customHeight="1">
      <c r="E449" s="171"/>
      <c r="V449" s="236"/>
    </row>
    <row r="450" spans="5:22" ht="18" customHeight="1">
      <c r="E450" s="171"/>
      <c r="V450" s="236"/>
    </row>
    <row r="451" spans="5:22" ht="18" customHeight="1">
      <c r="E451" s="171"/>
      <c r="V451" s="236"/>
    </row>
    <row r="452" spans="5:22" ht="18" customHeight="1">
      <c r="E452" s="171"/>
      <c r="V452" s="236"/>
    </row>
    <row r="453" spans="5:22" ht="18" customHeight="1">
      <c r="E453" s="171"/>
      <c r="V453" s="236"/>
    </row>
    <row r="454" spans="5:22" ht="18" customHeight="1">
      <c r="E454" s="171"/>
      <c r="V454" s="236"/>
    </row>
    <row r="455" spans="5:22" ht="18" customHeight="1">
      <c r="E455" s="171"/>
      <c r="V455" s="236"/>
    </row>
    <row r="456" spans="5:22" ht="18" customHeight="1">
      <c r="E456" s="171"/>
      <c r="V456" s="236"/>
    </row>
    <row r="457" spans="5:22" ht="18" customHeight="1">
      <c r="E457" s="171"/>
      <c r="V457" s="236"/>
    </row>
    <row r="458" spans="5:22" ht="18" customHeight="1">
      <c r="E458" s="171"/>
      <c r="V458" s="236"/>
    </row>
    <row r="459" spans="5:22" ht="18" customHeight="1">
      <c r="E459" s="171"/>
      <c r="V459" s="236"/>
    </row>
    <row r="460" spans="5:22" ht="18" customHeight="1">
      <c r="E460" s="171"/>
      <c r="V460" s="236"/>
    </row>
    <row r="461" spans="5:22" ht="18" customHeight="1">
      <c r="E461" s="171"/>
      <c r="V461" s="236"/>
    </row>
    <row r="462" spans="5:22" ht="18" customHeight="1">
      <c r="E462" s="171"/>
      <c r="V462" s="236"/>
    </row>
    <row r="463" spans="5:22" ht="18" customHeight="1">
      <c r="E463" s="171"/>
      <c r="V463" s="236"/>
    </row>
    <row r="464" spans="5:22" ht="18" customHeight="1">
      <c r="E464" s="171"/>
      <c r="V464" s="236"/>
    </row>
    <row r="465" spans="5:22" ht="18" customHeight="1">
      <c r="E465" s="171"/>
      <c r="V465" s="236"/>
    </row>
    <row r="466" spans="5:22" ht="18" customHeight="1">
      <c r="E466" s="171"/>
      <c r="V466" s="236"/>
    </row>
    <row r="467" spans="5:22" ht="18" customHeight="1">
      <c r="E467" s="171"/>
      <c r="V467" s="236"/>
    </row>
    <row r="468" spans="5:22" ht="18" customHeight="1">
      <c r="E468" s="171"/>
      <c r="V468" s="236"/>
    </row>
    <row r="469" spans="5:22" ht="18" customHeight="1">
      <c r="E469" s="171"/>
      <c r="V469" s="236"/>
    </row>
    <row r="470" spans="5:22" ht="18" customHeight="1">
      <c r="E470" s="171"/>
      <c r="V470" s="236"/>
    </row>
    <row r="471" spans="5:22" ht="18" customHeight="1">
      <c r="E471" s="171"/>
      <c r="V471" s="236"/>
    </row>
    <row r="472" spans="5:22" ht="18" customHeight="1">
      <c r="E472" s="171"/>
      <c r="V472" s="236"/>
    </row>
    <row r="473" spans="5:22" ht="18" customHeight="1">
      <c r="E473" s="171"/>
      <c r="V473" s="236"/>
    </row>
    <row r="474" spans="5:22" ht="18" customHeight="1">
      <c r="E474" s="171"/>
      <c r="V474" s="236"/>
    </row>
    <row r="475" spans="5:22" ht="18" customHeight="1">
      <c r="E475" s="171"/>
      <c r="V475" s="236"/>
    </row>
    <row r="476" spans="5:22" ht="18" customHeight="1">
      <c r="E476" s="171"/>
      <c r="V476" s="236"/>
    </row>
    <row r="477" spans="5:22" ht="18" customHeight="1">
      <c r="E477" s="171"/>
      <c r="V477" s="236"/>
    </row>
    <row r="478" spans="5:22" ht="18" customHeight="1">
      <c r="E478" s="171"/>
      <c r="V478" s="236"/>
    </row>
    <row r="479" spans="5:22" ht="18" customHeight="1">
      <c r="E479" s="171"/>
      <c r="V479" s="236"/>
    </row>
    <row r="480" spans="5:22" ht="18" customHeight="1">
      <c r="E480" s="171"/>
      <c r="V480" s="236"/>
    </row>
    <row r="481" spans="5:22" ht="18" customHeight="1">
      <c r="E481" s="171"/>
      <c r="V481" s="236"/>
    </row>
    <row r="482" spans="5:22" ht="18" customHeight="1">
      <c r="E482" s="171"/>
      <c r="V482" s="236"/>
    </row>
    <row r="483" spans="5:22" ht="18" customHeight="1">
      <c r="E483" s="171"/>
      <c r="V483" s="236"/>
    </row>
    <row r="484" spans="5:22" ht="18" customHeight="1">
      <c r="E484" s="171"/>
      <c r="V484" s="236"/>
    </row>
    <row r="485" spans="5:22" ht="18" customHeight="1">
      <c r="E485" s="171"/>
      <c r="V485" s="236"/>
    </row>
    <row r="486" spans="5:22" ht="18" customHeight="1">
      <c r="E486" s="171"/>
      <c r="V486" s="236"/>
    </row>
    <row r="487" spans="5:22" ht="18" customHeight="1">
      <c r="E487" s="171"/>
      <c r="V487" s="236"/>
    </row>
    <row r="488" spans="5:22" ht="18" customHeight="1">
      <c r="E488" s="171"/>
    </row>
    <row r="489" spans="5:22" ht="18" customHeight="1">
      <c r="E489" s="171"/>
    </row>
    <row r="490" spans="5:22" ht="18" customHeight="1">
      <c r="E490" s="171"/>
    </row>
    <row r="491" spans="5:22" ht="18" customHeight="1">
      <c r="E491" s="171"/>
    </row>
    <row r="492" spans="5:22" ht="18" customHeight="1">
      <c r="E492" s="171"/>
    </row>
    <row r="493" spans="5:22" ht="18" customHeight="1">
      <c r="E493" s="171"/>
    </row>
    <row r="494" spans="5:22" ht="18" customHeight="1">
      <c r="E494" s="171"/>
    </row>
    <row r="495" spans="5:22" ht="18" customHeight="1">
      <c r="E495" s="171"/>
    </row>
    <row r="496" spans="5:22" ht="18" customHeight="1">
      <c r="E496" s="171"/>
    </row>
    <row r="497" spans="5:5" ht="18" customHeight="1">
      <c r="E497" s="171"/>
    </row>
    <row r="498" spans="5:5" ht="18" customHeight="1">
      <c r="E498" s="171"/>
    </row>
    <row r="499" spans="5:5" ht="18" customHeight="1">
      <c r="E499" s="171"/>
    </row>
    <row r="500" spans="5:5" ht="18" customHeight="1">
      <c r="E500" s="171"/>
    </row>
    <row r="501" spans="5:5" ht="18" customHeight="1">
      <c r="E501" s="171"/>
    </row>
    <row r="502" spans="5:5" ht="18" customHeight="1">
      <c r="E502" s="171"/>
    </row>
    <row r="503" spans="5:5" ht="18" customHeight="1">
      <c r="E503" s="171"/>
    </row>
    <row r="504" spans="5:5" ht="18" customHeight="1">
      <c r="E504" s="171"/>
    </row>
    <row r="505" spans="5:5" ht="18" customHeight="1">
      <c r="E505" s="171"/>
    </row>
    <row r="506" spans="5:5" ht="18" customHeight="1">
      <c r="E506" s="171"/>
    </row>
    <row r="507" spans="5:5" ht="18" customHeight="1">
      <c r="E507" s="171"/>
    </row>
    <row r="508" spans="5:5" ht="18" customHeight="1">
      <c r="E508" s="171"/>
    </row>
    <row r="509" spans="5:5" ht="18" customHeight="1">
      <c r="E509" s="171"/>
    </row>
    <row r="510" spans="5:5" ht="18" customHeight="1">
      <c r="E510" s="171"/>
    </row>
    <row r="511" spans="5:5" ht="18" customHeight="1">
      <c r="E511" s="171"/>
    </row>
    <row r="512" spans="5:5" ht="18" customHeight="1">
      <c r="E512" s="171"/>
    </row>
    <row r="513" spans="5:5" ht="18" customHeight="1">
      <c r="E513" s="171"/>
    </row>
    <row r="514" spans="5:5" ht="18" customHeight="1">
      <c r="E514" s="171"/>
    </row>
    <row r="515" spans="5:5" ht="18" customHeight="1">
      <c r="E515" s="171"/>
    </row>
    <row r="516" spans="5:5" ht="18" customHeight="1">
      <c r="E516" s="171"/>
    </row>
    <row r="517" spans="5:5" ht="18" customHeight="1">
      <c r="E517" s="171"/>
    </row>
    <row r="518" spans="5:5" ht="18" customHeight="1">
      <c r="E518" s="171"/>
    </row>
    <row r="519" spans="5:5" ht="18" customHeight="1">
      <c r="E519" s="171"/>
    </row>
    <row r="520" spans="5:5" ht="18" customHeight="1">
      <c r="E520" s="171"/>
    </row>
    <row r="521" spans="5:5" ht="18" customHeight="1">
      <c r="E521" s="171"/>
    </row>
    <row r="522" spans="5:5" ht="18" customHeight="1">
      <c r="E522" s="171"/>
    </row>
    <row r="523" spans="5:5" ht="18" customHeight="1">
      <c r="E523" s="171"/>
    </row>
    <row r="524" spans="5:5" ht="18" customHeight="1">
      <c r="E524" s="171"/>
    </row>
    <row r="525" spans="5:5" ht="18" customHeight="1">
      <c r="E525" s="171"/>
    </row>
    <row r="526" spans="5:5" ht="18" customHeight="1">
      <c r="E526" s="171"/>
    </row>
    <row r="527" spans="5:5" ht="18" customHeight="1">
      <c r="E527" s="171"/>
    </row>
    <row r="528" spans="5:5" ht="18" customHeight="1">
      <c r="E528" s="171"/>
    </row>
    <row r="529" spans="5:5" ht="18" customHeight="1">
      <c r="E529" s="171"/>
    </row>
    <row r="530" spans="5:5" ht="18" customHeight="1">
      <c r="E530" s="171"/>
    </row>
    <row r="531" spans="5:5" ht="18" customHeight="1">
      <c r="E531" s="171"/>
    </row>
    <row r="532" spans="5:5" ht="18" customHeight="1">
      <c r="E532" s="171"/>
    </row>
    <row r="533" spans="5:5" ht="18" customHeight="1">
      <c r="E533" s="171"/>
    </row>
    <row r="534" spans="5:5" ht="18" customHeight="1">
      <c r="E534" s="171"/>
    </row>
    <row r="535" spans="5:5" ht="18" customHeight="1">
      <c r="E535" s="171"/>
    </row>
    <row r="536" spans="5:5" ht="18" customHeight="1">
      <c r="E536" s="171"/>
    </row>
    <row r="537" spans="5:5" ht="18" customHeight="1">
      <c r="E537" s="171"/>
    </row>
    <row r="538" spans="5:5" ht="18" customHeight="1">
      <c r="E538" s="171"/>
    </row>
    <row r="539" spans="5:5" ht="18" customHeight="1">
      <c r="E539" s="171"/>
    </row>
    <row r="540" spans="5:5" ht="18" customHeight="1">
      <c r="E540" s="171"/>
    </row>
    <row r="541" spans="5:5" ht="18" customHeight="1">
      <c r="E541" s="171"/>
    </row>
    <row r="542" spans="5:5" ht="18" customHeight="1">
      <c r="E542" s="171"/>
    </row>
    <row r="543" spans="5:5" ht="18" customHeight="1">
      <c r="E543" s="171"/>
    </row>
    <row r="544" spans="5:5" ht="18" customHeight="1">
      <c r="E544" s="171"/>
    </row>
    <row r="545" spans="5:5" ht="18" customHeight="1">
      <c r="E545" s="171"/>
    </row>
    <row r="546" spans="5:5" ht="18" customHeight="1">
      <c r="E546" s="171"/>
    </row>
    <row r="547" spans="5:5" ht="18" customHeight="1">
      <c r="E547" s="171"/>
    </row>
    <row r="548" spans="5:5" ht="18" customHeight="1">
      <c r="E548" s="171"/>
    </row>
    <row r="549" spans="5:5" ht="18" customHeight="1">
      <c r="E549" s="171"/>
    </row>
    <row r="550" spans="5:5" ht="18" customHeight="1">
      <c r="E550" s="171"/>
    </row>
    <row r="551" spans="5:5" ht="18" customHeight="1">
      <c r="E551" s="171"/>
    </row>
    <row r="552" spans="5:5" ht="18" customHeight="1">
      <c r="E552" s="171"/>
    </row>
    <row r="553" spans="5:5" ht="18" customHeight="1">
      <c r="E553" s="171"/>
    </row>
    <row r="554" spans="5:5" ht="18" customHeight="1">
      <c r="E554" s="171"/>
    </row>
    <row r="555" spans="5:5" ht="18" customHeight="1">
      <c r="E555" s="171"/>
    </row>
    <row r="556" spans="5:5" ht="18" customHeight="1">
      <c r="E556" s="171"/>
    </row>
    <row r="557" spans="5:5" ht="18" customHeight="1">
      <c r="E557" s="171"/>
    </row>
    <row r="558" spans="5:5" ht="18" customHeight="1">
      <c r="E558" s="171"/>
    </row>
    <row r="559" spans="5:5" ht="18" customHeight="1">
      <c r="E559" s="171"/>
    </row>
    <row r="560" spans="5:5" ht="18" customHeight="1">
      <c r="E560" s="171"/>
    </row>
    <row r="561" spans="5:5" ht="18" customHeight="1">
      <c r="E561" s="171"/>
    </row>
    <row r="562" spans="5:5" ht="18" customHeight="1">
      <c r="E562" s="171"/>
    </row>
    <row r="563" spans="5:5" ht="18" customHeight="1">
      <c r="E563" s="171"/>
    </row>
    <row r="564" spans="5:5" ht="18" customHeight="1">
      <c r="E564" s="171"/>
    </row>
    <row r="565" spans="5:5" ht="18" customHeight="1">
      <c r="E565" s="171"/>
    </row>
    <row r="566" spans="5:5" ht="18" customHeight="1">
      <c r="E566" s="171"/>
    </row>
    <row r="567" spans="5:5" ht="18" customHeight="1">
      <c r="E567" s="171"/>
    </row>
    <row r="568" spans="5:5" ht="18" customHeight="1">
      <c r="E568" s="171"/>
    </row>
    <row r="569" spans="5:5" ht="18" customHeight="1">
      <c r="E569" s="171"/>
    </row>
    <row r="570" spans="5:5" ht="18" customHeight="1">
      <c r="E570" s="171"/>
    </row>
    <row r="571" spans="5:5" ht="18" customHeight="1">
      <c r="E571" s="171"/>
    </row>
    <row r="572" spans="5:5" ht="18" customHeight="1">
      <c r="E572" s="171"/>
    </row>
    <row r="573" spans="5:5" ht="18" customHeight="1">
      <c r="E573" s="171"/>
    </row>
    <row r="574" spans="5:5" ht="18" customHeight="1">
      <c r="E574" s="171"/>
    </row>
    <row r="575" spans="5:5" ht="18" customHeight="1">
      <c r="E575" s="171"/>
    </row>
    <row r="576" spans="5:5" ht="18" customHeight="1">
      <c r="E576" s="171"/>
    </row>
    <row r="577" spans="5:5" ht="18" customHeight="1">
      <c r="E577" s="171"/>
    </row>
    <row r="578" spans="5:5" ht="18" customHeight="1">
      <c r="E578" s="171"/>
    </row>
    <row r="579" spans="5:5" ht="18" customHeight="1">
      <c r="E579" s="171"/>
    </row>
    <row r="580" spans="5:5" ht="18" customHeight="1">
      <c r="E580" s="171"/>
    </row>
    <row r="581" spans="5:5" ht="18" customHeight="1">
      <c r="E581" s="171"/>
    </row>
    <row r="582" spans="5:5" ht="18" customHeight="1">
      <c r="E582" s="171"/>
    </row>
    <row r="583" spans="5:5" ht="18" customHeight="1">
      <c r="E583" s="171"/>
    </row>
    <row r="584" spans="5:5" ht="18" customHeight="1">
      <c r="E584" s="171"/>
    </row>
    <row r="585" spans="5:5" ht="18" customHeight="1">
      <c r="E585" s="171"/>
    </row>
    <row r="586" spans="5:5" ht="18" customHeight="1">
      <c r="E586" s="171"/>
    </row>
    <row r="587" spans="5:5" ht="18" customHeight="1">
      <c r="E587" s="171"/>
    </row>
    <row r="588" spans="5:5" ht="18" customHeight="1">
      <c r="E588" s="171"/>
    </row>
    <row r="589" spans="5:5" ht="18" customHeight="1">
      <c r="E589" s="171"/>
    </row>
    <row r="590" spans="5:5" ht="18" customHeight="1">
      <c r="E590" s="171"/>
    </row>
    <row r="591" spans="5:5" ht="18" customHeight="1">
      <c r="E591" s="171"/>
    </row>
    <row r="592" spans="5:5" ht="18" customHeight="1">
      <c r="E592" s="171"/>
    </row>
    <row r="593" spans="5:5" ht="18" customHeight="1">
      <c r="E593" s="171"/>
    </row>
    <row r="594" spans="5:5" ht="18" customHeight="1">
      <c r="E594" s="171"/>
    </row>
    <row r="595" spans="5:5" ht="18" customHeight="1">
      <c r="E595" s="171"/>
    </row>
    <row r="596" spans="5:5" ht="18" customHeight="1">
      <c r="E596" s="171"/>
    </row>
    <row r="597" spans="5:5" ht="18" customHeight="1">
      <c r="E597" s="171"/>
    </row>
    <row r="598" spans="5:5" ht="18" customHeight="1">
      <c r="E598" s="171"/>
    </row>
    <row r="599" spans="5:5" ht="18" customHeight="1">
      <c r="E599" s="171"/>
    </row>
    <row r="600" spans="5:5" ht="18" customHeight="1">
      <c r="E600" s="171"/>
    </row>
    <row r="601" spans="5:5" ht="18" customHeight="1">
      <c r="E601" s="171"/>
    </row>
    <row r="602" spans="5:5" ht="18" customHeight="1">
      <c r="E602" s="171"/>
    </row>
    <row r="603" spans="5:5" ht="18" customHeight="1">
      <c r="E603" s="171"/>
    </row>
    <row r="604" spans="5:5" ht="18" customHeight="1">
      <c r="E604" s="171"/>
    </row>
    <row r="605" spans="5:5" ht="18" customHeight="1">
      <c r="E605" s="171"/>
    </row>
    <row r="606" spans="5:5" ht="18" customHeight="1">
      <c r="E606" s="171"/>
    </row>
    <row r="607" spans="5:5" ht="18" customHeight="1">
      <c r="E607" s="171"/>
    </row>
    <row r="608" spans="5:5" ht="18" customHeight="1">
      <c r="E608" s="171"/>
    </row>
    <row r="609" spans="5:5" ht="18" customHeight="1">
      <c r="E609" s="171"/>
    </row>
    <row r="610" spans="5:5" ht="18" customHeight="1">
      <c r="E610" s="171"/>
    </row>
    <row r="611" spans="5:5" ht="18" customHeight="1">
      <c r="E611" s="171"/>
    </row>
    <row r="612" spans="5:5" ht="18" customHeight="1">
      <c r="E612" s="171"/>
    </row>
    <row r="613" spans="5:5" ht="18" customHeight="1">
      <c r="E613" s="171"/>
    </row>
    <row r="614" spans="5:5" ht="18" customHeight="1">
      <c r="E614" s="171"/>
    </row>
    <row r="615" spans="5:5" ht="18" customHeight="1">
      <c r="E615" s="171"/>
    </row>
    <row r="616" spans="5:5" ht="18" customHeight="1">
      <c r="E616" s="171"/>
    </row>
    <row r="617" spans="5:5" ht="18" customHeight="1">
      <c r="E617" s="171"/>
    </row>
    <row r="618" spans="5:5" ht="18" customHeight="1">
      <c r="E618" s="171"/>
    </row>
    <row r="619" spans="5:5" ht="18" customHeight="1">
      <c r="E619" s="171"/>
    </row>
    <row r="620" spans="5:5" ht="18" customHeight="1">
      <c r="E620" s="171"/>
    </row>
    <row r="621" spans="5:5" ht="18" customHeight="1">
      <c r="E621" s="171"/>
    </row>
    <row r="622" spans="5:5" ht="18" customHeight="1">
      <c r="E622" s="171"/>
    </row>
    <row r="623" spans="5:5" ht="18" customHeight="1">
      <c r="E623" s="171"/>
    </row>
    <row r="624" spans="5:5" ht="18" customHeight="1">
      <c r="E624" s="171"/>
    </row>
    <row r="625" spans="5:5" ht="18" customHeight="1">
      <c r="E625" s="171"/>
    </row>
    <row r="626" spans="5:5" ht="18" customHeight="1">
      <c r="E626" s="171"/>
    </row>
    <row r="627" spans="5:5" ht="18" customHeight="1">
      <c r="E627" s="171"/>
    </row>
    <row r="628" spans="5:5" ht="18" customHeight="1">
      <c r="E628" s="171"/>
    </row>
    <row r="629" spans="5:5" ht="18" customHeight="1">
      <c r="E629" s="171"/>
    </row>
    <row r="630" spans="5:5" ht="18" customHeight="1">
      <c r="E630" s="171"/>
    </row>
    <row r="631" spans="5:5" ht="18" customHeight="1">
      <c r="E631" s="171"/>
    </row>
    <row r="632" spans="5:5" ht="18" customHeight="1">
      <c r="E632" s="171"/>
    </row>
    <row r="633" spans="5:5" ht="18" customHeight="1">
      <c r="E633" s="171"/>
    </row>
    <row r="634" spans="5:5" ht="18" customHeight="1">
      <c r="E634" s="171"/>
    </row>
    <row r="635" spans="5:5" ht="18" customHeight="1">
      <c r="E635" s="171"/>
    </row>
    <row r="636" spans="5:5" ht="18" customHeight="1">
      <c r="E636" s="171"/>
    </row>
    <row r="637" spans="5:5" ht="18" customHeight="1">
      <c r="E637" s="171"/>
    </row>
    <row r="638" spans="5:5" ht="18" customHeight="1">
      <c r="E638" s="171"/>
    </row>
    <row r="639" spans="5:5" ht="18" customHeight="1">
      <c r="E639" s="171"/>
    </row>
    <row r="640" spans="5:5" ht="18" customHeight="1">
      <c r="E640" s="171"/>
    </row>
    <row r="641" spans="5:5" ht="18" customHeight="1">
      <c r="E641" s="171"/>
    </row>
    <row r="642" spans="5:5" ht="18" customHeight="1">
      <c r="E642" s="171"/>
    </row>
    <row r="643" spans="5:5" ht="18" customHeight="1">
      <c r="E643" s="171"/>
    </row>
    <row r="644" spans="5:5" ht="18" customHeight="1">
      <c r="E644" s="171"/>
    </row>
    <row r="645" spans="5:5" ht="18" customHeight="1">
      <c r="E645" s="171"/>
    </row>
    <row r="646" spans="5:5" ht="18" customHeight="1">
      <c r="E646" s="171"/>
    </row>
    <row r="647" spans="5:5" ht="18" customHeight="1">
      <c r="E647" s="171"/>
    </row>
    <row r="648" spans="5:5" ht="18" customHeight="1">
      <c r="E648" s="171"/>
    </row>
    <row r="649" spans="5:5" ht="18" customHeight="1">
      <c r="E649" s="171"/>
    </row>
    <row r="650" spans="5:5" ht="18" customHeight="1">
      <c r="E650" s="171"/>
    </row>
    <row r="651" spans="5:5" ht="18" customHeight="1">
      <c r="E651" s="171"/>
    </row>
    <row r="652" spans="5:5" ht="18" customHeight="1">
      <c r="E652" s="171"/>
    </row>
    <row r="653" spans="5:5" ht="18" customHeight="1">
      <c r="E653" s="171"/>
    </row>
    <row r="654" spans="5:5" ht="18" customHeight="1">
      <c r="E654" s="171"/>
    </row>
    <row r="655" spans="5:5" ht="18" customHeight="1">
      <c r="E655" s="171"/>
    </row>
    <row r="656" spans="5:5" ht="18" customHeight="1">
      <c r="E656" s="171"/>
    </row>
    <row r="657" spans="5:5" ht="18" customHeight="1">
      <c r="E657" s="171"/>
    </row>
    <row r="658" spans="5:5" ht="18" customHeight="1">
      <c r="E658" s="171"/>
    </row>
    <row r="659" spans="5:5" ht="18" customHeight="1">
      <c r="E659" s="171"/>
    </row>
    <row r="660" spans="5:5" ht="18" customHeight="1">
      <c r="E660" s="171"/>
    </row>
    <row r="661" spans="5:5" ht="18" customHeight="1">
      <c r="E661" s="171"/>
    </row>
    <row r="662" spans="5:5" ht="18" customHeight="1">
      <c r="E662" s="171"/>
    </row>
    <row r="663" spans="5:5" ht="18" customHeight="1">
      <c r="E663" s="171"/>
    </row>
    <row r="664" spans="5:5" ht="18" customHeight="1">
      <c r="E664" s="171"/>
    </row>
    <row r="665" spans="5:5" ht="18" customHeight="1">
      <c r="E665" s="171"/>
    </row>
    <row r="666" spans="5:5" ht="18" customHeight="1">
      <c r="E666" s="171"/>
    </row>
    <row r="667" spans="5:5" ht="18" customHeight="1">
      <c r="E667" s="171"/>
    </row>
    <row r="668" spans="5:5" ht="18" customHeight="1">
      <c r="E668" s="171"/>
    </row>
    <row r="669" spans="5:5" ht="18" customHeight="1">
      <c r="E669" s="171"/>
    </row>
    <row r="670" spans="5:5" ht="18" customHeight="1">
      <c r="E670" s="171"/>
    </row>
    <row r="671" spans="5:5" ht="18" customHeight="1">
      <c r="E671" s="171"/>
    </row>
    <row r="672" spans="5:5" ht="18" customHeight="1">
      <c r="E672" s="171"/>
    </row>
    <row r="673" spans="5:5" ht="18" customHeight="1">
      <c r="E673" s="171"/>
    </row>
    <row r="674" spans="5:5" ht="18" customHeight="1">
      <c r="E674" s="171"/>
    </row>
    <row r="675" spans="5:5" ht="18" customHeight="1">
      <c r="E675" s="171"/>
    </row>
    <row r="676" spans="5:5" ht="18" customHeight="1">
      <c r="E676" s="171"/>
    </row>
    <row r="677" spans="5:5" ht="18" customHeight="1">
      <c r="E677" s="171"/>
    </row>
    <row r="678" spans="5:5" ht="18" customHeight="1">
      <c r="E678" s="171"/>
    </row>
    <row r="679" spans="5:5" ht="18" customHeight="1">
      <c r="E679" s="171"/>
    </row>
    <row r="680" spans="5:5" ht="18" customHeight="1">
      <c r="E680" s="171"/>
    </row>
    <row r="681" spans="5:5" ht="18" customHeight="1">
      <c r="E681" s="171"/>
    </row>
    <row r="682" spans="5:5" ht="18" customHeight="1">
      <c r="E682" s="171"/>
    </row>
    <row r="683" spans="5:5" ht="18" customHeight="1">
      <c r="E683" s="171"/>
    </row>
    <row r="684" spans="5:5" ht="18" customHeight="1">
      <c r="E684" s="171"/>
    </row>
    <row r="685" spans="5:5" ht="18" customHeight="1">
      <c r="E685" s="171"/>
    </row>
    <row r="686" spans="5:5" ht="18" customHeight="1">
      <c r="E686" s="171"/>
    </row>
    <row r="687" spans="5:5" ht="18" customHeight="1">
      <c r="E687" s="171"/>
    </row>
    <row r="688" spans="5:5" ht="18" customHeight="1">
      <c r="E688" s="171"/>
    </row>
    <row r="689" spans="5:5" ht="18" customHeight="1">
      <c r="E689" s="171"/>
    </row>
    <row r="690" spans="5:5" ht="18" customHeight="1">
      <c r="E690" s="171"/>
    </row>
    <row r="691" spans="5:5" ht="18" customHeight="1">
      <c r="E691" s="171"/>
    </row>
    <row r="692" spans="5:5" ht="18" customHeight="1">
      <c r="E692" s="171"/>
    </row>
    <row r="693" spans="5:5" ht="18" customHeight="1">
      <c r="E693" s="171"/>
    </row>
    <row r="694" spans="5:5" ht="18" customHeight="1">
      <c r="E694" s="171"/>
    </row>
    <row r="695" spans="5:5" ht="18" customHeight="1">
      <c r="E695" s="171"/>
    </row>
    <row r="696" spans="5:5" ht="18" customHeight="1">
      <c r="E696" s="171"/>
    </row>
    <row r="697" spans="5:5" ht="18" customHeight="1">
      <c r="E697" s="171"/>
    </row>
    <row r="698" spans="5:5" ht="18" customHeight="1">
      <c r="E698" s="171"/>
    </row>
    <row r="699" spans="5:5" ht="18" customHeight="1">
      <c r="E699" s="171"/>
    </row>
    <row r="700" spans="5:5" ht="18" customHeight="1">
      <c r="E700" s="171"/>
    </row>
    <row r="701" spans="5:5" ht="18" customHeight="1">
      <c r="E701" s="171"/>
    </row>
    <row r="702" spans="5:5" ht="18" customHeight="1">
      <c r="E702" s="171"/>
    </row>
    <row r="703" spans="5:5" ht="18" customHeight="1">
      <c r="E703" s="171"/>
    </row>
    <row r="704" spans="5:5" ht="18" customHeight="1">
      <c r="E704" s="171"/>
    </row>
    <row r="705" spans="5:5" ht="18" customHeight="1">
      <c r="E705" s="171"/>
    </row>
    <row r="706" spans="5:5" ht="18" customHeight="1">
      <c r="E706" s="171"/>
    </row>
    <row r="707" spans="5:5" ht="18" customHeight="1">
      <c r="E707" s="171"/>
    </row>
    <row r="708" spans="5:5" ht="18" customHeight="1">
      <c r="E708" s="171"/>
    </row>
    <row r="709" spans="5:5" ht="18" customHeight="1">
      <c r="E709" s="171"/>
    </row>
    <row r="710" spans="5:5" ht="18" customHeight="1">
      <c r="E710" s="171"/>
    </row>
    <row r="711" spans="5:5" ht="18" customHeight="1">
      <c r="E711" s="171"/>
    </row>
    <row r="712" spans="5:5" ht="18" customHeight="1">
      <c r="E712" s="171"/>
    </row>
    <row r="713" spans="5:5" ht="18" customHeight="1">
      <c r="E713" s="171"/>
    </row>
    <row r="714" spans="5:5" ht="18" customHeight="1">
      <c r="E714" s="171"/>
    </row>
    <row r="715" spans="5:5" ht="18" customHeight="1">
      <c r="E715" s="171"/>
    </row>
    <row r="716" spans="5:5" ht="18" customHeight="1">
      <c r="E716" s="171"/>
    </row>
    <row r="717" spans="5:5" ht="18" customHeight="1">
      <c r="E717" s="171"/>
    </row>
    <row r="718" spans="5:5" ht="18" customHeight="1">
      <c r="E718" s="171"/>
    </row>
    <row r="719" spans="5:5" ht="18" customHeight="1">
      <c r="E719" s="171"/>
    </row>
    <row r="720" spans="5:5" ht="18" customHeight="1">
      <c r="E720" s="171"/>
    </row>
    <row r="721" spans="5:5" ht="18" customHeight="1">
      <c r="E721" s="171"/>
    </row>
    <row r="722" spans="5:5" ht="18" customHeight="1">
      <c r="E722" s="171"/>
    </row>
    <row r="723" spans="5:5" ht="18" customHeight="1">
      <c r="E723" s="171"/>
    </row>
    <row r="724" spans="5:5" ht="18" customHeight="1">
      <c r="E724" s="171"/>
    </row>
    <row r="725" spans="5:5" ht="18" customHeight="1">
      <c r="E725" s="171"/>
    </row>
    <row r="726" spans="5:5" ht="18" customHeight="1">
      <c r="E726" s="171"/>
    </row>
    <row r="727" spans="5:5" ht="18" customHeight="1">
      <c r="E727" s="171"/>
    </row>
    <row r="728" spans="5:5" ht="18" customHeight="1">
      <c r="E728" s="171"/>
    </row>
    <row r="729" spans="5:5" ht="18" customHeight="1">
      <c r="E729" s="171"/>
    </row>
    <row r="730" spans="5:5" ht="18" customHeight="1">
      <c r="E730" s="171"/>
    </row>
    <row r="731" spans="5:5" ht="18" customHeight="1">
      <c r="E731" s="171"/>
    </row>
    <row r="732" spans="5:5" ht="18" customHeight="1">
      <c r="E732" s="171"/>
    </row>
    <row r="733" spans="5:5" ht="18" customHeight="1">
      <c r="E733" s="171"/>
    </row>
    <row r="734" spans="5:5" ht="18" customHeight="1">
      <c r="E734" s="171"/>
    </row>
    <row r="735" spans="5:5" ht="18" customHeight="1">
      <c r="E735" s="171"/>
    </row>
    <row r="736" spans="5:5" ht="18" customHeight="1">
      <c r="E736" s="171"/>
    </row>
    <row r="737" spans="5:5" ht="18" customHeight="1">
      <c r="E737" s="171"/>
    </row>
    <row r="738" spans="5:5" ht="18" customHeight="1">
      <c r="E738" s="171"/>
    </row>
    <row r="739" spans="5:5" ht="18" customHeight="1">
      <c r="E739" s="171"/>
    </row>
    <row r="740" spans="5:5" ht="18" customHeight="1">
      <c r="E740" s="171"/>
    </row>
    <row r="741" spans="5:5" ht="18" customHeight="1">
      <c r="E741" s="171"/>
    </row>
    <row r="742" spans="5:5" ht="18" customHeight="1">
      <c r="E742" s="171"/>
    </row>
    <row r="743" spans="5:5" ht="18" customHeight="1">
      <c r="E743" s="171"/>
    </row>
    <row r="744" spans="5:5" ht="18" customHeight="1">
      <c r="E744" s="171"/>
    </row>
    <row r="745" spans="5:5" ht="18" customHeight="1">
      <c r="E745" s="171"/>
    </row>
    <row r="746" spans="5:5" ht="18" customHeight="1">
      <c r="E746" s="171"/>
    </row>
    <row r="747" spans="5:5" ht="18" customHeight="1">
      <c r="E747" s="171"/>
    </row>
    <row r="748" spans="5:5" ht="18" customHeight="1">
      <c r="E748" s="171"/>
    </row>
    <row r="749" spans="5:5" ht="18" customHeight="1">
      <c r="E749" s="171"/>
    </row>
    <row r="750" spans="5:5" ht="18" customHeight="1">
      <c r="E750" s="171"/>
    </row>
    <row r="751" spans="5:5" ht="18" customHeight="1">
      <c r="E751" s="171"/>
    </row>
    <row r="752" spans="5:5" ht="18" customHeight="1">
      <c r="E752" s="171"/>
    </row>
    <row r="753" spans="5:5" ht="18" customHeight="1">
      <c r="E753" s="171"/>
    </row>
    <row r="754" spans="5:5" ht="18" customHeight="1">
      <c r="E754" s="171"/>
    </row>
    <row r="755" spans="5:5" ht="18" customHeight="1">
      <c r="E755" s="171"/>
    </row>
    <row r="756" spans="5:5" ht="18" customHeight="1">
      <c r="E756" s="171"/>
    </row>
    <row r="757" spans="5:5" ht="18" customHeight="1">
      <c r="E757" s="171"/>
    </row>
    <row r="758" spans="5:5" ht="18" customHeight="1">
      <c r="E758" s="171"/>
    </row>
    <row r="759" spans="5:5" ht="18" customHeight="1">
      <c r="E759" s="171"/>
    </row>
    <row r="760" spans="5:5" ht="18" customHeight="1">
      <c r="E760" s="171"/>
    </row>
    <row r="761" spans="5:5" ht="18" customHeight="1">
      <c r="E761" s="171"/>
    </row>
    <row r="762" spans="5:5" ht="18" customHeight="1">
      <c r="E762" s="171"/>
    </row>
    <row r="763" spans="5:5" ht="18" customHeight="1">
      <c r="E763" s="171"/>
    </row>
    <row r="764" spans="5:5" ht="18" customHeight="1">
      <c r="E764" s="171"/>
    </row>
    <row r="765" spans="5:5" ht="18" customHeight="1">
      <c r="E765" s="171"/>
    </row>
    <row r="766" spans="5:5" ht="18" customHeight="1">
      <c r="E766" s="171"/>
    </row>
    <row r="767" spans="5:5" ht="18" customHeight="1">
      <c r="E767" s="171"/>
    </row>
    <row r="768" spans="5:5" ht="18" customHeight="1">
      <c r="E768" s="171"/>
    </row>
    <row r="769" spans="5:5" ht="18" customHeight="1">
      <c r="E769" s="171"/>
    </row>
    <row r="770" spans="5:5" ht="18" customHeight="1">
      <c r="E770" s="171"/>
    </row>
    <row r="771" spans="5:5" ht="18" customHeight="1">
      <c r="E771" s="171"/>
    </row>
    <row r="772" spans="5:5" ht="18" customHeight="1">
      <c r="E772" s="171"/>
    </row>
    <row r="773" spans="5:5" ht="18" customHeight="1">
      <c r="E773" s="171"/>
    </row>
    <row r="774" spans="5:5" ht="18" customHeight="1">
      <c r="E774" s="171"/>
    </row>
    <row r="775" spans="5:5" ht="18" customHeight="1">
      <c r="E775" s="171"/>
    </row>
    <row r="776" spans="5:5" ht="18" customHeight="1">
      <c r="E776" s="171"/>
    </row>
    <row r="777" spans="5:5" ht="18" customHeight="1">
      <c r="E777" s="171"/>
    </row>
    <row r="778" spans="5:5" ht="18" customHeight="1">
      <c r="E778" s="171"/>
    </row>
    <row r="779" spans="5:5" ht="18" customHeight="1">
      <c r="E779" s="171"/>
    </row>
    <row r="780" spans="5:5" ht="18" customHeight="1">
      <c r="E780" s="171"/>
    </row>
    <row r="781" spans="5:5" ht="18" customHeight="1">
      <c r="E781" s="171"/>
    </row>
    <row r="782" spans="5:5" ht="18" customHeight="1">
      <c r="E782" s="171"/>
    </row>
    <row r="783" spans="5:5" ht="18" customHeight="1">
      <c r="E783" s="171"/>
    </row>
    <row r="784" spans="5:5" ht="18" customHeight="1">
      <c r="E784" s="171"/>
    </row>
    <row r="785" spans="5:5" ht="18" customHeight="1">
      <c r="E785" s="171"/>
    </row>
    <row r="786" spans="5:5" ht="18" customHeight="1">
      <c r="E786" s="171"/>
    </row>
    <row r="787" spans="5:5" ht="18" customHeight="1">
      <c r="E787" s="171"/>
    </row>
    <row r="788" spans="5:5" ht="18" customHeight="1">
      <c r="E788" s="171"/>
    </row>
    <row r="789" spans="5:5" ht="18" customHeight="1">
      <c r="E789" s="171"/>
    </row>
    <row r="790" spans="5:5" ht="18" customHeight="1">
      <c r="E790" s="171"/>
    </row>
    <row r="791" spans="5:5" ht="18" customHeight="1">
      <c r="E791" s="171"/>
    </row>
    <row r="792" spans="5:5" ht="18" customHeight="1">
      <c r="E792" s="171"/>
    </row>
    <row r="793" spans="5:5" ht="18" customHeight="1">
      <c r="E793" s="171"/>
    </row>
    <row r="794" spans="5:5" ht="18" customHeight="1">
      <c r="E794" s="171"/>
    </row>
    <row r="795" spans="5:5" ht="18" customHeight="1">
      <c r="E795" s="171"/>
    </row>
    <row r="796" spans="5:5" ht="18" customHeight="1">
      <c r="E796" s="171"/>
    </row>
    <row r="797" spans="5:5" ht="18" customHeight="1">
      <c r="E797" s="171"/>
    </row>
    <row r="798" spans="5:5" ht="18" customHeight="1">
      <c r="E798" s="171"/>
    </row>
    <row r="799" spans="5:5" ht="18" customHeight="1">
      <c r="E799" s="171"/>
    </row>
    <row r="800" spans="5:5" ht="18" customHeight="1">
      <c r="E800" s="171"/>
    </row>
    <row r="801" spans="5:5" ht="18" customHeight="1">
      <c r="E801" s="171"/>
    </row>
    <row r="802" spans="5:5" ht="18" customHeight="1">
      <c r="E802" s="171"/>
    </row>
    <row r="803" spans="5:5" ht="18" customHeight="1">
      <c r="E803" s="171"/>
    </row>
    <row r="804" spans="5:5" ht="18" customHeight="1">
      <c r="E804" s="171"/>
    </row>
    <row r="805" spans="5:5" ht="18" customHeight="1">
      <c r="E805" s="171"/>
    </row>
    <row r="806" spans="5:5" ht="18" customHeight="1">
      <c r="E806" s="171"/>
    </row>
    <row r="807" spans="5:5" ht="18" customHeight="1">
      <c r="E807" s="171"/>
    </row>
    <row r="808" spans="5:5" ht="18" customHeight="1">
      <c r="E808" s="171"/>
    </row>
    <row r="809" spans="5:5" ht="18" customHeight="1">
      <c r="E809" s="171"/>
    </row>
    <row r="810" spans="5:5" ht="18" customHeight="1">
      <c r="E810" s="171"/>
    </row>
    <row r="811" spans="5:5" ht="18" customHeight="1">
      <c r="E811" s="171"/>
    </row>
    <row r="812" spans="5:5" ht="18" customHeight="1">
      <c r="E812" s="171"/>
    </row>
    <row r="813" spans="5:5" ht="18" customHeight="1">
      <c r="E813" s="171"/>
    </row>
    <row r="814" spans="5:5" ht="18" customHeight="1">
      <c r="E814" s="171"/>
    </row>
    <row r="815" spans="5:5" ht="18" customHeight="1">
      <c r="E815" s="171"/>
    </row>
    <row r="816" spans="5:5" ht="18" customHeight="1">
      <c r="E816" s="171"/>
    </row>
    <row r="817" spans="5:5" ht="18" customHeight="1">
      <c r="E817" s="171"/>
    </row>
    <row r="818" spans="5:5" ht="18" customHeight="1">
      <c r="E818" s="171"/>
    </row>
    <row r="819" spans="5:5" ht="18" customHeight="1">
      <c r="E819" s="171"/>
    </row>
    <row r="820" spans="5:5" ht="18" customHeight="1">
      <c r="E820" s="171"/>
    </row>
    <row r="821" spans="5:5" ht="18" customHeight="1">
      <c r="E821" s="171"/>
    </row>
    <row r="822" spans="5:5" ht="18" customHeight="1">
      <c r="E822" s="171"/>
    </row>
    <row r="823" spans="5:5" ht="18" customHeight="1">
      <c r="E823" s="171"/>
    </row>
    <row r="824" spans="5:5" ht="18" customHeight="1">
      <c r="E824" s="171"/>
    </row>
    <row r="825" spans="5:5" ht="18" customHeight="1">
      <c r="E825" s="171"/>
    </row>
    <row r="826" spans="5:5" ht="18" customHeight="1">
      <c r="E826" s="171"/>
    </row>
    <row r="827" spans="5:5" ht="18" customHeight="1">
      <c r="E827" s="171"/>
    </row>
    <row r="828" spans="5:5" ht="18" customHeight="1">
      <c r="E828" s="171"/>
    </row>
    <row r="829" spans="5:5" ht="18" customHeight="1">
      <c r="E829" s="171"/>
    </row>
    <row r="830" spans="5:5" ht="18" customHeight="1">
      <c r="E830" s="171"/>
    </row>
    <row r="831" spans="5:5" ht="18" customHeight="1">
      <c r="E831" s="171"/>
    </row>
    <row r="832" spans="5:5" ht="18" customHeight="1">
      <c r="E832" s="171"/>
    </row>
    <row r="833" spans="5:5" ht="18" customHeight="1">
      <c r="E833" s="171"/>
    </row>
    <row r="834" spans="5:5" ht="18" customHeight="1">
      <c r="E834" s="171"/>
    </row>
    <row r="835" spans="5:5" ht="18" customHeight="1">
      <c r="E835" s="171"/>
    </row>
    <row r="836" spans="5:5" ht="18" customHeight="1">
      <c r="E836" s="171"/>
    </row>
    <row r="837" spans="5:5" ht="18" customHeight="1">
      <c r="E837" s="171"/>
    </row>
    <row r="838" spans="5:5" ht="18" customHeight="1">
      <c r="E838" s="171"/>
    </row>
    <row r="839" spans="5:5" ht="18" customHeight="1">
      <c r="E839" s="171"/>
    </row>
    <row r="840" spans="5:5" ht="18" customHeight="1">
      <c r="E840" s="171"/>
    </row>
    <row r="841" spans="5:5" ht="18" customHeight="1">
      <c r="E841" s="171"/>
    </row>
    <row r="842" spans="5:5" ht="18" customHeight="1">
      <c r="E842" s="171"/>
    </row>
    <row r="843" spans="5:5" ht="18" customHeight="1">
      <c r="E843" s="171"/>
    </row>
    <row r="844" spans="5:5" ht="18" customHeight="1">
      <c r="E844" s="171"/>
    </row>
    <row r="845" spans="5:5" ht="18" customHeight="1">
      <c r="E845" s="171"/>
    </row>
    <row r="846" spans="5:5" ht="18" customHeight="1">
      <c r="E846" s="171"/>
    </row>
    <row r="847" spans="5:5" ht="18" customHeight="1">
      <c r="E847" s="171"/>
    </row>
    <row r="848" spans="5:5" ht="18" customHeight="1">
      <c r="E848" s="171"/>
    </row>
    <row r="849" spans="5:5" ht="18" customHeight="1">
      <c r="E849" s="171"/>
    </row>
    <row r="850" spans="5:5" ht="18" customHeight="1">
      <c r="E850" s="171"/>
    </row>
    <row r="851" spans="5:5" ht="18" customHeight="1">
      <c r="E851" s="171"/>
    </row>
    <row r="852" spans="5:5" ht="18" customHeight="1">
      <c r="E852" s="171"/>
    </row>
    <row r="853" spans="5:5" ht="18" customHeight="1">
      <c r="E853" s="171"/>
    </row>
    <row r="854" spans="5:5" ht="18" customHeight="1">
      <c r="E854" s="171"/>
    </row>
    <row r="855" spans="5:5" ht="18" customHeight="1">
      <c r="E855" s="171"/>
    </row>
    <row r="856" spans="5:5" ht="18" customHeight="1">
      <c r="E856" s="171"/>
    </row>
    <row r="857" spans="5:5" ht="18" customHeight="1">
      <c r="E857" s="171"/>
    </row>
    <row r="858" spans="5:5" ht="18" customHeight="1">
      <c r="E858" s="171"/>
    </row>
    <row r="859" spans="5:5" ht="18" customHeight="1">
      <c r="E859" s="171"/>
    </row>
    <row r="860" spans="5:5" ht="18" customHeight="1">
      <c r="E860" s="171"/>
    </row>
    <row r="861" spans="5:5" ht="18" customHeight="1">
      <c r="E861" s="171"/>
    </row>
    <row r="862" spans="5:5" ht="18" customHeight="1">
      <c r="E862" s="171"/>
    </row>
    <row r="863" spans="5:5" ht="18" customHeight="1">
      <c r="E863" s="171"/>
    </row>
    <row r="864" spans="5:5" ht="18" customHeight="1">
      <c r="E864" s="171"/>
    </row>
    <row r="865" spans="5:5" ht="18" customHeight="1">
      <c r="E865" s="171"/>
    </row>
  </sheetData>
  <mergeCells count="23">
    <mergeCell ref="C7:D7"/>
    <mergeCell ref="C3:D3"/>
    <mergeCell ref="C18:D19"/>
    <mergeCell ref="C9:D9"/>
    <mergeCell ref="C8:D8"/>
    <mergeCell ref="C4:D4"/>
    <mergeCell ref="C5:D5"/>
    <mergeCell ref="C6:D6"/>
    <mergeCell ref="C10:D10"/>
    <mergeCell ref="C11:D11"/>
    <mergeCell ref="U62:U63"/>
    <mergeCell ref="V62:V63"/>
    <mergeCell ref="W62:W63"/>
    <mergeCell ref="AF62:AF63"/>
    <mergeCell ref="R18:R19"/>
    <mergeCell ref="T62:T63"/>
    <mergeCell ref="E18:E19"/>
    <mergeCell ref="L3:P3"/>
    <mergeCell ref="L4:P4"/>
    <mergeCell ref="L5:P5"/>
    <mergeCell ref="L6:P6"/>
    <mergeCell ref="L7:P7"/>
    <mergeCell ref="L8:P8"/>
  </mergeCells>
  <phoneticPr fontId="14" type="noConversion"/>
  <conditionalFormatting sqref="AB20:AB51">
    <cfRule type="cellIs" dxfId="51" priority="1" stopIfTrue="1" operator="notEqual">
      <formula>0</formula>
    </cfRule>
  </conditionalFormatting>
  <pageMargins left="0.75" right="0.75" top="1" bottom="1" header="0.5" footer="0.5"/>
  <pageSetup paperSize="9" scale="57" orientation="landscape" horizontalDpi="4294967292" r:id="rId1"/>
  <headerFooter alignWithMargins="0"/>
  <rowBreaks count="3" manualBreakCount="3">
    <brk id="28" min="19" max="31" man="1"/>
    <brk id="39" min="19" max="31" man="1"/>
    <brk id="58" min="19" max="31" man="1"/>
  </rowBreaks>
  <colBreaks count="1" manualBreakCount="1">
    <brk id="19" max="116" man="1"/>
  </colBreaks>
  <ignoredErrors>
    <ignoredError sqref="AC51 AC45:AC50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83" r:id="rId4" name="Group Box 31">
              <controlPr defaultSize="0" autoFill="0" autoPict="0">
                <anchor moveWithCells="1" sizeWithCells="1">
                  <from>
                    <xdr:col>8</xdr:col>
                    <xdr:colOff>28575</xdr:colOff>
                    <xdr:row>1</xdr:row>
                    <xdr:rowOff>228600</xdr:rowOff>
                  </from>
                  <to>
                    <xdr:col>11</xdr:col>
                    <xdr:colOff>76200</xdr:colOff>
                    <xdr:row>8</xdr:row>
                    <xdr:rowOff>209550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4" r:id="rId5" name="Option Button 32">
              <controlPr defaultSize="0" autoFill="0" autoLine="0" autoPict="0">
                <anchor moveWithCells="1" sizeWithCells="1">
                  <from>
                    <xdr:col>8</xdr:col>
                    <xdr:colOff>133350</xdr:colOff>
                    <xdr:row>3</xdr:row>
                    <xdr:rowOff>0</xdr:rowOff>
                  </from>
                  <to>
                    <xdr:col>10</xdr:col>
                    <xdr:colOff>533400</xdr:colOff>
                    <xdr:row>4</xdr:row>
                    <xdr:rowOff>200025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5" r:id="rId6" name="Option Button 33">
              <controlPr defaultSize="0" autoFill="0" autoLine="0" autoPict="0">
                <anchor moveWithCells="1" sizeWithCells="1">
                  <from>
                    <xdr:col>8</xdr:col>
                    <xdr:colOff>133350</xdr:colOff>
                    <xdr:row>4</xdr:row>
                    <xdr:rowOff>171450</xdr:rowOff>
                  </from>
                  <to>
                    <xdr:col>10</xdr:col>
                    <xdr:colOff>533400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86" r:id="rId7" name="Option Button 34">
              <controlPr defaultSize="0" autoFill="0" autoLine="0" autoPict="0">
                <anchor moveWithCells="1" sizeWithCells="1">
                  <from>
                    <xdr:col>8</xdr:col>
                    <xdr:colOff>133350</xdr:colOff>
                    <xdr:row>6</xdr:row>
                    <xdr:rowOff>114300</xdr:rowOff>
                  </from>
                  <to>
                    <xdr:col>10</xdr:col>
                    <xdr:colOff>533400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67">
    <tabColor rgb="FF00B0F0"/>
    <pageSetUpPr fitToPage="1"/>
  </sheetPr>
  <dimension ref="A1:Z827"/>
  <sheetViews>
    <sheetView showGridLines="0" zoomScale="85" zoomScaleNormal="85" zoomScaleSheetLayoutView="75" workbookViewId="0">
      <selection activeCell="P6" sqref="P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467</v>
      </c>
    </row>
    <row r="2" spans="1:26" ht="19.5" thickBot="1">
      <c r="B2" s="66" t="s">
        <v>1</v>
      </c>
    </row>
    <row r="3" spans="1:26" ht="19.5" customHeight="1">
      <c r="B3" s="773" t="s">
        <v>468</v>
      </c>
      <c r="C3" s="774"/>
      <c r="D3" s="775">
        <v>60</v>
      </c>
      <c r="E3" s="776"/>
      <c r="F3" s="44" t="s">
        <v>243</v>
      </c>
      <c r="G3" s="838" t="s">
        <v>1104</v>
      </c>
      <c r="H3" s="839"/>
      <c r="I3" s="656">
        <v>2</v>
      </c>
      <c r="J3" s="669" t="s">
        <v>1512</v>
      </c>
      <c r="K3" s="6"/>
      <c r="L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B4" s="777" t="s">
        <v>1210</v>
      </c>
      <c r="C4" s="778"/>
      <c r="D4" s="779">
        <v>60</v>
      </c>
      <c r="E4" s="780"/>
      <c r="F4" s="65" t="str">
        <f>F3</f>
        <v>만인</v>
      </c>
      <c r="G4" s="777" t="s">
        <v>1109</v>
      </c>
      <c r="H4" s="814"/>
      <c r="I4" s="298">
        <v>2</v>
      </c>
      <c r="J4" s="670" t="s">
        <v>794</v>
      </c>
      <c r="K4" s="6"/>
      <c r="L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B5" s="781" t="s">
        <v>469</v>
      </c>
      <c r="C5" s="782"/>
      <c r="D5" s="783">
        <f>ROUND((IF(D4&lt;=10,10,D4)/D3)^0.5,3)</f>
        <v>1</v>
      </c>
      <c r="E5" s="784"/>
      <c r="F5" s="45"/>
      <c r="G5" s="817" t="s">
        <v>1842</v>
      </c>
      <c r="H5" s="818"/>
      <c r="I5" s="646">
        <f>ROUND(I4/I3,3)</f>
        <v>1</v>
      </c>
      <c r="J5" s="671"/>
      <c r="K5" s="6"/>
      <c r="L5" s="6"/>
      <c r="R5" s="1"/>
      <c r="S5" s="1"/>
      <c r="T5" s="1"/>
      <c r="U5" s="1"/>
      <c r="V5" s="1"/>
      <c r="W5" s="1"/>
      <c r="X5" s="1"/>
      <c r="Y5" s="1"/>
    </row>
    <row r="6" spans="1:26" ht="23.25" customHeight="1">
      <c r="B6" s="9" t="s">
        <v>1841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6" ht="18" customHeight="1">
      <c r="G7" s="36"/>
      <c r="W7" s="188" t="s">
        <v>3</v>
      </c>
      <c r="X7" s="189"/>
    </row>
    <row r="8" spans="1:26" ht="18" customHeight="1" thickBot="1">
      <c r="B8" s="66" t="s">
        <v>4</v>
      </c>
      <c r="C8" s="9"/>
      <c r="D8" s="64"/>
      <c r="E8" s="64"/>
      <c r="G8" s="36"/>
      <c r="N8" s="66" t="s">
        <v>5</v>
      </c>
    </row>
    <row r="9" spans="1:26" ht="18" customHeight="1" thickBot="1"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SUBTOTAL(9,W10:W44)</f>
        <v>1784111629</v>
      </c>
      <c r="X9" s="187"/>
      <c r="Y9" s="177"/>
      <c r="Z9" s="167"/>
    </row>
    <row r="10" spans="1:26" ht="18" customHeight="1">
      <c r="A10" s="278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SUBTOTAL(9,W11:W41)</f>
        <v>643460333</v>
      </c>
      <c r="X10" s="164"/>
      <c r="Y10" s="178" t="s">
        <v>9</v>
      </c>
      <c r="Z10" s="179"/>
    </row>
    <row r="11" spans="1:26" ht="18" customHeight="1" thickBot="1">
      <c r="A11" s="278"/>
      <c r="B11" s="820"/>
      <c r="C11" s="821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218"/>
      <c r="V11" s="218"/>
      <c r="W11" s="255">
        <f ca="1">SUBTOTAL(9,W12:W36)</f>
        <v>635460333</v>
      </c>
      <c r="X11" s="256"/>
      <c r="Y11" s="220"/>
      <c r="Z11" s="220"/>
    </row>
    <row r="12" spans="1:26" ht="18" customHeight="1">
      <c r="A12" s="279"/>
      <c r="B12" s="222" t="s">
        <v>471</v>
      </c>
      <c r="C12" s="47"/>
      <c r="D12" s="48">
        <f t="shared" ref="D12:I12" si="0">SUBTOTAL(9,D13:D17)</f>
        <v>17.400000000000002</v>
      </c>
      <c r="E12" s="49">
        <f t="shared" si="0"/>
        <v>27.700000000000003</v>
      </c>
      <c r="F12" s="49">
        <f t="shared" si="0"/>
        <v>100.6</v>
      </c>
      <c r="G12" s="49">
        <f t="shared" si="0"/>
        <v>156.5</v>
      </c>
      <c r="H12" s="49">
        <f t="shared" si="0"/>
        <v>238.3</v>
      </c>
      <c r="I12" s="50">
        <f t="shared" si="0"/>
        <v>256.60000000000002</v>
      </c>
      <c r="J12" s="654"/>
      <c r="L12" s="232"/>
      <c r="N12" s="354" t="str">
        <f>B12</f>
        <v>1. 기초조사 및 분석</v>
      </c>
      <c r="O12" s="169"/>
      <c r="P12" s="169"/>
      <c r="Q12" s="169"/>
      <c r="R12" s="169"/>
      <c r="S12" s="169"/>
      <c r="T12" s="169"/>
      <c r="U12" s="226"/>
      <c r="V12" s="248"/>
      <c r="W12" s="193">
        <f ca="1">SUBTOTAL(9,W13:W17)</f>
        <v>216217672</v>
      </c>
      <c r="X12" s="194"/>
      <c r="Y12" s="170" t="str">
        <f>IF(A38&gt;0, "제 " &amp;A38&amp; " 호표","")</f>
        <v/>
      </c>
      <c r="Z12" s="170"/>
    </row>
    <row r="13" spans="1:26" ht="18" customHeight="1">
      <c r="A13" s="279"/>
      <c r="B13" s="223" t="s">
        <v>1843</v>
      </c>
      <c r="C13" s="23"/>
      <c r="D13" s="197">
        <v>11.8</v>
      </c>
      <c r="E13" s="198">
        <v>18.899999999999999</v>
      </c>
      <c r="F13" s="198">
        <v>79.3</v>
      </c>
      <c r="G13" s="198">
        <v>119.7</v>
      </c>
      <c r="H13" s="198">
        <v>198.8</v>
      </c>
      <c r="I13" s="199">
        <v>214.5</v>
      </c>
      <c r="J13" s="389" t="s">
        <v>1933</v>
      </c>
      <c r="L13" s="233">
        <v>1</v>
      </c>
      <c r="N13" s="292" t="str">
        <f t="shared" ref="N13:N36" si="1">B13</f>
        <v>1.1. 도시현황</v>
      </c>
      <c r="O13" s="37"/>
      <c r="P13" s="37"/>
      <c r="Q13" s="37"/>
      <c r="R13" s="37"/>
      <c r="S13" s="37"/>
      <c r="T13" s="37"/>
      <c r="U13" s="227"/>
      <c r="V13" s="231"/>
      <c r="W13" s="153">
        <f t="array" aca="1" ref="W13" ca="1">SUM((ROUNDDOWN((D39:I39)*단가,0)))</f>
        <v>173003560</v>
      </c>
      <c r="X13" s="154"/>
      <c r="Y13" s="170" t="str">
        <f>IF(A39&gt;0, "제 " &amp;A39&amp; " 호표","")</f>
        <v>제 1 호표</v>
      </c>
      <c r="Z13" s="150"/>
    </row>
    <row r="14" spans="1:26" ht="18" customHeight="1">
      <c r="A14" s="279"/>
      <c r="B14" s="223" t="s">
        <v>1844</v>
      </c>
      <c r="C14" s="23"/>
      <c r="D14" s="197">
        <v>1.3</v>
      </c>
      <c r="E14" s="198">
        <v>2.1</v>
      </c>
      <c r="F14" s="198">
        <v>2.8</v>
      </c>
      <c r="G14" s="198">
        <v>7.8</v>
      </c>
      <c r="H14" s="198">
        <v>7.8</v>
      </c>
      <c r="I14" s="199">
        <v>10.5</v>
      </c>
      <c r="J14" s="389" t="s">
        <v>1090</v>
      </c>
      <c r="L14" s="233">
        <v>1</v>
      </c>
      <c r="N14" s="292" t="str">
        <f t="shared" si="1"/>
        <v>1.2. 지역자산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SUM((ROUNDDOWN((D40:I40)*단가,0)))</f>
        <v>9026467</v>
      </c>
      <c r="X14" s="154"/>
      <c r="Y14" s="170" t="str">
        <f t="shared" ref="Y14:Y36" si="2">IF(A40&gt;0, "제 " &amp;A40&amp; " 호표","")</f>
        <v>제 2 호표</v>
      </c>
      <c r="Z14" s="150"/>
    </row>
    <row r="15" spans="1:26" ht="18" customHeight="1">
      <c r="A15" s="279"/>
      <c r="B15" s="223" t="s">
        <v>1845</v>
      </c>
      <c r="C15" s="23"/>
      <c r="D15" s="197">
        <v>1.5</v>
      </c>
      <c r="E15" s="198">
        <v>2.2999999999999998</v>
      </c>
      <c r="F15" s="198">
        <v>5.2</v>
      </c>
      <c r="G15" s="198">
        <v>10.5</v>
      </c>
      <c r="H15" s="198">
        <v>10.199999999999999</v>
      </c>
      <c r="I15" s="199">
        <v>10.5</v>
      </c>
      <c r="J15" s="389" t="s">
        <v>1090</v>
      </c>
      <c r="L15" s="233">
        <v>1</v>
      </c>
      <c r="N15" s="292" t="str">
        <f t="shared" si="1"/>
        <v>1.3. 기초생활인프라 현황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SUM((ROUNDDOWN((D41:I41)*단가,0)))</f>
        <v>11302675</v>
      </c>
      <c r="X15" s="154"/>
      <c r="Y15" s="170" t="str">
        <f t="shared" si="2"/>
        <v>제 3 호표</v>
      </c>
      <c r="Z15" s="150"/>
    </row>
    <row r="16" spans="1:26" ht="18" customHeight="1">
      <c r="A16" s="279"/>
      <c r="B16" s="223" t="s">
        <v>1846</v>
      </c>
      <c r="C16" s="23"/>
      <c r="D16" s="197">
        <v>1.5</v>
      </c>
      <c r="E16" s="198">
        <v>2.2999999999999998</v>
      </c>
      <c r="F16" s="198">
        <v>7.8</v>
      </c>
      <c r="G16" s="198">
        <v>10.7</v>
      </c>
      <c r="H16" s="198">
        <v>13.1</v>
      </c>
      <c r="I16" s="199">
        <v>13.3</v>
      </c>
      <c r="J16" s="389" t="s">
        <v>1090</v>
      </c>
      <c r="L16" s="233">
        <v>1</v>
      </c>
      <c r="N16" s="292" t="str">
        <f t="shared" si="1"/>
        <v>1.4. 주거수준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SUM((ROUNDDOWN((D42:I42)*단가,0)))</f>
        <v>13553076</v>
      </c>
      <c r="X16" s="154"/>
      <c r="Y16" s="170" t="str">
        <f t="shared" si="2"/>
        <v>제 4 호표</v>
      </c>
      <c r="Z16" s="150"/>
    </row>
    <row r="17" spans="1:26" ht="18" customHeight="1">
      <c r="A17" s="279"/>
      <c r="B17" s="223" t="s">
        <v>1847</v>
      </c>
      <c r="C17" s="23"/>
      <c r="D17" s="197">
        <v>1.3</v>
      </c>
      <c r="E17" s="198">
        <v>2.1</v>
      </c>
      <c r="F17" s="198">
        <v>5.5</v>
      </c>
      <c r="G17" s="198">
        <v>7.8</v>
      </c>
      <c r="H17" s="198">
        <v>8.4</v>
      </c>
      <c r="I17" s="199">
        <v>7.8</v>
      </c>
      <c r="J17" s="389" t="s">
        <v>1090</v>
      </c>
      <c r="L17" s="233">
        <v>1</v>
      </c>
      <c r="N17" s="292" t="str">
        <f t="shared" si="1"/>
        <v>1.5. 기타 필요한 사항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SUM((ROUNDDOWN((D43:I43)*단가,0)))</f>
        <v>9331894</v>
      </c>
      <c r="X17" s="154"/>
      <c r="Y17" s="170" t="str">
        <f t="shared" si="2"/>
        <v>제 5 호표</v>
      </c>
      <c r="Z17" s="150"/>
    </row>
    <row r="18" spans="1:26" ht="18" customHeight="1">
      <c r="A18" s="279"/>
      <c r="B18" s="222" t="s">
        <v>472</v>
      </c>
      <c r="C18" s="47"/>
      <c r="D18" s="48">
        <f t="shared" ref="D18:I18" si="3">SUBTOTAL(9,D19:D28)</f>
        <v>41.5</v>
      </c>
      <c r="E18" s="49">
        <f t="shared" si="3"/>
        <v>66.2</v>
      </c>
      <c r="F18" s="49">
        <f t="shared" si="3"/>
        <v>151.30000000000004</v>
      </c>
      <c r="G18" s="49">
        <f t="shared" si="3"/>
        <v>268.20000000000005</v>
      </c>
      <c r="H18" s="49">
        <f t="shared" si="3"/>
        <v>295.09999999999991</v>
      </c>
      <c r="I18" s="50">
        <f t="shared" si="3"/>
        <v>323.59999999999997</v>
      </c>
      <c r="J18" s="389"/>
      <c r="L18" s="232"/>
      <c r="N18" s="354" t="str">
        <f t="shared" si="1"/>
        <v>2. 전략계획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SUBTOTAL(9,W19:W28)</f>
        <v>320710314</v>
      </c>
      <c r="X18" s="194"/>
      <c r="Y18" s="170" t="str">
        <f t="shared" si="2"/>
        <v/>
      </c>
      <c r="Z18" s="170"/>
    </row>
    <row r="19" spans="1:26" ht="18" customHeight="1">
      <c r="A19" s="279"/>
      <c r="B19" s="223" t="s">
        <v>1848</v>
      </c>
      <c r="C19" s="23"/>
      <c r="D19" s="197">
        <v>5.0999999999999996</v>
      </c>
      <c r="E19" s="198">
        <v>8</v>
      </c>
      <c r="F19" s="198">
        <v>17.5</v>
      </c>
      <c r="G19" s="198">
        <v>29</v>
      </c>
      <c r="H19" s="198">
        <v>22.2</v>
      </c>
      <c r="I19" s="199">
        <v>24.2</v>
      </c>
      <c r="J19" s="389" t="s">
        <v>1090</v>
      </c>
      <c r="L19" s="233">
        <v>1</v>
      </c>
      <c r="N19" s="292" t="str">
        <f t="shared" si="1"/>
        <v>2.1. 계획의 목표 및 범위·방안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SUM((ROUNDDOWN((D45:I45)*단가,0)))</f>
        <v>30648396</v>
      </c>
      <c r="X19" s="154"/>
      <c r="Y19" s="170" t="str">
        <f t="shared" si="2"/>
        <v>제 6 호표</v>
      </c>
      <c r="Z19" s="150"/>
    </row>
    <row r="20" spans="1:26" ht="18" customHeight="1">
      <c r="A20" s="279"/>
      <c r="B20" s="223" t="s">
        <v>1849</v>
      </c>
      <c r="C20" s="23"/>
      <c r="D20" s="197">
        <v>8.1999999999999993</v>
      </c>
      <c r="E20" s="198">
        <v>12.9</v>
      </c>
      <c r="F20" s="198">
        <v>31.9</v>
      </c>
      <c r="G20" s="198">
        <v>55.9</v>
      </c>
      <c r="H20" s="198">
        <v>59.7</v>
      </c>
      <c r="I20" s="199">
        <v>82.3</v>
      </c>
      <c r="J20" s="389" t="s">
        <v>1090</v>
      </c>
      <c r="L20" s="233">
        <v>1</v>
      </c>
      <c r="N20" s="292" t="str">
        <f t="shared" si="1"/>
        <v>2.2. 쇠퇴진단 및 여건 분석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SUM((ROUNDDOWN((D46:I46)*단가,0)))</f>
        <v>69701907</v>
      </c>
      <c r="X20" s="154"/>
      <c r="Y20" s="170" t="str">
        <f t="shared" si="2"/>
        <v>제 7 호표</v>
      </c>
      <c r="Z20" s="150"/>
    </row>
    <row r="21" spans="1:26" ht="18" customHeight="1">
      <c r="A21" s="279"/>
      <c r="B21" s="223" t="s">
        <v>1850</v>
      </c>
      <c r="C21" s="23"/>
      <c r="D21" s="197">
        <v>13.1</v>
      </c>
      <c r="E21" s="198">
        <v>20.9</v>
      </c>
      <c r="F21" s="198">
        <v>47</v>
      </c>
      <c r="G21" s="198">
        <v>80.7</v>
      </c>
      <c r="H21" s="198">
        <v>86.4</v>
      </c>
      <c r="I21" s="199">
        <v>94.4</v>
      </c>
      <c r="J21" s="389" t="s">
        <v>1090</v>
      </c>
      <c r="L21" s="233">
        <v>1</v>
      </c>
      <c r="N21" s="292" t="str">
        <f t="shared" si="1"/>
        <v>2.3. 활성화지역의 지정·변경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SUM((ROUNDDOWN((D47:I47)*단가,0)))</f>
        <v>96304672</v>
      </c>
      <c r="X21" s="154"/>
      <c r="Y21" s="170" t="str">
        <f t="shared" si="2"/>
        <v>제 8 호표</v>
      </c>
      <c r="Z21" s="150"/>
    </row>
    <row r="22" spans="1:26" ht="18" customHeight="1">
      <c r="A22" s="279"/>
      <c r="B22" s="223" t="s">
        <v>1851</v>
      </c>
      <c r="C22" s="23"/>
      <c r="D22" s="197">
        <v>1.3</v>
      </c>
      <c r="E22" s="198">
        <v>2.1</v>
      </c>
      <c r="F22" s="198">
        <v>3.9</v>
      </c>
      <c r="G22" s="198">
        <v>6.6</v>
      </c>
      <c r="H22" s="198">
        <v>9.6999999999999993</v>
      </c>
      <c r="I22" s="199">
        <v>9.1999999999999993</v>
      </c>
      <c r="J22" s="389" t="s">
        <v>1090</v>
      </c>
      <c r="L22" s="233">
        <v>1</v>
      </c>
      <c r="N22" s="292" t="str">
        <f t="shared" si="1"/>
        <v>2.4. 우선순위 및 지역간 연계방안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SUM((ROUNDDOWN((D48:I48)*단가,0)))</f>
        <v>9136532</v>
      </c>
      <c r="X22" s="154"/>
      <c r="Y22" s="170" t="str">
        <f t="shared" si="2"/>
        <v>제 9 호표</v>
      </c>
      <c r="Z22" s="150"/>
    </row>
    <row r="23" spans="1:26" ht="18" customHeight="1">
      <c r="A23" s="279"/>
      <c r="B23" s="223" t="s">
        <v>1852</v>
      </c>
      <c r="C23" s="23"/>
      <c r="D23" s="197">
        <v>1.3</v>
      </c>
      <c r="E23" s="198">
        <v>2.1</v>
      </c>
      <c r="F23" s="198">
        <v>3.9</v>
      </c>
      <c r="G23" s="198">
        <v>6.6</v>
      </c>
      <c r="H23" s="198">
        <v>9.6999999999999993</v>
      </c>
      <c r="I23" s="199">
        <v>9.1999999999999993</v>
      </c>
      <c r="J23" s="389" t="s">
        <v>1090</v>
      </c>
      <c r="L23" s="233">
        <v>1</v>
      </c>
      <c r="N23" s="292" t="str">
        <f t="shared" si="1"/>
        <v>2.5. 실행 주체 구성 방안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SUM((ROUNDDOWN((D49:I49)*단가,0)))</f>
        <v>9136532</v>
      </c>
      <c r="X23" s="154"/>
      <c r="Y23" s="170" t="str">
        <f t="shared" si="2"/>
        <v>제 10 호표</v>
      </c>
      <c r="Z23" s="150"/>
    </row>
    <row r="24" spans="1:26" ht="18" customHeight="1">
      <c r="A24" s="279"/>
      <c r="B24" s="223" t="s">
        <v>1853</v>
      </c>
      <c r="C24" s="23"/>
      <c r="D24" s="197">
        <v>1.3</v>
      </c>
      <c r="E24" s="198">
        <v>2.1</v>
      </c>
      <c r="F24" s="198">
        <v>3.9</v>
      </c>
      <c r="G24" s="198">
        <v>6.6</v>
      </c>
      <c r="H24" s="198">
        <v>9.6999999999999993</v>
      </c>
      <c r="I24" s="199">
        <v>9.1999999999999993</v>
      </c>
      <c r="J24" s="389" t="s">
        <v>1090</v>
      </c>
      <c r="L24" s="233">
        <v>1</v>
      </c>
      <c r="N24" s="292" t="str">
        <f t="shared" si="1"/>
        <v>2.6. 재원 조달 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SUM((ROUNDDOWN((D50:I50)*단가,0)))</f>
        <v>9136532</v>
      </c>
      <c r="X24" s="154"/>
      <c r="Y24" s="170" t="str">
        <f t="shared" si="2"/>
        <v>제 11 호표</v>
      </c>
      <c r="Z24" s="150"/>
    </row>
    <row r="25" spans="1:26" ht="18" customHeight="1">
      <c r="A25" s="279"/>
      <c r="B25" s="223" t="s">
        <v>1854</v>
      </c>
      <c r="C25" s="23"/>
      <c r="D25" s="197">
        <v>1.3</v>
      </c>
      <c r="E25" s="198">
        <v>2.1</v>
      </c>
      <c r="F25" s="198">
        <v>3.9</v>
      </c>
      <c r="G25" s="198">
        <v>6.6</v>
      </c>
      <c r="H25" s="198">
        <v>9.6999999999999993</v>
      </c>
      <c r="I25" s="199">
        <v>9.1999999999999993</v>
      </c>
      <c r="J25" s="389" t="s">
        <v>1090</v>
      </c>
      <c r="L25" s="233">
        <v>1</v>
      </c>
      <c r="N25" s="292" t="str">
        <f t="shared" si="1"/>
        <v>2.7. 지원제도 발굴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SUM((ROUNDDOWN((D51:I51)*단가,0)))</f>
        <v>9136532</v>
      </c>
      <c r="X25" s="154"/>
      <c r="Y25" s="170" t="str">
        <f t="shared" si="2"/>
        <v>제 12 호표</v>
      </c>
      <c r="Z25" s="150"/>
    </row>
    <row r="26" spans="1:26" ht="18" customHeight="1">
      <c r="A26" s="279"/>
      <c r="B26" s="223" t="s">
        <v>1855</v>
      </c>
      <c r="C26" s="23"/>
      <c r="D26" s="197">
        <v>6.9</v>
      </c>
      <c r="E26" s="198">
        <v>11.1</v>
      </c>
      <c r="F26" s="198">
        <v>29.5</v>
      </c>
      <c r="G26" s="198">
        <v>60</v>
      </c>
      <c r="H26" s="198">
        <v>64.2</v>
      </c>
      <c r="I26" s="199">
        <v>62.9</v>
      </c>
      <c r="J26" s="389" t="s">
        <v>1090</v>
      </c>
      <c r="L26" s="233">
        <v>1</v>
      </c>
      <c r="N26" s="292" t="str">
        <f t="shared" si="1"/>
        <v>2.8. 기반시설의 설치·정비·개량계획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SUM((ROUNDDOWN((D52:I52)*단가,0)))</f>
        <v>65094312</v>
      </c>
      <c r="X26" s="154"/>
      <c r="Y26" s="170" t="str">
        <f t="shared" si="2"/>
        <v>제 13 호표</v>
      </c>
      <c r="Z26" s="150"/>
    </row>
    <row r="27" spans="1:26" ht="18" customHeight="1">
      <c r="A27" s="279"/>
      <c r="B27" s="223" t="s">
        <v>1856</v>
      </c>
      <c r="C27" s="23"/>
      <c r="D27" s="197">
        <v>1.5</v>
      </c>
      <c r="E27" s="198">
        <v>2.4</v>
      </c>
      <c r="F27" s="198">
        <v>4.9000000000000004</v>
      </c>
      <c r="G27" s="198">
        <v>8.1</v>
      </c>
      <c r="H27" s="198">
        <v>11.9</v>
      </c>
      <c r="I27" s="199">
        <v>11.5</v>
      </c>
      <c r="J27" s="389" t="s">
        <v>1090</v>
      </c>
      <c r="L27" s="233">
        <v>1</v>
      </c>
      <c r="N27" s="292" t="str">
        <f t="shared" si="1"/>
        <v>2.9. 기초생활인프라 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SUM((ROUNDDOWN((D53:I53)*단가,0)))</f>
        <v>11188782</v>
      </c>
      <c r="X27" s="154"/>
      <c r="Y27" s="170" t="str">
        <f t="shared" si="2"/>
        <v>제 14 호표</v>
      </c>
      <c r="Z27" s="150"/>
    </row>
    <row r="28" spans="1:26" ht="18" customHeight="1">
      <c r="A28" s="279"/>
      <c r="B28" s="223" t="s">
        <v>1857</v>
      </c>
      <c r="C28" s="23"/>
      <c r="D28" s="197">
        <v>1.5</v>
      </c>
      <c r="E28" s="198">
        <v>2.5</v>
      </c>
      <c r="F28" s="198">
        <v>4.9000000000000004</v>
      </c>
      <c r="G28" s="198">
        <v>8.1</v>
      </c>
      <c r="H28" s="198">
        <v>11.9</v>
      </c>
      <c r="I28" s="199">
        <v>11.5</v>
      </c>
      <c r="J28" s="389" t="s">
        <v>1090</v>
      </c>
      <c r="L28" s="233">
        <v>1</v>
      </c>
      <c r="N28" s="292" t="str">
        <f t="shared" si="1"/>
        <v>2.10. 성과관리 방법 및 기준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SUM((ROUNDDOWN((D54:I54)*단가,0)))</f>
        <v>11226117</v>
      </c>
      <c r="X28" s="154"/>
      <c r="Y28" s="170" t="str">
        <f t="shared" si="2"/>
        <v>제 15 호표</v>
      </c>
      <c r="Z28" s="150"/>
    </row>
    <row r="29" spans="1:26" ht="18" customHeight="1">
      <c r="A29" s="279"/>
      <c r="B29" s="222" t="s">
        <v>1858</v>
      </c>
      <c r="C29" s="47"/>
      <c r="D29" s="48">
        <f t="shared" ref="D29:I29" si="4">SUBTOTAL(9,D30:D31)</f>
        <v>8.8000000000000007</v>
      </c>
      <c r="E29" s="49">
        <f t="shared" si="4"/>
        <v>14.3</v>
      </c>
      <c r="F29" s="49">
        <f t="shared" si="4"/>
        <v>31.9</v>
      </c>
      <c r="G29" s="49">
        <f t="shared" si="4"/>
        <v>59.3</v>
      </c>
      <c r="H29" s="49">
        <f t="shared" si="4"/>
        <v>82.300000000000011</v>
      </c>
      <c r="I29" s="50">
        <f t="shared" si="4"/>
        <v>82.3</v>
      </c>
      <c r="J29" s="389"/>
      <c r="L29" s="233"/>
      <c r="N29" s="354" t="str">
        <f t="shared" si="1"/>
        <v>3. 성과품작성</v>
      </c>
      <c r="O29" s="169"/>
      <c r="P29" s="169"/>
      <c r="Q29" s="169"/>
      <c r="R29" s="169"/>
      <c r="S29" s="169"/>
      <c r="T29" s="169"/>
      <c r="U29" s="226"/>
      <c r="V29" s="248"/>
      <c r="W29" s="193">
        <f ca="1">SUBTOTAL(9,W30:W31)</f>
        <v>76829771</v>
      </c>
      <c r="X29" s="257"/>
      <c r="Y29" s="170" t="str">
        <f t="shared" si="2"/>
        <v/>
      </c>
      <c r="Z29" s="169"/>
    </row>
    <row r="30" spans="1:26" ht="18" customHeight="1">
      <c r="A30" s="279"/>
      <c r="B30" s="223" t="s">
        <v>1859</v>
      </c>
      <c r="C30" s="23"/>
      <c r="D30" s="197">
        <v>6</v>
      </c>
      <c r="E30" s="198">
        <v>9.4</v>
      </c>
      <c r="F30" s="198">
        <v>21.2</v>
      </c>
      <c r="G30" s="198">
        <v>35.4</v>
      </c>
      <c r="H30" s="198">
        <v>35.1</v>
      </c>
      <c r="I30" s="199">
        <v>23.3</v>
      </c>
      <c r="J30" s="389" t="s">
        <v>1090</v>
      </c>
      <c r="L30" s="233">
        <v>1</v>
      </c>
      <c r="N30" s="292" t="str">
        <f t="shared" si="1"/>
        <v>3.1. 보고서작성 및 편집</v>
      </c>
      <c r="O30" s="37"/>
      <c r="P30" s="37"/>
      <c r="Q30" s="37"/>
      <c r="R30" s="37"/>
      <c r="S30" s="37"/>
      <c r="T30" s="37"/>
      <c r="U30" s="226"/>
      <c r="V30" s="248"/>
      <c r="W30" s="153">
        <f t="array" aca="1" ref="W30" ca="1">SUM((ROUNDDOWN((D56:I56)*단가,0)))</f>
        <v>37443082</v>
      </c>
      <c r="X30" s="113"/>
      <c r="Y30" s="170" t="str">
        <f t="shared" si="2"/>
        <v>제 16 호표</v>
      </c>
      <c r="Z30" s="37"/>
    </row>
    <row r="31" spans="1:26" ht="18" customHeight="1">
      <c r="A31" s="279"/>
      <c r="B31" s="223" t="s">
        <v>1860</v>
      </c>
      <c r="C31" s="43"/>
      <c r="D31" s="206">
        <v>2.8</v>
      </c>
      <c r="E31" s="207">
        <v>4.9000000000000004</v>
      </c>
      <c r="F31" s="207">
        <v>10.7</v>
      </c>
      <c r="G31" s="207">
        <v>23.9</v>
      </c>
      <c r="H31" s="207">
        <v>47.2</v>
      </c>
      <c r="I31" s="208">
        <v>59</v>
      </c>
      <c r="J31" s="389" t="s">
        <v>1090</v>
      </c>
      <c r="L31" s="233">
        <v>1</v>
      </c>
      <c r="N31" s="292" t="str">
        <f t="shared" si="1"/>
        <v>3.2. 관련도서작성</v>
      </c>
      <c r="O31" s="37"/>
      <c r="P31" s="37"/>
      <c r="Q31" s="37"/>
      <c r="R31" s="37"/>
      <c r="S31" s="37"/>
      <c r="T31" s="37"/>
      <c r="U31" s="353"/>
      <c r="V31" s="248"/>
      <c r="W31" s="153">
        <f t="array" aca="1" ref="W31" ca="1">SUM((ROUNDDOWN((D57:I57)*단가,0)))</f>
        <v>39386689</v>
      </c>
      <c r="X31" s="113"/>
      <c r="Y31" s="170" t="str">
        <f t="shared" si="2"/>
        <v>제 17 호표</v>
      </c>
      <c r="Z31" s="37"/>
    </row>
    <row r="32" spans="1:26" ht="18" customHeight="1">
      <c r="A32" s="279"/>
      <c r="B32" s="222" t="s">
        <v>269</v>
      </c>
      <c r="C32" s="47"/>
      <c r="D32" s="48">
        <f t="shared" ref="D32:I32" si="5">SUBTOTAL(9,D33:D36)</f>
        <v>8</v>
      </c>
      <c r="E32" s="49">
        <f t="shared" si="5"/>
        <v>8</v>
      </c>
      <c r="F32" s="49">
        <f t="shared" si="5"/>
        <v>8</v>
      </c>
      <c r="G32" s="49">
        <f t="shared" si="5"/>
        <v>16</v>
      </c>
      <c r="H32" s="49">
        <f t="shared" si="5"/>
        <v>16</v>
      </c>
      <c r="I32" s="50">
        <f t="shared" si="5"/>
        <v>16</v>
      </c>
      <c r="J32" s="389"/>
      <c r="L32" s="232"/>
      <c r="N32" s="354" t="str">
        <f t="shared" si="1"/>
        <v>4. 기술협의</v>
      </c>
      <c r="O32" s="169"/>
      <c r="P32" s="169"/>
      <c r="Q32" s="169"/>
      <c r="R32" s="169"/>
      <c r="S32" s="169"/>
      <c r="T32" s="169"/>
      <c r="U32" s="226"/>
      <c r="V32" s="248"/>
      <c r="W32" s="193">
        <f ca="1">SUBTOTAL(9,W33:W36)</f>
        <v>21702576</v>
      </c>
      <c r="X32" s="194"/>
      <c r="Y32" s="170" t="str">
        <f t="shared" si="2"/>
        <v/>
      </c>
      <c r="Z32" s="170"/>
    </row>
    <row r="33" spans="1:26" ht="18" customHeight="1">
      <c r="A33" s="279"/>
      <c r="B33" s="223" t="s">
        <v>1626</v>
      </c>
      <c r="C33" s="23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1934</v>
      </c>
      <c r="L33" s="233">
        <v>1</v>
      </c>
      <c r="N33" s="292" t="str">
        <f t="shared" si="1"/>
        <v>4.1. 공청회/주민설명회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SUM((ROUNDDOWN((D59:I59)*단가,0)))</f>
        <v>5425644</v>
      </c>
      <c r="X33" s="154"/>
      <c r="Y33" s="170" t="str">
        <f t="shared" si="2"/>
        <v>제 18 호표</v>
      </c>
      <c r="Z33" s="150"/>
    </row>
    <row r="34" spans="1:26" ht="18" customHeight="1">
      <c r="A34" s="279"/>
      <c r="B34" s="223" t="s">
        <v>1861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389" t="s">
        <v>1094</v>
      </c>
      <c r="L34" s="233">
        <v>1</v>
      </c>
      <c r="N34" s="292" t="str">
        <f t="shared" si="1"/>
        <v>4.2. 주민간담회/시민계획단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SUM((ROUNDDOWN((D60:I60)*단가,0)))</f>
        <v>5425644</v>
      </c>
      <c r="X34" s="154"/>
      <c r="Y34" s="170" t="str">
        <f t="shared" si="2"/>
        <v>제 19 호표</v>
      </c>
      <c r="Z34" s="150"/>
    </row>
    <row r="35" spans="1:26" ht="18" customHeight="1">
      <c r="A35" s="279"/>
      <c r="B35" s="223" t="s">
        <v>1628</v>
      </c>
      <c r="C35" s="23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389" t="s">
        <v>1094</v>
      </c>
      <c r="L35" s="233">
        <v>1</v>
      </c>
      <c r="N35" s="292" t="str">
        <f t="shared" si="1"/>
        <v>4.3. 위원회심의 지원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SUM((ROUNDDOWN((D61:I61)*단가,0)))</f>
        <v>5425644</v>
      </c>
      <c r="X35" s="154"/>
      <c r="Y35" s="170" t="str">
        <f t="shared" si="2"/>
        <v>제 20 호표</v>
      </c>
      <c r="Z35" s="150"/>
    </row>
    <row r="36" spans="1:26" ht="18" customHeight="1" thickBot="1">
      <c r="A36" s="279"/>
      <c r="B36" s="223" t="s">
        <v>1862</v>
      </c>
      <c r="C36" s="23"/>
      <c r="D36" s="197">
        <v>2</v>
      </c>
      <c r="E36" s="198">
        <v>2</v>
      </c>
      <c r="F36" s="198">
        <v>2</v>
      </c>
      <c r="G36" s="198">
        <v>4</v>
      </c>
      <c r="H36" s="198">
        <v>4</v>
      </c>
      <c r="I36" s="199">
        <v>4</v>
      </c>
      <c r="J36" s="612" t="s">
        <v>1094</v>
      </c>
      <c r="L36" s="233">
        <v>1</v>
      </c>
      <c r="N36" s="292" t="str">
        <f t="shared" si="1"/>
        <v>4.4. 관계기관 협의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SUM((ROUNDDOWN((D62:I62)*단가,0)))</f>
        <v>5425644</v>
      </c>
      <c r="X36" s="154"/>
      <c r="Y36" s="170" t="str">
        <f t="shared" si="2"/>
        <v>제 21 호표</v>
      </c>
      <c r="Z36" s="150"/>
    </row>
    <row r="37" spans="1:26" ht="18" customHeight="1" thickBot="1">
      <c r="A37" s="279"/>
      <c r="B37" s="241" t="s">
        <v>30</v>
      </c>
      <c r="C37" s="243"/>
      <c r="D37" s="241" t="s">
        <v>12</v>
      </c>
      <c r="E37" s="242"/>
      <c r="F37" s="242"/>
      <c r="G37" s="242"/>
      <c r="H37" s="242"/>
      <c r="I37" s="243"/>
      <c r="J37" s="652" t="s">
        <v>31</v>
      </c>
      <c r="N37" s="8"/>
      <c r="P37" s="371"/>
      <c r="R37" s="357"/>
      <c r="S37" s="1"/>
      <c r="T37" s="1"/>
      <c r="U37" s="258"/>
      <c r="V37" s="372"/>
      <c r="W37" s="373"/>
      <c r="X37" s="374"/>
      <c r="Y37" s="375"/>
    </row>
    <row r="38" spans="1:26" ht="18" customHeight="1">
      <c r="A38" s="279"/>
      <c r="B38" s="225" t="s">
        <v>471</v>
      </c>
      <c r="C38" s="72"/>
      <c r="D38" s="402">
        <f t="shared" ref="D38:I38" si="6">SUBTOTAL(9,D39:D43)</f>
        <v>17.400000000000002</v>
      </c>
      <c r="E38" s="403">
        <f t="shared" si="6"/>
        <v>27.700000000000003</v>
      </c>
      <c r="F38" s="403">
        <f t="shared" si="6"/>
        <v>100.6</v>
      </c>
      <c r="G38" s="403">
        <f t="shared" si="6"/>
        <v>156.5</v>
      </c>
      <c r="H38" s="403">
        <f t="shared" si="6"/>
        <v>238.3</v>
      </c>
      <c r="I38" s="404">
        <f t="shared" si="6"/>
        <v>256.60000000000002</v>
      </c>
      <c r="J38" s="73"/>
      <c r="N38" s="290" t="s">
        <v>10</v>
      </c>
      <c r="O38" s="129"/>
      <c r="P38" s="130"/>
      <c r="Q38" s="124"/>
      <c r="R38" s="131"/>
      <c r="S38" s="124"/>
      <c r="T38" s="124"/>
      <c r="U38" s="181"/>
      <c r="V38" s="181"/>
      <c r="W38" s="159">
        <f>SUBTOTAL(9,W39:W41)</f>
        <v>8000000</v>
      </c>
      <c r="X38" s="160"/>
      <c r="Y38" s="124"/>
      <c r="Z38" s="124"/>
    </row>
    <row r="39" spans="1:26" ht="18" customHeight="1">
      <c r="A39" s="278">
        <v>1</v>
      </c>
      <c r="B39" s="223" t="s">
        <v>1843</v>
      </c>
      <c r="C39" s="23"/>
      <c r="D39" s="383">
        <f t="array" ref="D39:I43">ROUNDDOWN(D13:I17*$D$5*L13:L17,3)</f>
        <v>11.8</v>
      </c>
      <c r="E39" s="198">
        <v>18.899999999999999</v>
      </c>
      <c r="F39" s="198">
        <v>79.3</v>
      </c>
      <c r="G39" s="198">
        <v>119.7</v>
      </c>
      <c r="H39" s="198">
        <v>198.8</v>
      </c>
      <c r="I39" s="199">
        <v>214.5</v>
      </c>
      <c r="J39" s="74"/>
      <c r="N39" s="128" t="str">
        <f>"여비("&amp;TEXT(R39,"#인 ×")&amp;TEXT(S39,"#일 ×")&amp;TEXT(T39,"###,###원)")</f>
        <v>여비(3인 ×10일 ×100,000원)</v>
      </c>
      <c r="O39" s="78"/>
      <c r="P39" s="52"/>
      <c r="Q39" s="51"/>
      <c r="R39" s="146">
        <v>3</v>
      </c>
      <c r="S39" s="146">
        <v>10</v>
      </c>
      <c r="T39" s="147">
        <v>100000</v>
      </c>
      <c r="U39" s="182"/>
      <c r="V39" s="182"/>
      <c r="W39" s="161">
        <f>R39*S39*T39</f>
        <v>3000000</v>
      </c>
      <c r="X39" s="162"/>
      <c r="Y39" s="51"/>
      <c r="Z39" s="51"/>
    </row>
    <row r="40" spans="1:26" ht="18" customHeight="1">
      <c r="A40" s="278">
        <v>2</v>
      </c>
      <c r="B40" s="223" t="s">
        <v>1844</v>
      </c>
      <c r="C40" s="23"/>
      <c r="D40" s="197">
        <v>1.3</v>
      </c>
      <c r="E40" s="198">
        <v>2.1</v>
      </c>
      <c r="F40" s="198">
        <v>2.8</v>
      </c>
      <c r="G40" s="198">
        <v>7.8</v>
      </c>
      <c r="H40" s="198">
        <v>7.8</v>
      </c>
      <c r="I40" s="199">
        <v>10.5</v>
      </c>
      <c r="J40" s="74"/>
      <c r="N40" s="79" t="s">
        <v>46</v>
      </c>
      <c r="O40" s="79"/>
      <c r="P40" s="39"/>
      <c r="Q40" s="37"/>
      <c r="R40" s="117"/>
      <c r="S40" s="37"/>
      <c r="T40" s="37"/>
      <c r="U40" s="180"/>
      <c r="V40" s="180"/>
      <c r="W40" s="157">
        <v>3000000</v>
      </c>
      <c r="X40" s="158"/>
      <c r="Y40" s="37"/>
      <c r="Z40" s="37"/>
    </row>
    <row r="41" spans="1:26" ht="18" customHeight="1">
      <c r="A41" s="278">
        <v>3</v>
      </c>
      <c r="B41" s="223" t="s">
        <v>1845</v>
      </c>
      <c r="C41" s="23"/>
      <c r="D41" s="197">
        <v>1.5</v>
      </c>
      <c r="E41" s="198">
        <v>2.2999999999999998</v>
      </c>
      <c r="F41" s="198">
        <v>5.2</v>
      </c>
      <c r="G41" s="198">
        <v>10.5</v>
      </c>
      <c r="H41" s="198">
        <v>10.199999999999999</v>
      </c>
      <c r="I41" s="199">
        <v>10.5</v>
      </c>
      <c r="J41" s="74"/>
      <c r="N41" s="132" t="s">
        <v>13</v>
      </c>
      <c r="O41" s="132"/>
      <c r="P41" s="38"/>
      <c r="Q41" s="38"/>
      <c r="R41" s="116"/>
      <c r="S41" s="38"/>
      <c r="T41" s="38"/>
      <c r="U41" s="183"/>
      <c r="V41" s="183"/>
      <c r="W41" s="155">
        <v>2000000</v>
      </c>
      <c r="X41" s="156"/>
      <c r="Y41" s="38"/>
      <c r="Z41" s="38"/>
    </row>
    <row r="42" spans="1:26" ht="18" customHeight="1">
      <c r="A42" s="278">
        <v>4</v>
      </c>
      <c r="B42" s="223" t="s">
        <v>1846</v>
      </c>
      <c r="C42" s="23"/>
      <c r="D42" s="197">
        <v>1.5</v>
      </c>
      <c r="E42" s="198">
        <v>2.2999999999999998</v>
      </c>
      <c r="F42" s="198">
        <v>7.8</v>
      </c>
      <c r="G42" s="198">
        <v>10.7</v>
      </c>
      <c r="H42" s="198">
        <v>13.1</v>
      </c>
      <c r="I42" s="199">
        <v>13.3</v>
      </c>
      <c r="J42" s="389"/>
      <c r="N42" s="127" t="s">
        <v>47</v>
      </c>
      <c r="O42" s="123"/>
      <c r="P42" s="123"/>
      <c r="Q42" s="123"/>
      <c r="R42" s="123"/>
      <c r="S42" s="123"/>
      <c r="T42" s="123"/>
      <c r="U42" s="184"/>
      <c r="V42" s="184"/>
      <c r="W42" s="163">
        <f ca="1">SUBTOTAL(9,W43:W44)</f>
        <v>1140651296</v>
      </c>
      <c r="X42" s="164"/>
      <c r="Y42" s="123"/>
      <c r="Z42" s="123"/>
    </row>
    <row r="43" spans="1:26" ht="18" customHeight="1">
      <c r="A43" s="278">
        <v>5</v>
      </c>
      <c r="B43" s="223" t="s">
        <v>1847</v>
      </c>
      <c r="C43" s="23"/>
      <c r="D43" s="197">
        <v>1.3</v>
      </c>
      <c r="E43" s="198">
        <v>2.1</v>
      </c>
      <c r="F43" s="198">
        <v>5.5</v>
      </c>
      <c r="G43" s="198">
        <v>7.8</v>
      </c>
      <c r="H43" s="198">
        <v>8.4</v>
      </c>
      <c r="I43" s="199">
        <v>7.8</v>
      </c>
      <c r="J43" s="389"/>
      <c r="N43" s="133" t="s">
        <v>861</v>
      </c>
      <c r="O43" s="124"/>
      <c r="P43" s="134"/>
      <c r="Q43" s="124"/>
      <c r="R43" s="131"/>
      <c r="S43" s="124"/>
      <c r="T43" s="181"/>
      <c r="U43" s="181"/>
      <c r="V43" s="190">
        <v>1.1499999999999999</v>
      </c>
      <c r="W43" s="159">
        <f ca="1">ROUNDDOWN(W11*V43,0)</f>
        <v>730779382</v>
      </c>
      <c r="X43" s="160"/>
      <c r="Y43" s="124"/>
      <c r="Z43" s="124"/>
    </row>
    <row r="44" spans="1:26" ht="18" customHeight="1" thickBot="1">
      <c r="A44" s="278"/>
      <c r="B44" s="222" t="s">
        <v>472</v>
      </c>
      <c r="C44" s="47"/>
      <c r="D44" s="48">
        <f t="shared" ref="D44:I44" si="7">SUBTOTAL(9,D45:D54)</f>
        <v>41.5</v>
      </c>
      <c r="E44" s="49">
        <f t="shared" si="7"/>
        <v>66.2</v>
      </c>
      <c r="F44" s="49">
        <f t="shared" si="7"/>
        <v>151.30000000000004</v>
      </c>
      <c r="G44" s="49">
        <f t="shared" si="7"/>
        <v>268.20000000000005</v>
      </c>
      <c r="H44" s="49">
        <f t="shared" si="7"/>
        <v>295.09999999999991</v>
      </c>
      <c r="I44" s="50">
        <f t="shared" si="7"/>
        <v>323.59999999999997</v>
      </c>
      <c r="J44" s="74"/>
      <c r="N44" s="135" t="s">
        <v>862</v>
      </c>
      <c r="O44" s="136"/>
      <c r="P44" s="137"/>
      <c r="Q44" s="136"/>
      <c r="R44" s="138"/>
      <c r="S44" s="136"/>
      <c r="T44" s="185"/>
      <c r="U44" s="185"/>
      <c r="V44" s="191">
        <v>0.3</v>
      </c>
      <c r="W44" s="165">
        <f ca="1">ROUNDDOWN((W11+W43)*V44,0)</f>
        <v>409871914</v>
      </c>
      <c r="X44" s="166"/>
      <c r="Y44" s="136"/>
      <c r="Z44" s="136"/>
    </row>
    <row r="45" spans="1:26" ht="18" customHeight="1">
      <c r="A45" s="278">
        <v>6</v>
      </c>
      <c r="B45" s="223" t="s">
        <v>1848</v>
      </c>
      <c r="C45" s="23"/>
      <c r="D45" s="197">
        <f t="array" ref="D45:I54">ROUNDDOWN(D19:I28*$D$5*L19:L28,3)</f>
        <v>5.0999999999999996</v>
      </c>
      <c r="E45" s="198">
        <v>8</v>
      </c>
      <c r="F45" s="198">
        <v>17.5</v>
      </c>
      <c r="G45" s="198">
        <v>29</v>
      </c>
      <c r="H45" s="198">
        <v>22.2</v>
      </c>
      <c r="I45" s="199">
        <v>24.2</v>
      </c>
      <c r="J45" s="74"/>
    </row>
    <row r="46" spans="1:26" ht="18" customHeight="1">
      <c r="A46" s="278">
        <v>7</v>
      </c>
      <c r="B46" s="223" t="s">
        <v>1849</v>
      </c>
      <c r="C46" s="23"/>
      <c r="D46" s="197">
        <v>8.1999999999999993</v>
      </c>
      <c r="E46" s="198">
        <v>12.9</v>
      </c>
      <c r="F46" s="198">
        <v>31.9</v>
      </c>
      <c r="G46" s="198">
        <v>55.9</v>
      </c>
      <c r="H46" s="198">
        <v>59.7</v>
      </c>
      <c r="I46" s="199">
        <v>82.3</v>
      </c>
      <c r="J46" s="74"/>
      <c r="K46" s="171" t="s">
        <v>14</v>
      </c>
    </row>
    <row r="47" spans="1:26" ht="18" customHeight="1">
      <c r="A47" s="278">
        <v>8</v>
      </c>
      <c r="B47" s="223" t="s">
        <v>1850</v>
      </c>
      <c r="C47" s="23"/>
      <c r="D47" s="197">
        <v>13.1</v>
      </c>
      <c r="E47" s="198">
        <v>20.9</v>
      </c>
      <c r="F47" s="198">
        <v>47</v>
      </c>
      <c r="G47" s="198">
        <v>80.7</v>
      </c>
      <c r="H47" s="198">
        <v>86.4</v>
      </c>
      <c r="I47" s="199">
        <v>94.4</v>
      </c>
      <c r="J47" s="74"/>
      <c r="K47" s="171" t="s">
        <v>14</v>
      </c>
    </row>
    <row r="48" spans="1:26" ht="18" customHeight="1">
      <c r="A48" s="278">
        <v>9</v>
      </c>
      <c r="B48" s="223" t="s">
        <v>1851</v>
      </c>
      <c r="C48" s="23"/>
      <c r="D48" s="197">
        <v>1.3</v>
      </c>
      <c r="E48" s="198">
        <v>2.1</v>
      </c>
      <c r="F48" s="198">
        <v>3.9</v>
      </c>
      <c r="G48" s="198">
        <v>6.6</v>
      </c>
      <c r="H48" s="198">
        <v>9.6999999999999993</v>
      </c>
      <c r="I48" s="199">
        <v>9.1999999999999993</v>
      </c>
      <c r="J48" s="389"/>
      <c r="K48" s="171" t="s">
        <v>14</v>
      </c>
    </row>
    <row r="49" spans="1:26" ht="18" customHeight="1">
      <c r="A49" s="278">
        <v>10</v>
      </c>
      <c r="B49" s="223" t="s">
        <v>1852</v>
      </c>
      <c r="C49" s="23"/>
      <c r="D49" s="197">
        <v>1.3</v>
      </c>
      <c r="E49" s="198">
        <v>2.1</v>
      </c>
      <c r="F49" s="198">
        <v>3.9</v>
      </c>
      <c r="G49" s="198">
        <v>6.6</v>
      </c>
      <c r="H49" s="198">
        <v>9.6999999999999993</v>
      </c>
      <c r="I49" s="199">
        <v>9.1999999999999993</v>
      </c>
      <c r="J49" s="389"/>
      <c r="K49" s="171" t="s">
        <v>14</v>
      </c>
      <c r="L49" s="171"/>
    </row>
    <row r="50" spans="1:26" ht="18" customHeight="1">
      <c r="A50" s="278">
        <v>11</v>
      </c>
      <c r="B50" s="223" t="s">
        <v>1853</v>
      </c>
      <c r="C50" s="23"/>
      <c r="D50" s="197">
        <v>1.3</v>
      </c>
      <c r="E50" s="198">
        <v>2.1</v>
      </c>
      <c r="F50" s="198">
        <v>3.9</v>
      </c>
      <c r="G50" s="198">
        <v>6.6</v>
      </c>
      <c r="H50" s="198">
        <v>9.6999999999999993</v>
      </c>
      <c r="I50" s="199">
        <v>9.1999999999999993</v>
      </c>
      <c r="J50" s="389"/>
      <c r="K50" s="171"/>
      <c r="L50" s="171"/>
      <c r="R50" s="1"/>
      <c r="S50" s="1"/>
      <c r="T50" s="1"/>
      <c r="U50" s="1"/>
      <c r="V50" s="1"/>
      <c r="W50" s="1"/>
      <c r="X50" s="1"/>
      <c r="Y50" s="1"/>
    </row>
    <row r="51" spans="1:26" ht="18" customHeight="1">
      <c r="A51" s="278">
        <v>12</v>
      </c>
      <c r="B51" s="223" t="s">
        <v>1854</v>
      </c>
      <c r="C51" s="23"/>
      <c r="D51" s="197">
        <v>1.3</v>
      </c>
      <c r="E51" s="198">
        <v>2.1</v>
      </c>
      <c r="F51" s="198">
        <v>3.9</v>
      </c>
      <c r="G51" s="198">
        <v>6.6</v>
      </c>
      <c r="H51" s="198">
        <v>9.6999999999999993</v>
      </c>
      <c r="I51" s="199">
        <v>9.1999999999999993</v>
      </c>
      <c r="J51" s="389"/>
      <c r="K51" s="171" t="s">
        <v>14</v>
      </c>
      <c r="L51" s="171"/>
      <c r="R51" s="1"/>
      <c r="S51" s="1"/>
      <c r="T51" s="1"/>
      <c r="U51" s="1"/>
      <c r="V51" s="1"/>
      <c r="W51" s="1"/>
      <c r="X51" s="1"/>
      <c r="Y51" s="1"/>
    </row>
    <row r="52" spans="1:26" ht="18" customHeight="1">
      <c r="A52" s="278">
        <v>13</v>
      </c>
      <c r="B52" s="223" t="s">
        <v>1855</v>
      </c>
      <c r="C52" s="23"/>
      <c r="D52" s="197">
        <v>6.9</v>
      </c>
      <c r="E52" s="198">
        <v>11.1</v>
      </c>
      <c r="F52" s="198">
        <v>29.5</v>
      </c>
      <c r="G52" s="198">
        <v>60</v>
      </c>
      <c r="H52" s="198">
        <v>64.2</v>
      </c>
      <c r="I52" s="199">
        <v>62.9</v>
      </c>
      <c r="J52" s="389"/>
      <c r="K52" s="171" t="s">
        <v>14</v>
      </c>
      <c r="L52" s="171"/>
      <c r="R52" s="1"/>
      <c r="S52" s="1"/>
      <c r="T52" s="1"/>
      <c r="U52" s="1"/>
      <c r="V52" s="1"/>
      <c r="W52" s="1"/>
      <c r="X52" s="1"/>
      <c r="Y52" s="1"/>
    </row>
    <row r="53" spans="1:26" ht="18" customHeight="1" thickBot="1">
      <c r="A53" s="278">
        <v>14</v>
      </c>
      <c r="B53" s="223" t="s">
        <v>1856</v>
      </c>
      <c r="C53" s="23"/>
      <c r="D53" s="197">
        <v>1.5</v>
      </c>
      <c r="E53" s="198">
        <v>2.4</v>
      </c>
      <c r="F53" s="198">
        <v>4.9000000000000004</v>
      </c>
      <c r="G53" s="198">
        <v>8.1</v>
      </c>
      <c r="H53" s="198">
        <v>11.9</v>
      </c>
      <c r="I53" s="199">
        <v>11.5</v>
      </c>
      <c r="J53" s="389"/>
      <c r="K53" s="171" t="s">
        <v>14</v>
      </c>
      <c r="L53" s="171"/>
      <c r="N53" s="66" t="s">
        <v>18</v>
      </c>
      <c r="O53" s="2"/>
      <c r="P53" s="2"/>
      <c r="Q53" s="2"/>
      <c r="R53" s="3"/>
      <c r="S53" s="4"/>
      <c r="T53" s="3"/>
      <c r="U53" s="4"/>
      <c r="V53" s="3"/>
      <c r="W53" s="4"/>
      <c r="X53" s="3"/>
      <c r="Y53" s="4"/>
      <c r="Z53" s="2"/>
    </row>
    <row r="54" spans="1:26" ht="18" customHeight="1">
      <c r="A54" s="278">
        <v>15</v>
      </c>
      <c r="B54" s="223" t="s">
        <v>1857</v>
      </c>
      <c r="C54" s="23"/>
      <c r="D54" s="197">
        <v>1.5</v>
      </c>
      <c r="E54" s="198">
        <v>2.5</v>
      </c>
      <c r="F54" s="198">
        <v>4.9000000000000004</v>
      </c>
      <c r="G54" s="198">
        <v>8.1</v>
      </c>
      <c r="H54" s="198">
        <v>11.9</v>
      </c>
      <c r="I54" s="199">
        <v>11.5</v>
      </c>
      <c r="J54" s="389"/>
      <c r="K54" s="171" t="s">
        <v>14</v>
      </c>
      <c r="L54" s="171"/>
      <c r="N54" s="765" t="s">
        <v>19</v>
      </c>
      <c r="O54" s="755" t="s">
        <v>20</v>
      </c>
      <c r="P54" s="755" t="s">
        <v>21</v>
      </c>
      <c r="Q54" s="755" t="s">
        <v>16</v>
      </c>
      <c r="R54" s="5" t="s">
        <v>22</v>
      </c>
      <c r="S54" s="5"/>
      <c r="T54" s="5" t="s">
        <v>23</v>
      </c>
      <c r="U54" s="5"/>
      <c r="V54" s="5" t="s">
        <v>24</v>
      </c>
      <c r="W54" s="5"/>
      <c r="X54" s="5" t="s">
        <v>25</v>
      </c>
      <c r="Y54" s="5"/>
      <c r="Z54" s="755" t="s">
        <v>26</v>
      </c>
    </row>
    <row r="55" spans="1:26" ht="18" customHeight="1" thickBot="1">
      <c r="A55" s="278"/>
      <c r="B55" s="222" t="s">
        <v>1858</v>
      </c>
      <c r="C55" s="47"/>
      <c r="D55" s="48">
        <f t="shared" ref="D55:I55" si="8">SUBTOTAL(9,D56:D57)</f>
        <v>8.8000000000000007</v>
      </c>
      <c r="E55" s="49">
        <f t="shared" si="8"/>
        <v>14.3</v>
      </c>
      <c r="F55" s="49">
        <f t="shared" si="8"/>
        <v>31.9</v>
      </c>
      <c r="G55" s="49">
        <f t="shared" si="8"/>
        <v>59.3</v>
      </c>
      <c r="H55" s="49">
        <f t="shared" si="8"/>
        <v>82.300000000000011</v>
      </c>
      <c r="I55" s="50">
        <f t="shared" si="8"/>
        <v>82.3</v>
      </c>
      <c r="J55" s="74"/>
      <c r="K55" s="171" t="s">
        <v>14</v>
      </c>
      <c r="L55" s="171"/>
      <c r="N55" s="766"/>
      <c r="O55" s="756"/>
      <c r="P55" s="756"/>
      <c r="Q55" s="756"/>
      <c r="R55" s="67" t="s">
        <v>27</v>
      </c>
      <c r="S55" s="67" t="s">
        <v>28</v>
      </c>
      <c r="T55" s="67" t="s">
        <v>27</v>
      </c>
      <c r="U55" s="67" t="s">
        <v>28</v>
      </c>
      <c r="V55" s="67" t="s">
        <v>27</v>
      </c>
      <c r="W55" s="67" t="s">
        <v>28</v>
      </c>
      <c r="X55" s="67" t="s">
        <v>27</v>
      </c>
      <c r="Y55" s="67" t="s">
        <v>28</v>
      </c>
      <c r="Z55" s="756"/>
    </row>
    <row r="56" spans="1:26" ht="18" customHeight="1" thickTop="1">
      <c r="A56" s="278">
        <v>16</v>
      </c>
      <c r="B56" s="223" t="s">
        <v>1859</v>
      </c>
      <c r="C56" s="23"/>
      <c r="D56" s="197">
        <f t="array" ref="D56:I57">ROUNDDOWN(D30:I31*$D$5*L30:L31,3)</f>
        <v>6</v>
      </c>
      <c r="E56" s="198">
        <v>9.4</v>
      </c>
      <c r="F56" s="198">
        <v>21.2</v>
      </c>
      <c r="G56" s="198">
        <v>35.4</v>
      </c>
      <c r="H56" s="198">
        <v>35.1</v>
      </c>
      <c r="I56" s="199">
        <v>23.3</v>
      </c>
      <c r="J56" s="74"/>
      <c r="K56" s="171" t="s">
        <v>14</v>
      </c>
      <c r="L56" s="171"/>
      <c r="N56" s="318" t="str">
        <f ca="1">"제 " &amp; Z56 &amp; " 호표  "&amp; OFFSET($A$1,MATCH(Z56,$A:$A,0)-1,1)</f>
        <v>제 1 호표  1.1. 도시현황</v>
      </c>
      <c r="O56" s="221"/>
      <c r="P56" s="148"/>
      <c r="Q56" s="148"/>
      <c r="R56" s="149"/>
      <c r="S56" s="149"/>
      <c r="T56" s="149"/>
      <c r="U56" s="149"/>
      <c r="V56" s="149"/>
      <c r="W56" s="149"/>
      <c r="X56" s="149"/>
      <c r="Y56" s="149"/>
      <c r="Z56" s="325">
        <v>1</v>
      </c>
    </row>
    <row r="57" spans="1:26" ht="18" customHeight="1">
      <c r="A57" s="278">
        <v>17</v>
      </c>
      <c r="B57" s="259" t="s">
        <v>1860</v>
      </c>
      <c r="C57" s="43"/>
      <c r="D57" s="206">
        <v>2.8</v>
      </c>
      <c r="E57" s="207">
        <v>4.9000000000000004</v>
      </c>
      <c r="F57" s="207">
        <v>10.7</v>
      </c>
      <c r="G57" s="207">
        <v>23.9</v>
      </c>
      <c r="H57" s="207">
        <v>47.2</v>
      </c>
      <c r="I57" s="208">
        <v>59</v>
      </c>
      <c r="J57" s="74"/>
      <c r="K57" s="171" t="s">
        <v>14</v>
      </c>
      <c r="L57" s="171"/>
      <c r="N57" s="140" t="s">
        <v>43</v>
      </c>
      <c r="O57" s="172">
        <v>3</v>
      </c>
      <c r="P57" s="219">
        <f ca="1">OFFSET($A$1,MATCH(Z56,$A:$A,0)-1,O57)</f>
        <v>11.8</v>
      </c>
      <c r="Q57" s="141" t="s">
        <v>29</v>
      </c>
      <c r="R57" s="142">
        <f t="shared" ref="R57:S62" ca="1" si="9">T57</f>
        <v>467217</v>
      </c>
      <c r="S57" s="142">
        <f t="shared" ca="1" si="9"/>
        <v>5513160</v>
      </c>
      <c r="T57" s="142">
        <f ca="1">기술사</f>
        <v>467217</v>
      </c>
      <c r="U57" s="142">
        <f t="shared" ref="U57:U62" ca="1" si="10">ROUNDDOWN(P57*R57,0)</f>
        <v>5513160</v>
      </c>
      <c r="V57" s="142"/>
      <c r="W57" s="142"/>
      <c r="X57" s="142"/>
      <c r="Y57" s="142"/>
      <c r="Z57" s="114"/>
    </row>
    <row r="58" spans="1:26" ht="18" customHeight="1">
      <c r="A58" s="278"/>
      <c r="B58" s="222" t="s">
        <v>269</v>
      </c>
      <c r="C58" s="47"/>
      <c r="D58" s="48">
        <f t="shared" ref="D58:I58" si="11">SUBTOTAL(9,D59:D62)</f>
        <v>8</v>
      </c>
      <c r="E58" s="49">
        <f t="shared" si="11"/>
        <v>8</v>
      </c>
      <c r="F58" s="49">
        <f t="shared" si="11"/>
        <v>8</v>
      </c>
      <c r="G58" s="49">
        <f t="shared" si="11"/>
        <v>16</v>
      </c>
      <c r="H58" s="49">
        <f t="shared" si="11"/>
        <v>16</v>
      </c>
      <c r="I58" s="50">
        <f t="shared" si="11"/>
        <v>16</v>
      </c>
      <c r="J58" s="74"/>
      <c r="K58" s="171" t="s">
        <v>14</v>
      </c>
      <c r="L58" s="171"/>
      <c r="N58" s="143" t="s">
        <v>32</v>
      </c>
      <c r="O58" s="173">
        <v>4</v>
      </c>
      <c r="P58" s="234">
        <f ca="1">OFFSET($A$1,MATCH(Z56,$A:$A,0)-1,O58)</f>
        <v>18.899999999999999</v>
      </c>
      <c r="Q58" s="144" t="s">
        <v>29</v>
      </c>
      <c r="R58" s="118">
        <f t="shared" ca="1" si="9"/>
        <v>373353</v>
      </c>
      <c r="S58" s="118">
        <f t="shared" ca="1" si="9"/>
        <v>7056371</v>
      </c>
      <c r="T58" s="118">
        <f ca="1">특급</f>
        <v>373353</v>
      </c>
      <c r="U58" s="118">
        <f t="shared" ca="1" si="10"/>
        <v>7056371</v>
      </c>
      <c r="V58" s="118"/>
      <c r="W58" s="118"/>
      <c r="X58" s="118"/>
      <c r="Y58" s="118"/>
      <c r="Z58" s="115"/>
    </row>
    <row r="59" spans="1:26" ht="18" customHeight="1">
      <c r="A59" s="278">
        <v>18</v>
      </c>
      <c r="B59" s="223" t="s">
        <v>1626</v>
      </c>
      <c r="C59" s="23"/>
      <c r="D59" s="197">
        <f t="array" ref="D59:I62">ROUNDDOWN(D33:I36*L33:L36*I5,3)</f>
        <v>2</v>
      </c>
      <c r="E59" s="198">
        <v>2</v>
      </c>
      <c r="F59" s="198">
        <v>2</v>
      </c>
      <c r="G59" s="198">
        <v>4</v>
      </c>
      <c r="H59" s="198">
        <v>4</v>
      </c>
      <c r="I59" s="199">
        <v>4</v>
      </c>
      <c r="J59" s="74"/>
      <c r="K59" s="171" t="s">
        <v>14</v>
      </c>
      <c r="L59" s="171"/>
      <c r="N59" s="145" t="s">
        <v>39</v>
      </c>
      <c r="O59" s="173">
        <v>5</v>
      </c>
      <c r="P59" s="234">
        <f ca="1">OFFSET($A$1,MATCH(Z56,$A:$A,0)-1,O59)</f>
        <v>79.3</v>
      </c>
      <c r="Q59" s="144" t="s">
        <v>29</v>
      </c>
      <c r="R59" s="118">
        <f t="shared" ca="1" si="9"/>
        <v>310884</v>
      </c>
      <c r="S59" s="118">
        <f t="shared" ca="1" si="9"/>
        <v>24653101</v>
      </c>
      <c r="T59" s="118">
        <f ca="1">고급</f>
        <v>310884</v>
      </c>
      <c r="U59" s="118">
        <f t="shared" ca="1" si="10"/>
        <v>24653101</v>
      </c>
      <c r="V59" s="118"/>
      <c r="W59" s="118"/>
      <c r="X59" s="118"/>
      <c r="Y59" s="118"/>
      <c r="Z59" s="115"/>
    </row>
    <row r="60" spans="1:26" ht="18" customHeight="1">
      <c r="A60" s="278">
        <v>19</v>
      </c>
      <c r="B60" s="223" t="s">
        <v>1861</v>
      </c>
      <c r="C60" s="23"/>
      <c r="D60" s="197">
        <v>2</v>
      </c>
      <c r="E60" s="198">
        <v>2</v>
      </c>
      <c r="F60" s="198">
        <v>2</v>
      </c>
      <c r="G60" s="198">
        <v>4</v>
      </c>
      <c r="H60" s="198">
        <v>4</v>
      </c>
      <c r="I60" s="199">
        <v>4</v>
      </c>
      <c r="J60" s="74"/>
      <c r="K60" s="171" t="s">
        <v>14</v>
      </c>
      <c r="L60" s="171"/>
      <c r="N60" s="145" t="s">
        <v>40</v>
      </c>
      <c r="O60" s="173">
        <v>6</v>
      </c>
      <c r="P60" s="234">
        <f ca="1">OFFSET($A$1,MATCH(Z56,$A:$A,0)-1,O60)</f>
        <v>119.7</v>
      </c>
      <c r="Q60" s="144" t="s">
        <v>29</v>
      </c>
      <c r="R60" s="118">
        <f t="shared" ca="1" si="9"/>
        <v>295138</v>
      </c>
      <c r="S60" s="118">
        <f t="shared" ca="1" si="9"/>
        <v>35328018</v>
      </c>
      <c r="T60" s="118">
        <f ca="1">중급</f>
        <v>295138</v>
      </c>
      <c r="U60" s="118">
        <f t="shared" ca="1" si="10"/>
        <v>35328018</v>
      </c>
      <c r="V60" s="118"/>
      <c r="W60" s="118"/>
      <c r="X60" s="118"/>
      <c r="Y60" s="118"/>
      <c r="Z60" s="115"/>
    </row>
    <row r="61" spans="1:26" ht="18" customHeight="1">
      <c r="A61" s="278">
        <v>20</v>
      </c>
      <c r="B61" s="223" t="s">
        <v>1628</v>
      </c>
      <c r="C61" s="23"/>
      <c r="D61" s="197">
        <v>2</v>
      </c>
      <c r="E61" s="198">
        <v>2</v>
      </c>
      <c r="F61" s="198">
        <v>2</v>
      </c>
      <c r="G61" s="198">
        <v>4</v>
      </c>
      <c r="H61" s="198">
        <v>4</v>
      </c>
      <c r="I61" s="199">
        <v>4</v>
      </c>
      <c r="J61" s="74"/>
      <c r="K61" s="171" t="s">
        <v>14</v>
      </c>
      <c r="L61" s="171"/>
      <c r="N61" s="145" t="s">
        <v>41</v>
      </c>
      <c r="O61" s="173">
        <v>7</v>
      </c>
      <c r="P61" s="234">
        <f ca="1">OFFSET($A$1,MATCH(Z56,$A:$A,0)-1,O61)</f>
        <v>198.8</v>
      </c>
      <c r="Q61" s="144" t="s">
        <v>29</v>
      </c>
      <c r="R61" s="118">
        <f t="shared" ca="1" si="9"/>
        <v>235459</v>
      </c>
      <c r="S61" s="118">
        <f t="shared" ca="1" si="9"/>
        <v>46809249</v>
      </c>
      <c r="T61" s="118">
        <f ca="1">초급</f>
        <v>235459</v>
      </c>
      <c r="U61" s="118">
        <f t="shared" ca="1" si="10"/>
        <v>46809249</v>
      </c>
      <c r="V61" s="118"/>
      <c r="W61" s="118"/>
      <c r="X61" s="118"/>
      <c r="Y61" s="118"/>
      <c r="Z61" s="115"/>
    </row>
    <row r="62" spans="1:26" ht="18" customHeight="1" thickBot="1">
      <c r="A62" s="278">
        <v>21</v>
      </c>
      <c r="B62" s="388" t="s">
        <v>1862</v>
      </c>
      <c r="C62" s="342"/>
      <c r="D62" s="343">
        <v>2</v>
      </c>
      <c r="E62" s="344">
        <v>2</v>
      </c>
      <c r="F62" s="344">
        <v>2</v>
      </c>
      <c r="G62" s="344">
        <v>4</v>
      </c>
      <c r="H62" s="344">
        <v>4</v>
      </c>
      <c r="I62" s="345">
        <v>4</v>
      </c>
      <c r="J62" s="176"/>
      <c r="K62" s="171" t="s">
        <v>14</v>
      </c>
      <c r="L62" s="171"/>
      <c r="N62" s="319" t="s">
        <v>42</v>
      </c>
      <c r="O62" s="174">
        <v>8</v>
      </c>
      <c r="P62" s="235">
        <f ca="1">OFFSET($A$1,MATCH(Z56,$A:$A,0)-1,O62)</f>
        <v>214.5</v>
      </c>
      <c r="Q62" s="322" t="s">
        <v>29</v>
      </c>
      <c r="R62" s="323">
        <f t="shared" ca="1" si="9"/>
        <v>250087</v>
      </c>
      <c r="S62" s="323">
        <f t="shared" ca="1" si="9"/>
        <v>53643661</v>
      </c>
      <c r="T62" s="323">
        <f ca="1">보조원</f>
        <v>250087</v>
      </c>
      <c r="U62" s="323">
        <f t="shared" ca="1" si="10"/>
        <v>53643661</v>
      </c>
      <c r="V62" s="323"/>
      <c r="W62" s="323"/>
      <c r="X62" s="323"/>
      <c r="Y62" s="323"/>
      <c r="Z62" s="324"/>
    </row>
    <row r="63" spans="1:26" ht="18" customHeight="1">
      <c r="A63" s="278"/>
      <c r="B63" s="80" t="s">
        <v>1863</v>
      </c>
      <c r="C63" s="1" t="s">
        <v>1864</v>
      </c>
      <c r="E63" s="8"/>
      <c r="F63" s="8"/>
      <c r="G63" s="8"/>
      <c r="H63" s="8"/>
      <c r="I63" s="8"/>
      <c r="J63" s="10"/>
      <c r="K63" s="171" t="s">
        <v>14</v>
      </c>
      <c r="L63" s="171"/>
      <c r="N63" s="139" t="s">
        <v>17</v>
      </c>
      <c r="O63" s="68"/>
      <c r="P63" s="69"/>
      <c r="Q63" s="70"/>
      <c r="R63" s="71"/>
      <c r="S63" s="71">
        <f ca="1">SUBTOTAL(9,S57:S62)</f>
        <v>173003560</v>
      </c>
      <c r="T63" s="71"/>
      <c r="U63" s="71">
        <f ca="1">SUBTOTAL(9,U57:U62)</f>
        <v>173003560</v>
      </c>
      <c r="V63" s="71"/>
      <c r="W63" s="71"/>
      <c r="X63" s="71"/>
      <c r="Y63" s="71"/>
      <c r="Z63" s="68"/>
    </row>
    <row r="64" spans="1:26" ht="18" customHeight="1">
      <c r="A64" s="278"/>
      <c r="B64" s="80"/>
      <c r="C64" s="9" t="s">
        <v>1865</v>
      </c>
      <c r="J64" s="8"/>
      <c r="K64" s="171" t="s">
        <v>14</v>
      </c>
      <c r="L64" s="171"/>
      <c r="N64" s="318" t="str">
        <f ca="1">"제 " &amp; Z64 &amp; " 호표  "&amp; OFFSET($A$1,MATCH(Z64,$A:$A,0)-1,1)</f>
        <v>제 2 호표  1.2. 지역자산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f>Z56+1</f>
        <v>2</v>
      </c>
    </row>
    <row r="65" spans="1:26" ht="18" customHeight="1">
      <c r="A65" s="278"/>
      <c r="C65" s="1" t="s">
        <v>1866</v>
      </c>
      <c r="J65" s="8"/>
      <c r="K65" s="171" t="s">
        <v>14</v>
      </c>
      <c r="L65" s="171"/>
      <c r="N65" s="140" t="s">
        <v>43</v>
      </c>
      <c r="O65" s="172">
        <v>3</v>
      </c>
      <c r="P65" s="219">
        <f ca="1">OFFSET($A$1,MATCH(Z64,$A:$A,0)-1,O65)</f>
        <v>1.3</v>
      </c>
      <c r="Q65" s="141" t="s">
        <v>29</v>
      </c>
      <c r="R65" s="142">
        <f t="shared" ref="R65:S70" ca="1" si="12">T65</f>
        <v>467217</v>
      </c>
      <c r="S65" s="142">
        <f t="shared" ca="1" si="12"/>
        <v>607382</v>
      </c>
      <c r="T65" s="142">
        <f ca="1">기술사</f>
        <v>467217</v>
      </c>
      <c r="U65" s="142">
        <f t="shared" ref="U65:U70" ca="1" si="13">ROUNDDOWN(P65*R65,0)</f>
        <v>607382</v>
      </c>
      <c r="V65" s="142"/>
      <c r="W65" s="142"/>
      <c r="X65" s="142"/>
      <c r="Y65" s="142"/>
      <c r="Z65" s="114"/>
    </row>
    <row r="66" spans="1:26" ht="18" customHeight="1">
      <c r="A66" s="278"/>
      <c r="C66" s="9" t="s">
        <v>1867</v>
      </c>
      <c r="J66" s="8"/>
      <c r="K66" s="171" t="s">
        <v>14</v>
      </c>
      <c r="L66" s="171"/>
      <c r="N66" s="143" t="s">
        <v>32</v>
      </c>
      <c r="O66" s="173">
        <v>4</v>
      </c>
      <c r="P66" s="234">
        <f ca="1">OFFSET($A$1,MATCH(Z64,$A:$A,0)-1,O66)</f>
        <v>2.1</v>
      </c>
      <c r="Q66" s="144" t="s">
        <v>29</v>
      </c>
      <c r="R66" s="118">
        <f t="shared" ca="1" si="12"/>
        <v>373353</v>
      </c>
      <c r="S66" s="118">
        <f t="shared" ca="1" si="12"/>
        <v>784041</v>
      </c>
      <c r="T66" s="118">
        <f ca="1">특급</f>
        <v>373353</v>
      </c>
      <c r="U66" s="118">
        <f t="shared" ca="1" si="13"/>
        <v>784041</v>
      </c>
      <c r="V66" s="118"/>
      <c r="W66" s="118"/>
      <c r="X66" s="118"/>
      <c r="Y66" s="118"/>
      <c r="Z66" s="115"/>
    </row>
    <row r="67" spans="1:26" ht="18" customHeight="1">
      <c r="A67" s="278"/>
      <c r="C67" s="9" t="s">
        <v>1868</v>
      </c>
      <c r="K67" s="171" t="s">
        <v>14</v>
      </c>
      <c r="L67" s="171"/>
      <c r="N67" s="145" t="s">
        <v>39</v>
      </c>
      <c r="O67" s="173">
        <v>5</v>
      </c>
      <c r="P67" s="234">
        <f ca="1">OFFSET($A$1,MATCH(Z64,$A:$A,0)-1,O67)</f>
        <v>2.8</v>
      </c>
      <c r="Q67" s="144" t="s">
        <v>29</v>
      </c>
      <c r="R67" s="118">
        <f t="shared" ca="1" si="12"/>
        <v>310884</v>
      </c>
      <c r="S67" s="118">
        <f t="shared" ca="1" si="12"/>
        <v>870475</v>
      </c>
      <c r="T67" s="118">
        <f ca="1">고급</f>
        <v>310884</v>
      </c>
      <c r="U67" s="118">
        <f t="shared" ca="1" si="13"/>
        <v>870475</v>
      </c>
      <c r="V67" s="118"/>
      <c r="W67" s="118"/>
      <c r="X67" s="118"/>
      <c r="Y67" s="118"/>
      <c r="Z67" s="115"/>
    </row>
    <row r="68" spans="1:26" ht="18" customHeight="1">
      <c r="C68" s="9"/>
      <c r="K68" s="171" t="s">
        <v>14</v>
      </c>
      <c r="L68" s="171"/>
      <c r="N68" s="145" t="s">
        <v>40</v>
      </c>
      <c r="O68" s="173">
        <v>6</v>
      </c>
      <c r="P68" s="234">
        <f ca="1">OFFSET($A$1,MATCH(Z64,$A:$A,0)-1,O68)</f>
        <v>7.8</v>
      </c>
      <c r="Q68" s="144" t="s">
        <v>29</v>
      </c>
      <c r="R68" s="118">
        <f t="shared" ca="1" si="12"/>
        <v>295138</v>
      </c>
      <c r="S68" s="118">
        <f t="shared" ca="1" si="12"/>
        <v>2302076</v>
      </c>
      <c r="T68" s="118">
        <f ca="1">중급</f>
        <v>295138</v>
      </c>
      <c r="U68" s="118">
        <f t="shared" ca="1" si="13"/>
        <v>2302076</v>
      </c>
      <c r="V68" s="118"/>
      <c r="W68" s="118"/>
      <c r="X68" s="118"/>
      <c r="Y68" s="118"/>
      <c r="Z68" s="115"/>
    </row>
    <row r="69" spans="1:26" ht="18" customHeight="1">
      <c r="A69" s="278"/>
      <c r="C69" s="9"/>
      <c r="K69" s="171" t="s">
        <v>14</v>
      </c>
      <c r="L69" s="171"/>
      <c r="N69" s="145" t="s">
        <v>41</v>
      </c>
      <c r="O69" s="173">
        <v>7</v>
      </c>
      <c r="P69" s="234">
        <f ca="1">OFFSET($A$1,MATCH(Z64,$A:$A,0)-1,O69)</f>
        <v>7.8</v>
      </c>
      <c r="Q69" s="144" t="s">
        <v>29</v>
      </c>
      <c r="R69" s="118">
        <f t="shared" ca="1" si="12"/>
        <v>235459</v>
      </c>
      <c r="S69" s="118">
        <f t="shared" ca="1" si="12"/>
        <v>1836580</v>
      </c>
      <c r="T69" s="118">
        <f ca="1">초급</f>
        <v>235459</v>
      </c>
      <c r="U69" s="118">
        <f t="shared" ca="1" si="13"/>
        <v>1836580</v>
      </c>
      <c r="V69" s="118"/>
      <c r="W69" s="118"/>
      <c r="X69" s="118"/>
      <c r="Y69" s="118"/>
      <c r="Z69" s="115"/>
    </row>
    <row r="70" spans="1:26" ht="18" customHeight="1">
      <c r="A70" s="278"/>
      <c r="C70" s="9"/>
      <c r="K70" s="171" t="s">
        <v>14</v>
      </c>
      <c r="L70" s="171"/>
      <c r="N70" s="319" t="s">
        <v>42</v>
      </c>
      <c r="O70" s="174">
        <v>8</v>
      </c>
      <c r="P70" s="235">
        <f ca="1">OFFSET($A$1,MATCH(Z64,$A:$A,0)-1,O70)</f>
        <v>10.5</v>
      </c>
      <c r="Q70" s="322" t="s">
        <v>29</v>
      </c>
      <c r="R70" s="323">
        <f t="shared" ca="1" si="12"/>
        <v>250087</v>
      </c>
      <c r="S70" s="323">
        <f t="shared" ca="1" si="12"/>
        <v>2625913</v>
      </c>
      <c r="T70" s="323">
        <f ca="1">보조원</f>
        <v>250087</v>
      </c>
      <c r="U70" s="323">
        <f t="shared" ca="1" si="13"/>
        <v>2625913</v>
      </c>
      <c r="V70" s="323"/>
      <c r="W70" s="323"/>
      <c r="X70" s="323"/>
      <c r="Y70" s="323"/>
      <c r="Z70" s="324"/>
    </row>
    <row r="71" spans="1:26" ht="18" customHeight="1">
      <c r="A71" s="278"/>
      <c r="K71" s="171" t="s">
        <v>14</v>
      </c>
      <c r="L71" s="171"/>
      <c r="N71" s="139" t="s">
        <v>17</v>
      </c>
      <c r="O71" s="68"/>
      <c r="P71" s="69"/>
      <c r="Q71" s="70"/>
      <c r="R71" s="71"/>
      <c r="S71" s="71">
        <f ca="1">SUBTOTAL(9,S65:S70)</f>
        <v>9026467</v>
      </c>
      <c r="T71" s="71"/>
      <c r="U71" s="71">
        <f ca="1">SUBTOTAL(9,U65:U70)</f>
        <v>9026467</v>
      </c>
      <c r="V71" s="71"/>
      <c r="W71" s="71"/>
      <c r="X71" s="71"/>
      <c r="Y71" s="71"/>
      <c r="Z71" s="68"/>
    </row>
    <row r="72" spans="1:26" ht="18" customHeight="1">
      <c r="A72" s="278"/>
      <c r="B72" s="9"/>
      <c r="C72" s="9"/>
      <c r="K72" s="171" t="s">
        <v>14</v>
      </c>
      <c r="L72" s="171"/>
      <c r="N72" s="318" t="str">
        <f ca="1">"제 " &amp; Z72 &amp; " 호표  "&amp; OFFSET($A$1,MATCH(Z72,$A:$A,0)-1,1)</f>
        <v>제 3 호표  1.3. 기초생활인프라 현황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3</v>
      </c>
    </row>
    <row r="73" spans="1:26" ht="18" customHeight="1">
      <c r="B73" s="9"/>
      <c r="K73" s="171" t="s">
        <v>14</v>
      </c>
      <c r="L73" s="171"/>
      <c r="N73" s="140" t="s">
        <v>43</v>
      </c>
      <c r="O73" s="172">
        <v>3</v>
      </c>
      <c r="P73" s="219">
        <f ca="1">OFFSET($A$1,MATCH(Z72,$A:$A,0)-1,O73)</f>
        <v>1.5</v>
      </c>
      <c r="Q73" s="141" t="s">
        <v>29</v>
      </c>
      <c r="R73" s="142">
        <f t="shared" ref="R73:S78" ca="1" si="14">T73</f>
        <v>467217</v>
      </c>
      <c r="S73" s="142">
        <f t="shared" ca="1" si="14"/>
        <v>700825</v>
      </c>
      <c r="T73" s="142">
        <f ca="1">기술사</f>
        <v>467217</v>
      </c>
      <c r="U73" s="142">
        <f t="shared" ref="U73:U78" ca="1" si="15">ROUNDDOWN(P73*R73,0)</f>
        <v>700825</v>
      </c>
      <c r="V73" s="142"/>
      <c r="W73" s="142"/>
      <c r="X73" s="142"/>
      <c r="Y73" s="142"/>
      <c r="Z73" s="114"/>
    </row>
    <row r="74" spans="1:26" ht="18" customHeight="1">
      <c r="B74" s="9"/>
      <c r="K74" s="171" t="s">
        <v>14</v>
      </c>
      <c r="L74" s="171"/>
      <c r="N74" s="143" t="s">
        <v>32</v>
      </c>
      <c r="O74" s="173">
        <v>4</v>
      </c>
      <c r="P74" s="234">
        <f ca="1">OFFSET($A$1,MATCH(Z72,$A:$A,0)-1,O74)</f>
        <v>2.2999999999999998</v>
      </c>
      <c r="Q74" s="144" t="s">
        <v>29</v>
      </c>
      <c r="R74" s="118">
        <f t="shared" ca="1" si="14"/>
        <v>373353</v>
      </c>
      <c r="S74" s="118">
        <f t="shared" ca="1" si="14"/>
        <v>858711</v>
      </c>
      <c r="T74" s="118">
        <f ca="1">특급</f>
        <v>373353</v>
      </c>
      <c r="U74" s="118">
        <f t="shared" ca="1" si="15"/>
        <v>858711</v>
      </c>
      <c r="V74" s="118"/>
      <c r="W74" s="118"/>
      <c r="X74" s="118"/>
      <c r="Y74" s="118"/>
      <c r="Z74" s="115"/>
    </row>
    <row r="75" spans="1:26" ht="18" customHeight="1">
      <c r="B75" s="9"/>
      <c r="K75" s="171" t="s">
        <v>14</v>
      </c>
      <c r="L75" s="171"/>
      <c r="N75" s="145" t="s">
        <v>39</v>
      </c>
      <c r="O75" s="173">
        <v>5</v>
      </c>
      <c r="P75" s="234">
        <f ca="1">OFFSET($A$1,MATCH(Z72,$A:$A,0)-1,O75)</f>
        <v>5.2</v>
      </c>
      <c r="Q75" s="144" t="s">
        <v>29</v>
      </c>
      <c r="R75" s="118">
        <f t="shared" ca="1" si="14"/>
        <v>310884</v>
      </c>
      <c r="S75" s="118">
        <f t="shared" ca="1" si="14"/>
        <v>1616596</v>
      </c>
      <c r="T75" s="118">
        <f ca="1">고급</f>
        <v>310884</v>
      </c>
      <c r="U75" s="118">
        <f t="shared" ca="1" si="15"/>
        <v>1616596</v>
      </c>
      <c r="V75" s="118"/>
      <c r="W75" s="118"/>
      <c r="X75" s="118"/>
      <c r="Y75" s="118"/>
      <c r="Z75" s="115"/>
    </row>
    <row r="76" spans="1:26" ht="18" customHeight="1">
      <c r="B76" s="9"/>
      <c r="K76" s="171" t="s">
        <v>14</v>
      </c>
      <c r="L76" s="171"/>
      <c r="N76" s="145" t="s">
        <v>40</v>
      </c>
      <c r="O76" s="173">
        <v>6</v>
      </c>
      <c r="P76" s="234">
        <f ca="1">OFFSET($A$1,MATCH(Z72,$A:$A,0)-1,O76)</f>
        <v>10.5</v>
      </c>
      <c r="Q76" s="144" t="s">
        <v>29</v>
      </c>
      <c r="R76" s="118">
        <f t="shared" ca="1" si="14"/>
        <v>295138</v>
      </c>
      <c r="S76" s="118">
        <f t="shared" ca="1" si="14"/>
        <v>3098949</v>
      </c>
      <c r="T76" s="118">
        <f ca="1">중급</f>
        <v>295138</v>
      </c>
      <c r="U76" s="118">
        <f t="shared" ca="1" si="15"/>
        <v>3098949</v>
      </c>
      <c r="V76" s="118"/>
      <c r="W76" s="118"/>
      <c r="X76" s="118"/>
      <c r="Y76" s="118"/>
      <c r="Z76" s="115"/>
    </row>
    <row r="77" spans="1:26" ht="18" customHeight="1">
      <c r="B77" s="9"/>
      <c r="K77" s="171" t="s">
        <v>14</v>
      </c>
      <c r="L77" s="171"/>
      <c r="N77" s="145" t="s">
        <v>41</v>
      </c>
      <c r="O77" s="173">
        <v>7</v>
      </c>
      <c r="P77" s="234">
        <f ca="1">OFFSET($A$1,MATCH(Z72,$A:$A,0)-1,O77)</f>
        <v>10.199999999999999</v>
      </c>
      <c r="Q77" s="144" t="s">
        <v>29</v>
      </c>
      <c r="R77" s="118">
        <f t="shared" ca="1" si="14"/>
        <v>235459</v>
      </c>
      <c r="S77" s="118">
        <f t="shared" ca="1" si="14"/>
        <v>2401681</v>
      </c>
      <c r="T77" s="118">
        <f ca="1">초급</f>
        <v>235459</v>
      </c>
      <c r="U77" s="118">
        <f t="shared" ca="1" si="15"/>
        <v>2401681</v>
      </c>
      <c r="V77" s="118"/>
      <c r="W77" s="118"/>
      <c r="X77" s="118"/>
      <c r="Y77" s="118"/>
      <c r="Z77" s="115"/>
    </row>
    <row r="78" spans="1:26" ht="18" customHeight="1">
      <c r="B78" s="9"/>
      <c r="K78" s="171" t="s">
        <v>14</v>
      </c>
      <c r="L78" s="171"/>
      <c r="N78" s="319" t="s">
        <v>42</v>
      </c>
      <c r="O78" s="174">
        <v>8</v>
      </c>
      <c r="P78" s="235">
        <f ca="1">OFFSET($A$1,MATCH(Z72,$A:$A,0)-1,O78)</f>
        <v>10.5</v>
      </c>
      <c r="Q78" s="322" t="s">
        <v>29</v>
      </c>
      <c r="R78" s="323">
        <f t="shared" ca="1" si="14"/>
        <v>250087</v>
      </c>
      <c r="S78" s="323">
        <f t="shared" ca="1" si="14"/>
        <v>2625913</v>
      </c>
      <c r="T78" s="323">
        <f ca="1">보조원</f>
        <v>250087</v>
      </c>
      <c r="U78" s="323">
        <f t="shared" ca="1" si="15"/>
        <v>2625913</v>
      </c>
      <c r="V78" s="323"/>
      <c r="W78" s="323"/>
      <c r="X78" s="323"/>
      <c r="Y78" s="323"/>
      <c r="Z78" s="324"/>
    </row>
    <row r="79" spans="1:26" ht="18" customHeight="1">
      <c r="K79" s="171" t="s">
        <v>14</v>
      </c>
      <c r="L79" s="171"/>
      <c r="N79" s="139" t="s">
        <v>17</v>
      </c>
      <c r="O79" s="68"/>
      <c r="P79" s="69"/>
      <c r="Q79" s="70"/>
      <c r="R79" s="71"/>
      <c r="S79" s="71">
        <f ca="1">SUBTOTAL(9,S73:S78)</f>
        <v>11302675</v>
      </c>
      <c r="T79" s="71"/>
      <c r="U79" s="71">
        <f ca="1">SUBTOTAL(9,U73:U78)</f>
        <v>11302675</v>
      </c>
      <c r="V79" s="71"/>
      <c r="W79" s="71"/>
      <c r="X79" s="71"/>
      <c r="Y79" s="71"/>
      <c r="Z79" s="68"/>
    </row>
    <row r="80" spans="1:26" ht="18" customHeight="1">
      <c r="K80" s="171" t="s">
        <v>14</v>
      </c>
      <c r="L80" s="171"/>
      <c r="N80" s="318" t="str">
        <f ca="1">"제 " &amp; Z80 &amp; " 호표  "&amp; OFFSET($A$1,MATCH(Z80,$A:$A,0)-1,1)</f>
        <v>제 4 호표  1.4. 주거수준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4</v>
      </c>
    </row>
    <row r="81" spans="11:26" ht="18" customHeight="1">
      <c r="K81" s="171" t="s">
        <v>14</v>
      </c>
      <c r="L81" s="171"/>
      <c r="N81" s="140" t="s">
        <v>43</v>
      </c>
      <c r="O81" s="172">
        <v>3</v>
      </c>
      <c r="P81" s="219">
        <f ca="1">OFFSET($A$1,MATCH(Z80,$A:$A,0)-1,O81)</f>
        <v>1.5</v>
      </c>
      <c r="Q81" s="141" t="s">
        <v>29</v>
      </c>
      <c r="R81" s="142">
        <f t="shared" ref="R81:S86" ca="1" si="16">T81</f>
        <v>467217</v>
      </c>
      <c r="S81" s="142">
        <f t="shared" ca="1" si="16"/>
        <v>700825</v>
      </c>
      <c r="T81" s="142">
        <f ca="1">기술사</f>
        <v>467217</v>
      </c>
      <c r="U81" s="142">
        <f t="shared" ref="U81:U86" ca="1" si="17">ROUNDDOWN(P81*R81,0)</f>
        <v>700825</v>
      </c>
      <c r="V81" s="142"/>
      <c r="W81" s="142"/>
      <c r="X81" s="142"/>
      <c r="Y81" s="142"/>
      <c r="Z81" s="114"/>
    </row>
    <row r="82" spans="11:26" ht="18" customHeight="1">
      <c r="K82" s="171" t="s">
        <v>14</v>
      </c>
      <c r="L82" s="171"/>
      <c r="N82" s="143" t="s">
        <v>32</v>
      </c>
      <c r="O82" s="173">
        <v>4</v>
      </c>
      <c r="P82" s="234">
        <f ca="1">OFFSET($A$1,MATCH(Z80,$A:$A,0)-1,O82)</f>
        <v>2.2999999999999998</v>
      </c>
      <c r="Q82" s="144" t="s">
        <v>29</v>
      </c>
      <c r="R82" s="118">
        <f t="shared" ca="1" si="16"/>
        <v>373353</v>
      </c>
      <c r="S82" s="118">
        <f t="shared" ca="1" si="16"/>
        <v>858711</v>
      </c>
      <c r="T82" s="118">
        <f ca="1">특급</f>
        <v>373353</v>
      </c>
      <c r="U82" s="118">
        <f t="shared" ca="1" si="17"/>
        <v>858711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39</v>
      </c>
      <c r="O83" s="173">
        <v>5</v>
      </c>
      <c r="P83" s="234">
        <f ca="1">OFFSET($A$1,MATCH(Z80,$A:$A,0)-1,O83)</f>
        <v>7.8</v>
      </c>
      <c r="Q83" s="144" t="s">
        <v>29</v>
      </c>
      <c r="R83" s="118">
        <f t="shared" ca="1" si="16"/>
        <v>310884</v>
      </c>
      <c r="S83" s="118">
        <f t="shared" ca="1" si="16"/>
        <v>2424895</v>
      </c>
      <c r="T83" s="118">
        <f ca="1">고급</f>
        <v>310884</v>
      </c>
      <c r="U83" s="118">
        <f t="shared" ca="1" si="17"/>
        <v>2424895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145" t="s">
        <v>40</v>
      </c>
      <c r="O84" s="173">
        <v>6</v>
      </c>
      <c r="P84" s="234">
        <f ca="1">OFFSET($A$1,MATCH(Z80,$A:$A,0)-1,O84)</f>
        <v>10.7</v>
      </c>
      <c r="Q84" s="144" t="s">
        <v>29</v>
      </c>
      <c r="R84" s="118">
        <f t="shared" ca="1" si="16"/>
        <v>295138</v>
      </c>
      <c r="S84" s="118">
        <f t="shared" ca="1" si="16"/>
        <v>3157976</v>
      </c>
      <c r="T84" s="118">
        <f ca="1">중급</f>
        <v>295138</v>
      </c>
      <c r="U84" s="118">
        <f t="shared" ca="1" si="17"/>
        <v>3157976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N85" s="145" t="s">
        <v>41</v>
      </c>
      <c r="O85" s="173">
        <v>7</v>
      </c>
      <c r="P85" s="234">
        <f ca="1">OFFSET($A$1,MATCH(Z80,$A:$A,0)-1,O85)</f>
        <v>13.1</v>
      </c>
      <c r="Q85" s="144" t="s">
        <v>29</v>
      </c>
      <c r="R85" s="118">
        <f t="shared" ca="1" si="16"/>
        <v>235459</v>
      </c>
      <c r="S85" s="118">
        <f t="shared" ca="1" si="16"/>
        <v>3084512</v>
      </c>
      <c r="T85" s="118">
        <f ca="1">초급</f>
        <v>235459</v>
      </c>
      <c r="U85" s="118">
        <f t="shared" ca="1" si="17"/>
        <v>3084512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N86" s="319" t="s">
        <v>42</v>
      </c>
      <c r="O86" s="174">
        <v>8</v>
      </c>
      <c r="P86" s="235">
        <f ca="1">OFFSET($A$1,MATCH(Z80,$A:$A,0)-1,O86)</f>
        <v>13.3</v>
      </c>
      <c r="Q86" s="322" t="s">
        <v>29</v>
      </c>
      <c r="R86" s="323">
        <f t="shared" ca="1" si="16"/>
        <v>250087</v>
      </c>
      <c r="S86" s="323">
        <f t="shared" ca="1" si="16"/>
        <v>3326157</v>
      </c>
      <c r="T86" s="323">
        <f ca="1">보조원</f>
        <v>250087</v>
      </c>
      <c r="U86" s="323">
        <f t="shared" ca="1" si="17"/>
        <v>3326157</v>
      </c>
      <c r="V86" s="323"/>
      <c r="W86" s="323"/>
      <c r="X86" s="323"/>
      <c r="Y86" s="323"/>
      <c r="Z86" s="324"/>
    </row>
    <row r="87" spans="11:26" ht="18" customHeight="1">
      <c r="K87" s="171" t="s">
        <v>14</v>
      </c>
      <c r="L87" s="171"/>
      <c r="N87" s="139" t="s">
        <v>17</v>
      </c>
      <c r="O87" s="68"/>
      <c r="P87" s="69"/>
      <c r="Q87" s="70"/>
      <c r="R87" s="71"/>
      <c r="S87" s="71">
        <f ca="1">SUBTOTAL(9,S81:S86)</f>
        <v>13553076</v>
      </c>
      <c r="T87" s="71"/>
      <c r="U87" s="71">
        <f ca="1">SUBTOTAL(9,U81:U86)</f>
        <v>13553076</v>
      </c>
      <c r="V87" s="71"/>
      <c r="W87" s="71"/>
      <c r="X87" s="71"/>
      <c r="Y87" s="71"/>
      <c r="Z87" s="68"/>
    </row>
    <row r="88" spans="11:26" ht="18" customHeight="1">
      <c r="K88" s="171" t="s">
        <v>14</v>
      </c>
      <c r="L88" s="171"/>
      <c r="N88" s="318" t="str">
        <f ca="1">"제 " &amp; Z88 &amp; " 호표  "&amp; OFFSET($A$1,MATCH(Z88,$A:$A,0)-1,1)</f>
        <v>제 5 호표  1.5. 기타 필요한 사항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5</v>
      </c>
    </row>
    <row r="89" spans="11:26" ht="18" customHeight="1">
      <c r="K89" s="171" t="s">
        <v>14</v>
      </c>
      <c r="L89" s="171"/>
      <c r="N89" s="140" t="s">
        <v>43</v>
      </c>
      <c r="O89" s="172">
        <v>3</v>
      </c>
      <c r="P89" s="219">
        <f ca="1">OFFSET($A$1,MATCH(Z88,$A:$A,0)-1,O89)</f>
        <v>1.3</v>
      </c>
      <c r="Q89" s="141" t="s">
        <v>29</v>
      </c>
      <c r="R89" s="142">
        <f t="shared" ref="R89:S94" ca="1" si="18">T89</f>
        <v>467217</v>
      </c>
      <c r="S89" s="142">
        <f t="shared" ca="1" si="18"/>
        <v>607382</v>
      </c>
      <c r="T89" s="142">
        <f ca="1">기술사</f>
        <v>467217</v>
      </c>
      <c r="U89" s="142">
        <f t="shared" ref="U89:U94" ca="1" si="19">ROUNDDOWN(P89*R89,0)</f>
        <v>607382</v>
      </c>
      <c r="V89" s="142"/>
      <c r="W89" s="142"/>
      <c r="X89" s="142"/>
      <c r="Y89" s="142"/>
      <c r="Z89" s="114"/>
    </row>
    <row r="90" spans="11:26" ht="18" customHeight="1">
      <c r="K90" s="171" t="s">
        <v>14</v>
      </c>
      <c r="L90" s="171"/>
      <c r="N90" s="143" t="s">
        <v>32</v>
      </c>
      <c r="O90" s="173">
        <v>4</v>
      </c>
      <c r="P90" s="234">
        <f ca="1">OFFSET($A$1,MATCH(Z88,$A:$A,0)-1,O90)</f>
        <v>2.1</v>
      </c>
      <c r="Q90" s="144" t="s">
        <v>29</v>
      </c>
      <c r="R90" s="118">
        <f t="shared" ca="1" si="18"/>
        <v>373353</v>
      </c>
      <c r="S90" s="118">
        <f t="shared" ca="1" si="18"/>
        <v>784041</v>
      </c>
      <c r="T90" s="118">
        <f ca="1">특급</f>
        <v>373353</v>
      </c>
      <c r="U90" s="118">
        <f t="shared" ca="1" si="19"/>
        <v>784041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39</v>
      </c>
      <c r="O91" s="173">
        <v>5</v>
      </c>
      <c r="P91" s="234">
        <f ca="1">OFFSET($A$1,MATCH(Z88,$A:$A,0)-1,O91)</f>
        <v>5.5</v>
      </c>
      <c r="Q91" s="144" t="s">
        <v>29</v>
      </c>
      <c r="R91" s="118">
        <f t="shared" ca="1" si="18"/>
        <v>310884</v>
      </c>
      <c r="S91" s="118">
        <f t="shared" ca="1" si="18"/>
        <v>1709862</v>
      </c>
      <c r="T91" s="118">
        <f ca="1">고급</f>
        <v>310884</v>
      </c>
      <c r="U91" s="118">
        <f t="shared" ca="1" si="19"/>
        <v>1709862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145" t="s">
        <v>40</v>
      </c>
      <c r="O92" s="173">
        <v>6</v>
      </c>
      <c r="P92" s="234">
        <f ca="1">OFFSET($A$1,MATCH(Z88,$A:$A,0)-1,O92)</f>
        <v>7.8</v>
      </c>
      <c r="Q92" s="144" t="s">
        <v>29</v>
      </c>
      <c r="R92" s="118">
        <f t="shared" ca="1" si="18"/>
        <v>295138</v>
      </c>
      <c r="S92" s="118">
        <f t="shared" ca="1" si="18"/>
        <v>2302076</v>
      </c>
      <c r="T92" s="118">
        <f ca="1">중급</f>
        <v>295138</v>
      </c>
      <c r="U92" s="118">
        <f t="shared" ca="1" si="19"/>
        <v>2302076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N93" s="145" t="s">
        <v>41</v>
      </c>
      <c r="O93" s="173">
        <v>7</v>
      </c>
      <c r="P93" s="234">
        <f ca="1">OFFSET($A$1,MATCH(Z88,$A:$A,0)-1,O93)</f>
        <v>8.4</v>
      </c>
      <c r="Q93" s="144" t="s">
        <v>29</v>
      </c>
      <c r="R93" s="118">
        <f t="shared" ca="1" si="18"/>
        <v>235459</v>
      </c>
      <c r="S93" s="118">
        <f t="shared" ca="1" si="18"/>
        <v>1977855</v>
      </c>
      <c r="T93" s="118">
        <f ca="1">초급</f>
        <v>235459</v>
      </c>
      <c r="U93" s="118">
        <f t="shared" ca="1" si="19"/>
        <v>1977855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N94" s="319" t="s">
        <v>42</v>
      </c>
      <c r="O94" s="174">
        <v>8</v>
      </c>
      <c r="P94" s="235">
        <f ca="1">OFFSET($A$1,MATCH(Z88,$A:$A,0)-1,O94)</f>
        <v>7.8</v>
      </c>
      <c r="Q94" s="322" t="s">
        <v>29</v>
      </c>
      <c r="R94" s="323">
        <f t="shared" ca="1" si="18"/>
        <v>250087</v>
      </c>
      <c r="S94" s="323">
        <f t="shared" ca="1" si="18"/>
        <v>1950678</v>
      </c>
      <c r="T94" s="323">
        <f ca="1">보조원</f>
        <v>250087</v>
      </c>
      <c r="U94" s="323">
        <f t="shared" ca="1" si="19"/>
        <v>1950678</v>
      </c>
      <c r="V94" s="323"/>
      <c r="W94" s="323"/>
      <c r="X94" s="323"/>
      <c r="Y94" s="323"/>
      <c r="Z94" s="324"/>
    </row>
    <row r="95" spans="11:26" ht="18" customHeight="1">
      <c r="K95" s="171" t="s">
        <v>14</v>
      </c>
      <c r="L95" s="171"/>
      <c r="N95" s="139" t="s">
        <v>17</v>
      </c>
      <c r="O95" s="68"/>
      <c r="P95" s="69"/>
      <c r="Q95" s="70"/>
      <c r="R95" s="71"/>
      <c r="S95" s="71">
        <f ca="1">SUBTOTAL(9,S89:S94)</f>
        <v>9331894</v>
      </c>
      <c r="T95" s="71"/>
      <c r="U95" s="71">
        <f ca="1">SUBTOTAL(9,U89:U94)</f>
        <v>9331894</v>
      </c>
      <c r="V95" s="71"/>
      <c r="W95" s="71"/>
      <c r="X95" s="71"/>
      <c r="Y95" s="71"/>
      <c r="Z95" s="68"/>
    </row>
    <row r="96" spans="11:26" ht="18" customHeight="1">
      <c r="K96" s="171" t="s">
        <v>14</v>
      </c>
      <c r="L96" s="171"/>
      <c r="N96" s="318" t="str">
        <f ca="1">"제 " &amp; Z96 &amp; " 호표  "&amp; OFFSET($A$1,MATCH(Z96,$A:$A,0)-1,1)</f>
        <v>제 6 호표  2.1. 계획의 목표 및 범위·방안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6</v>
      </c>
    </row>
    <row r="97" spans="11:26" ht="18" customHeight="1">
      <c r="K97" s="171" t="s">
        <v>14</v>
      </c>
      <c r="L97" s="171"/>
      <c r="N97" s="140" t="s">
        <v>43</v>
      </c>
      <c r="O97" s="172">
        <v>3</v>
      </c>
      <c r="P97" s="219">
        <f ca="1">OFFSET($A$1,MATCH(Z96,$A:$A,0)-1,O97)</f>
        <v>5.0999999999999996</v>
      </c>
      <c r="Q97" s="141" t="s">
        <v>29</v>
      </c>
      <c r="R97" s="142">
        <f t="shared" ref="R97:S102" ca="1" si="20">T97</f>
        <v>467217</v>
      </c>
      <c r="S97" s="142">
        <f t="shared" ca="1" si="20"/>
        <v>2382806</v>
      </c>
      <c r="T97" s="142">
        <f ca="1">기술사</f>
        <v>467217</v>
      </c>
      <c r="U97" s="142">
        <f t="shared" ref="U97:U102" ca="1" si="21">ROUNDDOWN(P97*R97,0)</f>
        <v>2382806</v>
      </c>
      <c r="V97" s="142"/>
      <c r="W97" s="142"/>
      <c r="X97" s="142"/>
      <c r="Y97" s="142"/>
      <c r="Z97" s="114"/>
    </row>
    <row r="98" spans="11:26" ht="18" customHeight="1">
      <c r="K98" s="171" t="s">
        <v>14</v>
      </c>
      <c r="L98" s="171"/>
      <c r="N98" s="143" t="s">
        <v>32</v>
      </c>
      <c r="O98" s="173">
        <v>4</v>
      </c>
      <c r="P98" s="234">
        <f ca="1">OFFSET($A$1,MATCH(Z96,$A:$A,0)-1,O98)</f>
        <v>8</v>
      </c>
      <c r="Q98" s="144" t="s">
        <v>29</v>
      </c>
      <c r="R98" s="118">
        <f t="shared" ca="1" si="20"/>
        <v>373353</v>
      </c>
      <c r="S98" s="118">
        <f t="shared" ca="1" si="20"/>
        <v>2986824</v>
      </c>
      <c r="T98" s="118">
        <f ca="1">특급</f>
        <v>373353</v>
      </c>
      <c r="U98" s="118">
        <f t="shared" ca="1" si="21"/>
        <v>2986824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39</v>
      </c>
      <c r="O99" s="173">
        <v>5</v>
      </c>
      <c r="P99" s="234">
        <f ca="1">OFFSET($A$1,MATCH(Z96,$A:$A,0)-1,O99)</f>
        <v>17.5</v>
      </c>
      <c r="Q99" s="144" t="s">
        <v>29</v>
      </c>
      <c r="R99" s="118">
        <f t="shared" ca="1" si="20"/>
        <v>310884</v>
      </c>
      <c r="S99" s="118">
        <f t="shared" ca="1" si="20"/>
        <v>5440470</v>
      </c>
      <c r="T99" s="118">
        <f ca="1">고급</f>
        <v>310884</v>
      </c>
      <c r="U99" s="118">
        <f t="shared" ca="1" si="21"/>
        <v>5440470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40</v>
      </c>
      <c r="O100" s="173">
        <v>6</v>
      </c>
      <c r="P100" s="234">
        <f ca="1">OFFSET($A$1,MATCH(Z96,$A:$A,0)-1,O100)</f>
        <v>29</v>
      </c>
      <c r="Q100" s="144" t="s">
        <v>29</v>
      </c>
      <c r="R100" s="118">
        <f t="shared" ca="1" si="20"/>
        <v>295138</v>
      </c>
      <c r="S100" s="118">
        <f t="shared" ca="1" si="20"/>
        <v>8559002</v>
      </c>
      <c r="T100" s="118">
        <f ca="1">중급</f>
        <v>295138</v>
      </c>
      <c r="U100" s="118">
        <f t="shared" ca="1" si="21"/>
        <v>8559002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145" t="s">
        <v>41</v>
      </c>
      <c r="O101" s="173">
        <v>7</v>
      </c>
      <c r="P101" s="234">
        <f ca="1">OFFSET($A$1,MATCH(Z96,$A:$A,0)-1,O101)</f>
        <v>22.2</v>
      </c>
      <c r="Q101" s="144" t="s">
        <v>29</v>
      </c>
      <c r="R101" s="118">
        <f t="shared" ca="1" si="20"/>
        <v>235459</v>
      </c>
      <c r="S101" s="118">
        <f t="shared" ca="1" si="20"/>
        <v>5227189</v>
      </c>
      <c r="T101" s="118">
        <f ca="1">초급</f>
        <v>235459</v>
      </c>
      <c r="U101" s="118">
        <f t="shared" ca="1" si="21"/>
        <v>5227189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319" t="s">
        <v>42</v>
      </c>
      <c r="O102" s="174">
        <v>8</v>
      </c>
      <c r="P102" s="235">
        <f ca="1">OFFSET($A$1,MATCH(Z96,$A:$A,0)-1,O102)</f>
        <v>24.2</v>
      </c>
      <c r="Q102" s="322" t="s">
        <v>29</v>
      </c>
      <c r="R102" s="323">
        <f t="shared" ca="1" si="20"/>
        <v>250087</v>
      </c>
      <c r="S102" s="323">
        <f t="shared" ca="1" si="20"/>
        <v>6052105</v>
      </c>
      <c r="T102" s="323">
        <f ca="1">보조원</f>
        <v>250087</v>
      </c>
      <c r="U102" s="323">
        <f t="shared" ca="1" si="21"/>
        <v>6052105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N103" s="139" t="s">
        <v>17</v>
      </c>
      <c r="O103" s="68"/>
      <c r="P103" s="69"/>
      <c r="Q103" s="70"/>
      <c r="R103" s="71"/>
      <c r="S103" s="71">
        <f ca="1">SUBTOTAL(9,S97:S102)</f>
        <v>30648396</v>
      </c>
      <c r="T103" s="71"/>
      <c r="U103" s="71">
        <f ca="1">SUBTOTAL(9,U97:U102)</f>
        <v>30648396</v>
      </c>
      <c r="V103" s="71"/>
      <c r="W103" s="71"/>
      <c r="X103" s="71"/>
      <c r="Y103" s="71"/>
      <c r="Z103" s="68"/>
    </row>
    <row r="104" spans="11:26" ht="18" customHeight="1">
      <c r="K104" s="171" t="s">
        <v>14</v>
      </c>
      <c r="L104" s="171"/>
      <c r="N104" s="318" t="str">
        <f ca="1">"제 " &amp; Z104 &amp; " 호표  "&amp; OFFSET($A$1,MATCH(Z104,$A:$A,0)-1,1)</f>
        <v>제 7 호표  2.2. 쇠퇴진단 및 여건 분석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7</v>
      </c>
    </row>
    <row r="105" spans="11:26" ht="18" customHeight="1">
      <c r="K105" s="171" t="s">
        <v>14</v>
      </c>
      <c r="L105" s="171"/>
      <c r="N105" s="140" t="s">
        <v>43</v>
      </c>
      <c r="O105" s="172">
        <v>3</v>
      </c>
      <c r="P105" s="219">
        <f ca="1">OFFSET($A$1,MATCH(Z104,$A:$A,0)-1,O105)</f>
        <v>8.1999999999999993</v>
      </c>
      <c r="Q105" s="141" t="s">
        <v>29</v>
      </c>
      <c r="R105" s="142">
        <f t="shared" ref="R105:S110" ca="1" si="22">T105</f>
        <v>467217</v>
      </c>
      <c r="S105" s="142">
        <f t="shared" ca="1" si="22"/>
        <v>3831179</v>
      </c>
      <c r="T105" s="142">
        <f ca="1">기술사</f>
        <v>467217</v>
      </c>
      <c r="U105" s="142">
        <f t="shared" ref="U105:U110" ca="1" si="23">ROUNDDOWN(P105*R105,0)</f>
        <v>3831179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N106" s="143" t="s">
        <v>32</v>
      </c>
      <c r="O106" s="173">
        <v>4</v>
      </c>
      <c r="P106" s="234">
        <f ca="1">OFFSET($A$1,MATCH(Z104,$A:$A,0)-1,O106)</f>
        <v>12.9</v>
      </c>
      <c r="Q106" s="144" t="s">
        <v>29</v>
      </c>
      <c r="R106" s="118">
        <f t="shared" ca="1" si="22"/>
        <v>373353</v>
      </c>
      <c r="S106" s="118">
        <f t="shared" ca="1" si="22"/>
        <v>4816253</v>
      </c>
      <c r="T106" s="118">
        <f ca="1">특급</f>
        <v>373353</v>
      </c>
      <c r="U106" s="118">
        <f t="shared" ca="1" si="23"/>
        <v>4816253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39</v>
      </c>
      <c r="O107" s="173">
        <v>5</v>
      </c>
      <c r="P107" s="234">
        <f ca="1">OFFSET($A$1,MATCH(Z104,$A:$A,0)-1,O107)</f>
        <v>31.9</v>
      </c>
      <c r="Q107" s="144" t="s">
        <v>29</v>
      </c>
      <c r="R107" s="118">
        <f t="shared" ca="1" si="22"/>
        <v>310884</v>
      </c>
      <c r="S107" s="118">
        <f t="shared" ca="1" si="22"/>
        <v>9917199</v>
      </c>
      <c r="T107" s="118">
        <f ca="1">고급</f>
        <v>310884</v>
      </c>
      <c r="U107" s="118">
        <f t="shared" ca="1" si="23"/>
        <v>9917199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40</v>
      </c>
      <c r="O108" s="173">
        <v>6</v>
      </c>
      <c r="P108" s="234">
        <f ca="1">OFFSET($A$1,MATCH(Z104,$A:$A,0)-1,O108)</f>
        <v>55.9</v>
      </c>
      <c r="Q108" s="144" t="s">
        <v>29</v>
      </c>
      <c r="R108" s="118">
        <f t="shared" ca="1" si="22"/>
        <v>295138</v>
      </c>
      <c r="S108" s="118">
        <f t="shared" ca="1" si="22"/>
        <v>16498214</v>
      </c>
      <c r="T108" s="118">
        <f ca="1">중급</f>
        <v>295138</v>
      </c>
      <c r="U108" s="118">
        <f t="shared" ca="1" si="23"/>
        <v>16498214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145" t="s">
        <v>41</v>
      </c>
      <c r="O109" s="173">
        <v>7</v>
      </c>
      <c r="P109" s="234">
        <f ca="1">OFFSET($A$1,MATCH(Z104,$A:$A,0)-1,O109)</f>
        <v>59.7</v>
      </c>
      <c r="Q109" s="144" t="s">
        <v>29</v>
      </c>
      <c r="R109" s="118">
        <f t="shared" ca="1" si="22"/>
        <v>235459</v>
      </c>
      <c r="S109" s="118">
        <f t="shared" ca="1" si="22"/>
        <v>14056902</v>
      </c>
      <c r="T109" s="118">
        <f ca="1">초급</f>
        <v>235459</v>
      </c>
      <c r="U109" s="118">
        <f t="shared" ca="1" si="23"/>
        <v>14056902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319" t="s">
        <v>42</v>
      </c>
      <c r="O110" s="174">
        <v>8</v>
      </c>
      <c r="P110" s="235">
        <f ca="1">OFFSET($A$1,MATCH(Z104,$A:$A,0)-1,O110)</f>
        <v>82.3</v>
      </c>
      <c r="Q110" s="322" t="s">
        <v>29</v>
      </c>
      <c r="R110" s="323">
        <f t="shared" ca="1" si="22"/>
        <v>250087</v>
      </c>
      <c r="S110" s="323">
        <f t="shared" ca="1" si="22"/>
        <v>20582160</v>
      </c>
      <c r="T110" s="323">
        <f ca="1">보조원</f>
        <v>250087</v>
      </c>
      <c r="U110" s="323">
        <f t="shared" ca="1" si="23"/>
        <v>20582160</v>
      </c>
      <c r="V110" s="323"/>
      <c r="W110" s="323"/>
      <c r="X110" s="323"/>
      <c r="Y110" s="323"/>
      <c r="Z110" s="324"/>
    </row>
    <row r="111" spans="11:26" ht="18" customHeight="1">
      <c r="K111" s="171" t="s">
        <v>14</v>
      </c>
      <c r="L111" s="171"/>
      <c r="N111" s="139" t="s">
        <v>17</v>
      </c>
      <c r="O111" s="68"/>
      <c r="P111" s="69"/>
      <c r="Q111" s="70"/>
      <c r="R111" s="71"/>
      <c r="S111" s="71">
        <f ca="1">SUBTOTAL(9,S105:S110)</f>
        <v>69701907</v>
      </c>
      <c r="T111" s="71"/>
      <c r="U111" s="71">
        <f ca="1">SUBTOTAL(9,U105:U110)</f>
        <v>69701907</v>
      </c>
      <c r="V111" s="71"/>
      <c r="W111" s="71"/>
      <c r="X111" s="71"/>
      <c r="Y111" s="71"/>
      <c r="Z111" s="68"/>
    </row>
    <row r="112" spans="11:26" ht="18" customHeight="1">
      <c r="K112" s="171" t="s">
        <v>14</v>
      </c>
      <c r="L112" s="171"/>
      <c r="N112" s="318" t="str">
        <f ca="1">"제 " &amp; Z112 &amp; " 호표  "&amp; OFFSET($A$1,MATCH(Z112,$A:$A,0)-1,1)</f>
        <v>제 8 호표  2.3. 활성화지역의 지정·변경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8</v>
      </c>
    </row>
    <row r="113" spans="11:26" ht="18" customHeight="1">
      <c r="K113" s="171" t="s">
        <v>14</v>
      </c>
      <c r="L113" s="171"/>
      <c r="N113" s="140" t="s">
        <v>43</v>
      </c>
      <c r="O113" s="172">
        <v>3</v>
      </c>
      <c r="P113" s="219">
        <f ca="1">OFFSET($A$1,MATCH(Z112,$A:$A,0)-1,O113)</f>
        <v>13.1</v>
      </c>
      <c r="Q113" s="141" t="s">
        <v>29</v>
      </c>
      <c r="R113" s="142">
        <f t="shared" ref="R113:S118" ca="1" si="24">T113</f>
        <v>467217</v>
      </c>
      <c r="S113" s="142">
        <f t="shared" ca="1" si="24"/>
        <v>6120542</v>
      </c>
      <c r="T113" s="142">
        <f ca="1">기술사</f>
        <v>467217</v>
      </c>
      <c r="U113" s="142">
        <f t="shared" ref="U113:U118" ca="1" si="25">ROUNDDOWN(P113*R113,0)</f>
        <v>6120542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N114" s="143" t="s">
        <v>32</v>
      </c>
      <c r="O114" s="173">
        <v>4</v>
      </c>
      <c r="P114" s="234">
        <f ca="1">OFFSET($A$1,MATCH(Z112,$A:$A,0)-1,O114)</f>
        <v>20.9</v>
      </c>
      <c r="Q114" s="144" t="s">
        <v>29</v>
      </c>
      <c r="R114" s="118">
        <f t="shared" ca="1" si="24"/>
        <v>373353</v>
      </c>
      <c r="S114" s="118">
        <f t="shared" ca="1" si="24"/>
        <v>7803077</v>
      </c>
      <c r="T114" s="118">
        <f ca="1">특급</f>
        <v>373353</v>
      </c>
      <c r="U114" s="118">
        <f t="shared" ca="1" si="25"/>
        <v>7803077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39</v>
      </c>
      <c r="O115" s="173">
        <v>5</v>
      </c>
      <c r="P115" s="234">
        <f ca="1">OFFSET($A$1,MATCH(Z112,$A:$A,0)-1,O115)</f>
        <v>47</v>
      </c>
      <c r="Q115" s="144" t="s">
        <v>29</v>
      </c>
      <c r="R115" s="118">
        <f t="shared" ca="1" si="24"/>
        <v>310884</v>
      </c>
      <c r="S115" s="118">
        <f t="shared" ca="1" si="24"/>
        <v>14611548</v>
      </c>
      <c r="T115" s="118">
        <f ca="1">고급</f>
        <v>310884</v>
      </c>
      <c r="U115" s="118">
        <f t="shared" ca="1" si="25"/>
        <v>14611548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40</v>
      </c>
      <c r="O116" s="173">
        <v>6</v>
      </c>
      <c r="P116" s="234">
        <f ca="1">OFFSET($A$1,MATCH(Z112,$A:$A,0)-1,O116)</f>
        <v>80.7</v>
      </c>
      <c r="Q116" s="144" t="s">
        <v>29</v>
      </c>
      <c r="R116" s="118">
        <f t="shared" ca="1" si="24"/>
        <v>295138</v>
      </c>
      <c r="S116" s="118">
        <f t="shared" ca="1" si="24"/>
        <v>23817636</v>
      </c>
      <c r="T116" s="118">
        <f ca="1">중급</f>
        <v>295138</v>
      </c>
      <c r="U116" s="118">
        <f t="shared" ca="1" si="25"/>
        <v>23817636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41</v>
      </c>
      <c r="O117" s="173">
        <v>7</v>
      </c>
      <c r="P117" s="234">
        <f ca="1">OFFSET($A$1,MATCH(Z112,$A:$A,0)-1,O117)</f>
        <v>86.4</v>
      </c>
      <c r="Q117" s="144" t="s">
        <v>29</v>
      </c>
      <c r="R117" s="118">
        <f t="shared" ca="1" si="24"/>
        <v>235459</v>
      </c>
      <c r="S117" s="118">
        <f t="shared" ca="1" si="24"/>
        <v>20343657</v>
      </c>
      <c r="T117" s="118">
        <f ca="1">초급</f>
        <v>235459</v>
      </c>
      <c r="U117" s="118">
        <f t="shared" ca="1" si="25"/>
        <v>20343657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319" t="s">
        <v>42</v>
      </c>
      <c r="O118" s="174">
        <v>8</v>
      </c>
      <c r="P118" s="235">
        <f ca="1">OFFSET($A$1,MATCH(Z112,$A:$A,0)-1,O118)</f>
        <v>94.4</v>
      </c>
      <c r="Q118" s="322" t="s">
        <v>29</v>
      </c>
      <c r="R118" s="323">
        <f t="shared" ca="1" si="24"/>
        <v>250087</v>
      </c>
      <c r="S118" s="323">
        <f t="shared" ca="1" si="24"/>
        <v>23608212</v>
      </c>
      <c r="T118" s="323">
        <f ca="1">보조원</f>
        <v>250087</v>
      </c>
      <c r="U118" s="323">
        <f t="shared" ca="1" si="25"/>
        <v>23608212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N119" s="139" t="s">
        <v>17</v>
      </c>
      <c r="O119" s="68"/>
      <c r="P119" s="69"/>
      <c r="Q119" s="70"/>
      <c r="R119" s="71"/>
      <c r="S119" s="71">
        <f ca="1">SUBTOTAL(9,S113:S118)</f>
        <v>96304672</v>
      </c>
      <c r="T119" s="71"/>
      <c r="U119" s="71">
        <f ca="1">SUBTOTAL(9,U113:U118)</f>
        <v>96304672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N120" s="318" t="str">
        <f ca="1">"제 " &amp; Z120 &amp; " 호표  "&amp; OFFSET($A$1,MATCH(Z120,$A:$A,0)-1,1)</f>
        <v>제 9 호표  2.4. 우선순위 및 지역간 연계방안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9</v>
      </c>
    </row>
    <row r="121" spans="11:26" ht="18" customHeight="1">
      <c r="K121" s="171" t="s">
        <v>14</v>
      </c>
      <c r="L121" s="171"/>
      <c r="N121" s="140" t="s">
        <v>43</v>
      </c>
      <c r="O121" s="172">
        <v>3</v>
      </c>
      <c r="P121" s="219">
        <f ca="1">OFFSET($A$1,MATCH(Z120,$A:$A,0)-1,O121)</f>
        <v>1.3</v>
      </c>
      <c r="Q121" s="141" t="s">
        <v>29</v>
      </c>
      <c r="R121" s="142">
        <f t="shared" ref="R121:S126" ca="1" si="26">T121</f>
        <v>467217</v>
      </c>
      <c r="S121" s="142">
        <f t="shared" ca="1" si="26"/>
        <v>607382</v>
      </c>
      <c r="T121" s="142">
        <f ca="1">기술사</f>
        <v>467217</v>
      </c>
      <c r="U121" s="142">
        <f t="shared" ref="U121:U126" ca="1" si="27">ROUNDDOWN(P121*R121,0)</f>
        <v>607382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N122" s="143" t="s">
        <v>32</v>
      </c>
      <c r="O122" s="173">
        <v>4</v>
      </c>
      <c r="P122" s="234">
        <f ca="1">OFFSET($A$1,MATCH(Z120,$A:$A,0)-1,O122)</f>
        <v>2.1</v>
      </c>
      <c r="Q122" s="144" t="s">
        <v>29</v>
      </c>
      <c r="R122" s="118">
        <f t="shared" ca="1" si="26"/>
        <v>373353</v>
      </c>
      <c r="S122" s="118">
        <f t="shared" ca="1" si="26"/>
        <v>784041</v>
      </c>
      <c r="T122" s="118">
        <f ca="1">특급</f>
        <v>373353</v>
      </c>
      <c r="U122" s="118">
        <f t="shared" ca="1" si="27"/>
        <v>784041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39</v>
      </c>
      <c r="O123" s="173">
        <v>5</v>
      </c>
      <c r="P123" s="234">
        <f ca="1">OFFSET($A$1,MATCH(Z120,$A:$A,0)-1,O123)</f>
        <v>3.9</v>
      </c>
      <c r="Q123" s="144" t="s">
        <v>29</v>
      </c>
      <c r="R123" s="118">
        <f t="shared" ca="1" si="26"/>
        <v>310884</v>
      </c>
      <c r="S123" s="118">
        <f t="shared" ca="1" si="26"/>
        <v>1212447</v>
      </c>
      <c r="T123" s="118">
        <f ca="1">고급</f>
        <v>310884</v>
      </c>
      <c r="U123" s="118">
        <f t="shared" ca="1" si="27"/>
        <v>1212447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145" t="s">
        <v>40</v>
      </c>
      <c r="O124" s="173">
        <v>6</v>
      </c>
      <c r="P124" s="234">
        <f ca="1">OFFSET($A$1,MATCH(Z120,$A:$A,0)-1,O124)</f>
        <v>6.6</v>
      </c>
      <c r="Q124" s="144" t="s">
        <v>29</v>
      </c>
      <c r="R124" s="118">
        <f t="shared" ca="1" si="26"/>
        <v>295138</v>
      </c>
      <c r="S124" s="118">
        <f t="shared" ca="1" si="26"/>
        <v>1947910</v>
      </c>
      <c r="T124" s="118">
        <f ca="1">중급</f>
        <v>295138</v>
      </c>
      <c r="U124" s="118">
        <f t="shared" ca="1" si="27"/>
        <v>1947910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N125" s="145" t="s">
        <v>41</v>
      </c>
      <c r="O125" s="173">
        <v>7</v>
      </c>
      <c r="P125" s="234">
        <f ca="1">OFFSET($A$1,MATCH(Z120,$A:$A,0)-1,O125)</f>
        <v>9.6999999999999993</v>
      </c>
      <c r="Q125" s="144" t="s">
        <v>29</v>
      </c>
      <c r="R125" s="118">
        <f t="shared" ca="1" si="26"/>
        <v>235459</v>
      </c>
      <c r="S125" s="118">
        <f t="shared" ca="1" si="26"/>
        <v>2283952</v>
      </c>
      <c r="T125" s="118">
        <f ca="1">초급</f>
        <v>235459</v>
      </c>
      <c r="U125" s="118">
        <f t="shared" ca="1" si="27"/>
        <v>2283952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319" t="s">
        <v>42</v>
      </c>
      <c r="O126" s="174">
        <v>8</v>
      </c>
      <c r="P126" s="235">
        <f ca="1">OFFSET($A$1,MATCH(Z120,$A:$A,0)-1,O126)</f>
        <v>9.1999999999999993</v>
      </c>
      <c r="Q126" s="322" t="s">
        <v>29</v>
      </c>
      <c r="R126" s="323">
        <f t="shared" ca="1" si="26"/>
        <v>250087</v>
      </c>
      <c r="S126" s="323">
        <f t="shared" ca="1" si="26"/>
        <v>2300800</v>
      </c>
      <c r="T126" s="323">
        <f ca="1">보조원</f>
        <v>250087</v>
      </c>
      <c r="U126" s="323">
        <f t="shared" ca="1" si="27"/>
        <v>2300800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N127" s="139" t="s">
        <v>17</v>
      </c>
      <c r="O127" s="68"/>
      <c r="P127" s="69"/>
      <c r="Q127" s="70"/>
      <c r="R127" s="71"/>
      <c r="S127" s="71">
        <f ca="1">SUBTOTAL(9,S121:S126)</f>
        <v>9136532</v>
      </c>
      <c r="T127" s="71"/>
      <c r="U127" s="71">
        <f ca="1">SUBTOTAL(9,U121:U126)</f>
        <v>9136532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N128" s="318" t="str">
        <f ca="1">"제 " &amp; Z128 &amp; " 호표  "&amp; OFFSET($A$1,MATCH(Z128,$A:$A,0)-1,1)</f>
        <v>제 10 호표  2.5. 실행 주체 구성 방안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10</v>
      </c>
    </row>
    <row r="129" spans="11:26" ht="18" customHeight="1">
      <c r="K129" s="171" t="s">
        <v>14</v>
      </c>
      <c r="L129" s="171"/>
      <c r="N129" s="140" t="s">
        <v>43</v>
      </c>
      <c r="O129" s="172">
        <v>3</v>
      </c>
      <c r="P129" s="219">
        <f ca="1">OFFSET($A$1,MATCH(Z128,$A:$A,0)-1,O129)</f>
        <v>1.3</v>
      </c>
      <c r="Q129" s="141" t="s">
        <v>29</v>
      </c>
      <c r="R129" s="142">
        <f t="shared" ref="R129:S134" ca="1" si="28">T129</f>
        <v>467217</v>
      </c>
      <c r="S129" s="142">
        <f t="shared" ca="1" si="28"/>
        <v>607382</v>
      </c>
      <c r="T129" s="142">
        <f ca="1">기술사</f>
        <v>467217</v>
      </c>
      <c r="U129" s="142">
        <f t="shared" ref="U129:U134" ca="1" si="29">ROUNDDOWN(P129*R129,0)</f>
        <v>607382</v>
      </c>
      <c r="V129" s="142"/>
      <c r="W129" s="142"/>
      <c r="X129" s="142"/>
      <c r="Y129" s="142"/>
      <c r="Z129" s="114"/>
    </row>
    <row r="130" spans="11:26" ht="18" customHeight="1">
      <c r="K130" s="171" t="s">
        <v>14</v>
      </c>
      <c r="L130" s="171"/>
      <c r="N130" s="143" t="s">
        <v>32</v>
      </c>
      <c r="O130" s="173">
        <v>4</v>
      </c>
      <c r="P130" s="234">
        <f ca="1">OFFSET($A$1,MATCH(Z128,$A:$A,0)-1,O130)</f>
        <v>2.1</v>
      </c>
      <c r="Q130" s="144" t="s">
        <v>29</v>
      </c>
      <c r="R130" s="118">
        <f t="shared" ca="1" si="28"/>
        <v>373353</v>
      </c>
      <c r="S130" s="118">
        <f t="shared" ca="1" si="28"/>
        <v>784041</v>
      </c>
      <c r="T130" s="118">
        <f ca="1">특급</f>
        <v>373353</v>
      </c>
      <c r="U130" s="118">
        <f t="shared" ca="1" si="29"/>
        <v>784041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145" t="s">
        <v>39</v>
      </c>
      <c r="O131" s="173">
        <v>5</v>
      </c>
      <c r="P131" s="234">
        <f ca="1">OFFSET($A$1,MATCH(Z128,$A:$A,0)-1,O131)</f>
        <v>3.9</v>
      </c>
      <c r="Q131" s="144" t="s">
        <v>29</v>
      </c>
      <c r="R131" s="118">
        <f t="shared" ca="1" si="28"/>
        <v>310884</v>
      </c>
      <c r="S131" s="118">
        <f t="shared" ca="1" si="28"/>
        <v>1212447</v>
      </c>
      <c r="T131" s="118">
        <f ca="1">고급</f>
        <v>310884</v>
      </c>
      <c r="U131" s="118">
        <f t="shared" ca="1" si="29"/>
        <v>1212447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145" t="s">
        <v>40</v>
      </c>
      <c r="O132" s="173">
        <v>6</v>
      </c>
      <c r="P132" s="234">
        <f ca="1">OFFSET($A$1,MATCH(Z128,$A:$A,0)-1,O132)</f>
        <v>6.6</v>
      </c>
      <c r="Q132" s="144" t="s">
        <v>29</v>
      </c>
      <c r="R132" s="118">
        <f t="shared" ca="1" si="28"/>
        <v>295138</v>
      </c>
      <c r="S132" s="118">
        <f t="shared" ca="1" si="28"/>
        <v>1947910</v>
      </c>
      <c r="T132" s="118">
        <f ca="1">중급</f>
        <v>295138</v>
      </c>
      <c r="U132" s="118">
        <f t="shared" ca="1" si="29"/>
        <v>1947910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41</v>
      </c>
      <c r="O133" s="173">
        <v>7</v>
      </c>
      <c r="P133" s="234">
        <f ca="1">OFFSET($A$1,MATCH(Z128,$A:$A,0)-1,O133)</f>
        <v>9.6999999999999993</v>
      </c>
      <c r="Q133" s="144" t="s">
        <v>29</v>
      </c>
      <c r="R133" s="118">
        <f t="shared" ca="1" si="28"/>
        <v>235459</v>
      </c>
      <c r="S133" s="118">
        <f t="shared" ca="1" si="28"/>
        <v>2283952</v>
      </c>
      <c r="T133" s="118">
        <f ca="1">초급</f>
        <v>235459</v>
      </c>
      <c r="U133" s="118">
        <f t="shared" ca="1" si="29"/>
        <v>2283952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319" t="s">
        <v>42</v>
      </c>
      <c r="O134" s="174">
        <v>8</v>
      </c>
      <c r="P134" s="235">
        <f ca="1">OFFSET($A$1,MATCH(Z128,$A:$A,0)-1,O134)</f>
        <v>9.1999999999999993</v>
      </c>
      <c r="Q134" s="322" t="s">
        <v>29</v>
      </c>
      <c r="R134" s="323">
        <f t="shared" ca="1" si="28"/>
        <v>250087</v>
      </c>
      <c r="S134" s="323">
        <f t="shared" ca="1" si="28"/>
        <v>2300800</v>
      </c>
      <c r="T134" s="323">
        <f ca="1">보조원</f>
        <v>250087</v>
      </c>
      <c r="U134" s="323">
        <f t="shared" ca="1" si="29"/>
        <v>2300800</v>
      </c>
      <c r="V134" s="323"/>
      <c r="W134" s="323"/>
      <c r="X134" s="323"/>
      <c r="Y134" s="323"/>
      <c r="Z134" s="324"/>
    </row>
    <row r="135" spans="11:26" ht="18" customHeight="1">
      <c r="K135" s="171" t="s">
        <v>14</v>
      </c>
      <c r="L135" s="171"/>
      <c r="M135" s="171"/>
      <c r="N135" s="139" t="s">
        <v>17</v>
      </c>
      <c r="O135" s="68"/>
      <c r="P135" s="69"/>
      <c r="Q135" s="70"/>
      <c r="R135" s="71"/>
      <c r="S135" s="71">
        <f ca="1">SUBTOTAL(9,S129:S134)</f>
        <v>9136532</v>
      </c>
      <c r="T135" s="71"/>
      <c r="U135" s="71">
        <f ca="1">SUBTOTAL(9,U129:U134)</f>
        <v>9136532</v>
      </c>
      <c r="V135" s="71"/>
      <c r="W135" s="71"/>
      <c r="X135" s="71"/>
      <c r="Y135" s="71"/>
      <c r="Z135" s="68"/>
    </row>
    <row r="136" spans="11:26" ht="18" customHeight="1">
      <c r="K136" s="171" t="s">
        <v>14</v>
      </c>
      <c r="L136" s="171"/>
      <c r="M136" s="171"/>
      <c r="N136" s="318" t="str">
        <f ca="1">"제 " &amp; Z136 &amp; " 호표  "&amp; OFFSET($A$1,MATCH(Z136,$A:$A,0)-1,1)</f>
        <v>제 11 호표  2.6. 재원 조달 계획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11</v>
      </c>
    </row>
    <row r="137" spans="11:26" ht="18" customHeight="1">
      <c r="K137" s="171" t="s">
        <v>14</v>
      </c>
      <c r="L137" s="171"/>
      <c r="M137" s="171"/>
      <c r="N137" s="140" t="s">
        <v>43</v>
      </c>
      <c r="O137" s="172">
        <v>3</v>
      </c>
      <c r="P137" s="219">
        <f ca="1">OFFSET($A$1,MATCH(Z136,$A:$A,0)-1,O137)</f>
        <v>1.3</v>
      </c>
      <c r="Q137" s="141" t="s">
        <v>29</v>
      </c>
      <c r="R137" s="142">
        <f t="shared" ref="R137:S142" ca="1" si="30">T137</f>
        <v>467217</v>
      </c>
      <c r="S137" s="142">
        <f t="shared" ca="1" si="30"/>
        <v>607382</v>
      </c>
      <c r="T137" s="142">
        <f ca="1">기술사</f>
        <v>467217</v>
      </c>
      <c r="U137" s="142">
        <f t="shared" ref="U137:U142" ca="1" si="31">ROUNDDOWN(P137*R137,0)</f>
        <v>607382</v>
      </c>
      <c r="V137" s="142"/>
      <c r="W137" s="142"/>
      <c r="X137" s="142"/>
      <c r="Y137" s="142"/>
      <c r="Z137" s="114"/>
    </row>
    <row r="138" spans="11:26" ht="18" customHeight="1">
      <c r="K138" s="171" t="s">
        <v>14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2.1</v>
      </c>
      <c r="Q138" s="144" t="s">
        <v>29</v>
      </c>
      <c r="R138" s="118">
        <f t="shared" ca="1" si="30"/>
        <v>373353</v>
      </c>
      <c r="S138" s="118">
        <f t="shared" ca="1" si="30"/>
        <v>784041</v>
      </c>
      <c r="T138" s="118">
        <f ca="1">특급</f>
        <v>373353</v>
      </c>
      <c r="U138" s="118">
        <f t="shared" ca="1" si="31"/>
        <v>784041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3.9</v>
      </c>
      <c r="Q139" s="144" t="s">
        <v>29</v>
      </c>
      <c r="R139" s="118">
        <f t="shared" ca="1" si="30"/>
        <v>310884</v>
      </c>
      <c r="S139" s="118">
        <f t="shared" ca="1" si="30"/>
        <v>1212447</v>
      </c>
      <c r="T139" s="118">
        <f ca="1">고급</f>
        <v>310884</v>
      </c>
      <c r="U139" s="118">
        <f t="shared" ca="1" si="31"/>
        <v>1212447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6.6</v>
      </c>
      <c r="Q140" s="144" t="s">
        <v>29</v>
      </c>
      <c r="R140" s="118">
        <f t="shared" ca="1" si="30"/>
        <v>295138</v>
      </c>
      <c r="S140" s="118">
        <f t="shared" ca="1" si="30"/>
        <v>1947910</v>
      </c>
      <c r="T140" s="118">
        <f ca="1">중급</f>
        <v>295138</v>
      </c>
      <c r="U140" s="118">
        <f t="shared" ca="1" si="31"/>
        <v>1947910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9.6999999999999993</v>
      </c>
      <c r="Q141" s="144" t="s">
        <v>29</v>
      </c>
      <c r="R141" s="118">
        <f t="shared" ca="1" si="30"/>
        <v>235459</v>
      </c>
      <c r="S141" s="118">
        <f t="shared" ca="1" si="30"/>
        <v>2283952</v>
      </c>
      <c r="T141" s="118">
        <f ca="1">초급</f>
        <v>235459</v>
      </c>
      <c r="U141" s="118">
        <f t="shared" ca="1" si="31"/>
        <v>2283952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9.1999999999999993</v>
      </c>
      <c r="Q142" s="322" t="s">
        <v>29</v>
      </c>
      <c r="R142" s="323">
        <f t="shared" ca="1" si="30"/>
        <v>250087</v>
      </c>
      <c r="S142" s="323">
        <f t="shared" ca="1" si="30"/>
        <v>2300800</v>
      </c>
      <c r="T142" s="323">
        <f ca="1">보조원</f>
        <v>250087</v>
      </c>
      <c r="U142" s="323">
        <f t="shared" ca="1" si="31"/>
        <v>2300800</v>
      </c>
      <c r="V142" s="323"/>
      <c r="W142" s="323"/>
      <c r="X142" s="323"/>
      <c r="Y142" s="323"/>
      <c r="Z142" s="324"/>
    </row>
    <row r="143" spans="11:26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9136532</v>
      </c>
      <c r="T143" s="71"/>
      <c r="U143" s="71">
        <f ca="1">SUBTOTAL(9,U137:U142)</f>
        <v>9136532</v>
      </c>
      <c r="V143" s="71"/>
      <c r="W143" s="71"/>
      <c r="X143" s="71"/>
      <c r="Y143" s="71"/>
      <c r="Z143" s="68"/>
    </row>
    <row r="144" spans="11:26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12 호표  2.7. 지원제도 발굴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12</v>
      </c>
    </row>
    <row r="145" spans="11:26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1.3</v>
      </c>
      <c r="Q145" s="141" t="s">
        <v>29</v>
      </c>
      <c r="R145" s="142">
        <f t="shared" ref="R145:S150" ca="1" si="32">T145</f>
        <v>467217</v>
      </c>
      <c r="S145" s="142">
        <f t="shared" ca="1" si="32"/>
        <v>607382</v>
      </c>
      <c r="T145" s="142">
        <f ca="1">기술사</f>
        <v>467217</v>
      </c>
      <c r="U145" s="142">
        <f t="shared" ref="U145:U150" ca="1" si="33">ROUNDDOWN(P145*R145,0)</f>
        <v>607382</v>
      </c>
      <c r="V145" s="142"/>
      <c r="W145" s="142"/>
      <c r="X145" s="142"/>
      <c r="Y145" s="142"/>
      <c r="Z145" s="114"/>
    </row>
    <row r="146" spans="11:26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2.1</v>
      </c>
      <c r="Q146" s="144" t="s">
        <v>29</v>
      </c>
      <c r="R146" s="118">
        <f t="shared" ca="1" si="32"/>
        <v>373353</v>
      </c>
      <c r="S146" s="118">
        <f t="shared" ca="1" si="32"/>
        <v>784041</v>
      </c>
      <c r="T146" s="118">
        <f ca="1">특급</f>
        <v>373353</v>
      </c>
      <c r="U146" s="118">
        <f t="shared" ca="1" si="33"/>
        <v>784041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3.9</v>
      </c>
      <c r="Q147" s="144" t="s">
        <v>29</v>
      </c>
      <c r="R147" s="118">
        <f t="shared" ca="1" si="32"/>
        <v>310884</v>
      </c>
      <c r="S147" s="118">
        <f t="shared" ca="1" si="32"/>
        <v>1212447</v>
      </c>
      <c r="T147" s="118">
        <f ca="1">고급</f>
        <v>310884</v>
      </c>
      <c r="U147" s="118">
        <f t="shared" ca="1" si="33"/>
        <v>1212447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6.6</v>
      </c>
      <c r="Q148" s="144" t="s">
        <v>29</v>
      </c>
      <c r="R148" s="118">
        <f t="shared" ca="1" si="32"/>
        <v>295138</v>
      </c>
      <c r="S148" s="118">
        <f t="shared" ca="1" si="32"/>
        <v>1947910</v>
      </c>
      <c r="T148" s="118">
        <f ca="1">중급</f>
        <v>295138</v>
      </c>
      <c r="U148" s="118">
        <f t="shared" ca="1" si="33"/>
        <v>1947910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9.6999999999999993</v>
      </c>
      <c r="Q149" s="144" t="s">
        <v>29</v>
      </c>
      <c r="R149" s="118">
        <f t="shared" ca="1" si="32"/>
        <v>235459</v>
      </c>
      <c r="S149" s="118">
        <f t="shared" ca="1" si="32"/>
        <v>2283952</v>
      </c>
      <c r="T149" s="118">
        <f ca="1">초급</f>
        <v>235459</v>
      </c>
      <c r="U149" s="118">
        <f t="shared" ca="1" si="33"/>
        <v>2283952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9.1999999999999993</v>
      </c>
      <c r="Q150" s="322" t="s">
        <v>29</v>
      </c>
      <c r="R150" s="323">
        <f t="shared" ca="1" si="32"/>
        <v>250087</v>
      </c>
      <c r="S150" s="323">
        <f t="shared" ca="1" si="32"/>
        <v>2300800</v>
      </c>
      <c r="T150" s="323">
        <f ca="1">보조원</f>
        <v>250087</v>
      </c>
      <c r="U150" s="323">
        <f t="shared" ca="1" si="33"/>
        <v>2300800</v>
      </c>
      <c r="V150" s="323"/>
      <c r="W150" s="323"/>
      <c r="X150" s="323"/>
      <c r="Y150" s="323"/>
      <c r="Z150" s="324"/>
    </row>
    <row r="151" spans="11:26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9136532</v>
      </c>
      <c r="T151" s="71"/>
      <c r="U151" s="71">
        <f ca="1">SUBTOTAL(9,U145:U150)</f>
        <v>9136532</v>
      </c>
      <c r="V151" s="71"/>
      <c r="W151" s="71"/>
      <c r="X151" s="71"/>
      <c r="Y151" s="71"/>
      <c r="Z151" s="68"/>
    </row>
    <row r="152" spans="11:26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13 호표  2.8. 기반시설의 설치·정비·개량계획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13</v>
      </c>
    </row>
    <row r="153" spans="11:26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6.9</v>
      </c>
      <c r="Q153" s="141" t="s">
        <v>29</v>
      </c>
      <c r="R153" s="142">
        <f t="shared" ref="R153:S158" ca="1" si="34">T153</f>
        <v>467217</v>
      </c>
      <c r="S153" s="142">
        <f t="shared" ca="1" si="34"/>
        <v>3223797</v>
      </c>
      <c r="T153" s="142">
        <f ca="1">기술사</f>
        <v>467217</v>
      </c>
      <c r="U153" s="142">
        <f t="shared" ref="U153:U158" ca="1" si="35">ROUNDDOWN(P153*R153,0)</f>
        <v>3223797</v>
      </c>
      <c r="V153" s="142"/>
      <c r="W153" s="142"/>
      <c r="X153" s="142"/>
      <c r="Y153" s="142"/>
      <c r="Z153" s="114"/>
    </row>
    <row r="154" spans="11:26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11.1</v>
      </c>
      <c r="Q154" s="144" t="s">
        <v>29</v>
      </c>
      <c r="R154" s="118">
        <f t="shared" ca="1" si="34"/>
        <v>373353</v>
      </c>
      <c r="S154" s="118">
        <f t="shared" ca="1" si="34"/>
        <v>4144218</v>
      </c>
      <c r="T154" s="118">
        <f ca="1">특급</f>
        <v>373353</v>
      </c>
      <c r="U154" s="118">
        <f t="shared" ca="1" si="35"/>
        <v>4144218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29.5</v>
      </c>
      <c r="Q155" s="144" t="s">
        <v>29</v>
      </c>
      <c r="R155" s="118">
        <f t="shared" ca="1" si="34"/>
        <v>310884</v>
      </c>
      <c r="S155" s="118">
        <f t="shared" ca="1" si="34"/>
        <v>9171078</v>
      </c>
      <c r="T155" s="118">
        <f ca="1">고급</f>
        <v>310884</v>
      </c>
      <c r="U155" s="118">
        <f t="shared" ca="1" si="35"/>
        <v>9171078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60</v>
      </c>
      <c r="Q156" s="144" t="s">
        <v>29</v>
      </c>
      <c r="R156" s="118">
        <f t="shared" ca="1" si="34"/>
        <v>295138</v>
      </c>
      <c r="S156" s="118">
        <f t="shared" ca="1" si="34"/>
        <v>17708280</v>
      </c>
      <c r="T156" s="118">
        <f ca="1">중급</f>
        <v>295138</v>
      </c>
      <c r="U156" s="118">
        <f t="shared" ca="1" si="35"/>
        <v>17708280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64.2</v>
      </c>
      <c r="Q157" s="144" t="s">
        <v>29</v>
      </c>
      <c r="R157" s="118">
        <f t="shared" ca="1" si="34"/>
        <v>235459</v>
      </c>
      <c r="S157" s="118">
        <f t="shared" ca="1" si="34"/>
        <v>15116467</v>
      </c>
      <c r="T157" s="118">
        <f ca="1">초급</f>
        <v>235459</v>
      </c>
      <c r="U157" s="118">
        <f t="shared" ca="1" si="35"/>
        <v>15116467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62.9</v>
      </c>
      <c r="Q158" s="322" t="s">
        <v>29</v>
      </c>
      <c r="R158" s="323">
        <f t="shared" ca="1" si="34"/>
        <v>250087</v>
      </c>
      <c r="S158" s="323">
        <f t="shared" ca="1" si="34"/>
        <v>15730472</v>
      </c>
      <c r="T158" s="323">
        <f ca="1">보조원</f>
        <v>250087</v>
      </c>
      <c r="U158" s="323">
        <f t="shared" ca="1" si="35"/>
        <v>15730472</v>
      </c>
      <c r="V158" s="323"/>
      <c r="W158" s="323"/>
      <c r="X158" s="323"/>
      <c r="Y158" s="323"/>
      <c r="Z158" s="324"/>
    </row>
    <row r="159" spans="11:26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65094312</v>
      </c>
      <c r="T159" s="71"/>
      <c r="U159" s="71">
        <f ca="1">SUBTOTAL(9,U153:U158)</f>
        <v>65094312</v>
      </c>
      <c r="V159" s="71"/>
      <c r="W159" s="71"/>
      <c r="X159" s="71"/>
      <c r="Y159" s="71"/>
      <c r="Z159" s="68"/>
    </row>
    <row r="160" spans="11:26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14 호표  2.9. 기초생활인프라 계획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14</v>
      </c>
    </row>
    <row r="161" spans="11:26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1.5</v>
      </c>
      <c r="Q161" s="141" t="s">
        <v>29</v>
      </c>
      <c r="R161" s="142">
        <f t="shared" ref="R161:S166" ca="1" si="36">T161</f>
        <v>467217</v>
      </c>
      <c r="S161" s="142">
        <f t="shared" ca="1" si="36"/>
        <v>700825</v>
      </c>
      <c r="T161" s="142">
        <f ca="1">기술사</f>
        <v>467217</v>
      </c>
      <c r="U161" s="142">
        <f t="shared" ref="U161:U166" ca="1" si="37">ROUNDDOWN(P161*R161,0)</f>
        <v>700825</v>
      </c>
      <c r="V161" s="142"/>
      <c r="W161" s="142"/>
      <c r="X161" s="142"/>
      <c r="Y161" s="142"/>
      <c r="Z161" s="114"/>
    </row>
    <row r="162" spans="11:26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2.4</v>
      </c>
      <c r="Q162" s="144" t="s">
        <v>29</v>
      </c>
      <c r="R162" s="118">
        <f t="shared" ca="1" si="36"/>
        <v>373353</v>
      </c>
      <c r="S162" s="118">
        <f t="shared" ca="1" si="36"/>
        <v>896047</v>
      </c>
      <c r="T162" s="118">
        <f ca="1">특급</f>
        <v>373353</v>
      </c>
      <c r="U162" s="118">
        <f t="shared" ca="1" si="37"/>
        <v>896047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4.9000000000000004</v>
      </c>
      <c r="Q163" s="144" t="s">
        <v>29</v>
      </c>
      <c r="R163" s="118">
        <f t="shared" ca="1" si="36"/>
        <v>310884</v>
      </c>
      <c r="S163" s="118">
        <f t="shared" ca="1" si="36"/>
        <v>1523331</v>
      </c>
      <c r="T163" s="118">
        <f ca="1">고급</f>
        <v>310884</v>
      </c>
      <c r="U163" s="118">
        <f t="shared" ca="1" si="37"/>
        <v>1523331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8.1</v>
      </c>
      <c r="Q164" s="144" t="s">
        <v>29</v>
      </c>
      <c r="R164" s="118">
        <f t="shared" ca="1" si="36"/>
        <v>295138</v>
      </c>
      <c r="S164" s="118">
        <f t="shared" ca="1" si="36"/>
        <v>2390617</v>
      </c>
      <c r="T164" s="118">
        <f ca="1">중급</f>
        <v>295138</v>
      </c>
      <c r="U164" s="118">
        <f t="shared" ca="1" si="37"/>
        <v>2390617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11.9</v>
      </c>
      <c r="Q165" s="144" t="s">
        <v>29</v>
      </c>
      <c r="R165" s="118">
        <f t="shared" ca="1" si="36"/>
        <v>235459</v>
      </c>
      <c r="S165" s="118">
        <f t="shared" ca="1" si="36"/>
        <v>2801962</v>
      </c>
      <c r="T165" s="118">
        <f ca="1">초급</f>
        <v>235459</v>
      </c>
      <c r="U165" s="118">
        <f t="shared" ca="1" si="37"/>
        <v>2801962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11.5</v>
      </c>
      <c r="Q166" s="322" t="s">
        <v>29</v>
      </c>
      <c r="R166" s="323">
        <f t="shared" ca="1" si="36"/>
        <v>250087</v>
      </c>
      <c r="S166" s="323">
        <f t="shared" ca="1" si="36"/>
        <v>2876000</v>
      </c>
      <c r="T166" s="323">
        <f ca="1">보조원</f>
        <v>250087</v>
      </c>
      <c r="U166" s="323">
        <f t="shared" ca="1" si="37"/>
        <v>2876000</v>
      </c>
      <c r="V166" s="323"/>
      <c r="W166" s="323"/>
      <c r="X166" s="323"/>
      <c r="Y166" s="323"/>
      <c r="Z166" s="324"/>
    </row>
    <row r="167" spans="11:26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11188782</v>
      </c>
      <c r="T167" s="71"/>
      <c r="U167" s="71">
        <f ca="1">SUBTOTAL(9,U161:U166)</f>
        <v>11188782</v>
      </c>
      <c r="V167" s="71"/>
      <c r="W167" s="71"/>
      <c r="X167" s="71"/>
      <c r="Y167" s="71"/>
      <c r="Z167" s="68"/>
    </row>
    <row r="168" spans="11:26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15 호표  2.10. 성과관리 방법 및 기준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15</v>
      </c>
    </row>
    <row r="169" spans="11:26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1.5</v>
      </c>
      <c r="Q169" s="141" t="s">
        <v>29</v>
      </c>
      <c r="R169" s="142">
        <f t="shared" ref="R169:S174" ca="1" si="38">T169</f>
        <v>467217</v>
      </c>
      <c r="S169" s="142">
        <f t="shared" ca="1" si="38"/>
        <v>700825</v>
      </c>
      <c r="T169" s="142">
        <f ca="1">기술사</f>
        <v>467217</v>
      </c>
      <c r="U169" s="142">
        <f t="shared" ref="U169:U174" ca="1" si="39">ROUNDDOWN(P169*R169,0)</f>
        <v>700825</v>
      </c>
      <c r="V169" s="142"/>
      <c r="W169" s="142"/>
      <c r="X169" s="142"/>
      <c r="Y169" s="142"/>
      <c r="Z169" s="114"/>
    </row>
    <row r="170" spans="11:26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2.5</v>
      </c>
      <c r="Q170" s="144" t="s">
        <v>29</v>
      </c>
      <c r="R170" s="118">
        <f t="shared" ca="1" si="38"/>
        <v>373353</v>
      </c>
      <c r="S170" s="118">
        <f t="shared" ca="1" si="38"/>
        <v>933382</v>
      </c>
      <c r="T170" s="118">
        <f ca="1">특급</f>
        <v>373353</v>
      </c>
      <c r="U170" s="118">
        <f t="shared" ca="1" si="39"/>
        <v>933382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4.9000000000000004</v>
      </c>
      <c r="Q171" s="144" t="s">
        <v>29</v>
      </c>
      <c r="R171" s="118">
        <f t="shared" ca="1" si="38"/>
        <v>310884</v>
      </c>
      <c r="S171" s="118">
        <f t="shared" ca="1" si="38"/>
        <v>1523331</v>
      </c>
      <c r="T171" s="118">
        <f ca="1">고급</f>
        <v>310884</v>
      </c>
      <c r="U171" s="118">
        <f t="shared" ca="1" si="39"/>
        <v>1523331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8.1</v>
      </c>
      <c r="Q172" s="144" t="s">
        <v>29</v>
      </c>
      <c r="R172" s="118">
        <f t="shared" ca="1" si="38"/>
        <v>295138</v>
      </c>
      <c r="S172" s="118">
        <f t="shared" ca="1" si="38"/>
        <v>2390617</v>
      </c>
      <c r="T172" s="118">
        <f ca="1">중급</f>
        <v>295138</v>
      </c>
      <c r="U172" s="118">
        <f t="shared" ca="1" si="39"/>
        <v>2390617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11.9</v>
      </c>
      <c r="Q173" s="144" t="s">
        <v>29</v>
      </c>
      <c r="R173" s="118">
        <f t="shared" ca="1" si="38"/>
        <v>235459</v>
      </c>
      <c r="S173" s="118">
        <f t="shared" ca="1" si="38"/>
        <v>2801962</v>
      </c>
      <c r="T173" s="118">
        <f ca="1">초급</f>
        <v>235459</v>
      </c>
      <c r="U173" s="118">
        <f t="shared" ca="1" si="39"/>
        <v>2801962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11.5</v>
      </c>
      <c r="Q174" s="322" t="s">
        <v>29</v>
      </c>
      <c r="R174" s="323">
        <f t="shared" ca="1" si="38"/>
        <v>250087</v>
      </c>
      <c r="S174" s="323">
        <f t="shared" ca="1" si="38"/>
        <v>2876000</v>
      </c>
      <c r="T174" s="323">
        <f ca="1">보조원</f>
        <v>250087</v>
      </c>
      <c r="U174" s="323">
        <f t="shared" ca="1" si="39"/>
        <v>2876000</v>
      </c>
      <c r="V174" s="323"/>
      <c r="W174" s="323"/>
      <c r="X174" s="323"/>
      <c r="Y174" s="323"/>
      <c r="Z174" s="324"/>
    </row>
    <row r="175" spans="11:26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11226117</v>
      </c>
      <c r="T175" s="71"/>
      <c r="U175" s="71">
        <f ca="1">SUBTOTAL(9,U169:U174)</f>
        <v>11226117</v>
      </c>
      <c r="V175" s="71"/>
      <c r="W175" s="71"/>
      <c r="X175" s="71"/>
      <c r="Y175" s="71"/>
      <c r="Z175" s="68"/>
    </row>
    <row r="176" spans="11:26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16 호표  3.1. 보고서작성 및 편집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16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6</v>
      </c>
      <c r="Q177" s="141" t="s">
        <v>29</v>
      </c>
      <c r="R177" s="142">
        <f t="shared" ref="R177:S182" ca="1" si="40">T177</f>
        <v>467217</v>
      </c>
      <c r="S177" s="142">
        <f t="shared" ca="1" si="40"/>
        <v>2803302</v>
      </c>
      <c r="T177" s="142">
        <f ca="1">기술사</f>
        <v>467217</v>
      </c>
      <c r="U177" s="142">
        <f t="shared" ref="U177:U182" ca="1" si="41">ROUNDDOWN(P177*R177,0)</f>
        <v>2803302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9.4</v>
      </c>
      <c r="Q178" s="144" t="s">
        <v>29</v>
      </c>
      <c r="R178" s="118">
        <f t="shared" ca="1" si="40"/>
        <v>373353</v>
      </c>
      <c r="S178" s="118">
        <f t="shared" ca="1" si="40"/>
        <v>3509518</v>
      </c>
      <c r="T178" s="118">
        <f ca="1">특급</f>
        <v>373353</v>
      </c>
      <c r="U178" s="118">
        <f t="shared" ca="1" si="41"/>
        <v>3509518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21.2</v>
      </c>
      <c r="Q179" s="144" t="s">
        <v>29</v>
      </c>
      <c r="R179" s="118">
        <f t="shared" ca="1" si="40"/>
        <v>310884</v>
      </c>
      <c r="S179" s="118">
        <f t="shared" ca="1" si="40"/>
        <v>6590740</v>
      </c>
      <c r="T179" s="118">
        <f ca="1">고급</f>
        <v>310884</v>
      </c>
      <c r="U179" s="118">
        <f t="shared" ca="1" si="41"/>
        <v>6590740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35.4</v>
      </c>
      <c r="Q180" s="144" t="s">
        <v>29</v>
      </c>
      <c r="R180" s="118">
        <f t="shared" ca="1" si="40"/>
        <v>295138</v>
      </c>
      <c r="S180" s="118">
        <f t="shared" ca="1" si="40"/>
        <v>10447885</v>
      </c>
      <c r="T180" s="118">
        <f ca="1">중급</f>
        <v>295138</v>
      </c>
      <c r="U180" s="118">
        <f t="shared" ca="1" si="41"/>
        <v>10447885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35.1</v>
      </c>
      <c r="Q181" s="144" t="s">
        <v>29</v>
      </c>
      <c r="R181" s="118">
        <f t="shared" ca="1" si="40"/>
        <v>235459</v>
      </c>
      <c r="S181" s="118">
        <f t="shared" ca="1" si="40"/>
        <v>8264610</v>
      </c>
      <c r="T181" s="118">
        <f ca="1">초급</f>
        <v>235459</v>
      </c>
      <c r="U181" s="118">
        <f t="shared" ca="1" si="41"/>
        <v>8264610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23.3</v>
      </c>
      <c r="Q182" s="322" t="s">
        <v>29</v>
      </c>
      <c r="R182" s="323">
        <f t="shared" ca="1" si="40"/>
        <v>250087</v>
      </c>
      <c r="S182" s="323">
        <f t="shared" ca="1" si="40"/>
        <v>5827027</v>
      </c>
      <c r="T182" s="323">
        <f ca="1">보조원</f>
        <v>250087</v>
      </c>
      <c r="U182" s="323">
        <f t="shared" ca="1" si="41"/>
        <v>5827027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37443082</v>
      </c>
      <c r="T183" s="71"/>
      <c r="U183" s="71">
        <f ca="1">SUBTOTAL(9,U177:U182)</f>
        <v>37443082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17 호표  3.2. 관련도서작성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17</v>
      </c>
    </row>
    <row r="185" spans="11:26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2.8</v>
      </c>
      <c r="Q185" s="141" t="s">
        <v>29</v>
      </c>
      <c r="R185" s="142">
        <f t="shared" ref="R185:S190" ca="1" si="42">T185</f>
        <v>467217</v>
      </c>
      <c r="S185" s="142">
        <f t="shared" ca="1" si="42"/>
        <v>1308207</v>
      </c>
      <c r="T185" s="142">
        <f ca="1">기술사</f>
        <v>467217</v>
      </c>
      <c r="U185" s="142">
        <f t="shared" ref="U185:U190" ca="1" si="43">ROUNDDOWN(P185*R185,0)</f>
        <v>1308207</v>
      </c>
      <c r="V185" s="142"/>
      <c r="W185" s="142"/>
      <c r="X185" s="142"/>
      <c r="Y185" s="142"/>
      <c r="Z185" s="114"/>
    </row>
    <row r="186" spans="11:26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4.9000000000000004</v>
      </c>
      <c r="Q186" s="144" t="s">
        <v>29</v>
      </c>
      <c r="R186" s="118">
        <f t="shared" ca="1" si="42"/>
        <v>373353</v>
      </c>
      <c r="S186" s="118">
        <f t="shared" ca="1" si="42"/>
        <v>1829429</v>
      </c>
      <c r="T186" s="118">
        <f ca="1">특급</f>
        <v>373353</v>
      </c>
      <c r="U186" s="118">
        <f t="shared" ca="1" si="43"/>
        <v>1829429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10.7</v>
      </c>
      <c r="Q187" s="144" t="s">
        <v>29</v>
      </c>
      <c r="R187" s="118">
        <f t="shared" ca="1" si="42"/>
        <v>310884</v>
      </c>
      <c r="S187" s="118">
        <f t="shared" ca="1" si="42"/>
        <v>3326458</v>
      </c>
      <c r="T187" s="118">
        <f ca="1">고급</f>
        <v>310884</v>
      </c>
      <c r="U187" s="118">
        <f t="shared" ca="1" si="43"/>
        <v>3326458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23.9</v>
      </c>
      <c r="Q188" s="144" t="s">
        <v>29</v>
      </c>
      <c r="R188" s="118">
        <f t="shared" ca="1" si="42"/>
        <v>295138</v>
      </c>
      <c r="S188" s="118">
        <f t="shared" ca="1" si="42"/>
        <v>7053798</v>
      </c>
      <c r="T188" s="118">
        <f ca="1">중급</f>
        <v>295138</v>
      </c>
      <c r="U188" s="118">
        <f t="shared" ca="1" si="43"/>
        <v>7053798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47.2</v>
      </c>
      <c r="Q189" s="144" t="s">
        <v>29</v>
      </c>
      <c r="R189" s="118">
        <f t="shared" ca="1" si="42"/>
        <v>235459</v>
      </c>
      <c r="S189" s="118">
        <f t="shared" ca="1" si="42"/>
        <v>11113664</v>
      </c>
      <c r="T189" s="118">
        <f ca="1">초급</f>
        <v>235459</v>
      </c>
      <c r="U189" s="118">
        <f t="shared" ca="1" si="43"/>
        <v>11113664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59</v>
      </c>
      <c r="Q190" s="322" t="s">
        <v>29</v>
      </c>
      <c r="R190" s="323">
        <f t="shared" ca="1" si="42"/>
        <v>250087</v>
      </c>
      <c r="S190" s="323">
        <f t="shared" ca="1" si="42"/>
        <v>14755133</v>
      </c>
      <c r="T190" s="323">
        <f ca="1">보조원</f>
        <v>250087</v>
      </c>
      <c r="U190" s="323">
        <f t="shared" ca="1" si="43"/>
        <v>14755133</v>
      </c>
      <c r="V190" s="323"/>
      <c r="W190" s="323"/>
      <c r="X190" s="323"/>
      <c r="Y190" s="323"/>
      <c r="Z190" s="324"/>
    </row>
    <row r="191" spans="11:26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39386689</v>
      </c>
      <c r="T191" s="71"/>
      <c r="U191" s="71">
        <f ca="1">SUBTOTAL(9,U185:U190)</f>
        <v>39386689</v>
      </c>
      <c r="V191" s="71"/>
      <c r="W191" s="71"/>
      <c r="X191" s="71"/>
      <c r="Y191" s="71"/>
      <c r="Z191" s="68"/>
    </row>
    <row r="192" spans="11:26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18 호표  4.1. 공청회/주민설명회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18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2</v>
      </c>
      <c r="Q193" s="141" t="s">
        <v>29</v>
      </c>
      <c r="R193" s="142">
        <f t="shared" ref="R193:S198" ca="1" si="44">T193</f>
        <v>467217</v>
      </c>
      <c r="S193" s="142">
        <f t="shared" ca="1" si="44"/>
        <v>934434</v>
      </c>
      <c r="T193" s="142">
        <f ca="1">기술사</f>
        <v>467217</v>
      </c>
      <c r="U193" s="142">
        <f t="shared" ref="U193:U198" ca="1" si="45">ROUNDDOWN(P193*R193,0)</f>
        <v>934434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2</v>
      </c>
      <c r="Q194" s="144" t="s">
        <v>29</v>
      </c>
      <c r="R194" s="118">
        <f t="shared" ca="1" si="44"/>
        <v>373353</v>
      </c>
      <c r="S194" s="118">
        <f t="shared" ca="1" si="44"/>
        <v>746706</v>
      </c>
      <c r="T194" s="118">
        <f ca="1">특급</f>
        <v>373353</v>
      </c>
      <c r="U194" s="118">
        <f t="shared" ca="1" si="45"/>
        <v>746706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2</v>
      </c>
      <c r="Q195" s="144" t="s">
        <v>29</v>
      </c>
      <c r="R195" s="118">
        <f t="shared" ca="1" si="44"/>
        <v>310884</v>
      </c>
      <c r="S195" s="118">
        <f t="shared" ca="1" si="44"/>
        <v>621768</v>
      </c>
      <c r="T195" s="118">
        <f ca="1">고급</f>
        <v>310884</v>
      </c>
      <c r="U195" s="118">
        <f t="shared" ca="1" si="45"/>
        <v>621768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4</v>
      </c>
      <c r="Q196" s="144" t="s">
        <v>29</v>
      </c>
      <c r="R196" s="118">
        <f t="shared" ca="1" si="44"/>
        <v>295138</v>
      </c>
      <c r="S196" s="118">
        <f t="shared" ca="1" si="44"/>
        <v>1180552</v>
      </c>
      <c r="T196" s="118">
        <f ca="1">중급</f>
        <v>295138</v>
      </c>
      <c r="U196" s="118">
        <f t="shared" ca="1" si="45"/>
        <v>1180552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4</v>
      </c>
      <c r="Q197" s="144" t="s">
        <v>29</v>
      </c>
      <c r="R197" s="118">
        <f t="shared" ca="1" si="44"/>
        <v>235459</v>
      </c>
      <c r="S197" s="118">
        <f t="shared" ca="1" si="44"/>
        <v>941836</v>
      </c>
      <c r="T197" s="118">
        <f ca="1">초급</f>
        <v>235459</v>
      </c>
      <c r="U197" s="118">
        <f t="shared" ca="1" si="45"/>
        <v>941836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4</v>
      </c>
      <c r="Q198" s="322" t="s">
        <v>29</v>
      </c>
      <c r="R198" s="323">
        <f t="shared" ca="1" si="44"/>
        <v>250087</v>
      </c>
      <c r="S198" s="323">
        <f t="shared" ca="1" si="44"/>
        <v>1000348</v>
      </c>
      <c r="T198" s="323">
        <f ca="1">보조원</f>
        <v>250087</v>
      </c>
      <c r="U198" s="323">
        <f t="shared" ca="1" si="45"/>
        <v>1000348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5425644</v>
      </c>
      <c r="T199" s="71"/>
      <c r="U199" s="71">
        <f ca="1">SUBTOTAL(9,U193:U198)</f>
        <v>5425644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19 호표  4.2. 주민간담회/시민계획단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19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2</v>
      </c>
      <c r="Q201" s="141" t="s">
        <v>29</v>
      </c>
      <c r="R201" s="142">
        <f t="shared" ref="R201:S206" ca="1" si="46">T201</f>
        <v>467217</v>
      </c>
      <c r="S201" s="142">
        <f t="shared" ca="1" si="46"/>
        <v>934434</v>
      </c>
      <c r="T201" s="142">
        <f ca="1">기술사</f>
        <v>467217</v>
      </c>
      <c r="U201" s="142">
        <f t="shared" ref="U201:U206" ca="1" si="47">ROUNDDOWN(P201*R201,0)</f>
        <v>934434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2</v>
      </c>
      <c r="Q202" s="144" t="s">
        <v>29</v>
      </c>
      <c r="R202" s="118">
        <f t="shared" ca="1" si="46"/>
        <v>373353</v>
      </c>
      <c r="S202" s="118">
        <f t="shared" ca="1" si="46"/>
        <v>746706</v>
      </c>
      <c r="T202" s="118">
        <f ca="1">특급</f>
        <v>373353</v>
      </c>
      <c r="U202" s="118">
        <f t="shared" ca="1" si="47"/>
        <v>746706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2</v>
      </c>
      <c r="Q203" s="144" t="s">
        <v>29</v>
      </c>
      <c r="R203" s="118">
        <f t="shared" ca="1" si="46"/>
        <v>310884</v>
      </c>
      <c r="S203" s="118">
        <f t="shared" ca="1" si="46"/>
        <v>621768</v>
      </c>
      <c r="T203" s="118">
        <f ca="1">고급</f>
        <v>310884</v>
      </c>
      <c r="U203" s="118">
        <f t="shared" ca="1" si="47"/>
        <v>621768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4</v>
      </c>
      <c r="Q204" s="144" t="s">
        <v>29</v>
      </c>
      <c r="R204" s="118">
        <f t="shared" ca="1" si="46"/>
        <v>295138</v>
      </c>
      <c r="S204" s="118">
        <f t="shared" ca="1" si="46"/>
        <v>1180552</v>
      </c>
      <c r="T204" s="118">
        <f ca="1">중급</f>
        <v>295138</v>
      </c>
      <c r="U204" s="118">
        <f t="shared" ca="1" si="47"/>
        <v>1180552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4</v>
      </c>
      <c r="Q205" s="144" t="s">
        <v>29</v>
      </c>
      <c r="R205" s="118">
        <f t="shared" ca="1" si="46"/>
        <v>235459</v>
      </c>
      <c r="S205" s="118">
        <f t="shared" ca="1" si="46"/>
        <v>941836</v>
      </c>
      <c r="T205" s="118">
        <f ca="1">초급</f>
        <v>235459</v>
      </c>
      <c r="U205" s="118">
        <f t="shared" ca="1" si="47"/>
        <v>941836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4</v>
      </c>
      <c r="Q206" s="322" t="s">
        <v>29</v>
      </c>
      <c r="R206" s="323">
        <f t="shared" ca="1" si="46"/>
        <v>250087</v>
      </c>
      <c r="S206" s="323">
        <f t="shared" ca="1" si="46"/>
        <v>1000348</v>
      </c>
      <c r="T206" s="323">
        <f ca="1">보조원</f>
        <v>250087</v>
      </c>
      <c r="U206" s="323">
        <f t="shared" ca="1" si="47"/>
        <v>1000348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5425644</v>
      </c>
      <c r="T207" s="71"/>
      <c r="U207" s="71">
        <f ca="1">SUBTOTAL(9,U201:U206)</f>
        <v>5425644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20 호표  4.3. 위원회심의 지원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20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2</v>
      </c>
      <c r="Q209" s="141" t="s">
        <v>29</v>
      </c>
      <c r="R209" s="142">
        <f t="shared" ref="R209:S214" ca="1" si="48">T209</f>
        <v>467217</v>
      </c>
      <c r="S209" s="142">
        <f t="shared" ca="1" si="48"/>
        <v>934434</v>
      </c>
      <c r="T209" s="142">
        <f ca="1">기술사</f>
        <v>467217</v>
      </c>
      <c r="U209" s="142">
        <f t="shared" ref="U209:U214" ca="1" si="49">ROUNDDOWN(P209*R209,0)</f>
        <v>934434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2</v>
      </c>
      <c r="Q210" s="144" t="s">
        <v>29</v>
      </c>
      <c r="R210" s="118">
        <f t="shared" ca="1" si="48"/>
        <v>373353</v>
      </c>
      <c r="S210" s="118">
        <f t="shared" ca="1" si="48"/>
        <v>746706</v>
      </c>
      <c r="T210" s="118">
        <f ca="1">특급</f>
        <v>373353</v>
      </c>
      <c r="U210" s="118">
        <f t="shared" ca="1" si="49"/>
        <v>746706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2</v>
      </c>
      <c r="Q211" s="144" t="s">
        <v>29</v>
      </c>
      <c r="R211" s="118">
        <f t="shared" ca="1" si="48"/>
        <v>310884</v>
      </c>
      <c r="S211" s="118">
        <f t="shared" ca="1" si="48"/>
        <v>621768</v>
      </c>
      <c r="T211" s="118">
        <f ca="1">고급</f>
        <v>310884</v>
      </c>
      <c r="U211" s="118">
        <f t="shared" ca="1" si="49"/>
        <v>621768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4</v>
      </c>
      <c r="Q212" s="144" t="s">
        <v>29</v>
      </c>
      <c r="R212" s="118">
        <f t="shared" ca="1" si="48"/>
        <v>295138</v>
      </c>
      <c r="S212" s="118">
        <f t="shared" ca="1" si="48"/>
        <v>1180552</v>
      </c>
      <c r="T212" s="118">
        <f ca="1">중급</f>
        <v>295138</v>
      </c>
      <c r="U212" s="118">
        <f t="shared" ca="1" si="49"/>
        <v>1180552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4</v>
      </c>
      <c r="Q213" s="144" t="s">
        <v>29</v>
      </c>
      <c r="R213" s="118">
        <f t="shared" ca="1" si="48"/>
        <v>235459</v>
      </c>
      <c r="S213" s="118">
        <f t="shared" ca="1" si="48"/>
        <v>941836</v>
      </c>
      <c r="T213" s="118">
        <f ca="1">초급</f>
        <v>235459</v>
      </c>
      <c r="U213" s="118">
        <f t="shared" ca="1" si="49"/>
        <v>941836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4</v>
      </c>
      <c r="Q214" s="322" t="s">
        <v>29</v>
      </c>
      <c r="R214" s="323">
        <f t="shared" ca="1" si="48"/>
        <v>250087</v>
      </c>
      <c r="S214" s="323">
        <f t="shared" ca="1" si="48"/>
        <v>1000348</v>
      </c>
      <c r="T214" s="323">
        <f ca="1">보조원</f>
        <v>250087</v>
      </c>
      <c r="U214" s="323">
        <f t="shared" ca="1" si="49"/>
        <v>1000348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5425644</v>
      </c>
      <c r="T215" s="71"/>
      <c r="U215" s="71">
        <f ca="1">SUBTOTAL(9,U209:U214)</f>
        <v>5425644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21 호표  4.4. 관계기관 협의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21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2</v>
      </c>
      <c r="Q217" s="141" t="s">
        <v>29</v>
      </c>
      <c r="R217" s="142">
        <f t="shared" ref="R217:S222" ca="1" si="50">T217</f>
        <v>467217</v>
      </c>
      <c r="S217" s="142">
        <f t="shared" ca="1" si="50"/>
        <v>934434</v>
      </c>
      <c r="T217" s="142">
        <f ca="1">기술사</f>
        <v>467217</v>
      </c>
      <c r="U217" s="142">
        <f t="shared" ref="U217:U222" ca="1" si="51">ROUNDDOWN(P217*R217,0)</f>
        <v>934434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2</v>
      </c>
      <c r="Q218" s="144" t="s">
        <v>29</v>
      </c>
      <c r="R218" s="118">
        <f t="shared" ca="1" si="50"/>
        <v>373353</v>
      </c>
      <c r="S218" s="118">
        <f t="shared" ca="1" si="50"/>
        <v>746706</v>
      </c>
      <c r="T218" s="118">
        <f ca="1">특급</f>
        <v>373353</v>
      </c>
      <c r="U218" s="118">
        <f t="shared" ca="1" si="51"/>
        <v>746706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2</v>
      </c>
      <c r="Q219" s="144" t="s">
        <v>29</v>
      </c>
      <c r="R219" s="118">
        <f t="shared" ca="1" si="50"/>
        <v>310884</v>
      </c>
      <c r="S219" s="118">
        <f t="shared" ca="1" si="50"/>
        <v>621768</v>
      </c>
      <c r="T219" s="118">
        <f ca="1">고급</f>
        <v>310884</v>
      </c>
      <c r="U219" s="118">
        <f t="shared" ca="1" si="51"/>
        <v>621768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4</v>
      </c>
      <c r="Q220" s="144" t="s">
        <v>29</v>
      </c>
      <c r="R220" s="118">
        <f t="shared" ca="1" si="50"/>
        <v>295138</v>
      </c>
      <c r="S220" s="118">
        <f t="shared" ca="1" si="50"/>
        <v>1180552</v>
      </c>
      <c r="T220" s="118">
        <f ca="1">중급</f>
        <v>295138</v>
      </c>
      <c r="U220" s="118">
        <f t="shared" ca="1" si="51"/>
        <v>1180552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4</v>
      </c>
      <c r="Q221" s="144" t="s">
        <v>29</v>
      </c>
      <c r="R221" s="118">
        <f t="shared" ca="1" si="50"/>
        <v>235459</v>
      </c>
      <c r="S221" s="118">
        <f t="shared" ca="1" si="50"/>
        <v>941836</v>
      </c>
      <c r="T221" s="118">
        <f ca="1">초급</f>
        <v>235459</v>
      </c>
      <c r="U221" s="118">
        <f t="shared" ca="1" si="51"/>
        <v>941836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4</v>
      </c>
      <c r="Q222" s="322" t="s">
        <v>29</v>
      </c>
      <c r="R222" s="323">
        <f t="shared" ca="1" si="50"/>
        <v>250087</v>
      </c>
      <c r="S222" s="323">
        <f t="shared" ca="1" si="50"/>
        <v>1000348</v>
      </c>
      <c r="T222" s="323">
        <f ca="1">보조원</f>
        <v>250087</v>
      </c>
      <c r="U222" s="323">
        <f t="shared" ca="1" si="51"/>
        <v>1000348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5425644</v>
      </c>
      <c r="T223" s="71"/>
      <c r="U223" s="71">
        <f ca="1">SUBTOTAL(9,U217:U222)</f>
        <v>5425644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</row>
    <row r="821" spans="11:13" ht="18" customHeight="1">
      <c r="K821" s="171" t="s">
        <v>14</v>
      </c>
      <c r="L821" s="171"/>
    </row>
    <row r="822" spans="11:13" ht="18" customHeight="1">
      <c r="K822" s="171" t="s">
        <v>14</v>
      </c>
      <c r="L822" s="171"/>
    </row>
    <row r="823" spans="11:13" ht="18" customHeight="1">
      <c r="K823" s="171" t="s">
        <v>14</v>
      </c>
      <c r="L823" s="171"/>
    </row>
    <row r="824" spans="11:13" ht="18" customHeight="1">
      <c r="K824" s="171" t="s">
        <v>14</v>
      </c>
      <c r="L824" s="171"/>
    </row>
    <row r="825" spans="11:13" ht="18" customHeight="1">
      <c r="L825" s="171"/>
    </row>
    <row r="826" spans="11:13" ht="18" customHeight="1">
      <c r="L826" s="171"/>
    </row>
    <row r="827" spans="11:13" ht="18" customHeight="1">
      <c r="L827" s="171"/>
    </row>
  </sheetData>
  <mergeCells count="17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B10:C11"/>
    <mergeCell ref="J10:J11"/>
    <mergeCell ref="L10:L11"/>
    <mergeCell ref="Z54:Z55"/>
    <mergeCell ref="N54:N55"/>
    <mergeCell ref="O54:O55"/>
    <mergeCell ref="P54:P55"/>
    <mergeCell ref="Q54:Q55"/>
  </mergeCells>
  <phoneticPr fontId="14" type="noConversion"/>
  <conditionalFormatting sqref="V12:V37">
    <cfRule type="cellIs" dxfId="5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6" min="13" max="28" man="1"/>
    <brk id="77" min="13" max="28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68">
    <tabColor rgb="FF00B0F0"/>
    <pageSetUpPr fitToPage="1"/>
  </sheetPr>
  <dimension ref="A1:Z835"/>
  <sheetViews>
    <sheetView showGridLines="0" zoomScale="85" zoomScaleNormal="85" zoomScaleSheetLayoutView="75" workbookViewId="0">
      <selection activeCell="R9" sqref="R9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474</v>
      </c>
    </row>
    <row r="2" spans="1:26" ht="19.5" thickBot="1">
      <c r="B2" s="66" t="s">
        <v>1</v>
      </c>
      <c r="R2" s="690" t="s">
        <v>1870</v>
      </c>
    </row>
    <row r="3" spans="1:26" ht="19.5" customHeight="1">
      <c r="B3" s="773" t="s">
        <v>475</v>
      </c>
      <c r="C3" s="774"/>
      <c r="D3" s="775">
        <v>10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K3" s="6"/>
      <c r="L3" s="6"/>
      <c r="R3" s="690" t="s">
        <v>1871</v>
      </c>
      <c r="S3" s="1"/>
      <c r="T3" s="1"/>
      <c r="U3" s="1"/>
      <c r="V3" s="1"/>
      <c r="W3" s="1"/>
      <c r="X3" s="1"/>
      <c r="Y3" s="1"/>
    </row>
    <row r="4" spans="1:26" ht="21.75" customHeight="1">
      <c r="B4" s="777" t="s">
        <v>1329</v>
      </c>
      <c r="C4" s="778"/>
      <c r="D4" s="779">
        <v>10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R4" s="391" t="s">
        <v>1872</v>
      </c>
      <c r="S4" s="1"/>
      <c r="T4" s="1"/>
      <c r="U4" s="1"/>
      <c r="V4" s="1"/>
      <c r="W4" s="1"/>
      <c r="X4" s="1"/>
      <c r="Y4" s="1"/>
    </row>
    <row r="5" spans="1:26" ht="24" customHeight="1" thickBot="1">
      <c r="B5" s="777" t="s">
        <v>1935</v>
      </c>
      <c r="C5" s="814"/>
      <c r="D5" s="815">
        <f>ROUND((IF(D4&lt;=1,1,D4)/D3)^0.5,3)</f>
        <v>1</v>
      </c>
      <c r="E5" s="816"/>
      <c r="F5" s="217"/>
      <c r="G5" s="817" t="s">
        <v>1102</v>
      </c>
      <c r="H5" s="818"/>
      <c r="I5" s="646">
        <f>ROUND(I4/I3,3)</f>
        <v>1</v>
      </c>
      <c r="J5" s="671"/>
      <c r="K5" s="6"/>
      <c r="L5" s="6"/>
      <c r="R5" s="391" t="s">
        <v>1873</v>
      </c>
      <c r="S5" s="1"/>
      <c r="T5" s="1"/>
      <c r="U5" s="1"/>
      <c r="V5" s="1"/>
      <c r="W5" s="1"/>
      <c r="X5" s="1"/>
      <c r="Y5" s="1"/>
    </row>
    <row r="6" spans="1:26" ht="23.25" customHeight="1" thickBot="1">
      <c r="B6" s="781" t="s">
        <v>1869</v>
      </c>
      <c r="C6" s="782"/>
      <c r="D6" s="783">
        <f>CHOOSE(C7,1,1.3,1.3,1.5)</f>
        <v>1.5</v>
      </c>
      <c r="E6" s="784"/>
      <c r="F6" s="430">
        <v>0</v>
      </c>
      <c r="G6" s="9" t="s">
        <v>1107</v>
      </c>
      <c r="J6" s="36"/>
      <c r="K6" s="6"/>
      <c r="L6" s="6"/>
      <c r="R6" s="1"/>
      <c r="S6" s="1"/>
      <c r="T6" s="1"/>
      <c r="U6" s="1"/>
      <c r="V6" s="1"/>
      <c r="W6" s="1"/>
      <c r="X6" s="1"/>
      <c r="Y6" s="1"/>
    </row>
    <row r="7" spans="1:26" ht="23.25" customHeight="1">
      <c r="B7" s="9"/>
      <c r="C7" s="9">
        <v>4</v>
      </c>
      <c r="D7" s="64"/>
      <c r="E7" s="64"/>
      <c r="R7" s="1"/>
      <c r="S7" s="1"/>
      <c r="T7" s="1"/>
      <c r="U7" s="1"/>
      <c r="V7" s="1"/>
      <c r="W7" s="1"/>
      <c r="X7" s="1"/>
      <c r="Y7" s="1"/>
    </row>
    <row r="8" spans="1:26" ht="23.25" customHeight="1">
      <c r="B8" s="9"/>
      <c r="C8" s="9"/>
      <c r="D8" s="64"/>
      <c r="E8" s="64"/>
    </row>
    <row r="9" spans="1:26" ht="23.25" customHeight="1">
      <c r="B9" s="9"/>
      <c r="C9" s="9"/>
      <c r="D9" s="64"/>
      <c r="E9" s="64"/>
    </row>
    <row r="10" spans="1:26" ht="18" customHeight="1">
      <c r="B10" s="9"/>
      <c r="C10" s="9"/>
      <c r="D10" s="64"/>
      <c r="E10" s="64"/>
      <c r="R10" s="1"/>
      <c r="S10" s="1"/>
      <c r="T10" s="1"/>
    </row>
    <row r="11" spans="1:26" ht="18" customHeight="1">
      <c r="G11" s="36"/>
      <c r="R11" s="1"/>
      <c r="S11" s="1"/>
      <c r="T11" s="1"/>
    </row>
    <row r="12" spans="1:26" ht="18" customHeight="1">
      <c r="B12" s="66" t="s">
        <v>4</v>
      </c>
      <c r="C12" s="9"/>
      <c r="D12" s="64"/>
      <c r="E12" s="64"/>
      <c r="G12" s="36"/>
      <c r="R12" s="1"/>
      <c r="S12" s="1"/>
      <c r="T12" s="1"/>
    </row>
    <row r="13" spans="1:26" ht="18" customHeight="1" thickBot="1">
      <c r="B13" s="9"/>
      <c r="R13" s="1"/>
      <c r="S13" s="1"/>
      <c r="T13" s="1"/>
    </row>
    <row r="14" spans="1:26" ht="18" customHeight="1">
      <c r="A14" s="278"/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W14" s="188" t="s">
        <v>3</v>
      </c>
      <c r="X14" s="189"/>
    </row>
    <row r="15" spans="1:26" ht="18" customHeight="1" thickBot="1">
      <c r="A15" s="278"/>
      <c r="B15" s="820"/>
      <c r="C15" s="821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66" t="s">
        <v>5</v>
      </c>
    </row>
    <row r="16" spans="1:26" ht="18" customHeight="1">
      <c r="A16" s="279"/>
      <c r="B16" s="222" t="s">
        <v>471</v>
      </c>
      <c r="C16" s="47"/>
      <c r="D16" s="48">
        <f t="shared" ref="D16:I16" si="0">SUBTOTAL(9,D17:D24)</f>
        <v>6.1</v>
      </c>
      <c r="E16" s="49">
        <f t="shared" si="0"/>
        <v>12.8</v>
      </c>
      <c r="F16" s="49">
        <f t="shared" si="0"/>
        <v>22.599999999999994</v>
      </c>
      <c r="G16" s="49">
        <f t="shared" si="0"/>
        <v>61.8</v>
      </c>
      <c r="H16" s="49">
        <f t="shared" si="0"/>
        <v>81.400000000000006</v>
      </c>
      <c r="I16" s="50">
        <f t="shared" si="0"/>
        <v>99.6</v>
      </c>
      <c r="J16" s="654"/>
      <c r="L16" s="232"/>
      <c r="N16" s="151" t="s">
        <v>44</v>
      </c>
      <c r="O16" s="119"/>
      <c r="P16" s="119"/>
      <c r="Q16" s="120"/>
      <c r="R16" s="120"/>
      <c r="S16" s="120"/>
      <c r="T16" s="120"/>
      <c r="U16" s="121"/>
      <c r="V16" s="121"/>
      <c r="W16" s="186">
        <f ca="1">SUBTOTAL(9,W17:W52)</f>
        <v>1212977811</v>
      </c>
      <c r="X16" s="187"/>
      <c r="Y16" s="177"/>
      <c r="Z16" s="167"/>
    </row>
    <row r="17" spans="1:26" ht="18" customHeight="1">
      <c r="A17" s="279"/>
      <c r="B17" s="223" t="s">
        <v>1874</v>
      </c>
      <c r="C17" s="23"/>
      <c r="D17" s="197">
        <v>0.5</v>
      </c>
      <c r="E17" s="198">
        <v>1</v>
      </c>
      <c r="F17" s="198">
        <v>1.3</v>
      </c>
      <c r="G17" s="198">
        <v>4</v>
      </c>
      <c r="H17" s="198">
        <v>5.2</v>
      </c>
      <c r="I17" s="199">
        <v>9</v>
      </c>
      <c r="J17" s="389" t="s">
        <v>1936</v>
      </c>
      <c r="L17" s="233">
        <v>1</v>
      </c>
      <c r="N17" s="127" t="s">
        <v>8</v>
      </c>
      <c r="O17" s="122"/>
      <c r="P17" s="122"/>
      <c r="Q17" s="123"/>
      <c r="R17" s="123"/>
      <c r="S17" s="123"/>
      <c r="T17" s="123"/>
      <c r="U17" s="184"/>
      <c r="V17" s="184"/>
      <c r="W17" s="163">
        <f ca="1">SUBTOTAL(9,W18:W49)</f>
        <v>439119074</v>
      </c>
      <c r="X17" s="164"/>
      <c r="Y17" s="178" t="s">
        <v>9</v>
      </c>
      <c r="Z17" s="179"/>
    </row>
    <row r="18" spans="1:26" ht="18" customHeight="1">
      <c r="A18" s="279"/>
      <c r="B18" s="223" t="s">
        <v>478</v>
      </c>
      <c r="C18" s="23"/>
      <c r="D18" s="197">
        <v>1.1000000000000001</v>
      </c>
      <c r="E18" s="198">
        <v>2</v>
      </c>
      <c r="F18" s="198">
        <v>5.0999999999999996</v>
      </c>
      <c r="G18" s="198">
        <v>12.7</v>
      </c>
      <c r="H18" s="198">
        <v>15.2</v>
      </c>
      <c r="I18" s="199">
        <v>17.8</v>
      </c>
      <c r="J18" s="389" t="s">
        <v>1925</v>
      </c>
      <c r="L18" s="233">
        <v>1</v>
      </c>
      <c r="N18" s="290" t="s">
        <v>45</v>
      </c>
      <c r="O18" s="124"/>
      <c r="P18" s="125"/>
      <c r="Q18" s="126"/>
      <c r="R18" s="126"/>
      <c r="S18" s="126"/>
      <c r="T18" s="126"/>
      <c r="U18" s="218"/>
      <c r="V18" s="218"/>
      <c r="W18" s="255">
        <f ca="1">SUBTOTAL(9,W19:W44)</f>
        <v>431119074</v>
      </c>
      <c r="X18" s="256"/>
      <c r="Y18" s="220"/>
      <c r="Z18" s="220"/>
    </row>
    <row r="19" spans="1:26" ht="18" customHeight="1">
      <c r="A19" s="279"/>
      <c r="B19" s="223" t="s">
        <v>480</v>
      </c>
      <c r="C19" s="23"/>
      <c r="D19" s="197">
        <v>0.5</v>
      </c>
      <c r="E19" s="198">
        <v>1</v>
      </c>
      <c r="F19" s="198">
        <v>2.5</v>
      </c>
      <c r="G19" s="198">
        <v>6.3</v>
      </c>
      <c r="H19" s="198">
        <v>10.3</v>
      </c>
      <c r="I19" s="199">
        <v>10.199999999999999</v>
      </c>
      <c r="J19" s="389" t="s">
        <v>1925</v>
      </c>
      <c r="L19" s="233">
        <v>1</v>
      </c>
      <c r="N19" s="354" t="s">
        <v>470</v>
      </c>
      <c r="O19" s="169"/>
      <c r="P19" s="169"/>
      <c r="Q19" s="169"/>
      <c r="R19" s="169"/>
      <c r="S19" s="169"/>
      <c r="T19" s="169"/>
      <c r="U19" s="226"/>
      <c r="V19" s="248"/>
      <c r="W19" s="193">
        <f ca="1">SUBTOTAL(9,W20:W27)</f>
        <v>115454195</v>
      </c>
      <c r="X19" s="194"/>
      <c r="Y19" s="170" t="str">
        <f t="shared" ref="Y19:Y44" si="1">IF(A43&gt;0, "제 " &amp;A43&amp; " 호표","")</f>
        <v/>
      </c>
      <c r="Z19" s="170"/>
    </row>
    <row r="20" spans="1:26" ht="18" customHeight="1">
      <c r="A20" s="279"/>
      <c r="B20" s="223" t="s">
        <v>482</v>
      </c>
      <c r="C20" s="23"/>
      <c r="D20" s="197">
        <v>0.5</v>
      </c>
      <c r="E20" s="198">
        <v>1</v>
      </c>
      <c r="F20" s="198">
        <v>2.5</v>
      </c>
      <c r="G20" s="198">
        <v>6.3</v>
      </c>
      <c r="H20" s="198">
        <v>10.3</v>
      </c>
      <c r="I20" s="199">
        <v>10.199999999999999</v>
      </c>
      <c r="J20" s="389" t="s">
        <v>1925</v>
      </c>
      <c r="L20" s="233">
        <v>1</v>
      </c>
      <c r="N20" s="292" t="s">
        <v>476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SUM((ROUNDDOWN((D44:I44)*단가,0)))</f>
        <v>8500246</v>
      </c>
      <c r="X20" s="154"/>
      <c r="Y20" s="170" t="str">
        <f t="shared" si="1"/>
        <v>제 1 호표</v>
      </c>
      <c r="Z20" s="150"/>
    </row>
    <row r="21" spans="1:26" ht="18" customHeight="1">
      <c r="A21" s="279"/>
      <c r="B21" s="223" t="s">
        <v>484</v>
      </c>
      <c r="C21" s="23"/>
      <c r="D21" s="197">
        <v>0.5</v>
      </c>
      <c r="E21" s="198">
        <v>1</v>
      </c>
      <c r="F21" s="198">
        <v>1.3</v>
      </c>
      <c r="G21" s="198">
        <v>4</v>
      </c>
      <c r="H21" s="198">
        <v>5.2</v>
      </c>
      <c r="I21" s="199">
        <v>9</v>
      </c>
      <c r="J21" s="389" t="s">
        <v>1925</v>
      </c>
      <c r="L21" s="233">
        <v>1</v>
      </c>
      <c r="N21" s="292" t="s">
        <v>383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SUM((ROUNDDOWN((D45:I45)*단가,0)))</f>
        <v>21937394</v>
      </c>
      <c r="X21" s="154"/>
      <c r="Y21" s="170" t="str">
        <f t="shared" si="1"/>
        <v>제 2 호표</v>
      </c>
      <c r="Z21" s="150"/>
    </row>
    <row r="22" spans="1:26" ht="18" customHeight="1">
      <c r="A22" s="279"/>
      <c r="B22" s="223" t="s">
        <v>486</v>
      </c>
      <c r="C22" s="23"/>
      <c r="D22" s="197">
        <v>1</v>
      </c>
      <c r="E22" s="198">
        <v>2</v>
      </c>
      <c r="F22" s="198">
        <v>5.0999999999999996</v>
      </c>
      <c r="G22" s="198">
        <v>12.7</v>
      </c>
      <c r="H22" s="198">
        <v>15.2</v>
      </c>
      <c r="I22" s="199">
        <v>17.8</v>
      </c>
      <c r="J22" s="389" t="s">
        <v>1925</v>
      </c>
      <c r="L22" s="233">
        <v>1</v>
      </c>
      <c r="N22" s="292" t="s">
        <v>479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SUM((ROUNDDOWN((D46:I46)*단가,0)))</f>
        <v>12329482</v>
      </c>
      <c r="X22" s="154"/>
      <c r="Y22" s="170" t="str">
        <f t="shared" si="1"/>
        <v>제 3 호표</v>
      </c>
      <c r="Z22" s="150"/>
    </row>
    <row r="23" spans="1:26" ht="18" customHeight="1">
      <c r="A23" s="279"/>
      <c r="B23" s="223" t="s">
        <v>488</v>
      </c>
      <c r="C23" s="23"/>
      <c r="D23" s="197">
        <v>1</v>
      </c>
      <c r="E23" s="198">
        <v>2.4</v>
      </c>
      <c r="F23" s="198">
        <v>2.4</v>
      </c>
      <c r="G23" s="198">
        <v>7.9</v>
      </c>
      <c r="H23" s="198">
        <v>10</v>
      </c>
      <c r="I23" s="199">
        <v>12.8</v>
      </c>
      <c r="J23" s="389" t="s">
        <v>1925</v>
      </c>
      <c r="L23" s="233">
        <v>1</v>
      </c>
      <c r="N23" s="292" t="s">
        <v>481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SUM((ROUNDDOWN((D47:I47)*단가,0)))</f>
        <v>12329482</v>
      </c>
      <c r="X23" s="154"/>
      <c r="Y23" s="170" t="str">
        <f t="shared" si="1"/>
        <v>제 4 호표</v>
      </c>
      <c r="Z23" s="150"/>
    </row>
    <row r="24" spans="1:26" ht="18" customHeight="1">
      <c r="A24" s="279"/>
      <c r="B24" s="223" t="s">
        <v>490</v>
      </c>
      <c r="C24" s="23"/>
      <c r="D24" s="197">
        <v>1</v>
      </c>
      <c r="E24" s="198">
        <v>2.4</v>
      </c>
      <c r="F24" s="198">
        <v>2.4</v>
      </c>
      <c r="G24" s="198">
        <v>7.9</v>
      </c>
      <c r="H24" s="198">
        <v>10</v>
      </c>
      <c r="I24" s="199">
        <v>12.8</v>
      </c>
      <c r="J24" s="389" t="s">
        <v>1925</v>
      </c>
      <c r="L24" s="233">
        <v>1</v>
      </c>
      <c r="N24" s="292" t="s">
        <v>483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SUM((ROUNDDOWN((D48:I48)*단가,0)))</f>
        <v>8500246</v>
      </c>
      <c r="X24" s="154"/>
      <c r="Y24" s="170" t="str">
        <f t="shared" si="1"/>
        <v>제 5 호표</v>
      </c>
      <c r="Z24" s="150"/>
    </row>
    <row r="25" spans="1:26" ht="18" customHeight="1">
      <c r="A25" s="279"/>
      <c r="B25" s="222" t="s">
        <v>492</v>
      </c>
      <c r="C25" s="47"/>
      <c r="D25" s="48">
        <f t="shared" ref="D25:I25" si="2">SUBTOTAL(9,D26:D33)</f>
        <v>12.5</v>
      </c>
      <c r="E25" s="49">
        <f t="shared" si="2"/>
        <v>25.1</v>
      </c>
      <c r="F25" s="49">
        <f t="shared" si="2"/>
        <v>69.099999999999994</v>
      </c>
      <c r="G25" s="49">
        <f t="shared" si="2"/>
        <v>124.59999999999998</v>
      </c>
      <c r="H25" s="49">
        <f t="shared" si="2"/>
        <v>171.49999999999997</v>
      </c>
      <c r="I25" s="50">
        <f t="shared" si="2"/>
        <v>168.7</v>
      </c>
      <c r="J25" s="389"/>
      <c r="L25" s="232"/>
      <c r="N25" s="292" t="s">
        <v>485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SUM((ROUNDDOWN((D49:I49)*단가,0)))</f>
        <v>21867311</v>
      </c>
      <c r="X25" s="154"/>
      <c r="Y25" s="170" t="str">
        <f t="shared" si="1"/>
        <v>제 6 호표</v>
      </c>
      <c r="Z25" s="150"/>
    </row>
    <row r="26" spans="1:26" ht="18" customHeight="1">
      <c r="A26" s="279"/>
      <c r="B26" s="223" t="s">
        <v>494</v>
      </c>
      <c r="C26" s="23"/>
      <c r="D26" s="197">
        <v>1.5</v>
      </c>
      <c r="E26" s="198">
        <v>2.9</v>
      </c>
      <c r="F26" s="198">
        <v>7.9</v>
      </c>
      <c r="G26" s="198">
        <v>12.7</v>
      </c>
      <c r="H26" s="198">
        <v>17.2</v>
      </c>
      <c r="I26" s="199">
        <v>16.899999999999999</v>
      </c>
      <c r="J26" s="389" t="s">
        <v>1925</v>
      </c>
      <c r="L26" s="233">
        <v>1</v>
      </c>
      <c r="N26" s="292" t="s">
        <v>487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SUM((ROUNDDOWN((D50:I50)*단가,0)))</f>
        <v>14995017</v>
      </c>
      <c r="X26" s="154"/>
      <c r="Y26" s="170" t="str">
        <f t="shared" si="1"/>
        <v>제 7 호표</v>
      </c>
      <c r="Z26" s="150"/>
    </row>
    <row r="27" spans="1:26" ht="18" customHeight="1">
      <c r="A27" s="279"/>
      <c r="B27" s="223" t="s">
        <v>496</v>
      </c>
      <c r="C27" s="23"/>
      <c r="D27" s="197">
        <v>2.2999999999999998</v>
      </c>
      <c r="E27" s="198">
        <v>4.5999999999999996</v>
      </c>
      <c r="F27" s="198">
        <v>11.4</v>
      </c>
      <c r="G27" s="198">
        <v>22.9</v>
      </c>
      <c r="H27" s="198">
        <v>34.5</v>
      </c>
      <c r="I27" s="199">
        <v>34.4</v>
      </c>
      <c r="J27" s="389" t="s">
        <v>1925</v>
      </c>
      <c r="L27" s="233">
        <v>1</v>
      </c>
      <c r="N27" s="292" t="s">
        <v>489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SUM((ROUNDDOWN((D51:I51)*단가,0)))</f>
        <v>14995017</v>
      </c>
      <c r="X27" s="154"/>
      <c r="Y27" s="170" t="str">
        <f t="shared" si="1"/>
        <v>제 8 호표</v>
      </c>
      <c r="Z27" s="150"/>
    </row>
    <row r="28" spans="1:26" ht="18" customHeight="1">
      <c r="A28" s="279"/>
      <c r="B28" s="223" t="s">
        <v>498</v>
      </c>
      <c r="C28" s="23"/>
      <c r="D28" s="197">
        <v>2.2999999999999998</v>
      </c>
      <c r="E28" s="198">
        <v>4.5999999999999996</v>
      </c>
      <c r="F28" s="198">
        <v>11.4</v>
      </c>
      <c r="G28" s="198">
        <v>22.9</v>
      </c>
      <c r="H28" s="198">
        <v>34.200000000000003</v>
      </c>
      <c r="I28" s="199">
        <v>34.4</v>
      </c>
      <c r="J28" s="389" t="s">
        <v>1925</v>
      </c>
      <c r="L28" s="233">
        <v>1</v>
      </c>
      <c r="N28" s="354" t="s">
        <v>491</v>
      </c>
      <c r="O28" s="169"/>
      <c r="P28" s="169"/>
      <c r="Q28" s="169"/>
      <c r="R28" s="169"/>
      <c r="S28" s="169"/>
      <c r="T28" s="169"/>
      <c r="U28" s="226"/>
      <c r="V28" s="248"/>
      <c r="W28" s="193">
        <f ca="1">SUBTOTAL(9,W29:W36)</f>
        <v>234057799</v>
      </c>
      <c r="X28" s="194"/>
      <c r="Y28" s="170" t="str">
        <f t="shared" si="1"/>
        <v/>
      </c>
      <c r="Z28" s="170"/>
    </row>
    <row r="29" spans="1:26" ht="18" customHeight="1">
      <c r="A29" s="279"/>
      <c r="B29" s="223" t="s">
        <v>500</v>
      </c>
      <c r="C29" s="23"/>
      <c r="D29" s="197">
        <v>1.4</v>
      </c>
      <c r="E29" s="198">
        <v>2.8</v>
      </c>
      <c r="F29" s="198">
        <v>7.8</v>
      </c>
      <c r="G29" s="198">
        <v>12.6</v>
      </c>
      <c r="H29" s="198">
        <v>17.100000000000001</v>
      </c>
      <c r="I29" s="199">
        <v>16.899999999999999</v>
      </c>
      <c r="J29" s="389" t="s">
        <v>1925</v>
      </c>
      <c r="L29" s="233">
        <v>1</v>
      </c>
      <c r="N29" s="292" t="s">
        <v>493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SUM((ROUNDDOWN((D53:I53)*단가,0)))</f>
        <v>24396223</v>
      </c>
      <c r="X29" s="154"/>
      <c r="Y29" s="170" t="str">
        <f t="shared" si="1"/>
        <v>제 9 호표</v>
      </c>
      <c r="Z29" s="150"/>
    </row>
    <row r="30" spans="1:26" ht="18" customHeight="1">
      <c r="A30" s="279"/>
      <c r="B30" s="223" t="s">
        <v>502</v>
      </c>
      <c r="C30" s="23"/>
      <c r="D30" s="197">
        <v>1.1000000000000001</v>
      </c>
      <c r="E30" s="198">
        <v>2.2999999999999998</v>
      </c>
      <c r="F30" s="198">
        <v>7.4</v>
      </c>
      <c r="G30" s="198">
        <v>14.1</v>
      </c>
      <c r="H30" s="198">
        <v>17.100000000000001</v>
      </c>
      <c r="I30" s="199">
        <v>16.2</v>
      </c>
      <c r="J30" s="389" t="s">
        <v>1925</v>
      </c>
      <c r="L30" s="233">
        <v>1</v>
      </c>
      <c r="N30" s="292" t="s">
        <v>495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SUM((ROUNDDOWN((D54:I54)*단가,0)))</f>
        <v>44731631</v>
      </c>
      <c r="X30" s="154"/>
      <c r="Y30" s="170" t="str">
        <f t="shared" si="1"/>
        <v>제 10 호표</v>
      </c>
      <c r="Z30" s="150"/>
    </row>
    <row r="31" spans="1:26" ht="18" customHeight="1">
      <c r="A31" s="279"/>
      <c r="B31" s="223" t="s">
        <v>504</v>
      </c>
      <c r="C31" s="23"/>
      <c r="D31" s="197">
        <v>1.4</v>
      </c>
      <c r="E31" s="198">
        <v>2.8</v>
      </c>
      <c r="F31" s="198">
        <v>7.9</v>
      </c>
      <c r="G31" s="198">
        <v>12.6</v>
      </c>
      <c r="H31" s="198">
        <v>17.100000000000001</v>
      </c>
      <c r="I31" s="199">
        <v>16.899999999999999</v>
      </c>
      <c r="J31" s="389" t="s">
        <v>1925</v>
      </c>
      <c r="L31" s="233">
        <v>1</v>
      </c>
      <c r="N31" s="292" t="s">
        <v>497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SUM((ROUNDDOWN((D55:I55)*단가,0)))</f>
        <v>44625674</v>
      </c>
      <c r="X31" s="154"/>
      <c r="Y31" s="170" t="str">
        <f t="shared" si="1"/>
        <v>제 11 호표</v>
      </c>
      <c r="Z31" s="150"/>
    </row>
    <row r="32" spans="1:26" ht="18" customHeight="1">
      <c r="A32" s="279"/>
      <c r="B32" s="223" t="s">
        <v>506</v>
      </c>
      <c r="C32" s="23"/>
      <c r="D32" s="197">
        <v>1.1000000000000001</v>
      </c>
      <c r="E32" s="198">
        <v>2.2999999999999998</v>
      </c>
      <c r="F32" s="198">
        <v>7.4</v>
      </c>
      <c r="G32" s="198">
        <v>14.1</v>
      </c>
      <c r="H32" s="198">
        <v>17.100000000000001</v>
      </c>
      <c r="I32" s="199">
        <v>16.2</v>
      </c>
      <c r="J32" s="389" t="s">
        <v>1925</v>
      </c>
      <c r="L32" s="233">
        <v>1</v>
      </c>
      <c r="N32" s="292" t="s">
        <v>499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SUM((ROUNDDOWN((D56:I56)*단가,0)))</f>
        <v>24143915</v>
      </c>
      <c r="X32" s="154"/>
      <c r="Y32" s="170" t="str">
        <f t="shared" si="1"/>
        <v>제 12 호표</v>
      </c>
      <c r="Z32" s="150"/>
    </row>
    <row r="33" spans="1:26" ht="18" customHeight="1">
      <c r="A33" s="279"/>
      <c r="B33" s="223" t="s">
        <v>508</v>
      </c>
      <c r="C33" s="23"/>
      <c r="D33" s="197">
        <v>1.4</v>
      </c>
      <c r="E33" s="198">
        <v>2.8</v>
      </c>
      <c r="F33" s="198">
        <v>7.9</v>
      </c>
      <c r="G33" s="198">
        <v>12.7</v>
      </c>
      <c r="H33" s="198">
        <v>17.2</v>
      </c>
      <c r="I33" s="199">
        <v>16.8</v>
      </c>
      <c r="J33" s="389" t="s">
        <v>1925</v>
      </c>
      <c r="L33" s="233">
        <v>1</v>
      </c>
      <c r="N33" s="292" t="s">
        <v>501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SUM((ROUNDDOWN((D57:I57)*단가,0)))</f>
        <v>23868592</v>
      </c>
      <c r="X33" s="154"/>
      <c r="Y33" s="170" t="str">
        <f t="shared" si="1"/>
        <v>제 13 호표</v>
      </c>
      <c r="Z33" s="150"/>
    </row>
    <row r="34" spans="1:26" ht="18" customHeight="1">
      <c r="A34" s="279"/>
      <c r="B34" s="222" t="s">
        <v>509</v>
      </c>
      <c r="C34" s="47"/>
      <c r="D34" s="48">
        <f t="shared" ref="D34:I34" si="3">SUBTOTAL(9,D35:D36)</f>
        <v>3.7</v>
      </c>
      <c r="E34" s="49">
        <f t="shared" si="3"/>
        <v>7.4</v>
      </c>
      <c r="F34" s="49">
        <f t="shared" si="3"/>
        <v>16.799999999999997</v>
      </c>
      <c r="G34" s="49">
        <f t="shared" si="3"/>
        <v>31</v>
      </c>
      <c r="H34" s="49">
        <f t="shared" si="3"/>
        <v>43.4</v>
      </c>
      <c r="I34" s="50">
        <f t="shared" si="3"/>
        <v>43.4</v>
      </c>
      <c r="J34" s="389"/>
      <c r="L34" s="233"/>
      <c r="N34" s="292" t="s">
        <v>503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SUM((ROUNDDOWN((D58:I58)*단가,0)))</f>
        <v>24190548</v>
      </c>
      <c r="X34" s="154"/>
      <c r="Y34" s="170" t="str">
        <f t="shared" si="1"/>
        <v>제 14 호표</v>
      </c>
      <c r="Z34" s="150"/>
    </row>
    <row r="35" spans="1:26" ht="18" customHeight="1">
      <c r="A35" s="279"/>
      <c r="B35" s="223" t="s">
        <v>510</v>
      </c>
      <c r="C35" s="23"/>
      <c r="D35" s="197">
        <v>2.5</v>
      </c>
      <c r="E35" s="198">
        <v>4.9000000000000004</v>
      </c>
      <c r="F35" s="198">
        <v>11.2</v>
      </c>
      <c r="G35" s="198">
        <v>18.600000000000001</v>
      </c>
      <c r="H35" s="198">
        <v>18.7</v>
      </c>
      <c r="I35" s="199">
        <v>12.5</v>
      </c>
      <c r="J35" s="389" t="s">
        <v>1925</v>
      </c>
      <c r="L35" s="233">
        <v>1</v>
      </c>
      <c r="N35" s="292" t="s">
        <v>505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SUM((ROUNDDOWN((D59:I59)*단가,0)))</f>
        <v>23868592</v>
      </c>
      <c r="X35" s="154"/>
      <c r="Y35" s="170" t="str">
        <f t="shared" si="1"/>
        <v>제 15 호표</v>
      </c>
      <c r="Z35" s="150"/>
    </row>
    <row r="36" spans="1:26" ht="18" customHeight="1">
      <c r="A36" s="279"/>
      <c r="B36" s="223" t="s">
        <v>511</v>
      </c>
      <c r="C36" s="43"/>
      <c r="D36" s="206">
        <v>1.2</v>
      </c>
      <c r="E36" s="207">
        <v>2.5</v>
      </c>
      <c r="F36" s="207">
        <v>5.6</v>
      </c>
      <c r="G36" s="207">
        <v>12.4</v>
      </c>
      <c r="H36" s="207">
        <v>24.7</v>
      </c>
      <c r="I36" s="208">
        <v>30.9</v>
      </c>
      <c r="J36" s="389" t="s">
        <v>1925</v>
      </c>
      <c r="L36" s="233">
        <v>1</v>
      </c>
      <c r="N36" s="292" t="s">
        <v>507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SUM((ROUNDDOWN((D60:I60)*단가,0)))</f>
        <v>24232624</v>
      </c>
      <c r="X36" s="154"/>
      <c r="Y36" s="170" t="str">
        <f t="shared" si="1"/>
        <v>제 16 호표</v>
      </c>
      <c r="Z36" s="150"/>
    </row>
    <row r="37" spans="1:26" ht="18" customHeight="1">
      <c r="A37" s="279"/>
      <c r="B37" s="222" t="s">
        <v>512</v>
      </c>
      <c r="C37" s="47"/>
      <c r="D37" s="48">
        <f t="shared" ref="D37:I37" si="4">SUBTOTAL(9,D38:D41)</f>
        <v>8</v>
      </c>
      <c r="E37" s="49">
        <f t="shared" si="4"/>
        <v>8</v>
      </c>
      <c r="F37" s="49">
        <f t="shared" si="4"/>
        <v>8</v>
      </c>
      <c r="G37" s="49">
        <f t="shared" si="4"/>
        <v>16</v>
      </c>
      <c r="H37" s="49">
        <f t="shared" si="4"/>
        <v>16</v>
      </c>
      <c r="I37" s="50">
        <f t="shared" si="4"/>
        <v>16</v>
      </c>
      <c r="J37" s="389"/>
      <c r="L37" s="232"/>
      <c r="N37" s="354" t="s">
        <v>136</v>
      </c>
      <c r="O37" s="169"/>
      <c r="P37" s="169"/>
      <c r="Q37" s="169"/>
      <c r="R37" s="169"/>
      <c r="S37" s="169"/>
      <c r="T37" s="169"/>
      <c r="U37" s="226"/>
      <c r="V37" s="248"/>
      <c r="W37" s="193">
        <f ca="1">SUBTOTAL(9,W38:W39)</f>
        <v>59904504</v>
      </c>
      <c r="X37" s="257"/>
      <c r="Y37" s="170" t="str">
        <f t="shared" si="1"/>
        <v/>
      </c>
      <c r="Z37" s="169"/>
    </row>
    <row r="38" spans="1:26" ht="18" customHeight="1">
      <c r="A38" s="279"/>
      <c r="B38" s="223" t="s">
        <v>513</v>
      </c>
      <c r="C38" s="23"/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389" t="s">
        <v>1938</v>
      </c>
      <c r="L38" s="233">
        <v>1</v>
      </c>
      <c r="N38" s="292" t="s">
        <v>266</v>
      </c>
      <c r="O38" s="37"/>
      <c r="P38" s="37"/>
      <c r="Q38" s="37"/>
      <c r="R38" s="37"/>
      <c r="S38" s="37"/>
      <c r="T38" s="37"/>
      <c r="U38" s="226"/>
      <c r="V38" s="248"/>
      <c r="W38" s="153">
        <f t="array" aca="1" ref="W38" ca="1">SUM((ROUNDDOWN((D62:I62)*단가,0)))</f>
        <v>29247163</v>
      </c>
      <c r="X38" s="113"/>
      <c r="Y38" s="170" t="str">
        <f t="shared" si="1"/>
        <v>제 17 호표</v>
      </c>
      <c r="Z38" s="37"/>
    </row>
    <row r="39" spans="1:26" ht="18" customHeight="1">
      <c r="A39" s="279"/>
      <c r="B39" s="223" t="s">
        <v>514</v>
      </c>
      <c r="C39" s="23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389" t="s">
        <v>1094</v>
      </c>
      <c r="L39" s="233">
        <v>1</v>
      </c>
      <c r="N39" s="292" t="s">
        <v>267</v>
      </c>
      <c r="O39" s="37"/>
      <c r="P39" s="37"/>
      <c r="Q39" s="37"/>
      <c r="R39" s="37"/>
      <c r="S39" s="37"/>
      <c r="T39" s="37"/>
      <c r="U39" s="353"/>
      <c r="V39" s="248"/>
      <c r="W39" s="153">
        <f t="array" aca="1" ref="W39" ca="1">SUM((ROUNDDOWN((D63:I63)*단가,0)))</f>
        <v>30657341</v>
      </c>
      <c r="X39" s="113"/>
      <c r="Y39" s="170" t="str">
        <f t="shared" si="1"/>
        <v>제 18 호표</v>
      </c>
      <c r="Z39" s="37"/>
    </row>
    <row r="40" spans="1:26" ht="18" customHeight="1">
      <c r="A40" s="279"/>
      <c r="B40" s="223" t="s">
        <v>515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389" t="s">
        <v>1094</v>
      </c>
      <c r="L40" s="233">
        <v>1</v>
      </c>
      <c r="N40" s="354" t="s">
        <v>268</v>
      </c>
      <c r="O40" s="169"/>
      <c r="P40" s="169"/>
      <c r="Q40" s="169"/>
      <c r="R40" s="169"/>
      <c r="S40" s="169"/>
      <c r="T40" s="169"/>
      <c r="U40" s="226"/>
      <c r="V40" s="248"/>
      <c r="W40" s="193">
        <f ca="1">SUBTOTAL(9,W41:W44)</f>
        <v>21702576</v>
      </c>
      <c r="X40" s="194"/>
      <c r="Y40" s="170" t="str">
        <f t="shared" si="1"/>
        <v/>
      </c>
      <c r="Z40" s="170"/>
    </row>
    <row r="41" spans="1:26" ht="18" customHeight="1" thickBot="1">
      <c r="A41" s="279"/>
      <c r="B41" s="223" t="s">
        <v>516</v>
      </c>
      <c r="C41" s="23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612" t="s">
        <v>1094</v>
      </c>
      <c r="L41" s="233">
        <v>1</v>
      </c>
      <c r="N41" s="292" t="s">
        <v>270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SUM((ROUNDDOWN((D65:I65)*단가,0)))</f>
        <v>5425644</v>
      </c>
      <c r="X41" s="154"/>
      <c r="Y41" s="170" t="str">
        <f t="shared" si="1"/>
        <v>제 19 호표</v>
      </c>
      <c r="Z41" s="150"/>
    </row>
    <row r="42" spans="1:26" ht="18" customHeight="1" thickBot="1">
      <c r="A42" s="279"/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292" t="s">
        <v>272</v>
      </c>
      <c r="O42" s="37"/>
      <c r="P42" s="37"/>
      <c r="Q42" s="37"/>
      <c r="R42" s="37"/>
      <c r="S42" s="37"/>
      <c r="T42" s="37"/>
      <c r="U42" s="227"/>
      <c r="V42" s="231"/>
      <c r="W42" s="153">
        <f t="array" aca="1" ref="W42" ca="1">SUM((ROUNDDOWN((D66:I66)*단가,0)))</f>
        <v>5425644</v>
      </c>
      <c r="X42" s="154"/>
      <c r="Y42" s="170" t="str">
        <f t="shared" si="1"/>
        <v>제 20 호표</v>
      </c>
      <c r="Z42" s="150"/>
    </row>
    <row r="43" spans="1:26" ht="18" customHeight="1">
      <c r="A43" s="279"/>
      <c r="B43" s="222" t="s">
        <v>471</v>
      </c>
      <c r="C43" s="47"/>
      <c r="D43" s="48">
        <f t="shared" ref="D43:I43" si="5">SUBTOTAL(9,D44:D51)</f>
        <v>9.15</v>
      </c>
      <c r="E43" s="49">
        <f t="shared" si="5"/>
        <v>19.2</v>
      </c>
      <c r="F43" s="49">
        <f t="shared" si="5"/>
        <v>33.900000000000006</v>
      </c>
      <c r="G43" s="49">
        <f t="shared" si="5"/>
        <v>92.699999999999989</v>
      </c>
      <c r="H43" s="49">
        <f t="shared" si="5"/>
        <v>122.1</v>
      </c>
      <c r="I43" s="50">
        <f t="shared" si="5"/>
        <v>149.39999999999998</v>
      </c>
      <c r="J43" s="74"/>
      <c r="N43" s="292" t="s">
        <v>274</v>
      </c>
      <c r="O43" s="37"/>
      <c r="P43" s="37"/>
      <c r="Q43" s="37"/>
      <c r="R43" s="37"/>
      <c r="S43" s="37"/>
      <c r="T43" s="37"/>
      <c r="U43" s="227"/>
      <c r="V43" s="231"/>
      <c r="W43" s="153">
        <f t="array" aca="1" ref="W43" ca="1">SUM((ROUNDDOWN((D67:I67)*단가,0)))</f>
        <v>5425644</v>
      </c>
      <c r="X43" s="154"/>
      <c r="Y43" s="170" t="str">
        <f t="shared" si="1"/>
        <v>제 21 호표</v>
      </c>
      <c r="Z43" s="150"/>
    </row>
    <row r="44" spans="1:26" ht="18" customHeight="1">
      <c r="A44" s="278">
        <v>1</v>
      </c>
      <c r="B44" s="223" t="s">
        <v>477</v>
      </c>
      <c r="C44" s="23"/>
      <c r="D44" s="383">
        <f t="array" ref="D44:I51">ROUNDDOWN(D17:I24*L17:L24*$D$5*$D$6,3)</f>
        <v>0.75</v>
      </c>
      <c r="E44" s="198">
        <v>1.5</v>
      </c>
      <c r="F44" s="198">
        <v>1.95</v>
      </c>
      <c r="G44" s="198">
        <v>6</v>
      </c>
      <c r="H44" s="198">
        <v>7.8</v>
      </c>
      <c r="I44" s="199">
        <v>13.5</v>
      </c>
      <c r="J44" s="74"/>
      <c r="N44" s="292" t="s">
        <v>276</v>
      </c>
      <c r="O44" s="37"/>
      <c r="P44" s="37"/>
      <c r="Q44" s="37"/>
      <c r="R44" s="37"/>
      <c r="S44" s="37"/>
      <c r="T44" s="37"/>
      <c r="U44" s="227"/>
      <c r="V44" s="231"/>
      <c r="W44" s="153">
        <f t="array" aca="1" ref="W44" ca="1">SUM((ROUNDDOWN((D68:I68)*단가,0)))</f>
        <v>5425644</v>
      </c>
      <c r="X44" s="154"/>
      <c r="Y44" s="170" t="str">
        <f t="shared" si="1"/>
        <v>제 22 호표</v>
      </c>
      <c r="Z44" s="150"/>
    </row>
    <row r="45" spans="1:26" ht="18" customHeight="1">
      <c r="A45" s="278">
        <v>2</v>
      </c>
      <c r="B45" s="223" t="s">
        <v>478</v>
      </c>
      <c r="C45" s="23"/>
      <c r="D45" s="197">
        <v>1.65</v>
      </c>
      <c r="E45" s="198">
        <v>3</v>
      </c>
      <c r="F45" s="198">
        <v>7.65</v>
      </c>
      <c r="G45" s="198">
        <v>19.05</v>
      </c>
      <c r="H45" s="198">
        <v>22.8</v>
      </c>
      <c r="I45" s="199">
        <v>26.7</v>
      </c>
      <c r="J45" s="74"/>
      <c r="N45" s="8"/>
      <c r="P45" s="371"/>
      <c r="R45" s="357"/>
      <c r="S45" s="1"/>
      <c r="T45" s="1"/>
      <c r="U45" s="258"/>
      <c r="V45" s="372"/>
      <c r="W45" s="373"/>
      <c r="X45" s="374"/>
      <c r="Y45" s="375"/>
    </row>
    <row r="46" spans="1:26" ht="18" customHeight="1">
      <c r="A46" s="278">
        <v>3</v>
      </c>
      <c r="B46" s="223" t="s">
        <v>480</v>
      </c>
      <c r="C46" s="23"/>
      <c r="D46" s="197">
        <v>0.75</v>
      </c>
      <c r="E46" s="198">
        <v>1.5</v>
      </c>
      <c r="F46" s="198">
        <v>3.75</v>
      </c>
      <c r="G46" s="198">
        <v>9.4499999999999993</v>
      </c>
      <c r="H46" s="198">
        <v>15.45</v>
      </c>
      <c r="I46" s="199">
        <v>15.3</v>
      </c>
      <c r="J46" s="74"/>
      <c r="N46" s="290" t="s">
        <v>10</v>
      </c>
      <c r="O46" s="129"/>
      <c r="P46" s="130"/>
      <c r="Q46" s="124"/>
      <c r="R46" s="131"/>
      <c r="S46" s="124"/>
      <c r="T46" s="124"/>
      <c r="U46" s="181"/>
      <c r="V46" s="181"/>
      <c r="W46" s="159">
        <f>SUBTOTAL(9,W47:W49)</f>
        <v>8000000</v>
      </c>
      <c r="X46" s="160"/>
      <c r="Y46" s="124"/>
      <c r="Z46" s="124"/>
    </row>
    <row r="47" spans="1:26" ht="18" customHeight="1">
      <c r="A47" s="278">
        <v>4</v>
      </c>
      <c r="B47" s="223" t="s">
        <v>482</v>
      </c>
      <c r="C47" s="23"/>
      <c r="D47" s="197">
        <v>0.75</v>
      </c>
      <c r="E47" s="198">
        <v>1.5</v>
      </c>
      <c r="F47" s="198">
        <v>3.75</v>
      </c>
      <c r="G47" s="198">
        <v>9.4499999999999993</v>
      </c>
      <c r="H47" s="198">
        <v>15.45</v>
      </c>
      <c r="I47" s="199">
        <v>15.3</v>
      </c>
      <c r="J47" s="389"/>
      <c r="N47" s="128" t="str">
        <f>"여비("&amp;TEXT(R47,"#인 ×")&amp;TEXT(S47,"#일 ×")&amp;TEXT(T47,"###,###원)")</f>
        <v>여비(3인 ×10일 ×100,000원)</v>
      </c>
      <c r="O47" s="78"/>
      <c r="P47" s="52"/>
      <c r="Q47" s="51"/>
      <c r="R47" s="146">
        <v>3</v>
      </c>
      <c r="S47" s="146">
        <v>10</v>
      </c>
      <c r="T47" s="147">
        <v>100000</v>
      </c>
      <c r="U47" s="182"/>
      <c r="V47" s="182"/>
      <c r="W47" s="161">
        <f>R47*S47*T47</f>
        <v>3000000</v>
      </c>
      <c r="X47" s="162"/>
      <c r="Y47" s="51"/>
      <c r="Z47" s="51"/>
    </row>
    <row r="48" spans="1:26" ht="18" customHeight="1">
      <c r="A48" s="278">
        <v>5</v>
      </c>
      <c r="B48" s="223" t="s">
        <v>484</v>
      </c>
      <c r="C48" s="23"/>
      <c r="D48" s="197">
        <v>0.75</v>
      </c>
      <c r="E48" s="198">
        <v>1.5</v>
      </c>
      <c r="F48" s="198">
        <v>1.95</v>
      </c>
      <c r="G48" s="198">
        <v>6</v>
      </c>
      <c r="H48" s="198">
        <v>7.8</v>
      </c>
      <c r="I48" s="199">
        <v>13.5</v>
      </c>
      <c r="J48" s="389"/>
      <c r="N48" s="79" t="s">
        <v>46</v>
      </c>
      <c r="O48" s="79"/>
      <c r="P48" s="39"/>
      <c r="Q48" s="37"/>
      <c r="R48" s="117"/>
      <c r="S48" s="37"/>
      <c r="T48" s="37"/>
      <c r="U48" s="180"/>
      <c r="V48" s="180"/>
      <c r="W48" s="157">
        <v>3000000</v>
      </c>
      <c r="X48" s="158"/>
      <c r="Y48" s="37"/>
      <c r="Z48" s="37"/>
    </row>
    <row r="49" spans="1:26" ht="18" customHeight="1">
      <c r="A49" s="278">
        <v>6</v>
      </c>
      <c r="B49" s="223" t="s">
        <v>486</v>
      </c>
      <c r="C49" s="23"/>
      <c r="D49" s="197">
        <v>1.5</v>
      </c>
      <c r="E49" s="198">
        <v>3</v>
      </c>
      <c r="F49" s="198">
        <v>7.65</v>
      </c>
      <c r="G49" s="198">
        <v>19.05</v>
      </c>
      <c r="H49" s="198">
        <v>22.8</v>
      </c>
      <c r="I49" s="199">
        <v>26.7</v>
      </c>
      <c r="J49" s="389"/>
      <c r="N49" s="132" t="s">
        <v>13</v>
      </c>
      <c r="O49" s="132"/>
      <c r="P49" s="38"/>
      <c r="Q49" s="38"/>
      <c r="R49" s="116"/>
      <c r="S49" s="38"/>
      <c r="T49" s="38"/>
      <c r="U49" s="183"/>
      <c r="V49" s="183"/>
      <c r="W49" s="155">
        <v>2000000</v>
      </c>
      <c r="X49" s="156"/>
      <c r="Y49" s="38"/>
      <c r="Z49" s="38"/>
    </row>
    <row r="50" spans="1:26" ht="18" customHeight="1">
      <c r="A50" s="278">
        <v>7</v>
      </c>
      <c r="B50" s="223" t="s">
        <v>488</v>
      </c>
      <c r="C50" s="23"/>
      <c r="D50" s="197">
        <v>1.5</v>
      </c>
      <c r="E50" s="198">
        <v>3.6</v>
      </c>
      <c r="F50" s="198">
        <v>3.6</v>
      </c>
      <c r="G50" s="198">
        <v>11.85</v>
      </c>
      <c r="H50" s="198">
        <v>15</v>
      </c>
      <c r="I50" s="199">
        <v>19.2</v>
      </c>
      <c r="J50" s="389"/>
      <c r="N50" s="127" t="s">
        <v>47</v>
      </c>
      <c r="O50" s="123"/>
      <c r="P50" s="123"/>
      <c r="Q50" s="123"/>
      <c r="R50" s="123"/>
      <c r="S50" s="123"/>
      <c r="T50" s="123"/>
      <c r="U50" s="184"/>
      <c r="V50" s="184"/>
      <c r="W50" s="163">
        <f ca="1">SUBTOTAL(9,W51:W52)</f>
        <v>773858737</v>
      </c>
      <c r="X50" s="164"/>
      <c r="Y50" s="123"/>
      <c r="Z50" s="123"/>
    </row>
    <row r="51" spans="1:26" ht="18" customHeight="1">
      <c r="A51" s="278">
        <v>8</v>
      </c>
      <c r="B51" s="223" t="s">
        <v>490</v>
      </c>
      <c r="C51" s="23"/>
      <c r="D51" s="197">
        <v>1.5</v>
      </c>
      <c r="E51" s="198">
        <v>3.6</v>
      </c>
      <c r="F51" s="198">
        <v>3.6</v>
      </c>
      <c r="G51" s="198">
        <v>11.85</v>
      </c>
      <c r="H51" s="198">
        <v>15</v>
      </c>
      <c r="I51" s="199">
        <v>19.2</v>
      </c>
      <c r="J51" s="389"/>
      <c r="K51" s="171" t="s">
        <v>14</v>
      </c>
      <c r="N51" s="133" t="s">
        <v>861</v>
      </c>
      <c r="O51" s="124"/>
      <c r="P51" s="134"/>
      <c r="Q51" s="124"/>
      <c r="R51" s="131"/>
      <c r="S51" s="124"/>
      <c r="T51" s="181"/>
      <c r="U51" s="181"/>
      <c r="V51" s="190">
        <v>1.1499999999999999</v>
      </c>
      <c r="W51" s="159">
        <f ca="1">ROUNDDOWN(W18*V51,0)</f>
        <v>495786935</v>
      </c>
      <c r="X51" s="160"/>
      <c r="Y51" s="124"/>
      <c r="Z51" s="124"/>
    </row>
    <row r="52" spans="1:26" ht="18" customHeight="1" thickBot="1">
      <c r="A52" s="278"/>
      <c r="B52" s="222" t="s">
        <v>492</v>
      </c>
      <c r="C52" s="47"/>
      <c r="D52" s="48">
        <f t="shared" ref="D52:I52" si="6">SUBTOTAL(9,D53:D60)</f>
        <v>18.75</v>
      </c>
      <c r="E52" s="49">
        <f t="shared" si="6"/>
        <v>37.65</v>
      </c>
      <c r="F52" s="49">
        <f t="shared" si="6"/>
        <v>103.64999999999998</v>
      </c>
      <c r="G52" s="49">
        <f t="shared" si="6"/>
        <v>186.90000000000003</v>
      </c>
      <c r="H52" s="49">
        <f t="shared" si="6"/>
        <v>257.25</v>
      </c>
      <c r="I52" s="50">
        <f t="shared" si="6"/>
        <v>253.05</v>
      </c>
      <c r="J52" s="74"/>
      <c r="K52" s="171" t="s">
        <v>14</v>
      </c>
      <c r="N52" s="135" t="s">
        <v>862</v>
      </c>
      <c r="O52" s="136"/>
      <c r="P52" s="137"/>
      <c r="Q52" s="136"/>
      <c r="R52" s="138"/>
      <c r="S52" s="136"/>
      <c r="T52" s="185"/>
      <c r="U52" s="185"/>
      <c r="V52" s="191">
        <v>0.3</v>
      </c>
      <c r="W52" s="165">
        <f ca="1">ROUNDDOWN((W18+W51)*V52,0)</f>
        <v>278071802</v>
      </c>
      <c r="X52" s="166"/>
      <c r="Y52" s="136"/>
      <c r="Z52" s="136"/>
    </row>
    <row r="53" spans="1:26" ht="18" customHeight="1">
      <c r="A53" s="278">
        <v>9</v>
      </c>
      <c r="B53" s="223" t="s">
        <v>494</v>
      </c>
      <c r="C53" s="23"/>
      <c r="D53" s="383">
        <f t="array" ref="D53:I60">ROUNDDOWN(D26:I33*L26:L33*$D$5*$D$6,3)</f>
        <v>2.25</v>
      </c>
      <c r="E53" s="198">
        <v>4.3499999999999996</v>
      </c>
      <c r="F53" s="198">
        <v>11.85</v>
      </c>
      <c r="G53" s="198">
        <v>19.05</v>
      </c>
      <c r="H53" s="198">
        <v>25.8</v>
      </c>
      <c r="I53" s="199">
        <v>25.35</v>
      </c>
      <c r="J53" s="74"/>
      <c r="K53" s="171" t="s">
        <v>14</v>
      </c>
    </row>
    <row r="54" spans="1:26" ht="18" customHeight="1">
      <c r="A54" s="278">
        <v>10</v>
      </c>
      <c r="B54" s="223" t="s">
        <v>496</v>
      </c>
      <c r="C54" s="23"/>
      <c r="D54" s="197">
        <v>3.45</v>
      </c>
      <c r="E54" s="198">
        <v>6.9</v>
      </c>
      <c r="F54" s="198">
        <v>17.100000000000001</v>
      </c>
      <c r="G54" s="198">
        <v>34.35</v>
      </c>
      <c r="H54" s="198">
        <v>51.75</v>
      </c>
      <c r="I54" s="199">
        <v>51.6</v>
      </c>
      <c r="J54" s="74"/>
      <c r="K54" s="171" t="s">
        <v>14</v>
      </c>
      <c r="L54" s="171"/>
    </row>
    <row r="55" spans="1:26" ht="18" customHeight="1">
      <c r="A55" s="278">
        <v>11</v>
      </c>
      <c r="B55" s="223" t="s">
        <v>498</v>
      </c>
      <c r="C55" s="23"/>
      <c r="D55" s="197">
        <v>3.45</v>
      </c>
      <c r="E55" s="198">
        <v>6.9</v>
      </c>
      <c r="F55" s="198">
        <v>17.100000000000001</v>
      </c>
      <c r="G55" s="198">
        <v>34.35</v>
      </c>
      <c r="H55" s="198">
        <v>51.3</v>
      </c>
      <c r="I55" s="199">
        <v>51.6</v>
      </c>
      <c r="J55" s="74"/>
      <c r="K55" s="171"/>
      <c r="L55" s="171"/>
    </row>
    <row r="56" spans="1:26" ht="18" customHeight="1">
      <c r="A56" s="278">
        <v>12</v>
      </c>
      <c r="B56" s="223" t="s">
        <v>500</v>
      </c>
      <c r="C56" s="23"/>
      <c r="D56" s="197">
        <v>2.1</v>
      </c>
      <c r="E56" s="198">
        <v>4.2</v>
      </c>
      <c r="F56" s="198">
        <v>11.7</v>
      </c>
      <c r="G56" s="198">
        <v>18.899999999999999</v>
      </c>
      <c r="H56" s="198">
        <v>25.65</v>
      </c>
      <c r="I56" s="199">
        <v>25.35</v>
      </c>
      <c r="J56" s="389"/>
      <c r="K56" s="171" t="s">
        <v>14</v>
      </c>
      <c r="L56" s="171"/>
    </row>
    <row r="57" spans="1:26" ht="18" customHeight="1">
      <c r="A57" s="278">
        <v>13</v>
      </c>
      <c r="B57" s="223" t="s">
        <v>502</v>
      </c>
      <c r="C57" s="23"/>
      <c r="D57" s="197">
        <v>1.65</v>
      </c>
      <c r="E57" s="198">
        <v>3.45</v>
      </c>
      <c r="F57" s="198">
        <v>11.1</v>
      </c>
      <c r="G57" s="198">
        <v>21.15</v>
      </c>
      <c r="H57" s="198">
        <v>25.65</v>
      </c>
      <c r="I57" s="199">
        <v>24.3</v>
      </c>
      <c r="J57" s="389"/>
      <c r="K57" s="171" t="s">
        <v>14</v>
      </c>
      <c r="L57" s="171"/>
    </row>
    <row r="58" spans="1:26" ht="18" customHeight="1">
      <c r="A58" s="278">
        <v>14</v>
      </c>
      <c r="B58" s="223" t="s">
        <v>504</v>
      </c>
      <c r="C58" s="23"/>
      <c r="D58" s="197">
        <v>2.1</v>
      </c>
      <c r="E58" s="198">
        <v>4.2</v>
      </c>
      <c r="F58" s="198">
        <v>11.85</v>
      </c>
      <c r="G58" s="198">
        <v>18.899999999999999</v>
      </c>
      <c r="H58" s="198">
        <v>25.65</v>
      </c>
      <c r="I58" s="199">
        <v>25.35</v>
      </c>
      <c r="J58" s="389"/>
      <c r="K58" s="171" t="s">
        <v>14</v>
      </c>
      <c r="L58" s="171"/>
      <c r="R58" s="1"/>
      <c r="S58" s="1"/>
      <c r="T58" s="1"/>
      <c r="U58" s="1"/>
      <c r="V58" s="1"/>
      <c r="W58" s="1"/>
      <c r="X58" s="1"/>
      <c r="Y58" s="1"/>
    </row>
    <row r="59" spans="1:26" ht="18" customHeight="1">
      <c r="A59" s="278">
        <v>15</v>
      </c>
      <c r="B59" s="223" t="s">
        <v>506</v>
      </c>
      <c r="C59" s="23"/>
      <c r="D59" s="197">
        <v>1.65</v>
      </c>
      <c r="E59" s="198">
        <v>3.45</v>
      </c>
      <c r="F59" s="198">
        <v>11.1</v>
      </c>
      <c r="G59" s="198">
        <v>21.15</v>
      </c>
      <c r="H59" s="198">
        <v>25.65</v>
      </c>
      <c r="I59" s="199">
        <v>24.3</v>
      </c>
      <c r="J59" s="389"/>
      <c r="K59" s="171" t="s">
        <v>14</v>
      </c>
      <c r="L59" s="171"/>
      <c r="R59" s="1"/>
      <c r="S59" s="1"/>
      <c r="T59" s="1"/>
      <c r="U59" s="1"/>
      <c r="V59" s="1"/>
      <c r="W59" s="1"/>
      <c r="X59" s="1"/>
      <c r="Y59" s="1"/>
    </row>
    <row r="60" spans="1:26" ht="18" customHeight="1">
      <c r="A60" s="278">
        <v>16</v>
      </c>
      <c r="B60" s="223" t="s">
        <v>508</v>
      </c>
      <c r="C60" s="23"/>
      <c r="D60" s="197">
        <v>2.1</v>
      </c>
      <c r="E60" s="198">
        <v>4.2</v>
      </c>
      <c r="F60" s="198">
        <v>11.85</v>
      </c>
      <c r="G60" s="198">
        <v>19.05</v>
      </c>
      <c r="H60" s="198">
        <v>25.8</v>
      </c>
      <c r="I60" s="199">
        <v>25.2</v>
      </c>
      <c r="J60" s="389"/>
      <c r="K60" s="171" t="s">
        <v>14</v>
      </c>
      <c r="L60" s="171"/>
      <c r="R60" s="1"/>
      <c r="S60" s="1"/>
      <c r="T60" s="1"/>
      <c r="U60" s="1"/>
      <c r="V60" s="1"/>
      <c r="W60" s="1"/>
      <c r="X60" s="1"/>
      <c r="Y60" s="1"/>
    </row>
    <row r="61" spans="1:26" ht="18" customHeight="1" thickBot="1">
      <c r="A61" s="278"/>
      <c r="B61" s="222" t="s">
        <v>509</v>
      </c>
      <c r="C61" s="47"/>
      <c r="D61" s="48">
        <f t="shared" ref="D61:I61" si="7">SUBTOTAL(9,D62:D63)</f>
        <v>5.55</v>
      </c>
      <c r="E61" s="49">
        <f t="shared" si="7"/>
        <v>11.1</v>
      </c>
      <c r="F61" s="49">
        <f t="shared" si="7"/>
        <v>25.200000000000003</v>
      </c>
      <c r="G61" s="49">
        <f t="shared" si="7"/>
        <v>46.5</v>
      </c>
      <c r="H61" s="49">
        <f t="shared" si="7"/>
        <v>65.099999999999994</v>
      </c>
      <c r="I61" s="50">
        <f t="shared" si="7"/>
        <v>65.099999999999994</v>
      </c>
      <c r="J61" s="74"/>
      <c r="K61" s="171" t="s">
        <v>14</v>
      </c>
      <c r="L61" s="171"/>
      <c r="N61" s="66" t="s">
        <v>18</v>
      </c>
      <c r="O61" s="2"/>
      <c r="P61" s="2"/>
      <c r="Q61" s="2"/>
      <c r="R61" s="3"/>
      <c r="S61" s="4"/>
      <c r="T61" s="3"/>
      <c r="U61" s="4"/>
      <c r="V61" s="3"/>
      <c r="W61" s="4"/>
      <c r="X61" s="3"/>
      <c r="Y61" s="4"/>
      <c r="Z61" s="2"/>
    </row>
    <row r="62" spans="1:26" ht="18" customHeight="1">
      <c r="A62" s="278">
        <v>17</v>
      </c>
      <c r="B62" s="223" t="s">
        <v>510</v>
      </c>
      <c r="C62" s="23"/>
      <c r="D62" s="383">
        <f t="array" ref="D62:I63">ROUNDDOWN(D35:I36*L35:L36*$D$5*$D$6,3)</f>
        <v>3.75</v>
      </c>
      <c r="E62" s="198">
        <v>7.35</v>
      </c>
      <c r="F62" s="198">
        <v>16.8</v>
      </c>
      <c r="G62" s="198">
        <v>27.9</v>
      </c>
      <c r="H62" s="198">
        <v>28.05</v>
      </c>
      <c r="I62" s="199">
        <v>18.75</v>
      </c>
      <c r="J62" s="74"/>
      <c r="K62" s="171" t="s">
        <v>14</v>
      </c>
      <c r="L62" s="171"/>
      <c r="N62" s="765" t="s">
        <v>19</v>
      </c>
      <c r="O62" s="755" t="s">
        <v>20</v>
      </c>
      <c r="P62" s="755" t="s">
        <v>21</v>
      </c>
      <c r="Q62" s="755" t="s">
        <v>16</v>
      </c>
      <c r="R62" s="5" t="s">
        <v>22</v>
      </c>
      <c r="S62" s="5"/>
      <c r="T62" s="5" t="s">
        <v>23</v>
      </c>
      <c r="U62" s="5"/>
      <c r="V62" s="5" t="s">
        <v>24</v>
      </c>
      <c r="W62" s="5"/>
      <c r="X62" s="5" t="s">
        <v>25</v>
      </c>
      <c r="Y62" s="5"/>
      <c r="Z62" s="755" t="s">
        <v>26</v>
      </c>
    </row>
    <row r="63" spans="1:26" ht="18" customHeight="1" thickBot="1">
      <c r="A63" s="278">
        <v>18</v>
      </c>
      <c r="B63" s="223" t="s">
        <v>511</v>
      </c>
      <c r="C63" s="43"/>
      <c r="D63" s="206">
        <v>1.8</v>
      </c>
      <c r="E63" s="207">
        <v>3.75</v>
      </c>
      <c r="F63" s="207">
        <v>8.4</v>
      </c>
      <c r="G63" s="207">
        <v>18.600000000000001</v>
      </c>
      <c r="H63" s="207">
        <v>37.049999999999997</v>
      </c>
      <c r="I63" s="208">
        <v>46.35</v>
      </c>
      <c r="J63" s="239"/>
      <c r="K63" s="171" t="s">
        <v>14</v>
      </c>
      <c r="L63" s="171"/>
      <c r="N63" s="766"/>
      <c r="O63" s="756"/>
      <c r="P63" s="756"/>
      <c r="Q63" s="756"/>
      <c r="R63" s="67" t="s">
        <v>27</v>
      </c>
      <c r="S63" s="67" t="s">
        <v>28</v>
      </c>
      <c r="T63" s="67" t="s">
        <v>27</v>
      </c>
      <c r="U63" s="67" t="s">
        <v>28</v>
      </c>
      <c r="V63" s="67" t="s">
        <v>27</v>
      </c>
      <c r="W63" s="67" t="s">
        <v>28</v>
      </c>
      <c r="X63" s="67" t="s">
        <v>27</v>
      </c>
      <c r="Y63" s="67" t="s">
        <v>28</v>
      </c>
      <c r="Z63" s="756"/>
    </row>
    <row r="64" spans="1:26" ht="18" customHeight="1" thickTop="1">
      <c r="A64" s="278"/>
      <c r="B64" s="222" t="s">
        <v>512</v>
      </c>
      <c r="C64" s="47"/>
      <c r="D64" s="48">
        <f t="shared" ref="D64:I64" si="8">SUBTOTAL(9,D65:D68)</f>
        <v>8</v>
      </c>
      <c r="E64" s="49">
        <f t="shared" si="8"/>
        <v>8</v>
      </c>
      <c r="F64" s="49">
        <f t="shared" si="8"/>
        <v>8</v>
      </c>
      <c r="G64" s="49">
        <f t="shared" si="8"/>
        <v>16</v>
      </c>
      <c r="H64" s="49">
        <f t="shared" si="8"/>
        <v>16</v>
      </c>
      <c r="I64" s="50">
        <f t="shared" si="8"/>
        <v>16</v>
      </c>
      <c r="J64" s="74"/>
      <c r="K64" s="171" t="s">
        <v>14</v>
      </c>
      <c r="L64" s="171"/>
      <c r="N64" s="318" t="str">
        <f ca="1">"제 " &amp; Z64 &amp; " 호표  "&amp; OFFSET($A$1,MATCH(Z64,$A:$A,0)-1,1)</f>
        <v>제 1 호표  1-1. 상위계획 및 관련계획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v>1</v>
      </c>
    </row>
    <row r="65" spans="1:26" ht="18" customHeight="1">
      <c r="A65" s="278">
        <v>19</v>
      </c>
      <c r="B65" s="223" t="s">
        <v>513</v>
      </c>
      <c r="C65" s="23"/>
      <c r="D65" s="383">
        <f t="array" ref="D65:I68">ROUNDDOWN(D38:I41*L38:L41*I5,3)</f>
        <v>2</v>
      </c>
      <c r="E65" s="198">
        <v>2</v>
      </c>
      <c r="F65" s="198">
        <v>2</v>
      </c>
      <c r="G65" s="198">
        <v>4</v>
      </c>
      <c r="H65" s="198">
        <v>4</v>
      </c>
      <c r="I65" s="199">
        <v>4</v>
      </c>
      <c r="J65" s="74"/>
      <c r="K65" s="171" t="s">
        <v>14</v>
      </c>
      <c r="L65" s="171"/>
      <c r="N65" s="140" t="s">
        <v>43</v>
      </c>
      <c r="O65" s="172">
        <v>3</v>
      </c>
      <c r="P65" s="219">
        <f ca="1">OFFSET($A$1,MATCH(Z64,$A:$A,0)-1,O65)</f>
        <v>0.75</v>
      </c>
      <c r="Q65" s="141" t="s">
        <v>29</v>
      </c>
      <c r="R65" s="142">
        <f t="shared" ref="R65:S70" ca="1" si="9">T65</f>
        <v>467217</v>
      </c>
      <c r="S65" s="142">
        <f t="shared" ca="1" si="9"/>
        <v>350412</v>
      </c>
      <c r="T65" s="142">
        <f ca="1">기술사</f>
        <v>467217</v>
      </c>
      <c r="U65" s="142">
        <f t="shared" ref="U65:U70" ca="1" si="10">ROUNDDOWN(P65*R65,0)</f>
        <v>350412</v>
      </c>
      <c r="V65" s="142"/>
      <c r="W65" s="142"/>
      <c r="X65" s="142"/>
      <c r="Y65" s="142"/>
      <c r="Z65" s="114"/>
    </row>
    <row r="66" spans="1:26" ht="18" customHeight="1">
      <c r="A66" s="278">
        <v>20</v>
      </c>
      <c r="B66" s="223" t="s">
        <v>514</v>
      </c>
      <c r="C66" s="23"/>
      <c r="D66" s="197">
        <v>2</v>
      </c>
      <c r="E66" s="198">
        <v>2</v>
      </c>
      <c r="F66" s="198">
        <v>2</v>
      </c>
      <c r="G66" s="198">
        <v>4</v>
      </c>
      <c r="H66" s="198">
        <v>4</v>
      </c>
      <c r="I66" s="199">
        <v>4</v>
      </c>
      <c r="J66" s="74"/>
      <c r="K66" s="171" t="s">
        <v>14</v>
      </c>
      <c r="L66" s="171"/>
      <c r="N66" s="143" t="s">
        <v>32</v>
      </c>
      <c r="O66" s="173">
        <v>4</v>
      </c>
      <c r="P66" s="234">
        <f ca="1">OFFSET($A$1,MATCH(Z64,$A:$A,0)-1,O66)</f>
        <v>1.5</v>
      </c>
      <c r="Q66" s="144" t="s">
        <v>29</v>
      </c>
      <c r="R66" s="118">
        <f t="shared" ca="1" si="9"/>
        <v>373353</v>
      </c>
      <c r="S66" s="118">
        <f t="shared" ca="1" si="9"/>
        <v>560029</v>
      </c>
      <c r="T66" s="118">
        <f ca="1">특급</f>
        <v>373353</v>
      </c>
      <c r="U66" s="118">
        <f t="shared" ca="1" si="10"/>
        <v>560029</v>
      </c>
      <c r="V66" s="118"/>
      <c r="W66" s="118"/>
      <c r="X66" s="118"/>
      <c r="Y66" s="118"/>
      <c r="Z66" s="115"/>
    </row>
    <row r="67" spans="1:26" ht="18" customHeight="1">
      <c r="A67" s="278">
        <v>21</v>
      </c>
      <c r="B67" s="223" t="s">
        <v>515</v>
      </c>
      <c r="C67" s="23"/>
      <c r="D67" s="197">
        <v>2</v>
      </c>
      <c r="E67" s="198">
        <v>2</v>
      </c>
      <c r="F67" s="198">
        <v>2</v>
      </c>
      <c r="G67" s="198">
        <v>4</v>
      </c>
      <c r="H67" s="198">
        <v>4</v>
      </c>
      <c r="I67" s="199">
        <v>4</v>
      </c>
      <c r="J67" s="74"/>
      <c r="K67" s="171" t="s">
        <v>14</v>
      </c>
      <c r="L67" s="171"/>
      <c r="N67" s="145" t="s">
        <v>39</v>
      </c>
      <c r="O67" s="173">
        <v>5</v>
      </c>
      <c r="P67" s="234">
        <f ca="1">OFFSET($A$1,MATCH(Z64,$A:$A,0)-1,O67)</f>
        <v>1.95</v>
      </c>
      <c r="Q67" s="144" t="s">
        <v>29</v>
      </c>
      <c r="R67" s="118">
        <f t="shared" ca="1" si="9"/>
        <v>310884</v>
      </c>
      <c r="S67" s="118">
        <f t="shared" ca="1" si="9"/>
        <v>606223</v>
      </c>
      <c r="T67" s="118">
        <f ca="1">고급</f>
        <v>310884</v>
      </c>
      <c r="U67" s="118">
        <f t="shared" ca="1" si="10"/>
        <v>606223</v>
      </c>
      <c r="V67" s="118"/>
      <c r="W67" s="118"/>
      <c r="X67" s="118"/>
      <c r="Y67" s="118"/>
      <c r="Z67" s="115"/>
    </row>
    <row r="68" spans="1:26" ht="18" customHeight="1" thickBot="1">
      <c r="A68" s="278">
        <v>22</v>
      </c>
      <c r="B68" s="388" t="s">
        <v>516</v>
      </c>
      <c r="C68" s="342"/>
      <c r="D68" s="343">
        <v>2</v>
      </c>
      <c r="E68" s="344">
        <v>2</v>
      </c>
      <c r="F68" s="344">
        <v>2</v>
      </c>
      <c r="G68" s="344">
        <v>4</v>
      </c>
      <c r="H68" s="344">
        <v>4</v>
      </c>
      <c r="I68" s="345">
        <v>4</v>
      </c>
      <c r="J68" s="176"/>
      <c r="K68" s="171" t="s">
        <v>14</v>
      </c>
      <c r="L68" s="171"/>
      <c r="N68" s="145" t="s">
        <v>40</v>
      </c>
      <c r="O68" s="173">
        <v>6</v>
      </c>
      <c r="P68" s="234">
        <f ca="1">OFFSET($A$1,MATCH(Z64,$A:$A,0)-1,O68)</f>
        <v>6</v>
      </c>
      <c r="Q68" s="144" t="s">
        <v>29</v>
      </c>
      <c r="R68" s="118">
        <f t="shared" ca="1" si="9"/>
        <v>295138</v>
      </c>
      <c r="S68" s="118">
        <f t="shared" ca="1" si="9"/>
        <v>1770828</v>
      </c>
      <c r="T68" s="118">
        <f ca="1">중급</f>
        <v>295138</v>
      </c>
      <c r="U68" s="118">
        <f t="shared" ca="1" si="10"/>
        <v>1770828</v>
      </c>
      <c r="V68" s="118"/>
      <c r="W68" s="118"/>
      <c r="X68" s="118"/>
      <c r="Y68" s="118"/>
      <c r="Z68" s="115"/>
    </row>
    <row r="69" spans="1:26" ht="18" customHeight="1">
      <c r="A69" s="278"/>
      <c r="B69" s="80" t="s">
        <v>15</v>
      </c>
      <c r="C69" s="1" t="s">
        <v>1875</v>
      </c>
      <c r="E69" s="8"/>
      <c r="F69" s="8"/>
      <c r="G69" s="8"/>
      <c r="H69" s="8"/>
      <c r="I69" s="8"/>
      <c r="J69" s="10"/>
      <c r="K69" s="171" t="s">
        <v>14</v>
      </c>
      <c r="L69" s="171"/>
      <c r="N69" s="145" t="s">
        <v>41</v>
      </c>
      <c r="O69" s="173">
        <v>7</v>
      </c>
      <c r="P69" s="234">
        <f ca="1">OFFSET($A$1,MATCH(Z64,$A:$A,0)-1,O69)</f>
        <v>7.8</v>
      </c>
      <c r="Q69" s="144" t="s">
        <v>29</v>
      </c>
      <c r="R69" s="118">
        <f t="shared" ca="1" si="9"/>
        <v>235459</v>
      </c>
      <c r="S69" s="118">
        <f t="shared" ca="1" si="9"/>
        <v>1836580</v>
      </c>
      <c r="T69" s="118">
        <f ca="1">초급</f>
        <v>235459</v>
      </c>
      <c r="U69" s="118">
        <f t="shared" ca="1" si="10"/>
        <v>1836580</v>
      </c>
      <c r="V69" s="118"/>
      <c r="W69" s="118"/>
      <c r="X69" s="118"/>
      <c r="Y69" s="118"/>
      <c r="Z69" s="115"/>
    </row>
    <row r="70" spans="1:26" ht="18" customHeight="1">
      <c r="A70" s="278"/>
      <c r="B70" s="80"/>
      <c r="C70" s="9" t="s">
        <v>1876</v>
      </c>
      <c r="J70" s="8"/>
      <c r="K70" s="171" t="s">
        <v>14</v>
      </c>
      <c r="L70" s="171"/>
      <c r="N70" s="319" t="s">
        <v>42</v>
      </c>
      <c r="O70" s="174">
        <v>8</v>
      </c>
      <c r="P70" s="235">
        <f ca="1">OFFSET($A$1,MATCH(Z64,$A:$A,0)-1,O70)</f>
        <v>13.5</v>
      </c>
      <c r="Q70" s="322" t="s">
        <v>29</v>
      </c>
      <c r="R70" s="323">
        <f t="shared" ca="1" si="9"/>
        <v>250087</v>
      </c>
      <c r="S70" s="323">
        <f t="shared" ca="1" si="9"/>
        <v>3376174</v>
      </c>
      <c r="T70" s="323">
        <f ca="1">보조원</f>
        <v>250087</v>
      </c>
      <c r="U70" s="323">
        <f t="shared" ca="1" si="10"/>
        <v>3376174</v>
      </c>
      <c r="V70" s="323"/>
      <c r="W70" s="323"/>
      <c r="X70" s="323"/>
      <c r="Y70" s="323"/>
      <c r="Z70" s="324"/>
    </row>
    <row r="71" spans="1:26" ht="18" customHeight="1">
      <c r="A71" s="278"/>
      <c r="C71" s="1" t="s">
        <v>1877</v>
      </c>
      <c r="J71" s="8"/>
      <c r="K71" s="171" t="s">
        <v>14</v>
      </c>
      <c r="L71" s="171"/>
      <c r="N71" s="139" t="s">
        <v>17</v>
      </c>
      <c r="O71" s="68"/>
      <c r="P71" s="69"/>
      <c r="Q71" s="70"/>
      <c r="R71" s="71"/>
      <c r="S71" s="71">
        <f ca="1">SUBTOTAL(9,S65:S70)</f>
        <v>8500246</v>
      </c>
      <c r="T71" s="71"/>
      <c r="U71" s="71">
        <f ca="1">SUBTOTAL(9,U65:U70)</f>
        <v>8500246</v>
      </c>
      <c r="V71" s="71"/>
      <c r="W71" s="71"/>
      <c r="X71" s="71"/>
      <c r="Y71" s="71"/>
      <c r="Z71" s="68"/>
    </row>
    <row r="72" spans="1:26" ht="18" customHeight="1">
      <c r="A72" s="278"/>
      <c r="C72" s="9" t="s">
        <v>1878</v>
      </c>
      <c r="J72" s="8"/>
      <c r="K72" s="171" t="s">
        <v>14</v>
      </c>
      <c r="L72" s="171"/>
      <c r="N72" s="318" t="str">
        <f ca="1">"제 " &amp; Z72 &amp; " 호표  "&amp; OFFSET($A$1,MATCH(Z72,$A:$A,0)-1,1)</f>
        <v>제 2 호표  1-2. 자연환경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2</v>
      </c>
    </row>
    <row r="73" spans="1:26" ht="18" customHeight="1">
      <c r="A73" s="278"/>
      <c r="C73" s="9"/>
      <c r="K73" s="171" t="s">
        <v>14</v>
      </c>
      <c r="L73" s="171"/>
      <c r="N73" s="140" t="s">
        <v>43</v>
      </c>
      <c r="O73" s="172">
        <v>3</v>
      </c>
      <c r="P73" s="219">
        <f ca="1">OFFSET($A$1,MATCH(Z72,$A:$A,0)-1,O73)</f>
        <v>1.65</v>
      </c>
      <c r="Q73" s="141" t="s">
        <v>29</v>
      </c>
      <c r="R73" s="142">
        <f t="shared" ref="R73:S78" ca="1" si="11">T73</f>
        <v>467217</v>
      </c>
      <c r="S73" s="142">
        <f t="shared" ca="1" si="11"/>
        <v>770908</v>
      </c>
      <c r="T73" s="142">
        <f ca="1">기술사</f>
        <v>467217</v>
      </c>
      <c r="U73" s="142">
        <f t="shared" ref="U73:U78" ca="1" si="12">ROUNDDOWN(P73*R73,0)</f>
        <v>770908</v>
      </c>
      <c r="V73" s="142"/>
      <c r="W73" s="142"/>
      <c r="X73" s="142"/>
      <c r="Y73" s="142"/>
      <c r="Z73" s="114"/>
    </row>
    <row r="74" spans="1:26" ht="18" customHeight="1">
      <c r="A74" s="278"/>
      <c r="C74" s="9"/>
      <c r="K74" s="171" t="s">
        <v>14</v>
      </c>
      <c r="L74" s="171"/>
      <c r="N74" s="143" t="s">
        <v>32</v>
      </c>
      <c r="O74" s="173">
        <v>4</v>
      </c>
      <c r="P74" s="234">
        <f ca="1">OFFSET($A$1,MATCH(Z72,$A:$A,0)-1,O74)</f>
        <v>3</v>
      </c>
      <c r="Q74" s="144" t="s">
        <v>29</v>
      </c>
      <c r="R74" s="118">
        <f t="shared" ca="1" si="11"/>
        <v>373353</v>
      </c>
      <c r="S74" s="118">
        <f t="shared" ca="1" si="11"/>
        <v>1120059</v>
      </c>
      <c r="T74" s="118">
        <f ca="1">특급</f>
        <v>373353</v>
      </c>
      <c r="U74" s="118">
        <f t="shared" ca="1" si="12"/>
        <v>1120059</v>
      </c>
      <c r="V74" s="118"/>
      <c r="W74" s="118"/>
      <c r="X74" s="118"/>
      <c r="Y74" s="118"/>
      <c r="Z74" s="115"/>
    </row>
    <row r="75" spans="1:26" ht="18" customHeight="1">
      <c r="A75" s="278"/>
      <c r="C75" s="9"/>
      <c r="K75" s="171" t="s">
        <v>14</v>
      </c>
      <c r="L75" s="171"/>
      <c r="N75" s="145" t="s">
        <v>39</v>
      </c>
      <c r="O75" s="173">
        <v>5</v>
      </c>
      <c r="P75" s="234">
        <f ca="1">OFFSET($A$1,MATCH(Z72,$A:$A,0)-1,O75)</f>
        <v>7.65</v>
      </c>
      <c r="Q75" s="144" t="s">
        <v>29</v>
      </c>
      <c r="R75" s="118">
        <f t="shared" ca="1" si="11"/>
        <v>310884</v>
      </c>
      <c r="S75" s="118">
        <f t="shared" ca="1" si="11"/>
        <v>2378262</v>
      </c>
      <c r="T75" s="118">
        <f ca="1">고급</f>
        <v>310884</v>
      </c>
      <c r="U75" s="118">
        <f t="shared" ca="1" si="12"/>
        <v>2378262</v>
      </c>
      <c r="V75" s="118"/>
      <c r="W75" s="118"/>
      <c r="X75" s="118"/>
      <c r="Y75" s="118"/>
      <c r="Z75" s="115"/>
    </row>
    <row r="76" spans="1:26" ht="18" customHeight="1">
      <c r="C76" s="9"/>
      <c r="K76" s="171" t="s">
        <v>14</v>
      </c>
      <c r="L76" s="171"/>
      <c r="N76" s="145" t="s">
        <v>40</v>
      </c>
      <c r="O76" s="173">
        <v>6</v>
      </c>
      <c r="P76" s="234">
        <f ca="1">OFFSET($A$1,MATCH(Z72,$A:$A,0)-1,O76)</f>
        <v>19.05</v>
      </c>
      <c r="Q76" s="144" t="s">
        <v>29</v>
      </c>
      <c r="R76" s="118">
        <f t="shared" ca="1" si="11"/>
        <v>295138</v>
      </c>
      <c r="S76" s="118">
        <f t="shared" ca="1" si="11"/>
        <v>5622378</v>
      </c>
      <c r="T76" s="118">
        <f ca="1">중급</f>
        <v>295138</v>
      </c>
      <c r="U76" s="118">
        <f t="shared" ca="1" si="12"/>
        <v>5622378</v>
      </c>
      <c r="V76" s="118"/>
      <c r="W76" s="118"/>
      <c r="X76" s="118"/>
      <c r="Y76" s="118"/>
      <c r="Z76" s="115"/>
    </row>
    <row r="77" spans="1:26" ht="18" customHeight="1">
      <c r="A77" s="278"/>
      <c r="K77" s="171" t="s">
        <v>14</v>
      </c>
      <c r="L77" s="171"/>
      <c r="N77" s="145" t="s">
        <v>41</v>
      </c>
      <c r="O77" s="173">
        <v>7</v>
      </c>
      <c r="P77" s="234">
        <f ca="1">OFFSET($A$1,MATCH(Z72,$A:$A,0)-1,O77)</f>
        <v>22.8</v>
      </c>
      <c r="Q77" s="144" t="s">
        <v>29</v>
      </c>
      <c r="R77" s="118">
        <f t="shared" ca="1" si="11"/>
        <v>235459</v>
      </c>
      <c r="S77" s="118">
        <f t="shared" ca="1" si="11"/>
        <v>5368465</v>
      </c>
      <c r="T77" s="118">
        <f ca="1">초급</f>
        <v>235459</v>
      </c>
      <c r="U77" s="118">
        <f t="shared" ca="1" si="12"/>
        <v>5368465</v>
      </c>
      <c r="V77" s="118"/>
      <c r="W77" s="118"/>
      <c r="X77" s="118"/>
      <c r="Y77" s="118"/>
      <c r="Z77" s="115"/>
    </row>
    <row r="78" spans="1:26" ht="18" customHeight="1">
      <c r="A78" s="278"/>
      <c r="B78" s="9"/>
      <c r="C78" s="9"/>
      <c r="K78" s="171" t="s">
        <v>14</v>
      </c>
      <c r="L78" s="171"/>
      <c r="N78" s="319" t="s">
        <v>42</v>
      </c>
      <c r="O78" s="174">
        <v>8</v>
      </c>
      <c r="P78" s="235">
        <f ca="1">OFFSET($A$1,MATCH(Z72,$A:$A,0)-1,O78)</f>
        <v>26.7</v>
      </c>
      <c r="Q78" s="322" t="s">
        <v>29</v>
      </c>
      <c r="R78" s="323">
        <f t="shared" ca="1" si="11"/>
        <v>250087</v>
      </c>
      <c r="S78" s="323">
        <f t="shared" ca="1" si="11"/>
        <v>6677322</v>
      </c>
      <c r="T78" s="323">
        <f ca="1">보조원</f>
        <v>250087</v>
      </c>
      <c r="U78" s="323">
        <f t="shared" ca="1" si="12"/>
        <v>6677322</v>
      </c>
      <c r="V78" s="323"/>
      <c r="W78" s="323"/>
      <c r="X78" s="323"/>
      <c r="Y78" s="323"/>
      <c r="Z78" s="324"/>
    </row>
    <row r="79" spans="1:26" ht="18" customHeight="1">
      <c r="A79" s="278"/>
      <c r="B79" s="9"/>
      <c r="K79" s="171" t="s">
        <v>14</v>
      </c>
      <c r="L79" s="171"/>
      <c r="N79" s="139" t="s">
        <v>17</v>
      </c>
      <c r="O79" s="68"/>
      <c r="P79" s="69"/>
      <c r="Q79" s="70"/>
      <c r="R79" s="71"/>
      <c r="S79" s="71">
        <f ca="1">SUBTOTAL(9,S73:S78)</f>
        <v>21937394</v>
      </c>
      <c r="T79" s="71"/>
      <c r="U79" s="71">
        <f ca="1">SUBTOTAL(9,U73:U78)</f>
        <v>21937394</v>
      </c>
      <c r="V79" s="71"/>
      <c r="W79" s="71"/>
      <c r="X79" s="71"/>
      <c r="Y79" s="71"/>
      <c r="Z79" s="68"/>
    </row>
    <row r="80" spans="1:26" ht="18" customHeight="1">
      <c r="A80" s="278"/>
      <c r="B80" s="9"/>
      <c r="K80" s="171" t="s">
        <v>14</v>
      </c>
      <c r="L80" s="171"/>
      <c r="N80" s="318" t="str">
        <f ca="1">"제 " &amp; Z80 &amp; " 호표  "&amp; OFFSET($A$1,MATCH(Z80,$A:$A,0)-1,1)</f>
        <v>제 3 호표  1-3. 지역자원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3</v>
      </c>
    </row>
    <row r="81" spans="2:26" ht="18" customHeight="1">
      <c r="B81" s="9"/>
      <c r="K81" s="171" t="s">
        <v>14</v>
      </c>
      <c r="L81" s="171"/>
      <c r="N81" s="140" t="s">
        <v>43</v>
      </c>
      <c r="O81" s="172">
        <v>3</v>
      </c>
      <c r="P81" s="219">
        <f ca="1">OFFSET($A$1,MATCH(Z80,$A:$A,0)-1,O81)</f>
        <v>0.75</v>
      </c>
      <c r="Q81" s="141" t="s">
        <v>29</v>
      </c>
      <c r="R81" s="142">
        <f t="shared" ref="R81:S86" ca="1" si="13">T81</f>
        <v>467217</v>
      </c>
      <c r="S81" s="142">
        <f t="shared" ca="1" si="13"/>
        <v>350412</v>
      </c>
      <c r="T81" s="142">
        <f ca="1">기술사</f>
        <v>467217</v>
      </c>
      <c r="U81" s="142">
        <f t="shared" ref="U81:U86" ca="1" si="14">ROUNDDOWN(P81*R81,0)</f>
        <v>350412</v>
      </c>
      <c r="V81" s="142"/>
      <c r="W81" s="142"/>
      <c r="X81" s="142"/>
      <c r="Y81" s="142"/>
      <c r="Z81" s="114"/>
    </row>
    <row r="82" spans="2:26" ht="18" customHeight="1">
      <c r="B82" s="9"/>
      <c r="K82" s="171" t="s">
        <v>14</v>
      </c>
      <c r="L82" s="171"/>
      <c r="N82" s="143" t="s">
        <v>32</v>
      </c>
      <c r="O82" s="173">
        <v>4</v>
      </c>
      <c r="P82" s="234">
        <f ca="1">OFFSET($A$1,MATCH(Z80,$A:$A,0)-1,O82)</f>
        <v>1.5</v>
      </c>
      <c r="Q82" s="144" t="s">
        <v>29</v>
      </c>
      <c r="R82" s="118">
        <f t="shared" ca="1" si="13"/>
        <v>373353</v>
      </c>
      <c r="S82" s="118">
        <f t="shared" ca="1" si="13"/>
        <v>560029</v>
      </c>
      <c r="T82" s="118">
        <f ca="1">특급</f>
        <v>373353</v>
      </c>
      <c r="U82" s="118">
        <f t="shared" ca="1" si="14"/>
        <v>560029</v>
      </c>
      <c r="V82" s="118"/>
      <c r="W82" s="118"/>
      <c r="X82" s="118"/>
      <c r="Y82" s="118"/>
      <c r="Z82" s="115"/>
    </row>
    <row r="83" spans="2:26" ht="18" customHeight="1">
      <c r="B83" s="9"/>
      <c r="K83" s="171" t="s">
        <v>14</v>
      </c>
      <c r="L83" s="171"/>
      <c r="N83" s="145" t="s">
        <v>39</v>
      </c>
      <c r="O83" s="173">
        <v>5</v>
      </c>
      <c r="P83" s="234">
        <f ca="1">OFFSET($A$1,MATCH(Z80,$A:$A,0)-1,O83)</f>
        <v>3.75</v>
      </c>
      <c r="Q83" s="144" t="s">
        <v>29</v>
      </c>
      <c r="R83" s="118">
        <f t="shared" ca="1" si="13"/>
        <v>310884</v>
      </c>
      <c r="S83" s="118">
        <f t="shared" ca="1" si="13"/>
        <v>1165815</v>
      </c>
      <c r="T83" s="118">
        <f ca="1">고급</f>
        <v>310884</v>
      </c>
      <c r="U83" s="118">
        <f t="shared" ca="1" si="14"/>
        <v>1165815</v>
      </c>
      <c r="V83" s="118"/>
      <c r="W83" s="118"/>
      <c r="X83" s="118"/>
      <c r="Y83" s="118"/>
      <c r="Z83" s="115"/>
    </row>
    <row r="84" spans="2:26" ht="18" customHeight="1">
      <c r="B84" s="9"/>
      <c r="K84" s="171" t="s">
        <v>14</v>
      </c>
      <c r="L84" s="171"/>
      <c r="N84" s="145" t="s">
        <v>40</v>
      </c>
      <c r="O84" s="173">
        <v>6</v>
      </c>
      <c r="P84" s="234">
        <f ca="1">OFFSET($A$1,MATCH(Z80,$A:$A,0)-1,O84)</f>
        <v>9.4499999999999993</v>
      </c>
      <c r="Q84" s="144" t="s">
        <v>29</v>
      </c>
      <c r="R84" s="118">
        <f t="shared" ca="1" si="13"/>
        <v>295138</v>
      </c>
      <c r="S84" s="118">
        <f t="shared" ca="1" si="13"/>
        <v>2789054</v>
      </c>
      <c r="T84" s="118">
        <f ca="1">중급</f>
        <v>295138</v>
      </c>
      <c r="U84" s="118">
        <f t="shared" ca="1" si="14"/>
        <v>2789054</v>
      </c>
      <c r="V84" s="118"/>
      <c r="W84" s="118"/>
      <c r="X84" s="118"/>
      <c r="Y84" s="118"/>
      <c r="Z84" s="115"/>
    </row>
    <row r="85" spans="2:26" ht="18" customHeight="1">
      <c r="K85" s="171" t="s">
        <v>14</v>
      </c>
      <c r="L85" s="171"/>
      <c r="N85" s="145" t="s">
        <v>41</v>
      </c>
      <c r="O85" s="173">
        <v>7</v>
      </c>
      <c r="P85" s="234">
        <f ca="1">OFFSET($A$1,MATCH(Z80,$A:$A,0)-1,O85)</f>
        <v>15.45</v>
      </c>
      <c r="Q85" s="144" t="s">
        <v>29</v>
      </c>
      <c r="R85" s="118">
        <f t="shared" ca="1" si="13"/>
        <v>235459</v>
      </c>
      <c r="S85" s="118">
        <f t="shared" ca="1" si="13"/>
        <v>3637841</v>
      </c>
      <c r="T85" s="118">
        <f ca="1">초급</f>
        <v>235459</v>
      </c>
      <c r="U85" s="118">
        <f t="shared" ca="1" si="14"/>
        <v>3637841</v>
      </c>
      <c r="V85" s="118"/>
      <c r="W85" s="118"/>
      <c r="X85" s="118"/>
      <c r="Y85" s="118"/>
      <c r="Z85" s="115"/>
    </row>
    <row r="86" spans="2:26" ht="18" customHeight="1">
      <c r="K86" s="171" t="s">
        <v>14</v>
      </c>
      <c r="L86" s="171"/>
      <c r="N86" s="319" t="s">
        <v>42</v>
      </c>
      <c r="O86" s="174">
        <v>8</v>
      </c>
      <c r="P86" s="235">
        <f ca="1">OFFSET($A$1,MATCH(Z80,$A:$A,0)-1,O86)</f>
        <v>15.3</v>
      </c>
      <c r="Q86" s="322" t="s">
        <v>29</v>
      </c>
      <c r="R86" s="323">
        <f t="shared" ca="1" si="13"/>
        <v>250087</v>
      </c>
      <c r="S86" s="323">
        <f t="shared" ca="1" si="13"/>
        <v>3826331</v>
      </c>
      <c r="T86" s="323">
        <f ca="1">보조원</f>
        <v>250087</v>
      </c>
      <c r="U86" s="323">
        <f t="shared" ca="1" si="14"/>
        <v>3826331</v>
      </c>
      <c r="V86" s="323"/>
      <c r="W86" s="323"/>
      <c r="X86" s="323"/>
      <c r="Y86" s="323"/>
      <c r="Z86" s="324"/>
    </row>
    <row r="87" spans="2:26" ht="18" customHeight="1">
      <c r="K87" s="171" t="s">
        <v>14</v>
      </c>
      <c r="L87" s="171"/>
      <c r="N87" s="139" t="s">
        <v>17</v>
      </c>
      <c r="O87" s="68"/>
      <c r="P87" s="69"/>
      <c r="Q87" s="70"/>
      <c r="R87" s="71"/>
      <c r="S87" s="71">
        <f ca="1">SUBTOTAL(9,S81:S86)</f>
        <v>12329482</v>
      </c>
      <c r="T87" s="71"/>
      <c r="U87" s="71">
        <f ca="1">SUBTOTAL(9,U81:U86)</f>
        <v>12329482</v>
      </c>
      <c r="V87" s="71"/>
      <c r="W87" s="71"/>
      <c r="X87" s="71"/>
      <c r="Y87" s="71"/>
      <c r="Z87" s="68"/>
    </row>
    <row r="88" spans="2:26" ht="18" customHeight="1">
      <c r="K88" s="171" t="s">
        <v>14</v>
      </c>
      <c r="L88" s="171"/>
      <c r="N88" s="318" t="str">
        <f ca="1">"제 " &amp; Z88 &amp; " 호표  "&amp; OFFSET($A$1,MATCH(Z88,$A:$A,0)-1,1)</f>
        <v>제 4 호표  1-4. 인문환경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4</v>
      </c>
    </row>
    <row r="89" spans="2:26" ht="18" customHeight="1">
      <c r="K89" s="171" t="s">
        <v>14</v>
      </c>
      <c r="L89" s="171"/>
      <c r="N89" s="140" t="s">
        <v>43</v>
      </c>
      <c r="O89" s="172">
        <v>3</v>
      </c>
      <c r="P89" s="219">
        <f ca="1">OFFSET($A$1,MATCH(Z88,$A:$A,0)-1,O89)</f>
        <v>0.75</v>
      </c>
      <c r="Q89" s="141" t="s">
        <v>29</v>
      </c>
      <c r="R89" s="142">
        <f t="shared" ref="R89:S94" ca="1" si="15">T89</f>
        <v>467217</v>
      </c>
      <c r="S89" s="142">
        <f t="shared" ca="1" si="15"/>
        <v>350412</v>
      </c>
      <c r="T89" s="142">
        <f ca="1">기술사</f>
        <v>467217</v>
      </c>
      <c r="U89" s="142">
        <f t="shared" ref="U89:U94" ca="1" si="16">ROUNDDOWN(P89*R89,0)</f>
        <v>350412</v>
      </c>
      <c r="V89" s="142"/>
      <c r="W89" s="142"/>
      <c r="X89" s="142"/>
      <c r="Y89" s="142"/>
      <c r="Z89" s="114"/>
    </row>
    <row r="90" spans="2:26" ht="18" customHeight="1">
      <c r="K90" s="171" t="s">
        <v>14</v>
      </c>
      <c r="L90" s="171"/>
      <c r="N90" s="143" t="s">
        <v>32</v>
      </c>
      <c r="O90" s="173">
        <v>4</v>
      </c>
      <c r="P90" s="234">
        <f ca="1">OFFSET($A$1,MATCH(Z88,$A:$A,0)-1,O90)</f>
        <v>1.5</v>
      </c>
      <c r="Q90" s="144" t="s">
        <v>29</v>
      </c>
      <c r="R90" s="118">
        <f t="shared" ca="1" si="15"/>
        <v>373353</v>
      </c>
      <c r="S90" s="118">
        <f t="shared" ca="1" si="15"/>
        <v>560029</v>
      </c>
      <c r="T90" s="118">
        <f ca="1">특급</f>
        <v>373353</v>
      </c>
      <c r="U90" s="118">
        <f t="shared" ca="1" si="16"/>
        <v>560029</v>
      </c>
      <c r="V90" s="118"/>
      <c r="W90" s="118"/>
      <c r="X90" s="118"/>
      <c r="Y90" s="118"/>
      <c r="Z90" s="115"/>
    </row>
    <row r="91" spans="2:26" ht="18" customHeight="1">
      <c r="K91" s="171" t="s">
        <v>14</v>
      </c>
      <c r="L91" s="171"/>
      <c r="N91" s="145" t="s">
        <v>39</v>
      </c>
      <c r="O91" s="173">
        <v>5</v>
      </c>
      <c r="P91" s="234">
        <f ca="1">OFFSET($A$1,MATCH(Z88,$A:$A,0)-1,O91)</f>
        <v>3.75</v>
      </c>
      <c r="Q91" s="144" t="s">
        <v>29</v>
      </c>
      <c r="R91" s="118">
        <f t="shared" ca="1" si="15"/>
        <v>310884</v>
      </c>
      <c r="S91" s="118">
        <f t="shared" ca="1" si="15"/>
        <v>1165815</v>
      </c>
      <c r="T91" s="118">
        <f ca="1">고급</f>
        <v>310884</v>
      </c>
      <c r="U91" s="118">
        <f t="shared" ca="1" si="16"/>
        <v>1165815</v>
      </c>
      <c r="V91" s="118"/>
      <c r="W91" s="118"/>
      <c r="X91" s="118"/>
      <c r="Y91" s="118"/>
      <c r="Z91" s="115"/>
    </row>
    <row r="92" spans="2:26" ht="18" customHeight="1">
      <c r="K92" s="171" t="s">
        <v>14</v>
      </c>
      <c r="L92" s="171"/>
      <c r="N92" s="145" t="s">
        <v>40</v>
      </c>
      <c r="O92" s="173">
        <v>6</v>
      </c>
      <c r="P92" s="234">
        <f ca="1">OFFSET($A$1,MATCH(Z88,$A:$A,0)-1,O92)</f>
        <v>9.4499999999999993</v>
      </c>
      <c r="Q92" s="144" t="s">
        <v>29</v>
      </c>
      <c r="R92" s="118">
        <f t="shared" ca="1" si="15"/>
        <v>295138</v>
      </c>
      <c r="S92" s="118">
        <f t="shared" ca="1" si="15"/>
        <v>2789054</v>
      </c>
      <c r="T92" s="118">
        <f ca="1">중급</f>
        <v>295138</v>
      </c>
      <c r="U92" s="118">
        <f t="shared" ca="1" si="16"/>
        <v>2789054</v>
      </c>
      <c r="V92" s="118"/>
      <c r="W92" s="118"/>
      <c r="X92" s="118"/>
      <c r="Y92" s="118"/>
      <c r="Z92" s="115"/>
    </row>
    <row r="93" spans="2:26" ht="18" customHeight="1">
      <c r="K93" s="171" t="s">
        <v>14</v>
      </c>
      <c r="L93" s="171"/>
      <c r="N93" s="145" t="s">
        <v>41</v>
      </c>
      <c r="O93" s="173">
        <v>7</v>
      </c>
      <c r="P93" s="234">
        <f ca="1">OFFSET($A$1,MATCH(Z88,$A:$A,0)-1,O93)</f>
        <v>15.45</v>
      </c>
      <c r="Q93" s="144" t="s">
        <v>29</v>
      </c>
      <c r="R93" s="118">
        <f t="shared" ca="1" si="15"/>
        <v>235459</v>
      </c>
      <c r="S93" s="118">
        <f t="shared" ca="1" si="15"/>
        <v>3637841</v>
      </c>
      <c r="T93" s="118">
        <f ca="1">초급</f>
        <v>235459</v>
      </c>
      <c r="U93" s="118">
        <f t="shared" ca="1" si="16"/>
        <v>3637841</v>
      </c>
      <c r="V93" s="118"/>
      <c r="W93" s="118"/>
      <c r="X93" s="118"/>
      <c r="Y93" s="118"/>
      <c r="Z93" s="115"/>
    </row>
    <row r="94" spans="2:26" ht="18" customHeight="1">
      <c r="K94" s="171" t="s">
        <v>14</v>
      </c>
      <c r="L94" s="171"/>
      <c r="N94" s="319" t="s">
        <v>42</v>
      </c>
      <c r="O94" s="174">
        <v>8</v>
      </c>
      <c r="P94" s="235">
        <f ca="1">OFFSET($A$1,MATCH(Z88,$A:$A,0)-1,O94)</f>
        <v>15.3</v>
      </c>
      <c r="Q94" s="322" t="s">
        <v>29</v>
      </c>
      <c r="R94" s="323">
        <f t="shared" ca="1" si="15"/>
        <v>250087</v>
      </c>
      <c r="S94" s="323">
        <f t="shared" ca="1" si="15"/>
        <v>3826331</v>
      </c>
      <c r="T94" s="323">
        <f ca="1">보조원</f>
        <v>250087</v>
      </c>
      <c r="U94" s="323">
        <f t="shared" ca="1" si="16"/>
        <v>3826331</v>
      </c>
      <c r="V94" s="323"/>
      <c r="W94" s="323"/>
      <c r="X94" s="323"/>
      <c r="Y94" s="323"/>
      <c r="Z94" s="324"/>
    </row>
    <row r="95" spans="2:26" ht="18" customHeight="1">
      <c r="K95" s="171" t="s">
        <v>14</v>
      </c>
      <c r="L95" s="171"/>
      <c r="N95" s="139" t="s">
        <v>17</v>
      </c>
      <c r="O95" s="68"/>
      <c r="P95" s="69"/>
      <c r="Q95" s="70"/>
      <c r="R95" s="71"/>
      <c r="S95" s="71">
        <f ca="1">SUBTOTAL(9,S89:S94)</f>
        <v>12329482</v>
      </c>
      <c r="T95" s="71"/>
      <c r="U95" s="71">
        <f ca="1">SUBTOTAL(9,U89:U94)</f>
        <v>12329482</v>
      </c>
      <c r="V95" s="71"/>
      <c r="W95" s="71"/>
      <c r="X95" s="71"/>
      <c r="Y95" s="71"/>
      <c r="Z95" s="68"/>
    </row>
    <row r="96" spans="2:26" ht="18" customHeight="1">
      <c r="K96" s="171" t="s">
        <v>14</v>
      </c>
      <c r="L96" s="171"/>
      <c r="N96" s="318" t="str">
        <f ca="1">"제 " &amp; Z96 &amp; " 호표  "&amp; OFFSET($A$1,MATCH(Z96,$A:$A,0)-1,1)</f>
        <v>제 5 호표  1-5. 도시계획·공간구조·외부공간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5</v>
      </c>
    </row>
    <row r="97" spans="11:26" ht="18" customHeight="1">
      <c r="K97" s="171" t="s">
        <v>14</v>
      </c>
      <c r="L97" s="171"/>
      <c r="N97" s="140" t="s">
        <v>43</v>
      </c>
      <c r="O97" s="172">
        <v>3</v>
      </c>
      <c r="P97" s="219">
        <f ca="1">OFFSET($A$1,MATCH(Z96,$A:$A,0)-1,O97)</f>
        <v>0.75</v>
      </c>
      <c r="Q97" s="141" t="s">
        <v>29</v>
      </c>
      <c r="R97" s="142">
        <f t="shared" ref="R97:S102" ca="1" si="17">T97</f>
        <v>467217</v>
      </c>
      <c r="S97" s="142">
        <f t="shared" ca="1" si="17"/>
        <v>350412</v>
      </c>
      <c r="T97" s="142">
        <f ca="1">기술사</f>
        <v>467217</v>
      </c>
      <c r="U97" s="142">
        <f t="shared" ref="U97:U102" ca="1" si="18">ROUNDDOWN(P97*R97,0)</f>
        <v>350412</v>
      </c>
      <c r="V97" s="142"/>
      <c r="W97" s="142"/>
      <c r="X97" s="142"/>
      <c r="Y97" s="142"/>
      <c r="Z97" s="114"/>
    </row>
    <row r="98" spans="11:26" ht="18" customHeight="1">
      <c r="K98" s="171" t="s">
        <v>14</v>
      </c>
      <c r="L98" s="171"/>
      <c r="N98" s="143" t="s">
        <v>32</v>
      </c>
      <c r="O98" s="173">
        <v>4</v>
      </c>
      <c r="P98" s="234">
        <f ca="1">OFFSET($A$1,MATCH(Z96,$A:$A,0)-1,O98)</f>
        <v>1.5</v>
      </c>
      <c r="Q98" s="144" t="s">
        <v>29</v>
      </c>
      <c r="R98" s="118">
        <f t="shared" ca="1" si="17"/>
        <v>373353</v>
      </c>
      <c r="S98" s="118">
        <f t="shared" ca="1" si="17"/>
        <v>560029</v>
      </c>
      <c r="T98" s="118">
        <f ca="1">특급</f>
        <v>373353</v>
      </c>
      <c r="U98" s="118">
        <f t="shared" ca="1" si="18"/>
        <v>560029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39</v>
      </c>
      <c r="O99" s="173">
        <v>5</v>
      </c>
      <c r="P99" s="234">
        <f ca="1">OFFSET($A$1,MATCH(Z96,$A:$A,0)-1,O99)</f>
        <v>1.95</v>
      </c>
      <c r="Q99" s="144" t="s">
        <v>29</v>
      </c>
      <c r="R99" s="118">
        <f t="shared" ca="1" si="17"/>
        <v>310884</v>
      </c>
      <c r="S99" s="118">
        <f t="shared" ca="1" si="17"/>
        <v>606223</v>
      </c>
      <c r="T99" s="118">
        <f ca="1">고급</f>
        <v>310884</v>
      </c>
      <c r="U99" s="118">
        <f t="shared" ca="1" si="18"/>
        <v>606223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40</v>
      </c>
      <c r="O100" s="173">
        <v>6</v>
      </c>
      <c r="P100" s="234">
        <f ca="1">OFFSET($A$1,MATCH(Z96,$A:$A,0)-1,O100)</f>
        <v>6</v>
      </c>
      <c r="Q100" s="144" t="s">
        <v>29</v>
      </c>
      <c r="R100" s="118">
        <f t="shared" ca="1" si="17"/>
        <v>295138</v>
      </c>
      <c r="S100" s="118">
        <f t="shared" ca="1" si="17"/>
        <v>1770828</v>
      </c>
      <c r="T100" s="118">
        <f ca="1">중급</f>
        <v>295138</v>
      </c>
      <c r="U100" s="118">
        <f t="shared" ca="1" si="18"/>
        <v>1770828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145" t="s">
        <v>41</v>
      </c>
      <c r="O101" s="173">
        <v>7</v>
      </c>
      <c r="P101" s="234">
        <f ca="1">OFFSET($A$1,MATCH(Z96,$A:$A,0)-1,O101)</f>
        <v>7.8</v>
      </c>
      <c r="Q101" s="144" t="s">
        <v>29</v>
      </c>
      <c r="R101" s="118">
        <f t="shared" ca="1" si="17"/>
        <v>235459</v>
      </c>
      <c r="S101" s="118">
        <f t="shared" ca="1" si="17"/>
        <v>1836580</v>
      </c>
      <c r="T101" s="118">
        <f ca="1">초급</f>
        <v>235459</v>
      </c>
      <c r="U101" s="118">
        <f t="shared" ca="1" si="18"/>
        <v>1836580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319" t="s">
        <v>42</v>
      </c>
      <c r="O102" s="174">
        <v>8</v>
      </c>
      <c r="P102" s="235">
        <f ca="1">OFFSET($A$1,MATCH(Z96,$A:$A,0)-1,O102)</f>
        <v>13.5</v>
      </c>
      <c r="Q102" s="322" t="s">
        <v>29</v>
      </c>
      <c r="R102" s="323">
        <f t="shared" ca="1" si="17"/>
        <v>250087</v>
      </c>
      <c r="S102" s="323">
        <f t="shared" ca="1" si="17"/>
        <v>3376174</v>
      </c>
      <c r="T102" s="323">
        <f ca="1">보조원</f>
        <v>250087</v>
      </c>
      <c r="U102" s="323">
        <f t="shared" ca="1" si="18"/>
        <v>3376174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N103" s="139" t="s">
        <v>17</v>
      </c>
      <c r="O103" s="68"/>
      <c r="P103" s="69"/>
      <c r="Q103" s="70"/>
      <c r="R103" s="71"/>
      <c r="S103" s="71">
        <f ca="1">SUBTOTAL(9,S97:S102)</f>
        <v>8500246</v>
      </c>
      <c r="T103" s="71"/>
      <c r="U103" s="71">
        <f ca="1">SUBTOTAL(9,U97:U102)</f>
        <v>8500246</v>
      </c>
      <c r="V103" s="71"/>
      <c r="W103" s="71"/>
      <c r="X103" s="71"/>
      <c r="Y103" s="71"/>
      <c r="Z103" s="68"/>
    </row>
    <row r="104" spans="11:26" ht="18" customHeight="1">
      <c r="K104" s="171" t="s">
        <v>14</v>
      </c>
      <c r="L104" s="171"/>
      <c r="N104" s="318" t="str">
        <f ca="1">"제 " &amp; Z104 &amp; " 호표  "&amp; OFFSET($A$1,MATCH(Z104,$A:$A,0)-1,1)</f>
        <v>제 6 호표  1-6. 건축물 현황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6</v>
      </c>
    </row>
    <row r="105" spans="11:26" ht="18" customHeight="1">
      <c r="K105" s="171" t="s">
        <v>14</v>
      </c>
      <c r="L105" s="171"/>
      <c r="N105" s="140" t="s">
        <v>43</v>
      </c>
      <c r="O105" s="172">
        <v>3</v>
      </c>
      <c r="P105" s="219">
        <f ca="1">OFFSET($A$1,MATCH(Z104,$A:$A,0)-1,O105)</f>
        <v>1.5</v>
      </c>
      <c r="Q105" s="141" t="s">
        <v>29</v>
      </c>
      <c r="R105" s="142">
        <f t="shared" ref="R105:S110" ca="1" si="19">T105</f>
        <v>467217</v>
      </c>
      <c r="S105" s="142">
        <f t="shared" ca="1" si="19"/>
        <v>700825</v>
      </c>
      <c r="T105" s="142">
        <f ca="1">기술사</f>
        <v>467217</v>
      </c>
      <c r="U105" s="142">
        <f t="shared" ref="U105:U110" ca="1" si="20">ROUNDDOWN(P105*R105,0)</f>
        <v>700825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N106" s="143" t="s">
        <v>32</v>
      </c>
      <c r="O106" s="173">
        <v>4</v>
      </c>
      <c r="P106" s="234">
        <f ca="1">OFFSET($A$1,MATCH(Z104,$A:$A,0)-1,O106)</f>
        <v>3</v>
      </c>
      <c r="Q106" s="144" t="s">
        <v>29</v>
      </c>
      <c r="R106" s="118">
        <f t="shared" ca="1" si="19"/>
        <v>373353</v>
      </c>
      <c r="S106" s="118">
        <f t="shared" ca="1" si="19"/>
        <v>1120059</v>
      </c>
      <c r="T106" s="118">
        <f ca="1">특급</f>
        <v>373353</v>
      </c>
      <c r="U106" s="118">
        <f t="shared" ca="1" si="20"/>
        <v>1120059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39</v>
      </c>
      <c r="O107" s="173">
        <v>5</v>
      </c>
      <c r="P107" s="234">
        <f ca="1">OFFSET($A$1,MATCH(Z104,$A:$A,0)-1,O107)</f>
        <v>7.65</v>
      </c>
      <c r="Q107" s="144" t="s">
        <v>29</v>
      </c>
      <c r="R107" s="118">
        <f t="shared" ca="1" si="19"/>
        <v>310884</v>
      </c>
      <c r="S107" s="118">
        <f t="shared" ca="1" si="19"/>
        <v>2378262</v>
      </c>
      <c r="T107" s="118">
        <f ca="1">고급</f>
        <v>310884</v>
      </c>
      <c r="U107" s="118">
        <f t="shared" ca="1" si="20"/>
        <v>2378262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40</v>
      </c>
      <c r="O108" s="173">
        <v>6</v>
      </c>
      <c r="P108" s="234">
        <f ca="1">OFFSET($A$1,MATCH(Z104,$A:$A,0)-1,O108)</f>
        <v>19.05</v>
      </c>
      <c r="Q108" s="144" t="s">
        <v>29</v>
      </c>
      <c r="R108" s="118">
        <f t="shared" ca="1" si="19"/>
        <v>295138</v>
      </c>
      <c r="S108" s="118">
        <f t="shared" ca="1" si="19"/>
        <v>5622378</v>
      </c>
      <c r="T108" s="118">
        <f ca="1">중급</f>
        <v>295138</v>
      </c>
      <c r="U108" s="118">
        <f t="shared" ca="1" si="20"/>
        <v>5622378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145" t="s">
        <v>41</v>
      </c>
      <c r="O109" s="173">
        <v>7</v>
      </c>
      <c r="P109" s="234">
        <f ca="1">OFFSET($A$1,MATCH(Z104,$A:$A,0)-1,O109)</f>
        <v>22.8</v>
      </c>
      <c r="Q109" s="144" t="s">
        <v>29</v>
      </c>
      <c r="R109" s="118">
        <f t="shared" ca="1" si="19"/>
        <v>235459</v>
      </c>
      <c r="S109" s="118">
        <f t="shared" ca="1" si="19"/>
        <v>5368465</v>
      </c>
      <c r="T109" s="118">
        <f ca="1">초급</f>
        <v>235459</v>
      </c>
      <c r="U109" s="118">
        <f t="shared" ca="1" si="20"/>
        <v>5368465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319" t="s">
        <v>42</v>
      </c>
      <c r="O110" s="174">
        <v>8</v>
      </c>
      <c r="P110" s="235">
        <f ca="1">OFFSET($A$1,MATCH(Z104,$A:$A,0)-1,O110)</f>
        <v>26.7</v>
      </c>
      <c r="Q110" s="322" t="s">
        <v>29</v>
      </c>
      <c r="R110" s="323">
        <f t="shared" ca="1" si="19"/>
        <v>250087</v>
      </c>
      <c r="S110" s="323">
        <f t="shared" ca="1" si="19"/>
        <v>6677322</v>
      </c>
      <c r="T110" s="323">
        <f ca="1">보조원</f>
        <v>250087</v>
      </c>
      <c r="U110" s="323">
        <f t="shared" ca="1" si="20"/>
        <v>6677322</v>
      </c>
      <c r="V110" s="323"/>
      <c r="W110" s="323"/>
      <c r="X110" s="323"/>
      <c r="Y110" s="323"/>
      <c r="Z110" s="324"/>
    </row>
    <row r="111" spans="11:26" ht="18" customHeight="1">
      <c r="K111" s="171" t="s">
        <v>14</v>
      </c>
      <c r="L111" s="171"/>
      <c r="N111" s="139" t="s">
        <v>17</v>
      </c>
      <c r="O111" s="68"/>
      <c r="P111" s="69"/>
      <c r="Q111" s="70"/>
      <c r="R111" s="71"/>
      <c r="S111" s="71">
        <f ca="1">SUBTOTAL(9,S105:S110)</f>
        <v>21867311</v>
      </c>
      <c r="T111" s="71"/>
      <c r="U111" s="71">
        <f ca="1">SUBTOTAL(9,U105:U110)</f>
        <v>21867311</v>
      </c>
      <c r="V111" s="71"/>
      <c r="W111" s="71"/>
      <c r="X111" s="71"/>
      <c r="Y111" s="71"/>
      <c r="Z111" s="68"/>
    </row>
    <row r="112" spans="11:26" ht="18" customHeight="1">
      <c r="K112" s="171" t="s">
        <v>14</v>
      </c>
      <c r="L112" s="171"/>
      <c r="N112" s="318" t="str">
        <f ca="1">"제 " &amp; Z112 &amp; " 호표  "&amp; OFFSET($A$1,MATCH(Z112,$A:$A,0)-1,1)</f>
        <v>제 7 호표  1-7. 산업경제·사회변화·인적자원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7</v>
      </c>
    </row>
    <row r="113" spans="11:26" ht="18" customHeight="1">
      <c r="K113" s="171" t="s">
        <v>14</v>
      </c>
      <c r="L113" s="171"/>
      <c r="N113" s="140" t="s">
        <v>43</v>
      </c>
      <c r="O113" s="172">
        <v>3</v>
      </c>
      <c r="P113" s="219">
        <f ca="1">OFFSET($A$1,MATCH(Z112,$A:$A,0)-1,O113)</f>
        <v>1.5</v>
      </c>
      <c r="Q113" s="141" t="s">
        <v>29</v>
      </c>
      <c r="R113" s="142">
        <f t="shared" ref="R113:S118" ca="1" si="21">T113</f>
        <v>467217</v>
      </c>
      <c r="S113" s="142">
        <f t="shared" ca="1" si="21"/>
        <v>700825</v>
      </c>
      <c r="T113" s="142">
        <f ca="1">기술사</f>
        <v>467217</v>
      </c>
      <c r="U113" s="142">
        <f t="shared" ref="U113:U118" ca="1" si="22">ROUNDDOWN(P113*R113,0)</f>
        <v>700825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N114" s="143" t="s">
        <v>32</v>
      </c>
      <c r="O114" s="173">
        <v>4</v>
      </c>
      <c r="P114" s="234">
        <f ca="1">OFFSET($A$1,MATCH(Z112,$A:$A,0)-1,O114)</f>
        <v>3.6</v>
      </c>
      <c r="Q114" s="144" t="s">
        <v>29</v>
      </c>
      <c r="R114" s="118">
        <f t="shared" ca="1" si="21"/>
        <v>373353</v>
      </c>
      <c r="S114" s="118">
        <f t="shared" ca="1" si="21"/>
        <v>1344070</v>
      </c>
      <c r="T114" s="118">
        <f ca="1">특급</f>
        <v>373353</v>
      </c>
      <c r="U114" s="118">
        <f t="shared" ca="1" si="22"/>
        <v>1344070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39</v>
      </c>
      <c r="O115" s="173">
        <v>5</v>
      </c>
      <c r="P115" s="234">
        <f ca="1">OFFSET($A$1,MATCH(Z112,$A:$A,0)-1,O115)</f>
        <v>3.6</v>
      </c>
      <c r="Q115" s="144" t="s">
        <v>29</v>
      </c>
      <c r="R115" s="118">
        <f t="shared" ca="1" si="21"/>
        <v>310884</v>
      </c>
      <c r="S115" s="118">
        <f t="shared" ca="1" si="21"/>
        <v>1119182</v>
      </c>
      <c r="T115" s="118">
        <f ca="1">고급</f>
        <v>310884</v>
      </c>
      <c r="U115" s="118">
        <f t="shared" ca="1" si="22"/>
        <v>1119182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40</v>
      </c>
      <c r="O116" s="173">
        <v>6</v>
      </c>
      <c r="P116" s="234">
        <f ca="1">OFFSET($A$1,MATCH(Z112,$A:$A,0)-1,O116)</f>
        <v>11.85</v>
      </c>
      <c r="Q116" s="144" t="s">
        <v>29</v>
      </c>
      <c r="R116" s="118">
        <f t="shared" ca="1" si="21"/>
        <v>295138</v>
      </c>
      <c r="S116" s="118">
        <f t="shared" ca="1" si="21"/>
        <v>3497385</v>
      </c>
      <c r="T116" s="118">
        <f ca="1">중급</f>
        <v>295138</v>
      </c>
      <c r="U116" s="118">
        <f t="shared" ca="1" si="22"/>
        <v>3497385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41</v>
      </c>
      <c r="O117" s="173">
        <v>7</v>
      </c>
      <c r="P117" s="234">
        <f ca="1">OFFSET($A$1,MATCH(Z112,$A:$A,0)-1,O117)</f>
        <v>15</v>
      </c>
      <c r="Q117" s="144" t="s">
        <v>29</v>
      </c>
      <c r="R117" s="118">
        <f t="shared" ca="1" si="21"/>
        <v>235459</v>
      </c>
      <c r="S117" s="118">
        <f t="shared" ca="1" si="21"/>
        <v>3531885</v>
      </c>
      <c r="T117" s="118">
        <f ca="1">초급</f>
        <v>235459</v>
      </c>
      <c r="U117" s="118">
        <f t="shared" ca="1" si="22"/>
        <v>3531885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319" t="s">
        <v>42</v>
      </c>
      <c r="O118" s="174">
        <v>8</v>
      </c>
      <c r="P118" s="235">
        <f ca="1">OFFSET($A$1,MATCH(Z112,$A:$A,0)-1,O118)</f>
        <v>19.2</v>
      </c>
      <c r="Q118" s="322" t="s">
        <v>29</v>
      </c>
      <c r="R118" s="323">
        <f t="shared" ca="1" si="21"/>
        <v>250087</v>
      </c>
      <c r="S118" s="323">
        <f t="shared" ca="1" si="21"/>
        <v>4801670</v>
      </c>
      <c r="T118" s="323">
        <f ca="1">보조원</f>
        <v>250087</v>
      </c>
      <c r="U118" s="323">
        <f t="shared" ca="1" si="22"/>
        <v>4801670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N119" s="139" t="s">
        <v>17</v>
      </c>
      <c r="O119" s="68"/>
      <c r="P119" s="69"/>
      <c r="Q119" s="70"/>
      <c r="R119" s="71"/>
      <c r="S119" s="71">
        <f ca="1">SUBTOTAL(9,S113:S118)</f>
        <v>14995017</v>
      </c>
      <c r="T119" s="71"/>
      <c r="U119" s="71">
        <f ca="1">SUBTOTAL(9,U113:U118)</f>
        <v>14995017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N120" s="318" t="str">
        <f ca="1">"제 " &amp; Z120 &amp; " 호표  "&amp; OFFSET($A$1,MATCH(Z120,$A:$A,0)-1,1)</f>
        <v>제 8 호표  1-8. 지원 사업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8</v>
      </c>
    </row>
    <row r="121" spans="11:26" ht="18" customHeight="1">
      <c r="K121" s="171" t="s">
        <v>14</v>
      </c>
      <c r="L121" s="171"/>
      <c r="N121" s="140" t="s">
        <v>43</v>
      </c>
      <c r="O121" s="172">
        <v>3</v>
      </c>
      <c r="P121" s="219">
        <f ca="1">OFFSET($A$1,MATCH(Z120,$A:$A,0)-1,O121)</f>
        <v>1.5</v>
      </c>
      <c r="Q121" s="141" t="s">
        <v>29</v>
      </c>
      <c r="R121" s="142">
        <f t="shared" ref="R121:S126" ca="1" si="23">T121</f>
        <v>467217</v>
      </c>
      <c r="S121" s="142">
        <f t="shared" ca="1" si="23"/>
        <v>700825</v>
      </c>
      <c r="T121" s="142">
        <f ca="1">기술사</f>
        <v>467217</v>
      </c>
      <c r="U121" s="142">
        <f t="shared" ref="U121:U126" ca="1" si="24">ROUNDDOWN(P121*R121,0)</f>
        <v>700825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N122" s="143" t="s">
        <v>32</v>
      </c>
      <c r="O122" s="173">
        <v>4</v>
      </c>
      <c r="P122" s="234">
        <f ca="1">OFFSET($A$1,MATCH(Z120,$A:$A,0)-1,O122)</f>
        <v>3.6</v>
      </c>
      <c r="Q122" s="144" t="s">
        <v>29</v>
      </c>
      <c r="R122" s="118">
        <f t="shared" ca="1" si="23"/>
        <v>373353</v>
      </c>
      <c r="S122" s="118">
        <f t="shared" ca="1" si="23"/>
        <v>1344070</v>
      </c>
      <c r="T122" s="118">
        <f ca="1">특급</f>
        <v>373353</v>
      </c>
      <c r="U122" s="118">
        <f t="shared" ca="1" si="24"/>
        <v>1344070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39</v>
      </c>
      <c r="O123" s="173">
        <v>5</v>
      </c>
      <c r="P123" s="234">
        <f ca="1">OFFSET($A$1,MATCH(Z120,$A:$A,0)-1,O123)</f>
        <v>3.6</v>
      </c>
      <c r="Q123" s="144" t="s">
        <v>29</v>
      </c>
      <c r="R123" s="118">
        <f t="shared" ca="1" si="23"/>
        <v>310884</v>
      </c>
      <c r="S123" s="118">
        <f t="shared" ca="1" si="23"/>
        <v>1119182</v>
      </c>
      <c r="T123" s="118">
        <f ca="1">고급</f>
        <v>310884</v>
      </c>
      <c r="U123" s="118">
        <f t="shared" ca="1" si="24"/>
        <v>1119182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145" t="s">
        <v>40</v>
      </c>
      <c r="O124" s="173">
        <v>6</v>
      </c>
      <c r="P124" s="234">
        <f ca="1">OFFSET($A$1,MATCH(Z120,$A:$A,0)-1,O124)</f>
        <v>11.85</v>
      </c>
      <c r="Q124" s="144" t="s">
        <v>29</v>
      </c>
      <c r="R124" s="118">
        <f t="shared" ca="1" si="23"/>
        <v>295138</v>
      </c>
      <c r="S124" s="118">
        <f t="shared" ca="1" si="23"/>
        <v>3497385</v>
      </c>
      <c r="T124" s="118">
        <f ca="1">중급</f>
        <v>295138</v>
      </c>
      <c r="U124" s="118">
        <f t="shared" ca="1" si="24"/>
        <v>3497385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N125" s="145" t="s">
        <v>41</v>
      </c>
      <c r="O125" s="173">
        <v>7</v>
      </c>
      <c r="P125" s="234">
        <f ca="1">OFFSET($A$1,MATCH(Z120,$A:$A,0)-1,O125)</f>
        <v>15</v>
      </c>
      <c r="Q125" s="144" t="s">
        <v>29</v>
      </c>
      <c r="R125" s="118">
        <f t="shared" ca="1" si="23"/>
        <v>235459</v>
      </c>
      <c r="S125" s="118">
        <f t="shared" ca="1" si="23"/>
        <v>3531885</v>
      </c>
      <c r="T125" s="118">
        <f ca="1">초급</f>
        <v>235459</v>
      </c>
      <c r="U125" s="118">
        <f t="shared" ca="1" si="24"/>
        <v>3531885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319" t="s">
        <v>42</v>
      </c>
      <c r="O126" s="174">
        <v>8</v>
      </c>
      <c r="P126" s="235">
        <f ca="1">OFFSET($A$1,MATCH(Z120,$A:$A,0)-1,O126)</f>
        <v>19.2</v>
      </c>
      <c r="Q126" s="322" t="s">
        <v>29</v>
      </c>
      <c r="R126" s="323">
        <f t="shared" ca="1" si="23"/>
        <v>250087</v>
      </c>
      <c r="S126" s="323">
        <f t="shared" ca="1" si="23"/>
        <v>4801670</v>
      </c>
      <c r="T126" s="323">
        <f ca="1">보조원</f>
        <v>250087</v>
      </c>
      <c r="U126" s="323">
        <f t="shared" ca="1" si="24"/>
        <v>4801670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N127" s="139" t="s">
        <v>17</v>
      </c>
      <c r="O127" s="68"/>
      <c r="P127" s="69"/>
      <c r="Q127" s="70"/>
      <c r="R127" s="71"/>
      <c r="S127" s="71">
        <f ca="1">SUBTOTAL(9,S121:S126)</f>
        <v>14995017</v>
      </c>
      <c r="T127" s="71"/>
      <c r="U127" s="71">
        <f ca="1">SUBTOTAL(9,U121:U126)</f>
        <v>14995017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N128" s="318" t="str">
        <f ca="1">"제 " &amp; Z128 &amp; " 호표  "&amp; OFFSET($A$1,MATCH(Z128,$A:$A,0)-1,1)</f>
        <v>제 9 호표  2-1. 계획의 목표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9</v>
      </c>
    </row>
    <row r="129" spans="11:26" ht="18" customHeight="1">
      <c r="K129" s="171" t="s">
        <v>14</v>
      </c>
      <c r="L129" s="171"/>
      <c r="N129" s="140" t="s">
        <v>43</v>
      </c>
      <c r="O129" s="172">
        <v>3</v>
      </c>
      <c r="P129" s="219">
        <f ca="1">OFFSET($A$1,MATCH(Z128,$A:$A,0)-1,O129)</f>
        <v>2.25</v>
      </c>
      <c r="Q129" s="141" t="s">
        <v>29</v>
      </c>
      <c r="R129" s="142">
        <f t="shared" ref="R129:S134" ca="1" si="25">T129</f>
        <v>467217</v>
      </c>
      <c r="S129" s="142">
        <f t="shared" ca="1" si="25"/>
        <v>1051238</v>
      </c>
      <c r="T129" s="142">
        <f ca="1">기술사</f>
        <v>467217</v>
      </c>
      <c r="U129" s="142">
        <f t="shared" ref="U129:U134" ca="1" si="26">ROUNDDOWN(P129*R129,0)</f>
        <v>1051238</v>
      </c>
      <c r="V129" s="142"/>
      <c r="W129" s="142"/>
      <c r="X129" s="142"/>
      <c r="Y129" s="142"/>
      <c r="Z129" s="114"/>
    </row>
    <row r="130" spans="11:26" ht="18" customHeight="1">
      <c r="K130" s="171" t="s">
        <v>14</v>
      </c>
      <c r="L130" s="171"/>
      <c r="N130" s="143" t="s">
        <v>32</v>
      </c>
      <c r="O130" s="173">
        <v>4</v>
      </c>
      <c r="P130" s="234">
        <f ca="1">OFFSET($A$1,MATCH(Z128,$A:$A,0)-1,O130)</f>
        <v>4.3499999999999996</v>
      </c>
      <c r="Q130" s="144" t="s">
        <v>29</v>
      </c>
      <c r="R130" s="118">
        <f t="shared" ca="1" si="25"/>
        <v>373353</v>
      </c>
      <c r="S130" s="118">
        <f t="shared" ca="1" si="25"/>
        <v>1624085</v>
      </c>
      <c r="T130" s="118">
        <f ca="1">특급</f>
        <v>373353</v>
      </c>
      <c r="U130" s="118">
        <f t="shared" ca="1" si="26"/>
        <v>1624085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145" t="s">
        <v>39</v>
      </c>
      <c r="O131" s="173">
        <v>5</v>
      </c>
      <c r="P131" s="234">
        <f ca="1">OFFSET($A$1,MATCH(Z128,$A:$A,0)-1,O131)</f>
        <v>11.85</v>
      </c>
      <c r="Q131" s="144" t="s">
        <v>29</v>
      </c>
      <c r="R131" s="118">
        <f t="shared" ca="1" si="25"/>
        <v>310884</v>
      </c>
      <c r="S131" s="118">
        <f t="shared" ca="1" si="25"/>
        <v>3683975</v>
      </c>
      <c r="T131" s="118">
        <f ca="1">고급</f>
        <v>310884</v>
      </c>
      <c r="U131" s="118">
        <f t="shared" ca="1" si="26"/>
        <v>3683975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N132" s="145" t="s">
        <v>40</v>
      </c>
      <c r="O132" s="173">
        <v>6</v>
      </c>
      <c r="P132" s="234">
        <f ca="1">OFFSET($A$1,MATCH(Z128,$A:$A,0)-1,O132)</f>
        <v>19.05</v>
      </c>
      <c r="Q132" s="144" t="s">
        <v>29</v>
      </c>
      <c r="R132" s="118">
        <f t="shared" ca="1" si="25"/>
        <v>295138</v>
      </c>
      <c r="S132" s="118">
        <f t="shared" ca="1" si="25"/>
        <v>5622378</v>
      </c>
      <c r="T132" s="118">
        <f ca="1">중급</f>
        <v>295138</v>
      </c>
      <c r="U132" s="118">
        <f t="shared" ca="1" si="26"/>
        <v>5622378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N133" s="145" t="s">
        <v>41</v>
      </c>
      <c r="O133" s="173">
        <v>7</v>
      </c>
      <c r="P133" s="234">
        <f ca="1">OFFSET($A$1,MATCH(Z128,$A:$A,0)-1,O133)</f>
        <v>25.8</v>
      </c>
      <c r="Q133" s="144" t="s">
        <v>29</v>
      </c>
      <c r="R133" s="118">
        <f t="shared" ca="1" si="25"/>
        <v>235459</v>
      </c>
      <c r="S133" s="118">
        <f t="shared" ca="1" si="25"/>
        <v>6074842</v>
      </c>
      <c r="T133" s="118">
        <f ca="1">초급</f>
        <v>235459</v>
      </c>
      <c r="U133" s="118">
        <f t="shared" ca="1" si="26"/>
        <v>6074842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N134" s="319" t="s">
        <v>42</v>
      </c>
      <c r="O134" s="174">
        <v>8</v>
      </c>
      <c r="P134" s="235">
        <f ca="1">OFFSET($A$1,MATCH(Z128,$A:$A,0)-1,O134)</f>
        <v>25.35</v>
      </c>
      <c r="Q134" s="322" t="s">
        <v>29</v>
      </c>
      <c r="R134" s="323">
        <f t="shared" ca="1" si="25"/>
        <v>250087</v>
      </c>
      <c r="S134" s="323">
        <f t="shared" ca="1" si="25"/>
        <v>6339705</v>
      </c>
      <c r="T134" s="323">
        <f ca="1">보조원</f>
        <v>250087</v>
      </c>
      <c r="U134" s="323">
        <f t="shared" ca="1" si="26"/>
        <v>6339705</v>
      </c>
      <c r="V134" s="323"/>
      <c r="W134" s="323"/>
      <c r="X134" s="323"/>
      <c r="Y134" s="323"/>
      <c r="Z134" s="324"/>
    </row>
    <row r="135" spans="11:26" ht="18" customHeight="1">
      <c r="K135" s="171" t="s">
        <v>14</v>
      </c>
      <c r="L135" s="171"/>
      <c r="M135" s="171"/>
      <c r="N135" s="139" t="s">
        <v>17</v>
      </c>
      <c r="O135" s="68"/>
      <c r="P135" s="69"/>
      <c r="Q135" s="70"/>
      <c r="R135" s="71"/>
      <c r="S135" s="71">
        <f ca="1">SUBTOTAL(9,S129:S134)</f>
        <v>24396223</v>
      </c>
      <c r="T135" s="71"/>
      <c r="U135" s="71">
        <f ca="1">SUBTOTAL(9,U129:U134)</f>
        <v>24396223</v>
      </c>
      <c r="V135" s="71"/>
      <c r="W135" s="71"/>
      <c r="X135" s="71"/>
      <c r="Y135" s="71"/>
      <c r="Z135" s="68"/>
    </row>
    <row r="136" spans="11:26" ht="18" customHeight="1">
      <c r="K136" s="171" t="s">
        <v>14</v>
      </c>
      <c r="L136" s="171"/>
      <c r="M136" s="171"/>
      <c r="N136" s="318" t="str">
        <f ca="1">"제 " &amp; Z136 &amp; " 호표  "&amp; OFFSET($A$1,MATCH(Z136,$A:$A,0)-1,1)</f>
        <v>제 10 호표  2-2. 사업의 계획 및 파급효과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10</v>
      </c>
    </row>
    <row r="137" spans="11:26" ht="18" customHeight="1">
      <c r="K137" s="171" t="s">
        <v>14</v>
      </c>
      <c r="L137" s="171"/>
      <c r="M137" s="171"/>
      <c r="N137" s="140" t="s">
        <v>43</v>
      </c>
      <c r="O137" s="172">
        <v>3</v>
      </c>
      <c r="P137" s="219">
        <f ca="1">OFFSET($A$1,MATCH(Z136,$A:$A,0)-1,O137)</f>
        <v>3.45</v>
      </c>
      <c r="Q137" s="141" t="s">
        <v>29</v>
      </c>
      <c r="R137" s="142">
        <f t="shared" ref="R137:S142" ca="1" si="27">T137</f>
        <v>467217</v>
      </c>
      <c r="S137" s="142">
        <f t="shared" ca="1" si="27"/>
        <v>1611898</v>
      </c>
      <c r="T137" s="142">
        <f ca="1">기술사</f>
        <v>467217</v>
      </c>
      <c r="U137" s="142">
        <f t="shared" ref="U137:U142" ca="1" si="28">ROUNDDOWN(P137*R137,0)</f>
        <v>1611898</v>
      </c>
      <c r="V137" s="142"/>
      <c r="W137" s="142"/>
      <c r="X137" s="142"/>
      <c r="Y137" s="142"/>
      <c r="Z137" s="114"/>
    </row>
    <row r="138" spans="11:26" ht="18" customHeight="1">
      <c r="K138" s="171" t="s">
        <v>14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6.9</v>
      </c>
      <c r="Q138" s="144" t="s">
        <v>29</v>
      </c>
      <c r="R138" s="118">
        <f t="shared" ca="1" si="27"/>
        <v>373353</v>
      </c>
      <c r="S138" s="118">
        <f t="shared" ca="1" si="27"/>
        <v>2576135</v>
      </c>
      <c r="T138" s="118">
        <f ca="1">특급</f>
        <v>373353</v>
      </c>
      <c r="U138" s="118">
        <f t="shared" ca="1" si="28"/>
        <v>2576135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17.100000000000001</v>
      </c>
      <c r="Q139" s="144" t="s">
        <v>29</v>
      </c>
      <c r="R139" s="118">
        <f t="shared" ca="1" si="27"/>
        <v>310884</v>
      </c>
      <c r="S139" s="118">
        <f t="shared" ca="1" si="27"/>
        <v>5316116</v>
      </c>
      <c r="T139" s="118">
        <f ca="1">고급</f>
        <v>310884</v>
      </c>
      <c r="U139" s="118">
        <f t="shared" ca="1" si="28"/>
        <v>5316116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34.35</v>
      </c>
      <c r="Q140" s="144" t="s">
        <v>29</v>
      </c>
      <c r="R140" s="118">
        <f t="shared" ca="1" si="27"/>
        <v>295138</v>
      </c>
      <c r="S140" s="118">
        <f t="shared" ca="1" si="27"/>
        <v>10137990</v>
      </c>
      <c r="T140" s="118">
        <f ca="1">중급</f>
        <v>295138</v>
      </c>
      <c r="U140" s="118">
        <f t="shared" ca="1" si="28"/>
        <v>10137990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51.75</v>
      </c>
      <c r="Q141" s="144" t="s">
        <v>29</v>
      </c>
      <c r="R141" s="118">
        <f t="shared" ca="1" si="27"/>
        <v>235459</v>
      </c>
      <c r="S141" s="118">
        <f t="shared" ca="1" si="27"/>
        <v>12185003</v>
      </c>
      <c r="T141" s="118">
        <f ca="1">초급</f>
        <v>235459</v>
      </c>
      <c r="U141" s="118">
        <f t="shared" ca="1" si="28"/>
        <v>12185003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51.6</v>
      </c>
      <c r="Q142" s="322" t="s">
        <v>29</v>
      </c>
      <c r="R142" s="323">
        <f t="shared" ca="1" si="27"/>
        <v>250087</v>
      </c>
      <c r="S142" s="323">
        <f t="shared" ca="1" si="27"/>
        <v>12904489</v>
      </c>
      <c r="T142" s="323">
        <f ca="1">보조원</f>
        <v>250087</v>
      </c>
      <c r="U142" s="323">
        <f t="shared" ca="1" si="28"/>
        <v>12904489</v>
      </c>
      <c r="V142" s="323"/>
      <c r="W142" s="323"/>
      <c r="X142" s="323"/>
      <c r="Y142" s="323"/>
      <c r="Z142" s="324"/>
    </row>
    <row r="143" spans="11:26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44731631</v>
      </c>
      <c r="T143" s="71"/>
      <c r="U143" s="71">
        <f ca="1">SUBTOTAL(9,U137:U142)</f>
        <v>44731631</v>
      </c>
      <c r="V143" s="71"/>
      <c r="W143" s="71"/>
      <c r="X143" s="71"/>
      <c r="Y143" s="71"/>
      <c r="Z143" s="68"/>
    </row>
    <row r="144" spans="11:26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11 호표  2-3. 기반시설의 설치·정비 계획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11</v>
      </c>
    </row>
    <row r="145" spans="11:26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3.45</v>
      </c>
      <c r="Q145" s="141" t="s">
        <v>29</v>
      </c>
      <c r="R145" s="142">
        <f t="shared" ref="R145:S150" ca="1" si="29">T145</f>
        <v>467217</v>
      </c>
      <c r="S145" s="142">
        <f t="shared" ca="1" si="29"/>
        <v>1611898</v>
      </c>
      <c r="T145" s="142">
        <f ca="1">기술사</f>
        <v>467217</v>
      </c>
      <c r="U145" s="142">
        <f t="shared" ref="U145:U150" ca="1" si="30">ROUNDDOWN(P145*R145,0)</f>
        <v>1611898</v>
      </c>
      <c r="V145" s="142"/>
      <c r="W145" s="142"/>
      <c r="X145" s="142"/>
      <c r="Y145" s="142"/>
      <c r="Z145" s="114"/>
    </row>
    <row r="146" spans="11:26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6.9</v>
      </c>
      <c r="Q146" s="144" t="s">
        <v>29</v>
      </c>
      <c r="R146" s="118">
        <f t="shared" ca="1" si="29"/>
        <v>373353</v>
      </c>
      <c r="S146" s="118">
        <f t="shared" ca="1" si="29"/>
        <v>2576135</v>
      </c>
      <c r="T146" s="118">
        <f ca="1">특급</f>
        <v>373353</v>
      </c>
      <c r="U146" s="118">
        <f t="shared" ca="1" si="30"/>
        <v>2576135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17.100000000000001</v>
      </c>
      <c r="Q147" s="144" t="s">
        <v>29</v>
      </c>
      <c r="R147" s="118">
        <f t="shared" ca="1" si="29"/>
        <v>310884</v>
      </c>
      <c r="S147" s="118">
        <f t="shared" ca="1" si="29"/>
        <v>5316116</v>
      </c>
      <c r="T147" s="118">
        <f ca="1">고급</f>
        <v>310884</v>
      </c>
      <c r="U147" s="118">
        <f t="shared" ca="1" si="30"/>
        <v>5316116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34.35</v>
      </c>
      <c r="Q148" s="144" t="s">
        <v>29</v>
      </c>
      <c r="R148" s="118">
        <f t="shared" ca="1" si="29"/>
        <v>295138</v>
      </c>
      <c r="S148" s="118">
        <f t="shared" ca="1" si="29"/>
        <v>10137990</v>
      </c>
      <c r="T148" s="118">
        <f ca="1">중급</f>
        <v>295138</v>
      </c>
      <c r="U148" s="118">
        <f t="shared" ca="1" si="30"/>
        <v>10137990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51.3</v>
      </c>
      <c r="Q149" s="144" t="s">
        <v>29</v>
      </c>
      <c r="R149" s="118">
        <f t="shared" ca="1" si="29"/>
        <v>235459</v>
      </c>
      <c r="S149" s="118">
        <f t="shared" ca="1" si="29"/>
        <v>12079046</v>
      </c>
      <c r="T149" s="118">
        <f ca="1">초급</f>
        <v>235459</v>
      </c>
      <c r="U149" s="118">
        <f t="shared" ca="1" si="30"/>
        <v>12079046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51.6</v>
      </c>
      <c r="Q150" s="322" t="s">
        <v>29</v>
      </c>
      <c r="R150" s="323">
        <f t="shared" ca="1" si="29"/>
        <v>250087</v>
      </c>
      <c r="S150" s="323">
        <f t="shared" ca="1" si="29"/>
        <v>12904489</v>
      </c>
      <c r="T150" s="323">
        <f ca="1">보조원</f>
        <v>250087</v>
      </c>
      <c r="U150" s="323">
        <f t="shared" ca="1" si="30"/>
        <v>12904489</v>
      </c>
      <c r="V150" s="323"/>
      <c r="W150" s="323"/>
      <c r="X150" s="323"/>
      <c r="Y150" s="323"/>
      <c r="Z150" s="324"/>
    </row>
    <row r="151" spans="11:26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44625674</v>
      </c>
      <c r="T151" s="71"/>
      <c r="U151" s="71">
        <f ca="1">SUBTOTAL(9,U145:U150)</f>
        <v>44625674</v>
      </c>
      <c r="V151" s="71"/>
      <c r="W151" s="71"/>
      <c r="X151" s="71"/>
      <c r="Y151" s="71"/>
      <c r="Z151" s="68"/>
    </row>
    <row r="152" spans="11:26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12 호표  2-4. 재원 조달계획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12</v>
      </c>
    </row>
    <row r="153" spans="11:26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2.1</v>
      </c>
      <c r="Q153" s="141" t="s">
        <v>29</v>
      </c>
      <c r="R153" s="142">
        <f t="shared" ref="R153:S158" ca="1" si="31">T153</f>
        <v>467217</v>
      </c>
      <c r="S153" s="142">
        <f t="shared" ca="1" si="31"/>
        <v>981155</v>
      </c>
      <c r="T153" s="142">
        <f ca="1">기술사</f>
        <v>467217</v>
      </c>
      <c r="U153" s="142">
        <f t="shared" ref="U153:U158" ca="1" si="32">ROUNDDOWN(P153*R153,0)</f>
        <v>981155</v>
      </c>
      <c r="V153" s="142"/>
      <c r="W153" s="142"/>
      <c r="X153" s="142"/>
      <c r="Y153" s="142"/>
      <c r="Z153" s="114"/>
    </row>
    <row r="154" spans="11:26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4.2</v>
      </c>
      <c r="Q154" s="144" t="s">
        <v>29</v>
      </c>
      <c r="R154" s="118">
        <f t="shared" ca="1" si="31"/>
        <v>373353</v>
      </c>
      <c r="S154" s="118">
        <f t="shared" ca="1" si="31"/>
        <v>1568082</v>
      </c>
      <c r="T154" s="118">
        <f ca="1">특급</f>
        <v>373353</v>
      </c>
      <c r="U154" s="118">
        <f t="shared" ca="1" si="32"/>
        <v>1568082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11.7</v>
      </c>
      <c r="Q155" s="144" t="s">
        <v>29</v>
      </c>
      <c r="R155" s="118">
        <f t="shared" ca="1" si="31"/>
        <v>310884</v>
      </c>
      <c r="S155" s="118">
        <f t="shared" ca="1" si="31"/>
        <v>3637342</v>
      </c>
      <c r="T155" s="118">
        <f ca="1">고급</f>
        <v>310884</v>
      </c>
      <c r="U155" s="118">
        <f t="shared" ca="1" si="32"/>
        <v>3637342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18.899999999999999</v>
      </c>
      <c r="Q156" s="144" t="s">
        <v>29</v>
      </c>
      <c r="R156" s="118">
        <f t="shared" ca="1" si="31"/>
        <v>295138</v>
      </c>
      <c r="S156" s="118">
        <f t="shared" ca="1" si="31"/>
        <v>5578108</v>
      </c>
      <c r="T156" s="118">
        <f ca="1">중급</f>
        <v>295138</v>
      </c>
      <c r="U156" s="118">
        <f t="shared" ca="1" si="32"/>
        <v>5578108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25.65</v>
      </c>
      <c r="Q157" s="144" t="s">
        <v>29</v>
      </c>
      <c r="R157" s="118">
        <f t="shared" ca="1" si="31"/>
        <v>235459</v>
      </c>
      <c r="S157" s="118">
        <f t="shared" ca="1" si="31"/>
        <v>6039523</v>
      </c>
      <c r="T157" s="118">
        <f ca="1">초급</f>
        <v>235459</v>
      </c>
      <c r="U157" s="118">
        <f t="shared" ca="1" si="32"/>
        <v>6039523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25.35</v>
      </c>
      <c r="Q158" s="322" t="s">
        <v>29</v>
      </c>
      <c r="R158" s="323">
        <f t="shared" ca="1" si="31"/>
        <v>250087</v>
      </c>
      <c r="S158" s="323">
        <f t="shared" ca="1" si="31"/>
        <v>6339705</v>
      </c>
      <c r="T158" s="323">
        <f ca="1">보조원</f>
        <v>250087</v>
      </c>
      <c r="U158" s="323">
        <f t="shared" ca="1" si="32"/>
        <v>6339705</v>
      </c>
      <c r="V158" s="323"/>
      <c r="W158" s="323"/>
      <c r="X158" s="323"/>
      <c r="Y158" s="323"/>
      <c r="Z158" s="324"/>
    </row>
    <row r="159" spans="11:26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24143915</v>
      </c>
      <c r="T159" s="71"/>
      <c r="U159" s="71">
        <f ca="1">SUBTOTAL(9,U153:U158)</f>
        <v>24143915</v>
      </c>
      <c r="V159" s="71"/>
      <c r="W159" s="71"/>
      <c r="X159" s="71"/>
      <c r="Y159" s="71"/>
      <c r="Z159" s="68"/>
    </row>
    <row r="160" spans="11:26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13 호표  2-5. 예산 집행 계획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13</v>
      </c>
    </row>
    <row r="161" spans="11:26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1.65</v>
      </c>
      <c r="Q161" s="141" t="s">
        <v>29</v>
      </c>
      <c r="R161" s="142">
        <f t="shared" ref="R161:S166" ca="1" si="33">T161</f>
        <v>467217</v>
      </c>
      <c r="S161" s="142">
        <f t="shared" ca="1" si="33"/>
        <v>770908</v>
      </c>
      <c r="T161" s="142">
        <f ca="1">기술사</f>
        <v>467217</v>
      </c>
      <c r="U161" s="142">
        <f t="shared" ref="U161:U166" ca="1" si="34">ROUNDDOWN(P161*R161,0)</f>
        <v>770908</v>
      </c>
      <c r="V161" s="142"/>
      <c r="W161" s="142"/>
      <c r="X161" s="142"/>
      <c r="Y161" s="142"/>
      <c r="Z161" s="114"/>
    </row>
    <row r="162" spans="11:26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3.45</v>
      </c>
      <c r="Q162" s="144" t="s">
        <v>29</v>
      </c>
      <c r="R162" s="118">
        <f t="shared" ca="1" si="33"/>
        <v>373353</v>
      </c>
      <c r="S162" s="118">
        <f t="shared" ca="1" si="33"/>
        <v>1288067</v>
      </c>
      <c r="T162" s="118">
        <f ca="1">특급</f>
        <v>373353</v>
      </c>
      <c r="U162" s="118">
        <f t="shared" ca="1" si="34"/>
        <v>1288067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11.1</v>
      </c>
      <c r="Q163" s="144" t="s">
        <v>29</v>
      </c>
      <c r="R163" s="118">
        <f t="shared" ca="1" si="33"/>
        <v>310884</v>
      </c>
      <c r="S163" s="118">
        <f t="shared" ca="1" si="33"/>
        <v>3450812</v>
      </c>
      <c r="T163" s="118">
        <f ca="1">고급</f>
        <v>310884</v>
      </c>
      <c r="U163" s="118">
        <f t="shared" ca="1" si="34"/>
        <v>3450812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21.15</v>
      </c>
      <c r="Q164" s="144" t="s">
        <v>29</v>
      </c>
      <c r="R164" s="118">
        <f t="shared" ca="1" si="33"/>
        <v>295138</v>
      </c>
      <c r="S164" s="118">
        <f t="shared" ca="1" si="33"/>
        <v>6242168</v>
      </c>
      <c r="T164" s="118">
        <f ca="1">중급</f>
        <v>295138</v>
      </c>
      <c r="U164" s="118">
        <f t="shared" ca="1" si="34"/>
        <v>6242168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25.65</v>
      </c>
      <c r="Q165" s="144" t="s">
        <v>29</v>
      </c>
      <c r="R165" s="118">
        <f t="shared" ca="1" si="33"/>
        <v>235459</v>
      </c>
      <c r="S165" s="118">
        <f t="shared" ca="1" si="33"/>
        <v>6039523</v>
      </c>
      <c r="T165" s="118">
        <f ca="1">초급</f>
        <v>235459</v>
      </c>
      <c r="U165" s="118">
        <f t="shared" ca="1" si="34"/>
        <v>6039523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24.3</v>
      </c>
      <c r="Q166" s="322" t="s">
        <v>29</v>
      </c>
      <c r="R166" s="323">
        <f t="shared" ca="1" si="33"/>
        <v>250087</v>
      </c>
      <c r="S166" s="323">
        <f t="shared" ca="1" si="33"/>
        <v>6077114</v>
      </c>
      <c r="T166" s="323">
        <f ca="1">보조원</f>
        <v>250087</v>
      </c>
      <c r="U166" s="323">
        <f t="shared" ca="1" si="34"/>
        <v>6077114</v>
      </c>
      <c r="V166" s="323"/>
      <c r="W166" s="323"/>
      <c r="X166" s="323"/>
      <c r="Y166" s="323"/>
      <c r="Z166" s="324"/>
    </row>
    <row r="167" spans="11:26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23868592</v>
      </c>
      <c r="T167" s="71"/>
      <c r="U167" s="71">
        <f ca="1">SUBTOTAL(9,U161:U166)</f>
        <v>23868592</v>
      </c>
      <c r="V167" s="71"/>
      <c r="W167" s="71"/>
      <c r="X167" s="71"/>
      <c r="Y167" s="71"/>
      <c r="Z167" s="68"/>
    </row>
    <row r="168" spans="11:26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14 호표  2-6. 평가 및 점검 계획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14</v>
      </c>
    </row>
    <row r="169" spans="11:26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2.1</v>
      </c>
      <c r="Q169" s="141" t="s">
        <v>29</v>
      </c>
      <c r="R169" s="142">
        <f t="shared" ref="R169:S174" ca="1" si="35">T169</f>
        <v>467217</v>
      </c>
      <c r="S169" s="142">
        <f t="shared" ca="1" si="35"/>
        <v>981155</v>
      </c>
      <c r="T169" s="142">
        <f ca="1">기술사</f>
        <v>467217</v>
      </c>
      <c r="U169" s="142">
        <f t="shared" ref="U169:U174" ca="1" si="36">ROUNDDOWN(P169*R169,0)</f>
        <v>981155</v>
      </c>
      <c r="V169" s="142"/>
      <c r="W169" s="142"/>
      <c r="X169" s="142"/>
      <c r="Y169" s="142"/>
      <c r="Z169" s="114"/>
    </row>
    <row r="170" spans="11:26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4.2</v>
      </c>
      <c r="Q170" s="144" t="s">
        <v>29</v>
      </c>
      <c r="R170" s="118">
        <f t="shared" ca="1" si="35"/>
        <v>373353</v>
      </c>
      <c r="S170" s="118">
        <f t="shared" ca="1" si="35"/>
        <v>1568082</v>
      </c>
      <c r="T170" s="118">
        <f ca="1">특급</f>
        <v>373353</v>
      </c>
      <c r="U170" s="118">
        <f t="shared" ca="1" si="36"/>
        <v>1568082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11.85</v>
      </c>
      <c r="Q171" s="144" t="s">
        <v>29</v>
      </c>
      <c r="R171" s="118">
        <f t="shared" ca="1" si="35"/>
        <v>310884</v>
      </c>
      <c r="S171" s="118">
        <f t="shared" ca="1" si="35"/>
        <v>3683975</v>
      </c>
      <c r="T171" s="118">
        <f ca="1">고급</f>
        <v>310884</v>
      </c>
      <c r="U171" s="118">
        <f t="shared" ca="1" si="36"/>
        <v>3683975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18.899999999999999</v>
      </c>
      <c r="Q172" s="144" t="s">
        <v>29</v>
      </c>
      <c r="R172" s="118">
        <f t="shared" ca="1" si="35"/>
        <v>295138</v>
      </c>
      <c r="S172" s="118">
        <f t="shared" ca="1" si="35"/>
        <v>5578108</v>
      </c>
      <c r="T172" s="118">
        <f ca="1">중급</f>
        <v>295138</v>
      </c>
      <c r="U172" s="118">
        <f t="shared" ca="1" si="36"/>
        <v>5578108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25.65</v>
      </c>
      <c r="Q173" s="144" t="s">
        <v>29</v>
      </c>
      <c r="R173" s="118">
        <f t="shared" ca="1" si="35"/>
        <v>235459</v>
      </c>
      <c r="S173" s="118">
        <f t="shared" ca="1" si="35"/>
        <v>6039523</v>
      </c>
      <c r="T173" s="118">
        <f ca="1">초급</f>
        <v>235459</v>
      </c>
      <c r="U173" s="118">
        <f t="shared" ca="1" si="36"/>
        <v>6039523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25.35</v>
      </c>
      <c r="Q174" s="322" t="s">
        <v>29</v>
      </c>
      <c r="R174" s="323">
        <f t="shared" ca="1" si="35"/>
        <v>250087</v>
      </c>
      <c r="S174" s="323">
        <f t="shared" ca="1" si="35"/>
        <v>6339705</v>
      </c>
      <c r="T174" s="323">
        <f ca="1">보조원</f>
        <v>250087</v>
      </c>
      <c r="U174" s="323">
        <f t="shared" ca="1" si="36"/>
        <v>6339705</v>
      </c>
      <c r="V174" s="323"/>
      <c r="W174" s="323"/>
      <c r="X174" s="323"/>
      <c r="Y174" s="323"/>
      <c r="Z174" s="324"/>
    </row>
    <row r="175" spans="11:26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24190548</v>
      </c>
      <c r="T175" s="71"/>
      <c r="U175" s="71">
        <f ca="1">SUBTOTAL(9,U169:U174)</f>
        <v>24190548</v>
      </c>
      <c r="V175" s="71"/>
      <c r="W175" s="71"/>
      <c r="X175" s="71"/>
      <c r="Y175" s="71"/>
      <c r="Z175" s="68"/>
    </row>
    <row r="176" spans="11:26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15 호표  2-7. 행위제한 지역 계획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15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1.65</v>
      </c>
      <c r="Q177" s="141" t="s">
        <v>29</v>
      </c>
      <c r="R177" s="142">
        <f t="shared" ref="R177:S182" ca="1" si="37">T177</f>
        <v>467217</v>
      </c>
      <c r="S177" s="142">
        <f t="shared" ca="1" si="37"/>
        <v>770908</v>
      </c>
      <c r="T177" s="142">
        <f ca="1">기술사</f>
        <v>467217</v>
      </c>
      <c r="U177" s="142">
        <f t="shared" ref="U177:U182" ca="1" si="38">ROUNDDOWN(P177*R177,0)</f>
        <v>770908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3.45</v>
      </c>
      <c r="Q178" s="144" t="s">
        <v>29</v>
      </c>
      <c r="R178" s="118">
        <f t="shared" ca="1" si="37"/>
        <v>373353</v>
      </c>
      <c r="S178" s="118">
        <f t="shared" ca="1" si="37"/>
        <v>1288067</v>
      </c>
      <c r="T178" s="118">
        <f ca="1">특급</f>
        <v>373353</v>
      </c>
      <c r="U178" s="118">
        <f t="shared" ca="1" si="38"/>
        <v>1288067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11.1</v>
      </c>
      <c r="Q179" s="144" t="s">
        <v>29</v>
      </c>
      <c r="R179" s="118">
        <f t="shared" ca="1" si="37"/>
        <v>310884</v>
      </c>
      <c r="S179" s="118">
        <f t="shared" ca="1" si="37"/>
        <v>3450812</v>
      </c>
      <c r="T179" s="118">
        <f ca="1">고급</f>
        <v>310884</v>
      </c>
      <c r="U179" s="118">
        <f t="shared" ca="1" si="38"/>
        <v>3450812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21.15</v>
      </c>
      <c r="Q180" s="144" t="s">
        <v>29</v>
      </c>
      <c r="R180" s="118">
        <f t="shared" ca="1" si="37"/>
        <v>295138</v>
      </c>
      <c r="S180" s="118">
        <f t="shared" ca="1" si="37"/>
        <v>6242168</v>
      </c>
      <c r="T180" s="118">
        <f ca="1">중급</f>
        <v>295138</v>
      </c>
      <c r="U180" s="118">
        <f t="shared" ca="1" si="38"/>
        <v>6242168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25.65</v>
      </c>
      <c r="Q181" s="144" t="s">
        <v>29</v>
      </c>
      <c r="R181" s="118">
        <f t="shared" ca="1" si="37"/>
        <v>235459</v>
      </c>
      <c r="S181" s="118">
        <f t="shared" ca="1" si="37"/>
        <v>6039523</v>
      </c>
      <c r="T181" s="118">
        <f ca="1">초급</f>
        <v>235459</v>
      </c>
      <c r="U181" s="118">
        <f t="shared" ca="1" si="38"/>
        <v>6039523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24.3</v>
      </c>
      <c r="Q182" s="322" t="s">
        <v>29</v>
      </c>
      <c r="R182" s="323">
        <f t="shared" ca="1" si="37"/>
        <v>250087</v>
      </c>
      <c r="S182" s="323">
        <f t="shared" ca="1" si="37"/>
        <v>6077114</v>
      </c>
      <c r="T182" s="323">
        <f ca="1">보조원</f>
        <v>250087</v>
      </c>
      <c r="U182" s="323">
        <f t="shared" ca="1" si="38"/>
        <v>6077114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23868592</v>
      </c>
      <c r="T183" s="71"/>
      <c r="U183" s="71">
        <f ca="1">SUBTOTAL(9,U177:U182)</f>
        <v>23868592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16 호표  2-8. 조직의 운영·활성화 방안 사항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16</v>
      </c>
    </row>
    <row r="185" spans="11:26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2.1</v>
      </c>
      <c r="Q185" s="141" t="s">
        <v>29</v>
      </c>
      <c r="R185" s="142">
        <f t="shared" ref="R185:S190" ca="1" si="39">T185</f>
        <v>467217</v>
      </c>
      <c r="S185" s="142">
        <f t="shared" ca="1" si="39"/>
        <v>981155</v>
      </c>
      <c r="T185" s="142">
        <f ca="1">기술사</f>
        <v>467217</v>
      </c>
      <c r="U185" s="142">
        <f t="shared" ref="U185:U190" ca="1" si="40">ROUNDDOWN(P185*R185,0)</f>
        <v>981155</v>
      </c>
      <c r="V185" s="142"/>
      <c r="W185" s="142"/>
      <c r="X185" s="142"/>
      <c r="Y185" s="142"/>
      <c r="Z185" s="114"/>
    </row>
    <row r="186" spans="11:26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4.2</v>
      </c>
      <c r="Q186" s="144" t="s">
        <v>29</v>
      </c>
      <c r="R186" s="118">
        <f t="shared" ca="1" si="39"/>
        <v>373353</v>
      </c>
      <c r="S186" s="118">
        <f t="shared" ca="1" si="39"/>
        <v>1568082</v>
      </c>
      <c r="T186" s="118">
        <f ca="1">특급</f>
        <v>373353</v>
      </c>
      <c r="U186" s="118">
        <f t="shared" ca="1" si="40"/>
        <v>1568082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11.85</v>
      </c>
      <c r="Q187" s="144" t="s">
        <v>29</v>
      </c>
      <c r="R187" s="118">
        <f t="shared" ca="1" si="39"/>
        <v>310884</v>
      </c>
      <c r="S187" s="118">
        <f t="shared" ca="1" si="39"/>
        <v>3683975</v>
      </c>
      <c r="T187" s="118">
        <f ca="1">고급</f>
        <v>310884</v>
      </c>
      <c r="U187" s="118">
        <f t="shared" ca="1" si="40"/>
        <v>3683975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19.05</v>
      </c>
      <c r="Q188" s="144" t="s">
        <v>29</v>
      </c>
      <c r="R188" s="118">
        <f t="shared" ca="1" si="39"/>
        <v>295138</v>
      </c>
      <c r="S188" s="118">
        <f t="shared" ca="1" si="39"/>
        <v>5622378</v>
      </c>
      <c r="T188" s="118">
        <f ca="1">중급</f>
        <v>295138</v>
      </c>
      <c r="U188" s="118">
        <f t="shared" ca="1" si="40"/>
        <v>5622378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25.8</v>
      </c>
      <c r="Q189" s="144" t="s">
        <v>29</v>
      </c>
      <c r="R189" s="118">
        <f t="shared" ca="1" si="39"/>
        <v>235459</v>
      </c>
      <c r="S189" s="118">
        <f t="shared" ca="1" si="39"/>
        <v>6074842</v>
      </c>
      <c r="T189" s="118">
        <f ca="1">초급</f>
        <v>235459</v>
      </c>
      <c r="U189" s="118">
        <f t="shared" ca="1" si="40"/>
        <v>6074842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25.2</v>
      </c>
      <c r="Q190" s="322" t="s">
        <v>29</v>
      </c>
      <c r="R190" s="323">
        <f t="shared" ca="1" si="39"/>
        <v>250087</v>
      </c>
      <c r="S190" s="323">
        <f t="shared" ca="1" si="39"/>
        <v>6302192</v>
      </c>
      <c r="T190" s="323">
        <f ca="1">보조원</f>
        <v>250087</v>
      </c>
      <c r="U190" s="323">
        <f t="shared" ca="1" si="40"/>
        <v>6302192</v>
      </c>
      <c r="V190" s="323"/>
      <c r="W190" s="323"/>
      <c r="X190" s="323"/>
      <c r="Y190" s="323"/>
      <c r="Z190" s="324"/>
    </row>
    <row r="191" spans="11:26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24232624</v>
      </c>
      <c r="T191" s="71"/>
      <c r="U191" s="71">
        <f ca="1">SUBTOTAL(9,U185:U190)</f>
        <v>24232624</v>
      </c>
      <c r="V191" s="71"/>
      <c r="W191" s="71"/>
      <c r="X191" s="71"/>
      <c r="Y191" s="71"/>
      <c r="Z191" s="68"/>
    </row>
    <row r="192" spans="11:26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17 호표  3-1. 보고서작성 및 편집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17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3.75</v>
      </c>
      <c r="Q193" s="141" t="s">
        <v>29</v>
      </c>
      <c r="R193" s="142">
        <f t="shared" ref="R193:S198" ca="1" si="41">T193</f>
        <v>467217</v>
      </c>
      <c r="S193" s="142">
        <f t="shared" ca="1" si="41"/>
        <v>1752063</v>
      </c>
      <c r="T193" s="142">
        <f ca="1">기술사</f>
        <v>467217</v>
      </c>
      <c r="U193" s="142">
        <f t="shared" ref="U193:U198" ca="1" si="42">ROUNDDOWN(P193*R193,0)</f>
        <v>1752063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7.35</v>
      </c>
      <c r="Q194" s="144" t="s">
        <v>29</v>
      </c>
      <c r="R194" s="118">
        <f t="shared" ca="1" si="41"/>
        <v>373353</v>
      </c>
      <c r="S194" s="118">
        <f t="shared" ca="1" si="41"/>
        <v>2744144</v>
      </c>
      <c r="T194" s="118">
        <f ca="1">특급</f>
        <v>373353</v>
      </c>
      <c r="U194" s="118">
        <f t="shared" ca="1" si="42"/>
        <v>2744144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16.8</v>
      </c>
      <c r="Q195" s="144" t="s">
        <v>29</v>
      </c>
      <c r="R195" s="118">
        <f t="shared" ca="1" si="41"/>
        <v>310884</v>
      </c>
      <c r="S195" s="118">
        <f t="shared" ca="1" si="41"/>
        <v>5222851</v>
      </c>
      <c r="T195" s="118">
        <f ca="1">고급</f>
        <v>310884</v>
      </c>
      <c r="U195" s="118">
        <f t="shared" ca="1" si="42"/>
        <v>5222851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27.9</v>
      </c>
      <c r="Q196" s="144" t="s">
        <v>29</v>
      </c>
      <c r="R196" s="118">
        <f t="shared" ca="1" si="41"/>
        <v>295138</v>
      </c>
      <c r="S196" s="118">
        <f t="shared" ca="1" si="41"/>
        <v>8234350</v>
      </c>
      <c r="T196" s="118">
        <f ca="1">중급</f>
        <v>295138</v>
      </c>
      <c r="U196" s="118">
        <f t="shared" ca="1" si="42"/>
        <v>8234350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28.05</v>
      </c>
      <c r="Q197" s="144" t="s">
        <v>29</v>
      </c>
      <c r="R197" s="118">
        <f t="shared" ca="1" si="41"/>
        <v>235459</v>
      </c>
      <c r="S197" s="118">
        <f t="shared" ca="1" si="41"/>
        <v>6604624</v>
      </c>
      <c r="T197" s="118">
        <f ca="1">초급</f>
        <v>235459</v>
      </c>
      <c r="U197" s="118">
        <f t="shared" ca="1" si="42"/>
        <v>6604624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18.75</v>
      </c>
      <c r="Q198" s="322" t="s">
        <v>29</v>
      </c>
      <c r="R198" s="323">
        <f t="shared" ca="1" si="41"/>
        <v>250087</v>
      </c>
      <c r="S198" s="323">
        <f t="shared" ca="1" si="41"/>
        <v>4689131</v>
      </c>
      <c r="T198" s="323">
        <f ca="1">보조원</f>
        <v>250087</v>
      </c>
      <c r="U198" s="323">
        <f t="shared" ca="1" si="42"/>
        <v>4689131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29247163</v>
      </c>
      <c r="T199" s="71"/>
      <c r="U199" s="71">
        <f ca="1">SUBTOTAL(9,U193:U198)</f>
        <v>29247163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18 호표  3-2. 관련도서작성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18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1.8</v>
      </c>
      <c r="Q201" s="141" t="s">
        <v>29</v>
      </c>
      <c r="R201" s="142">
        <f t="shared" ref="R201:S206" ca="1" si="43">T201</f>
        <v>467217</v>
      </c>
      <c r="S201" s="142">
        <f t="shared" ca="1" si="43"/>
        <v>840990</v>
      </c>
      <c r="T201" s="142">
        <f ca="1">기술사</f>
        <v>467217</v>
      </c>
      <c r="U201" s="142">
        <f t="shared" ref="U201:U206" ca="1" si="44">ROUNDDOWN(P201*R201,0)</f>
        <v>840990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3.75</v>
      </c>
      <c r="Q202" s="144" t="s">
        <v>29</v>
      </c>
      <c r="R202" s="118">
        <f t="shared" ca="1" si="43"/>
        <v>373353</v>
      </c>
      <c r="S202" s="118">
        <f t="shared" ca="1" si="43"/>
        <v>1400073</v>
      </c>
      <c r="T202" s="118">
        <f ca="1">특급</f>
        <v>373353</v>
      </c>
      <c r="U202" s="118">
        <f t="shared" ca="1" si="44"/>
        <v>1400073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8.4</v>
      </c>
      <c r="Q203" s="144" t="s">
        <v>29</v>
      </c>
      <c r="R203" s="118">
        <f t="shared" ca="1" si="43"/>
        <v>310884</v>
      </c>
      <c r="S203" s="118">
        <f t="shared" ca="1" si="43"/>
        <v>2611425</v>
      </c>
      <c r="T203" s="118">
        <f ca="1">고급</f>
        <v>310884</v>
      </c>
      <c r="U203" s="118">
        <f t="shared" ca="1" si="44"/>
        <v>2611425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18.600000000000001</v>
      </c>
      <c r="Q204" s="144" t="s">
        <v>29</v>
      </c>
      <c r="R204" s="118">
        <f t="shared" ca="1" si="43"/>
        <v>295138</v>
      </c>
      <c r="S204" s="118">
        <f t="shared" ca="1" si="43"/>
        <v>5489566</v>
      </c>
      <c r="T204" s="118">
        <f ca="1">중급</f>
        <v>295138</v>
      </c>
      <c r="U204" s="118">
        <f t="shared" ca="1" si="44"/>
        <v>5489566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37.049999999999997</v>
      </c>
      <c r="Q205" s="144" t="s">
        <v>29</v>
      </c>
      <c r="R205" s="118">
        <f t="shared" ca="1" si="43"/>
        <v>235459</v>
      </c>
      <c r="S205" s="118">
        <f t="shared" ca="1" si="43"/>
        <v>8723755</v>
      </c>
      <c r="T205" s="118">
        <f ca="1">초급</f>
        <v>235459</v>
      </c>
      <c r="U205" s="118">
        <f t="shared" ca="1" si="44"/>
        <v>8723755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46.35</v>
      </c>
      <c r="Q206" s="322" t="s">
        <v>29</v>
      </c>
      <c r="R206" s="323">
        <f t="shared" ca="1" si="43"/>
        <v>250087</v>
      </c>
      <c r="S206" s="323">
        <f t="shared" ca="1" si="43"/>
        <v>11591532</v>
      </c>
      <c r="T206" s="323">
        <f ca="1">보조원</f>
        <v>250087</v>
      </c>
      <c r="U206" s="323">
        <f t="shared" ca="1" si="44"/>
        <v>11591532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30657341</v>
      </c>
      <c r="T207" s="71"/>
      <c r="U207" s="71">
        <f ca="1">SUBTOTAL(9,U201:U206)</f>
        <v>30657341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19 호표  4-1. 공청회/주민설명회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19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2</v>
      </c>
      <c r="Q209" s="141" t="s">
        <v>29</v>
      </c>
      <c r="R209" s="142">
        <f t="shared" ref="R209:S214" ca="1" si="45">T209</f>
        <v>467217</v>
      </c>
      <c r="S209" s="142">
        <f t="shared" ca="1" si="45"/>
        <v>934434</v>
      </c>
      <c r="T209" s="142">
        <f ca="1">기술사</f>
        <v>467217</v>
      </c>
      <c r="U209" s="142">
        <f t="shared" ref="U209:U214" ca="1" si="46">ROUNDDOWN(P209*R209,0)</f>
        <v>934434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2</v>
      </c>
      <c r="Q210" s="144" t="s">
        <v>29</v>
      </c>
      <c r="R210" s="118">
        <f t="shared" ca="1" si="45"/>
        <v>373353</v>
      </c>
      <c r="S210" s="118">
        <f t="shared" ca="1" si="45"/>
        <v>746706</v>
      </c>
      <c r="T210" s="118">
        <f ca="1">특급</f>
        <v>373353</v>
      </c>
      <c r="U210" s="118">
        <f t="shared" ca="1" si="46"/>
        <v>746706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2</v>
      </c>
      <c r="Q211" s="144" t="s">
        <v>29</v>
      </c>
      <c r="R211" s="118">
        <f t="shared" ca="1" si="45"/>
        <v>310884</v>
      </c>
      <c r="S211" s="118">
        <f t="shared" ca="1" si="45"/>
        <v>621768</v>
      </c>
      <c r="T211" s="118">
        <f ca="1">고급</f>
        <v>310884</v>
      </c>
      <c r="U211" s="118">
        <f t="shared" ca="1" si="46"/>
        <v>621768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4</v>
      </c>
      <c r="Q212" s="144" t="s">
        <v>29</v>
      </c>
      <c r="R212" s="118">
        <f t="shared" ca="1" si="45"/>
        <v>295138</v>
      </c>
      <c r="S212" s="118">
        <f t="shared" ca="1" si="45"/>
        <v>1180552</v>
      </c>
      <c r="T212" s="118">
        <f ca="1">중급</f>
        <v>295138</v>
      </c>
      <c r="U212" s="118">
        <f t="shared" ca="1" si="46"/>
        <v>1180552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4</v>
      </c>
      <c r="Q213" s="144" t="s">
        <v>29</v>
      </c>
      <c r="R213" s="118">
        <f t="shared" ca="1" si="45"/>
        <v>235459</v>
      </c>
      <c r="S213" s="118">
        <f t="shared" ca="1" si="45"/>
        <v>941836</v>
      </c>
      <c r="T213" s="118">
        <f ca="1">초급</f>
        <v>235459</v>
      </c>
      <c r="U213" s="118">
        <f t="shared" ca="1" si="46"/>
        <v>941836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4</v>
      </c>
      <c r="Q214" s="322" t="s">
        <v>29</v>
      </c>
      <c r="R214" s="323">
        <f t="shared" ca="1" si="45"/>
        <v>250087</v>
      </c>
      <c r="S214" s="323">
        <f t="shared" ca="1" si="45"/>
        <v>1000348</v>
      </c>
      <c r="T214" s="323">
        <f ca="1">보조원</f>
        <v>250087</v>
      </c>
      <c r="U214" s="323">
        <f t="shared" ca="1" si="46"/>
        <v>1000348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5425644</v>
      </c>
      <c r="T215" s="71"/>
      <c r="U215" s="71">
        <f ca="1">SUBTOTAL(9,U209:U214)</f>
        <v>5425644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20 호표  4-2. 주민간담회/시민계획단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20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2</v>
      </c>
      <c r="Q217" s="141" t="s">
        <v>29</v>
      </c>
      <c r="R217" s="142">
        <f t="shared" ref="R217:S222" ca="1" si="47">T217</f>
        <v>467217</v>
      </c>
      <c r="S217" s="142">
        <f t="shared" ca="1" si="47"/>
        <v>934434</v>
      </c>
      <c r="T217" s="142">
        <f ca="1">기술사</f>
        <v>467217</v>
      </c>
      <c r="U217" s="142">
        <f t="shared" ref="U217:U222" ca="1" si="48">ROUNDDOWN(P217*R217,0)</f>
        <v>934434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2</v>
      </c>
      <c r="Q218" s="144" t="s">
        <v>29</v>
      </c>
      <c r="R218" s="118">
        <f t="shared" ca="1" si="47"/>
        <v>373353</v>
      </c>
      <c r="S218" s="118">
        <f t="shared" ca="1" si="47"/>
        <v>746706</v>
      </c>
      <c r="T218" s="118">
        <f ca="1">특급</f>
        <v>373353</v>
      </c>
      <c r="U218" s="118">
        <f t="shared" ca="1" si="48"/>
        <v>746706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2</v>
      </c>
      <c r="Q219" s="144" t="s">
        <v>29</v>
      </c>
      <c r="R219" s="118">
        <f t="shared" ca="1" si="47"/>
        <v>310884</v>
      </c>
      <c r="S219" s="118">
        <f t="shared" ca="1" si="47"/>
        <v>621768</v>
      </c>
      <c r="T219" s="118">
        <f ca="1">고급</f>
        <v>310884</v>
      </c>
      <c r="U219" s="118">
        <f t="shared" ca="1" si="48"/>
        <v>621768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4</v>
      </c>
      <c r="Q220" s="144" t="s">
        <v>29</v>
      </c>
      <c r="R220" s="118">
        <f t="shared" ca="1" si="47"/>
        <v>295138</v>
      </c>
      <c r="S220" s="118">
        <f t="shared" ca="1" si="47"/>
        <v>1180552</v>
      </c>
      <c r="T220" s="118">
        <f ca="1">중급</f>
        <v>295138</v>
      </c>
      <c r="U220" s="118">
        <f t="shared" ca="1" si="48"/>
        <v>1180552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4</v>
      </c>
      <c r="Q221" s="144" t="s">
        <v>29</v>
      </c>
      <c r="R221" s="118">
        <f t="shared" ca="1" si="47"/>
        <v>235459</v>
      </c>
      <c r="S221" s="118">
        <f t="shared" ca="1" si="47"/>
        <v>941836</v>
      </c>
      <c r="T221" s="118">
        <f ca="1">초급</f>
        <v>235459</v>
      </c>
      <c r="U221" s="118">
        <f t="shared" ca="1" si="48"/>
        <v>941836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4</v>
      </c>
      <c r="Q222" s="322" t="s">
        <v>29</v>
      </c>
      <c r="R222" s="323">
        <f t="shared" ca="1" si="47"/>
        <v>250087</v>
      </c>
      <c r="S222" s="323">
        <f t="shared" ca="1" si="47"/>
        <v>1000348</v>
      </c>
      <c r="T222" s="323">
        <f ca="1">보조원</f>
        <v>250087</v>
      </c>
      <c r="U222" s="323">
        <f t="shared" ca="1" si="48"/>
        <v>1000348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5425644</v>
      </c>
      <c r="T223" s="71"/>
      <c r="U223" s="71">
        <f ca="1">SUBTOTAL(9,U217:U222)</f>
        <v>5425644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  <c r="N224" s="318" t="str">
        <f ca="1">"제 " &amp; Z224 &amp; " 호표  "&amp; OFFSET($A$1,MATCH(Z224,$A:$A,0)-1,1)</f>
        <v>제 21 호표  4-3. 위원회심의 지원</v>
      </c>
      <c r="O224" s="221"/>
      <c r="P224" s="148"/>
      <c r="Q224" s="148"/>
      <c r="R224" s="149"/>
      <c r="S224" s="149"/>
      <c r="T224" s="149"/>
      <c r="U224" s="149"/>
      <c r="V224" s="149"/>
      <c r="W224" s="149"/>
      <c r="X224" s="149"/>
      <c r="Y224" s="149"/>
      <c r="Z224" s="325">
        <f>Z216+1</f>
        <v>21</v>
      </c>
    </row>
    <row r="225" spans="11:26" ht="18" customHeight="1">
      <c r="K225" s="171" t="s">
        <v>14</v>
      </c>
      <c r="L225" s="171"/>
      <c r="M225" s="171"/>
      <c r="N225" s="140" t="s">
        <v>43</v>
      </c>
      <c r="O225" s="172">
        <v>3</v>
      </c>
      <c r="P225" s="219">
        <f ca="1">OFFSET($A$1,MATCH(Z224,$A:$A,0)-1,O225)</f>
        <v>2</v>
      </c>
      <c r="Q225" s="141" t="s">
        <v>29</v>
      </c>
      <c r="R225" s="142">
        <f t="shared" ref="R225:S230" ca="1" si="49">T225</f>
        <v>467217</v>
      </c>
      <c r="S225" s="142">
        <f t="shared" ca="1" si="49"/>
        <v>934434</v>
      </c>
      <c r="T225" s="142">
        <f ca="1">기술사</f>
        <v>467217</v>
      </c>
      <c r="U225" s="142">
        <f t="shared" ref="U225:U230" ca="1" si="50">ROUNDDOWN(P225*R225,0)</f>
        <v>934434</v>
      </c>
      <c r="V225" s="142"/>
      <c r="W225" s="142"/>
      <c r="X225" s="142"/>
      <c r="Y225" s="142"/>
      <c r="Z225" s="114"/>
    </row>
    <row r="226" spans="11:26" ht="18" customHeight="1">
      <c r="K226" s="171" t="s">
        <v>14</v>
      </c>
      <c r="L226" s="171"/>
      <c r="M226" s="171"/>
      <c r="N226" s="143" t="s">
        <v>32</v>
      </c>
      <c r="O226" s="173">
        <v>4</v>
      </c>
      <c r="P226" s="234">
        <f ca="1">OFFSET($A$1,MATCH(Z224,$A:$A,0)-1,O226)</f>
        <v>2</v>
      </c>
      <c r="Q226" s="144" t="s">
        <v>29</v>
      </c>
      <c r="R226" s="118">
        <f t="shared" ca="1" si="49"/>
        <v>373353</v>
      </c>
      <c r="S226" s="118">
        <f t="shared" ca="1" si="49"/>
        <v>746706</v>
      </c>
      <c r="T226" s="118">
        <f ca="1">특급</f>
        <v>373353</v>
      </c>
      <c r="U226" s="118">
        <f t="shared" ca="1" si="50"/>
        <v>746706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39</v>
      </c>
      <c r="O227" s="173">
        <v>5</v>
      </c>
      <c r="P227" s="234">
        <f ca="1">OFFSET($A$1,MATCH(Z224,$A:$A,0)-1,O227)</f>
        <v>2</v>
      </c>
      <c r="Q227" s="144" t="s">
        <v>29</v>
      </c>
      <c r="R227" s="118">
        <f t="shared" ca="1" si="49"/>
        <v>310884</v>
      </c>
      <c r="S227" s="118">
        <f t="shared" ca="1" si="49"/>
        <v>621768</v>
      </c>
      <c r="T227" s="118">
        <f ca="1">고급</f>
        <v>310884</v>
      </c>
      <c r="U227" s="118">
        <f t="shared" ca="1" si="50"/>
        <v>621768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40</v>
      </c>
      <c r="O228" s="173">
        <v>6</v>
      </c>
      <c r="P228" s="234">
        <f ca="1">OFFSET($A$1,MATCH(Z224,$A:$A,0)-1,O228)</f>
        <v>4</v>
      </c>
      <c r="Q228" s="144" t="s">
        <v>29</v>
      </c>
      <c r="R228" s="118">
        <f t="shared" ca="1" si="49"/>
        <v>295138</v>
      </c>
      <c r="S228" s="118">
        <f t="shared" ca="1" si="49"/>
        <v>1180552</v>
      </c>
      <c r="T228" s="118">
        <f ca="1">중급</f>
        <v>295138</v>
      </c>
      <c r="U228" s="118">
        <f t="shared" ca="1" si="50"/>
        <v>1180552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41</v>
      </c>
      <c r="O229" s="173">
        <v>7</v>
      </c>
      <c r="P229" s="234">
        <f ca="1">OFFSET($A$1,MATCH(Z224,$A:$A,0)-1,O229)</f>
        <v>4</v>
      </c>
      <c r="Q229" s="144" t="s">
        <v>29</v>
      </c>
      <c r="R229" s="118">
        <f t="shared" ca="1" si="49"/>
        <v>235459</v>
      </c>
      <c r="S229" s="118">
        <f t="shared" ca="1" si="49"/>
        <v>941836</v>
      </c>
      <c r="T229" s="118">
        <f ca="1">초급</f>
        <v>235459</v>
      </c>
      <c r="U229" s="118">
        <f t="shared" ca="1" si="50"/>
        <v>941836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319" t="s">
        <v>42</v>
      </c>
      <c r="O230" s="174">
        <v>8</v>
      </c>
      <c r="P230" s="235">
        <f ca="1">OFFSET($A$1,MATCH(Z224,$A:$A,0)-1,O230)</f>
        <v>4</v>
      </c>
      <c r="Q230" s="322" t="s">
        <v>29</v>
      </c>
      <c r="R230" s="323">
        <f t="shared" ca="1" si="49"/>
        <v>250087</v>
      </c>
      <c r="S230" s="323">
        <f t="shared" ca="1" si="49"/>
        <v>1000348</v>
      </c>
      <c r="T230" s="323">
        <f ca="1">보조원</f>
        <v>250087</v>
      </c>
      <c r="U230" s="323">
        <f t="shared" ca="1" si="50"/>
        <v>1000348</v>
      </c>
      <c r="V230" s="323"/>
      <c r="W230" s="323"/>
      <c r="X230" s="323"/>
      <c r="Y230" s="323"/>
      <c r="Z230" s="324"/>
    </row>
    <row r="231" spans="11:26" ht="18" customHeight="1">
      <c r="K231" s="171" t="s">
        <v>14</v>
      </c>
      <c r="L231" s="171"/>
      <c r="M231" s="171"/>
      <c r="N231" s="139" t="s">
        <v>17</v>
      </c>
      <c r="O231" s="68"/>
      <c r="P231" s="69"/>
      <c r="Q231" s="70"/>
      <c r="R231" s="71"/>
      <c r="S231" s="71">
        <f ca="1">SUBTOTAL(9,S225:S230)</f>
        <v>5425644</v>
      </c>
      <c r="T231" s="71"/>
      <c r="U231" s="71">
        <f ca="1">SUBTOTAL(9,U225:U230)</f>
        <v>5425644</v>
      </c>
      <c r="V231" s="71"/>
      <c r="W231" s="71"/>
      <c r="X231" s="71"/>
      <c r="Y231" s="71"/>
      <c r="Z231" s="68"/>
    </row>
    <row r="232" spans="11:26" ht="18" customHeight="1">
      <c r="K232" s="171" t="s">
        <v>14</v>
      </c>
      <c r="L232" s="171"/>
      <c r="M232" s="171"/>
      <c r="N232" s="318" t="str">
        <f ca="1">"제 " &amp; Z232 &amp; " 호표  "&amp; OFFSET($A$1,MATCH(Z232,$A:$A,0)-1,1)</f>
        <v>제 22 호표  4-4. 관계기관 협의</v>
      </c>
      <c r="O232" s="221"/>
      <c r="P232" s="148"/>
      <c r="Q232" s="148"/>
      <c r="R232" s="149"/>
      <c r="S232" s="149"/>
      <c r="T232" s="149"/>
      <c r="U232" s="149"/>
      <c r="V232" s="149"/>
      <c r="W232" s="149"/>
      <c r="X232" s="149"/>
      <c r="Y232" s="149"/>
      <c r="Z232" s="325">
        <f>Z224+1</f>
        <v>22</v>
      </c>
    </row>
    <row r="233" spans="11:26" ht="18" customHeight="1">
      <c r="K233" s="171" t="s">
        <v>14</v>
      </c>
      <c r="L233" s="171"/>
      <c r="M233" s="171"/>
      <c r="N233" s="140" t="s">
        <v>43</v>
      </c>
      <c r="O233" s="172">
        <v>3</v>
      </c>
      <c r="P233" s="219">
        <f ca="1">OFFSET($A$1,MATCH(Z232,$A:$A,0)-1,O233)</f>
        <v>2</v>
      </c>
      <c r="Q233" s="141" t="s">
        <v>29</v>
      </c>
      <c r="R233" s="142">
        <f t="shared" ref="R233:S238" ca="1" si="51">T233</f>
        <v>467217</v>
      </c>
      <c r="S233" s="142">
        <f t="shared" ca="1" si="51"/>
        <v>934434</v>
      </c>
      <c r="T233" s="142">
        <f ca="1">기술사</f>
        <v>467217</v>
      </c>
      <c r="U233" s="142">
        <f t="shared" ref="U233:U238" ca="1" si="52">ROUNDDOWN(P233*R233,0)</f>
        <v>934434</v>
      </c>
      <c r="V233" s="142"/>
      <c r="W233" s="142"/>
      <c r="X233" s="142"/>
      <c r="Y233" s="142"/>
      <c r="Z233" s="114"/>
    </row>
    <row r="234" spans="11:26" ht="18" customHeight="1">
      <c r="K234" s="171" t="s">
        <v>14</v>
      </c>
      <c r="L234" s="171"/>
      <c r="M234" s="171"/>
      <c r="N234" s="143" t="s">
        <v>32</v>
      </c>
      <c r="O234" s="173">
        <v>4</v>
      </c>
      <c r="P234" s="234">
        <f ca="1">OFFSET($A$1,MATCH(Z232,$A:$A,0)-1,O234)</f>
        <v>2</v>
      </c>
      <c r="Q234" s="144" t="s">
        <v>29</v>
      </c>
      <c r="R234" s="118">
        <f t="shared" ca="1" si="51"/>
        <v>373353</v>
      </c>
      <c r="S234" s="118">
        <f t="shared" ca="1" si="51"/>
        <v>746706</v>
      </c>
      <c r="T234" s="118">
        <f ca="1">특급</f>
        <v>373353</v>
      </c>
      <c r="U234" s="118">
        <f t="shared" ca="1" si="52"/>
        <v>746706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39</v>
      </c>
      <c r="O235" s="173">
        <v>5</v>
      </c>
      <c r="P235" s="234">
        <f ca="1">OFFSET($A$1,MATCH(Z232,$A:$A,0)-1,O235)</f>
        <v>2</v>
      </c>
      <c r="Q235" s="144" t="s">
        <v>29</v>
      </c>
      <c r="R235" s="118">
        <f t="shared" ca="1" si="51"/>
        <v>310884</v>
      </c>
      <c r="S235" s="118">
        <f t="shared" ca="1" si="51"/>
        <v>621768</v>
      </c>
      <c r="T235" s="118">
        <f ca="1">고급</f>
        <v>310884</v>
      </c>
      <c r="U235" s="118">
        <f t="shared" ca="1" si="52"/>
        <v>621768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40</v>
      </c>
      <c r="O236" s="173">
        <v>6</v>
      </c>
      <c r="P236" s="234">
        <f ca="1">OFFSET($A$1,MATCH(Z232,$A:$A,0)-1,O236)</f>
        <v>4</v>
      </c>
      <c r="Q236" s="144" t="s">
        <v>29</v>
      </c>
      <c r="R236" s="118">
        <f t="shared" ca="1" si="51"/>
        <v>295138</v>
      </c>
      <c r="S236" s="118">
        <f t="shared" ca="1" si="51"/>
        <v>1180552</v>
      </c>
      <c r="T236" s="118">
        <f ca="1">중급</f>
        <v>295138</v>
      </c>
      <c r="U236" s="118">
        <f t="shared" ca="1" si="52"/>
        <v>1180552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41</v>
      </c>
      <c r="O237" s="173">
        <v>7</v>
      </c>
      <c r="P237" s="234">
        <f ca="1">OFFSET($A$1,MATCH(Z232,$A:$A,0)-1,O237)</f>
        <v>4</v>
      </c>
      <c r="Q237" s="144" t="s">
        <v>29</v>
      </c>
      <c r="R237" s="118">
        <f t="shared" ca="1" si="51"/>
        <v>235459</v>
      </c>
      <c r="S237" s="118">
        <f t="shared" ca="1" si="51"/>
        <v>941836</v>
      </c>
      <c r="T237" s="118">
        <f ca="1">초급</f>
        <v>235459</v>
      </c>
      <c r="U237" s="118">
        <f t="shared" ca="1" si="52"/>
        <v>941836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319" t="s">
        <v>42</v>
      </c>
      <c r="O238" s="174">
        <v>8</v>
      </c>
      <c r="P238" s="235">
        <f ca="1">OFFSET($A$1,MATCH(Z232,$A:$A,0)-1,O238)</f>
        <v>4</v>
      </c>
      <c r="Q238" s="322" t="s">
        <v>29</v>
      </c>
      <c r="R238" s="323">
        <f t="shared" ca="1" si="51"/>
        <v>250087</v>
      </c>
      <c r="S238" s="323">
        <f t="shared" ca="1" si="51"/>
        <v>1000348</v>
      </c>
      <c r="T238" s="323">
        <f ca="1">보조원</f>
        <v>250087</v>
      </c>
      <c r="U238" s="323">
        <f t="shared" ca="1" si="52"/>
        <v>1000348</v>
      </c>
      <c r="V238" s="323"/>
      <c r="W238" s="323"/>
      <c r="X238" s="323"/>
      <c r="Y238" s="323"/>
      <c r="Z238" s="324"/>
    </row>
    <row r="239" spans="11:26" ht="18" customHeight="1">
      <c r="K239" s="171" t="s">
        <v>14</v>
      </c>
      <c r="L239" s="171"/>
      <c r="M239" s="171"/>
      <c r="N239" s="139" t="s">
        <v>17</v>
      </c>
      <c r="O239" s="68"/>
      <c r="P239" s="69"/>
      <c r="Q239" s="70"/>
      <c r="R239" s="71"/>
      <c r="S239" s="71">
        <f ca="1">SUBTOTAL(9,S233:S238)</f>
        <v>5425644</v>
      </c>
      <c r="T239" s="71"/>
      <c r="U239" s="71">
        <f ca="1">SUBTOTAL(9,U233:U238)</f>
        <v>5425644</v>
      </c>
      <c r="V239" s="71"/>
      <c r="W239" s="71"/>
      <c r="X239" s="71"/>
      <c r="Y239" s="71"/>
      <c r="Z239" s="68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</row>
    <row r="825" spans="11:13" ht="18" customHeight="1">
      <c r="K825" s="171" t="s">
        <v>14</v>
      </c>
      <c r="L825" s="171"/>
    </row>
    <row r="826" spans="11:13" ht="18" customHeight="1">
      <c r="K826" s="171" t="s">
        <v>14</v>
      </c>
      <c r="L826" s="171"/>
    </row>
    <row r="827" spans="11:13" ht="18" customHeight="1">
      <c r="K827" s="171" t="s">
        <v>14</v>
      </c>
      <c r="L827" s="171"/>
    </row>
    <row r="828" spans="11:13" ht="18" customHeight="1">
      <c r="K828" s="171" t="s">
        <v>14</v>
      </c>
      <c r="L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2:12" ht="18" customHeight="1">
      <c r="L833" s="171"/>
    </row>
    <row r="834" spans="12:12" ht="18" customHeight="1">
      <c r="L834" s="171"/>
    </row>
    <row r="835" spans="12:12" ht="18" customHeight="1">
      <c r="L835" s="171"/>
    </row>
  </sheetData>
  <mergeCells count="19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B6:C6"/>
    <mergeCell ref="D6:E6"/>
    <mergeCell ref="B14:C15"/>
    <mergeCell ref="J14:J15"/>
    <mergeCell ref="L14:L15"/>
    <mergeCell ref="N62:N63"/>
    <mergeCell ref="O62:O63"/>
    <mergeCell ref="P62:P63"/>
    <mergeCell ref="Q62:Q63"/>
    <mergeCell ref="Z62:Z63"/>
  </mergeCells>
  <phoneticPr fontId="14" type="noConversion"/>
  <conditionalFormatting sqref="V19:V45">
    <cfRule type="cellIs" dxfId="49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0" min="13" max="28" man="1"/>
    <brk id="81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0819" r:id="rId4" name="Drop Down 3">
              <controlPr defaultSize="0" autoLine="0" autoPict="0">
                <anchor moveWithCells="1">
                  <from>
                    <xdr:col>0</xdr:col>
                    <xdr:colOff>304800</xdr:colOff>
                    <xdr:row>6</xdr:row>
                    <xdr:rowOff>38100</xdr:rowOff>
                  </from>
                  <to>
                    <xdr:col>9</xdr:col>
                    <xdr:colOff>676275</xdr:colOff>
                    <xdr:row>7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69">
    <tabColor rgb="FF00B0F0"/>
    <pageSetUpPr fitToPage="1"/>
  </sheetPr>
  <dimension ref="A1:Z831"/>
  <sheetViews>
    <sheetView showGridLines="0" zoomScale="85" zoomScaleNormal="85" zoomScaleSheetLayoutView="75" workbookViewId="0">
      <selection activeCell="J11" sqref="J11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517</v>
      </c>
    </row>
    <row r="2" spans="1:26" ht="19.5" thickBot="1">
      <c r="B2" s="66" t="s">
        <v>1</v>
      </c>
    </row>
    <row r="3" spans="1:26" ht="19.5" customHeight="1">
      <c r="B3" s="773" t="s">
        <v>1879</v>
      </c>
      <c r="C3" s="774"/>
      <c r="D3" s="775">
        <v>50</v>
      </c>
      <c r="E3" s="776"/>
      <c r="F3" s="44" t="s">
        <v>87</v>
      </c>
      <c r="G3" s="838" t="s">
        <v>1104</v>
      </c>
      <c r="H3" s="839"/>
      <c r="I3" s="656">
        <v>2</v>
      </c>
      <c r="J3" s="669" t="s">
        <v>794</v>
      </c>
      <c r="K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B4" s="777" t="s">
        <v>1880</v>
      </c>
      <c r="C4" s="778"/>
      <c r="D4" s="779">
        <v>50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B5" s="781" t="s">
        <v>523</v>
      </c>
      <c r="C5" s="782"/>
      <c r="D5" s="783">
        <f>ROUND((IF(D4&lt;=10,10,D4)/D3)^0.6,3)</f>
        <v>1</v>
      </c>
      <c r="E5" s="784"/>
      <c r="F5" s="45"/>
      <c r="G5" s="817" t="s">
        <v>1102</v>
      </c>
      <c r="H5" s="818"/>
      <c r="I5" s="646">
        <f>ROUND(I4/I3,3)</f>
        <v>1</v>
      </c>
      <c r="J5" s="671"/>
      <c r="K5" s="6"/>
      <c r="R5" s="1"/>
      <c r="S5" s="1"/>
      <c r="T5" s="1"/>
      <c r="U5" s="1"/>
      <c r="V5" s="1"/>
      <c r="W5" s="1"/>
      <c r="X5" s="1"/>
      <c r="Y5" s="1"/>
    </row>
    <row r="6" spans="1:26" ht="23.25" customHeight="1">
      <c r="B6" s="9" t="s">
        <v>1881</v>
      </c>
      <c r="C6" s="9"/>
      <c r="D6" s="64"/>
      <c r="E6" s="64"/>
      <c r="G6" s="9" t="s">
        <v>1107</v>
      </c>
      <c r="J6" s="36"/>
      <c r="R6" s="1"/>
      <c r="S6" s="1"/>
      <c r="T6" s="1"/>
      <c r="U6" s="1"/>
      <c r="V6" s="1"/>
      <c r="W6" s="1"/>
      <c r="X6" s="1"/>
      <c r="Y6" s="1"/>
    </row>
    <row r="7" spans="1:26" ht="23.25" customHeight="1">
      <c r="A7" s="6"/>
      <c r="B7" s="6"/>
      <c r="C7" s="6"/>
      <c r="D7" s="6"/>
      <c r="E7" s="6"/>
      <c r="F7" s="6"/>
      <c r="R7" s="1"/>
      <c r="S7" s="1"/>
      <c r="T7" s="1"/>
      <c r="U7" s="1"/>
      <c r="V7" s="1"/>
      <c r="W7" s="1"/>
      <c r="X7" s="1"/>
      <c r="Y7" s="1"/>
    </row>
    <row r="8" spans="1:26" ht="23.25" customHeight="1">
      <c r="A8" s="6"/>
      <c r="B8" s="6"/>
      <c r="C8" s="6"/>
      <c r="D8" s="6"/>
      <c r="E8" s="6"/>
      <c r="F8" s="6"/>
      <c r="R8" s="1"/>
      <c r="S8" s="1"/>
      <c r="T8" s="1"/>
      <c r="U8" s="1"/>
      <c r="V8" s="1"/>
      <c r="W8" s="1"/>
      <c r="X8" s="1"/>
      <c r="Y8" s="1"/>
    </row>
    <row r="9" spans="1:26" ht="23.25" customHeight="1">
      <c r="A9" s="6"/>
      <c r="B9" s="6"/>
      <c r="C9" s="6"/>
      <c r="D9" s="6"/>
      <c r="E9" s="6"/>
      <c r="F9" s="6"/>
      <c r="R9" s="1"/>
      <c r="S9" s="1"/>
      <c r="T9" s="1"/>
      <c r="U9" s="1"/>
      <c r="V9" s="1"/>
      <c r="W9" s="1"/>
      <c r="X9" s="1"/>
      <c r="Y9" s="1"/>
    </row>
    <row r="10" spans="1:26" ht="18" customHeight="1">
      <c r="B10" s="9"/>
      <c r="C10" s="9"/>
      <c r="D10" s="64"/>
      <c r="E10" s="64"/>
      <c r="R10" s="1"/>
      <c r="S10" s="1"/>
      <c r="T10" s="1"/>
    </row>
    <row r="11" spans="1:26" ht="18" customHeight="1">
      <c r="B11" s="9"/>
      <c r="C11" s="9"/>
      <c r="D11" s="64"/>
      <c r="E11" s="64"/>
      <c r="R11" s="1"/>
      <c r="S11" s="1"/>
      <c r="T11" s="1"/>
    </row>
    <row r="12" spans="1:26" ht="18" customHeight="1">
      <c r="G12" s="36"/>
      <c r="W12" s="188" t="s">
        <v>3</v>
      </c>
      <c r="X12" s="189"/>
    </row>
    <row r="13" spans="1:26" ht="18" customHeight="1" thickBot="1">
      <c r="B13" s="66" t="s">
        <v>4</v>
      </c>
      <c r="C13" s="9"/>
      <c r="D13" s="64"/>
      <c r="E13" s="64"/>
      <c r="G13" s="36"/>
      <c r="N13" s="66" t="s">
        <v>5</v>
      </c>
    </row>
    <row r="14" spans="1:26" ht="18" customHeight="1" thickBot="1">
      <c r="B14" s="9"/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SUBTOTAL(9,W15:W45)</f>
        <v>943173428</v>
      </c>
      <c r="X14" s="187"/>
      <c r="Y14" s="177"/>
      <c r="Z14" s="167"/>
    </row>
    <row r="15" spans="1:26" ht="18" customHeight="1">
      <c r="A15" s="278"/>
      <c r="B15" s="757" t="s">
        <v>30</v>
      </c>
      <c r="C15" s="758"/>
      <c r="D15" s="14" t="s">
        <v>6</v>
      </c>
      <c r="E15" s="15"/>
      <c r="F15" s="15"/>
      <c r="G15" s="15"/>
      <c r="H15" s="15"/>
      <c r="I15" s="16"/>
      <c r="J15" s="761" t="s">
        <v>31</v>
      </c>
      <c r="L15" s="763" t="s">
        <v>7</v>
      </c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SUBTOTAL(9,W16:W42)</f>
        <v>342587989</v>
      </c>
      <c r="X15" s="164"/>
      <c r="Y15" s="178" t="s">
        <v>9</v>
      </c>
      <c r="Z15" s="179"/>
    </row>
    <row r="16" spans="1:26" ht="18" customHeight="1" thickBot="1">
      <c r="A16" s="278"/>
      <c r="B16" s="820"/>
      <c r="C16" s="821"/>
      <c r="D16" s="17" t="s">
        <v>33</v>
      </c>
      <c r="E16" s="19" t="s">
        <v>34</v>
      </c>
      <c r="F16" s="19" t="s">
        <v>35</v>
      </c>
      <c r="G16" s="19" t="s">
        <v>36</v>
      </c>
      <c r="H16" s="19" t="s">
        <v>37</v>
      </c>
      <c r="I16" s="18" t="s">
        <v>38</v>
      </c>
      <c r="J16" s="762"/>
      <c r="L16" s="764"/>
      <c r="N16" s="290" t="s">
        <v>45</v>
      </c>
      <c r="O16" s="124"/>
      <c r="P16" s="125"/>
      <c r="Q16" s="126"/>
      <c r="R16" s="126"/>
      <c r="S16" s="126"/>
      <c r="T16" s="126"/>
      <c r="U16" s="218"/>
      <c r="V16" s="218"/>
      <c r="W16" s="255">
        <f ca="1">SUBTOTAL(9,W17:W37)</f>
        <v>334587989</v>
      </c>
      <c r="X16" s="256"/>
      <c r="Y16" s="220"/>
      <c r="Z16" s="220"/>
    </row>
    <row r="17" spans="1:26" ht="18" customHeight="1">
      <c r="A17" s="279"/>
      <c r="B17" s="222" t="s">
        <v>518</v>
      </c>
      <c r="C17" s="47"/>
      <c r="D17" s="48">
        <f t="shared" ref="D17:I17" si="0">SUBTOTAL(9,D18:D22)</f>
        <v>9.1</v>
      </c>
      <c r="E17" s="49">
        <f t="shared" si="0"/>
        <v>14.500000000000002</v>
      </c>
      <c r="F17" s="49">
        <f t="shared" si="0"/>
        <v>45.1</v>
      </c>
      <c r="G17" s="49">
        <f t="shared" si="0"/>
        <v>72.699999999999989</v>
      </c>
      <c r="H17" s="49">
        <f t="shared" si="0"/>
        <v>99.100000000000009</v>
      </c>
      <c r="I17" s="50">
        <f t="shared" si="0"/>
        <v>106.5</v>
      </c>
      <c r="J17" s="389"/>
      <c r="L17" s="232"/>
      <c r="N17" s="354" t="str">
        <f>B17</f>
        <v>1. 현황조사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SUBTOTAL(9,W18:W22)</f>
        <v>95110934</v>
      </c>
      <c r="X17" s="194"/>
      <c r="Y17" s="170" t="str">
        <f t="shared" ref="Y17:Y32" si="1">IF(A39&gt;0, "제 " &amp;A39&amp; " 호표","")</f>
        <v/>
      </c>
      <c r="Z17" s="170"/>
    </row>
    <row r="18" spans="1:26" ht="18" customHeight="1">
      <c r="A18" s="279"/>
      <c r="B18" s="223" t="s">
        <v>1882</v>
      </c>
      <c r="C18" s="23"/>
      <c r="D18" s="197">
        <v>3.5</v>
      </c>
      <c r="E18" s="198">
        <v>5.7</v>
      </c>
      <c r="F18" s="198">
        <v>23.8</v>
      </c>
      <c r="G18" s="198">
        <v>35.9</v>
      </c>
      <c r="H18" s="198">
        <v>59.6</v>
      </c>
      <c r="I18" s="199">
        <v>64.400000000000006</v>
      </c>
      <c r="J18" s="389" t="s">
        <v>1900</v>
      </c>
      <c r="L18" s="233">
        <v>1</v>
      </c>
      <c r="N18" s="292" t="str">
        <f t="shared" ref="N18:N37" si="2">B18</f>
        <v>1.1. 도시현황조사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SUM((ROUNDDOWN((D40:I40)*단가,0)))</f>
        <v>51896822</v>
      </c>
      <c r="X18" s="154"/>
      <c r="Y18" s="170" t="str">
        <f t="shared" si="1"/>
        <v>제 1 호표</v>
      </c>
      <c r="Z18" s="150"/>
    </row>
    <row r="19" spans="1:26" ht="18" customHeight="1">
      <c r="A19" s="279"/>
      <c r="B19" s="223" t="s">
        <v>1883</v>
      </c>
      <c r="C19" s="23"/>
      <c r="D19" s="197">
        <v>1.3</v>
      </c>
      <c r="E19" s="198">
        <v>2.1</v>
      </c>
      <c r="F19" s="198">
        <v>2.8</v>
      </c>
      <c r="G19" s="198">
        <v>7.8</v>
      </c>
      <c r="H19" s="198">
        <v>7.8</v>
      </c>
      <c r="I19" s="199">
        <v>10.5</v>
      </c>
      <c r="J19" s="389" t="s">
        <v>1090</v>
      </c>
      <c r="L19" s="233">
        <v>1</v>
      </c>
      <c r="N19" s="292" t="str">
        <f t="shared" si="2"/>
        <v>1.2. 관련계획조사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SUM((ROUNDDOWN((D41:I41)*단가,0)))</f>
        <v>9026467</v>
      </c>
      <c r="X19" s="154"/>
      <c r="Y19" s="170" t="str">
        <f t="shared" si="1"/>
        <v>제 2 호표</v>
      </c>
      <c r="Z19" s="150"/>
    </row>
    <row r="20" spans="1:26" ht="18" customHeight="1">
      <c r="A20" s="279"/>
      <c r="B20" s="223" t="s">
        <v>1884</v>
      </c>
      <c r="C20" s="23"/>
      <c r="D20" s="197">
        <v>1.5</v>
      </c>
      <c r="E20" s="198">
        <v>2.2999999999999998</v>
      </c>
      <c r="F20" s="198">
        <v>5.2</v>
      </c>
      <c r="G20" s="198">
        <v>10.5</v>
      </c>
      <c r="H20" s="198">
        <v>10.199999999999999</v>
      </c>
      <c r="I20" s="199">
        <v>10.5</v>
      </c>
      <c r="J20" s="389" t="s">
        <v>1090</v>
      </c>
      <c r="L20" s="233">
        <v>1</v>
      </c>
      <c r="N20" s="292" t="str">
        <f t="shared" si="2"/>
        <v>1.3. 교통관계조사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SUM((ROUNDDOWN((D42:I42)*단가,0)))</f>
        <v>11302675</v>
      </c>
      <c r="X20" s="154"/>
      <c r="Y20" s="170" t="str">
        <f t="shared" si="1"/>
        <v>제 3 호표</v>
      </c>
      <c r="Z20" s="150"/>
    </row>
    <row r="21" spans="1:26" ht="18" customHeight="1">
      <c r="A21" s="279"/>
      <c r="B21" s="223" t="s">
        <v>1885</v>
      </c>
      <c r="C21" s="23"/>
      <c r="D21" s="197">
        <v>1.5</v>
      </c>
      <c r="E21" s="198">
        <v>2.2999999999999998</v>
      </c>
      <c r="F21" s="198">
        <v>7.8</v>
      </c>
      <c r="G21" s="198">
        <v>10.7</v>
      </c>
      <c r="H21" s="198">
        <v>13.1</v>
      </c>
      <c r="I21" s="199">
        <v>13.3</v>
      </c>
      <c r="J21" s="389" t="s">
        <v>1090</v>
      </c>
      <c r="L21" s="233">
        <v>1</v>
      </c>
      <c r="N21" s="292" t="str">
        <f t="shared" si="2"/>
        <v>1.4. 시설관계조사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SUM((ROUNDDOWN((D43:I43)*단가,0)))</f>
        <v>13553076</v>
      </c>
      <c r="X21" s="154"/>
      <c r="Y21" s="170" t="str">
        <f t="shared" si="1"/>
        <v>제 4 호표</v>
      </c>
      <c r="Z21" s="150"/>
    </row>
    <row r="22" spans="1:26" ht="18" customHeight="1">
      <c r="A22" s="279"/>
      <c r="B22" s="223" t="s">
        <v>1886</v>
      </c>
      <c r="C22" s="23"/>
      <c r="D22" s="197">
        <v>1.3</v>
      </c>
      <c r="E22" s="198">
        <v>2.1</v>
      </c>
      <c r="F22" s="198">
        <v>5.5</v>
      </c>
      <c r="G22" s="198">
        <v>7.8</v>
      </c>
      <c r="H22" s="198">
        <v>8.4</v>
      </c>
      <c r="I22" s="199">
        <v>7.8</v>
      </c>
      <c r="J22" s="389" t="s">
        <v>1090</v>
      </c>
      <c r="L22" s="233">
        <v>1</v>
      </c>
      <c r="N22" s="292" t="str">
        <f t="shared" si="2"/>
        <v>1.5. 공급처리시설 관계조사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SUM((ROUNDDOWN((D44:I44)*단가,0)))</f>
        <v>9331894</v>
      </c>
      <c r="X22" s="154"/>
      <c r="Y22" s="170" t="str">
        <f t="shared" si="1"/>
        <v>제 5 호표</v>
      </c>
      <c r="Z22" s="150"/>
    </row>
    <row r="23" spans="1:26" ht="18" customHeight="1">
      <c r="A23" s="279"/>
      <c r="B23" s="222" t="s">
        <v>519</v>
      </c>
      <c r="C23" s="47"/>
      <c r="D23" s="48">
        <f t="shared" ref="D23:I23" si="3">SUBTOTAL(9,D24:D29)</f>
        <v>21.4</v>
      </c>
      <c r="E23" s="49">
        <f t="shared" si="3"/>
        <v>34.5</v>
      </c>
      <c r="F23" s="49">
        <f t="shared" si="3"/>
        <v>68.8</v>
      </c>
      <c r="G23" s="49">
        <f t="shared" si="3"/>
        <v>114.10000000000001</v>
      </c>
      <c r="H23" s="49">
        <f t="shared" si="3"/>
        <v>168.79999999999998</v>
      </c>
      <c r="I23" s="50">
        <f t="shared" si="3"/>
        <v>154.5</v>
      </c>
      <c r="J23" s="389"/>
      <c r="L23" s="232"/>
      <c r="N23" s="354" t="str">
        <f t="shared" si="2"/>
        <v>2. 기본구상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SUBTOTAL(9,W24:W29)</f>
        <v>156327097</v>
      </c>
      <c r="X23" s="194"/>
      <c r="Y23" s="170" t="str">
        <f t="shared" si="1"/>
        <v/>
      </c>
      <c r="Z23" s="170"/>
    </row>
    <row r="24" spans="1:26" ht="18" customHeight="1">
      <c r="A24" s="279"/>
      <c r="B24" s="223" t="s">
        <v>1887</v>
      </c>
      <c r="C24" s="23"/>
      <c r="D24" s="197">
        <v>3</v>
      </c>
      <c r="E24" s="198">
        <v>4.8</v>
      </c>
      <c r="F24" s="198">
        <v>9.6</v>
      </c>
      <c r="G24" s="198">
        <v>15.8</v>
      </c>
      <c r="H24" s="198">
        <v>23.8</v>
      </c>
      <c r="I24" s="199">
        <v>15.2</v>
      </c>
      <c r="J24" s="389" t="s">
        <v>1090</v>
      </c>
      <c r="L24" s="233">
        <v>1</v>
      </c>
      <c r="N24" s="292" t="str">
        <f t="shared" si="2"/>
        <v>2.1. 지구의 개요 및 목적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SUM((ROUNDDOWN((D46:I46)*단가,0)))</f>
        <v>20246657</v>
      </c>
      <c r="X24" s="154"/>
      <c r="Y24" s="170" t="str">
        <f t="shared" si="1"/>
        <v>제 6 호표</v>
      </c>
      <c r="Z24" s="150"/>
    </row>
    <row r="25" spans="1:26" ht="18" customHeight="1">
      <c r="A25" s="279"/>
      <c r="B25" s="223" t="s">
        <v>1888</v>
      </c>
      <c r="C25" s="23"/>
      <c r="D25" s="197">
        <v>2.1</v>
      </c>
      <c r="E25" s="198">
        <v>3.5</v>
      </c>
      <c r="F25" s="198">
        <v>6.4</v>
      </c>
      <c r="G25" s="198">
        <v>10.9</v>
      </c>
      <c r="H25" s="198">
        <v>16</v>
      </c>
      <c r="I25" s="199">
        <v>15.2</v>
      </c>
      <c r="J25" s="389" t="s">
        <v>1090</v>
      </c>
      <c r="L25" s="233">
        <v>1</v>
      </c>
      <c r="N25" s="292" t="str">
        <f t="shared" si="2"/>
        <v>2.2. 지구의 지정요건 분석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SUM((ROUNDDOWN((D47:I47)*단가,0)))</f>
        <v>15063217</v>
      </c>
      <c r="X25" s="154"/>
      <c r="Y25" s="170" t="str">
        <f t="shared" si="1"/>
        <v>제 7 호표</v>
      </c>
      <c r="Z25" s="150"/>
    </row>
    <row r="26" spans="1:26" ht="18" customHeight="1">
      <c r="A26" s="279"/>
      <c r="B26" s="223" t="s">
        <v>1889</v>
      </c>
      <c r="C26" s="23"/>
      <c r="D26" s="197">
        <v>3</v>
      </c>
      <c r="E26" s="198">
        <v>4.8</v>
      </c>
      <c r="F26" s="198">
        <v>9.6</v>
      </c>
      <c r="G26" s="198">
        <v>16</v>
      </c>
      <c r="H26" s="198">
        <v>23.8</v>
      </c>
      <c r="I26" s="199">
        <v>22.8</v>
      </c>
      <c r="J26" s="389" t="s">
        <v>1090</v>
      </c>
      <c r="L26" s="233">
        <v>1</v>
      </c>
      <c r="N26" s="292" t="str">
        <f t="shared" si="2"/>
        <v>2.3. 개발의 기본방향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SUM((ROUNDDOWN((D48:I48)*단가,0)))</f>
        <v>22206346</v>
      </c>
      <c r="X26" s="154"/>
      <c r="Y26" s="170" t="str">
        <f t="shared" si="1"/>
        <v>제 8 호표</v>
      </c>
      <c r="Z26" s="150"/>
    </row>
    <row r="27" spans="1:26" ht="18" customHeight="1">
      <c r="A27" s="279"/>
      <c r="B27" s="223" t="s">
        <v>1890</v>
      </c>
      <c r="C27" s="23"/>
      <c r="D27" s="197">
        <v>2.5</v>
      </c>
      <c r="E27" s="198">
        <v>4.0999999999999996</v>
      </c>
      <c r="F27" s="198">
        <v>8.1</v>
      </c>
      <c r="G27" s="198">
        <v>13.4</v>
      </c>
      <c r="H27" s="198">
        <v>19.600000000000001</v>
      </c>
      <c r="I27" s="199">
        <v>19</v>
      </c>
      <c r="J27" s="389" t="s">
        <v>1090</v>
      </c>
      <c r="L27" s="233">
        <v>1</v>
      </c>
      <c r="N27" s="292" t="str">
        <f t="shared" si="2"/>
        <v>2.4. 추진사업의 현황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SUM((ROUNDDOWN((D49:I49)*단가,0)))</f>
        <v>18538447</v>
      </c>
      <c r="X27" s="154"/>
      <c r="Y27" s="170" t="str">
        <f t="shared" si="1"/>
        <v>제 9 호표</v>
      </c>
      <c r="Z27" s="150"/>
    </row>
    <row r="28" spans="1:26" ht="18" customHeight="1">
      <c r="A28" s="279"/>
      <c r="B28" s="223" t="s">
        <v>1891</v>
      </c>
      <c r="C28" s="23"/>
      <c r="D28" s="197">
        <v>8.3000000000000007</v>
      </c>
      <c r="E28" s="198">
        <v>13.2</v>
      </c>
      <c r="F28" s="198">
        <v>27</v>
      </c>
      <c r="G28" s="198">
        <v>44.6</v>
      </c>
      <c r="H28" s="198">
        <v>66</v>
      </c>
      <c r="I28" s="199">
        <v>63.3</v>
      </c>
      <c r="J28" s="389" t="s">
        <v>1090</v>
      </c>
      <c r="L28" s="233">
        <v>1</v>
      </c>
      <c r="N28" s="292" t="str">
        <f t="shared" si="2"/>
        <v>2.5. 기반시설 설치에 관한 사항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SUM((ROUNDDOWN((D50:I50)*단가,0)))</f>
        <v>61733983</v>
      </c>
      <c r="X28" s="154"/>
      <c r="Y28" s="170" t="str">
        <f t="shared" si="1"/>
        <v>제 10 호표</v>
      </c>
      <c r="Z28" s="150"/>
    </row>
    <row r="29" spans="1:26" ht="18" customHeight="1">
      <c r="A29" s="279"/>
      <c r="B29" s="223" t="s">
        <v>1892</v>
      </c>
      <c r="C29" s="23"/>
      <c r="D29" s="197">
        <v>2.5</v>
      </c>
      <c r="E29" s="198">
        <v>4.0999999999999996</v>
      </c>
      <c r="F29" s="198">
        <v>8.1</v>
      </c>
      <c r="G29" s="198">
        <v>13.4</v>
      </c>
      <c r="H29" s="198">
        <v>19.600000000000001</v>
      </c>
      <c r="I29" s="199">
        <v>19</v>
      </c>
      <c r="J29" s="389" t="s">
        <v>1090</v>
      </c>
      <c r="L29" s="233">
        <v>1</v>
      </c>
      <c r="N29" s="292" t="str">
        <f t="shared" si="2"/>
        <v>2.6. 기타 지구의 지정에 관한 사항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SUM((ROUNDDOWN((D51:I51)*단가,0)))</f>
        <v>18538447</v>
      </c>
      <c r="X29" s="154"/>
      <c r="Y29" s="170" t="str">
        <f t="shared" si="1"/>
        <v>제 11 호표</v>
      </c>
      <c r="Z29" s="150"/>
    </row>
    <row r="30" spans="1:26" ht="18" customHeight="1">
      <c r="A30" s="279"/>
      <c r="B30" s="222" t="s">
        <v>509</v>
      </c>
      <c r="C30" s="47"/>
      <c r="D30" s="48">
        <f t="shared" ref="D30:I30" si="4">SUBTOTAL(9,D31:D32)</f>
        <v>7</v>
      </c>
      <c r="E30" s="49">
        <f t="shared" si="4"/>
        <v>11.4</v>
      </c>
      <c r="F30" s="49">
        <f t="shared" si="4"/>
        <v>25.6</v>
      </c>
      <c r="G30" s="49">
        <f t="shared" si="4"/>
        <v>47.400000000000006</v>
      </c>
      <c r="H30" s="49">
        <f t="shared" si="4"/>
        <v>65.900000000000006</v>
      </c>
      <c r="I30" s="50">
        <f t="shared" si="4"/>
        <v>65.800000000000011</v>
      </c>
      <c r="J30" s="389"/>
      <c r="L30" s="233"/>
      <c r="N30" s="354" t="str">
        <f t="shared" si="2"/>
        <v>3. 성과품작성</v>
      </c>
      <c r="O30" s="169"/>
      <c r="P30" s="169"/>
      <c r="Q30" s="169"/>
      <c r="R30" s="169"/>
      <c r="S30" s="169"/>
      <c r="T30" s="169"/>
      <c r="U30" s="226"/>
      <c r="V30" s="248"/>
      <c r="W30" s="193">
        <f ca="1">SUBTOTAL(9,W31:W32)</f>
        <v>61447382</v>
      </c>
      <c r="X30" s="257"/>
      <c r="Y30" s="170" t="str">
        <f t="shared" si="1"/>
        <v/>
      </c>
      <c r="Z30" s="169"/>
    </row>
    <row r="31" spans="1:26" ht="18" customHeight="1">
      <c r="A31" s="279"/>
      <c r="B31" s="223" t="s">
        <v>1893</v>
      </c>
      <c r="C31" s="23"/>
      <c r="D31" s="197">
        <v>4.8</v>
      </c>
      <c r="E31" s="198">
        <v>7.5</v>
      </c>
      <c r="F31" s="198">
        <v>17</v>
      </c>
      <c r="G31" s="198">
        <v>28.3</v>
      </c>
      <c r="H31" s="198">
        <v>28.1</v>
      </c>
      <c r="I31" s="199">
        <v>18.600000000000001</v>
      </c>
      <c r="J31" s="389" t="s">
        <v>1090</v>
      </c>
      <c r="L31" s="233">
        <v>1</v>
      </c>
      <c r="N31" s="292" t="str">
        <f t="shared" si="2"/>
        <v>3.1. 보고서작성 및 편집</v>
      </c>
      <c r="O31" s="37"/>
      <c r="P31" s="37"/>
      <c r="Q31" s="37"/>
      <c r="R31" s="37"/>
      <c r="S31" s="37"/>
      <c r="T31" s="37"/>
      <c r="U31" s="226"/>
      <c r="V31" s="248"/>
      <c r="W31" s="153">
        <f t="array" aca="1" ref="W31" ca="1">SUM((ROUNDDOWN((D53:I53)*단가,0)))</f>
        <v>29948236</v>
      </c>
      <c r="X31" s="113"/>
      <c r="Y31" s="170" t="str">
        <f t="shared" si="1"/>
        <v>제 12 호표</v>
      </c>
      <c r="Z31" s="37"/>
    </row>
    <row r="32" spans="1:26" ht="18" customHeight="1">
      <c r="A32" s="279"/>
      <c r="B32" s="223" t="s">
        <v>1894</v>
      </c>
      <c r="C32" s="43"/>
      <c r="D32" s="206">
        <v>2.2000000000000002</v>
      </c>
      <c r="E32" s="207">
        <v>3.9</v>
      </c>
      <c r="F32" s="207">
        <v>8.6</v>
      </c>
      <c r="G32" s="207">
        <v>19.100000000000001</v>
      </c>
      <c r="H32" s="207">
        <v>37.799999999999997</v>
      </c>
      <c r="I32" s="208">
        <v>47.2</v>
      </c>
      <c r="J32" s="390" t="s">
        <v>1090</v>
      </c>
      <c r="L32" s="233">
        <v>1</v>
      </c>
      <c r="N32" s="292" t="str">
        <f t="shared" si="2"/>
        <v>3.2. 관련도서작성</v>
      </c>
      <c r="O32" s="37"/>
      <c r="P32" s="37"/>
      <c r="Q32" s="37"/>
      <c r="R32" s="37"/>
      <c r="S32" s="37"/>
      <c r="T32" s="37"/>
      <c r="U32" s="353"/>
      <c r="V32" s="248"/>
      <c r="W32" s="153">
        <f t="array" aca="1" ref="W32" ca="1">SUM((ROUNDDOWN((D54:I54)*단가,0)))</f>
        <v>31499146</v>
      </c>
      <c r="X32" s="113"/>
      <c r="Y32" s="170" t="str">
        <f t="shared" si="1"/>
        <v>제 13 호표</v>
      </c>
      <c r="Z32" s="37"/>
    </row>
    <row r="33" spans="1:26" ht="18" customHeight="1">
      <c r="A33" s="279"/>
      <c r="B33" s="222" t="s">
        <v>512</v>
      </c>
      <c r="C33" s="47"/>
      <c r="D33" s="48">
        <f t="shared" ref="D33:I33" si="5">SUBTOTAL(9,D34:D37)</f>
        <v>8</v>
      </c>
      <c r="E33" s="49">
        <f t="shared" si="5"/>
        <v>8</v>
      </c>
      <c r="F33" s="49">
        <f t="shared" si="5"/>
        <v>8</v>
      </c>
      <c r="G33" s="49">
        <f t="shared" si="5"/>
        <v>16</v>
      </c>
      <c r="H33" s="49">
        <f t="shared" si="5"/>
        <v>16</v>
      </c>
      <c r="I33" s="50">
        <f t="shared" si="5"/>
        <v>16</v>
      </c>
      <c r="J33" s="389"/>
      <c r="L33" s="232"/>
      <c r="N33" s="354" t="str">
        <f t="shared" si="2"/>
        <v>4. 기술협의</v>
      </c>
      <c r="O33" s="169"/>
      <c r="P33" s="169"/>
      <c r="Q33" s="169"/>
      <c r="R33" s="169"/>
      <c r="S33" s="169"/>
      <c r="T33" s="169"/>
      <c r="U33" s="226"/>
      <c r="V33" s="248"/>
      <c r="W33" s="193">
        <f ca="1">SUBTOTAL(9,W34:W37)</f>
        <v>21702576</v>
      </c>
      <c r="X33" s="194"/>
      <c r="Y33" s="170"/>
      <c r="Z33" s="170"/>
    </row>
    <row r="34" spans="1:26" ht="18" customHeight="1">
      <c r="A34" s="279"/>
      <c r="B34" s="223" t="s">
        <v>1895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389" t="s">
        <v>1901</v>
      </c>
      <c r="L34" s="233">
        <v>1</v>
      </c>
      <c r="N34" s="292" t="str">
        <f t="shared" si="2"/>
        <v>4.1. 공청회/주민설명회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SUM((ROUNDDOWN((D56:I56)*단가,0)))</f>
        <v>5425644</v>
      </c>
      <c r="X34" s="154"/>
      <c r="Y34" s="170" t="str">
        <f>IF(A56&gt;0, "제 " &amp;A56&amp; " 호표","")</f>
        <v>제 14 호표</v>
      </c>
      <c r="Z34" s="150"/>
    </row>
    <row r="35" spans="1:26" ht="18" customHeight="1">
      <c r="A35" s="279"/>
      <c r="B35" s="223" t="s">
        <v>1896</v>
      </c>
      <c r="C35" s="23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389" t="s">
        <v>1094</v>
      </c>
      <c r="L35" s="233">
        <v>1</v>
      </c>
      <c r="N35" s="292" t="str">
        <f t="shared" si="2"/>
        <v>4.2. 주민간담회/시민계획단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SUM((ROUNDDOWN((D57:I57)*단가,0)))</f>
        <v>5425644</v>
      </c>
      <c r="X35" s="154"/>
      <c r="Y35" s="170" t="str">
        <f>IF(A57&gt;0, "제 " &amp;A57&amp; " 호표","")</f>
        <v>제 15 호표</v>
      </c>
      <c r="Z35" s="150"/>
    </row>
    <row r="36" spans="1:26" ht="18" customHeight="1">
      <c r="A36" s="279"/>
      <c r="B36" s="223" t="s">
        <v>1628</v>
      </c>
      <c r="C36" s="23"/>
      <c r="D36" s="197">
        <v>2</v>
      </c>
      <c r="E36" s="198">
        <v>2</v>
      </c>
      <c r="F36" s="198">
        <v>2</v>
      </c>
      <c r="G36" s="198">
        <v>4</v>
      </c>
      <c r="H36" s="198">
        <v>4</v>
      </c>
      <c r="I36" s="199">
        <v>4</v>
      </c>
      <c r="J36" s="389" t="s">
        <v>1094</v>
      </c>
      <c r="L36" s="233">
        <v>1</v>
      </c>
      <c r="N36" s="292" t="str">
        <f t="shared" si="2"/>
        <v>4.3. 위원회심의 지원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SUM((ROUNDDOWN((D58:I58)*단가,0)))</f>
        <v>5425644</v>
      </c>
      <c r="X36" s="154"/>
      <c r="Y36" s="170" t="str">
        <f>IF(A58&gt;0, "제 " &amp;A58&amp; " 호표","")</f>
        <v>제 16 호표</v>
      </c>
      <c r="Z36" s="150"/>
    </row>
    <row r="37" spans="1:26" ht="18" customHeight="1" thickBot="1">
      <c r="A37" s="279"/>
      <c r="B37" s="223" t="s">
        <v>1897</v>
      </c>
      <c r="C37" s="23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612" t="s">
        <v>1094</v>
      </c>
      <c r="L37" s="233">
        <v>1</v>
      </c>
      <c r="N37" s="292" t="str">
        <f t="shared" si="2"/>
        <v>4.4. 관계기관 협의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SUM((ROUNDDOWN((D59:I59)*단가,0)))</f>
        <v>5425644</v>
      </c>
      <c r="X37" s="154"/>
      <c r="Y37" s="170" t="str">
        <f>IF(A59&gt;0, "제 " &amp;A59&amp; " 호표","")</f>
        <v>제 17 호표</v>
      </c>
      <c r="Z37" s="150"/>
    </row>
    <row r="38" spans="1:26" ht="18" customHeight="1" thickBot="1">
      <c r="A38" s="279"/>
      <c r="B38" s="241" t="s">
        <v>30</v>
      </c>
      <c r="C38" s="243"/>
      <c r="D38" s="241" t="s">
        <v>12</v>
      </c>
      <c r="E38" s="242"/>
      <c r="F38" s="242"/>
      <c r="G38" s="242"/>
      <c r="H38" s="242"/>
      <c r="I38" s="243"/>
      <c r="J38" s="652" t="s">
        <v>31</v>
      </c>
      <c r="N38" s="8"/>
      <c r="P38" s="371"/>
      <c r="R38" s="357"/>
      <c r="S38" s="1"/>
      <c r="T38" s="1"/>
      <c r="U38" s="258"/>
      <c r="V38" s="372"/>
      <c r="W38" s="373"/>
      <c r="X38" s="374"/>
      <c r="Y38" s="375"/>
    </row>
    <row r="39" spans="1:26" ht="18" customHeight="1">
      <c r="A39" s="279"/>
      <c r="B39" s="225" t="s">
        <v>518</v>
      </c>
      <c r="C39" s="72"/>
      <c r="D39" s="402">
        <f t="shared" ref="D39:I39" si="6">SUBTOTAL(9,D40:D44)</f>
        <v>9.1</v>
      </c>
      <c r="E39" s="403">
        <f t="shared" si="6"/>
        <v>14.500000000000002</v>
      </c>
      <c r="F39" s="403">
        <f t="shared" si="6"/>
        <v>45.1</v>
      </c>
      <c r="G39" s="403">
        <f t="shared" si="6"/>
        <v>72.699999999999989</v>
      </c>
      <c r="H39" s="403">
        <f t="shared" si="6"/>
        <v>99.100000000000009</v>
      </c>
      <c r="I39" s="404">
        <f t="shared" si="6"/>
        <v>106.5</v>
      </c>
      <c r="J39" s="73"/>
      <c r="N39" s="290" t="s">
        <v>10</v>
      </c>
      <c r="O39" s="129"/>
      <c r="P39" s="130"/>
      <c r="Q39" s="124"/>
      <c r="R39" s="131"/>
      <c r="S39" s="124"/>
      <c r="T39" s="124"/>
      <c r="U39" s="181"/>
      <c r="V39" s="181"/>
      <c r="W39" s="159">
        <f>SUBTOTAL(9,W40:W42)</f>
        <v>8000000</v>
      </c>
      <c r="X39" s="160"/>
      <c r="Y39" s="124"/>
      <c r="Z39" s="124"/>
    </row>
    <row r="40" spans="1:26" ht="18" customHeight="1">
      <c r="A40" s="278">
        <v>1</v>
      </c>
      <c r="B40" s="223" t="s">
        <v>1882</v>
      </c>
      <c r="C40" s="23"/>
      <c r="D40" s="383">
        <f t="array" ref="D40:I44">ROUNDDOWN(D18:I22*L18:L22*D5,3)</f>
        <v>3.5</v>
      </c>
      <c r="E40" s="198">
        <v>5.7</v>
      </c>
      <c r="F40" s="198">
        <v>23.8</v>
      </c>
      <c r="G40" s="198">
        <v>35.9</v>
      </c>
      <c r="H40" s="198">
        <v>59.6</v>
      </c>
      <c r="I40" s="199">
        <v>64.400000000000006</v>
      </c>
      <c r="J40" s="74"/>
      <c r="N40" s="128" t="str">
        <f>"여비("&amp;TEXT(R40,"#인 ×")&amp;TEXT(S40,"#일 ×")&amp;TEXT(T40,"###,###원)")</f>
        <v>여비(3인 ×10일 ×100,000원)</v>
      </c>
      <c r="O40" s="78"/>
      <c r="P40" s="52"/>
      <c r="Q40" s="51"/>
      <c r="R40" s="146">
        <v>3</v>
      </c>
      <c r="S40" s="146">
        <v>10</v>
      </c>
      <c r="T40" s="147">
        <v>100000</v>
      </c>
      <c r="U40" s="182"/>
      <c r="V40" s="182"/>
      <c r="W40" s="161">
        <f>R40*S40*T40</f>
        <v>3000000</v>
      </c>
      <c r="X40" s="162"/>
      <c r="Y40" s="51"/>
      <c r="Z40" s="51"/>
    </row>
    <row r="41" spans="1:26" ht="18" customHeight="1">
      <c r="A41" s="278">
        <v>2</v>
      </c>
      <c r="B41" s="223" t="s">
        <v>1883</v>
      </c>
      <c r="C41" s="23"/>
      <c r="D41" s="197">
        <v>1.3</v>
      </c>
      <c r="E41" s="198">
        <v>2.1</v>
      </c>
      <c r="F41" s="198">
        <v>2.8</v>
      </c>
      <c r="G41" s="198">
        <v>7.8</v>
      </c>
      <c r="H41" s="198">
        <v>7.8</v>
      </c>
      <c r="I41" s="199">
        <v>10.5</v>
      </c>
      <c r="J41" s="74"/>
      <c r="N41" s="79" t="s">
        <v>46</v>
      </c>
      <c r="O41" s="79"/>
      <c r="P41" s="39"/>
      <c r="Q41" s="37"/>
      <c r="R41" s="117"/>
      <c r="S41" s="37"/>
      <c r="T41" s="37"/>
      <c r="U41" s="180"/>
      <c r="V41" s="180"/>
      <c r="W41" s="157">
        <v>3000000</v>
      </c>
      <c r="X41" s="158"/>
      <c r="Y41" s="37"/>
      <c r="Z41" s="37"/>
    </row>
    <row r="42" spans="1:26" ht="18" customHeight="1">
      <c r="A42" s="278">
        <v>3</v>
      </c>
      <c r="B42" s="223" t="s">
        <v>1884</v>
      </c>
      <c r="C42" s="23"/>
      <c r="D42" s="197">
        <v>1.5</v>
      </c>
      <c r="E42" s="198">
        <v>2.2999999999999998</v>
      </c>
      <c r="F42" s="198">
        <v>5.2</v>
      </c>
      <c r="G42" s="198">
        <v>10.5</v>
      </c>
      <c r="H42" s="198">
        <v>10.199999999999999</v>
      </c>
      <c r="I42" s="199">
        <v>10.5</v>
      </c>
      <c r="J42" s="74"/>
      <c r="N42" s="132" t="s">
        <v>13</v>
      </c>
      <c r="O42" s="132"/>
      <c r="P42" s="38"/>
      <c r="Q42" s="38"/>
      <c r="R42" s="116"/>
      <c r="S42" s="38"/>
      <c r="T42" s="38"/>
      <c r="U42" s="183"/>
      <c r="V42" s="183"/>
      <c r="W42" s="155">
        <v>2000000</v>
      </c>
      <c r="X42" s="156"/>
      <c r="Y42" s="38"/>
      <c r="Z42" s="38"/>
    </row>
    <row r="43" spans="1:26" ht="18" customHeight="1">
      <c r="A43" s="278">
        <v>4</v>
      </c>
      <c r="B43" s="223" t="s">
        <v>1885</v>
      </c>
      <c r="C43" s="23"/>
      <c r="D43" s="197">
        <v>1.5</v>
      </c>
      <c r="E43" s="198">
        <v>2.2999999999999998</v>
      </c>
      <c r="F43" s="198">
        <v>7.8</v>
      </c>
      <c r="G43" s="198">
        <v>10.7</v>
      </c>
      <c r="H43" s="198">
        <v>13.1</v>
      </c>
      <c r="I43" s="199">
        <v>13.3</v>
      </c>
      <c r="J43" s="389"/>
      <c r="N43" s="127" t="s">
        <v>47</v>
      </c>
      <c r="O43" s="123"/>
      <c r="P43" s="123"/>
      <c r="Q43" s="123"/>
      <c r="R43" s="123"/>
      <c r="S43" s="123"/>
      <c r="T43" s="123"/>
      <c r="U43" s="184"/>
      <c r="V43" s="184"/>
      <c r="W43" s="163">
        <f ca="1">SUBTOTAL(9,W44:W45)</f>
        <v>600585439</v>
      </c>
      <c r="X43" s="164"/>
      <c r="Y43" s="123"/>
      <c r="Z43" s="123"/>
    </row>
    <row r="44" spans="1:26" ht="18" customHeight="1">
      <c r="A44" s="278">
        <v>5</v>
      </c>
      <c r="B44" s="223" t="s">
        <v>1886</v>
      </c>
      <c r="C44" s="23"/>
      <c r="D44" s="197">
        <v>1.3</v>
      </c>
      <c r="E44" s="198">
        <v>2.1</v>
      </c>
      <c r="F44" s="198">
        <v>5.5</v>
      </c>
      <c r="G44" s="198">
        <v>7.8</v>
      </c>
      <c r="H44" s="198">
        <v>8.4</v>
      </c>
      <c r="I44" s="199">
        <v>7.8</v>
      </c>
      <c r="J44" s="389"/>
      <c r="N44" s="133" t="s">
        <v>861</v>
      </c>
      <c r="O44" s="124"/>
      <c r="P44" s="134"/>
      <c r="Q44" s="124"/>
      <c r="R44" s="131"/>
      <c r="S44" s="124"/>
      <c r="T44" s="181"/>
      <c r="U44" s="181"/>
      <c r="V44" s="190">
        <v>1.1499999999999999</v>
      </c>
      <c r="W44" s="159">
        <f ca="1">ROUNDDOWN(W16*V44,0)</f>
        <v>384776187</v>
      </c>
      <c r="X44" s="160"/>
      <c r="Y44" s="124"/>
      <c r="Z44" s="124"/>
    </row>
    <row r="45" spans="1:26" ht="18" customHeight="1" thickBot="1">
      <c r="A45" s="278"/>
      <c r="B45" s="222" t="s">
        <v>222</v>
      </c>
      <c r="C45" s="47"/>
      <c r="D45" s="48">
        <f t="shared" ref="D45:I45" si="7">SUBTOTAL(9,D46:D51)</f>
        <v>21.4</v>
      </c>
      <c r="E45" s="49">
        <f t="shared" si="7"/>
        <v>34.5</v>
      </c>
      <c r="F45" s="49">
        <f t="shared" si="7"/>
        <v>68.8</v>
      </c>
      <c r="G45" s="49">
        <f t="shared" si="7"/>
        <v>114.10000000000001</v>
      </c>
      <c r="H45" s="49">
        <f t="shared" si="7"/>
        <v>168.79999999999998</v>
      </c>
      <c r="I45" s="50">
        <f t="shared" si="7"/>
        <v>154.5</v>
      </c>
      <c r="J45" s="74"/>
      <c r="N45" s="135" t="s">
        <v>862</v>
      </c>
      <c r="O45" s="136"/>
      <c r="P45" s="137"/>
      <c r="Q45" s="136"/>
      <c r="R45" s="138"/>
      <c r="S45" s="136"/>
      <c r="T45" s="185"/>
      <c r="U45" s="185"/>
      <c r="V45" s="191">
        <v>0.3</v>
      </c>
      <c r="W45" s="165">
        <f ca="1">ROUNDDOWN((W16+W44)*V45,0)</f>
        <v>215809252</v>
      </c>
      <c r="X45" s="166"/>
      <c r="Y45" s="136"/>
      <c r="Z45" s="136"/>
    </row>
    <row r="46" spans="1:26" ht="18" customHeight="1">
      <c r="A46" s="278">
        <v>6</v>
      </c>
      <c r="B46" s="223" t="s">
        <v>1887</v>
      </c>
      <c r="C46" s="23"/>
      <c r="D46" s="197">
        <f t="array" ref="D46:I51">ROUNDDOWN(D24:I29*L24:L29*D5,3)</f>
        <v>3</v>
      </c>
      <c r="E46" s="198">
        <v>4.8</v>
      </c>
      <c r="F46" s="198">
        <v>9.6</v>
      </c>
      <c r="G46" s="198">
        <v>15.8</v>
      </c>
      <c r="H46" s="198">
        <v>23.8</v>
      </c>
      <c r="I46" s="199">
        <v>15.2</v>
      </c>
      <c r="J46" s="74"/>
    </row>
    <row r="47" spans="1:26" ht="18" customHeight="1">
      <c r="A47" s="278">
        <v>7</v>
      </c>
      <c r="B47" s="223" t="s">
        <v>1888</v>
      </c>
      <c r="C47" s="23"/>
      <c r="D47" s="197">
        <v>2.1</v>
      </c>
      <c r="E47" s="198">
        <v>3.5</v>
      </c>
      <c r="F47" s="198">
        <v>6.4</v>
      </c>
      <c r="G47" s="198">
        <v>10.9</v>
      </c>
      <c r="H47" s="198">
        <v>16</v>
      </c>
      <c r="I47" s="199">
        <v>15.2</v>
      </c>
      <c r="J47" s="74"/>
      <c r="K47" s="171" t="s">
        <v>14</v>
      </c>
    </row>
    <row r="48" spans="1:26" ht="18" customHeight="1">
      <c r="A48" s="278">
        <v>8</v>
      </c>
      <c r="B48" s="223" t="s">
        <v>1889</v>
      </c>
      <c r="C48" s="23"/>
      <c r="D48" s="197">
        <v>3</v>
      </c>
      <c r="E48" s="198">
        <v>4.8</v>
      </c>
      <c r="F48" s="198">
        <v>9.6</v>
      </c>
      <c r="G48" s="198">
        <v>16</v>
      </c>
      <c r="H48" s="198">
        <v>23.8</v>
      </c>
      <c r="I48" s="199">
        <v>22.8</v>
      </c>
      <c r="J48" s="74"/>
      <c r="K48" s="171" t="s">
        <v>14</v>
      </c>
    </row>
    <row r="49" spans="1:26" ht="18" customHeight="1">
      <c r="A49" s="278">
        <v>9</v>
      </c>
      <c r="B49" s="223" t="s">
        <v>1890</v>
      </c>
      <c r="C49" s="23"/>
      <c r="D49" s="197">
        <v>2.5</v>
      </c>
      <c r="E49" s="198">
        <v>4.0999999999999996</v>
      </c>
      <c r="F49" s="198">
        <v>8.1</v>
      </c>
      <c r="G49" s="198">
        <v>13.4</v>
      </c>
      <c r="H49" s="198">
        <v>19.600000000000001</v>
      </c>
      <c r="I49" s="199">
        <v>19</v>
      </c>
      <c r="J49" s="389"/>
      <c r="K49" s="171" t="s">
        <v>14</v>
      </c>
    </row>
    <row r="50" spans="1:26" ht="18" customHeight="1">
      <c r="A50" s="278">
        <v>10</v>
      </c>
      <c r="B50" s="223" t="s">
        <v>1891</v>
      </c>
      <c r="C50" s="23"/>
      <c r="D50" s="197">
        <v>8.3000000000000007</v>
      </c>
      <c r="E50" s="198">
        <v>13.2</v>
      </c>
      <c r="F50" s="198">
        <v>27</v>
      </c>
      <c r="G50" s="198">
        <v>44.6</v>
      </c>
      <c r="H50" s="198">
        <v>66</v>
      </c>
      <c r="I50" s="199">
        <v>63.3</v>
      </c>
      <c r="J50" s="389"/>
      <c r="K50" s="171" t="s">
        <v>14</v>
      </c>
      <c r="L50" s="171"/>
    </row>
    <row r="51" spans="1:26" ht="18" customHeight="1">
      <c r="A51" s="278">
        <v>11</v>
      </c>
      <c r="B51" s="223" t="s">
        <v>1892</v>
      </c>
      <c r="C51" s="23"/>
      <c r="D51" s="197">
        <v>2.5</v>
      </c>
      <c r="E51" s="198">
        <v>4.0999999999999996</v>
      </c>
      <c r="F51" s="198">
        <v>8.1</v>
      </c>
      <c r="G51" s="198">
        <v>13.4</v>
      </c>
      <c r="H51" s="198">
        <v>19.600000000000001</v>
      </c>
      <c r="I51" s="199">
        <v>19</v>
      </c>
      <c r="J51" s="389"/>
      <c r="K51" s="171"/>
      <c r="L51" s="171"/>
      <c r="R51" s="1"/>
      <c r="S51" s="1"/>
      <c r="T51" s="1"/>
      <c r="U51" s="1"/>
      <c r="V51" s="1"/>
      <c r="W51" s="1"/>
      <c r="X51" s="1"/>
      <c r="Y51" s="1"/>
    </row>
    <row r="52" spans="1:26" ht="18" customHeight="1">
      <c r="A52" s="278"/>
      <c r="B52" s="222" t="s">
        <v>265</v>
      </c>
      <c r="C52" s="47"/>
      <c r="D52" s="48">
        <f t="shared" ref="D52:I52" si="8">SUBTOTAL(9,D53:D54)</f>
        <v>7</v>
      </c>
      <c r="E52" s="49">
        <f t="shared" si="8"/>
        <v>11.4</v>
      </c>
      <c r="F52" s="49">
        <f t="shared" si="8"/>
        <v>25.6</v>
      </c>
      <c r="G52" s="49">
        <f t="shared" si="8"/>
        <v>47.400000000000006</v>
      </c>
      <c r="H52" s="49">
        <f t="shared" si="8"/>
        <v>65.900000000000006</v>
      </c>
      <c r="I52" s="50">
        <f t="shared" si="8"/>
        <v>65.800000000000011</v>
      </c>
      <c r="J52" s="74"/>
      <c r="K52" s="171" t="s">
        <v>14</v>
      </c>
      <c r="L52" s="171"/>
      <c r="R52" s="1"/>
      <c r="S52" s="1"/>
      <c r="T52" s="1"/>
      <c r="U52" s="1"/>
      <c r="V52" s="1"/>
      <c r="W52" s="1"/>
      <c r="X52" s="1"/>
      <c r="Y52" s="1"/>
    </row>
    <row r="53" spans="1:26" ht="18" customHeight="1">
      <c r="A53" s="278">
        <v>12</v>
      </c>
      <c r="B53" s="223" t="s">
        <v>1893</v>
      </c>
      <c r="C53" s="23"/>
      <c r="D53" s="197">
        <f t="array" ref="D53:I54">ROUNDDOWN(D31:I32*L31:L32*D5,3)</f>
        <v>4.8</v>
      </c>
      <c r="E53" s="198">
        <v>7.5</v>
      </c>
      <c r="F53" s="198">
        <v>17</v>
      </c>
      <c r="G53" s="198">
        <v>28.3</v>
      </c>
      <c r="H53" s="198">
        <v>28.1</v>
      </c>
      <c r="I53" s="199">
        <v>18.600000000000001</v>
      </c>
      <c r="J53" s="74"/>
      <c r="K53" s="171" t="s">
        <v>14</v>
      </c>
      <c r="L53" s="171"/>
      <c r="R53" s="1"/>
      <c r="S53" s="1"/>
      <c r="T53" s="1"/>
      <c r="U53" s="1"/>
      <c r="V53" s="1"/>
      <c r="W53" s="1"/>
      <c r="X53" s="1"/>
      <c r="Y53" s="1"/>
    </row>
    <row r="54" spans="1:26" ht="18" customHeight="1" thickBot="1">
      <c r="A54" s="278">
        <v>13</v>
      </c>
      <c r="B54" s="223" t="s">
        <v>1894</v>
      </c>
      <c r="C54" s="43"/>
      <c r="D54" s="206">
        <v>2.2000000000000002</v>
      </c>
      <c r="E54" s="207">
        <v>3.9</v>
      </c>
      <c r="F54" s="207">
        <v>8.6</v>
      </c>
      <c r="G54" s="207">
        <v>19.100000000000001</v>
      </c>
      <c r="H54" s="207">
        <v>37.799999999999997</v>
      </c>
      <c r="I54" s="208">
        <v>47.2</v>
      </c>
      <c r="J54" s="239"/>
      <c r="K54" s="171" t="s">
        <v>14</v>
      </c>
      <c r="L54" s="171"/>
      <c r="N54" s="66" t="s">
        <v>18</v>
      </c>
      <c r="O54" s="2"/>
      <c r="P54" s="2"/>
      <c r="Q54" s="2"/>
      <c r="R54" s="3"/>
      <c r="S54" s="4"/>
      <c r="T54" s="3"/>
      <c r="U54" s="4"/>
      <c r="V54" s="3"/>
      <c r="W54" s="4"/>
      <c r="X54" s="3"/>
      <c r="Y54" s="4"/>
      <c r="Z54" s="2"/>
    </row>
    <row r="55" spans="1:26" ht="18" customHeight="1">
      <c r="A55" s="278"/>
      <c r="B55" s="222" t="s">
        <v>269</v>
      </c>
      <c r="C55" s="72"/>
      <c r="D55" s="402">
        <f t="shared" ref="D55:I55" si="9">SUBTOTAL(9,D56:D59)</f>
        <v>8</v>
      </c>
      <c r="E55" s="403">
        <f t="shared" si="9"/>
        <v>8</v>
      </c>
      <c r="F55" s="403">
        <f t="shared" si="9"/>
        <v>8</v>
      </c>
      <c r="G55" s="403">
        <f t="shared" si="9"/>
        <v>16</v>
      </c>
      <c r="H55" s="403">
        <f t="shared" si="9"/>
        <v>16</v>
      </c>
      <c r="I55" s="404">
        <f t="shared" si="9"/>
        <v>16</v>
      </c>
      <c r="J55" s="73"/>
      <c r="K55" s="171" t="s">
        <v>14</v>
      </c>
      <c r="L55" s="171"/>
      <c r="N55" s="765" t="s">
        <v>19</v>
      </c>
      <c r="O55" s="755" t="s">
        <v>20</v>
      </c>
      <c r="P55" s="755" t="s">
        <v>21</v>
      </c>
      <c r="Q55" s="755" t="s">
        <v>16</v>
      </c>
      <c r="R55" s="5" t="s">
        <v>22</v>
      </c>
      <c r="S55" s="5"/>
      <c r="T55" s="5" t="s">
        <v>23</v>
      </c>
      <c r="U55" s="5"/>
      <c r="V55" s="5" t="s">
        <v>24</v>
      </c>
      <c r="W55" s="5"/>
      <c r="X55" s="5" t="s">
        <v>25</v>
      </c>
      <c r="Y55" s="5"/>
      <c r="Z55" s="755" t="s">
        <v>26</v>
      </c>
    </row>
    <row r="56" spans="1:26" ht="18" customHeight="1" thickBot="1">
      <c r="A56" s="278">
        <v>14</v>
      </c>
      <c r="B56" s="223" t="s">
        <v>1895</v>
      </c>
      <c r="C56" s="23"/>
      <c r="D56" s="197">
        <f t="array" ref="D56:I59">ROUNDDOWN(D34:I37*L34:L37*I5,3)</f>
        <v>2</v>
      </c>
      <c r="E56" s="198">
        <v>2</v>
      </c>
      <c r="F56" s="198">
        <v>2</v>
      </c>
      <c r="G56" s="198">
        <v>4</v>
      </c>
      <c r="H56" s="198">
        <v>4</v>
      </c>
      <c r="I56" s="199">
        <v>4</v>
      </c>
      <c r="J56" s="74"/>
      <c r="K56" s="171" t="s">
        <v>14</v>
      </c>
      <c r="L56" s="171"/>
      <c r="N56" s="766"/>
      <c r="O56" s="756"/>
      <c r="P56" s="756"/>
      <c r="Q56" s="756"/>
      <c r="R56" s="67" t="s">
        <v>27</v>
      </c>
      <c r="S56" s="67" t="s">
        <v>28</v>
      </c>
      <c r="T56" s="67" t="s">
        <v>27</v>
      </c>
      <c r="U56" s="67" t="s">
        <v>28</v>
      </c>
      <c r="V56" s="67" t="s">
        <v>27</v>
      </c>
      <c r="W56" s="67" t="s">
        <v>28</v>
      </c>
      <c r="X56" s="67" t="s">
        <v>27</v>
      </c>
      <c r="Y56" s="67" t="s">
        <v>28</v>
      </c>
      <c r="Z56" s="756"/>
    </row>
    <row r="57" spans="1:26" ht="18" customHeight="1" thickTop="1">
      <c r="A57" s="278">
        <v>15</v>
      </c>
      <c r="B57" s="223" t="s">
        <v>1896</v>
      </c>
      <c r="C57" s="23"/>
      <c r="D57" s="197">
        <v>2</v>
      </c>
      <c r="E57" s="198">
        <v>2</v>
      </c>
      <c r="F57" s="198">
        <v>2</v>
      </c>
      <c r="G57" s="198">
        <v>4</v>
      </c>
      <c r="H57" s="198">
        <v>4</v>
      </c>
      <c r="I57" s="199">
        <v>4</v>
      </c>
      <c r="J57" s="74"/>
      <c r="K57" s="171" t="s">
        <v>14</v>
      </c>
      <c r="L57" s="171"/>
      <c r="N57" s="318" t="str">
        <f ca="1">"제 " &amp; Z57 &amp; " 호표  "&amp; OFFSET($A$1,MATCH(Z57,$A:$A,0)-1,1)</f>
        <v>제 1 호표  1.1. 도시현황조사</v>
      </c>
      <c r="O57" s="221"/>
      <c r="P57" s="148"/>
      <c r="Q57" s="148"/>
      <c r="R57" s="149"/>
      <c r="S57" s="149"/>
      <c r="T57" s="149"/>
      <c r="U57" s="149"/>
      <c r="V57" s="149"/>
      <c r="W57" s="149"/>
      <c r="X57" s="149"/>
      <c r="Y57" s="149"/>
      <c r="Z57" s="325">
        <v>1</v>
      </c>
    </row>
    <row r="58" spans="1:26" ht="18" customHeight="1">
      <c r="A58" s="278">
        <v>16</v>
      </c>
      <c r="B58" s="223" t="s">
        <v>1628</v>
      </c>
      <c r="C58" s="23"/>
      <c r="D58" s="197">
        <v>2</v>
      </c>
      <c r="E58" s="198">
        <v>2</v>
      </c>
      <c r="F58" s="198">
        <v>2</v>
      </c>
      <c r="G58" s="198">
        <v>4</v>
      </c>
      <c r="H58" s="198">
        <v>4</v>
      </c>
      <c r="I58" s="199">
        <v>4</v>
      </c>
      <c r="J58" s="74"/>
      <c r="K58" s="171" t="s">
        <v>14</v>
      </c>
      <c r="L58" s="171"/>
      <c r="N58" s="140" t="s">
        <v>43</v>
      </c>
      <c r="O58" s="172">
        <v>3</v>
      </c>
      <c r="P58" s="219">
        <f ca="1">OFFSET($A$1,MATCH(Z57,$A:$A,0)-1,O58)</f>
        <v>3.5</v>
      </c>
      <c r="Q58" s="141" t="s">
        <v>29</v>
      </c>
      <c r="R58" s="142">
        <f t="shared" ref="R58:S63" ca="1" si="10">T58</f>
        <v>467217</v>
      </c>
      <c r="S58" s="142">
        <f t="shared" ca="1" si="10"/>
        <v>1635259</v>
      </c>
      <c r="T58" s="142">
        <f ca="1">기술사</f>
        <v>467217</v>
      </c>
      <c r="U58" s="142">
        <f t="shared" ref="U58:U63" ca="1" si="11">ROUNDDOWN(P58*R58,0)</f>
        <v>1635259</v>
      </c>
      <c r="V58" s="142"/>
      <c r="W58" s="142"/>
      <c r="X58" s="142"/>
      <c r="Y58" s="142"/>
      <c r="Z58" s="114"/>
    </row>
    <row r="59" spans="1:26" ht="18" customHeight="1" thickBot="1">
      <c r="A59" s="278">
        <v>17</v>
      </c>
      <c r="B59" s="388" t="s">
        <v>1897</v>
      </c>
      <c r="C59" s="342"/>
      <c r="D59" s="343">
        <v>2</v>
      </c>
      <c r="E59" s="344">
        <v>2</v>
      </c>
      <c r="F59" s="344">
        <v>2</v>
      </c>
      <c r="G59" s="344">
        <v>4</v>
      </c>
      <c r="H59" s="344">
        <v>4</v>
      </c>
      <c r="I59" s="345">
        <v>4</v>
      </c>
      <c r="J59" s="176"/>
      <c r="K59" s="171" t="s">
        <v>14</v>
      </c>
      <c r="L59" s="171"/>
      <c r="N59" s="143" t="s">
        <v>32</v>
      </c>
      <c r="O59" s="173">
        <v>4</v>
      </c>
      <c r="P59" s="234">
        <f ca="1">OFFSET($A$1,MATCH(Z57,$A:$A,0)-1,O59)</f>
        <v>5.7</v>
      </c>
      <c r="Q59" s="144" t="s">
        <v>29</v>
      </c>
      <c r="R59" s="118">
        <f t="shared" ca="1" si="10"/>
        <v>373353</v>
      </c>
      <c r="S59" s="118">
        <f t="shared" ca="1" si="10"/>
        <v>2128112</v>
      </c>
      <c r="T59" s="118">
        <f ca="1">특급</f>
        <v>373353</v>
      </c>
      <c r="U59" s="118">
        <f t="shared" ca="1" si="11"/>
        <v>2128112</v>
      </c>
      <c r="V59" s="118"/>
      <c r="W59" s="118"/>
      <c r="X59" s="118"/>
      <c r="Y59" s="118"/>
      <c r="Z59" s="115"/>
    </row>
    <row r="60" spans="1:26" ht="18" customHeight="1">
      <c r="A60" s="278"/>
      <c r="B60" s="80" t="s">
        <v>15</v>
      </c>
      <c r="C60" s="1" t="s">
        <v>1898</v>
      </c>
      <c r="E60" s="8"/>
      <c r="F60" s="8"/>
      <c r="G60" s="8"/>
      <c r="H60" s="8"/>
      <c r="I60" s="8"/>
      <c r="J60" s="10"/>
      <c r="K60" s="171" t="s">
        <v>14</v>
      </c>
      <c r="L60" s="171"/>
      <c r="N60" s="145" t="s">
        <v>39</v>
      </c>
      <c r="O60" s="173">
        <v>5</v>
      </c>
      <c r="P60" s="234">
        <f ca="1">OFFSET($A$1,MATCH(Z57,$A:$A,0)-1,O60)</f>
        <v>23.8</v>
      </c>
      <c r="Q60" s="144" t="s">
        <v>29</v>
      </c>
      <c r="R60" s="118">
        <f t="shared" ca="1" si="10"/>
        <v>310884</v>
      </c>
      <c r="S60" s="118">
        <f t="shared" ca="1" si="10"/>
        <v>7399039</v>
      </c>
      <c r="T60" s="118">
        <f ca="1">고급</f>
        <v>310884</v>
      </c>
      <c r="U60" s="118">
        <f t="shared" ca="1" si="11"/>
        <v>7399039</v>
      </c>
      <c r="V60" s="118"/>
      <c r="W60" s="118"/>
      <c r="X60" s="118"/>
      <c r="Y60" s="118"/>
      <c r="Z60" s="115"/>
    </row>
    <row r="61" spans="1:26" ht="18" customHeight="1">
      <c r="A61" s="278"/>
      <c r="B61" s="80"/>
      <c r="C61" s="9" t="s">
        <v>1899</v>
      </c>
      <c r="J61" s="8"/>
      <c r="K61" s="171" t="s">
        <v>14</v>
      </c>
      <c r="L61" s="171"/>
      <c r="N61" s="145" t="s">
        <v>40</v>
      </c>
      <c r="O61" s="173">
        <v>6</v>
      </c>
      <c r="P61" s="234">
        <f ca="1">OFFSET($A$1,MATCH(Z57,$A:$A,0)-1,O61)</f>
        <v>35.9</v>
      </c>
      <c r="Q61" s="144" t="s">
        <v>29</v>
      </c>
      <c r="R61" s="118">
        <f t="shared" ca="1" si="10"/>
        <v>295138</v>
      </c>
      <c r="S61" s="118">
        <f t="shared" ca="1" si="10"/>
        <v>10595454</v>
      </c>
      <c r="T61" s="118">
        <f ca="1">중급</f>
        <v>295138</v>
      </c>
      <c r="U61" s="118">
        <f t="shared" ca="1" si="11"/>
        <v>10595454</v>
      </c>
      <c r="V61" s="118"/>
      <c r="W61" s="118"/>
      <c r="X61" s="118"/>
      <c r="Y61" s="118"/>
      <c r="Z61" s="115"/>
    </row>
    <row r="62" spans="1:26" ht="18" customHeight="1">
      <c r="A62" s="278"/>
      <c r="J62" s="8"/>
      <c r="K62" s="171" t="s">
        <v>14</v>
      </c>
      <c r="L62" s="171"/>
      <c r="N62" s="145" t="s">
        <v>41</v>
      </c>
      <c r="O62" s="173">
        <v>7</v>
      </c>
      <c r="P62" s="234">
        <f ca="1">OFFSET($A$1,MATCH(Z57,$A:$A,0)-1,O62)</f>
        <v>59.6</v>
      </c>
      <c r="Q62" s="144" t="s">
        <v>29</v>
      </c>
      <c r="R62" s="118">
        <f t="shared" ca="1" si="10"/>
        <v>235459</v>
      </c>
      <c r="S62" s="118">
        <f t="shared" ca="1" si="10"/>
        <v>14033356</v>
      </c>
      <c r="T62" s="118">
        <f ca="1">초급</f>
        <v>235459</v>
      </c>
      <c r="U62" s="118">
        <f t="shared" ca="1" si="11"/>
        <v>14033356</v>
      </c>
      <c r="V62" s="118"/>
      <c r="W62" s="118"/>
      <c r="X62" s="118"/>
      <c r="Y62" s="118"/>
      <c r="Z62" s="115"/>
    </row>
    <row r="63" spans="1:26" ht="18" customHeight="1">
      <c r="A63" s="278"/>
      <c r="J63" s="8"/>
      <c r="K63" s="171" t="s">
        <v>14</v>
      </c>
      <c r="L63" s="171"/>
      <c r="N63" s="319" t="s">
        <v>42</v>
      </c>
      <c r="O63" s="174">
        <v>8</v>
      </c>
      <c r="P63" s="235">
        <f ca="1">OFFSET($A$1,MATCH(Z57,$A:$A,0)-1,O63)</f>
        <v>64.400000000000006</v>
      </c>
      <c r="Q63" s="322" t="s">
        <v>29</v>
      </c>
      <c r="R63" s="323">
        <f t="shared" ca="1" si="10"/>
        <v>250087</v>
      </c>
      <c r="S63" s="323">
        <f t="shared" ca="1" si="10"/>
        <v>16105602</v>
      </c>
      <c r="T63" s="323">
        <f ca="1">보조원</f>
        <v>250087</v>
      </c>
      <c r="U63" s="323">
        <f t="shared" ca="1" si="11"/>
        <v>16105602</v>
      </c>
      <c r="V63" s="323"/>
      <c r="W63" s="323"/>
      <c r="X63" s="323"/>
      <c r="Y63" s="323"/>
      <c r="Z63" s="324"/>
    </row>
    <row r="64" spans="1:26" ht="18" customHeight="1">
      <c r="A64" s="278"/>
      <c r="C64" s="9"/>
      <c r="K64" s="171" t="s">
        <v>14</v>
      </c>
      <c r="L64" s="171"/>
      <c r="N64" s="139" t="s">
        <v>17</v>
      </c>
      <c r="O64" s="68"/>
      <c r="P64" s="69"/>
      <c r="Q64" s="70"/>
      <c r="R64" s="71"/>
      <c r="S64" s="71">
        <f ca="1">SUBTOTAL(9,S58:S63)</f>
        <v>51896822</v>
      </c>
      <c r="T64" s="71"/>
      <c r="U64" s="71">
        <f ca="1">SUBTOTAL(9,U58:U63)</f>
        <v>51896822</v>
      </c>
      <c r="V64" s="71"/>
      <c r="W64" s="71"/>
      <c r="X64" s="71"/>
      <c r="Y64" s="71"/>
      <c r="Z64" s="68"/>
    </row>
    <row r="65" spans="1:26" ht="18" customHeight="1">
      <c r="A65" s="278"/>
      <c r="C65" s="9"/>
      <c r="K65" s="171" t="s">
        <v>14</v>
      </c>
      <c r="L65" s="171"/>
      <c r="N65" s="318" t="str">
        <f ca="1">"제 " &amp; Z65 &amp; " 호표  "&amp; OFFSET($A$1,MATCH(Z65,$A:$A,0)-1,1)</f>
        <v>제 2 호표  1.2. 관련계획조사</v>
      </c>
      <c r="O65" s="221"/>
      <c r="P65" s="148"/>
      <c r="Q65" s="148"/>
      <c r="R65" s="149"/>
      <c r="S65" s="149"/>
      <c r="T65" s="149"/>
      <c r="U65" s="149"/>
      <c r="V65" s="149"/>
      <c r="W65" s="149"/>
      <c r="X65" s="149"/>
      <c r="Y65" s="149"/>
      <c r="Z65" s="325">
        <f>Z57+1</f>
        <v>2</v>
      </c>
    </row>
    <row r="66" spans="1:26" ht="18" customHeight="1">
      <c r="A66" s="278"/>
      <c r="C66" s="9"/>
      <c r="K66" s="171" t="s">
        <v>14</v>
      </c>
      <c r="L66" s="171"/>
      <c r="N66" s="140" t="s">
        <v>43</v>
      </c>
      <c r="O66" s="172">
        <v>3</v>
      </c>
      <c r="P66" s="219">
        <f ca="1">OFFSET($A$1,MATCH(Z65,$A:$A,0)-1,O66)</f>
        <v>1.3</v>
      </c>
      <c r="Q66" s="141" t="s">
        <v>29</v>
      </c>
      <c r="R66" s="142">
        <f t="shared" ref="R66:S71" ca="1" si="12">T66</f>
        <v>467217</v>
      </c>
      <c r="S66" s="142">
        <f t="shared" ca="1" si="12"/>
        <v>607382</v>
      </c>
      <c r="T66" s="142">
        <f ca="1">기술사</f>
        <v>467217</v>
      </c>
      <c r="U66" s="142">
        <f t="shared" ref="U66:U71" ca="1" si="13">ROUNDDOWN(P66*R66,0)</f>
        <v>607382</v>
      </c>
      <c r="V66" s="142"/>
      <c r="W66" s="142"/>
      <c r="X66" s="142"/>
      <c r="Y66" s="142"/>
      <c r="Z66" s="114"/>
    </row>
    <row r="67" spans="1:26" ht="18" customHeight="1">
      <c r="A67" s="278"/>
      <c r="C67" s="9"/>
      <c r="K67" s="171" t="s">
        <v>14</v>
      </c>
      <c r="L67" s="171"/>
      <c r="N67" s="143" t="s">
        <v>32</v>
      </c>
      <c r="O67" s="173">
        <v>4</v>
      </c>
      <c r="P67" s="234">
        <f ca="1">OFFSET($A$1,MATCH(Z65,$A:$A,0)-1,O67)</f>
        <v>2.1</v>
      </c>
      <c r="Q67" s="144" t="s">
        <v>29</v>
      </c>
      <c r="R67" s="118">
        <f t="shared" ca="1" si="12"/>
        <v>373353</v>
      </c>
      <c r="S67" s="118">
        <f t="shared" ca="1" si="12"/>
        <v>784041</v>
      </c>
      <c r="T67" s="118">
        <f ca="1">특급</f>
        <v>373353</v>
      </c>
      <c r="U67" s="118">
        <f t="shared" ca="1" si="13"/>
        <v>784041</v>
      </c>
      <c r="V67" s="118"/>
      <c r="W67" s="118"/>
      <c r="X67" s="118"/>
      <c r="Y67" s="118"/>
      <c r="Z67" s="115"/>
    </row>
    <row r="68" spans="1:26" ht="18" customHeight="1">
      <c r="A68" s="278"/>
      <c r="K68" s="171" t="s">
        <v>14</v>
      </c>
      <c r="L68" s="171"/>
      <c r="N68" s="145" t="s">
        <v>39</v>
      </c>
      <c r="O68" s="173">
        <v>5</v>
      </c>
      <c r="P68" s="234">
        <f ca="1">OFFSET($A$1,MATCH(Z65,$A:$A,0)-1,O68)</f>
        <v>2.8</v>
      </c>
      <c r="Q68" s="144" t="s">
        <v>29</v>
      </c>
      <c r="R68" s="118">
        <f t="shared" ca="1" si="12"/>
        <v>310884</v>
      </c>
      <c r="S68" s="118">
        <f t="shared" ca="1" si="12"/>
        <v>870475</v>
      </c>
      <c r="T68" s="118">
        <f ca="1">고급</f>
        <v>310884</v>
      </c>
      <c r="U68" s="118">
        <f t="shared" ca="1" si="13"/>
        <v>870475</v>
      </c>
      <c r="V68" s="118"/>
      <c r="W68" s="118"/>
      <c r="X68" s="118"/>
      <c r="Y68" s="118"/>
      <c r="Z68" s="115"/>
    </row>
    <row r="69" spans="1:26" ht="18" customHeight="1">
      <c r="A69" s="278"/>
      <c r="B69" s="9"/>
      <c r="C69" s="9"/>
      <c r="K69" s="171" t="s">
        <v>14</v>
      </c>
      <c r="L69" s="171"/>
      <c r="N69" s="145" t="s">
        <v>40</v>
      </c>
      <c r="O69" s="173">
        <v>6</v>
      </c>
      <c r="P69" s="234">
        <f ca="1">OFFSET($A$1,MATCH(Z65,$A:$A,0)-1,O69)</f>
        <v>7.8</v>
      </c>
      <c r="Q69" s="144" t="s">
        <v>29</v>
      </c>
      <c r="R69" s="118">
        <f t="shared" ca="1" si="12"/>
        <v>295138</v>
      </c>
      <c r="S69" s="118">
        <f t="shared" ca="1" si="12"/>
        <v>2302076</v>
      </c>
      <c r="T69" s="118">
        <f ca="1">중급</f>
        <v>295138</v>
      </c>
      <c r="U69" s="118">
        <f t="shared" ca="1" si="13"/>
        <v>2302076</v>
      </c>
      <c r="V69" s="118"/>
      <c r="W69" s="118"/>
      <c r="X69" s="118"/>
      <c r="Y69" s="118"/>
      <c r="Z69" s="115"/>
    </row>
    <row r="70" spans="1:26" ht="18" customHeight="1">
      <c r="A70" s="278"/>
      <c r="B70" s="9"/>
      <c r="K70" s="171" t="s">
        <v>14</v>
      </c>
      <c r="L70" s="171"/>
      <c r="N70" s="145" t="s">
        <v>41</v>
      </c>
      <c r="O70" s="173">
        <v>7</v>
      </c>
      <c r="P70" s="234">
        <f ca="1">OFFSET($A$1,MATCH(Z65,$A:$A,0)-1,O70)</f>
        <v>7.8</v>
      </c>
      <c r="Q70" s="144" t="s">
        <v>29</v>
      </c>
      <c r="R70" s="118">
        <f t="shared" ca="1" si="12"/>
        <v>235459</v>
      </c>
      <c r="S70" s="118">
        <f t="shared" ca="1" si="12"/>
        <v>1836580</v>
      </c>
      <c r="T70" s="118">
        <f ca="1">초급</f>
        <v>235459</v>
      </c>
      <c r="U70" s="118">
        <f t="shared" ca="1" si="13"/>
        <v>1836580</v>
      </c>
      <c r="V70" s="118"/>
      <c r="W70" s="118"/>
      <c r="X70" s="118"/>
      <c r="Y70" s="118"/>
      <c r="Z70" s="115"/>
    </row>
    <row r="71" spans="1:26" ht="18" customHeight="1">
      <c r="A71" s="278"/>
      <c r="B71" s="9"/>
      <c r="K71" s="171" t="s">
        <v>14</v>
      </c>
      <c r="L71" s="171"/>
      <c r="N71" s="319" t="s">
        <v>42</v>
      </c>
      <c r="O71" s="174">
        <v>8</v>
      </c>
      <c r="P71" s="235">
        <f ca="1">OFFSET($A$1,MATCH(Z65,$A:$A,0)-1,O71)</f>
        <v>10.5</v>
      </c>
      <c r="Q71" s="322" t="s">
        <v>29</v>
      </c>
      <c r="R71" s="323">
        <f t="shared" ca="1" si="12"/>
        <v>250087</v>
      </c>
      <c r="S71" s="323">
        <f t="shared" ca="1" si="12"/>
        <v>2625913</v>
      </c>
      <c r="T71" s="323">
        <f ca="1">보조원</f>
        <v>250087</v>
      </c>
      <c r="U71" s="323">
        <f t="shared" ca="1" si="13"/>
        <v>2625913</v>
      </c>
      <c r="V71" s="323"/>
      <c r="W71" s="323"/>
      <c r="X71" s="323"/>
      <c r="Y71" s="323"/>
      <c r="Z71" s="324"/>
    </row>
    <row r="72" spans="1:26" ht="18" customHeight="1">
      <c r="B72" s="9"/>
      <c r="K72" s="171" t="s">
        <v>14</v>
      </c>
      <c r="L72" s="171"/>
      <c r="N72" s="139" t="s">
        <v>17</v>
      </c>
      <c r="O72" s="68"/>
      <c r="P72" s="69"/>
      <c r="Q72" s="70"/>
      <c r="R72" s="71"/>
      <c r="S72" s="71">
        <f ca="1">SUBTOTAL(9,S66:S71)</f>
        <v>9026467</v>
      </c>
      <c r="T72" s="71"/>
      <c r="U72" s="71">
        <f ca="1">SUBTOTAL(9,U66:U71)</f>
        <v>9026467</v>
      </c>
      <c r="V72" s="71"/>
      <c r="W72" s="71"/>
      <c r="X72" s="71"/>
      <c r="Y72" s="71"/>
      <c r="Z72" s="68"/>
    </row>
    <row r="73" spans="1:26" ht="18" customHeight="1">
      <c r="A73" s="278"/>
      <c r="B73" s="9"/>
      <c r="K73" s="171" t="s">
        <v>14</v>
      </c>
      <c r="L73" s="171"/>
      <c r="N73" s="318" t="str">
        <f ca="1">"제 " &amp; Z73 &amp; " 호표  "&amp; OFFSET($A$1,MATCH(Z73,$A:$A,0)-1,1)</f>
        <v>제 3 호표  1.3. 교통관계조사</v>
      </c>
      <c r="O73" s="221"/>
      <c r="P73" s="148"/>
      <c r="Q73" s="148"/>
      <c r="R73" s="149"/>
      <c r="S73" s="149"/>
      <c r="T73" s="149"/>
      <c r="U73" s="149"/>
      <c r="V73" s="149"/>
      <c r="W73" s="149"/>
      <c r="X73" s="149"/>
      <c r="Y73" s="149"/>
      <c r="Z73" s="325">
        <f>Z65+1</f>
        <v>3</v>
      </c>
    </row>
    <row r="74" spans="1:26" ht="18" customHeight="1">
      <c r="A74" s="278"/>
      <c r="B74" s="9"/>
      <c r="K74" s="171" t="s">
        <v>14</v>
      </c>
      <c r="L74" s="171"/>
      <c r="N74" s="140" t="s">
        <v>43</v>
      </c>
      <c r="O74" s="172">
        <v>3</v>
      </c>
      <c r="P74" s="219">
        <f ca="1">OFFSET($A$1,MATCH(Z73,$A:$A,0)-1,O74)</f>
        <v>1.5</v>
      </c>
      <c r="Q74" s="141" t="s">
        <v>29</v>
      </c>
      <c r="R74" s="142">
        <f t="shared" ref="R74:S79" ca="1" si="14">T74</f>
        <v>467217</v>
      </c>
      <c r="S74" s="142">
        <f t="shared" ca="1" si="14"/>
        <v>700825</v>
      </c>
      <c r="T74" s="142">
        <f ca="1">기술사</f>
        <v>467217</v>
      </c>
      <c r="U74" s="142">
        <f t="shared" ref="U74:U79" ca="1" si="15">ROUNDDOWN(P74*R74,0)</f>
        <v>700825</v>
      </c>
      <c r="V74" s="142"/>
      <c r="W74" s="142"/>
      <c r="X74" s="142"/>
      <c r="Y74" s="142"/>
      <c r="Z74" s="114"/>
    </row>
    <row r="75" spans="1:26" ht="18" customHeight="1">
      <c r="A75" s="278"/>
      <c r="B75" s="9"/>
      <c r="K75" s="171" t="s">
        <v>14</v>
      </c>
      <c r="L75" s="171"/>
      <c r="N75" s="143" t="s">
        <v>32</v>
      </c>
      <c r="O75" s="173">
        <v>4</v>
      </c>
      <c r="P75" s="234">
        <f ca="1">OFFSET($A$1,MATCH(Z73,$A:$A,0)-1,O75)</f>
        <v>2.2999999999999998</v>
      </c>
      <c r="Q75" s="144" t="s">
        <v>29</v>
      </c>
      <c r="R75" s="118">
        <f t="shared" ca="1" si="14"/>
        <v>373353</v>
      </c>
      <c r="S75" s="118">
        <f t="shared" ca="1" si="14"/>
        <v>858711</v>
      </c>
      <c r="T75" s="118">
        <f ca="1">특급</f>
        <v>373353</v>
      </c>
      <c r="U75" s="118">
        <f t="shared" ca="1" si="15"/>
        <v>858711</v>
      </c>
      <c r="V75" s="118"/>
      <c r="W75" s="118"/>
      <c r="X75" s="118"/>
      <c r="Y75" s="118"/>
      <c r="Z75" s="115"/>
    </row>
    <row r="76" spans="1:26" ht="18" customHeight="1">
      <c r="A76" s="278"/>
      <c r="K76" s="171" t="s">
        <v>14</v>
      </c>
      <c r="L76" s="171"/>
      <c r="N76" s="145" t="s">
        <v>39</v>
      </c>
      <c r="O76" s="173">
        <v>5</v>
      </c>
      <c r="P76" s="234">
        <f ca="1">OFFSET($A$1,MATCH(Z73,$A:$A,0)-1,O76)</f>
        <v>5.2</v>
      </c>
      <c r="Q76" s="144" t="s">
        <v>29</v>
      </c>
      <c r="R76" s="118">
        <f t="shared" ca="1" si="14"/>
        <v>310884</v>
      </c>
      <c r="S76" s="118">
        <f t="shared" ca="1" si="14"/>
        <v>1616596</v>
      </c>
      <c r="T76" s="118">
        <f ca="1">고급</f>
        <v>310884</v>
      </c>
      <c r="U76" s="118">
        <f t="shared" ca="1" si="15"/>
        <v>1616596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N77" s="145" t="s">
        <v>40</v>
      </c>
      <c r="O77" s="173">
        <v>6</v>
      </c>
      <c r="P77" s="234">
        <f ca="1">OFFSET($A$1,MATCH(Z73,$A:$A,0)-1,O77)</f>
        <v>10.5</v>
      </c>
      <c r="Q77" s="144" t="s">
        <v>29</v>
      </c>
      <c r="R77" s="118">
        <f t="shared" ca="1" si="14"/>
        <v>295138</v>
      </c>
      <c r="S77" s="118">
        <f t="shared" ca="1" si="14"/>
        <v>3098949</v>
      </c>
      <c r="T77" s="118">
        <f ca="1">중급</f>
        <v>295138</v>
      </c>
      <c r="U77" s="118">
        <f t="shared" ca="1" si="15"/>
        <v>3098949</v>
      </c>
      <c r="V77" s="118"/>
      <c r="W77" s="118"/>
      <c r="X77" s="118"/>
      <c r="Y77" s="118"/>
      <c r="Z77" s="115"/>
    </row>
    <row r="78" spans="1:26" ht="18" customHeight="1">
      <c r="K78" s="171" t="s">
        <v>14</v>
      </c>
      <c r="L78" s="171"/>
      <c r="N78" s="145" t="s">
        <v>41</v>
      </c>
      <c r="O78" s="173">
        <v>7</v>
      </c>
      <c r="P78" s="234">
        <f ca="1">OFFSET($A$1,MATCH(Z73,$A:$A,0)-1,O78)</f>
        <v>10.199999999999999</v>
      </c>
      <c r="Q78" s="144" t="s">
        <v>29</v>
      </c>
      <c r="R78" s="118">
        <f t="shared" ca="1" si="14"/>
        <v>235459</v>
      </c>
      <c r="S78" s="118">
        <f t="shared" ca="1" si="14"/>
        <v>2401681</v>
      </c>
      <c r="T78" s="118">
        <f ca="1">초급</f>
        <v>235459</v>
      </c>
      <c r="U78" s="118">
        <f t="shared" ca="1" si="15"/>
        <v>2401681</v>
      </c>
      <c r="V78" s="118"/>
      <c r="W78" s="118"/>
      <c r="X78" s="118"/>
      <c r="Y78" s="118"/>
      <c r="Z78" s="115"/>
    </row>
    <row r="79" spans="1:26" ht="18" customHeight="1">
      <c r="K79" s="171" t="s">
        <v>14</v>
      </c>
      <c r="L79" s="171"/>
      <c r="N79" s="319" t="s">
        <v>42</v>
      </c>
      <c r="O79" s="174">
        <v>8</v>
      </c>
      <c r="P79" s="235">
        <f ca="1">OFFSET($A$1,MATCH(Z73,$A:$A,0)-1,O79)</f>
        <v>10.5</v>
      </c>
      <c r="Q79" s="322" t="s">
        <v>29</v>
      </c>
      <c r="R79" s="323">
        <f t="shared" ca="1" si="14"/>
        <v>250087</v>
      </c>
      <c r="S79" s="323">
        <f t="shared" ca="1" si="14"/>
        <v>2625913</v>
      </c>
      <c r="T79" s="323">
        <f ca="1">보조원</f>
        <v>250087</v>
      </c>
      <c r="U79" s="323">
        <f t="shared" ca="1" si="15"/>
        <v>2625913</v>
      </c>
      <c r="V79" s="323"/>
      <c r="W79" s="323"/>
      <c r="X79" s="323"/>
      <c r="Y79" s="323"/>
      <c r="Z79" s="324"/>
    </row>
    <row r="80" spans="1:26" ht="18" customHeight="1">
      <c r="K80" s="171" t="s">
        <v>14</v>
      </c>
      <c r="L80" s="171"/>
      <c r="N80" s="139" t="s">
        <v>17</v>
      </c>
      <c r="O80" s="68"/>
      <c r="P80" s="69"/>
      <c r="Q80" s="70"/>
      <c r="R80" s="71"/>
      <c r="S80" s="71">
        <f ca="1">SUBTOTAL(9,S74:S79)</f>
        <v>11302675</v>
      </c>
      <c r="T80" s="71"/>
      <c r="U80" s="71">
        <f ca="1">SUBTOTAL(9,U74:U79)</f>
        <v>11302675</v>
      </c>
      <c r="V80" s="71"/>
      <c r="W80" s="71"/>
      <c r="X80" s="71"/>
      <c r="Y80" s="71"/>
      <c r="Z80" s="68"/>
    </row>
    <row r="81" spans="11:26" ht="18" customHeight="1">
      <c r="K81" s="171" t="s">
        <v>14</v>
      </c>
      <c r="L81" s="171"/>
      <c r="N81" s="318" t="str">
        <f ca="1">"제 " &amp; Z81 &amp; " 호표  "&amp; OFFSET($A$1,MATCH(Z81,$A:$A,0)-1,1)</f>
        <v>제 4 호표  1.4. 시설관계조사</v>
      </c>
      <c r="O81" s="221"/>
      <c r="P81" s="148"/>
      <c r="Q81" s="148"/>
      <c r="R81" s="149"/>
      <c r="S81" s="149"/>
      <c r="T81" s="149"/>
      <c r="U81" s="149"/>
      <c r="V81" s="149"/>
      <c r="W81" s="149"/>
      <c r="X81" s="149"/>
      <c r="Y81" s="149"/>
      <c r="Z81" s="325">
        <f>Z73+1</f>
        <v>4</v>
      </c>
    </row>
    <row r="82" spans="11:26" ht="18" customHeight="1">
      <c r="K82" s="171" t="s">
        <v>14</v>
      </c>
      <c r="L82" s="171"/>
      <c r="N82" s="140" t="s">
        <v>43</v>
      </c>
      <c r="O82" s="172">
        <v>3</v>
      </c>
      <c r="P82" s="219">
        <f ca="1">OFFSET($A$1,MATCH(Z81,$A:$A,0)-1,O82)</f>
        <v>1.5</v>
      </c>
      <c r="Q82" s="141" t="s">
        <v>29</v>
      </c>
      <c r="R82" s="142">
        <f t="shared" ref="R82:S87" ca="1" si="16">T82</f>
        <v>467217</v>
      </c>
      <c r="S82" s="142">
        <f t="shared" ca="1" si="16"/>
        <v>700825</v>
      </c>
      <c r="T82" s="142">
        <f ca="1">기술사</f>
        <v>467217</v>
      </c>
      <c r="U82" s="142">
        <f t="shared" ref="U82:U87" ca="1" si="17">ROUNDDOWN(P82*R82,0)</f>
        <v>700825</v>
      </c>
      <c r="V82" s="142"/>
      <c r="W82" s="142"/>
      <c r="X82" s="142"/>
      <c r="Y82" s="142"/>
      <c r="Z82" s="114"/>
    </row>
    <row r="83" spans="11:26" ht="18" customHeight="1">
      <c r="K83" s="171" t="s">
        <v>14</v>
      </c>
      <c r="L83" s="171"/>
      <c r="N83" s="143" t="s">
        <v>32</v>
      </c>
      <c r="O83" s="173">
        <v>4</v>
      </c>
      <c r="P83" s="234">
        <f ca="1">OFFSET($A$1,MATCH(Z81,$A:$A,0)-1,O83)</f>
        <v>2.2999999999999998</v>
      </c>
      <c r="Q83" s="144" t="s">
        <v>29</v>
      </c>
      <c r="R83" s="118">
        <f t="shared" ca="1" si="16"/>
        <v>373353</v>
      </c>
      <c r="S83" s="118">
        <f t="shared" ca="1" si="16"/>
        <v>858711</v>
      </c>
      <c r="T83" s="118">
        <f ca="1">특급</f>
        <v>373353</v>
      </c>
      <c r="U83" s="118">
        <f t="shared" ca="1" si="17"/>
        <v>858711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145" t="s">
        <v>39</v>
      </c>
      <c r="O84" s="173">
        <v>5</v>
      </c>
      <c r="P84" s="234">
        <f ca="1">OFFSET($A$1,MATCH(Z81,$A:$A,0)-1,O84)</f>
        <v>7.8</v>
      </c>
      <c r="Q84" s="144" t="s">
        <v>29</v>
      </c>
      <c r="R84" s="118">
        <f t="shared" ca="1" si="16"/>
        <v>310884</v>
      </c>
      <c r="S84" s="118">
        <f t="shared" ca="1" si="16"/>
        <v>2424895</v>
      </c>
      <c r="T84" s="118">
        <f ca="1">고급</f>
        <v>310884</v>
      </c>
      <c r="U84" s="118">
        <f t="shared" ca="1" si="17"/>
        <v>2424895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N85" s="145" t="s">
        <v>40</v>
      </c>
      <c r="O85" s="173">
        <v>6</v>
      </c>
      <c r="P85" s="234">
        <f ca="1">OFFSET($A$1,MATCH(Z81,$A:$A,0)-1,O85)</f>
        <v>10.7</v>
      </c>
      <c r="Q85" s="144" t="s">
        <v>29</v>
      </c>
      <c r="R85" s="118">
        <f t="shared" ca="1" si="16"/>
        <v>295138</v>
      </c>
      <c r="S85" s="118">
        <f t="shared" ca="1" si="16"/>
        <v>3157976</v>
      </c>
      <c r="T85" s="118">
        <f ca="1">중급</f>
        <v>295138</v>
      </c>
      <c r="U85" s="118">
        <f t="shared" ca="1" si="17"/>
        <v>3157976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N86" s="145" t="s">
        <v>41</v>
      </c>
      <c r="O86" s="173">
        <v>7</v>
      </c>
      <c r="P86" s="234">
        <f ca="1">OFFSET($A$1,MATCH(Z81,$A:$A,0)-1,O86)</f>
        <v>13.1</v>
      </c>
      <c r="Q86" s="144" t="s">
        <v>29</v>
      </c>
      <c r="R86" s="118">
        <f t="shared" ca="1" si="16"/>
        <v>235459</v>
      </c>
      <c r="S86" s="118">
        <f t="shared" ca="1" si="16"/>
        <v>3084512</v>
      </c>
      <c r="T86" s="118">
        <f ca="1">초급</f>
        <v>235459</v>
      </c>
      <c r="U86" s="118">
        <f t="shared" ca="1" si="17"/>
        <v>3084512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N87" s="319" t="s">
        <v>42</v>
      </c>
      <c r="O87" s="174">
        <v>8</v>
      </c>
      <c r="P87" s="235">
        <f ca="1">OFFSET($A$1,MATCH(Z81,$A:$A,0)-1,O87)</f>
        <v>13.3</v>
      </c>
      <c r="Q87" s="322" t="s">
        <v>29</v>
      </c>
      <c r="R87" s="323">
        <f t="shared" ca="1" si="16"/>
        <v>250087</v>
      </c>
      <c r="S87" s="323">
        <f t="shared" ca="1" si="16"/>
        <v>3326157</v>
      </c>
      <c r="T87" s="323">
        <f ca="1">보조원</f>
        <v>250087</v>
      </c>
      <c r="U87" s="323">
        <f t="shared" ca="1" si="17"/>
        <v>3326157</v>
      </c>
      <c r="V87" s="323"/>
      <c r="W87" s="323"/>
      <c r="X87" s="323"/>
      <c r="Y87" s="323"/>
      <c r="Z87" s="324"/>
    </row>
    <row r="88" spans="11:26" ht="18" customHeight="1">
      <c r="K88" s="171" t="s">
        <v>14</v>
      </c>
      <c r="L88" s="171"/>
      <c r="N88" s="139" t="s">
        <v>17</v>
      </c>
      <c r="O88" s="68"/>
      <c r="P88" s="69"/>
      <c r="Q88" s="70"/>
      <c r="R88" s="71"/>
      <c r="S88" s="71">
        <f ca="1">SUBTOTAL(9,S82:S87)</f>
        <v>13553076</v>
      </c>
      <c r="T88" s="71"/>
      <c r="U88" s="71">
        <f ca="1">SUBTOTAL(9,U82:U87)</f>
        <v>13553076</v>
      </c>
      <c r="V88" s="71"/>
      <c r="W88" s="71"/>
      <c r="X88" s="71"/>
      <c r="Y88" s="71"/>
      <c r="Z88" s="68"/>
    </row>
    <row r="89" spans="11:26" ht="18" customHeight="1">
      <c r="K89" s="171" t="s">
        <v>14</v>
      </c>
      <c r="L89" s="171"/>
      <c r="N89" s="318" t="str">
        <f ca="1">"제 " &amp; Z89 &amp; " 호표  "&amp; OFFSET($A$1,MATCH(Z89,$A:$A,0)-1,1)</f>
        <v>제 5 호표  1.5. 공급처리시설 관계조사</v>
      </c>
      <c r="O89" s="221"/>
      <c r="P89" s="148"/>
      <c r="Q89" s="148"/>
      <c r="R89" s="149"/>
      <c r="S89" s="149"/>
      <c r="T89" s="149"/>
      <c r="U89" s="149"/>
      <c r="V89" s="149"/>
      <c r="W89" s="149"/>
      <c r="X89" s="149"/>
      <c r="Y89" s="149"/>
      <c r="Z89" s="325">
        <f>Z81+1</f>
        <v>5</v>
      </c>
    </row>
    <row r="90" spans="11:26" ht="18" customHeight="1">
      <c r="K90" s="171" t="s">
        <v>14</v>
      </c>
      <c r="L90" s="171"/>
      <c r="N90" s="140" t="s">
        <v>43</v>
      </c>
      <c r="O90" s="172">
        <v>3</v>
      </c>
      <c r="P90" s="219">
        <f ca="1">OFFSET($A$1,MATCH(Z89,$A:$A,0)-1,O90)</f>
        <v>1.3</v>
      </c>
      <c r="Q90" s="141" t="s">
        <v>29</v>
      </c>
      <c r="R90" s="142">
        <f t="shared" ref="R90:S95" ca="1" si="18">T90</f>
        <v>467217</v>
      </c>
      <c r="S90" s="142">
        <f t="shared" ca="1" si="18"/>
        <v>607382</v>
      </c>
      <c r="T90" s="142">
        <f ca="1">기술사</f>
        <v>467217</v>
      </c>
      <c r="U90" s="142">
        <f t="shared" ref="U90:U95" ca="1" si="19">ROUNDDOWN(P90*R90,0)</f>
        <v>607382</v>
      </c>
      <c r="V90" s="142"/>
      <c r="W90" s="142"/>
      <c r="X90" s="142"/>
      <c r="Y90" s="142"/>
      <c r="Z90" s="114"/>
    </row>
    <row r="91" spans="11:26" ht="18" customHeight="1">
      <c r="K91" s="171" t="s">
        <v>14</v>
      </c>
      <c r="L91" s="171"/>
      <c r="N91" s="143" t="s">
        <v>32</v>
      </c>
      <c r="O91" s="173">
        <v>4</v>
      </c>
      <c r="P91" s="234">
        <f ca="1">OFFSET($A$1,MATCH(Z89,$A:$A,0)-1,O91)</f>
        <v>2.1</v>
      </c>
      <c r="Q91" s="144" t="s">
        <v>29</v>
      </c>
      <c r="R91" s="118">
        <f t="shared" ca="1" si="18"/>
        <v>373353</v>
      </c>
      <c r="S91" s="118">
        <f t="shared" ca="1" si="18"/>
        <v>784041</v>
      </c>
      <c r="T91" s="118">
        <f ca="1">특급</f>
        <v>373353</v>
      </c>
      <c r="U91" s="118">
        <f t="shared" ca="1" si="19"/>
        <v>784041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145" t="s">
        <v>39</v>
      </c>
      <c r="O92" s="173">
        <v>5</v>
      </c>
      <c r="P92" s="234">
        <f ca="1">OFFSET($A$1,MATCH(Z89,$A:$A,0)-1,O92)</f>
        <v>5.5</v>
      </c>
      <c r="Q92" s="144" t="s">
        <v>29</v>
      </c>
      <c r="R92" s="118">
        <f t="shared" ca="1" si="18"/>
        <v>310884</v>
      </c>
      <c r="S92" s="118">
        <f t="shared" ca="1" si="18"/>
        <v>1709862</v>
      </c>
      <c r="T92" s="118">
        <f ca="1">고급</f>
        <v>310884</v>
      </c>
      <c r="U92" s="118">
        <f t="shared" ca="1" si="19"/>
        <v>1709862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N93" s="145" t="s">
        <v>40</v>
      </c>
      <c r="O93" s="173">
        <v>6</v>
      </c>
      <c r="P93" s="234">
        <f ca="1">OFFSET($A$1,MATCH(Z89,$A:$A,0)-1,O93)</f>
        <v>7.8</v>
      </c>
      <c r="Q93" s="144" t="s">
        <v>29</v>
      </c>
      <c r="R93" s="118">
        <f t="shared" ca="1" si="18"/>
        <v>295138</v>
      </c>
      <c r="S93" s="118">
        <f t="shared" ca="1" si="18"/>
        <v>2302076</v>
      </c>
      <c r="T93" s="118">
        <f ca="1">중급</f>
        <v>295138</v>
      </c>
      <c r="U93" s="118">
        <f t="shared" ca="1" si="19"/>
        <v>2302076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N94" s="145" t="s">
        <v>41</v>
      </c>
      <c r="O94" s="173">
        <v>7</v>
      </c>
      <c r="P94" s="234">
        <f ca="1">OFFSET($A$1,MATCH(Z89,$A:$A,0)-1,O94)</f>
        <v>8.4</v>
      </c>
      <c r="Q94" s="144" t="s">
        <v>29</v>
      </c>
      <c r="R94" s="118">
        <f t="shared" ca="1" si="18"/>
        <v>235459</v>
      </c>
      <c r="S94" s="118">
        <f t="shared" ca="1" si="18"/>
        <v>1977855</v>
      </c>
      <c r="T94" s="118">
        <f ca="1">초급</f>
        <v>235459</v>
      </c>
      <c r="U94" s="118">
        <f t="shared" ca="1" si="19"/>
        <v>1977855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N95" s="319" t="s">
        <v>42</v>
      </c>
      <c r="O95" s="174">
        <v>8</v>
      </c>
      <c r="P95" s="235">
        <f ca="1">OFFSET($A$1,MATCH(Z89,$A:$A,0)-1,O95)</f>
        <v>7.8</v>
      </c>
      <c r="Q95" s="322" t="s">
        <v>29</v>
      </c>
      <c r="R95" s="323">
        <f t="shared" ca="1" si="18"/>
        <v>250087</v>
      </c>
      <c r="S95" s="323">
        <f t="shared" ca="1" si="18"/>
        <v>1950678</v>
      </c>
      <c r="T95" s="323">
        <f ca="1">보조원</f>
        <v>250087</v>
      </c>
      <c r="U95" s="323">
        <f t="shared" ca="1" si="19"/>
        <v>1950678</v>
      </c>
      <c r="V95" s="323"/>
      <c r="W95" s="323"/>
      <c r="X95" s="323"/>
      <c r="Y95" s="323"/>
      <c r="Z95" s="324"/>
    </row>
    <row r="96" spans="11:26" ht="18" customHeight="1">
      <c r="K96" s="171" t="s">
        <v>14</v>
      </c>
      <c r="L96" s="171"/>
      <c r="N96" s="139" t="s">
        <v>17</v>
      </c>
      <c r="O96" s="68"/>
      <c r="P96" s="69"/>
      <c r="Q96" s="70"/>
      <c r="R96" s="71"/>
      <c r="S96" s="71">
        <f ca="1">SUBTOTAL(9,S90:S95)</f>
        <v>9331894</v>
      </c>
      <c r="T96" s="71"/>
      <c r="U96" s="71">
        <f ca="1">SUBTOTAL(9,U90:U95)</f>
        <v>9331894</v>
      </c>
      <c r="V96" s="71"/>
      <c r="W96" s="71"/>
      <c r="X96" s="71"/>
      <c r="Y96" s="71"/>
      <c r="Z96" s="68"/>
    </row>
    <row r="97" spans="11:26" ht="18" customHeight="1">
      <c r="K97" s="171" t="s">
        <v>14</v>
      </c>
      <c r="L97" s="171"/>
      <c r="N97" s="318" t="str">
        <f ca="1">"제 " &amp; Z97 &amp; " 호표  "&amp; OFFSET($A$1,MATCH(Z97,$A:$A,0)-1,1)</f>
        <v>제 6 호표  2.1. 지구의 개요 및 목적</v>
      </c>
      <c r="O97" s="221"/>
      <c r="P97" s="148"/>
      <c r="Q97" s="148"/>
      <c r="R97" s="149"/>
      <c r="S97" s="149"/>
      <c r="T97" s="149"/>
      <c r="U97" s="149"/>
      <c r="V97" s="149"/>
      <c r="W97" s="149"/>
      <c r="X97" s="149"/>
      <c r="Y97" s="149"/>
      <c r="Z97" s="325">
        <f>Z89+1</f>
        <v>6</v>
      </c>
    </row>
    <row r="98" spans="11:26" ht="18" customHeight="1">
      <c r="K98" s="171" t="s">
        <v>14</v>
      </c>
      <c r="L98" s="171"/>
      <c r="N98" s="140" t="s">
        <v>43</v>
      </c>
      <c r="O98" s="172">
        <v>3</v>
      </c>
      <c r="P98" s="219">
        <f ca="1">OFFSET($A$1,MATCH(Z97,$A:$A,0)-1,O98)</f>
        <v>3</v>
      </c>
      <c r="Q98" s="141" t="s">
        <v>29</v>
      </c>
      <c r="R98" s="142">
        <f t="shared" ref="R98:S103" ca="1" si="20">T98</f>
        <v>467217</v>
      </c>
      <c r="S98" s="142">
        <f t="shared" ca="1" si="20"/>
        <v>1401651</v>
      </c>
      <c r="T98" s="142">
        <f ca="1">기술사</f>
        <v>467217</v>
      </c>
      <c r="U98" s="142">
        <f t="shared" ref="U98:U103" ca="1" si="21">ROUNDDOWN(P98*R98,0)</f>
        <v>1401651</v>
      </c>
      <c r="V98" s="142"/>
      <c r="W98" s="142"/>
      <c r="X98" s="142"/>
      <c r="Y98" s="142"/>
      <c r="Z98" s="114"/>
    </row>
    <row r="99" spans="11:26" ht="18" customHeight="1">
      <c r="K99" s="171" t="s">
        <v>14</v>
      </c>
      <c r="L99" s="171"/>
      <c r="N99" s="143" t="s">
        <v>32</v>
      </c>
      <c r="O99" s="173">
        <v>4</v>
      </c>
      <c r="P99" s="234">
        <f ca="1">OFFSET($A$1,MATCH(Z97,$A:$A,0)-1,O99)</f>
        <v>4.8</v>
      </c>
      <c r="Q99" s="144" t="s">
        <v>29</v>
      </c>
      <c r="R99" s="118">
        <f t="shared" ca="1" si="20"/>
        <v>373353</v>
      </c>
      <c r="S99" s="118">
        <f t="shared" ca="1" si="20"/>
        <v>1792094</v>
      </c>
      <c r="T99" s="118">
        <f ca="1">특급</f>
        <v>373353</v>
      </c>
      <c r="U99" s="118">
        <f t="shared" ca="1" si="21"/>
        <v>1792094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39</v>
      </c>
      <c r="O100" s="173">
        <v>5</v>
      </c>
      <c r="P100" s="234">
        <f ca="1">OFFSET($A$1,MATCH(Z97,$A:$A,0)-1,O100)</f>
        <v>9.6</v>
      </c>
      <c r="Q100" s="144" t="s">
        <v>29</v>
      </c>
      <c r="R100" s="118">
        <f t="shared" ca="1" si="20"/>
        <v>310884</v>
      </c>
      <c r="S100" s="118">
        <f t="shared" ca="1" si="20"/>
        <v>2984486</v>
      </c>
      <c r="T100" s="118">
        <f ca="1">고급</f>
        <v>310884</v>
      </c>
      <c r="U100" s="118">
        <f t="shared" ca="1" si="21"/>
        <v>2984486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145" t="s">
        <v>40</v>
      </c>
      <c r="O101" s="173">
        <v>6</v>
      </c>
      <c r="P101" s="234">
        <f ca="1">OFFSET($A$1,MATCH(Z97,$A:$A,0)-1,O101)</f>
        <v>15.8</v>
      </c>
      <c r="Q101" s="144" t="s">
        <v>29</v>
      </c>
      <c r="R101" s="118">
        <f t="shared" ca="1" si="20"/>
        <v>295138</v>
      </c>
      <c r="S101" s="118">
        <f t="shared" ca="1" si="20"/>
        <v>4663180</v>
      </c>
      <c r="T101" s="118">
        <f ca="1">중급</f>
        <v>295138</v>
      </c>
      <c r="U101" s="118">
        <f t="shared" ca="1" si="21"/>
        <v>4663180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145" t="s">
        <v>41</v>
      </c>
      <c r="O102" s="173">
        <v>7</v>
      </c>
      <c r="P102" s="234">
        <f ca="1">OFFSET($A$1,MATCH(Z97,$A:$A,0)-1,O102)</f>
        <v>23.8</v>
      </c>
      <c r="Q102" s="144" t="s">
        <v>29</v>
      </c>
      <c r="R102" s="118">
        <f t="shared" ca="1" si="20"/>
        <v>235459</v>
      </c>
      <c r="S102" s="118">
        <f t="shared" ca="1" si="20"/>
        <v>5603924</v>
      </c>
      <c r="T102" s="118">
        <f ca="1">초급</f>
        <v>235459</v>
      </c>
      <c r="U102" s="118">
        <f t="shared" ca="1" si="21"/>
        <v>5603924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319" t="s">
        <v>42</v>
      </c>
      <c r="O103" s="174">
        <v>8</v>
      </c>
      <c r="P103" s="235">
        <f ca="1">OFFSET($A$1,MATCH(Z97,$A:$A,0)-1,O103)</f>
        <v>15.2</v>
      </c>
      <c r="Q103" s="322" t="s">
        <v>29</v>
      </c>
      <c r="R103" s="323">
        <f t="shared" ca="1" si="20"/>
        <v>250087</v>
      </c>
      <c r="S103" s="323">
        <f t="shared" ca="1" si="20"/>
        <v>3801322</v>
      </c>
      <c r="T103" s="323">
        <f ca="1">보조원</f>
        <v>250087</v>
      </c>
      <c r="U103" s="323">
        <f t="shared" ca="1" si="21"/>
        <v>3801322</v>
      </c>
      <c r="V103" s="323"/>
      <c r="W103" s="323"/>
      <c r="X103" s="323"/>
      <c r="Y103" s="323"/>
      <c r="Z103" s="324"/>
    </row>
    <row r="104" spans="11:26" ht="18" customHeight="1">
      <c r="K104" s="171" t="s">
        <v>14</v>
      </c>
      <c r="L104" s="171"/>
      <c r="N104" s="139" t="s">
        <v>17</v>
      </c>
      <c r="O104" s="68"/>
      <c r="P104" s="69"/>
      <c r="Q104" s="70"/>
      <c r="R104" s="71"/>
      <c r="S104" s="71">
        <f ca="1">SUBTOTAL(9,S98:S103)</f>
        <v>20246657</v>
      </c>
      <c r="T104" s="71"/>
      <c r="U104" s="71">
        <f ca="1">SUBTOTAL(9,U98:U103)</f>
        <v>20246657</v>
      </c>
      <c r="V104" s="71"/>
      <c r="W104" s="71"/>
      <c r="X104" s="71"/>
      <c r="Y104" s="71"/>
      <c r="Z104" s="68"/>
    </row>
    <row r="105" spans="11:26" ht="18" customHeight="1">
      <c r="K105" s="171" t="s">
        <v>14</v>
      </c>
      <c r="L105" s="171"/>
      <c r="N105" s="318" t="str">
        <f ca="1">"제 " &amp; Z105 &amp; " 호표  "&amp; OFFSET($A$1,MATCH(Z105,$A:$A,0)-1,1)</f>
        <v>제 7 호표  2.2. 지구의 지정요건 분석</v>
      </c>
      <c r="O105" s="221"/>
      <c r="P105" s="148"/>
      <c r="Q105" s="148"/>
      <c r="R105" s="149"/>
      <c r="S105" s="149"/>
      <c r="T105" s="149"/>
      <c r="U105" s="149"/>
      <c r="V105" s="149"/>
      <c r="W105" s="149"/>
      <c r="X105" s="149"/>
      <c r="Y105" s="149"/>
      <c r="Z105" s="325">
        <f>Z97+1</f>
        <v>7</v>
      </c>
    </row>
    <row r="106" spans="11:26" ht="18" customHeight="1">
      <c r="K106" s="171" t="s">
        <v>14</v>
      </c>
      <c r="L106" s="171"/>
      <c r="N106" s="140" t="s">
        <v>43</v>
      </c>
      <c r="O106" s="172">
        <v>3</v>
      </c>
      <c r="P106" s="219">
        <f ca="1">OFFSET($A$1,MATCH(Z105,$A:$A,0)-1,O106)</f>
        <v>2.1</v>
      </c>
      <c r="Q106" s="141" t="s">
        <v>29</v>
      </c>
      <c r="R106" s="142">
        <f t="shared" ref="R106:S111" ca="1" si="22">T106</f>
        <v>467217</v>
      </c>
      <c r="S106" s="142">
        <f t="shared" ca="1" si="22"/>
        <v>981155</v>
      </c>
      <c r="T106" s="142">
        <f ca="1">기술사</f>
        <v>467217</v>
      </c>
      <c r="U106" s="142">
        <f t="shared" ref="U106:U111" ca="1" si="23">ROUNDDOWN(P106*R106,0)</f>
        <v>981155</v>
      </c>
      <c r="V106" s="142"/>
      <c r="W106" s="142"/>
      <c r="X106" s="142"/>
      <c r="Y106" s="142"/>
      <c r="Z106" s="114"/>
    </row>
    <row r="107" spans="11:26" ht="18" customHeight="1">
      <c r="K107" s="171" t="s">
        <v>14</v>
      </c>
      <c r="L107" s="171"/>
      <c r="N107" s="143" t="s">
        <v>32</v>
      </c>
      <c r="O107" s="173">
        <v>4</v>
      </c>
      <c r="P107" s="234">
        <f ca="1">OFFSET($A$1,MATCH(Z105,$A:$A,0)-1,O107)</f>
        <v>3.5</v>
      </c>
      <c r="Q107" s="144" t="s">
        <v>29</v>
      </c>
      <c r="R107" s="118">
        <f t="shared" ca="1" si="22"/>
        <v>373353</v>
      </c>
      <c r="S107" s="118">
        <f t="shared" ca="1" si="22"/>
        <v>1306735</v>
      </c>
      <c r="T107" s="118">
        <f ca="1">특급</f>
        <v>373353</v>
      </c>
      <c r="U107" s="118">
        <f t="shared" ca="1" si="23"/>
        <v>1306735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39</v>
      </c>
      <c r="O108" s="173">
        <v>5</v>
      </c>
      <c r="P108" s="234">
        <f ca="1">OFFSET($A$1,MATCH(Z105,$A:$A,0)-1,O108)</f>
        <v>6.4</v>
      </c>
      <c r="Q108" s="144" t="s">
        <v>29</v>
      </c>
      <c r="R108" s="118">
        <f t="shared" ca="1" si="22"/>
        <v>310884</v>
      </c>
      <c r="S108" s="118">
        <f t="shared" ca="1" si="22"/>
        <v>1989657</v>
      </c>
      <c r="T108" s="118">
        <f ca="1">고급</f>
        <v>310884</v>
      </c>
      <c r="U108" s="118">
        <f t="shared" ca="1" si="23"/>
        <v>1989657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145" t="s">
        <v>40</v>
      </c>
      <c r="O109" s="173">
        <v>6</v>
      </c>
      <c r="P109" s="234">
        <f ca="1">OFFSET($A$1,MATCH(Z105,$A:$A,0)-1,O109)</f>
        <v>10.9</v>
      </c>
      <c r="Q109" s="144" t="s">
        <v>29</v>
      </c>
      <c r="R109" s="118">
        <f t="shared" ca="1" si="22"/>
        <v>295138</v>
      </c>
      <c r="S109" s="118">
        <f t="shared" ca="1" si="22"/>
        <v>3217004</v>
      </c>
      <c r="T109" s="118">
        <f ca="1">중급</f>
        <v>295138</v>
      </c>
      <c r="U109" s="118">
        <f t="shared" ca="1" si="23"/>
        <v>3217004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145" t="s">
        <v>41</v>
      </c>
      <c r="O110" s="173">
        <v>7</v>
      </c>
      <c r="P110" s="234">
        <f ca="1">OFFSET($A$1,MATCH(Z105,$A:$A,0)-1,O110)</f>
        <v>16</v>
      </c>
      <c r="Q110" s="144" t="s">
        <v>29</v>
      </c>
      <c r="R110" s="118">
        <f t="shared" ca="1" si="22"/>
        <v>235459</v>
      </c>
      <c r="S110" s="118">
        <f t="shared" ca="1" si="22"/>
        <v>3767344</v>
      </c>
      <c r="T110" s="118">
        <f ca="1">초급</f>
        <v>235459</v>
      </c>
      <c r="U110" s="118">
        <f t="shared" ca="1" si="23"/>
        <v>3767344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319" t="s">
        <v>42</v>
      </c>
      <c r="O111" s="174">
        <v>8</v>
      </c>
      <c r="P111" s="235">
        <f ca="1">OFFSET($A$1,MATCH(Z105,$A:$A,0)-1,O111)</f>
        <v>15.2</v>
      </c>
      <c r="Q111" s="322" t="s">
        <v>29</v>
      </c>
      <c r="R111" s="323">
        <f t="shared" ca="1" si="22"/>
        <v>250087</v>
      </c>
      <c r="S111" s="323">
        <f t="shared" ca="1" si="22"/>
        <v>3801322</v>
      </c>
      <c r="T111" s="323">
        <f ca="1">보조원</f>
        <v>250087</v>
      </c>
      <c r="U111" s="323">
        <f t="shared" ca="1" si="23"/>
        <v>3801322</v>
      </c>
      <c r="V111" s="323"/>
      <c r="W111" s="323"/>
      <c r="X111" s="323"/>
      <c r="Y111" s="323"/>
      <c r="Z111" s="324"/>
    </row>
    <row r="112" spans="11:26" ht="18" customHeight="1">
      <c r="K112" s="171" t="s">
        <v>14</v>
      </c>
      <c r="L112" s="171"/>
      <c r="N112" s="139" t="s">
        <v>17</v>
      </c>
      <c r="O112" s="68"/>
      <c r="P112" s="69"/>
      <c r="Q112" s="70"/>
      <c r="R112" s="71"/>
      <c r="S112" s="71">
        <f ca="1">SUBTOTAL(9,S106:S111)</f>
        <v>15063217</v>
      </c>
      <c r="T112" s="71"/>
      <c r="U112" s="71">
        <f ca="1">SUBTOTAL(9,U106:U111)</f>
        <v>15063217</v>
      </c>
      <c r="V112" s="71"/>
      <c r="W112" s="71"/>
      <c r="X112" s="71"/>
      <c r="Y112" s="71"/>
      <c r="Z112" s="68"/>
    </row>
    <row r="113" spans="11:26" ht="18" customHeight="1">
      <c r="K113" s="171" t="s">
        <v>14</v>
      </c>
      <c r="L113" s="171"/>
      <c r="N113" s="318" t="str">
        <f ca="1">"제 " &amp; Z113 &amp; " 호표  "&amp; OFFSET($A$1,MATCH(Z113,$A:$A,0)-1,1)</f>
        <v>제 8 호표  2.3. 개발의 기본방향</v>
      </c>
      <c r="O113" s="221"/>
      <c r="P113" s="148"/>
      <c r="Q113" s="148"/>
      <c r="R113" s="149"/>
      <c r="S113" s="149"/>
      <c r="T113" s="149"/>
      <c r="U113" s="149"/>
      <c r="V113" s="149"/>
      <c r="W113" s="149"/>
      <c r="X113" s="149"/>
      <c r="Y113" s="149"/>
      <c r="Z113" s="325">
        <f>Z105+1</f>
        <v>8</v>
      </c>
    </row>
    <row r="114" spans="11:26" ht="18" customHeight="1">
      <c r="K114" s="171" t="s">
        <v>14</v>
      </c>
      <c r="L114" s="171"/>
      <c r="N114" s="140" t="s">
        <v>43</v>
      </c>
      <c r="O114" s="172">
        <v>3</v>
      </c>
      <c r="P114" s="219">
        <f ca="1">OFFSET($A$1,MATCH(Z113,$A:$A,0)-1,O114)</f>
        <v>3</v>
      </c>
      <c r="Q114" s="141" t="s">
        <v>29</v>
      </c>
      <c r="R114" s="142">
        <f t="shared" ref="R114:S119" ca="1" si="24">T114</f>
        <v>467217</v>
      </c>
      <c r="S114" s="142">
        <f t="shared" ca="1" si="24"/>
        <v>1401651</v>
      </c>
      <c r="T114" s="142">
        <f ca="1">기술사</f>
        <v>467217</v>
      </c>
      <c r="U114" s="142">
        <f t="shared" ref="U114:U119" ca="1" si="25">ROUNDDOWN(P114*R114,0)</f>
        <v>1401651</v>
      </c>
      <c r="V114" s="142"/>
      <c r="W114" s="142"/>
      <c r="X114" s="142"/>
      <c r="Y114" s="142"/>
      <c r="Z114" s="114"/>
    </row>
    <row r="115" spans="11:26" ht="18" customHeight="1">
      <c r="K115" s="171" t="s">
        <v>14</v>
      </c>
      <c r="L115" s="171"/>
      <c r="N115" s="143" t="s">
        <v>32</v>
      </c>
      <c r="O115" s="173">
        <v>4</v>
      </c>
      <c r="P115" s="234">
        <f ca="1">OFFSET($A$1,MATCH(Z113,$A:$A,0)-1,O115)</f>
        <v>4.8</v>
      </c>
      <c r="Q115" s="144" t="s">
        <v>29</v>
      </c>
      <c r="R115" s="118">
        <f t="shared" ca="1" si="24"/>
        <v>373353</v>
      </c>
      <c r="S115" s="118">
        <f t="shared" ca="1" si="24"/>
        <v>1792094</v>
      </c>
      <c r="T115" s="118">
        <f ca="1">특급</f>
        <v>373353</v>
      </c>
      <c r="U115" s="118">
        <f t="shared" ca="1" si="25"/>
        <v>1792094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39</v>
      </c>
      <c r="O116" s="173">
        <v>5</v>
      </c>
      <c r="P116" s="234">
        <f ca="1">OFFSET($A$1,MATCH(Z113,$A:$A,0)-1,O116)</f>
        <v>9.6</v>
      </c>
      <c r="Q116" s="144" t="s">
        <v>29</v>
      </c>
      <c r="R116" s="118">
        <f t="shared" ca="1" si="24"/>
        <v>310884</v>
      </c>
      <c r="S116" s="118">
        <f t="shared" ca="1" si="24"/>
        <v>2984486</v>
      </c>
      <c r="T116" s="118">
        <f ca="1">고급</f>
        <v>310884</v>
      </c>
      <c r="U116" s="118">
        <f t="shared" ca="1" si="25"/>
        <v>2984486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40</v>
      </c>
      <c r="O117" s="173">
        <v>6</v>
      </c>
      <c r="P117" s="234">
        <f ca="1">OFFSET($A$1,MATCH(Z113,$A:$A,0)-1,O117)</f>
        <v>16</v>
      </c>
      <c r="Q117" s="144" t="s">
        <v>29</v>
      </c>
      <c r="R117" s="118">
        <f t="shared" ca="1" si="24"/>
        <v>295138</v>
      </c>
      <c r="S117" s="118">
        <f t="shared" ca="1" si="24"/>
        <v>4722208</v>
      </c>
      <c r="T117" s="118">
        <f ca="1">중급</f>
        <v>295138</v>
      </c>
      <c r="U117" s="118">
        <f t="shared" ca="1" si="25"/>
        <v>4722208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145" t="s">
        <v>41</v>
      </c>
      <c r="O118" s="173">
        <v>7</v>
      </c>
      <c r="P118" s="234">
        <f ca="1">OFFSET($A$1,MATCH(Z113,$A:$A,0)-1,O118)</f>
        <v>23.8</v>
      </c>
      <c r="Q118" s="144" t="s">
        <v>29</v>
      </c>
      <c r="R118" s="118">
        <f t="shared" ca="1" si="24"/>
        <v>235459</v>
      </c>
      <c r="S118" s="118">
        <f t="shared" ca="1" si="24"/>
        <v>5603924</v>
      </c>
      <c r="T118" s="118">
        <f ca="1">초급</f>
        <v>235459</v>
      </c>
      <c r="U118" s="118">
        <f t="shared" ca="1" si="25"/>
        <v>5603924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319" t="s">
        <v>42</v>
      </c>
      <c r="O119" s="174">
        <v>8</v>
      </c>
      <c r="P119" s="235">
        <f ca="1">OFFSET($A$1,MATCH(Z113,$A:$A,0)-1,O119)</f>
        <v>22.8</v>
      </c>
      <c r="Q119" s="322" t="s">
        <v>29</v>
      </c>
      <c r="R119" s="323">
        <f t="shared" ca="1" si="24"/>
        <v>250087</v>
      </c>
      <c r="S119" s="323">
        <f t="shared" ca="1" si="24"/>
        <v>5701983</v>
      </c>
      <c r="T119" s="323">
        <f ca="1">보조원</f>
        <v>250087</v>
      </c>
      <c r="U119" s="323">
        <f t="shared" ca="1" si="25"/>
        <v>5701983</v>
      </c>
      <c r="V119" s="323"/>
      <c r="W119" s="323"/>
      <c r="X119" s="323"/>
      <c r="Y119" s="323"/>
      <c r="Z119" s="324"/>
    </row>
    <row r="120" spans="11:26" ht="18" customHeight="1">
      <c r="K120" s="171" t="s">
        <v>14</v>
      </c>
      <c r="L120" s="171"/>
      <c r="N120" s="139" t="s">
        <v>17</v>
      </c>
      <c r="O120" s="68"/>
      <c r="P120" s="69"/>
      <c r="Q120" s="70"/>
      <c r="R120" s="71"/>
      <c r="S120" s="71">
        <f ca="1">SUBTOTAL(9,S114:S119)</f>
        <v>22206346</v>
      </c>
      <c r="T120" s="71"/>
      <c r="U120" s="71">
        <f ca="1">SUBTOTAL(9,U114:U119)</f>
        <v>22206346</v>
      </c>
      <c r="V120" s="71"/>
      <c r="W120" s="71"/>
      <c r="X120" s="71"/>
      <c r="Y120" s="71"/>
      <c r="Z120" s="68"/>
    </row>
    <row r="121" spans="11:26" ht="18" customHeight="1">
      <c r="K121" s="171" t="s">
        <v>14</v>
      </c>
      <c r="L121" s="171"/>
      <c r="N121" s="318" t="str">
        <f ca="1">"제 " &amp; Z121 &amp; " 호표  "&amp; OFFSET($A$1,MATCH(Z121,$A:$A,0)-1,1)</f>
        <v>제 9 호표  2.4. 추진사업의 현황</v>
      </c>
      <c r="O121" s="221"/>
      <c r="P121" s="148"/>
      <c r="Q121" s="148"/>
      <c r="R121" s="149"/>
      <c r="S121" s="149"/>
      <c r="T121" s="149"/>
      <c r="U121" s="149"/>
      <c r="V121" s="149"/>
      <c r="W121" s="149"/>
      <c r="X121" s="149"/>
      <c r="Y121" s="149"/>
      <c r="Z121" s="325">
        <f>Z113+1</f>
        <v>9</v>
      </c>
    </row>
    <row r="122" spans="11:26" ht="18" customHeight="1">
      <c r="K122" s="171" t="s">
        <v>14</v>
      </c>
      <c r="L122" s="171"/>
      <c r="N122" s="140" t="s">
        <v>43</v>
      </c>
      <c r="O122" s="172">
        <v>3</v>
      </c>
      <c r="P122" s="219">
        <f ca="1">OFFSET($A$1,MATCH(Z121,$A:$A,0)-1,O122)</f>
        <v>2.5</v>
      </c>
      <c r="Q122" s="141" t="s">
        <v>29</v>
      </c>
      <c r="R122" s="142">
        <f t="shared" ref="R122:S127" ca="1" si="26">T122</f>
        <v>467217</v>
      </c>
      <c r="S122" s="142">
        <f t="shared" ca="1" si="26"/>
        <v>1168042</v>
      </c>
      <c r="T122" s="142">
        <f ca="1">기술사</f>
        <v>467217</v>
      </c>
      <c r="U122" s="142">
        <f t="shared" ref="U122:U127" ca="1" si="27">ROUNDDOWN(P122*R122,0)</f>
        <v>1168042</v>
      </c>
      <c r="V122" s="142"/>
      <c r="W122" s="142"/>
      <c r="X122" s="142"/>
      <c r="Y122" s="142"/>
      <c r="Z122" s="114"/>
    </row>
    <row r="123" spans="11:26" ht="18" customHeight="1">
      <c r="K123" s="171" t="s">
        <v>14</v>
      </c>
      <c r="L123" s="171"/>
      <c r="N123" s="143" t="s">
        <v>32</v>
      </c>
      <c r="O123" s="173">
        <v>4</v>
      </c>
      <c r="P123" s="234">
        <f ca="1">OFFSET($A$1,MATCH(Z121,$A:$A,0)-1,O123)</f>
        <v>4.0999999999999996</v>
      </c>
      <c r="Q123" s="144" t="s">
        <v>29</v>
      </c>
      <c r="R123" s="118">
        <f t="shared" ca="1" si="26"/>
        <v>373353</v>
      </c>
      <c r="S123" s="118">
        <f t="shared" ca="1" si="26"/>
        <v>1530747</v>
      </c>
      <c r="T123" s="118">
        <f ca="1">특급</f>
        <v>373353</v>
      </c>
      <c r="U123" s="118">
        <f t="shared" ca="1" si="27"/>
        <v>1530747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145" t="s">
        <v>39</v>
      </c>
      <c r="O124" s="173">
        <v>5</v>
      </c>
      <c r="P124" s="234">
        <f ca="1">OFFSET($A$1,MATCH(Z121,$A:$A,0)-1,O124)</f>
        <v>8.1</v>
      </c>
      <c r="Q124" s="144" t="s">
        <v>29</v>
      </c>
      <c r="R124" s="118">
        <f t="shared" ca="1" si="26"/>
        <v>310884</v>
      </c>
      <c r="S124" s="118">
        <f t="shared" ca="1" si="26"/>
        <v>2518160</v>
      </c>
      <c r="T124" s="118">
        <f ca="1">고급</f>
        <v>310884</v>
      </c>
      <c r="U124" s="118">
        <f t="shared" ca="1" si="27"/>
        <v>2518160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N125" s="145" t="s">
        <v>40</v>
      </c>
      <c r="O125" s="173">
        <v>6</v>
      </c>
      <c r="P125" s="234">
        <f ca="1">OFFSET($A$1,MATCH(Z121,$A:$A,0)-1,O125)</f>
        <v>13.4</v>
      </c>
      <c r="Q125" s="144" t="s">
        <v>29</v>
      </c>
      <c r="R125" s="118">
        <f t="shared" ca="1" si="26"/>
        <v>295138</v>
      </c>
      <c r="S125" s="118">
        <f t="shared" ca="1" si="26"/>
        <v>3954849</v>
      </c>
      <c r="T125" s="118">
        <f ca="1">중급</f>
        <v>295138</v>
      </c>
      <c r="U125" s="118">
        <f t="shared" ca="1" si="27"/>
        <v>3954849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145" t="s">
        <v>41</v>
      </c>
      <c r="O126" s="173">
        <v>7</v>
      </c>
      <c r="P126" s="234">
        <f ca="1">OFFSET($A$1,MATCH(Z121,$A:$A,0)-1,O126)</f>
        <v>19.600000000000001</v>
      </c>
      <c r="Q126" s="144" t="s">
        <v>29</v>
      </c>
      <c r="R126" s="118">
        <f t="shared" ca="1" si="26"/>
        <v>235459</v>
      </c>
      <c r="S126" s="118">
        <f t="shared" ca="1" si="26"/>
        <v>4614996</v>
      </c>
      <c r="T126" s="118">
        <f ca="1">초급</f>
        <v>235459</v>
      </c>
      <c r="U126" s="118">
        <f t="shared" ca="1" si="27"/>
        <v>4614996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N127" s="319" t="s">
        <v>42</v>
      </c>
      <c r="O127" s="174">
        <v>8</v>
      </c>
      <c r="P127" s="235">
        <f ca="1">OFFSET($A$1,MATCH(Z121,$A:$A,0)-1,O127)</f>
        <v>19</v>
      </c>
      <c r="Q127" s="322" t="s">
        <v>29</v>
      </c>
      <c r="R127" s="323">
        <f t="shared" ca="1" si="26"/>
        <v>250087</v>
      </c>
      <c r="S127" s="323">
        <f t="shared" ca="1" si="26"/>
        <v>4751653</v>
      </c>
      <c r="T127" s="323">
        <f ca="1">보조원</f>
        <v>250087</v>
      </c>
      <c r="U127" s="323">
        <f t="shared" ca="1" si="27"/>
        <v>4751653</v>
      </c>
      <c r="V127" s="323"/>
      <c r="W127" s="323"/>
      <c r="X127" s="323"/>
      <c r="Y127" s="323"/>
      <c r="Z127" s="324"/>
    </row>
    <row r="128" spans="11:26" ht="18" customHeight="1">
      <c r="K128" s="171" t="s">
        <v>14</v>
      </c>
      <c r="L128" s="171"/>
      <c r="M128" s="171"/>
      <c r="N128" s="139" t="s">
        <v>17</v>
      </c>
      <c r="O128" s="68"/>
      <c r="P128" s="69"/>
      <c r="Q128" s="70"/>
      <c r="R128" s="71"/>
      <c r="S128" s="71">
        <f ca="1">SUBTOTAL(9,S122:S127)</f>
        <v>18538447</v>
      </c>
      <c r="T128" s="71"/>
      <c r="U128" s="71">
        <f ca="1">SUBTOTAL(9,U122:U127)</f>
        <v>18538447</v>
      </c>
      <c r="V128" s="71"/>
      <c r="W128" s="71"/>
      <c r="X128" s="71"/>
      <c r="Y128" s="71"/>
      <c r="Z128" s="68"/>
    </row>
    <row r="129" spans="11:26" ht="18" customHeight="1">
      <c r="K129" s="171" t="s">
        <v>14</v>
      </c>
      <c r="L129" s="171"/>
      <c r="M129" s="171"/>
      <c r="N129" s="318" t="str">
        <f ca="1">"제 " &amp; Z129 &amp; " 호표  "&amp; OFFSET($A$1,MATCH(Z129,$A:$A,0)-1,1)</f>
        <v>제 10 호표  2.5. 기반시설 설치에 관한 사항</v>
      </c>
      <c r="O129" s="221"/>
      <c r="P129" s="148"/>
      <c r="Q129" s="148"/>
      <c r="R129" s="149"/>
      <c r="S129" s="149"/>
      <c r="T129" s="149"/>
      <c r="U129" s="149"/>
      <c r="V129" s="149"/>
      <c r="W129" s="149"/>
      <c r="X129" s="149"/>
      <c r="Y129" s="149"/>
      <c r="Z129" s="325">
        <f>Z121+1</f>
        <v>10</v>
      </c>
    </row>
    <row r="130" spans="11:26" ht="18" customHeight="1">
      <c r="K130" s="171" t="s">
        <v>14</v>
      </c>
      <c r="L130" s="171"/>
      <c r="M130" s="171"/>
      <c r="N130" s="140" t="s">
        <v>43</v>
      </c>
      <c r="O130" s="172">
        <v>3</v>
      </c>
      <c r="P130" s="219">
        <f ca="1">OFFSET($A$1,MATCH(Z129,$A:$A,0)-1,O130)</f>
        <v>8.3000000000000007</v>
      </c>
      <c r="Q130" s="141" t="s">
        <v>29</v>
      </c>
      <c r="R130" s="142">
        <f t="shared" ref="R130:S135" ca="1" si="28">T130</f>
        <v>467217</v>
      </c>
      <c r="S130" s="142">
        <f t="shared" ca="1" si="28"/>
        <v>3877901</v>
      </c>
      <c r="T130" s="142">
        <f ca="1">기술사</f>
        <v>467217</v>
      </c>
      <c r="U130" s="142">
        <f t="shared" ref="U130:U135" ca="1" si="29">ROUNDDOWN(P130*R130,0)</f>
        <v>3877901</v>
      </c>
      <c r="V130" s="142"/>
      <c r="W130" s="142"/>
      <c r="X130" s="142"/>
      <c r="Y130" s="142"/>
      <c r="Z130" s="114"/>
    </row>
    <row r="131" spans="11:26" ht="18" customHeight="1">
      <c r="K131" s="171" t="s">
        <v>14</v>
      </c>
      <c r="L131" s="171"/>
      <c r="M131" s="171"/>
      <c r="N131" s="143" t="s">
        <v>32</v>
      </c>
      <c r="O131" s="173">
        <v>4</v>
      </c>
      <c r="P131" s="234">
        <f ca="1">OFFSET($A$1,MATCH(Z129,$A:$A,0)-1,O131)</f>
        <v>13.2</v>
      </c>
      <c r="Q131" s="144" t="s">
        <v>29</v>
      </c>
      <c r="R131" s="118">
        <f t="shared" ca="1" si="28"/>
        <v>373353</v>
      </c>
      <c r="S131" s="118">
        <f t="shared" ca="1" si="28"/>
        <v>4928259</v>
      </c>
      <c r="T131" s="118">
        <f ca="1">특급</f>
        <v>373353</v>
      </c>
      <c r="U131" s="118">
        <f t="shared" ca="1" si="29"/>
        <v>4928259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145" t="s">
        <v>39</v>
      </c>
      <c r="O132" s="173">
        <v>5</v>
      </c>
      <c r="P132" s="234">
        <f ca="1">OFFSET($A$1,MATCH(Z129,$A:$A,0)-1,O132)</f>
        <v>27</v>
      </c>
      <c r="Q132" s="144" t="s">
        <v>29</v>
      </c>
      <c r="R132" s="118">
        <f t="shared" ca="1" si="28"/>
        <v>310884</v>
      </c>
      <c r="S132" s="118">
        <f t="shared" ca="1" si="28"/>
        <v>8393868</v>
      </c>
      <c r="T132" s="118">
        <f ca="1">고급</f>
        <v>310884</v>
      </c>
      <c r="U132" s="118">
        <f t="shared" ca="1" si="29"/>
        <v>8393868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40</v>
      </c>
      <c r="O133" s="173">
        <v>6</v>
      </c>
      <c r="P133" s="234">
        <f ca="1">OFFSET($A$1,MATCH(Z129,$A:$A,0)-1,O133)</f>
        <v>44.6</v>
      </c>
      <c r="Q133" s="144" t="s">
        <v>29</v>
      </c>
      <c r="R133" s="118">
        <f t="shared" ca="1" si="28"/>
        <v>295138</v>
      </c>
      <c r="S133" s="118">
        <f t="shared" ca="1" si="28"/>
        <v>13163154</v>
      </c>
      <c r="T133" s="118">
        <f ca="1">중급</f>
        <v>295138</v>
      </c>
      <c r="U133" s="118">
        <f t="shared" ca="1" si="29"/>
        <v>13163154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41</v>
      </c>
      <c r="O134" s="173">
        <v>7</v>
      </c>
      <c r="P134" s="234">
        <f ca="1">OFFSET($A$1,MATCH(Z129,$A:$A,0)-1,O134)</f>
        <v>66</v>
      </c>
      <c r="Q134" s="144" t="s">
        <v>29</v>
      </c>
      <c r="R134" s="118">
        <f t="shared" ca="1" si="28"/>
        <v>235459</v>
      </c>
      <c r="S134" s="118">
        <f t="shared" ca="1" si="28"/>
        <v>15540294</v>
      </c>
      <c r="T134" s="118">
        <f ca="1">초급</f>
        <v>235459</v>
      </c>
      <c r="U134" s="118">
        <f t="shared" ca="1" si="29"/>
        <v>15540294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319" t="s">
        <v>42</v>
      </c>
      <c r="O135" s="174">
        <v>8</v>
      </c>
      <c r="P135" s="235">
        <f ca="1">OFFSET($A$1,MATCH(Z129,$A:$A,0)-1,O135)</f>
        <v>63.3</v>
      </c>
      <c r="Q135" s="322" t="s">
        <v>29</v>
      </c>
      <c r="R135" s="323">
        <f t="shared" ca="1" si="28"/>
        <v>250087</v>
      </c>
      <c r="S135" s="323">
        <f t="shared" ca="1" si="28"/>
        <v>15830507</v>
      </c>
      <c r="T135" s="323">
        <f ca="1">보조원</f>
        <v>250087</v>
      </c>
      <c r="U135" s="323">
        <f t="shared" ca="1" si="29"/>
        <v>15830507</v>
      </c>
      <c r="V135" s="323"/>
      <c r="W135" s="323"/>
      <c r="X135" s="323"/>
      <c r="Y135" s="323"/>
      <c r="Z135" s="324"/>
    </row>
    <row r="136" spans="11:26" ht="18" customHeight="1">
      <c r="K136" s="171" t="s">
        <v>14</v>
      </c>
      <c r="L136" s="171"/>
      <c r="M136" s="171"/>
      <c r="N136" s="139" t="s">
        <v>17</v>
      </c>
      <c r="O136" s="68"/>
      <c r="P136" s="69"/>
      <c r="Q136" s="70"/>
      <c r="R136" s="71"/>
      <c r="S136" s="71">
        <f ca="1">SUBTOTAL(9,S130:S135)</f>
        <v>61733983</v>
      </c>
      <c r="T136" s="71"/>
      <c r="U136" s="71">
        <f ca="1">SUBTOTAL(9,U130:U135)</f>
        <v>61733983</v>
      </c>
      <c r="V136" s="71"/>
      <c r="W136" s="71"/>
      <c r="X136" s="71"/>
      <c r="Y136" s="71"/>
      <c r="Z136" s="68"/>
    </row>
    <row r="137" spans="11:26" ht="18" customHeight="1">
      <c r="K137" s="171" t="s">
        <v>14</v>
      </c>
      <c r="L137" s="171"/>
      <c r="M137" s="171"/>
      <c r="N137" s="318" t="str">
        <f ca="1">"제 " &amp; Z137 &amp; " 호표  "&amp; OFFSET($A$1,MATCH(Z137,$A:$A,0)-1,1)</f>
        <v>제 11 호표  2.6. 기타 지구의 지정에 관한 사항</v>
      </c>
      <c r="O137" s="221"/>
      <c r="P137" s="148"/>
      <c r="Q137" s="148"/>
      <c r="R137" s="149"/>
      <c r="S137" s="149"/>
      <c r="T137" s="149"/>
      <c r="U137" s="149"/>
      <c r="V137" s="149"/>
      <c r="W137" s="149"/>
      <c r="X137" s="149"/>
      <c r="Y137" s="149"/>
      <c r="Z137" s="325">
        <f>Z129+1</f>
        <v>11</v>
      </c>
    </row>
    <row r="138" spans="11:26" ht="18" customHeight="1">
      <c r="K138" s="171" t="s">
        <v>14</v>
      </c>
      <c r="L138" s="171"/>
      <c r="M138" s="171"/>
      <c r="N138" s="140" t="s">
        <v>43</v>
      </c>
      <c r="O138" s="172">
        <v>3</v>
      </c>
      <c r="P138" s="219">
        <f ca="1">OFFSET($A$1,MATCH(Z137,$A:$A,0)-1,O138)</f>
        <v>2.5</v>
      </c>
      <c r="Q138" s="141" t="s">
        <v>29</v>
      </c>
      <c r="R138" s="142">
        <f t="shared" ref="R138:S143" ca="1" si="30">T138</f>
        <v>467217</v>
      </c>
      <c r="S138" s="142">
        <f t="shared" ca="1" si="30"/>
        <v>1168042</v>
      </c>
      <c r="T138" s="142">
        <f ca="1">기술사</f>
        <v>467217</v>
      </c>
      <c r="U138" s="142">
        <f t="shared" ref="U138:U143" ca="1" si="31">ROUNDDOWN(P138*R138,0)</f>
        <v>1168042</v>
      </c>
      <c r="V138" s="142"/>
      <c r="W138" s="142"/>
      <c r="X138" s="142"/>
      <c r="Y138" s="142"/>
      <c r="Z138" s="114"/>
    </row>
    <row r="139" spans="11:26" ht="18" customHeight="1">
      <c r="K139" s="171" t="s">
        <v>14</v>
      </c>
      <c r="L139" s="171"/>
      <c r="M139" s="171"/>
      <c r="N139" s="143" t="s">
        <v>32</v>
      </c>
      <c r="O139" s="173">
        <v>4</v>
      </c>
      <c r="P139" s="234">
        <f ca="1">OFFSET($A$1,MATCH(Z137,$A:$A,0)-1,O139)</f>
        <v>4.0999999999999996</v>
      </c>
      <c r="Q139" s="144" t="s">
        <v>29</v>
      </c>
      <c r="R139" s="118">
        <f t="shared" ca="1" si="30"/>
        <v>373353</v>
      </c>
      <c r="S139" s="118">
        <f t="shared" ca="1" si="30"/>
        <v>1530747</v>
      </c>
      <c r="T139" s="118">
        <f ca="1">특급</f>
        <v>373353</v>
      </c>
      <c r="U139" s="118">
        <f t="shared" ca="1" si="31"/>
        <v>1530747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39</v>
      </c>
      <c r="O140" s="173">
        <v>5</v>
      </c>
      <c r="P140" s="234">
        <f ca="1">OFFSET($A$1,MATCH(Z137,$A:$A,0)-1,O140)</f>
        <v>8.1</v>
      </c>
      <c r="Q140" s="144" t="s">
        <v>29</v>
      </c>
      <c r="R140" s="118">
        <f t="shared" ca="1" si="30"/>
        <v>310884</v>
      </c>
      <c r="S140" s="118">
        <f t="shared" ca="1" si="30"/>
        <v>2518160</v>
      </c>
      <c r="T140" s="118">
        <f ca="1">고급</f>
        <v>310884</v>
      </c>
      <c r="U140" s="118">
        <f t="shared" ca="1" si="31"/>
        <v>2518160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40</v>
      </c>
      <c r="O141" s="173">
        <v>6</v>
      </c>
      <c r="P141" s="234">
        <f ca="1">OFFSET($A$1,MATCH(Z137,$A:$A,0)-1,O141)</f>
        <v>13.4</v>
      </c>
      <c r="Q141" s="144" t="s">
        <v>29</v>
      </c>
      <c r="R141" s="118">
        <f t="shared" ca="1" si="30"/>
        <v>295138</v>
      </c>
      <c r="S141" s="118">
        <f t="shared" ca="1" si="30"/>
        <v>3954849</v>
      </c>
      <c r="T141" s="118">
        <f ca="1">중급</f>
        <v>295138</v>
      </c>
      <c r="U141" s="118">
        <f t="shared" ca="1" si="31"/>
        <v>3954849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41</v>
      </c>
      <c r="O142" s="173">
        <v>7</v>
      </c>
      <c r="P142" s="234">
        <f ca="1">OFFSET($A$1,MATCH(Z137,$A:$A,0)-1,O142)</f>
        <v>19.600000000000001</v>
      </c>
      <c r="Q142" s="144" t="s">
        <v>29</v>
      </c>
      <c r="R142" s="118">
        <f t="shared" ca="1" si="30"/>
        <v>235459</v>
      </c>
      <c r="S142" s="118">
        <f t="shared" ca="1" si="30"/>
        <v>4614996</v>
      </c>
      <c r="T142" s="118">
        <f ca="1">초급</f>
        <v>235459</v>
      </c>
      <c r="U142" s="118">
        <f t="shared" ca="1" si="31"/>
        <v>4614996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319" t="s">
        <v>42</v>
      </c>
      <c r="O143" s="174">
        <v>8</v>
      </c>
      <c r="P143" s="235">
        <f ca="1">OFFSET($A$1,MATCH(Z137,$A:$A,0)-1,O143)</f>
        <v>19</v>
      </c>
      <c r="Q143" s="322" t="s">
        <v>29</v>
      </c>
      <c r="R143" s="323">
        <f t="shared" ca="1" si="30"/>
        <v>250087</v>
      </c>
      <c r="S143" s="323">
        <f t="shared" ca="1" si="30"/>
        <v>4751653</v>
      </c>
      <c r="T143" s="323">
        <f ca="1">보조원</f>
        <v>250087</v>
      </c>
      <c r="U143" s="323">
        <f t="shared" ca="1" si="31"/>
        <v>4751653</v>
      </c>
      <c r="V143" s="323"/>
      <c r="W143" s="323"/>
      <c r="X143" s="323"/>
      <c r="Y143" s="323"/>
      <c r="Z143" s="324"/>
    </row>
    <row r="144" spans="11:26" ht="18" customHeight="1">
      <c r="K144" s="171" t="s">
        <v>14</v>
      </c>
      <c r="L144" s="171"/>
      <c r="M144" s="171"/>
      <c r="N144" s="139" t="s">
        <v>17</v>
      </c>
      <c r="O144" s="68"/>
      <c r="P144" s="69"/>
      <c r="Q144" s="70"/>
      <c r="R144" s="71"/>
      <c r="S144" s="71">
        <f ca="1">SUBTOTAL(9,S138:S143)</f>
        <v>18538447</v>
      </c>
      <c r="T144" s="71"/>
      <c r="U144" s="71">
        <f ca="1">SUBTOTAL(9,U138:U143)</f>
        <v>18538447</v>
      </c>
      <c r="V144" s="71"/>
      <c r="W144" s="71"/>
      <c r="X144" s="71"/>
      <c r="Y144" s="71"/>
      <c r="Z144" s="68"/>
    </row>
    <row r="145" spans="11:26" ht="18" customHeight="1">
      <c r="K145" s="171" t="s">
        <v>14</v>
      </c>
      <c r="L145" s="171"/>
      <c r="M145" s="171"/>
      <c r="N145" s="318" t="str">
        <f ca="1">"제 " &amp; Z145 &amp; " 호표  "&amp; OFFSET($A$1,MATCH(Z145,$A:$A,0)-1,1)</f>
        <v>제 12 호표  3.1. 보고서작성 및 편집</v>
      </c>
      <c r="O145" s="221"/>
      <c r="P145" s="148"/>
      <c r="Q145" s="148"/>
      <c r="R145" s="149"/>
      <c r="S145" s="149"/>
      <c r="T145" s="149"/>
      <c r="U145" s="149"/>
      <c r="V145" s="149"/>
      <c r="W145" s="149"/>
      <c r="X145" s="149"/>
      <c r="Y145" s="149"/>
      <c r="Z145" s="325">
        <f>Z137+1</f>
        <v>12</v>
      </c>
    </row>
    <row r="146" spans="11:26" ht="18" customHeight="1">
      <c r="K146" s="171" t="s">
        <v>14</v>
      </c>
      <c r="L146" s="171"/>
      <c r="M146" s="171"/>
      <c r="N146" s="140" t="s">
        <v>43</v>
      </c>
      <c r="O146" s="172">
        <v>3</v>
      </c>
      <c r="P146" s="219">
        <f ca="1">OFFSET($A$1,MATCH(Z145,$A:$A,0)-1,O146)</f>
        <v>4.8</v>
      </c>
      <c r="Q146" s="141" t="s">
        <v>29</v>
      </c>
      <c r="R146" s="142">
        <f t="shared" ref="R146:S151" ca="1" si="32">T146</f>
        <v>467217</v>
      </c>
      <c r="S146" s="142">
        <f t="shared" ca="1" si="32"/>
        <v>2242641</v>
      </c>
      <c r="T146" s="142">
        <f ca="1">기술사</f>
        <v>467217</v>
      </c>
      <c r="U146" s="142">
        <f t="shared" ref="U146:U151" ca="1" si="33">ROUNDDOWN(P146*R146,0)</f>
        <v>2242641</v>
      </c>
      <c r="V146" s="142"/>
      <c r="W146" s="142"/>
      <c r="X146" s="142"/>
      <c r="Y146" s="142"/>
      <c r="Z146" s="114"/>
    </row>
    <row r="147" spans="11:26" ht="18" customHeight="1">
      <c r="K147" s="171" t="s">
        <v>14</v>
      </c>
      <c r="L147" s="171"/>
      <c r="M147" s="171"/>
      <c r="N147" s="143" t="s">
        <v>32</v>
      </c>
      <c r="O147" s="173">
        <v>4</v>
      </c>
      <c r="P147" s="234">
        <f ca="1">OFFSET($A$1,MATCH(Z145,$A:$A,0)-1,O147)</f>
        <v>7.5</v>
      </c>
      <c r="Q147" s="144" t="s">
        <v>29</v>
      </c>
      <c r="R147" s="118">
        <f t="shared" ca="1" si="32"/>
        <v>373353</v>
      </c>
      <c r="S147" s="118">
        <f t="shared" ca="1" si="32"/>
        <v>2800147</v>
      </c>
      <c r="T147" s="118">
        <f ca="1">특급</f>
        <v>373353</v>
      </c>
      <c r="U147" s="118">
        <f t="shared" ca="1" si="33"/>
        <v>2800147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39</v>
      </c>
      <c r="O148" s="173">
        <v>5</v>
      </c>
      <c r="P148" s="234">
        <f ca="1">OFFSET($A$1,MATCH(Z145,$A:$A,0)-1,O148)</f>
        <v>17</v>
      </c>
      <c r="Q148" s="144" t="s">
        <v>29</v>
      </c>
      <c r="R148" s="118">
        <f t="shared" ca="1" si="32"/>
        <v>310884</v>
      </c>
      <c r="S148" s="118">
        <f t="shared" ca="1" si="32"/>
        <v>5285028</v>
      </c>
      <c r="T148" s="118">
        <f ca="1">고급</f>
        <v>310884</v>
      </c>
      <c r="U148" s="118">
        <f t="shared" ca="1" si="33"/>
        <v>5285028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40</v>
      </c>
      <c r="O149" s="173">
        <v>6</v>
      </c>
      <c r="P149" s="234">
        <f ca="1">OFFSET($A$1,MATCH(Z145,$A:$A,0)-1,O149)</f>
        <v>28.3</v>
      </c>
      <c r="Q149" s="144" t="s">
        <v>29</v>
      </c>
      <c r="R149" s="118">
        <f t="shared" ca="1" si="32"/>
        <v>295138</v>
      </c>
      <c r="S149" s="118">
        <f t="shared" ca="1" si="32"/>
        <v>8352405</v>
      </c>
      <c r="T149" s="118">
        <f ca="1">중급</f>
        <v>295138</v>
      </c>
      <c r="U149" s="118">
        <f t="shared" ca="1" si="33"/>
        <v>8352405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41</v>
      </c>
      <c r="O150" s="173">
        <v>7</v>
      </c>
      <c r="P150" s="234">
        <f ca="1">OFFSET($A$1,MATCH(Z145,$A:$A,0)-1,O150)</f>
        <v>28.1</v>
      </c>
      <c r="Q150" s="144" t="s">
        <v>29</v>
      </c>
      <c r="R150" s="118">
        <f t="shared" ca="1" si="32"/>
        <v>235459</v>
      </c>
      <c r="S150" s="118">
        <f t="shared" ca="1" si="32"/>
        <v>6616397</v>
      </c>
      <c r="T150" s="118">
        <f ca="1">초급</f>
        <v>235459</v>
      </c>
      <c r="U150" s="118">
        <f t="shared" ca="1" si="33"/>
        <v>6616397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319" t="s">
        <v>42</v>
      </c>
      <c r="O151" s="174">
        <v>8</v>
      </c>
      <c r="P151" s="235">
        <f ca="1">OFFSET($A$1,MATCH(Z145,$A:$A,0)-1,O151)</f>
        <v>18.600000000000001</v>
      </c>
      <c r="Q151" s="322" t="s">
        <v>29</v>
      </c>
      <c r="R151" s="323">
        <f t="shared" ca="1" si="32"/>
        <v>250087</v>
      </c>
      <c r="S151" s="323">
        <f t="shared" ca="1" si="32"/>
        <v>4651618</v>
      </c>
      <c r="T151" s="323">
        <f ca="1">보조원</f>
        <v>250087</v>
      </c>
      <c r="U151" s="323">
        <f t="shared" ca="1" si="33"/>
        <v>4651618</v>
      </c>
      <c r="V151" s="323"/>
      <c r="W151" s="323"/>
      <c r="X151" s="323"/>
      <c r="Y151" s="323"/>
      <c r="Z151" s="324"/>
    </row>
    <row r="152" spans="11:26" ht="18" customHeight="1">
      <c r="K152" s="171" t="s">
        <v>14</v>
      </c>
      <c r="L152" s="171"/>
      <c r="M152" s="171"/>
      <c r="N152" s="139" t="s">
        <v>17</v>
      </c>
      <c r="O152" s="68"/>
      <c r="P152" s="69"/>
      <c r="Q152" s="70"/>
      <c r="R152" s="71"/>
      <c r="S152" s="71">
        <f ca="1">SUBTOTAL(9,S146:S151)</f>
        <v>29948236</v>
      </c>
      <c r="T152" s="71"/>
      <c r="U152" s="71">
        <f ca="1">SUBTOTAL(9,U146:U151)</f>
        <v>29948236</v>
      </c>
      <c r="V152" s="71"/>
      <c r="W152" s="71"/>
      <c r="X152" s="71"/>
      <c r="Y152" s="71"/>
      <c r="Z152" s="68"/>
    </row>
    <row r="153" spans="11:26" ht="18" customHeight="1">
      <c r="K153" s="171" t="s">
        <v>14</v>
      </c>
      <c r="L153" s="171"/>
      <c r="M153" s="171"/>
      <c r="N153" s="318" t="str">
        <f ca="1">"제 " &amp; Z153 &amp; " 호표  "&amp; OFFSET($A$1,MATCH(Z153,$A:$A,0)-1,1)</f>
        <v>제 13 호표  3.2. 관련도서작성</v>
      </c>
      <c r="O153" s="221"/>
      <c r="P153" s="148"/>
      <c r="Q153" s="148"/>
      <c r="R153" s="149"/>
      <c r="S153" s="149"/>
      <c r="T153" s="149"/>
      <c r="U153" s="149"/>
      <c r="V153" s="149"/>
      <c r="W153" s="149"/>
      <c r="X153" s="149"/>
      <c r="Y153" s="149"/>
      <c r="Z153" s="325">
        <f>Z145+1</f>
        <v>13</v>
      </c>
    </row>
    <row r="154" spans="11:26" ht="18" customHeight="1">
      <c r="K154" s="171" t="s">
        <v>14</v>
      </c>
      <c r="L154" s="171"/>
      <c r="M154" s="171"/>
      <c r="N154" s="140" t="s">
        <v>43</v>
      </c>
      <c r="O154" s="172">
        <v>3</v>
      </c>
      <c r="P154" s="219">
        <f ca="1">OFFSET($A$1,MATCH(Z153,$A:$A,0)-1,O154)</f>
        <v>2.2000000000000002</v>
      </c>
      <c r="Q154" s="141" t="s">
        <v>29</v>
      </c>
      <c r="R154" s="142">
        <f t="shared" ref="R154:S159" ca="1" si="34">T154</f>
        <v>467217</v>
      </c>
      <c r="S154" s="142">
        <f t="shared" ca="1" si="34"/>
        <v>1027877</v>
      </c>
      <c r="T154" s="142">
        <f ca="1">기술사</f>
        <v>467217</v>
      </c>
      <c r="U154" s="142">
        <f t="shared" ref="U154:U159" ca="1" si="35">ROUNDDOWN(P154*R154,0)</f>
        <v>1027877</v>
      </c>
      <c r="V154" s="142"/>
      <c r="W154" s="142"/>
      <c r="X154" s="142"/>
      <c r="Y154" s="142"/>
      <c r="Z154" s="114"/>
    </row>
    <row r="155" spans="11:26" ht="18" customHeight="1">
      <c r="K155" s="171" t="s">
        <v>14</v>
      </c>
      <c r="L155" s="171"/>
      <c r="M155" s="171"/>
      <c r="N155" s="143" t="s">
        <v>32</v>
      </c>
      <c r="O155" s="173">
        <v>4</v>
      </c>
      <c r="P155" s="234">
        <f ca="1">OFFSET($A$1,MATCH(Z153,$A:$A,0)-1,O155)</f>
        <v>3.9</v>
      </c>
      <c r="Q155" s="144" t="s">
        <v>29</v>
      </c>
      <c r="R155" s="118">
        <f t="shared" ca="1" si="34"/>
        <v>373353</v>
      </c>
      <c r="S155" s="118">
        <f t="shared" ca="1" si="34"/>
        <v>1456076</v>
      </c>
      <c r="T155" s="118">
        <f ca="1">특급</f>
        <v>373353</v>
      </c>
      <c r="U155" s="118">
        <f t="shared" ca="1" si="35"/>
        <v>1456076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39</v>
      </c>
      <c r="O156" s="173">
        <v>5</v>
      </c>
      <c r="P156" s="234">
        <f ca="1">OFFSET($A$1,MATCH(Z153,$A:$A,0)-1,O156)</f>
        <v>8.6</v>
      </c>
      <c r="Q156" s="144" t="s">
        <v>29</v>
      </c>
      <c r="R156" s="118">
        <f t="shared" ca="1" si="34"/>
        <v>310884</v>
      </c>
      <c r="S156" s="118">
        <f t="shared" ca="1" si="34"/>
        <v>2673602</v>
      </c>
      <c r="T156" s="118">
        <f ca="1">고급</f>
        <v>310884</v>
      </c>
      <c r="U156" s="118">
        <f t="shared" ca="1" si="35"/>
        <v>2673602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40</v>
      </c>
      <c r="O157" s="173">
        <v>6</v>
      </c>
      <c r="P157" s="234">
        <f ca="1">OFFSET($A$1,MATCH(Z153,$A:$A,0)-1,O157)</f>
        <v>19.100000000000001</v>
      </c>
      <c r="Q157" s="144" t="s">
        <v>29</v>
      </c>
      <c r="R157" s="118">
        <f t="shared" ca="1" si="34"/>
        <v>295138</v>
      </c>
      <c r="S157" s="118">
        <f t="shared" ca="1" si="34"/>
        <v>5637135</v>
      </c>
      <c r="T157" s="118">
        <f ca="1">중급</f>
        <v>295138</v>
      </c>
      <c r="U157" s="118">
        <f t="shared" ca="1" si="35"/>
        <v>5637135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41</v>
      </c>
      <c r="O158" s="173">
        <v>7</v>
      </c>
      <c r="P158" s="234">
        <f ca="1">OFFSET($A$1,MATCH(Z153,$A:$A,0)-1,O158)</f>
        <v>37.799999999999997</v>
      </c>
      <c r="Q158" s="144" t="s">
        <v>29</v>
      </c>
      <c r="R158" s="118">
        <f t="shared" ca="1" si="34"/>
        <v>235459</v>
      </c>
      <c r="S158" s="118">
        <f t="shared" ca="1" si="34"/>
        <v>8900350</v>
      </c>
      <c r="T158" s="118">
        <f ca="1">초급</f>
        <v>235459</v>
      </c>
      <c r="U158" s="118">
        <f t="shared" ca="1" si="35"/>
        <v>8900350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319" t="s">
        <v>42</v>
      </c>
      <c r="O159" s="174">
        <v>8</v>
      </c>
      <c r="P159" s="235">
        <f ca="1">OFFSET($A$1,MATCH(Z153,$A:$A,0)-1,O159)</f>
        <v>47.2</v>
      </c>
      <c r="Q159" s="322" t="s">
        <v>29</v>
      </c>
      <c r="R159" s="323">
        <f t="shared" ca="1" si="34"/>
        <v>250087</v>
      </c>
      <c r="S159" s="323">
        <f t="shared" ca="1" si="34"/>
        <v>11804106</v>
      </c>
      <c r="T159" s="323">
        <f ca="1">보조원</f>
        <v>250087</v>
      </c>
      <c r="U159" s="323">
        <f t="shared" ca="1" si="35"/>
        <v>11804106</v>
      </c>
      <c r="V159" s="323"/>
      <c r="W159" s="323"/>
      <c r="X159" s="323"/>
      <c r="Y159" s="323"/>
      <c r="Z159" s="324"/>
    </row>
    <row r="160" spans="11:26" ht="18" customHeight="1">
      <c r="K160" s="171" t="s">
        <v>14</v>
      </c>
      <c r="L160" s="171"/>
      <c r="M160" s="171"/>
      <c r="N160" s="139" t="s">
        <v>17</v>
      </c>
      <c r="O160" s="68"/>
      <c r="P160" s="69"/>
      <c r="Q160" s="70"/>
      <c r="R160" s="71"/>
      <c r="S160" s="71">
        <f ca="1">SUBTOTAL(9,S154:S159)</f>
        <v>31499146</v>
      </c>
      <c r="T160" s="71"/>
      <c r="U160" s="71">
        <f ca="1">SUBTOTAL(9,U154:U159)</f>
        <v>31499146</v>
      </c>
      <c r="V160" s="71"/>
      <c r="W160" s="71"/>
      <c r="X160" s="71"/>
      <c r="Y160" s="71"/>
      <c r="Z160" s="68"/>
    </row>
    <row r="161" spans="11:26" ht="18" customHeight="1">
      <c r="K161" s="171" t="s">
        <v>14</v>
      </c>
      <c r="L161" s="171"/>
      <c r="M161" s="171"/>
      <c r="N161" s="318" t="str">
        <f ca="1">"제 " &amp; Z161 &amp; " 호표  "&amp; OFFSET($A$1,MATCH(Z161,$A:$A,0)-1,1)</f>
        <v>제 14 호표  4.1. 공청회/주민설명회</v>
      </c>
      <c r="O161" s="221"/>
      <c r="P161" s="148"/>
      <c r="Q161" s="148"/>
      <c r="R161" s="149"/>
      <c r="S161" s="149"/>
      <c r="T161" s="149"/>
      <c r="U161" s="149"/>
      <c r="V161" s="149"/>
      <c r="W161" s="149"/>
      <c r="X161" s="149"/>
      <c r="Y161" s="149"/>
      <c r="Z161" s="325">
        <f>Z153+1</f>
        <v>14</v>
      </c>
    </row>
    <row r="162" spans="11:26" ht="18" customHeight="1">
      <c r="K162" s="171" t="s">
        <v>14</v>
      </c>
      <c r="L162" s="171"/>
      <c r="M162" s="171"/>
      <c r="N162" s="140" t="s">
        <v>43</v>
      </c>
      <c r="O162" s="172">
        <v>3</v>
      </c>
      <c r="P162" s="219">
        <f ca="1">OFFSET($A$1,MATCH(Z161,$A:$A,0)-1,O162)</f>
        <v>2</v>
      </c>
      <c r="Q162" s="141" t="s">
        <v>29</v>
      </c>
      <c r="R162" s="142">
        <f t="shared" ref="R162:S167" ca="1" si="36">T162</f>
        <v>467217</v>
      </c>
      <c r="S162" s="142">
        <f t="shared" ca="1" si="36"/>
        <v>934434</v>
      </c>
      <c r="T162" s="142">
        <f ca="1">기술사</f>
        <v>467217</v>
      </c>
      <c r="U162" s="142">
        <f t="shared" ref="U162:U167" ca="1" si="37">ROUNDDOWN(P162*R162,0)</f>
        <v>934434</v>
      </c>
      <c r="V162" s="142"/>
      <c r="W162" s="142"/>
      <c r="X162" s="142"/>
      <c r="Y162" s="142"/>
      <c r="Z162" s="114"/>
    </row>
    <row r="163" spans="11:26" ht="18" customHeight="1">
      <c r="K163" s="171" t="s">
        <v>14</v>
      </c>
      <c r="L163" s="171"/>
      <c r="M163" s="171"/>
      <c r="N163" s="143" t="s">
        <v>32</v>
      </c>
      <c r="O163" s="173">
        <v>4</v>
      </c>
      <c r="P163" s="234">
        <f ca="1">OFFSET($A$1,MATCH(Z161,$A:$A,0)-1,O163)</f>
        <v>2</v>
      </c>
      <c r="Q163" s="144" t="s">
        <v>29</v>
      </c>
      <c r="R163" s="118">
        <f t="shared" ca="1" si="36"/>
        <v>373353</v>
      </c>
      <c r="S163" s="118">
        <f t="shared" ca="1" si="36"/>
        <v>746706</v>
      </c>
      <c r="T163" s="118">
        <f ca="1">특급</f>
        <v>373353</v>
      </c>
      <c r="U163" s="118">
        <f t="shared" ca="1" si="37"/>
        <v>746706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39</v>
      </c>
      <c r="O164" s="173">
        <v>5</v>
      </c>
      <c r="P164" s="234">
        <f ca="1">OFFSET($A$1,MATCH(Z161,$A:$A,0)-1,O164)</f>
        <v>2</v>
      </c>
      <c r="Q164" s="144" t="s">
        <v>29</v>
      </c>
      <c r="R164" s="118">
        <f t="shared" ca="1" si="36"/>
        <v>310884</v>
      </c>
      <c r="S164" s="118">
        <f t="shared" ca="1" si="36"/>
        <v>621768</v>
      </c>
      <c r="T164" s="118">
        <f ca="1">고급</f>
        <v>310884</v>
      </c>
      <c r="U164" s="118">
        <f t="shared" ca="1" si="37"/>
        <v>621768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40</v>
      </c>
      <c r="O165" s="173">
        <v>6</v>
      </c>
      <c r="P165" s="234">
        <f ca="1">OFFSET($A$1,MATCH(Z161,$A:$A,0)-1,O165)</f>
        <v>4</v>
      </c>
      <c r="Q165" s="144" t="s">
        <v>29</v>
      </c>
      <c r="R165" s="118">
        <f t="shared" ca="1" si="36"/>
        <v>295138</v>
      </c>
      <c r="S165" s="118">
        <f t="shared" ca="1" si="36"/>
        <v>1180552</v>
      </c>
      <c r="T165" s="118">
        <f ca="1">중급</f>
        <v>295138</v>
      </c>
      <c r="U165" s="118">
        <f t="shared" ca="1" si="37"/>
        <v>1180552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41</v>
      </c>
      <c r="O166" s="173">
        <v>7</v>
      </c>
      <c r="P166" s="234">
        <f ca="1">OFFSET($A$1,MATCH(Z161,$A:$A,0)-1,O166)</f>
        <v>4</v>
      </c>
      <c r="Q166" s="144" t="s">
        <v>29</v>
      </c>
      <c r="R166" s="118">
        <f t="shared" ca="1" si="36"/>
        <v>235459</v>
      </c>
      <c r="S166" s="118">
        <f t="shared" ca="1" si="36"/>
        <v>941836</v>
      </c>
      <c r="T166" s="118">
        <f ca="1">초급</f>
        <v>235459</v>
      </c>
      <c r="U166" s="118">
        <f t="shared" ca="1" si="37"/>
        <v>941836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319" t="s">
        <v>42</v>
      </c>
      <c r="O167" s="174">
        <v>8</v>
      </c>
      <c r="P167" s="235">
        <f ca="1">OFFSET($A$1,MATCH(Z161,$A:$A,0)-1,O167)</f>
        <v>4</v>
      </c>
      <c r="Q167" s="322" t="s">
        <v>29</v>
      </c>
      <c r="R167" s="323">
        <f t="shared" ca="1" si="36"/>
        <v>250087</v>
      </c>
      <c r="S167" s="323">
        <f t="shared" ca="1" si="36"/>
        <v>1000348</v>
      </c>
      <c r="T167" s="323">
        <f ca="1">보조원</f>
        <v>250087</v>
      </c>
      <c r="U167" s="323">
        <f t="shared" ca="1" si="37"/>
        <v>1000348</v>
      </c>
      <c r="V167" s="323"/>
      <c r="W167" s="323"/>
      <c r="X167" s="323"/>
      <c r="Y167" s="323"/>
      <c r="Z167" s="324"/>
    </row>
    <row r="168" spans="11:26" ht="18" customHeight="1">
      <c r="K168" s="171" t="s">
        <v>14</v>
      </c>
      <c r="L168" s="171"/>
      <c r="M168" s="171"/>
      <c r="N168" s="139" t="s">
        <v>17</v>
      </c>
      <c r="O168" s="68"/>
      <c r="P168" s="69"/>
      <c r="Q168" s="70"/>
      <c r="R168" s="71"/>
      <c r="S168" s="71">
        <f ca="1">SUBTOTAL(9,S162:S167)</f>
        <v>5425644</v>
      </c>
      <c r="T168" s="71"/>
      <c r="U168" s="71">
        <f ca="1">SUBTOTAL(9,U162:U167)</f>
        <v>5425644</v>
      </c>
      <c r="V168" s="71"/>
      <c r="W168" s="71"/>
      <c r="X168" s="71"/>
      <c r="Y168" s="71"/>
      <c r="Z168" s="68"/>
    </row>
    <row r="169" spans="11:26" ht="18" customHeight="1">
      <c r="K169" s="171" t="s">
        <v>14</v>
      </c>
      <c r="L169" s="171"/>
      <c r="M169" s="171"/>
      <c r="N169" s="318" t="str">
        <f ca="1">"제 " &amp; Z169 &amp; " 호표  "&amp; OFFSET($A$1,MATCH(Z169,$A:$A,0)-1,1)</f>
        <v>제 15 호표  4.2. 주민간담회/시민계획단</v>
      </c>
      <c r="O169" s="221"/>
      <c r="P169" s="148"/>
      <c r="Q169" s="148"/>
      <c r="R169" s="149"/>
      <c r="S169" s="149"/>
      <c r="T169" s="149"/>
      <c r="U169" s="149"/>
      <c r="V169" s="149"/>
      <c r="W169" s="149"/>
      <c r="X169" s="149"/>
      <c r="Y169" s="149"/>
      <c r="Z169" s="325">
        <f>Z161+1</f>
        <v>15</v>
      </c>
    </row>
    <row r="170" spans="11:26" ht="18" customHeight="1">
      <c r="K170" s="171" t="s">
        <v>14</v>
      </c>
      <c r="L170" s="171"/>
      <c r="M170" s="171"/>
      <c r="N170" s="140" t="s">
        <v>43</v>
      </c>
      <c r="O170" s="172">
        <v>3</v>
      </c>
      <c r="P170" s="219">
        <f ca="1">OFFSET($A$1,MATCH(Z169,$A:$A,0)-1,O170)</f>
        <v>2</v>
      </c>
      <c r="Q170" s="141" t="s">
        <v>29</v>
      </c>
      <c r="R170" s="142">
        <f t="shared" ref="R170:S175" ca="1" si="38">T170</f>
        <v>467217</v>
      </c>
      <c r="S170" s="142">
        <f t="shared" ca="1" si="38"/>
        <v>934434</v>
      </c>
      <c r="T170" s="142">
        <f ca="1">기술사</f>
        <v>467217</v>
      </c>
      <c r="U170" s="142">
        <f t="shared" ref="U170:U175" ca="1" si="39">ROUNDDOWN(P170*R170,0)</f>
        <v>934434</v>
      </c>
      <c r="V170" s="142"/>
      <c r="W170" s="142"/>
      <c r="X170" s="142"/>
      <c r="Y170" s="142"/>
      <c r="Z170" s="114"/>
    </row>
    <row r="171" spans="11:26" ht="18" customHeight="1">
      <c r="K171" s="171" t="s">
        <v>14</v>
      </c>
      <c r="L171" s="171"/>
      <c r="M171" s="171"/>
      <c r="N171" s="143" t="s">
        <v>32</v>
      </c>
      <c r="O171" s="173">
        <v>4</v>
      </c>
      <c r="P171" s="234">
        <f ca="1">OFFSET($A$1,MATCH(Z169,$A:$A,0)-1,O171)</f>
        <v>2</v>
      </c>
      <c r="Q171" s="144" t="s">
        <v>29</v>
      </c>
      <c r="R171" s="118">
        <f t="shared" ca="1" si="38"/>
        <v>373353</v>
      </c>
      <c r="S171" s="118">
        <f t="shared" ca="1" si="38"/>
        <v>746706</v>
      </c>
      <c r="T171" s="118">
        <f ca="1">특급</f>
        <v>373353</v>
      </c>
      <c r="U171" s="118">
        <f t="shared" ca="1" si="39"/>
        <v>746706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39</v>
      </c>
      <c r="O172" s="173">
        <v>5</v>
      </c>
      <c r="P172" s="234">
        <f ca="1">OFFSET($A$1,MATCH(Z169,$A:$A,0)-1,O172)</f>
        <v>2</v>
      </c>
      <c r="Q172" s="144" t="s">
        <v>29</v>
      </c>
      <c r="R172" s="118">
        <f t="shared" ca="1" si="38"/>
        <v>310884</v>
      </c>
      <c r="S172" s="118">
        <f t="shared" ca="1" si="38"/>
        <v>621768</v>
      </c>
      <c r="T172" s="118">
        <f ca="1">고급</f>
        <v>310884</v>
      </c>
      <c r="U172" s="118">
        <f t="shared" ca="1" si="39"/>
        <v>621768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40</v>
      </c>
      <c r="O173" s="173">
        <v>6</v>
      </c>
      <c r="P173" s="234">
        <f ca="1">OFFSET($A$1,MATCH(Z169,$A:$A,0)-1,O173)</f>
        <v>4</v>
      </c>
      <c r="Q173" s="144" t="s">
        <v>29</v>
      </c>
      <c r="R173" s="118">
        <f t="shared" ca="1" si="38"/>
        <v>295138</v>
      </c>
      <c r="S173" s="118">
        <f t="shared" ca="1" si="38"/>
        <v>1180552</v>
      </c>
      <c r="T173" s="118">
        <f ca="1">중급</f>
        <v>295138</v>
      </c>
      <c r="U173" s="118">
        <f t="shared" ca="1" si="39"/>
        <v>1180552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41</v>
      </c>
      <c r="O174" s="173">
        <v>7</v>
      </c>
      <c r="P174" s="234">
        <f ca="1">OFFSET($A$1,MATCH(Z169,$A:$A,0)-1,O174)</f>
        <v>4</v>
      </c>
      <c r="Q174" s="144" t="s">
        <v>29</v>
      </c>
      <c r="R174" s="118">
        <f t="shared" ca="1" si="38"/>
        <v>235459</v>
      </c>
      <c r="S174" s="118">
        <f t="shared" ca="1" si="38"/>
        <v>941836</v>
      </c>
      <c r="T174" s="118">
        <f ca="1">초급</f>
        <v>235459</v>
      </c>
      <c r="U174" s="118">
        <f t="shared" ca="1" si="39"/>
        <v>941836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319" t="s">
        <v>42</v>
      </c>
      <c r="O175" s="174">
        <v>8</v>
      </c>
      <c r="P175" s="235">
        <f ca="1">OFFSET($A$1,MATCH(Z169,$A:$A,0)-1,O175)</f>
        <v>4</v>
      </c>
      <c r="Q175" s="322" t="s">
        <v>29</v>
      </c>
      <c r="R175" s="323">
        <f t="shared" ca="1" si="38"/>
        <v>250087</v>
      </c>
      <c r="S175" s="323">
        <f t="shared" ca="1" si="38"/>
        <v>1000348</v>
      </c>
      <c r="T175" s="323">
        <f ca="1">보조원</f>
        <v>250087</v>
      </c>
      <c r="U175" s="323">
        <f t="shared" ca="1" si="39"/>
        <v>1000348</v>
      </c>
      <c r="V175" s="323"/>
      <c r="W175" s="323"/>
      <c r="X175" s="323"/>
      <c r="Y175" s="323"/>
      <c r="Z175" s="324"/>
    </row>
    <row r="176" spans="11:26" ht="18" customHeight="1">
      <c r="K176" s="171" t="s">
        <v>14</v>
      </c>
      <c r="L176" s="171"/>
      <c r="M176" s="171"/>
      <c r="N176" s="139" t="s">
        <v>17</v>
      </c>
      <c r="O176" s="68"/>
      <c r="P176" s="69"/>
      <c r="Q176" s="70"/>
      <c r="R176" s="71"/>
      <c r="S176" s="71">
        <f ca="1">SUBTOTAL(9,S170:S175)</f>
        <v>5425644</v>
      </c>
      <c r="T176" s="71"/>
      <c r="U176" s="71">
        <f ca="1">SUBTOTAL(9,U170:U175)</f>
        <v>5425644</v>
      </c>
      <c r="V176" s="71"/>
      <c r="W176" s="71"/>
      <c r="X176" s="71"/>
      <c r="Y176" s="71"/>
      <c r="Z176" s="68"/>
    </row>
    <row r="177" spans="11:26" ht="18" customHeight="1">
      <c r="K177" s="171" t="s">
        <v>14</v>
      </c>
      <c r="L177" s="171"/>
      <c r="M177" s="171"/>
      <c r="N177" s="318" t="str">
        <f ca="1">"제 " &amp; Z177 &amp; " 호표  "&amp; OFFSET($A$1,MATCH(Z177,$A:$A,0)-1,1)</f>
        <v>제 16 호표  4.3. 위원회심의 지원</v>
      </c>
      <c r="O177" s="221"/>
      <c r="P177" s="148"/>
      <c r="Q177" s="148"/>
      <c r="R177" s="149"/>
      <c r="S177" s="149"/>
      <c r="T177" s="149"/>
      <c r="U177" s="149"/>
      <c r="V177" s="149"/>
      <c r="W177" s="149"/>
      <c r="X177" s="149"/>
      <c r="Y177" s="149"/>
      <c r="Z177" s="325">
        <f>Z169+1</f>
        <v>16</v>
      </c>
    </row>
    <row r="178" spans="11:26" ht="18" customHeight="1">
      <c r="K178" s="171" t="s">
        <v>14</v>
      </c>
      <c r="L178" s="171"/>
      <c r="M178" s="171"/>
      <c r="N178" s="140" t="s">
        <v>43</v>
      </c>
      <c r="O178" s="172">
        <v>3</v>
      </c>
      <c r="P178" s="219">
        <f ca="1">OFFSET($A$1,MATCH(Z177,$A:$A,0)-1,O178)</f>
        <v>2</v>
      </c>
      <c r="Q178" s="141" t="s">
        <v>29</v>
      </c>
      <c r="R178" s="142">
        <f t="shared" ref="R178:S183" ca="1" si="40">T178</f>
        <v>467217</v>
      </c>
      <c r="S178" s="142">
        <f t="shared" ca="1" si="40"/>
        <v>934434</v>
      </c>
      <c r="T178" s="142">
        <f ca="1">기술사</f>
        <v>467217</v>
      </c>
      <c r="U178" s="142">
        <f t="shared" ref="U178:U183" ca="1" si="41">ROUNDDOWN(P178*R178,0)</f>
        <v>934434</v>
      </c>
      <c r="V178" s="142"/>
      <c r="W178" s="142"/>
      <c r="X178" s="142"/>
      <c r="Y178" s="142"/>
      <c r="Z178" s="114"/>
    </row>
    <row r="179" spans="11:26" ht="18" customHeight="1">
      <c r="K179" s="171" t="s">
        <v>14</v>
      </c>
      <c r="L179" s="171"/>
      <c r="M179" s="171"/>
      <c r="N179" s="143" t="s">
        <v>32</v>
      </c>
      <c r="O179" s="173">
        <v>4</v>
      </c>
      <c r="P179" s="234">
        <f ca="1">OFFSET($A$1,MATCH(Z177,$A:$A,0)-1,O179)</f>
        <v>2</v>
      </c>
      <c r="Q179" s="144" t="s">
        <v>29</v>
      </c>
      <c r="R179" s="118">
        <f t="shared" ca="1" si="40"/>
        <v>373353</v>
      </c>
      <c r="S179" s="118">
        <f t="shared" ca="1" si="40"/>
        <v>746706</v>
      </c>
      <c r="T179" s="118">
        <f ca="1">특급</f>
        <v>373353</v>
      </c>
      <c r="U179" s="118">
        <f t="shared" ca="1" si="41"/>
        <v>746706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39</v>
      </c>
      <c r="O180" s="173">
        <v>5</v>
      </c>
      <c r="P180" s="234">
        <f ca="1">OFFSET($A$1,MATCH(Z177,$A:$A,0)-1,O180)</f>
        <v>2</v>
      </c>
      <c r="Q180" s="144" t="s">
        <v>29</v>
      </c>
      <c r="R180" s="118">
        <f t="shared" ca="1" si="40"/>
        <v>310884</v>
      </c>
      <c r="S180" s="118">
        <f t="shared" ca="1" si="40"/>
        <v>621768</v>
      </c>
      <c r="T180" s="118">
        <f ca="1">고급</f>
        <v>310884</v>
      </c>
      <c r="U180" s="118">
        <f t="shared" ca="1" si="41"/>
        <v>621768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40</v>
      </c>
      <c r="O181" s="173">
        <v>6</v>
      </c>
      <c r="P181" s="234">
        <f ca="1">OFFSET($A$1,MATCH(Z177,$A:$A,0)-1,O181)</f>
        <v>4</v>
      </c>
      <c r="Q181" s="144" t="s">
        <v>29</v>
      </c>
      <c r="R181" s="118">
        <f t="shared" ca="1" si="40"/>
        <v>295138</v>
      </c>
      <c r="S181" s="118">
        <f t="shared" ca="1" si="40"/>
        <v>1180552</v>
      </c>
      <c r="T181" s="118">
        <f ca="1">중급</f>
        <v>295138</v>
      </c>
      <c r="U181" s="118">
        <f t="shared" ca="1" si="41"/>
        <v>1180552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41</v>
      </c>
      <c r="O182" s="173">
        <v>7</v>
      </c>
      <c r="P182" s="234">
        <f ca="1">OFFSET($A$1,MATCH(Z177,$A:$A,0)-1,O182)</f>
        <v>4</v>
      </c>
      <c r="Q182" s="144" t="s">
        <v>29</v>
      </c>
      <c r="R182" s="118">
        <f t="shared" ca="1" si="40"/>
        <v>235459</v>
      </c>
      <c r="S182" s="118">
        <f t="shared" ca="1" si="40"/>
        <v>941836</v>
      </c>
      <c r="T182" s="118">
        <f ca="1">초급</f>
        <v>235459</v>
      </c>
      <c r="U182" s="118">
        <f t="shared" ca="1" si="41"/>
        <v>941836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319" t="s">
        <v>42</v>
      </c>
      <c r="O183" s="174">
        <v>8</v>
      </c>
      <c r="P183" s="235">
        <f ca="1">OFFSET($A$1,MATCH(Z177,$A:$A,0)-1,O183)</f>
        <v>4</v>
      </c>
      <c r="Q183" s="322" t="s">
        <v>29</v>
      </c>
      <c r="R183" s="323">
        <f t="shared" ca="1" si="40"/>
        <v>250087</v>
      </c>
      <c r="S183" s="323">
        <f t="shared" ca="1" si="40"/>
        <v>1000348</v>
      </c>
      <c r="T183" s="323">
        <f ca="1">보조원</f>
        <v>250087</v>
      </c>
      <c r="U183" s="323">
        <f t="shared" ca="1" si="41"/>
        <v>1000348</v>
      </c>
      <c r="V183" s="323"/>
      <c r="W183" s="323"/>
      <c r="X183" s="323"/>
      <c r="Y183" s="323"/>
      <c r="Z183" s="324"/>
    </row>
    <row r="184" spans="11:26" ht="18" customHeight="1">
      <c r="K184" s="171" t="s">
        <v>14</v>
      </c>
      <c r="L184" s="171"/>
      <c r="M184" s="171"/>
      <c r="N184" s="139" t="s">
        <v>17</v>
      </c>
      <c r="O184" s="68"/>
      <c r="P184" s="69"/>
      <c r="Q184" s="70"/>
      <c r="R184" s="71"/>
      <c r="S184" s="71">
        <f ca="1">SUBTOTAL(9,S178:S183)</f>
        <v>5425644</v>
      </c>
      <c r="T184" s="71"/>
      <c r="U184" s="71">
        <f ca="1">SUBTOTAL(9,U178:U183)</f>
        <v>5425644</v>
      </c>
      <c r="V184" s="71"/>
      <c r="W184" s="71"/>
      <c r="X184" s="71"/>
      <c r="Y184" s="71"/>
      <c r="Z184" s="68"/>
    </row>
    <row r="185" spans="11:26" ht="18" customHeight="1">
      <c r="K185" s="171" t="s">
        <v>14</v>
      </c>
      <c r="L185" s="171"/>
      <c r="M185" s="171"/>
      <c r="N185" s="318" t="str">
        <f ca="1">"제 " &amp; Z185 &amp; " 호표  "&amp; OFFSET($A$1,MATCH(Z185,$A:$A,0)-1,1)</f>
        <v>제 17 호표  4.4. 관계기관 협의</v>
      </c>
      <c r="O185" s="221"/>
      <c r="P185" s="148"/>
      <c r="Q185" s="148"/>
      <c r="R185" s="149"/>
      <c r="S185" s="149"/>
      <c r="T185" s="149"/>
      <c r="U185" s="149"/>
      <c r="V185" s="149"/>
      <c r="W185" s="149"/>
      <c r="X185" s="149"/>
      <c r="Y185" s="149"/>
      <c r="Z185" s="325">
        <f>Z177+1</f>
        <v>17</v>
      </c>
    </row>
    <row r="186" spans="11:26" ht="18" customHeight="1">
      <c r="K186" s="171" t="s">
        <v>14</v>
      </c>
      <c r="L186" s="171"/>
      <c r="M186" s="171"/>
      <c r="N186" s="140" t="s">
        <v>43</v>
      </c>
      <c r="O186" s="172">
        <v>3</v>
      </c>
      <c r="P186" s="219">
        <f ca="1">OFFSET($A$1,MATCH(Z185,$A:$A,0)-1,O186)</f>
        <v>2</v>
      </c>
      <c r="Q186" s="141" t="s">
        <v>29</v>
      </c>
      <c r="R186" s="142">
        <f t="shared" ref="R186:S191" ca="1" si="42">T186</f>
        <v>467217</v>
      </c>
      <c r="S186" s="142">
        <f t="shared" ca="1" si="42"/>
        <v>934434</v>
      </c>
      <c r="T186" s="142">
        <f ca="1">기술사</f>
        <v>467217</v>
      </c>
      <c r="U186" s="142">
        <f t="shared" ref="U186:U191" ca="1" si="43">ROUNDDOWN(P186*R186,0)</f>
        <v>934434</v>
      </c>
      <c r="V186" s="142"/>
      <c r="W186" s="142"/>
      <c r="X186" s="142"/>
      <c r="Y186" s="142"/>
      <c r="Z186" s="114"/>
    </row>
    <row r="187" spans="11:26" ht="18" customHeight="1">
      <c r="K187" s="171" t="s">
        <v>14</v>
      </c>
      <c r="L187" s="171"/>
      <c r="M187" s="171"/>
      <c r="N187" s="143" t="s">
        <v>32</v>
      </c>
      <c r="O187" s="173">
        <v>4</v>
      </c>
      <c r="P187" s="234">
        <f ca="1">OFFSET($A$1,MATCH(Z185,$A:$A,0)-1,O187)</f>
        <v>2</v>
      </c>
      <c r="Q187" s="144" t="s">
        <v>29</v>
      </c>
      <c r="R187" s="118">
        <f t="shared" ca="1" si="42"/>
        <v>373353</v>
      </c>
      <c r="S187" s="118">
        <f t="shared" ca="1" si="42"/>
        <v>746706</v>
      </c>
      <c r="T187" s="118">
        <f ca="1">특급</f>
        <v>373353</v>
      </c>
      <c r="U187" s="118">
        <f t="shared" ca="1" si="43"/>
        <v>746706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39</v>
      </c>
      <c r="O188" s="173">
        <v>5</v>
      </c>
      <c r="P188" s="234">
        <f ca="1">OFFSET($A$1,MATCH(Z185,$A:$A,0)-1,O188)</f>
        <v>2</v>
      </c>
      <c r="Q188" s="144" t="s">
        <v>29</v>
      </c>
      <c r="R188" s="118">
        <f t="shared" ca="1" si="42"/>
        <v>310884</v>
      </c>
      <c r="S188" s="118">
        <f t="shared" ca="1" si="42"/>
        <v>621768</v>
      </c>
      <c r="T188" s="118">
        <f ca="1">고급</f>
        <v>310884</v>
      </c>
      <c r="U188" s="118">
        <f t="shared" ca="1" si="43"/>
        <v>621768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40</v>
      </c>
      <c r="O189" s="173">
        <v>6</v>
      </c>
      <c r="P189" s="234">
        <f ca="1">OFFSET($A$1,MATCH(Z185,$A:$A,0)-1,O189)</f>
        <v>4</v>
      </c>
      <c r="Q189" s="144" t="s">
        <v>29</v>
      </c>
      <c r="R189" s="118">
        <f t="shared" ca="1" si="42"/>
        <v>295138</v>
      </c>
      <c r="S189" s="118">
        <f t="shared" ca="1" si="42"/>
        <v>1180552</v>
      </c>
      <c r="T189" s="118">
        <f ca="1">중급</f>
        <v>295138</v>
      </c>
      <c r="U189" s="118">
        <f t="shared" ca="1" si="43"/>
        <v>1180552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41</v>
      </c>
      <c r="O190" s="173">
        <v>7</v>
      </c>
      <c r="P190" s="234">
        <f ca="1">OFFSET($A$1,MATCH(Z185,$A:$A,0)-1,O190)</f>
        <v>4</v>
      </c>
      <c r="Q190" s="144" t="s">
        <v>29</v>
      </c>
      <c r="R190" s="118">
        <f t="shared" ca="1" si="42"/>
        <v>235459</v>
      </c>
      <c r="S190" s="118">
        <f t="shared" ca="1" si="42"/>
        <v>941836</v>
      </c>
      <c r="T190" s="118">
        <f ca="1">초급</f>
        <v>235459</v>
      </c>
      <c r="U190" s="118">
        <f t="shared" ca="1" si="43"/>
        <v>941836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319" t="s">
        <v>42</v>
      </c>
      <c r="O191" s="174">
        <v>8</v>
      </c>
      <c r="P191" s="235">
        <f ca="1">OFFSET($A$1,MATCH(Z185,$A:$A,0)-1,O191)</f>
        <v>4</v>
      </c>
      <c r="Q191" s="322" t="s">
        <v>29</v>
      </c>
      <c r="R191" s="323">
        <f t="shared" ca="1" si="42"/>
        <v>250087</v>
      </c>
      <c r="S191" s="323">
        <f t="shared" ca="1" si="42"/>
        <v>1000348</v>
      </c>
      <c r="T191" s="323">
        <f ca="1">보조원</f>
        <v>250087</v>
      </c>
      <c r="U191" s="323">
        <f t="shared" ca="1" si="43"/>
        <v>1000348</v>
      </c>
      <c r="V191" s="323"/>
      <c r="W191" s="323"/>
      <c r="X191" s="323"/>
      <c r="Y191" s="323"/>
      <c r="Z191" s="324"/>
    </row>
    <row r="192" spans="11:26" ht="18" customHeight="1">
      <c r="K192" s="171" t="s">
        <v>14</v>
      </c>
      <c r="L192" s="171"/>
      <c r="M192" s="171"/>
      <c r="N192" s="139" t="s">
        <v>17</v>
      </c>
      <c r="O192" s="68"/>
      <c r="P192" s="69"/>
      <c r="Q192" s="70"/>
      <c r="R192" s="71"/>
      <c r="S192" s="71">
        <f ca="1">SUBTOTAL(9,S186:S191)</f>
        <v>5425644</v>
      </c>
      <c r="T192" s="71"/>
      <c r="U192" s="71">
        <f ca="1">SUBTOTAL(9,U186:U191)</f>
        <v>5425644</v>
      </c>
      <c r="V192" s="71"/>
      <c r="W192" s="71"/>
      <c r="X192" s="71"/>
      <c r="Y192" s="71"/>
      <c r="Z192" s="68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K823" s="171" t="s">
        <v>14</v>
      </c>
      <c r="L823" s="171"/>
    </row>
    <row r="824" spans="11:12" ht="18" customHeight="1">
      <c r="K824" s="171" t="s">
        <v>14</v>
      </c>
      <c r="L824" s="171"/>
    </row>
    <row r="825" spans="11:12" ht="18" customHeight="1">
      <c r="K825" s="171" t="s">
        <v>14</v>
      </c>
      <c r="L825" s="171"/>
    </row>
    <row r="826" spans="11:12" ht="18" customHeight="1">
      <c r="K826" s="171" t="s">
        <v>14</v>
      </c>
      <c r="L826" s="171"/>
    </row>
    <row r="827" spans="11:12" ht="18" customHeight="1">
      <c r="K827" s="171" t="s">
        <v>14</v>
      </c>
      <c r="L827" s="171"/>
    </row>
    <row r="828" spans="11:12" ht="18" customHeight="1">
      <c r="K828" s="171" t="s">
        <v>14</v>
      </c>
      <c r="L828" s="171"/>
    </row>
    <row r="829" spans="11:12" ht="18" customHeight="1">
      <c r="L829" s="171"/>
    </row>
    <row r="830" spans="11:12" ht="18" customHeight="1">
      <c r="L830" s="171"/>
    </row>
    <row r="831" spans="11:12" ht="18" customHeight="1">
      <c r="L831" s="171"/>
    </row>
  </sheetData>
  <mergeCells count="17">
    <mergeCell ref="B3:C3"/>
    <mergeCell ref="D3:E3"/>
    <mergeCell ref="B4:C4"/>
    <mergeCell ref="D4:E4"/>
    <mergeCell ref="B5:C5"/>
    <mergeCell ref="D5:E5"/>
    <mergeCell ref="Z55:Z56"/>
    <mergeCell ref="B15:C16"/>
    <mergeCell ref="J15:J16"/>
    <mergeCell ref="L15:L16"/>
    <mergeCell ref="N55:N56"/>
    <mergeCell ref="O55:O56"/>
    <mergeCell ref="G3:H3"/>
    <mergeCell ref="G4:H4"/>
    <mergeCell ref="G5:H5"/>
    <mergeCell ref="P55:P56"/>
    <mergeCell ref="Q55:Q56"/>
  </mergeCells>
  <phoneticPr fontId="14" type="noConversion"/>
  <conditionalFormatting sqref="V17:V38">
    <cfRule type="cellIs" dxfId="48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3" min="13" max="28" man="1"/>
    <brk id="74" min="13" max="28" man="1"/>
  </rowBreak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70">
    <tabColor rgb="FF00B0F0"/>
    <pageSetUpPr fitToPage="1"/>
  </sheetPr>
  <dimension ref="A1:Z841"/>
  <sheetViews>
    <sheetView showGridLines="0" zoomScale="85" zoomScaleNormal="85" zoomScaleSheetLayoutView="75" workbookViewId="0">
      <selection activeCell="G3" sqref="G3:J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521</v>
      </c>
    </row>
    <row r="2" spans="1:26" ht="19.5" thickBot="1">
      <c r="B2" s="66" t="s">
        <v>1</v>
      </c>
    </row>
    <row r="3" spans="1:26" ht="19.5" customHeight="1">
      <c r="B3" s="773" t="s">
        <v>1879</v>
      </c>
      <c r="C3" s="774"/>
      <c r="D3" s="775">
        <v>50</v>
      </c>
      <c r="E3" s="776"/>
      <c r="F3" s="44" t="s">
        <v>87</v>
      </c>
      <c r="G3" s="838" t="s">
        <v>1104</v>
      </c>
      <c r="H3" s="839"/>
      <c r="I3" s="656">
        <v>2</v>
      </c>
      <c r="J3" s="669" t="s">
        <v>794</v>
      </c>
      <c r="K3" s="6"/>
      <c r="N3" s="690" t="s">
        <v>1930</v>
      </c>
      <c r="R3" s="1"/>
      <c r="S3" s="1"/>
      <c r="T3" s="1"/>
      <c r="U3" s="1"/>
      <c r="V3" s="1"/>
      <c r="W3" s="1"/>
      <c r="X3" s="1"/>
      <c r="Y3" s="1"/>
    </row>
    <row r="4" spans="1:26" ht="21.75" customHeight="1">
      <c r="B4" s="777" t="s">
        <v>1880</v>
      </c>
      <c r="C4" s="778"/>
      <c r="D4" s="779">
        <v>50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N4" s="690" t="s">
        <v>1931</v>
      </c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B5" s="781" t="s">
        <v>1928</v>
      </c>
      <c r="C5" s="782"/>
      <c r="D5" s="783">
        <f>CHOOSE(C8,ROUND((IF(D4&lt;=15,15,D4)/D3)^0.6,3),ROUND((IF(D4&lt;=10,10,D4)/D3)^0.6,3),ROUND((IF(D4&lt;=10,10,D4)/D3)^0.6,3))</f>
        <v>1</v>
      </c>
      <c r="E5" s="784"/>
      <c r="F5" s="45"/>
      <c r="G5" s="817" t="s">
        <v>1102</v>
      </c>
      <c r="H5" s="818"/>
      <c r="I5" s="646">
        <f>ROUND(I4/I3,3)</f>
        <v>1</v>
      </c>
      <c r="J5" s="671"/>
      <c r="K5" s="6"/>
      <c r="N5" s="690" t="s">
        <v>1932</v>
      </c>
      <c r="R5" s="1"/>
      <c r="S5" s="1"/>
      <c r="T5" s="1"/>
      <c r="U5" s="1"/>
      <c r="V5" s="1"/>
      <c r="W5" s="1"/>
      <c r="X5" s="1"/>
      <c r="Y5" s="1"/>
    </row>
    <row r="6" spans="1:26" ht="23.25" customHeight="1" thickBot="1">
      <c r="B6" s="781" t="s">
        <v>1929</v>
      </c>
      <c r="C6" s="782"/>
      <c r="D6" s="783">
        <f>CHOOSE(C8,1,1.3,1.5)</f>
        <v>1.3</v>
      </c>
      <c r="E6" s="784"/>
      <c r="F6" s="45"/>
      <c r="G6" s="9" t="s">
        <v>1107</v>
      </c>
      <c r="J6" s="36"/>
      <c r="K6" s="6"/>
      <c r="L6" s="6"/>
      <c r="M6" s="6"/>
      <c r="R6" s="1"/>
      <c r="S6" s="1"/>
      <c r="T6" s="1"/>
      <c r="U6" s="1"/>
      <c r="V6" s="1"/>
      <c r="W6" s="1"/>
      <c r="X6" s="1"/>
      <c r="Y6" s="1"/>
    </row>
    <row r="7" spans="1:26" ht="23.25" customHeight="1">
      <c r="B7" s="9" t="s">
        <v>1881</v>
      </c>
      <c r="C7" s="9"/>
      <c r="D7" s="64"/>
      <c r="E7" s="64"/>
      <c r="G7" s="6"/>
      <c r="H7" s="6"/>
      <c r="I7" s="6"/>
      <c r="J7" s="6"/>
      <c r="K7" s="6"/>
      <c r="L7" s="6"/>
      <c r="M7" s="6"/>
      <c r="R7" s="1"/>
      <c r="S7" s="1"/>
      <c r="T7" s="1"/>
      <c r="U7" s="1"/>
      <c r="V7" s="1"/>
      <c r="W7" s="1"/>
      <c r="X7" s="1"/>
      <c r="Y7" s="1"/>
    </row>
    <row r="8" spans="1:26" ht="23.25" customHeight="1">
      <c r="C8" s="1">
        <v>2</v>
      </c>
      <c r="F8" s="6"/>
      <c r="G8" s="6"/>
      <c r="H8" s="6"/>
      <c r="I8" s="6"/>
      <c r="J8" s="6"/>
      <c r="K8" s="6"/>
      <c r="L8" s="6"/>
      <c r="M8" s="6"/>
      <c r="R8" s="1"/>
      <c r="S8" s="1"/>
      <c r="T8" s="1"/>
      <c r="U8" s="1"/>
      <c r="V8" s="1"/>
      <c r="W8" s="1"/>
      <c r="X8" s="1"/>
      <c r="Y8" s="1"/>
    </row>
    <row r="9" spans="1:26" ht="23.25" customHeight="1">
      <c r="F9" s="6"/>
      <c r="G9" s="6"/>
      <c r="H9" s="6"/>
      <c r="I9" s="6"/>
      <c r="J9" s="6"/>
      <c r="K9" s="6"/>
      <c r="L9" s="6"/>
      <c r="M9" s="6"/>
      <c r="R9" s="1"/>
      <c r="S9" s="1"/>
      <c r="T9" s="1"/>
      <c r="U9" s="1"/>
      <c r="V9" s="1"/>
      <c r="W9" s="1"/>
      <c r="X9" s="1"/>
      <c r="Y9" s="1"/>
    </row>
    <row r="10" spans="1:26" ht="18" customHeight="1">
      <c r="B10" s="9"/>
      <c r="C10" s="9"/>
      <c r="D10" s="64"/>
      <c r="E10" s="64"/>
      <c r="R10" s="1"/>
      <c r="S10" s="1"/>
      <c r="T10" s="1"/>
    </row>
    <row r="11" spans="1:26" ht="18" customHeight="1">
      <c r="B11" s="9"/>
      <c r="C11" s="9"/>
      <c r="D11" s="64"/>
      <c r="E11" s="64"/>
      <c r="R11" s="1"/>
      <c r="S11" s="1"/>
      <c r="T11" s="1"/>
    </row>
    <row r="12" spans="1:26" ht="18" customHeight="1">
      <c r="G12" s="36"/>
      <c r="W12" s="188" t="s">
        <v>3</v>
      </c>
      <c r="X12" s="189"/>
    </row>
    <row r="13" spans="1:26" ht="18" customHeight="1" thickBot="1">
      <c r="B13" s="66" t="s">
        <v>4</v>
      </c>
      <c r="C13" s="9"/>
      <c r="D13" s="64"/>
      <c r="E13" s="64"/>
      <c r="G13" s="36"/>
      <c r="N13" s="66" t="s">
        <v>5</v>
      </c>
    </row>
    <row r="14" spans="1:26" ht="18" customHeight="1" thickBot="1">
      <c r="B14" s="9"/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SUBTOTAL(9,W15:W55)</f>
        <v>1800647996</v>
      </c>
      <c r="X14" s="187"/>
      <c r="Y14" s="177"/>
      <c r="Z14" s="167"/>
    </row>
    <row r="15" spans="1:26" ht="18" customHeight="1">
      <c r="A15" s="278"/>
      <c r="B15" s="757" t="s">
        <v>30</v>
      </c>
      <c r="C15" s="758"/>
      <c r="D15" s="14" t="s">
        <v>6</v>
      </c>
      <c r="E15" s="15"/>
      <c r="F15" s="15"/>
      <c r="G15" s="15"/>
      <c r="H15" s="15"/>
      <c r="I15" s="16"/>
      <c r="J15" s="761" t="s">
        <v>31</v>
      </c>
      <c r="L15" s="763" t="s">
        <v>7</v>
      </c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SUBTOTAL(9,W16:W52)</f>
        <v>649376743</v>
      </c>
      <c r="X15" s="164"/>
      <c r="Y15" s="178" t="s">
        <v>9</v>
      </c>
      <c r="Z15" s="179"/>
    </row>
    <row r="16" spans="1:26" ht="18" customHeight="1" thickBot="1">
      <c r="A16" s="278"/>
      <c r="B16" s="820"/>
      <c r="C16" s="821"/>
      <c r="D16" s="17" t="s">
        <v>33</v>
      </c>
      <c r="E16" s="19" t="s">
        <v>34</v>
      </c>
      <c r="F16" s="19" t="s">
        <v>35</v>
      </c>
      <c r="G16" s="19" t="s">
        <v>36</v>
      </c>
      <c r="H16" s="19" t="s">
        <v>37</v>
      </c>
      <c r="I16" s="18" t="s">
        <v>38</v>
      </c>
      <c r="J16" s="762"/>
      <c r="L16" s="764"/>
      <c r="N16" s="290" t="s">
        <v>45</v>
      </c>
      <c r="O16" s="124"/>
      <c r="P16" s="125"/>
      <c r="Q16" s="126"/>
      <c r="R16" s="126"/>
      <c r="S16" s="126"/>
      <c r="T16" s="126"/>
      <c r="U16" s="218"/>
      <c r="V16" s="218"/>
      <c r="W16" s="255">
        <f ca="1">SUBTOTAL(9,W17:W47)</f>
        <v>641376743</v>
      </c>
      <c r="X16" s="256"/>
      <c r="Y16" s="220"/>
      <c r="Z16" s="220"/>
    </row>
    <row r="17" spans="1:26" ht="18" customHeight="1">
      <c r="A17" s="279"/>
      <c r="B17" s="222" t="s">
        <v>518</v>
      </c>
      <c r="C17" s="47"/>
      <c r="D17" s="48">
        <f t="shared" ref="D17:I17" si="0">SUBTOTAL(9,D18:D22)</f>
        <v>9.1</v>
      </c>
      <c r="E17" s="49">
        <f t="shared" si="0"/>
        <v>14.500000000000002</v>
      </c>
      <c r="F17" s="49">
        <f t="shared" si="0"/>
        <v>45.1</v>
      </c>
      <c r="G17" s="49">
        <f t="shared" si="0"/>
        <v>72.699999999999989</v>
      </c>
      <c r="H17" s="49">
        <f t="shared" si="0"/>
        <v>99.100000000000009</v>
      </c>
      <c r="I17" s="50">
        <f t="shared" si="0"/>
        <v>106.5</v>
      </c>
      <c r="J17" s="389"/>
      <c r="L17" s="232"/>
      <c r="N17" s="354" t="str">
        <f>B17</f>
        <v>1. 현황조사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SUBTOTAL(9,W18:W22)</f>
        <v>123644215</v>
      </c>
      <c r="X17" s="194"/>
      <c r="Y17" s="170" t="str">
        <f t="shared" ref="Y17:Y47" si="1">IF(A49&gt;0, "제 " &amp;A49&amp; " 호표","")</f>
        <v/>
      </c>
      <c r="Z17" s="170"/>
    </row>
    <row r="18" spans="1:26" ht="18" customHeight="1">
      <c r="A18" s="279"/>
      <c r="B18" s="223" t="s">
        <v>1882</v>
      </c>
      <c r="C18" s="23"/>
      <c r="D18" s="197">
        <v>3.5</v>
      </c>
      <c r="E18" s="198">
        <v>5.7</v>
      </c>
      <c r="F18" s="198">
        <v>23.8</v>
      </c>
      <c r="G18" s="198">
        <v>35.9</v>
      </c>
      <c r="H18" s="198">
        <v>59.6</v>
      </c>
      <c r="I18" s="199">
        <v>64.400000000000006</v>
      </c>
      <c r="J18" s="389" t="s">
        <v>1926</v>
      </c>
      <c r="L18" s="233">
        <v>1</v>
      </c>
      <c r="N18" s="292" t="str">
        <f t="shared" ref="N18:N47" si="2">B18</f>
        <v>1.1. 도시현황조사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SUM((ROUNDDOWN((D50:I50)*단가,0)))</f>
        <v>67465868</v>
      </c>
      <c r="X18" s="154"/>
      <c r="Y18" s="170" t="str">
        <f t="shared" si="1"/>
        <v>제 1 호표</v>
      </c>
      <c r="Z18" s="150"/>
    </row>
    <row r="19" spans="1:26" ht="18" customHeight="1">
      <c r="A19" s="279"/>
      <c r="B19" s="223" t="s">
        <v>1902</v>
      </c>
      <c r="C19" s="23"/>
      <c r="D19" s="197">
        <v>1.3</v>
      </c>
      <c r="E19" s="198">
        <v>2.1</v>
      </c>
      <c r="F19" s="198">
        <v>2.8</v>
      </c>
      <c r="G19" s="198">
        <v>7.8</v>
      </c>
      <c r="H19" s="198">
        <v>7.8</v>
      </c>
      <c r="I19" s="199">
        <v>10.5</v>
      </c>
      <c r="J19" s="389" t="s">
        <v>1925</v>
      </c>
      <c r="L19" s="233">
        <v>1</v>
      </c>
      <c r="N19" s="292" t="str">
        <f t="shared" si="2"/>
        <v>1.2. 관련계획조사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SUM((ROUNDDOWN((D51:I51)*단가,0)))</f>
        <v>11734406</v>
      </c>
      <c r="X19" s="154"/>
      <c r="Y19" s="170" t="str">
        <f t="shared" si="1"/>
        <v>제 2 호표</v>
      </c>
      <c r="Z19" s="150"/>
    </row>
    <row r="20" spans="1:26" ht="18" customHeight="1">
      <c r="A20" s="279"/>
      <c r="B20" s="223" t="s">
        <v>1903</v>
      </c>
      <c r="C20" s="23"/>
      <c r="D20" s="197">
        <v>1.5</v>
      </c>
      <c r="E20" s="198">
        <v>2.2999999999999998</v>
      </c>
      <c r="F20" s="198">
        <v>5.2</v>
      </c>
      <c r="G20" s="198">
        <v>10.5</v>
      </c>
      <c r="H20" s="198">
        <v>10.199999999999999</v>
      </c>
      <c r="I20" s="199">
        <v>10.5</v>
      </c>
      <c r="J20" s="389" t="s">
        <v>1925</v>
      </c>
      <c r="L20" s="233">
        <v>1</v>
      </c>
      <c r="N20" s="292" t="str">
        <f t="shared" si="2"/>
        <v>1.3. 교통관계조사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SUM((ROUNDDOWN((D52:I52)*단가,0)))</f>
        <v>14693479</v>
      </c>
      <c r="X20" s="154"/>
      <c r="Y20" s="170" t="str">
        <f t="shared" si="1"/>
        <v>제 3 호표</v>
      </c>
      <c r="Z20" s="150"/>
    </row>
    <row r="21" spans="1:26" ht="18" customHeight="1">
      <c r="A21" s="279"/>
      <c r="B21" s="223" t="s">
        <v>1904</v>
      </c>
      <c r="C21" s="23"/>
      <c r="D21" s="197">
        <v>1.5</v>
      </c>
      <c r="E21" s="198">
        <v>2.2999999999999998</v>
      </c>
      <c r="F21" s="198">
        <v>7.8</v>
      </c>
      <c r="G21" s="198">
        <v>10.7</v>
      </c>
      <c r="H21" s="198">
        <v>13.1</v>
      </c>
      <c r="I21" s="199">
        <v>13.3</v>
      </c>
      <c r="J21" s="389" t="s">
        <v>1925</v>
      </c>
      <c r="L21" s="233">
        <v>1</v>
      </c>
      <c r="N21" s="292" t="str">
        <f t="shared" si="2"/>
        <v>1.4. 시설관계조사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SUM((ROUNDDOWN((D53:I53)*단가,0)))</f>
        <v>17619000</v>
      </c>
      <c r="X21" s="154"/>
      <c r="Y21" s="170" t="str">
        <f t="shared" si="1"/>
        <v>제 4 호표</v>
      </c>
      <c r="Z21" s="150"/>
    </row>
    <row r="22" spans="1:26" ht="18" customHeight="1">
      <c r="A22" s="279"/>
      <c r="B22" s="223" t="s">
        <v>1905</v>
      </c>
      <c r="C22" s="23"/>
      <c r="D22" s="197">
        <v>1.3</v>
      </c>
      <c r="E22" s="198">
        <v>2.1</v>
      </c>
      <c r="F22" s="198">
        <v>5.5</v>
      </c>
      <c r="G22" s="198">
        <v>7.8</v>
      </c>
      <c r="H22" s="198">
        <v>8.4</v>
      </c>
      <c r="I22" s="199">
        <v>7.8</v>
      </c>
      <c r="J22" s="389" t="s">
        <v>1925</v>
      </c>
      <c r="L22" s="233">
        <v>1</v>
      </c>
      <c r="N22" s="292" t="str">
        <f t="shared" si="2"/>
        <v>1.5 공급처리시설 관계조사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SUM((ROUNDDOWN((D54:I54)*단가,0)))</f>
        <v>12131462</v>
      </c>
      <c r="X22" s="154"/>
      <c r="Y22" s="170" t="str">
        <f t="shared" si="1"/>
        <v>제 5 호표</v>
      </c>
      <c r="Z22" s="150"/>
    </row>
    <row r="23" spans="1:26" ht="18" customHeight="1">
      <c r="A23" s="279"/>
      <c r="B23" s="222" t="s">
        <v>1906</v>
      </c>
      <c r="C23" s="47"/>
      <c r="D23" s="48">
        <f t="shared" ref="D23:I23" si="3">SUBTOTAL(9,D24:D39)</f>
        <v>38.799999999999997</v>
      </c>
      <c r="E23" s="49">
        <f t="shared" si="3"/>
        <v>62.79999999999999</v>
      </c>
      <c r="F23" s="49">
        <f t="shared" si="3"/>
        <v>121.70000000000002</v>
      </c>
      <c r="G23" s="49">
        <f t="shared" si="3"/>
        <v>203.29999999999998</v>
      </c>
      <c r="H23" s="49">
        <f t="shared" si="3"/>
        <v>299.5</v>
      </c>
      <c r="I23" s="50">
        <f t="shared" si="3"/>
        <v>286.90000000000003</v>
      </c>
      <c r="J23" s="389"/>
      <c r="L23" s="232"/>
      <c r="N23" s="354" t="str">
        <f t="shared" si="2"/>
        <v>2. 기본계획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SUBTOTAL(9,W24:W38)</f>
        <v>344168287</v>
      </c>
      <c r="X23" s="194"/>
      <c r="Y23" s="170" t="str">
        <f t="shared" si="1"/>
        <v/>
      </c>
      <c r="Z23" s="170"/>
    </row>
    <row r="24" spans="1:26" ht="18" customHeight="1">
      <c r="A24" s="279"/>
      <c r="B24" s="223" t="s">
        <v>1907</v>
      </c>
      <c r="C24" s="23"/>
      <c r="D24" s="197">
        <v>2.7</v>
      </c>
      <c r="E24" s="198">
        <v>4.4000000000000004</v>
      </c>
      <c r="F24" s="198">
        <v>8.6999999999999993</v>
      </c>
      <c r="G24" s="198">
        <v>14.4</v>
      </c>
      <c r="H24" s="198">
        <v>21.6</v>
      </c>
      <c r="I24" s="199">
        <v>13.8</v>
      </c>
      <c r="J24" s="389" t="s">
        <v>1925</v>
      </c>
      <c r="L24" s="233">
        <v>1</v>
      </c>
      <c r="N24" s="292" t="str">
        <f t="shared" si="2"/>
        <v>2.1. 기본방향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SUM((ROUNDDOWN((D56:I56)*단가,0)))</f>
        <v>23914839</v>
      </c>
      <c r="X24" s="154"/>
      <c r="Y24" s="170" t="str">
        <f t="shared" si="1"/>
        <v>제 6 호표</v>
      </c>
      <c r="Z24" s="150"/>
    </row>
    <row r="25" spans="1:26" ht="18" customHeight="1">
      <c r="A25" s="279"/>
      <c r="B25" s="223" t="s">
        <v>1908</v>
      </c>
      <c r="C25" s="23"/>
      <c r="D25" s="197">
        <v>2.2999999999999998</v>
      </c>
      <c r="E25" s="198">
        <v>3.6</v>
      </c>
      <c r="F25" s="198">
        <v>7.1</v>
      </c>
      <c r="G25" s="198">
        <v>12</v>
      </c>
      <c r="H25" s="198">
        <v>16.8</v>
      </c>
      <c r="I25" s="199">
        <v>20</v>
      </c>
      <c r="J25" s="389" t="s">
        <v>1925</v>
      </c>
      <c r="L25" s="233">
        <v>1</v>
      </c>
      <c r="N25" s="292" t="str">
        <f t="shared" si="2"/>
        <v>2.2. 정비의 기본방향 및 목표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SUM((ROUNDDOWN((D57:I57)*단가,0)))</f>
        <v>22262567</v>
      </c>
      <c r="X25" s="154"/>
      <c r="Y25" s="170" t="str">
        <f t="shared" si="1"/>
        <v>제 7 호표</v>
      </c>
      <c r="Z25" s="150"/>
    </row>
    <row r="26" spans="1:26" ht="18" customHeight="1">
      <c r="A26" s="279"/>
      <c r="B26" s="223" t="s">
        <v>1909</v>
      </c>
      <c r="C26" s="23"/>
      <c r="D26" s="197">
        <v>2.7</v>
      </c>
      <c r="E26" s="198">
        <v>4.4000000000000004</v>
      </c>
      <c r="F26" s="198">
        <v>8.6999999999999993</v>
      </c>
      <c r="G26" s="198">
        <v>14.6</v>
      </c>
      <c r="H26" s="198">
        <v>21.6</v>
      </c>
      <c r="I26" s="199">
        <v>20.7</v>
      </c>
      <c r="J26" s="389" t="s">
        <v>1925</v>
      </c>
      <c r="L26" s="233">
        <v>1</v>
      </c>
      <c r="N26" s="292" t="str">
        <f t="shared" si="2"/>
        <v>2.3. 토지 이용에 관한 계획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SUM((ROUNDDOWN((D58:I58)*단가,0)))</f>
        <v>26234856</v>
      </c>
      <c r="X26" s="154"/>
      <c r="Y26" s="170" t="str">
        <f t="shared" si="1"/>
        <v>제 8 호표</v>
      </c>
      <c r="Z26" s="150"/>
    </row>
    <row r="27" spans="1:26" ht="18" customHeight="1">
      <c r="A27" s="279"/>
      <c r="B27" s="223" t="s">
        <v>1910</v>
      </c>
      <c r="C27" s="23"/>
      <c r="D27" s="197">
        <v>2.2999999999999998</v>
      </c>
      <c r="E27" s="198">
        <v>3.8</v>
      </c>
      <c r="F27" s="198">
        <v>7.4</v>
      </c>
      <c r="G27" s="198">
        <v>12.2</v>
      </c>
      <c r="H27" s="198">
        <v>17.899999999999999</v>
      </c>
      <c r="I27" s="199">
        <v>17.3</v>
      </c>
      <c r="J27" s="389" t="s">
        <v>1925</v>
      </c>
      <c r="L27" s="233">
        <v>1</v>
      </c>
      <c r="N27" s="292" t="str">
        <f t="shared" si="2"/>
        <v>2.4. 인구·주택 수용계획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SUM((ROUNDDOWN((D59:I59)*단가,0)))</f>
        <v>22016519</v>
      </c>
      <c r="X27" s="154"/>
      <c r="Y27" s="170" t="str">
        <f t="shared" si="1"/>
        <v>제 9 호표</v>
      </c>
      <c r="Z27" s="150"/>
    </row>
    <row r="28" spans="1:26" ht="18" customHeight="1">
      <c r="A28" s="279"/>
      <c r="B28" s="223" t="s">
        <v>1911</v>
      </c>
      <c r="C28" s="23"/>
      <c r="D28" s="197">
        <v>2.2999999999999998</v>
      </c>
      <c r="E28" s="198">
        <v>3.8</v>
      </c>
      <c r="F28" s="198">
        <v>5.9</v>
      </c>
      <c r="G28" s="198">
        <v>9.9</v>
      </c>
      <c r="H28" s="198">
        <v>18</v>
      </c>
      <c r="I28" s="199">
        <v>17.3</v>
      </c>
      <c r="J28" s="389" t="s">
        <v>1925</v>
      </c>
      <c r="L28" s="233">
        <v>1</v>
      </c>
      <c r="N28" s="292" t="str">
        <f t="shared" si="2"/>
        <v>2.5. 기반시설 설치계획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SUM((ROUNDDOWN((D60:I60)*단가,0)))</f>
        <v>20558443</v>
      </c>
      <c r="X28" s="154"/>
      <c r="Y28" s="170" t="str">
        <f t="shared" si="1"/>
        <v>제 10 호표</v>
      </c>
      <c r="Z28" s="150"/>
    </row>
    <row r="29" spans="1:26" ht="18" customHeight="1">
      <c r="A29" s="279"/>
      <c r="B29" s="223" t="s">
        <v>1912</v>
      </c>
      <c r="C29" s="23"/>
      <c r="D29" s="197">
        <v>2.7</v>
      </c>
      <c r="E29" s="198">
        <v>4.4000000000000004</v>
      </c>
      <c r="F29" s="198">
        <v>8.6999999999999993</v>
      </c>
      <c r="G29" s="198">
        <v>14.6</v>
      </c>
      <c r="H29" s="198">
        <v>21.6</v>
      </c>
      <c r="I29" s="199">
        <v>13.8</v>
      </c>
      <c r="J29" s="389" t="s">
        <v>1925</v>
      </c>
      <c r="L29" s="233">
        <v>1</v>
      </c>
      <c r="N29" s="292" t="str">
        <f t="shared" si="2"/>
        <v>2.6. 공원·녹지 조성 및 환경보전계획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SUM((ROUNDDOWN((D61:I61)*단가,0)))</f>
        <v>23991575</v>
      </c>
      <c r="X29" s="154"/>
      <c r="Y29" s="170" t="str">
        <f t="shared" si="1"/>
        <v>제 11 호표</v>
      </c>
      <c r="Z29" s="150"/>
    </row>
    <row r="30" spans="1:26" ht="18" customHeight="1">
      <c r="A30" s="279"/>
      <c r="B30" s="223" t="s">
        <v>1913</v>
      </c>
      <c r="C30" s="23"/>
      <c r="D30" s="197">
        <v>2.7</v>
      </c>
      <c r="E30" s="198">
        <v>4.4000000000000004</v>
      </c>
      <c r="F30" s="198">
        <v>8.6999999999999993</v>
      </c>
      <c r="G30" s="198">
        <v>14.6</v>
      </c>
      <c r="H30" s="198">
        <v>21.6</v>
      </c>
      <c r="I30" s="199">
        <v>13.8</v>
      </c>
      <c r="J30" s="389" t="s">
        <v>1925</v>
      </c>
      <c r="L30" s="233">
        <v>1</v>
      </c>
      <c r="N30" s="292" t="str">
        <f t="shared" si="2"/>
        <v>2.7. 교통계획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SUM((ROUNDDOWN((D62:I62)*단가,0)))</f>
        <v>23991575</v>
      </c>
      <c r="X30" s="154"/>
      <c r="Y30" s="170" t="str">
        <f t="shared" si="1"/>
        <v>제 12 호표</v>
      </c>
      <c r="Z30" s="150"/>
    </row>
    <row r="31" spans="1:26" ht="18" customHeight="1">
      <c r="A31" s="279"/>
      <c r="B31" s="223" t="s">
        <v>1914</v>
      </c>
      <c r="C31" s="23"/>
      <c r="D31" s="197">
        <v>2.2999999999999998</v>
      </c>
      <c r="E31" s="198">
        <v>3.8</v>
      </c>
      <c r="F31" s="198">
        <v>7.1</v>
      </c>
      <c r="G31" s="198">
        <v>11.9</v>
      </c>
      <c r="H31" s="198">
        <v>16.8</v>
      </c>
      <c r="I31" s="199">
        <v>20</v>
      </c>
      <c r="J31" s="389" t="s">
        <v>1925</v>
      </c>
      <c r="L31" s="233">
        <v>1</v>
      </c>
      <c r="N31" s="292" t="str">
        <f t="shared" si="2"/>
        <v>2.8. 경관계획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SUM((ROUNDDOWN((D63:I63)*단가,0)))</f>
        <v>22321270</v>
      </c>
      <c r="X31" s="154"/>
      <c r="Y31" s="170" t="str">
        <f t="shared" si="1"/>
        <v>제 13 호표</v>
      </c>
      <c r="Z31" s="150"/>
    </row>
    <row r="32" spans="1:26" ht="18" customHeight="1">
      <c r="A32" s="279"/>
      <c r="B32" s="223" t="s">
        <v>1915</v>
      </c>
      <c r="C32" s="23"/>
      <c r="D32" s="197">
        <v>2.2999999999999998</v>
      </c>
      <c r="E32" s="198">
        <v>3.8</v>
      </c>
      <c r="F32" s="198">
        <v>7.1</v>
      </c>
      <c r="G32" s="198">
        <v>11.9</v>
      </c>
      <c r="H32" s="198">
        <v>16.8</v>
      </c>
      <c r="I32" s="199">
        <v>20</v>
      </c>
      <c r="J32" s="389" t="s">
        <v>1925</v>
      </c>
      <c r="L32" s="233">
        <v>1</v>
      </c>
      <c r="N32" s="292" t="str">
        <f t="shared" si="2"/>
        <v>2.9. 촉진구역 지정에 관한 사항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SUM((ROUNDDOWN((D64:I64)*단가,0)))</f>
        <v>22321270</v>
      </c>
      <c r="X32" s="154"/>
      <c r="Y32" s="170" t="str">
        <f t="shared" si="1"/>
        <v>제 14 호표</v>
      </c>
      <c r="Z32" s="150"/>
    </row>
    <row r="33" spans="1:26" ht="18" customHeight="1">
      <c r="A33" s="279"/>
      <c r="B33" s="223" t="s">
        <v>1916</v>
      </c>
      <c r="C33" s="23"/>
      <c r="D33" s="197">
        <v>2.7</v>
      </c>
      <c r="E33" s="198">
        <v>4.4000000000000004</v>
      </c>
      <c r="F33" s="198">
        <v>8.6999999999999993</v>
      </c>
      <c r="G33" s="198">
        <v>14.6</v>
      </c>
      <c r="H33" s="198">
        <v>21.6</v>
      </c>
      <c r="I33" s="199">
        <v>20.7</v>
      </c>
      <c r="J33" s="389" t="s">
        <v>1925</v>
      </c>
      <c r="L33" s="233">
        <v>1</v>
      </c>
      <c r="N33" s="292" t="str">
        <f t="shared" si="2"/>
        <v>2.10. 재정비촉진사업별 건축계획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SUM((ROUNDDOWN((D65:I65)*단가,0)))</f>
        <v>26234856</v>
      </c>
      <c r="X33" s="154"/>
      <c r="Y33" s="170" t="str">
        <f t="shared" si="1"/>
        <v>제 15 호표</v>
      </c>
      <c r="Z33" s="150"/>
    </row>
    <row r="34" spans="1:26" ht="18" customHeight="1">
      <c r="A34" s="279"/>
      <c r="B34" s="223" t="s">
        <v>1917</v>
      </c>
      <c r="C34" s="23"/>
      <c r="D34" s="197">
        <v>2.2999999999999998</v>
      </c>
      <c r="E34" s="198">
        <v>3.6</v>
      </c>
      <c r="F34" s="198">
        <v>7.1</v>
      </c>
      <c r="G34" s="198">
        <v>11.9</v>
      </c>
      <c r="H34" s="198">
        <v>16.8</v>
      </c>
      <c r="I34" s="199">
        <v>20</v>
      </c>
      <c r="J34" s="389" t="s">
        <v>1925</v>
      </c>
      <c r="L34" s="233">
        <v>1</v>
      </c>
      <c r="N34" s="292" t="str">
        <f t="shared" si="2"/>
        <v>2.11. 기반시설의 비용분담계획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SUM((ROUNDDOWN((D66:I66)*단가,0)))</f>
        <v>22224199</v>
      </c>
      <c r="X34" s="154"/>
      <c r="Y34" s="170" t="str">
        <f t="shared" si="1"/>
        <v>제 16 호표</v>
      </c>
      <c r="Z34" s="150"/>
    </row>
    <row r="35" spans="1:26" ht="18" customHeight="1">
      <c r="A35" s="279"/>
      <c r="B35" s="223" t="s">
        <v>1918</v>
      </c>
      <c r="C35" s="23"/>
      <c r="D35" s="197">
        <v>2.2999999999999998</v>
      </c>
      <c r="E35" s="198">
        <v>3.8</v>
      </c>
      <c r="F35" s="198">
        <v>7.4</v>
      </c>
      <c r="G35" s="198">
        <v>12.2</v>
      </c>
      <c r="H35" s="198">
        <v>17.899999999999999</v>
      </c>
      <c r="I35" s="199">
        <v>17.3</v>
      </c>
      <c r="J35" s="389" t="s">
        <v>1925</v>
      </c>
      <c r="L35" s="233">
        <v>1</v>
      </c>
      <c r="N35" s="292" t="str">
        <f t="shared" si="2"/>
        <v>2.12. 세입자 등의 주거대책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SUM((ROUNDDOWN((D67:I67)*단가,0)))</f>
        <v>22016519</v>
      </c>
      <c r="X35" s="154"/>
      <c r="Y35" s="170" t="str">
        <f t="shared" si="1"/>
        <v>제 17 호표</v>
      </c>
      <c r="Z35" s="150"/>
    </row>
    <row r="36" spans="1:26" ht="18" customHeight="1">
      <c r="A36" s="279"/>
      <c r="B36" s="223" t="s">
        <v>1919</v>
      </c>
      <c r="C36" s="23"/>
      <c r="D36" s="197">
        <v>2.2999999999999998</v>
      </c>
      <c r="E36" s="198">
        <v>3.6</v>
      </c>
      <c r="F36" s="198">
        <v>7.2</v>
      </c>
      <c r="G36" s="198">
        <v>12.2</v>
      </c>
      <c r="H36" s="198">
        <v>17.899999999999999</v>
      </c>
      <c r="I36" s="199">
        <v>17.3</v>
      </c>
      <c r="J36" s="389" t="s">
        <v>1925</v>
      </c>
      <c r="L36" s="233">
        <v>1</v>
      </c>
      <c r="N36" s="292" t="str">
        <f t="shared" si="2"/>
        <v>2.13. 범죄예방대책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SUM((ROUNDDOWN((D68:I68)*단가,0)))</f>
        <v>21838618</v>
      </c>
      <c r="X36" s="154"/>
      <c r="Y36" s="170" t="str">
        <f t="shared" si="1"/>
        <v>제 18 호표</v>
      </c>
      <c r="Z36" s="150"/>
    </row>
    <row r="37" spans="1:26" ht="18" customHeight="1">
      <c r="A37" s="279"/>
      <c r="B37" s="223" t="s">
        <v>1920</v>
      </c>
      <c r="C37" s="23"/>
      <c r="D37" s="197">
        <v>2.2999999999999998</v>
      </c>
      <c r="E37" s="198">
        <v>3.6</v>
      </c>
      <c r="F37" s="198">
        <v>7.1</v>
      </c>
      <c r="G37" s="198">
        <v>11.9</v>
      </c>
      <c r="H37" s="198">
        <v>16.8</v>
      </c>
      <c r="I37" s="199">
        <v>20</v>
      </c>
      <c r="J37" s="389" t="s">
        <v>1925</v>
      </c>
      <c r="L37" s="233">
        <v>1</v>
      </c>
      <c r="N37" s="292" t="str">
        <f t="shared" si="2"/>
        <v>2.14. 단계적 사업 추진에 관한 사항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SUM((ROUNDDOWN((D69:I69)*단가,0)))</f>
        <v>22224199</v>
      </c>
      <c r="X37" s="154"/>
      <c r="Y37" s="170" t="str">
        <f t="shared" si="1"/>
        <v>제 19 호표</v>
      </c>
      <c r="Z37" s="150"/>
    </row>
    <row r="38" spans="1:26" ht="18" customHeight="1">
      <c r="A38" s="279"/>
      <c r="B38" s="223" t="s">
        <v>1921</v>
      </c>
      <c r="C38" s="23"/>
      <c r="D38" s="197">
        <v>2.2999999999999998</v>
      </c>
      <c r="E38" s="198">
        <v>3.6</v>
      </c>
      <c r="F38" s="198">
        <v>7.4</v>
      </c>
      <c r="G38" s="198">
        <v>12.2</v>
      </c>
      <c r="H38" s="198">
        <v>17.899999999999999</v>
      </c>
      <c r="I38" s="199">
        <v>17.600000000000001</v>
      </c>
      <c r="J38" s="389" t="s">
        <v>1925</v>
      </c>
      <c r="L38" s="233">
        <v>1</v>
      </c>
      <c r="N38" s="292" t="str">
        <f t="shared" si="2"/>
        <v>2.15. 상가의 분포 및 수용계획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SUM((ROUNDDOWN((D70:I70)*단가,0)))</f>
        <v>22016982</v>
      </c>
      <c r="X38" s="154"/>
      <c r="Y38" s="170" t="str">
        <f t="shared" si="1"/>
        <v>제 20 호표</v>
      </c>
      <c r="Z38" s="150"/>
    </row>
    <row r="39" spans="1:26" ht="18" customHeight="1">
      <c r="A39" s="279"/>
      <c r="B39" s="223" t="s">
        <v>1922</v>
      </c>
      <c r="C39" s="23"/>
      <c r="D39" s="197">
        <v>2.2999999999999998</v>
      </c>
      <c r="E39" s="198">
        <v>3.8</v>
      </c>
      <c r="F39" s="198">
        <v>7.4</v>
      </c>
      <c r="G39" s="198">
        <v>12.2</v>
      </c>
      <c r="H39" s="198">
        <v>17.899999999999999</v>
      </c>
      <c r="I39" s="199">
        <v>17.3</v>
      </c>
      <c r="J39" s="389" t="s">
        <v>1925</v>
      </c>
      <c r="L39" s="233">
        <v>1</v>
      </c>
      <c r="N39" s="292" t="str">
        <f t="shared" si="2"/>
        <v>2.16. 계획의 수립기준에 관한 사항</v>
      </c>
      <c r="O39" s="37"/>
      <c r="P39" s="37"/>
      <c r="Q39" s="37"/>
      <c r="R39" s="37"/>
      <c r="S39" s="37"/>
      <c r="T39" s="37"/>
      <c r="U39" s="227"/>
      <c r="V39" s="231"/>
      <c r="W39" s="153">
        <f t="array" aca="1" ref="W39" ca="1">SUM((ROUNDDOWN((D71:I71)*단가,0)))</f>
        <v>22016519</v>
      </c>
      <c r="X39" s="154"/>
      <c r="Y39" s="170" t="str">
        <f t="shared" si="1"/>
        <v>제 21 호표</v>
      </c>
      <c r="Z39" s="150"/>
    </row>
    <row r="40" spans="1:26" ht="18" customHeight="1">
      <c r="A40" s="279"/>
      <c r="B40" s="222" t="s">
        <v>51</v>
      </c>
      <c r="C40" s="47"/>
      <c r="D40" s="48">
        <f t="shared" ref="D40:I40" si="4">SUBTOTAL(9,D41:D42)</f>
        <v>11.4</v>
      </c>
      <c r="E40" s="49">
        <f t="shared" si="4"/>
        <v>18.600000000000001</v>
      </c>
      <c r="F40" s="49">
        <f t="shared" si="4"/>
        <v>41.5</v>
      </c>
      <c r="G40" s="49">
        <f t="shared" si="4"/>
        <v>77.099999999999994</v>
      </c>
      <c r="H40" s="49">
        <f t="shared" si="4"/>
        <v>107</v>
      </c>
      <c r="I40" s="50">
        <f t="shared" si="4"/>
        <v>107</v>
      </c>
      <c r="J40" s="389"/>
      <c r="L40" s="233"/>
      <c r="N40" s="354" t="str">
        <f t="shared" si="2"/>
        <v>3. 성과품작성</v>
      </c>
      <c r="O40" s="169"/>
      <c r="P40" s="169"/>
      <c r="Q40" s="169"/>
      <c r="R40" s="169"/>
      <c r="S40" s="169"/>
      <c r="T40" s="169"/>
      <c r="U40" s="226"/>
      <c r="V40" s="248"/>
      <c r="W40" s="193">
        <f ca="1">SUBTOTAL(9,W41:W42)</f>
        <v>129845146</v>
      </c>
      <c r="X40" s="257"/>
      <c r="Y40" s="170" t="str">
        <f t="shared" si="1"/>
        <v/>
      </c>
      <c r="Z40" s="169"/>
    </row>
    <row r="41" spans="1:26" ht="18" customHeight="1">
      <c r="A41" s="279"/>
      <c r="B41" s="223" t="s">
        <v>1893</v>
      </c>
      <c r="C41" s="23"/>
      <c r="D41" s="197">
        <v>7.8</v>
      </c>
      <c r="E41" s="198">
        <v>12.2</v>
      </c>
      <c r="F41" s="198">
        <v>27.6</v>
      </c>
      <c r="G41" s="198">
        <v>46</v>
      </c>
      <c r="H41" s="198">
        <v>45.6</v>
      </c>
      <c r="I41" s="199">
        <v>30.3</v>
      </c>
      <c r="J41" s="389" t="s">
        <v>1925</v>
      </c>
      <c r="L41" s="233">
        <v>1</v>
      </c>
      <c r="N41" s="292" t="str">
        <f t="shared" si="2"/>
        <v>3.1. 보고서작성 및 편집</v>
      </c>
      <c r="O41" s="37"/>
      <c r="P41" s="37"/>
      <c r="Q41" s="37"/>
      <c r="R41" s="37"/>
      <c r="S41" s="37"/>
      <c r="T41" s="37"/>
      <c r="U41" s="226"/>
      <c r="V41" s="248"/>
      <c r="W41" s="153">
        <f t="array" aca="1" ref="W41" ca="1">SUM((ROUNDDOWN((D73:I73)*단가,0)))</f>
        <v>63271662</v>
      </c>
      <c r="X41" s="113"/>
      <c r="Y41" s="170" t="str">
        <f t="shared" si="1"/>
        <v>제 22 호표</v>
      </c>
      <c r="Z41" s="37"/>
    </row>
    <row r="42" spans="1:26" ht="18" customHeight="1">
      <c r="A42" s="279"/>
      <c r="B42" s="223" t="s">
        <v>1894</v>
      </c>
      <c r="C42" s="43"/>
      <c r="D42" s="206">
        <v>3.6</v>
      </c>
      <c r="E42" s="207">
        <v>6.4</v>
      </c>
      <c r="F42" s="207">
        <v>13.9</v>
      </c>
      <c r="G42" s="207">
        <v>31.1</v>
      </c>
      <c r="H42" s="207">
        <v>61.4</v>
      </c>
      <c r="I42" s="208">
        <v>76.7</v>
      </c>
      <c r="J42" s="390" t="s">
        <v>1925</v>
      </c>
      <c r="L42" s="233">
        <v>1</v>
      </c>
      <c r="N42" s="292" t="str">
        <f t="shared" si="2"/>
        <v>3.2. 관련도서작성</v>
      </c>
      <c r="O42" s="37"/>
      <c r="P42" s="37"/>
      <c r="Q42" s="37"/>
      <c r="R42" s="37"/>
      <c r="S42" s="37"/>
      <c r="T42" s="37"/>
      <c r="U42" s="353"/>
      <c r="V42" s="248"/>
      <c r="W42" s="153">
        <f t="array" aca="1" ref="W42" ca="1">SUM((ROUNDDOWN((D74:I74)*단가,0)))</f>
        <v>66573484</v>
      </c>
      <c r="X42" s="113"/>
      <c r="Y42" s="170" t="str">
        <f t="shared" si="1"/>
        <v>제 23 호표</v>
      </c>
      <c r="Z42" s="37"/>
    </row>
    <row r="43" spans="1:26" ht="18" customHeight="1">
      <c r="A43" s="279"/>
      <c r="B43" s="222" t="s">
        <v>269</v>
      </c>
      <c r="C43" s="47"/>
      <c r="D43" s="48">
        <f t="shared" ref="D43:I43" si="5">SUBTOTAL(9,D44:D47)</f>
        <v>8</v>
      </c>
      <c r="E43" s="49">
        <f t="shared" si="5"/>
        <v>8</v>
      </c>
      <c r="F43" s="49">
        <f t="shared" si="5"/>
        <v>8</v>
      </c>
      <c r="G43" s="49">
        <f t="shared" si="5"/>
        <v>16</v>
      </c>
      <c r="H43" s="49">
        <f t="shared" si="5"/>
        <v>16</v>
      </c>
      <c r="I43" s="50">
        <f t="shared" si="5"/>
        <v>16</v>
      </c>
      <c r="J43" s="389"/>
      <c r="L43" s="232"/>
      <c r="N43" s="354" t="str">
        <f t="shared" si="2"/>
        <v>4. 기술협의</v>
      </c>
      <c r="O43" s="169"/>
      <c r="P43" s="169"/>
      <c r="Q43" s="169"/>
      <c r="R43" s="169"/>
      <c r="S43" s="169"/>
      <c r="T43" s="169"/>
      <c r="U43" s="226"/>
      <c r="V43" s="248"/>
      <c r="W43" s="193">
        <f ca="1">SUBTOTAL(9,W44:W47)</f>
        <v>21702576</v>
      </c>
      <c r="X43" s="194"/>
      <c r="Y43" s="170" t="str">
        <f t="shared" si="1"/>
        <v/>
      </c>
      <c r="Z43" s="170"/>
    </row>
    <row r="44" spans="1:26" ht="18" customHeight="1">
      <c r="A44" s="279"/>
      <c r="B44" s="223" t="s">
        <v>1626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389" t="s">
        <v>1927</v>
      </c>
      <c r="L44" s="233">
        <v>1</v>
      </c>
      <c r="N44" s="292" t="str">
        <f t="shared" si="2"/>
        <v>4.1. 공청회/주민설명회</v>
      </c>
      <c r="O44" s="37"/>
      <c r="P44" s="37"/>
      <c r="Q44" s="37"/>
      <c r="R44" s="37"/>
      <c r="S44" s="37"/>
      <c r="T44" s="37"/>
      <c r="U44" s="227"/>
      <c r="V44" s="231"/>
      <c r="W44" s="153">
        <f t="array" aca="1" ref="W44" ca="1">SUM((ROUNDDOWN((D76:I76)*단가,0)))</f>
        <v>5425644</v>
      </c>
      <c r="X44" s="154"/>
      <c r="Y44" s="170" t="str">
        <f t="shared" si="1"/>
        <v>제 24 호표</v>
      </c>
      <c r="Z44" s="150"/>
    </row>
    <row r="45" spans="1:26" ht="18" customHeight="1">
      <c r="A45" s="279"/>
      <c r="B45" s="223" t="s">
        <v>1923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389" t="s">
        <v>1094</v>
      </c>
      <c r="L45" s="233">
        <v>1</v>
      </c>
      <c r="N45" s="292" t="str">
        <f t="shared" si="2"/>
        <v>4.2. 주민간담회/시민계획단</v>
      </c>
      <c r="O45" s="37"/>
      <c r="P45" s="37"/>
      <c r="Q45" s="37"/>
      <c r="R45" s="37"/>
      <c r="S45" s="37"/>
      <c r="T45" s="37"/>
      <c r="U45" s="227"/>
      <c r="V45" s="231"/>
      <c r="W45" s="153">
        <f t="array" aca="1" ref="W45" ca="1">SUM((ROUNDDOWN((D77:I77)*단가,0)))</f>
        <v>5425644</v>
      </c>
      <c r="X45" s="154"/>
      <c r="Y45" s="170" t="str">
        <f t="shared" si="1"/>
        <v>제 25 호표</v>
      </c>
      <c r="Z45" s="150"/>
    </row>
    <row r="46" spans="1:26" ht="18" customHeight="1">
      <c r="A46" s="279"/>
      <c r="B46" s="223" t="s">
        <v>1628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389" t="s">
        <v>1094</v>
      </c>
      <c r="L46" s="233">
        <v>1</v>
      </c>
      <c r="N46" s="292" t="str">
        <f t="shared" si="2"/>
        <v>4.3. 위원회심의 지원</v>
      </c>
      <c r="O46" s="37"/>
      <c r="P46" s="37"/>
      <c r="Q46" s="37"/>
      <c r="R46" s="37"/>
      <c r="S46" s="37"/>
      <c r="T46" s="37"/>
      <c r="U46" s="227"/>
      <c r="V46" s="231"/>
      <c r="W46" s="153">
        <f t="array" aca="1" ref="W46" ca="1">SUM((ROUNDDOWN((D78:I78)*단가,0)))</f>
        <v>5425644</v>
      </c>
      <c r="X46" s="154"/>
      <c r="Y46" s="170" t="str">
        <f t="shared" si="1"/>
        <v>제 26 호표</v>
      </c>
      <c r="Z46" s="150"/>
    </row>
    <row r="47" spans="1:26" ht="18" customHeight="1" thickBot="1">
      <c r="A47" s="279"/>
      <c r="B47" s="223" t="s">
        <v>1924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612" t="s">
        <v>1094</v>
      </c>
      <c r="L47" s="233">
        <v>1</v>
      </c>
      <c r="N47" s="292" t="str">
        <f t="shared" si="2"/>
        <v>4.4. 관계기관 협의</v>
      </c>
      <c r="O47" s="37"/>
      <c r="P47" s="37"/>
      <c r="Q47" s="37"/>
      <c r="R47" s="37"/>
      <c r="S47" s="37"/>
      <c r="T47" s="37"/>
      <c r="U47" s="227"/>
      <c r="V47" s="231"/>
      <c r="W47" s="153">
        <f t="array" aca="1" ref="W47" ca="1">SUM((ROUNDDOWN((D79:I79)*단가,0)))</f>
        <v>5425644</v>
      </c>
      <c r="X47" s="154"/>
      <c r="Y47" s="170" t="str">
        <f t="shared" si="1"/>
        <v>제 27 호표</v>
      </c>
      <c r="Z47" s="150"/>
    </row>
    <row r="48" spans="1:26" ht="18" customHeight="1" thickBot="1">
      <c r="A48" s="279"/>
      <c r="B48" s="14" t="s">
        <v>30</v>
      </c>
      <c r="C48" s="16"/>
      <c r="D48" s="14" t="s">
        <v>12</v>
      </c>
      <c r="E48" s="15"/>
      <c r="F48" s="15"/>
      <c r="G48" s="15"/>
      <c r="H48" s="15"/>
      <c r="I48" s="16"/>
      <c r="J48" s="175" t="s">
        <v>31</v>
      </c>
      <c r="N48" s="8"/>
      <c r="P48" s="371"/>
      <c r="R48" s="357"/>
      <c r="S48" s="1"/>
      <c r="T48" s="1"/>
      <c r="U48" s="258"/>
      <c r="V48" s="372"/>
      <c r="W48" s="373"/>
      <c r="X48" s="374"/>
      <c r="Y48" s="375"/>
    </row>
    <row r="49" spans="1:26" ht="18" customHeight="1">
      <c r="A49" s="279"/>
      <c r="B49" s="222" t="s">
        <v>518</v>
      </c>
      <c r="C49" s="47"/>
      <c r="D49" s="48">
        <f t="shared" ref="D49:I49" si="6">SUBTOTAL(9,D50:D54)</f>
        <v>11.829999999999998</v>
      </c>
      <c r="E49" s="49">
        <f t="shared" si="6"/>
        <v>18.850000000000001</v>
      </c>
      <c r="F49" s="49">
        <f t="shared" si="6"/>
        <v>58.629999999999995</v>
      </c>
      <c r="G49" s="49">
        <f t="shared" si="6"/>
        <v>94.51</v>
      </c>
      <c r="H49" s="49">
        <f t="shared" si="6"/>
        <v>128.83000000000001</v>
      </c>
      <c r="I49" s="50">
        <f t="shared" si="6"/>
        <v>138.44999999999999</v>
      </c>
      <c r="J49" s="74"/>
      <c r="N49" s="290" t="s">
        <v>10</v>
      </c>
      <c r="O49" s="129"/>
      <c r="P49" s="130"/>
      <c r="Q49" s="124"/>
      <c r="R49" s="131"/>
      <c r="S49" s="124"/>
      <c r="T49" s="124"/>
      <c r="U49" s="181"/>
      <c r="V49" s="181"/>
      <c r="W49" s="159">
        <f>SUBTOTAL(9,W50:W52)</f>
        <v>8000000</v>
      </c>
      <c r="X49" s="160"/>
      <c r="Y49" s="124"/>
      <c r="Z49" s="124"/>
    </row>
    <row r="50" spans="1:26" ht="18" customHeight="1">
      <c r="A50" s="278">
        <v>1</v>
      </c>
      <c r="B50" s="223" t="s">
        <v>1882</v>
      </c>
      <c r="C50" s="23"/>
      <c r="D50" s="197">
        <f t="array" ref="D50:I54">ROUNDDOWN(D18:I22*L18:L22*D5*D6,3)</f>
        <v>4.55</v>
      </c>
      <c r="E50" s="198">
        <v>7.41</v>
      </c>
      <c r="F50" s="198">
        <v>30.94</v>
      </c>
      <c r="G50" s="198">
        <v>46.67</v>
      </c>
      <c r="H50" s="198">
        <v>77.48</v>
      </c>
      <c r="I50" s="199">
        <v>83.72</v>
      </c>
      <c r="J50" s="74"/>
      <c r="N50" s="128" t="str">
        <f>"여비("&amp;TEXT(R50,"#인 ×")&amp;TEXT(S50,"#일 ×")&amp;TEXT(T50,"###,###원)")</f>
        <v>여비(3인 ×10일 ×100,000원)</v>
      </c>
      <c r="O50" s="78"/>
      <c r="P50" s="52"/>
      <c r="Q50" s="51"/>
      <c r="R50" s="146">
        <v>3</v>
      </c>
      <c r="S50" s="146">
        <v>10</v>
      </c>
      <c r="T50" s="147">
        <v>100000</v>
      </c>
      <c r="U50" s="182"/>
      <c r="V50" s="182"/>
      <c r="W50" s="161">
        <f>R50*S50*T50</f>
        <v>3000000</v>
      </c>
      <c r="X50" s="162"/>
      <c r="Y50" s="51"/>
      <c r="Z50" s="51"/>
    </row>
    <row r="51" spans="1:26" ht="18" customHeight="1">
      <c r="A51" s="278">
        <v>2</v>
      </c>
      <c r="B51" s="223" t="s">
        <v>1902</v>
      </c>
      <c r="C51" s="23"/>
      <c r="D51" s="197">
        <v>1.69</v>
      </c>
      <c r="E51" s="198">
        <v>2.73</v>
      </c>
      <c r="F51" s="198">
        <v>3.64</v>
      </c>
      <c r="G51" s="198">
        <v>10.14</v>
      </c>
      <c r="H51" s="198">
        <v>10.14</v>
      </c>
      <c r="I51" s="199">
        <v>13.65</v>
      </c>
      <c r="J51" s="74"/>
      <c r="N51" s="79" t="s">
        <v>46</v>
      </c>
      <c r="O51" s="79"/>
      <c r="P51" s="39"/>
      <c r="Q51" s="37"/>
      <c r="R51" s="117"/>
      <c r="S51" s="37"/>
      <c r="T51" s="37"/>
      <c r="U51" s="180"/>
      <c r="V51" s="180"/>
      <c r="W51" s="157">
        <v>3000000</v>
      </c>
      <c r="X51" s="158"/>
      <c r="Y51" s="37"/>
      <c r="Z51" s="37"/>
    </row>
    <row r="52" spans="1:26" ht="18" customHeight="1">
      <c r="A52" s="278">
        <v>3</v>
      </c>
      <c r="B52" s="223" t="s">
        <v>1903</v>
      </c>
      <c r="C52" s="23"/>
      <c r="D52" s="197">
        <v>1.95</v>
      </c>
      <c r="E52" s="198">
        <v>2.99</v>
      </c>
      <c r="F52" s="198">
        <v>6.76</v>
      </c>
      <c r="G52" s="198">
        <v>13.65</v>
      </c>
      <c r="H52" s="198">
        <v>13.26</v>
      </c>
      <c r="I52" s="199">
        <v>13.65</v>
      </c>
      <c r="J52" s="74"/>
      <c r="N52" s="132" t="s">
        <v>13</v>
      </c>
      <c r="O52" s="132"/>
      <c r="P52" s="38"/>
      <c r="Q52" s="38"/>
      <c r="R52" s="116"/>
      <c r="S52" s="38"/>
      <c r="T52" s="38"/>
      <c r="U52" s="183"/>
      <c r="V52" s="183"/>
      <c r="W52" s="155">
        <v>2000000</v>
      </c>
      <c r="X52" s="156"/>
      <c r="Y52" s="38"/>
      <c r="Z52" s="38"/>
    </row>
    <row r="53" spans="1:26" ht="18" customHeight="1">
      <c r="A53" s="278">
        <v>4</v>
      </c>
      <c r="B53" s="223" t="s">
        <v>1904</v>
      </c>
      <c r="C53" s="23"/>
      <c r="D53" s="197">
        <v>1.95</v>
      </c>
      <c r="E53" s="198">
        <v>2.99</v>
      </c>
      <c r="F53" s="198">
        <v>10.14</v>
      </c>
      <c r="G53" s="198">
        <v>13.91</v>
      </c>
      <c r="H53" s="198">
        <v>17.03</v>
      </c>
      <c r="I53" s="199">
        <v>17.29</v>
      </c>
      <c r="J53" s="389"/>
      <c r="N53" s="127" t="s">
        <v>47</v>
      </c>
      <c r="O53" s="123"/>
      <c r="P53" s="123"/>
      <c r="Q53" s="123"/>
      <c r="R53" s="123"/>
      <c r="S53" s="123"/>
      <c r="T53" s="123"/>
      <c r="U53" s="184"/>
      <c r="V53" s="184"/>
      <c r="W53" s="163">
        <f ca="1">SUBTOTAL(9,W54:W55)</f>
        <v>1151271253</v>
      </c>
      <c r="X53" s="164"/>
      <c r="Y53" s="123"/>
      <c r="Z53" s="123"/>
    </row>
    <row r="54" spans="1:26" ht="18" customHeight="1">
      <c r="A54" s="278">
        <v>5</v>
      </c>
      <c r="B54" s="223" t="s">
        <v>1905</v>
      </c>
      <c r="C54" s="23"/>
      <c r="D54" s="197">
        <v>1.69</v>
      </c>
      <c r="E54" s="198">
        <v>2.73</v>
      </c>
      <c r="F54" s="198">
        <v>7.15</v>
      </c>
      <c r="G54" s="198">
        <v>10.14</v>
      </c>
      <c r="H54" s="198">
        <v>10.92</v>
      </c>
      <c r="I54" s="199">
        <v>10.14</v>
      </c>
      <c r="J54" s="389"/>
      <c r="N54" s="133" t="s">
        <v>861</v>
      </c>
      <c r="O54" s="124"/>
      <c r="P54" s="134"/>
      <c r="Q54" s="124"/>
      <c r="R54" s="131"/>
      <c r="S54" s="124"/>
      <c r="T54" s="181"/>
      <c r="U54" s="181"/>
      <c r="V54" s="190">
        <v>1.1499999999999999</v>
      </c>
      <c r="W54" s="159">
        <f ca="1">ROUNDDOWN(W16*V54,0)</f>
        <v>737583254</v>
      </c>
      <c r="X54" s="160"/>
      <c r="Y54" s="124"/>
      <c r="Z54" s="124"/>
    </row>
    <row r="55" spans="1:26" ht="18" customHeight="1" thickBot="1">
      <c r="A55" s="278"/>
      <c r="B55" s="222" t="s">
        <v>1906</v>
      </c>
      <c r="C55" s="47"/>
      <c r="D55" s="48">
        <f t="shared" ref="D55:I55" si="7">SUBTOTAL(9,D56:D71)</f>
        <v>50.440000000000012</v>
      </c>
      <c r="E55" s="49">
        <f t="shared" si="7"/>
        <v>81.639999999999986</v>
      </c>
      <c r="F55" s="49">
        <f t="shared" si="7"/>
        <v>158.21</v>
      </c>
      <c r="G55" s="49">
        <f t="shared" si="7"/>
        <v>264.29000000000002</v>
      </c>
      <c r="H55" s="49">
        <f t="shared" si="7"/>
        <v>389.34999999999985</v>
      </c>
      <c r="I55" s="50">
        <f t="shared" si="7"/>
        <v>372.97</v>
      </c>
      <c r="J55" s="74"/>
      <c r="N55" s="135" t="s">
        <v>862</v>
      </c>
      <c r="O55" s="136"/>
      <c r="P55" s="137"/>
      <c r="Q55" s="136"/>
      <c r="R55" s="138"/>
      <c r="S55" s="136"/>
      <c r="T55" s="185"/>
      <c r="U55" s="185"/>
      <c r="V55" s="191">
        <v>0.3</v>
      </c>
      <c r="W55" s="165">
        <f ca="1">ROUNDDOWN((W16+W54)*V55,0)</f>
        <v>413687999</v>
      </c>
      <c r="X55" s="166"/>
      <c r="Y55" s="136"/>
      <c r="Z55" s="136"/>
    </row>
    <row r="56" spans="1:26" ht="18" customHeight="1">
      <c r="A56" s="278">
        <v>6</v>
      </c>
      <c r="B56" s="223" t="s">
        <v>1907</v>
      </c>
      <c r="C56" s="23"/>
      <c r="D56" s="197">
        <f t="array" ref="D56:I71">ROUNDDOWN(D24:I39*L24:L39*D5*D6,3)</f>
        <v>3.51</v>
      </c>
      <c r="E56" s="198">
        <v>5.72</v>
      </c>
      <c r="F56" s="198">
        <v>11.31</v>
      </c>
      <c r="G56" s="198">
        <v>18.72</v>
      </c>
      <c r="H56" s="198">
        <v>28.08</v>
      </c>
      <c r="I56" s="199">
        <v>17.940000000000001</v>
      </c>
      <c r="J56" s="74"/>
    </row>
    <row r="57" spans="1:26" ht="18" customHeight="1">
      <c r="A57" s="278">
        <v>7</v>
      </c>
      <c r="B57" s="223" t="s">
        <v>1908</v>
      </c>
      <c r="C57" s="23"/>
      <c r="D57" s="197">
        <v>2.99</v>
      </c>
      <c r="E57" s="198">
        <v>4.68</v>
      </c>
      <c r="F57" s="198">
        <v>9.23</v>
      </c>
      <c r="G57" s="198">
        <v>15.6</v>
      </c>
      <c r="H57" s="198">
        <v>21.84</v>
      </c>
      <c r="I57" s="199">
        <v>26</v>
      </c>
      <c r="J57" s="74"/>
      <c r="K57" s="171" t="s">
        <v>14</v>
      </c>
    </row>
    <row r="58" spans="1:26" ht="18" customHeight="1">
      <c r="A58" s="278">
        <v>8</v>
      </c>
      <c r="B58" s="223" t="s">
        <v>1909</v>
      </c>
      <c r="C58" s="23"/>
      <c r="D58" s="197">
        <v>3.51</v>
      </c>
      <c r="E58" s="198">
        <v>5.72</v>
      </c>
      <c r="F58" s="198">
        <v>11.31</v>
      </c>
      <c r="G58" s="198">
        <v>18.98</v>
      </c>
      <c r="H58" s="198">
        <v>28.08</v>
      </c>
      <c r="I58" s="199">
        <v>26.91</v>
      </c>
      <c r="J58" s="74"/>
      <c r="K58" s="171" t="s">
        <v>14</v>
      </c>
    </row>
    <row r="59" spans="1:26" ht="18" customHeight="1">
      <c r="A59" s="278">
        <v>9</v>
      </c>
      <c r="B59" s="223" t="s">
        <v>1910</v>
      </c>
      <c r="C59" s="23"/>
      <c r="D59" s="197">
        <v>2.99</v>
      </c>
      <c r="E59" s="198">
        <v>4.9400000000000004</v>
      </c>
      <c r="F59" s="198">
        <v>9.6199999999999992</v>
      </c>
      <c r="G59" s="198">
        <v>15.86</v>
      </c>
      <c r="H59" s="198">
        <v>23.27</v>
      </c>
      <c r="I59" s="199">
        <v>22.49</v>
      </c>
      <c r="J59" s="389"/>
      <c r="K59" s="171" t="s">
        <v>14</v>
      </c>
    </row>
    <row r="60" spans="1:26" ht="18" customHeight="1">
      <c r="A60" s="278">
        <v>10</v>
      </c>
      <c r="B60" s="223" t="s">
        <v>1911</v>
      </c>
      <c r="C60" s="23"/>
      <c r="D60" s="197">
        <v>2.99</v>
      </c>
      <c r="E60" s="198">
        <v>4.9400000000000004</v>
      </c>
      <c r="F60" s="198">
        <v>7.67</v>
      </c>
      <c r="G60" s="198">
        <v>12.87</v>
      </c>
      <c r="H60" s="198">
        <v>23.4</v>
      </c>
      <c r="I60" s="199">
        <v>22.49</v>
      </c>
      <c r="J60" s="389"/>
      <c r="K60" s="171" t="s">
        <v>14</v>
      </c>
      <c r="L60" s="171"/>
    </row>
    <row r="61" spans="1:26" ht="18" customHeight="1">
      <c r="A61" s="278">
        <v>11</v>
      </c>
      <c r="B61" s="223" t="s">
        <v>1912</v>
      </c>
      <c r="C61" s="23"/>
      <c r="D61" s="197">
        <v>3.51</v>
      </c>
      <c r="E61" s="198">
        <v>5.72</v>
      </c>
      <c r="F61" s="198">
        <v>11.31</v>
      </c>
      <c r="G61" s="198">
        <v>18.98</v>
      </c>
      <c r="H61" s="198">
        <v>28.08</v>
      </c>
      <c r="I61" s="199">
        <v>17.940000000000001</v>
      </c>
      <c r="J61" s="389"/>
      <c r="K61" s="171"/>
      <c r="L61" s="171"/>
      <c r="R61" s="1"/>
      <c r="S61" s="1"/>
      <c r="T61" s="1"/>
      <c r="U61" s="1"/>
      <c r="V61" s="1"/>
      <c r="W61" s="1"/>
      <c r="X61" s="1"/>
      <c r="Y61" s="1"/>
    </row>
    <row r="62" spans="1:26" ht="18" customHeight="1">
      <c r="A62" s="278">
        <v>12</v>
      </c>
      <c r="B62" s="223" t="s">
        <v>1913</v>
      </c>
      <c r="C62" s="23"/>
      <c r="D62" s="197">
        <v>3.51</v>
      </c>
      <c r="E62" s="198">
        <v>5.72</v>
      </c>
      <c r="F62" s="198">
        <v>11.31</v>
      </c>
      <c r="G62" s="198">
        <v>18.98</v>
      </c>
      <c r="H62" s="198">
        <v>28.08</v>
      </c>
      <c r="I62" s="199">
        <v>17.940000000000001</v>
      </c>
      <c r="J62" s="74"/>
      <c r="K62" s="171" t="s">
        <v>14</v>
      </c>
      <c r="L62" s="171"/>
      <c r="R62" s="1"/>
      <c r="S62" s="1"/>
      <c r="T62" s="1"/>
      <c r="U62" s="1"/>
      <c r="V62" s="1"/>
      <c r="W62" s="1"/>
      <c r="X62" s="1"/>
      <c r="Y62" s="1"/>
    </row>
    <row r="63" spans="1:26" ht="18" customHeight="1">
      <c r="A63" s="278">
        <v>13</v>
      </c>
      <c r="B63" s="223" t="s">
        <v>1914</v>
      </c>
      <c r="C63" s="23"/>
      <c r="D63" s="197">
        <v>2.99</v>
      </c>
      <c r="E63" s="198">
        <v>4.9400000000000004</v>
      </c>
      <c r="F63" s="198">
        <v>9.23</v>
      </c>
      <c r="G63" s="198">
        <v>15.47</v>
      </c>
      <c r="H63" s="198">
        <v>21.84</v>
      </c>
      <c r="I63" s="199">
        <v>26</v>
      </c>
      <c r="J63" s="389"/>
      <c r="K63" s="171" t="s">
        <v>14</v>
      </c>
      <c r="L63" s="171"/>
      <c r="R63" s="1"/>
      <c r="S63" s="1"/>
      <c r="T63" s="1"/>
      <c r="U63" s="1"/>
      <c r="V63" s="1"/>
      <c r="W63" s="1"/>
      <c r="X63" s="1"/>
      <c r="Y63" s="1"/>
    </row>
    <row r="64" spans="1:26" ht="18" customHeight="1" thickBot="1">
      <c r="A64" s="278">
        <v>14</v>
      </c>
      <c r="B64" s="223" t="s">
        <v>1915</v>
      </c>
      <c r="C64" s="23"/>
      <c r="D64" s="197">
        <v>2.99</v>
      </c>
      <c r="E64" s="198">
        <v>4.9400000000000004</v>
      </c>
      <c r="F64" s="198">
        <v>9.23</v>
      </c>
      <c r="G64" s="198">
        <v>15.47</v>
      </c>
      <c r="H64" s="198">
        <v>21.84</v>
      </c>
      <c r="I64" s="199">
        <v>26</v>
      </c>
      <c r="J64" s="74"/>
      <c r="K64" s="171" t="s">
        <v>14</v>
      </c>
      <c r="L64" s="171"/>
      <c r="N64" s="66" t="s">
        <v>18</v>
      </c>
      <c r="O64" s="2"/>
      <c r="P64" s="2"/>
      <c r="Q64" s="2"/>
      <c r="R64" s="3"/>
      <c r="S64" s="4"/>
      <c r="T64" s="3"/>
      <c r="U64" s="4"/>
      <c r="V64" s="3"/>
      <c r="W64" s="4"/>
      <c r="X64" s="3"/>
      <c r="Y64" s="4"/>
      <c r="Z64" s="2"/>
    </row>
    <row r="65" spans="1:26" ht="18" customHeight="1">
      <c r="A65" s="278">
        <v>15</v>
      </c>
      <c r="B65" s="223" t="s">
        <v>1916</v>
      </c>
      <c r="C65" s="23"/>
      <c r="D65" s="197">
        <v>3.51</v>
      </c>
      <c r="E65" s="198">
        <v>5.72</v>
      </c>
      <c r="F65" s="198">
        <v>11.31</v>
      </c>
      <c r="G65" s="198">
        <v>18.98</v>
      </c>
      <c r="H65" s="198">
        <v>28.08</v>
      </c>
      <c r="I65" s="199">
        <v>26.91</v>
      </c>
      <c r="J65" s="389"/>
      <c r="K65" s="171" t="s">
        <v>14</v>
      </c>
      <c r="L65" s="171"/>
      <c r="N65" s="765" t="s">
        <v>19</v>
      </c>
      <c r="O65" s="755" t="s">
        <v>20</v>
      </c>
      <c r="P65" s="755" t="s">
        <v>21</v>
      </c>
      <c r="Q65" s="755" t="s">
        <v>16</v>
      </c>
      <c r="R65" s="5" t="s">
        <v>22</v>
      </c>
      <c r="S65" s="5"/>
      <c r="T65" s="5" t="s">
        <v>23</v>
      </c>
      <c r="U65" s="5"/>
      <c r="V65" s="5" t="s">
        <v>24</v>
      </c>
      <c r="W65" s="5"/>
      <c r="X65" s="5" t="s">
        <v>25</v>
      </c>
      <c r="Y65" s="5"/>
      <c r="Z65" s="755" t="s">
        <v>26</v>
      </c>
    </row>
    <row r="66" spans="1:26" ht="18" customHeight="1" thickBot="1">
      <c r="A66" s="278">
        <v>16</v>
      </c>
      <c r="B66" s="223" t="s">
        <v>1917</v>
      </c>
      <c r="C66" s="23"/>
      <c r="D66" s="197">
        <v>2.99</v>
      </c>
      <c r="E66" s="198">
        <v>4.68</v>
      </c>
      <c r="F66" s="198">
        <v>9.23</v>
      </c>
      <c r="G66" s="198">
        <v>15.47</v>
      </c>
      <c r="H66" s="198">
        <v>21.84</v>
      </c>
      <c r="I66" s="199">
        <v>26</v>
      </c>
      <c r="J66" s="389"/>
      <c r="K66" s="171" t="s">
        <v>14</v>
      </c>
      <c r="L66" s="171"/>
      <c r="N66" s="766"/>
      <c r="O66" s="756"/>
      <c r="P66" s="756"/>
      <c r="Q66" s="756"/>
      <c r="R66" s="67" t="s">
        <v>27</v>
      </c>
      <c r="S66" s="67" t="s">
        <v>28</v>
      </c>
      <c r="T66" s="67" t="s">
        <v>27</v>
      </c>
      <c r="U66" s="67" t="s">
        <v>28</v>
      </c>
      <c r="V66" s="67" t="s">
        <v>27</v>
      </c>
      <c r="W66" s="67" t="s">
        <v>28</v>
      </c>
      <c r="X66" s="67" t="s">
        <v>27</v>
      </c>
      <c r="Y66" s="67" t="s">
        <v>28</v>
      </c>
      <c r="Z66" s="756"/>
    </row>
    <row r="67" spans="1:26" ht="18" customHeight="1" thickTop="1">
      <c r="A67" s="278">
        <v>17</v>
      </c>
      <c r="B67" s="223" t="s">
        <v>1918</v>
      </c>
      <c r="C67" s="23"/>
      <c r="D67" s="197">
        <v>2.99</v>
      </c>
      <c r="E67" s="198">
        <v>4.9400000000000004</v>
      </c>
      <c r="F67" s="198">
        <v>9.6199999999999992</v>
      </c>
      <c r="G67" s="198">
        <v>15.86</v>
      </c>
      <c r="H67" s="198">
        <v>23.27</v>
      </c>
      <c r="I67" s="199">
        <v>22.49</v>
      </c>
      <c r="J67" s="389"/>
      <c r="K67" s="171" t="s">
        <v>14</v>
      </c>
      <c r="L67" s="171"/>
      <c r="N67" s="318" t="str">
        <f ca="1">"제 " &amp; Z67 &amp; " 호표  "&amp; OFFSET($A$1,MATCH(Z67,$A:$A,0)-1,1)</f>
        <v>제 1 호표  1.1. 도시현황조사</v>
      </c>
      <c r="O67" s="221"/>
      <c r="P67" s="148"/>
      <c r="Q67" s="148"/>
      <c r="R67" s="149"/>
      <c r="S67" s="149"/>
      <c r="T67" s="149"/>
      <c r="U67" s="149"/>
      <c r="V67" s="149"/>
      <c r="W67" s="149"/>
      <c r="X67" s="149"/>
      <c r="Y67" s="149"/>
      <c r="Z67" s="325">
        <v>1</v>
      </c>
    </row>
    <row r="68" spans="1:26" ht="18" customHeight="1">
      <c r="A68" s="278">
        <v>18</v>
      </c>
      <c r="B68" s="223" t="s">
        <v>1919</v>
      </c>
      <c r="C68" s="23"/>
      <c r="D68" s="197">
        <v>2.99</v>
      </c>
      <c r="E68" s="198">
        <v>4.68</v>
      </c>
      <c r="F68" s="198">
        <v>9.36</v>
      </c>
      <c r="G68" s="198">
        <v>15.86</v>
      </c>
      <c r="H68" s="198">
        <v>23.27</v>
      </c>
      <c r="I68" s="199">
        <v>22.49</v>
      </c>
      <c r="J68" s="74"/>
      <c r="K68" s="171" t="s">
        <v>14</v>
      </c>
      <c r="L68" s="171"/>
      <c r="N68" s="140" t="s">
        <v>43</v>
      </c>
      <c r="O68" s="172">
        <v>3</v>
      </c>
      <c r="P68" s="219">
        <f ca="1">OFFSET($A$1,MATCH(Z67,$A:$A,0)-1,O68)</f>
        <v>4.55</v>
      </c>
      <c r="Q68" s="141" t="s">
        <v>29</v>
      </c>
      <c r="R68" s="142">
        <f t="shared" ref="R68:S73" ca="1" si="8">T68</f>
        <v>467217</v>
      </c>
      <c r="S68" s="142">
        <f t="shared" ca="1" si="8"/>
        <v>2125837</v>
      </c>
      <c r="T68" s="142">
        <f ca="1">기술사</f>
        <v>467217</v>
      </c>
      <c r="U68" s="142">
        <f t="shared" ref="U68:U73" ca="1" si="9">ROUNDDOWN(P68*R68,0)</f>
        <v>2125837</v>
      </c>
      <c r="V68" s="142"/>
      <c r="W68" s="142"/>
      <c r="X68" s="142"/>
      <c r="Y68" s="142"/>
      <c r="Z68" s="114"/>
    </row>
    <row r="69" spans="1:26" ht="18" customHeight="1">
      <c r="A69" s="278">
        <v>19</v>
      </c>
      <c r="B69" s="223" t="s">
        <v>1920</v>
      </c>
      <c r="C69" s="23"/>
      <c r="D69" s="197">
        <v>2.99</v>
      </c>
      <c r="E69" s="198">
        <v>4.68</v>
      </c>
      <c r="F69" s="198">
        <v>9.23</v>
      </c>
      <c r="G69" s="198">
        <v>15.47</v>
      </c>
      <c r="H69" s="198">
        <v>21.84</v>
      </c>
      <c r="I69" s="199">
        <v>26</v>
      </c>
      <c r="J69" s="389"/>
      <c r="K69" s="171" t="s">
        <v>14</v>
      </c>
      <c r="L69" s="171"/>
      <c r="N69" s="143" t="s">
        <v>32</v>
      </c>
      <c r="O69" s="173">
        <v>4</v>
      </c>
      <c r="P69" s="234">
        <f ca="1">OFFSET($A$1,MATCH(Z67,$A:$A,0)-1,O69)</f>
        <v>7.41</v>
      </c>
      <c r="Q69" s="144" t="s">
        <v>29</v>
      </c>
      <c r="R69" s="118">
        <f t="shared" ca="1" si="8"/>
        <v>373353</v>
      </c>
      <c r="S69" s="118">
        <f t="shared" ca="1" si="8"/>
        <v>2766545</v>
      </c>
      <c r="T69" s="118">
        <f ca="1">특급</f>
        <v>373353</v>
      </c>
      <c r="U69" s="118">
        <f t="shared" ca="1" si="9"/>
        <v>2766545</v>
      </c>
      <c r="V69" s="118"/>
      <c r="W69" s="118"/>
      <c r="X69" s="118"/>
      <c r="Y69" s="118"/>
      <c r="Z69" s="115"/>
    </row>
    <row r="70" spans="1:26" ht="18" customHeight="1">
      <c r="A70" s="278">
        <v>20</v>
      </c>
      <c r="B70" s="223" t="s">
        <v>1921</v>
      </c>
      <c r="C70" s="23"/>
      <c r="D70" s="197">
        <v>2.99</v>
      </c>
      <c r="E70" s="198">
        <v>4.68</v>
      </c>
      <c r="F70" s="198">
        <v>9.6199999999999992</v>
      </c>
      <c r="G70" s="198">
        <v>15.86</v>
      </c>
      <c r="H70" s="198">
        <v>23.27</v>
      </c>
      <c r="I70" s="199">
        <v>22.88</v>
      </c>
      <c r="J70" s="389"/>
      <c r="K70" s="171" t="s">
        <v>14</v>
      </c>
      <c r="L70" s="171"/>
      <c r="N70" s="145" t="s">
        <v>39</v>
      </c>
      <c r="O70" s="173">
        <v>5</v>
      </c>
      <c r="P70" s="234">
        <f ca="1">OFFSET($A$1,MATCH(Z67,$A:$A,0)-1,O70)</f>
        <v>30.94</v>
      </c>
      <c r="Q70" s="144" t="s">
        <v>29</v>
      </c>
      <c r="R70" s="118">
        <f t="shared" ca="1" si="8"/>
        <v>310884</v>
      </c>
      <c r="S70" s="118">
        <f t="shared" ca="1" si="8"/>
        <v>9618750</v>
      </c>
      <c r="T70" s="118">
        <f ca="1">고급</f>
        <v>310884</v>
      </c>
      <c r="U70" s="118">
        <f t="shared" ca="1" si="9"/>
        <v>9618750</v>
      </c>
      <c r="V70" s="118"/>
      <c r="W70" s="118"/>
      <c r="X70" s="118"/>
      <c r="Y70" s="118"/>
      <c r="Z70" s="115"/>
    </row>
    <row r="71" spans="1:26" ht="18" customHeight="1">
      <c r="A71" s="278">
        <v>21</v>
      </c>
      <c r="B71" s="223" t="s">
        <v>1922</v>
      </c>
      <c r="C71" s="23"/>
      <c r="D71" s="197">
        <v>2.99</v>
      </c>
      <c r="E71" s="198">
        <v>4.9400000000000004</v>
      </c>
      <c r="F71" s="198">
        <v>9.6199999999999992</v>
      </c>
      <c r="G71" s="198">
        <v>15.86</v>
      </c>
      <c r="H71" s="198">
        <v>23.27</v>
      </c>
      <c r="I71" s="199">
        <v>22.49</v>
      </c>
      <c r="J71" s="389"/>
      <c r="K71" s="171" t="s">
        <v>14</v>
      </c>
      <c r="L71" s="171"/>
      <c r="N71" s="145" t="s">
        <v>40</v>
      </c>
      <c r="O71" s="173">
        <v>6</v>
      </c>
      <c r="P71" s="234">
        <f ca="1">OFFSET($A$1,MATCH(Z67,$A:$A,0)-1,O71)</f>
        <v>46.67</v>
      </c>
      <c r="Q71" s="144" t="s">
        <v>29</v>
      </c>
      <c r="R71" s="118">
        <f t="shared" ca="1" si="8"/>
        <v>295138</v>
      </c>
      <c r="S71" s="118">
        <f t="shared" ca="1" si="8"/>
        <v>13774090</v>
      </c>
      <c r="T71" s="118">
        <f ca="1">중급</f>
        <v>295138</v>
      </c>
      <c r="U71" s="118">
        <f t="shared" ca="1" si="9"/>
        <v>13774090</v>
      </c>
      <c r="V71" s="118"/>
      <c r="W71" s="118"/>
      <c r="X71" s="118"/>
      <c r="Y71" s="118"/>
      <c r="Z71" s="115"/>
    </row>
    <row r="72" spans="1:26" ht="18" customHeight="1">
      <c r="A72" s="278"/>
      <c r="B72" s="222" t="s">
        <v>51</v>
      </c>
      <c r="C72" s="47"/>
      <c r="D72" s="48">
        <f t="shared" ref="D72:I72" si="10">SUBTOTAL(9,D73:D74)</f>
        <v>14.82</v>
      </c>
      <c r="E72" s="49">
        <f t="shared" si="10"/>
        <v>24.18</v>
      </c>
      <c r="F72" s="49">
        <f t="shared" si="10"/>
        <v>53.95</v>
      </c>
      <c r="G72" s="49">
        <f t="shared" si="10"/>
        <v>100.22999999999999</v>
      </c>
      <c r="H72" s="49">
        <f t="shared" si="10"/>
        <v>139.1</v>
      </c>
      <c r="I72" s="50">
        <f t="shared" si="10"/>
        <v>139.1</v>
      </c>
      <c r="J72" s="74"/>
      <c r="K72" s="171" t="s">
        <v>14</v>
      </c>
      <c r="L72" s="171"/>
      <c r="N72" s="145" t="s">
        <v>41</v>
      </c>
      <c r="O72" s="173">
        <v>7</v>
      </c>
      <c r="P72" s="234">
        <f ca="1">OFFSET($A$1,MATCH(Z67,$A:$A,0)-1,O72)</f>
        <v>77.48</v>
      </c>
      <c r="Q72" s="144" t="s">
        <v>29</v>
      </c>
      <c r="R72" s="118">
        <f t="shared" ca="1" si="8"/>
        <v>235459</v>
      </c>
      <c r="S72" s="118">
        <f t="shared" ca="1" si="8"/>
        <v>18243363</v>
      </c>
      <c r="T72" s="118">
        <f ca="1">초급</f>
        <v>235459</v>
      </c>
      <c r="U72" s="118">
        <f t="shared" ca="1" si="9"/>
        <v>18243363</v>
      </c>
      <c r="V72" s="118"/>
      <c r="W72" s="118"/>
      <c r="X72" s="118"/>
      <c r="Y72" s="118"/>
      <c r="Z72" s="115"/>
    </row>
    <row r="73" spans="1:26" ht="18" customHeight="1">
      <c r="A73" s="278">
        <v>22</v>
      </c>
      <c r="B73" s="223" t="s">
        <v>1893</v>
      </c>
      <c r="C73" s="23"/>
      <c r="D73" s="197">
        <f t="array" ref="D73:I74">ROUNDDOWN(D41:I42*L41:L42*D5*D6,3)</f>
        <v>10.14</v>
      </c>
      <c r="E73" s="198">
        <v>15.86</v>
      </c>
      <c r="F73" s="198">
        <v>35.880000000000003</v>
      </c>
      <c r="G73" s="198">
        <v>59.8</v>
      </c>
      <c r="H73" s="198">
        <v>59.28</v>
      </c>
      <c r="I73" s="199">
        <v>39.39</v>
      </c>
      <c r="J73" s="74"/>
      <c r="K73" s="171" t="s">
        <v>14</v>
      </c>
      <c r="L73" s="171"/>
      <c r="N73" s="319" t="s">
        <v>42</v>
      </c>
      <c r="O73" s="174">
        <v>8</v>
      </c>
      <c r="P73" s="235">
        <f ca="1">OFFSET($A$1,MATCH(Z67,$A:$A,0)-1,O73)</f>
        <v>83.72</v>
      </c>
      <c r="Q73" s="322" t="s">
        <v>29</v>
      </c>
      <c r="R73" s="323">
        <f t="shared" ca="1" si="8"/>
        <v>250087</v>
      </c>
      <c r="S73" s="323">
        <f t="shared" ca="1" si="8"/>
        <v>20937283</v>
      </c>
      <c r="T73" s="323">
        <f ca="1">보조원</f>
        <v>250087</v>
      </c>
      <c r="U73" s="323">
        <f t="shared" ca="1" si="9"/>
        <v>20937283</v>
      </c>
      <c r="V73" s="323"/>
      <c r="W73" s="323"/>
      <c r="X73" s="323"/>
      <c r="Y73" s="323"/>
      <c r="Z73" s="324"/>
    </row>
    <row r="74" spans="1:26" ht="18" customHeight="1">
      <c r="A74" s="278">
        <v>23</v>
      </c>
      <c r="B74" s="223" t="s">
        <v>1894</v>
      </c>
      <c r="C74" s="43"/>
      <c r="D74" s="206">
        <v>4.68</v>
      </c>
      <c r="E74" s="207">
        <v>8.32</v>
      </c>
      <c r="F74" s="207">
        <v>18.07</v>
      </c>
      <c r="G74" s="207">
        <v>40.43</v>
      </c>
      <c r="H74" s="207">
        <v>79.819999999999993</v>
      </c>
      <c r="I74" s="208">
        <v>99.71</v>
      </c>
      <c r="J74" s="239"/>
      <c r="K74" s="171" t="s">
        <v>14</v>
      </c>
      <c r="L74" s="171"/>
      <c r="N74" s="139" t="s">
        <v>17</v>
      </c>
      <c r="O74" s="68"/>
      <c r="P74" s="69"/>
      <c r="Q74" s="70"/>
      <c r="R74" s="71"/>
      <c r="S74" s="71">
        <f ca="1">SUBTOTAL(9,S68:S73)</f>
        <v>67465868</v>
      </c>
      <c r="T74" s="71"/>
      <c r="U74" s="71">
        <f ca="1">SUBTOTAL(9,U68:U73)</f>
        <v>67465868</v>
      </c>
      <c r="V74" s="71"/>
      <c r="W74" s="71"/>
      <c r="X74" s="71"/>
      <c r="Y74" s="71"/>
      <c r="Z74" s="68"/>
    </row>
    <row r="75" spans="1:26" ht="18" customHeight="1">
      <c r="A75" s="278"/>
      <c r="B75" s="222" t="s">
        <v>269</v>
      </c>
      <c r="C75" s="47"/>
      <c r="D75" s="48">
        <f t="shared" ref="D75:I75" si="11">SUBTOTAL(9,D76:D79)</f>
        <v>8</v>
      </c>
      <c r="E75" s="49">
        <f t="shared" si="11"/>
        <v>8</v>
      </c>
      <c r="F75" s="49">
        <f t="shared" si="11"/>
        <v>8</v>
      </c>
      <c r="G75" s="49">
        <f t="shared" si="11"/>
        <v>16</v>
      </c>
      <c r="H75" s="49">
        <f t="shared" si="11"/>
        <v>16</v>
      </c>
      <c r="I75" s="50">
        <f t="shared" si="11"/>
        <v>16</v>
      </c>
      <c r="J75" s="74"/>
      <c r="K75" s="171" t="s">
        <v>14</v>
      </c>
      <c r="L75" s="171"/>
      <c r="N75" s="318" t="str">
        <f ca="1">"제 " &amp; Z75 &amp; " 호표  "&amp; OFFSET($A$1,MATCH(Z75,$A:$A,0)-1,1)</f>
        <v>제 2 호표  1.2. 관련계획조사</v>
      </c>
      <c r="O75" s="221"/>
      <c r="P75" s="148"/>
      <c r="Q75" s="148"/>
      <c r="R75" s="149"/>
      <c r="S75" s="149"/>
      <c r="T75" s="149"/>
      <c r="U75" s="149"/>
      <c r="V75" s="149"/>
      <c r="W75" s="149"/>
      <c r="X75" s="149"/>
      <c r="Y75" s="149"/>
      <c r="Z75" s="325">
        <f>Z67+1</f>
        <v>2</v>
      </c>
    </row>
    <row r="76" spans="1:26" ht="18" customHeight="1">
      <c r="A76" s="278">
        <v>24</v>
      </c>
      <c r="B76" s="223" t="s">
        <v>1626</v>
      </c>
      <c r="C76" s="23"/>
      <c r="D76" s="197">
        <f t="array" ref="D76:I79">ROUNDDOWN(D44:I47*L44:L47*I5,3)</f>
        <v>2</v>
      </c>
      <c r="E76" s="198">
        <v>2</v>
      </c>
      <c r="F76" s="198">
        <v>2</v>
      </c>
      <c r="G76" s="198">
        <v>4</v>
      </c>
      <c r="H76" s="198">
        <v>4</v>
      </c>
      <c r="I76" s="199">
        <v>4</v>
      </c>
      <c r="J76" s="74"/>
      <c r="K76" s="171" t="s">
        <v>14</v>
      </c>
      <c r="L76" s="171"/>
      <c r="N76" s="140" t="s">
        <v>43</v>
      </c>
      <c r="O76" s="172">
        <v>3</v>
      </c>
      <c r="P76" s="219">
        <f ca="1">OFFSET($A$1,MATCH(Z75,$A:$A,0)-1,O76)</f>
        <v>1.69</v>
      </c>
      <c r="Q76" s="141" t="s">
        <v>29</v>
      </c>
      <c r="R76" s="142">
        <f t="shared" ref="R76:S81" ca="1" si="12">T76</f>
        <v>467217</v>
      </c>
      <c r="S76" s="142">
        <f t="shared" ca="1" si="12"/>
        <v>789596</v>
      </c>
      <c r="T76" s="142">
        <f ca="1">기술사</f>
        <v>467217</v>
      </c>
      <c r="U76" s="142">
        <f t="shared" ref="U76:U81" ca="1" si="13">ROUNDDOWN(P76*R76,0)</f>
        <v>789596</v>
      </c>
      <c r="V76" s="142"/>
      <c r="W76" s="142"/>
      <c r="X76" s="142"/>
      <c r="Y76" s="142"/>
      <c r="Z76" s="114"/>
    </row>
    <row r="77" spans="1:26" ht="18" customHeight="1">
      <c r="A77" s="278">
        <v>25</v>
      </c>
      <c r="B77" s="223" t="s">
        <v>1923</v>
      </c>
      <c r="C77" s="23"/>
      <c r="D77" s="197">
        <v>2</v>
      </c>
      <c r="E77" s="198">
        <v>2</v>
      </c>
      <c r="F77" s="198">
        <v>2</v>
      </c>
      <c r="G77" s="198">
        <v>4</v>
      </c>
      <c r="H77" s="198">
        <v>4</v>
      </c>
      <c r="I77" s="199">
        <v>4</v>
      </c>
      <c r="J77" s="74"/>
      <c r="K77" s="171" t="s">
        <v>14</v>
      </c>
      <c r="L77" s="171"/>
      <c r="N77" s="143" t="s">
        <v>32</v>
      </c>
      <c r="O77" s="173">
        <v>4</v>
      </c>
      <c r="P77" s="234">
        <f ca="1">OFFSET($A$1,MATCH(Z75,$A:$A,0)-1,O77)</f>
        <v>2.73</v>
      </c>
      <c r="Q77" s="144" t="s">
        <v>29</v>
      </c>
      <c r="R77" s="118">
        <f t="shared" ca="1" si="12"/>
        <v>373353</v>
      </c>
      <c r="S77" s="118">
        <f t="shared" ca="1" si="12"/>
        <v>1019253</v>
      </c>
      <c r="T77" s="118">
        <f ca="1">특급</f>
        <v>373353</v>
      </c>
      <c r="U77" s="118">
        <f t="shared" ca="1" si="13"/>
        <v>1019253</v>
      </c>
      <c r="V77" s="118"/>
      <c r="W77" s="118"/>
      <c r="X77" s="118"/>
      <c r="Y77" s="118"/>
      <c r="Z77" s="115"/>
    </row>
    <row r="78" spans="1:26" ht="18" customHeight="1">
      <c r="A78" s="278">
        <v>26</v>
      </c>
      <c r="B78" s="223" t="s">
        <v>1628</v>
      </c>
      <c r="C78" s="23"/>
      <c r="D78" s="197">
        <v>2</v>
      </c>
      <c r="E78" s="198">
        <v>2</v>
      </c>
      <c r="F78" s="198">
        <v>2</v>
      </c>
      <c r="G78" s="198">
        <v>4</v>
      </c>
      <c r="H78" s="198">
        <v>4</v>
      </c>
      <c r="I78" s="199">
        <v>4</v>
      </c>
      <c r="J78" s="74"/>
      <c r="K78" s="171" t="s">
        <v>14</v>
      </c>
      <c r="L78" s="171"/>
      <c r="N78" s="145" t="s">
        <v>39</v>
      </c>
      <c r="O78" s="173">
        <v>5</v>
      </c>
      <c r="P78" s="234">
        <f ca="1">OFFSET($A$1,MATCH(Z75,$A:$A,0)-1,O78)</f>
        <v>3.64</v>
      </c>
      <c r="Q78" s="144" t="s">
        <v>29</v>
      </c>
      <c r="R78" s="118">
        <f t="shared" ca="1" si="12"/>
        <v>310884</v>
      </c>
      <c r="S78" s="118">
        <f t="shared" ca="1" si="12"/>
        <v>1131617</v>
      </c>
      <c r="T78" s="118">
        <f ca="1">고급</f>
        <v>310884</v>
      </c>
      <c r="U78" s="118">
        <f t="shared" ca="1" si="13"/>
        <v>1131617</v>
      </c>
      <c r="V78" s="118"/>
      <c r="W78" s="118"/>
      <c r="X78" s="118"/>
      <c r="Y78" s="118"/>
      <c r="Z78" s="115"/>
    </row>
    <row r="79" spans="1:26" ht="18" customHeight="1" thickBot="1">
      <c r="A79" s="278">
        <v>27</v>
      </c>
      <c r="B79" s="388" t="s">
        <v>1924</v>
      </c>
      <c r="C79" s="342"/>
      <c r="D79" s="343">
        <v>2</v>
      </c>
      <c r="E79" s="344">
        <v>2</v>
      </c>
      <c r="F79" s="344">
        <v>2</v>
      </c>
      <c r="G79" s="344">
        <v>4</v>
      </c>
      <c r="H79" s="344">
        <v>4</v>
      </c>
      <c r="I79" s="345">
        <v>4</v>
      </c>
      <c r="J79" s="176"/>
      <c r="K79" s="171" t="s">
        <v>14</v>
      </c>
      <c r="L79" s="171"/>
      <c r="N79" s="145" t="s">
        <v>40</v>
      </c>
      <c r="O79" s="173">
        <v>6</v>
      </c>
      <c r="P79" s="234">
        <f ca="1">OFFSET($A$1,MATCH(Z75,$A:$A,0)-1,O79)</f>
        <v>10.14</v>
      </c>
      <c r="Q79" s="144" t="s">
        <v>29</v>
      </c>
      <c r="R79" s="118">
        <f t="shared" ca="1" si="12"/>
        <v>295138</v>
      </c>
      <c r="S79" s="118">
        <f t="shared" ca="1" si="12"/>
        <v>2992699</v>
      </c>
      <c r="T79" s="118">
        <f ca="1">중급</f>
        <v>295138</v>
      </c>
      <c r="U79" s="118">
        <f t="shared" ca="1" si="13"/>
        <v>2992699</v>
      </c>
      <c r="V79" s="118"/>
      <c r="W79" s="118"/>
      <c r="X79" s="118"/>
      <c r="Y79" s="118"/>
      <c r="Z79" s="115"/>
    </row>
    <row r="80" spans="1:26" ht="18" customHeight="1">
      <c r="A80" s="278"/>
      <c r="B80" s="80" t="s">
        <v>1939</v>
      </c>
      <c r="C80" s="1" t="s">
        <v>1940</v>
      </c>
      <c r="E80" s="8"/>
      <c r="F80" s="8"/>
      <c r="G80" s="8"/>
      <c r="H80" s="8"/>
      <c r="I80" s="8"/>
      <c r="J80" s="10"/>
      <c r="K80" s="171" t="s">
        <v>14</v>
      </c>
      <c r="L80" s="171"/>
      <c r="N80" s="145" t="s">
        <v>41</v>
      </c>
      <c r="O80" s="173">
        <v>7</v>
      </c>
      <c r="P80" s="234">
        <f ca="1">OFFSET($A$1,MATCH(Z75,$A:$A,0)-1,O80)</f>
        <v>10.14</v>
      </c>
      <c r="Q80" s="144" t="s">
        <v>29</v>
      </c>
      <c r="R80" s="118">
        <f t="shared" ca="1" si="12"/>
        <v>235459</v>
      </c>
      <c r="S80" s="118">
        <f t="shared" ca="1" si="12"/>
        <v>2387554</v>
      </c>
      <c r="T80" s="118">
        <f ca="1">초급</f>
        <v>235459</v>
      </c>
      <c r="U80" s="118">
        <f t="shared" ca="1" si="13"/>
        <v>2387554</v>
      </c>
      <c r="V80" s="118"/>
      <c r="W80" s="118"/>
      <c r="X80" s="118"/>
      <c r="Y80" s="118"/>
      <c r="Z80" s="115"/>
    </row>
    <row r="81" spans="1:26" ht="18" customHeight="1">
      <c r="A81" s="278"/>
      <c r="B81" s="80"/>
      <c r="C81" s="1" t="s">
        <v>1941</v>
      </c>
      <c r="J81" s="8"/>
      <c r="K81" s="171" t="s">
        <v>14</v>
      </c>
      <c r="L81" s="171"/>
      <c r="N81" s="319" t="s">
        <v>42</v>
      </c>
      <c r="O81" s="174">
        <v>8</v>
      </c>
      <c r="P81" s="235">
        <f ca="1">OFFSET($A$1,MATCH(Z75,$A:$A,0)-1,O81)</f>
        <v>13.65</v>
      </c>
      <c r="Q81" s="322" t="s">
        <v>29</v>
      </c>
      <c r="R81" s="323">
        <f t="shared" ca="1" si="12"/>
        <v>250087</v>
      </c>
      <c r="S81" s="323">
        <f t="shared" ca="1" si="12"/>
        <v>3413687</v>
      </c>
      <c r="T81" s="323">
        <f ca="1">보조원</f>
        <v>250087</v>
      </c>
      <c r="U81" s="323">
        <f t="shared" ca="1" si="13"/>
        <v>3413687</v>
      </c>
      <c r="V81" s="323"/>
      <c r="W81" s="323"/>
      <c r="X81" s="323"/>
      <c r="Y81" s="323"/>
      <c r="Z81" s="324"/>
    </row>
    <row r="82" spans="1:26" ht="18" customHeight="1">
      <c r="C82" s="1" t="s">
        <v>1218</v>
      </c>
      <c r="J82" s="8"/>
      <c r="K82" s="171" t="s">
        <v>14</v>
      </c>
      <c r="L82" s="171"/>
      <c r="N82" s="139" t="s">
        <v>17</v>
      </c>
      <c r="O82" s="68"/>
      <c r="P82" s="69"/>
      <c r="Q82" s="70"/>
      <c r="R82" s="71"/>
      <c r="S82" s="71">
        <f ca="1">SUBTOTAL(9,S76:S81)</f>
        <v>11734406</v>
      </c>
      <c r="T82" s="71"/>
      <c r="U82" s="71">
        <f ca="1">SUBTOTAL(9,U76:U81)</f>
        <v>11734406</v>
      </c>
      <c r="V82" s="71"/>
      <c r="W82" s="71"/>
      <c r="X82" s="71"/>
      <c r="Y82" s="71"/>
      <c r="Z82" s="68"/>
    </row>
    <row r="83" spans="1:26" ht="18" customHeight="1">
      <c r="A83" s="278"/>
      <c r="C83" s="1" t="s">
        <v>1942</v>
      </c>
      <c r="J83" s="8"/>
      <c r="K83" s="171" t="s">
        <v>14</v>
      </c>
      <c r="L83" s="171"/>
      <c r="N83" s="318" t="str">
        <f ca="1">"제 " &amp; Z83 &amp; " 호표  "&amp; OFFSET($A$1,MATCH(Z83,$A:$A,0)-1,1)</f>
        <v>제 3 호표  1.3. 교통관계조사</v>
      </c>
      <c r="O83" s="221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325">
        <f>Z75+1</f>
        <v>3</v>
      </c>
    </row>
    <row r="84" spans="1:26" ht="18" customHeight="1">
      <c r="A84" s="278"/>
      <c r="K84" s="171" t="s">
        <v>14</v>
      </c>
      <c r="L84" s="171"/>
      <c r="N84" s="140" t="s">
        <v>43</v>
      </c>
      <c r="O84" s="172">
        <v>3</v>
      </c>
      <c r="P84" s="219">
        <f ca="1">OFFSET($A$1,MATCH(Z83,$A:$A,0)-1,O84)</f>
        <v>1.95</v>
      </c>
      <c r="Q84" s="141" t="s">
        <v>29</v>
      </c>
      <c r="R84" s="142">
        <f t="shared" ref="R84:S89" ca="1" si="14">T84</f>
        <v>467217</v>
      </c>
      <c r="S84" s="142">
        <f t="shared" ca="1" si="14"/>
        <v>911073</v>
      </c>
      <c r="T84" s="142">
        <f ca="1">기술사</f>
        <v>467217</v>
      </c>
      <c r="U84" s="142">
        <f t="shared" ref="U84:U89" ca="1" si="15">ROUNDDOWN(P84*R84,0)</f>
        <v>911073</v>
      </c>
      <c r="V84" s="142"/>
      <c r="W84" s="142"/>
      <c r="X84" s="142"/>
      <c r="Y84" s="142"/>
      <c r="Z84" s="114"/>
    </row>
    <row r="85" spans="1:26" ht="18" customHeight="1">
      <c r="A85" s="278"/>
      <c r="C85" s="9"/>
      <c r="K85" s="171" t="s">
        <v>14</v>
      </c>
      <c r="L85" s="171"/>
      <c r="N85" s="143" t="s">
        <v>32</v>
      </c>
      <c r="O85" s="173">
        <v>4</v>
      </c>
      <c r="P85" s="234">
        <f ca="1">OFFSET($A$1,MATCH(Z83,$A:$A,0)-1,O85)</f>
        <v>2.99</v>
      </c>
      <c r="Q85" s="144" t="s">
        <v>29</v>
      </c>
      <c r="R85" s="118">
        <f t="shared" ca="1" si="14"/>
        <v>373353</v>
      </c>
      <c r="S85" s="118">
        <f t="shared" ca="1" si="14"/>
        <v>1116325</v>
      </c>
      <c r="T85" s="118">
        <f ca="1">특급</f>
        <v>373353</v>
      </c>
      <c r="U85" s="118">
        <f t="shared" ca="1" si="15"/>
        <v>1116325</v>
      </c>
      <c r="V85" s="118"/>
      <c r="W85" s="118"/>
      <c r="X85" s="118"/>
      <c r="Y85" s="118"/>
      <c r="Z85" s="115"/>
    </row>
    <row r="86" spans="1:26" ht="18" customHeight="1">
      <c r="A86" s="278"/>
      <c r="C86" s="9"/>
      <c r="K86" s="171" t="s">
        <v>14</v>
      </c>
      <c r="L86" s="171"/>
      <c r="N86" s="145" t="s">
        <v>39</v>
      </c>
      <c r="O86" s="173">
        <v>5</v>
      </c>
      <c r="P86" s="234">
        <f ca="1">OFFSET($A$1,MATCH(Z83,$A:$A,0)-1,O86)</f>
        <v>6.76</v>
      </c>
      <c r="Q86" s="144" t="s">
        <v>29</v>
      </c>
      <c r="R86" s="118">
        <f t="shared" ca="1" si="14"/>
        <v>310884</v>
      </c>
      <c r="S86" s="118">
        <f t="shared" ca="1" si="14"/>
        <v>2101575</v>
      </c>
      <c r="T86" s="118">
        <f ca="1">고급</f>
        <v>310884</v>
      </c>
      <c r="U86" s="118">
        <f t="shared" ca="1" si="15"/>
        <v>2101575</v>
      </c>
      <c r="V86" s="118"/>
      <c r="W86" s="118"/>
      <c r="X86" s="118"/>
      <c r="Y86" s="118"/>
      <c r="Z86" s="115"/>
    </row>
    <row r="87" spans="1:26" ht="18" customHeight="1">
      <c r="C87" s="9"/>
      <c r="K87" s="171" t="s">
        <v>14</v>
      </c>
      <c r="L87" s="171"/>
      <c r="N87" s="145" t="s">
        <v>40</v>
      </c>
      <c r="O87" s="173">
        <v>6</v>
      </c>
      <c r="P87" s="234">
        <f ca="1">OFFSET($A$1,MATCH(Z83,$A:$A,0)-1,O87)</f>
        <v>13.65</v>
      </c>
      <c r="Q87" s="144" t="s">
        <v>29</v>
      </c>
      <c r="R87" s="118">
        <f t="shared" ca="1" si="14"/>
        <v>295138</v>
      </c>
      <c r="S87" s="118">
        <f t="shared" ca="1" si="14"/>
        <v>4028633</v>
      </c>
      <c r="T87" s="118">
        <f ca="1">중급</f>
        <v>295138</v>
      </c>
      <c r="U87" s="118">
        <f t="shared" ca="1" si="15"/>
        <v>4028633</v>
      </c>
      <c r="V87" s="118"/>
      <c r="W87" s="118"/>
      <c r="X87" s="118"/>
      <c r="Y87" s="118"/>
      <c r="Z87" s="115"/>
    </row>
    <row r="88" spans="1:26" ht="18" customHeight="1">
      <c r="K88" s="171" t="s">
        <v>14</v>
      </c>
      <c r="L88" s="171"/>
      <c r="N88" s="145" t="s">
        <v>41</v>
      </c>
      <c r="O88" s="173">
        <v>7</v>
      </c>
      <c r="P88" s="234">
        <f ca="1">OFFSET($A$1,MATCH(Z83,$A:$A,0)-1,O88)</f>
        <v>13.26</v>
      </c>
      <c r="Q88" s="144" t="s">
        <v>29</v>
      </c>
      <c r="R88" s="118">
        <f t="shared" ca="1" si="14"/>
        <v>235459</v>
      </c>
      <c r="S88" s="118">
        <f t="shared" ca="1" si="14"/>
        <v>3122186</v>
      </c>
      <c r="T88" s="118">
        <f ca="1">초급</f>
        <v>235459</v>
      </c>
      <c r="U88" s="118">
        <f t="shared" ca="1" si="15"/>
        <v>3122186</v>
      </c>
      <c r="V88" s="118"/>
      <c r="W88" s="118"/>
      <c r="X88" s="118"/>
      <c r="Y88" s="118"/>
      <c r="Z88" s="115"/>
    </row>
    <row r="89" spans="1:26" ht="18" customHeight="1">
      <c r="B89" s="9"/>
      <c r="C89" s="9"/>
      <c r="K89" s="171" t="s">
        <v>14</v>
      </c>
      <c r="L89" s="171"/>
      <c r="N89" s="319" t="s">
        <v>42</v>
      </c>
      <c r="O89" s="174">
        <v>8</v>
      </c>
      <c r="P89" s="235">
        <f ca="1">OFFSET($A$1,MATCH(Z83,$A:$A,0)-1,O89)</f>
        <v>13.65</v>
      </c>
      <c r="Q89" s="322" t="s">
        <v>29</v>
      </c>
      <c r="R89" s="323">
        <f t="shared" ca="1" si="14"/>
        <v>250087</v>
      </c>
      <c r="S89" s="323">
        <f t="shared" ca="1" si="14"/>
        <v>3413687</v>
      </c>
      <c r="T89" s="323">
        <f ca="1">보조원</f>
        <v>250087</v>
      </c>
      <c r="U89" s="323">
        <f t="shared" ca="1" si="15"/>
        <v>3413687</v>
      </c>
      <c r="V89" s="323"/>
      <c r="W89" s="323"/>
      <c r="X89" s="323"/>
      <c r="Y89" s="323"/>
      <c r="Z89" s="324"/>
    </row>
    <row r="90" spans="1:26" ht="18" customHeight="1">
      <c r="B90" s="9"/>
      <c r="K90" s="171" t="s">
        <v>14</v>
      </c>
      <c r="L90" s="171"/>
      <c r="N90" s="139" t="s">
        <v>17</v>
      </c>
      <c r="O90" s="68"/>
      <c r="P90" s="69"/>
      <c r="Q90" s="70"/>
      <c r="R90" s="71"/>
      <c r="S90" s="71">
        <f ca="1">SUBTOTAL(9,S84:S89)</f>
        <v>14693479</v>
      </c>
      <c r="T90" s="71"/>
      <c r="U90" s="71">
        <f ca="1">SUBTOTAL(9,U84:U89)</f>
        <v>14693479</v>
      </c>
      <c r="V90" s="71"/>
      <c r="W90" s="71"/>
      <c r="X90" s="71"/>
      <c r="Y90" s="71"/>
      <c r="Z90" s="68"/>
    </row>
    <row r="91" spans="1:26" ht="18" customHeight="1">
      <c r="B91" s="9"/>
      <c r="K91" s="171" t="s">
        <v>14</v>
      </c>
      <c r="L91" s="171"/>
      <c r="N91" s="318" t="str">
        <f ca="1">"제 " &amp; Z91 &amp; " 호표  "&amp; OFFSET($A$1,MATCH(Z91,$A:$A,0)-1,1)</f>
        <v>제 4 호표  1.4. 시설관계조사</v>
      </c>
      <c r="O91" s="221"/>
      <c r="P91" s="148"/>
      <c r="Q91" s="148"/>
      <c r="R91" s="149"/>
      <c r="S91" s="149"/>
      <c r="T91" s="149"/>
      <c r="U91" s="149"/>
      <c r="V91" s="149"/>
      <c r="W91" s="149"/>
      <c r="X91" s="149"/>
      <c r="Y91" s="149"/>
      <c r="Z91" s="325">
        <f>Z83+1</f>
        <v>4</v>
      </c>
    </row>
    <row r="92" spans="1:26" ht="18" customHeight="1">
      <c r="B92" s="9"/>
      <c r="K92" s="171" t="s">
        <v>14</v>
      </c>
      <c r="L92" s="171"/>
      <c r="N92" s="140" t="s">
        <v>43</v>
      </c>
      <c r="O92" s="172">
        <v>3</v>
      </c>
      <c r="P92" s="219">
        <f ca="1">OFFSET($A$1,MATCH(Z91,$A:$A,0)-1,O92)</f>
        <v>1.95</v>
      </c>
      <c r="Q92" s="141" t="s">
        <v>29</v>
      </c>
      <c r="R92" s="142">
        <f t="shared" ref="R92:S97" ca="1" si="16">T92</f>
        <v>467217</v>
      </c>
      <c r="S92" s="142">
        <f t="shared" ca="1" si="16"/>
        <v>911073</v>
      </c>
      <c r="T92" s="142">
        <f ca="1">기술사</f>
        <v>467217</v>
      </c>
      <c r="U92" s="142">
        <f t="shared" ref="U92:U97" ca="1" si="17">ROUNDDOWN(P92*R92,0)</f>
        <v>911073</v>
      </c>
      <c r="V92" s="142"/>
      <c r="W92" s="142"/>
      <c r="X92" s="142"/>
      <c r="Y92" s="142"/>
      <c r="Z92" s="114"/>
    </row>
    <row r="93" spans="1:26" ht="18" customHeight="1">
      <c r="B93" s="9"/>
      <c r="K93" s="171" t="s">
        <v>14</v>
      </c>
      <c r="L93" s="171"/>
      <c r="N93" s="143" t="s">
        <v>32</v>
      </c>
      <c r="O93" s="173">
        <v>4</v>
      </c>
      <c r="P93" s="234">
        <f ca="1">OFFSET($A$1,MATCH(Z91,$A:$A,0)-1,O93)</f>
        <v>2.99</v>
      </c>
      <c r="Q93" s="144" t="s">
        <v>29</v>
      </c>
      <c r="R93" s="118">
        <f t="shared" ca="1" si="16"/>
        <v>373353</v>
      </c>
      <c r="S93" s="118">
        <f t="shared" ca="1" si="16"/>
        <v>1116325</v>
      </c>
      <c r="T93" s="118">
        <f ca="1">특급</f>
        <v>373353</v>
      </c>
      <c r="U93" s="118">
        <f t="shared" ca="1" si="17"/>
        <v>1116325</v>
      </c>
      <c r="V93" s="118"/>
      <c r="W93" s="118"/>
      <c r="X93" s="118"/>
      <c r="Y93" s="118"/>
      <c r="Z93" s="115"/>
    </row>
    <row r="94" spans="1:26" ht="18" customHeight="1">
      <c r="B94" s="9"/>
      <c r="K94" s="171" t="s">
        <v>14</v>
      </c>
      <c r="L94" s="171"/>
      <c r="N94" s="145" t="s">
        <v>39</v>
      </c>
      <c r="O94" s="173">
        <v>5</v>
      </c>
      <c r="P94" s="234">
        <f ca="1">OFFSET($A$1,MATCH(Z91,$A:$A,0)-1,O94)</f>
        <v>10.14</v>
      </c>
      <c r="Q94" s="144" t="s">
        <v>29</v>
      </c>
      <c r="R94" s="118">
        <f t="shared" ca="1" si="16"/>
        <v>310884</v>
      </c>
      <c r="S94" s="118">
        <f t="shared" ca="1" si="16"/>
        <v>3152363</v>
      </c>
      <c r="T94" s="118">
        <f ca="1">고급</f>
        <v>310884</v>
      </c>
      <c r="U94" s="118">
        <f t="shared" ca="1" si="17"/>
        <v>3152363</v>
      </c>
      <c r="V94" s="118"/>
      <c r="W94" s="118"/>
      <c r="X94" s="118"/>
      <c r="Y94" s="118"/>
      <c r="Z94" s="115"/>
    </row>
    <row r="95" spans="1:26" ht="18" customHeight="1">
      <c r="B95" s="9"/>
      <c r="K95" s="171" t="s">
        <v>14</v>
      </c>
      <c r="L95" s="171"/>
      <c r="N95" s="145" t="s">
        <v>40</v>
      </c>
      <c r="O95" s="173">
        <v>6</v>
      </c>
      <c r="P95" s="234">
        <f ca="1">OFFSET($A$1,MATCH(Z91,$A:$A,0)-1,O95)</f>
        <v>13.91</v>
      </c>
      <c r="Q95" s="144" t="s">
        <v>29</v>
      </c>
      <c r="R95" s="118">
        <f t="shared" ca="1" si="16"/>
        <v>295138</v>
      </c>
      <c r="S95" s="118">
        <f t="shared" ca="1" si="16"/>
        <v>4105369</v>
      </c>
      <c r="T95" s="118">
        <f ca="1">중급</f>
        <v>295138</v>
      </c>
      <c r="U95" s="118">
        <f t="shared" ca="1" si="17"/>
        <v>4105369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N96" s="145" t="s">
        <v>41</v>
      </c>
      <c r="O96" s="173">
        <v>7</v>
      </c>
      <c r="P96" s="234">
        <f ca="1">OFFSET($A$1,MATCH(Z91,$A:$A,0)-1,O96)</f>
        <v>17.03</v>
      </c>
      <c r="Q96" s="144" t="s">
        <v>29</v>
      </c>
      <c r="R96" s="118">
        <f t="shared" ca="1" si="16"/>
        <v>235459</v>
      </c>
      <c r="S96" s="118">
        <f t="shared" ca="1" si="16"/>
        <v>4009866</v>
      </c>
      <c r="T96" s="118">
        <f ca="1">초급</f>
        <v>235459</v>
      </c>
      <c r="U96" s="118">
        <f t="shared" ca="1" si="17"/>
        <v>4009866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319" t="s">
        <v>42</v>
      </c>
      <c r="O97" s="174">
        <v>8</v>
      </c>
      <c r="P97" s="235">
        <f ca="1">OFFSET($A$1,MATCH(Z91,$A:$A,0)-1,O97)</f>
        <v>17.29</v>
      </c>
      <c r="Q97" s="322" t="s">
        <v>29</v>
      </c>
      <c r="R97" s="323">
        <f t="shared" ca="1" si="16"/>
        <v>250087</v>
      </c>
      <c r="S97" s="323">
        <f t="shared" ca="1" si="16"/>
        <v>4324004</v>
      </c>
      <c r="T97" s="323">
        <f ca="1">보조원</f>
        <v>250087</v>
      </c>
      <c r="U97" s="323">
        <f t="shared" ca="1" si="17"/>
        <v>4324004</v>
      </c>
      <c r="V97" s="323"/>
      <c r="W97" s="323"/>
      <c r="X97" s="323"/>
      <c r="Y97" s="323"/>
      <c r="Z97" s="324"/>
    </row>
    <row r="98" spans="11:26" ht="18" customHeight="1">
      <c r="K98" s="171" t="s">
        <v>14</v>
      </c>
      <c r="L98" s="171"/>
      <c r="N98" s="139" t="s">
        <v>17</v>
      </c>
      <c r="O98" s="68"/>
      <c r="P98" s="69"/>
      <c r="Q98" s="70"/>
      <c r="R98" s="71"/>
      <c r="S98" s="71">
        <f ca="1">SUBTOTAL(9,S92:S97)</f>
        <v>17619000</v>
      </c>
      <c r="T98" s="71"/>
      <c r="U98" s="71">
        <f ca="1">SUBTOTAL(9,U92:U97)</f>
        <v>17619000</v>
      </c>
      <c r="V98" s="71"/>
      <c r="W98" s="71"/>
      <c r="X98" s="71"/>
      <c r="Y98" s="71"/>
      <c r="Z98" s="68"/>
    </row>
    <row r="99" spans="11:26" ht="18" customHeight="1">
      <c r="K99" s="171" t="s">
        <v>14</v>
      </c>
      <c r="L99" s="171"/>
      <c r="N99" s="318" t="str">
        <f ca="1">"제 " &amp; Z99 &amp; " 호표  "&amp; OFFSET($A$1,MATCH(Z99,$A:$A,0)-1,1)</f>
        <v>제 5 호표  1.5 공급처리시설 관계조사</v>
      </c>
      <c r="O99" s="221"/>
      <c r="P99" s="148"/>
      <c r="Q99" s="148"/>
      <c r="R99" s="149"/>
      <c r="S99" s="149"/>
      <c r="T99" s="149"/>
      <c r="U99" s="149"/>
      <c r="V99" s="149"/>
      <c r="W99" s="149"/>
      <c r="X99" s="149"/>
      <c r="Y99" s="149"/>
      <c r="Z99" s="325">
        <f>Z91+1</f>
        <v>5</v>
      </c>
    </row>
    <row r="100" spans="11:26" ht="18" customHeight="1">
      <c r="K100" s="171" t="s">
        <v>14</v>
      </c>
      <c r="L100" s="171"/>
      <c r="N100" s="140" t="s">
        <v>43</v>
      </c>
      <c r="O100" s="172">
        <v>3</v>
      </c>
      <c r="P100" s="219">
        <f ca="1">OFFSET($A$1,MATCH(Z99,$A:$A,0)-1,O100)</f>
        <v>1.69</v>
      </c>
      <c r="Q100" s="141" t="s">
        <v>29</v>
      </c>
      <c r="R100" s="142">
        <f t="shared" ref="R100:S105" ca="1" si="18">T100</f>
        <v>467217</v>
      </c>
      <c r="S100" s="142">
        <f t="shared" ca="1" si="18"/>
        <v>789596</v>
      </c>
      <c r="T100" s="142">
        <f ca="1">기술사</f>
        <v>467217</v>
      </c>
      <c r="U100" s="142">
        <f t="shared" ref="U100:U105" ca="1" si="19">ROUNDDOWN(P100*R100,0)</f>
        <v>789596</v>
      </c>
      <c r="V100" s="142"/>
      <c r="W100" s="142"/>
      <c r="X100" s="142"/>
      <c r="Y100" s="142"/>
      <c r="Z100" s="114"/>
    </row>
    <row r="101" spans="11:26" ht="18" customHeight="1">
      <c r="K101" s="171" t="s">
        <v>14</v>
      </c>
      <c r="L101" s="171"/>
      <c r="N101" s="143" t="s">
        <v>32</v>
      </c>
      <c r="O101" s="173">
        <v>4</v>
      </c>
      <c r="P101" s="234">
        <f ca="1">OFFSET($A$1,MATCH(Z99,$A:$A,0)-1,O101)</f>
        <v>2.73</v>
      </c>
      <c r="Q101" s="144" t="s">
        <v>29</v>
      </c>
      <c r="R101" s="118">
        <f t="shared" ca="1" si="18"/>
        <v>373353</v>
      </c>
      <c r="S101" s="118">
        <f t="shared" ca="1" si="18"/>
        <v>1019253</v>
      </c>
      <c r="T101" s="118">
        <f ca="1">특급</f>
        <v>373353</v>
      </c>
      <c r="U101" s="118">
        <f t="shared" ca="1" si="19"/>
        <v>1019253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145" t="s">
        <v>39</v>
      </c>
      <c r="O102" s="173">
        <v>5</v>
      </c>
      <c r="P102" s="234">
        <f ca="1">OFFSET($A$1,MATCH(Z99,$A:$A,0)-1,O102)</f>
        <v>7.15</v>
      </c>
      <c r="Q102" s="144" t="s">
        <v>29</v>
      </c>
      <c r="R102" s="118">
        <f t="shared" ca="1" si="18"/>
        <v>310884</v>
      </c>
      <c r="S102" s="118">
        <f t="shared" ca="1" si="18"/>
        <v>2222820</v>
      </c>
      <c r="T102" s="118">
        <f ca="1">고급</f>
        <v>310884</v>
      </c>
      <c r="U102" s="118">
        <f t="shared" ca="1" si="19"/>
        <v>2222820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145" t="s">
        <v>40</v>
      </c>
      <c r="O103" s="173">
        <v>6</v>
      </c>
      <c r="P103" s="234">
        <f ca="1">OFFSET($A$1,MATCH(Z99,$A:$A,0)-1,O103)</f>
        <v>10.14</v>
      </c>
      <c r="Q103" s="144" t="s">
        <v>29</v>
      </c>
      <c r="R103" s="118">
        <f t="shared" ca="1" si="18"/>
        <v>295138</v>
      </c>
      <c r="S103" s="118">
        <f t="shared" ca="1" si="18"/>
        <v>2992699</v>
      </c>
      <c r="T103" s="118">
        <f ca="1">중급</f>
        <v>295138</v>
      </c>
      <c r="U103" s="118">
        <f t="shared" ca="1" si="19"/>
        <v>2992699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N104" s="145" t="s">
        <v>41</v>
      </c>
      <c r="O104" s="173">
        <v>7</v>
      </c>
      <c r="P104" s="234">
        <f ca="1">OFFSET($A$1,MATCH(Z99,$A:$A,0)-1,O104)</f>
        <v>10.92</v>
      </c>
      <c r="Q104" s="144" t="s">
        <v>29</v>
      </c>
      <c r="R104" s="118">
        <f t="shared" ca="1" si="18"/>
        <v>235459</v>
      </c>
      <c r="S104" s="118">
        <f t="shared" ca="1" si="18"/>
        <v>2571212</v>
      </c>
      <c r="T104" s="118">
        <f ca="1">초급</f>
        <v>235459</v>
      </c>
      <c r="U104" s="118">
        <f t="shared" ca="1" si="19"/>
        <v>2571212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319" t="s">
        <v>42</v>
      </c>
      <c r="O105" s="174">
        <v>8</v>
      </c>
      <c r="P105" s="235">
        <f ca="1">OFFSET($A$1,MATCH(Z99,$A:$A,0)-1,O105)</f>
        <v>10.14</v>
      </c>
      <c r="Q105" s="322" t="s">
        <v>29</v>
      </c>
      <c r="R105" s="323">
        <f t="shared" ca="1" si="18"/>
        <v>250087</v>
      </c>
      <c r="S105" s="323">
        <f t="shared" ca="1" si="18"/>
        <v>2535882</v>
      </c>
      <c r="T105" s="323">
        <f ca="1">보조원</f>
        <v>250087</v>
      </c>
      <c r="U105" s="323">
        <f t="shared" ca="1" si="19"/>
        <v>2535882</v>
      </c>
      <c r="V105" s="323"/>
      <c r="W105" s="323"/>
      <c r="X105" s="323"/>
      <c r="Y105" s="323"/>
      <c r="Z105" s="324"/>
    </row>
    <row r="106" spans="11:26" ht="18" customHeight="1">
      <c r="K106" s="171" t="s">
        <v>14</v>
      </c>
      <c r="L106" s="171"/>
      <c r="N106" s="139" t="s">
        <v>17</v>
      </c>
      <c r="O106" s="68"/>
      <c r="P106" s="69"/>
      <c r="Q106" s="70"/>
      <c r="R106" s="71"/>
      <c r="S106" s="71">
        <f ca="1">SUBTOTAL(9,S100:S105)</f>
        <v>12131462</v>
      </c>
      <c r="T106" s="71"/>
      <c r="U106" s="71">
        <f ca="1">SUBTOTAL(9,U100:U105)</f>
        <v>12131462</v>
      </c>
      <c r="V106" s="71"/>
      <c r="W106" s="71"/>
      <c r="X106" s="71"/>
      <c r="Y106" s="71"/>
      <c r="Z106" s="68"/>
    </row>
    <row r="107" spans="11:26" ht="18" customHeight="1">
      <c r="K107" s="171" t="s">
        <v>14</v>
      </c>
      <c r="L107" s="171"/>
      <c r="N107" s="318" t="str">
        <f ca="1">"제 " &amp; Z107 &amp; " 호표  "&amp; OFFSET($A$1,MATCH(Z107,$A:$A,0)-1,1)</f>
        <v>제 6 호표  2.1. 기본방향</v>
      </c>
      <c r="O107" s="221"/>
      <c r="P107" s="148"/>
      <c r="Q107" s="148"/>
      <c r="R107" s="149"/>
      <c r="S107" s="149"/>
      <c r="T107" s="149"/>
      <c r="U107" s="149"/>
      <c r="V107" s="149"/>
      <c r="W107" s="149"/>
      <c r="X107" s="149"/>
      <c r="Y107" s="149"/>
      <c r="Z107" s="325">
        <f>Z99+1</f>
        <v>6</v>
      </c>
    </row>
    <row r="108" spans="11:26" ht="18" customHeight="1">
      <c r="K108" s="171" t="s">
        <v>14</v>
      </c>
      <c r="L108" s="171"/>
      <c r="N108" s="140" t="s">
        <v>43</v>
      </c>
      <c r="O108" s="172">
        <v>3</v>
      </c>
      <c r="P108" s="219">
        <f ca="1">OFFSET($A$1,MATCH(Z107,$A:$A,0)-1,O108)</f>
        <v>3.51</v>
      </c>
      <c r="Q108" s="141" t="s">
        <v>29</v>
      </c>
      <c r="R108" s="142">
        <f t="shared" ref="R108:S113" ca="1" si="20">T108</f>
        <v>467217</v>
      </c>
      <c r="S108" s="142">
        <f t="shared" ca="1" si="20"/>
        <v>1639931</v>
      </c>
      <c r="T108" s="142">
        <f ca="1">기술사</f>
        <v>467217</v>
      </c>
      <c r="U108" s="142">
        <f t="shared" ref="U108:U113" ca="1" si="21">ROUNDDOWN(P108*R108,0)</f>
        <v>1639931</v>
      </c>
      <c r="V108" s="142"/>
      <c r="W108" s="142"/>
      <c r="X108" s="142"/>
      <c r="Y108" s="142"/>
      <c r="Z108" s="114"/>
    </row>
    <row r="109" spans="11:26" ht="18" customHeight="1">
      <c r="K109" s="171" t="s">
        <v>14</v>
      </c>
      <c r="L109" s="171"/>
      <c r="N109" s="143" t="s">
        <v>32</v>
      </c>
      <c r="O109" s="173">
        <v>4</v>
      </c>
      <c r="P109" s="234">
        <f ca="1">OFFSET($A$1,MATCH(Z107,$A:$A,0)-1,O109)</f>
        <v>5.72</v>
      </c>
      <c r="Q109" s="144" t="s">
        <v>29</v>
      </c>
      <c r="R109" s="118">
        <f t="shared" ca="1" si="20"/>
        <v>373353</v>
      </c>
      <c r="S109" s="118">
        <f t="shared" ca="1" si="20"/>
        <v>2135579</v>
      </c>
      <c r="T109" s="118">
        <f ca="1">특급</f>
        <v>373353</v>
      </c>
      <c r="U109" s="118">
        <f t="shared" ca="1" si="21"/>
        <v>2135579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145" t="s">
        <v>39</v>
      </c>
      <c r="O110" s="173">
        <v>5</v>
      </c>
      <c r="P110" s="234">
        <f ca="1">OFFSET($A$1,MATCH(Z107,$A:$A,0)-1,O110)</f>
        <v>11.31</v>
      </c>
      <c r="Q110" s="144" t="s">
        <v>29</v>
      </c>
      <c r="R110" s="118">
        <f t="shared" ca="1" si="20"/>
        <v>310884</v>
      </c>
      <c r="S110" s="118">
        <f t="shared" ca="1" si="20"/>
        <v>3516098</v>
      </c>
      <c r="T110" s="118">
        <f ca="1">고급</f>
        <v>310884</v>
      </c>
      <c r="U110" s="118">
        <f t="shared" ca="1" si="21"/>
        <v>3516098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145" t="s">
        <v>40</v>
      </c>
      <c r="O111" s="173">
        <v>6</v>
      </c>
      <c r="P111" s="234">
        <f ca="1">OFFSET($A$1,MATCH(Z107,$A:$A,0)-1,O111)</f>
        <v>18.72</v>
      </c>
      <c r="Q111" s="144" t="s">
        <v>29</v>
      </c>
      <c r="R111" s="118">
        <f t="shared" ca="1" si="20"/>
        <v>295138</v>
      </c>
      <c r="S111" s="118">
        <f t="shared" ca="1" si="20"/>
        <v>5524983</v>
      </c>
      <c r="T111" s="118">
        <f ca="1">중급</f>
        <v>295138</v>
      </c>
      <c r="U111" s="118">
        <f t="shared" ca="1" si="21"/>
        <v>5524983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N112" s="145" t="s">
        <v>41</v>
      </c>
      <c r="O112" s="173">
        <v>7</v>
      </c>
      <c r="P112" s="234">
        <f ca="1">OFFSET($A$1,MATCH(Z107,$A:$A,0)-1,O112)</f>
        <v>28.08</v>
      </c>
      <c r="Q112" s="144" t="s">
        <v>29</v>
      </c>
      <c r="R112" s="118">
        <f t="shared" ca="1" si="20"/>
        <v>235459</v>
      </c>
      <c r="S112" s="118">
        <f t="shared" ca="1" si="20"/>
        <v>6611688</v>
      </c>
      <c r="T112" s="118">
        <f ca="1">초급</f>
        <v>235459</v>
      </c>
      <c r="U112" s="118">
        <f t="shared" ca="1" si="21"/>
        <v>6611688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319" t="s">
        <v>42</v>
      </c>
      <c r="O113" s="174">
        <v>8</v>
      </c>
      <c r="P113" s="235">
        <f ca="1">OFFSET($A$1,MATCH(Z107,$A:$A,0)-1,O113)</f>
        <v>17.940000000000001</v>
      </c>
      <c r="Q113" s="322" t="s">
        <v>29</v>
      </c>
      <c r="R113" s="323">
        <f t="shared" ca="1" si="20"/>
        <v>250087</v>
      </c>
      <c r="S113" s="323">
        <f t="shared" ca="1" si="20"/>
        <v>4486560</v>
      </c>
      <c r="T113" s="323">
        <f ca="1">보조원</f>
        <v>250087</v>
      </c>
      <c r="U113" s="323">
        <f t="shared" ca="1" si="21"/>
        <v>4486560</v>
      </c>
      <c r="V113" s="323"/>
      <c r="W113" s="323"/>
      <c r="X113" s="323"/>
      <c r="Y113" s="323"/>
      <c r="Z113" s="324"/>
    </row>
    <row r="114" spans="11:26" ht="18" customHeight="1">
      <c r="K114" s="171" t="s">
        <v>14</v>
      </c>
      <c r="L114" s="171"/>
      <c r="N114" s="139" t="s">
        <v>17</v>
      </c>
      <c r="O114" s="68"/>
      <c r="P114" s="69"/>
      <c r="Q114" s="70"/>
      <c r="R114" s="71"/>
      <c r="S114" s="71">
        <f ca="1">SUBTOTAL(9,S108:S113)</f>
        <v>23914839</v>
      </c>
      <c r="T114" s="71"/>
      <c r="U114" s="71">
        <f ca="1">SUBTOTAL(9,U108:U113)</f>
        <v>23914839</v>
      </c>
      <c r="V114" s="71"/>
      <c r="W114" s="71"/>
      <c r="X114" s="71"/>
      <c r="Y114" s="71"/>
      <c r="Z114" s="68"/>
    </row>
    <row r="115" spans="11:26" ht="18" customHeight="1">
      <c r="K115" s="171" t="s">
        <v>14</v>
      </c>
      <c r="L115" s="171"/>
      <c r="N115" s="318" t="str">
        <f ca="1">"제 " &amp; Z115 &amp; " 호표  "&amp; OFFSET($A$1,MATCH(Z115,$A:$A,0)-1,1)</f>
        <v>제 7 호표  2.2. 정비의 기본방향 및 목표</v>
      </c>
      <c r="O115" s="221"/>
      <c r="P115" s="148"/>
      <c r="Q115" s="148"/>
      <c r="R115" s="149"/>
      <c r="S115" s="149"/>
      <c r="T115" s="149"/>
      <c r="U115" s="149"/>
      <c r="V115" s="149"/>
      <c r="W115" s="149"/>
      <c r="X115" s="149"/>
      <c r="Y115" s="149"/>
      <c r="Z115" s="325">
        <f>Z107+1</f>
        <v>7</v>
      </c>
    </row>
    <row r="116" spans="11:26" ht="18" customHeight="1">
      <c r="K116" s="171" t="s">
        <v>14</v>
      </c>
      <c r="L116" s="171"/>
      <c r="N116" s="140" t="s">
        <v>43</v>
      </c>
      <c r="O116" s="172">
        <v>3</v>
      </c>
      <c r="P116" s="219">
        <f ca="1">OFFSET($A$1,MATCH(Z115,$A:$A,0)-1,O116)</f>
        <v>2.99</v>
      </c>
      <c r="Q116" s="141" t="s">
        <v>29</v>
      </c>
      <c r="R116" s="142">
        <f t="shared" ref="R116:S121" ca="1" si="22">T116</f>
        <v>467217</v>
      </c>
      <c r="S116" s="142">
        <f t="shared" ca="1" si="22"/>
        <v>1396978</v>
      </c>
      <c r="T116" s="142">
        <f ca="1">기술사</f>
        <v>467217</v>
      </c>
      <c r="U116" s="142">
        <f t="shared" ref="U116:U121" ca="1" si="23">ROUNDDOWN(P116*R116,0)</f>
        <v>1396978</v>
      </c>
      <c r="V116" s="142"/>
      <c r="W116" s="142"/>
      <c r="X116" s="142"/>
      <c r="Y116" s="142"/>
      <c r="Z116" s="114"/>
    </row>
    <row r="117" spans="11:26" ht="18" customHeight="1">
      <c r="K117" s="171" t="s">
        <v>14</v>
      </c>
      <c r="L117" s="171"/>
      <c r="N117" s="143" t="s">
        <v>32</v>
      </c>
      <c r="O117" s="173">
        <v>4</v>
      </c>
      <c r="P117" s="234">
        <f ca="1">OFFSET($A$1,MATCH(Z115,$A:$A,0)-1,O117)</f>
        <v>4.68</v>
      </c>
      <c r="Q117" s="144" t="s">
        <v>29</v>
      </c>
      <c r="R117" s="118">
        <f t="shared" ca="1" si="22"/>
        <v>373353</v>
      </c>
      <c r="S117" s="118">
        <f t="shared" ca="1" si="22"/>
        <v>1747292</v>
      </c>
      <c r="T117" s="118">
        <f ca="1">특급</f>
        <v>373353</v>
      </c>
      <c r="U117" s="118">
        <f t="shared" ca="1" si="23"/>
        <v>1747292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145" t="s">
        <v>39</v>
      </c>
      <c r="O118" s="173">
        <v>5</v>
      </c>
      <c r="P118" s="234">
        <f ca="1">OFFSET($A$1,MATCH(Z115,$A:$A,0)-1,O118)</f>
        <v>9.23</v>
      </c>
      <c r="Q118" s="144" t="s">
        <v>29</v>
      </c>
      <c r="R118" s="118">
        <f t="shared" ca="1" si="22"/>
        <v>310884</v>
      </c>
      <c r="S118" s="118">
        <f t="shared" ca="1" si="22"/>
        <v>2869459</v>
      </c>
      <c r="T118" s="118">
        <f ca="1">고급</f>
        <v>310884</v>
      </c>
      <c r="U118" s="118">
        <f t="shared" ca="1" si="23"/>
        <v>2869459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145" t="s">
        <v>40</v>
      </c>
      <c r="O119" s="173">
        <v>6</v>
      </c>
      <c r="P119" s="234">
        <f ca="1">OFFSET($A$1,MATCH(Z115,$A:$A,0)-1,O119)</f>
        <v>15.6</v>
      </c>
      <c r="Q119" s="144" t="s">
        <v>29</v>
      </c>
      <c r="R119" s="118">
        <f t="shared" ca="1" si="22"/>
        <v>295138</v>
      </c>
      <c r="S119" s="118">
        <f t="shared" ca="1" si="22"/>
        <v>4604152</v>
      </c>
      <c r="T119" s="118">
        <f ca="1">중급</f>
        <v>295138</v>
      </c>
      <c r="U119" s="118">
        <f t="shared" ca="1" si="23"/>
        <v>4604152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41</v>
      </c>
      <c r="O120" s="173">
        <v>7</v>
      </c>
      <c r="P120" s="234">
        <f ca="1">OFFSET($A$1,MATCH(Z115,$A:$A,0)-1,O120)</f>
        <v>21.84</v>
      </c>
      <c r="Q120" s="144" t="s">
        <v>29</v>
      </c>
      <c r="R120" s="118">
        <f t="shared" ca="1" si="22"/>
        <v>235459</v>
      </c>
      <c r="S120" s="118">
        <f t="shared" ca="1" si="22"/>
        <v>5142424</v>
      </c>
      <c r="T120" s="118">
        <f ca="1">초급</f>
        <v>235459</v>
      </c>
      <c r="U120" s="118">
        <f t="shared" ca="1" si="23"/>
        <v>5142424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319" t="s">
        <v>42</v>
      </c>
      <c r="O121" s="174">
        <v>8</v>
      </c>
      <c r="P121" s="235">
        <f ca="1">OFFSET($A$1,MATCH(Z115,$A:$A,0)-1,O121)</f>
        <v>26</v>
      </c>
      <c r="Q121" s="322" t="s">
        <v>29</v>
      </c>
      <c r="R121" s="323">
        <f t="shared" ca="1" si="22"/>
        <v>250087</v>
      </c>
      <c r="S121" s="323">
        <f t="shared" ca="1" si="22"/>
        <v>6502262</v>
      </c>
      <c r="T121" s="323">
        <f ca="1">보조원</f>
        <v>250087</v>
      </c>
      <c r="U121" s="323">
        <f t="shared" ca="1" si="23"/>
        <v>6502262</v>
      </c>
      <c r="V121" s="323"/>
      <c r="W121" s="323"/>
      <c r="X121" s="323"/>
      <c r="Y121" s="323"/>
      <c r="Z121" s="324"/>
    </row>
    <row r="122" spans="11:26" ht="18" customHeight="1">
      <c r="K122" s="171" t="s">
        <v>14</v>
      </c>
      <c r="L122" s="171"/>
      <c r="N122" s="139" t="s">
        <v>17</v>
      </c>
      <c r="O122" s="68"/>
      <c r="P122" s="69"/>
      <c r="Q122" s="70"/>
      <c r="R122" s="71"/>
      <c r="S122" s="71">
        <f ca="1">SUBTOTAL(9,S116:S121)</f>
        <v>22262567</v>
      </c>
      <c r="T122" s="71"/>
      <c r="U122" s="71">
        <f ca="1">SUBTOTAL(9,U116:U121)</f>
        <v>22262567</v>
      </c>
      <c r="V122" s="71"/>
      <c r="W122" s="71"/>
      <c r="X122" s="71"/>
      <c r="Y122" s="71"/>
      <c r="Z122" s="68"/>
    </row>
    <row r="123" spans="11:26" ht="18" customHeight="1">
      <c r="K123" s="171" t="s">
        <v>14</v>
      </c>
      <c r="L123" s="171"/>
      <c r="N123" s="318" t="str">
        <f ca="1">"제 " &amp; Z123 &amp; " 호표  "&amp; OFFSET($A$1,MATCH(Z123,$A:$A,0)-1,1)</f>
        <v>제 8 호표  2.3. 토지 이용에 관한 계획</v>
      </c>
      <c r="O123" s="221"/>
      <c r="P123" s="148"/>
      <c r="Q123" s="148"/>
      <c r="R123" s="149"/>
      <c r="S123" s="149"/>
      <c r="T123" s="149"/>
      <c r="U123" s="149"/>
      <c r="V123" s="149"/>
      <c r="W123" s="149"/>
      <c r="X123" s="149"/>
      <c r="Y123" s="149"/>
      <c r="Z123" s="325">
        <f>Z115+1</f>
        <v>8</v>
      </c>
    </row>
    <row r="124" spans="11:26" ht="18" customHeight="1">
      <c r="K124" s="171" t="s">
        <v>14</v>
      </c>
      <c r="L124" s="171"/>
      <c r="N124" s="140" t="s">
        <v>43</v>
      </c>
      <c r="O124" s="172">
        <v>3</v>
      </c>
      <c r="P124" s="219">
        <f ca="1">OFFSET($A$1,MATCH(Z123,$A:$A,0)-1,O124)</f>
        <v>3.51</v>
      </c>
      <c r="Q124" s="141" t="s">
        <v>29</v>
      </c>
      <c r="R124" s="142">
        <f t="shared" ref="R124:S129" ca="1" si="24">T124</f>
        <v>467217</v>
      </c>
      <c r="S124" s="142">
        <f t="shared" ca="1" si="24"/>
        <v>1639931</v>
      </c>
      <c r="T124" s="142">
        <f ca="1">기술사</f>
        <v>467217</v>
      </c>
      <c r="U124" s="142">
        <f t="shared" ref="U124:U129" ca="1" si="25">ROUNDDOWN(P124*R124,0)</f>
        <v>1639931</v>
      </c>
      <c r="V124" s="142"/>
      <c r="W124" s="142"/>
      <c r="X124" s="142"/>
      <c r="Y124" s="142"/>
      <c r="Z124" s="114"/>
    </row>
    <row r="125" spans="11:26" ht="18" customHeight="1">
      <c r="K125" s="171" t="s">
        <v>14</v>
      </c>
      <c r="L125" s="171"/>
      <c r="N125" s="143" t="s">
        <v>32</v>
      </c>
      <c r="O125" s="173">
        <v>4</v>
      </c>
      <c r="P125" s="234">
        <f ca="1">OFFSET($A$1,MATCH(Z123,$A:$A,0)-1,O125)</f>
        <v>5.72</v>
      </c>
      <c r="Q125" s="144" t="s">
        <v>29</v>
      </c>
      <c r="R125" s="118">
        <f t="shared" ca="1" si="24"/>
        <v>373353</v>
      </c>
      <c r="S125" s="118">
        <f t="shared" ca="1" si="24"/>
        <v>2135579</v>
      </c>
      <c r="T125" s="118">
        <f ca="1">특급</f>
        <v>373353</v>
      </c>
      <c r="U125" s="118">
        <f t="shared" ca="1" si="25"/>
        <v>2135579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145" t="s">
        <v>39</v>
      </c>
      <c r="O126" s="173">
        <v>5</v>
      </c>
      <c r="P126" s="234">
        <f ca="1">OFFSET($A$1,MATCH(Z123,$A:$A,0)-1,O126)</f>
        <v>11.31</v>
      </c>
      <c r="Q126" s="144" t="s">
        <v>29</v>
      </c>
      <c r="R126" s="118">
        <f t="shared" ca="1" si="24"/>
        <v>310884</v>
      </c>
      <c r="S126" s="118">
        <f t="shared" ca="1" si="24"/>
        <v>3516098</v>
      </c>
      <c r="T126" s="118">
        <f ca="1">고급</f>
        <v>310884</v>
      </c>
      <c r="U126" s="118">
        <f t="shared" ca="1" si="25"/>
        <v>3516098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N127" s="145" t="s">
        <v>40</v>
      </c>
      <c r="O127" s="173">
        <v>6</v>
      </c>
      <c r="P127" s="234">
        <f ca="1">OFFSET($A$1,MATCH(Z123,$A:$A,0)-1,O127)</f>
        <v>18.98</v>
      </c>
      <c r="Q127" s="144" t="s">
        <v>29</v>
      </c>
      <c r="R127" s="118">
        <f t="shared" ca="1" si="24"/>
        <v>295138</v>
      </c>
      <c r="S127" s="118">
        <f t="shared" ca="1" si="24"/>
        <v>5601719</v>
      </c>
      <c r="T127" s="118">
        <f ca="1">중급</f>
        <v>295138</v>
      </c>
      <c r="U127" s="118">
        <f t="shared" ca="1" si="25"/>
        <v>5601719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N128" s="145" t="s">
        <v>41</v>
      </c>
      <c r="O128" s="173">
        <v>7</v>
      </c>
      <c r="P128" s="234">
        <f ca="1">OFFSET($A$1,MATCH(Z123,$A:$A,0)-1,O128)</f>
        <v>28.08</v>
      </c>
      <c r="Q128" s="144" t="s">
        <v>29</v>
      </c>
      <c r="R128" s="118">
        <f t="shared" ca="1" si="24"/>
        <v>235459</v>
      </c>
      <c r="S128" s="118">
        <f t="shared" ca="1" si="24"/>
        <v>6611688</v>
      </c>
      <c r="T128" s="118">
        <f ca="1">초급</f>
        <v>235459</v>
      </c>
      <c r="U128" s="118">
        <f t="shared" ca="1" si="25"/>
        <v>6611688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319" t="s">
        <v>42</v>
      </c>
      <c r="O129" s="174">
        <v>8</v>
      </c>
      <c r="P129" s="235">
        <f ca="1">OFFSET($A$1,MATCH(Z123,$A:$A,0)-1,O129)</f>
        <v>26.91</v>
      </c>
      <c r="Q129" s="322" t="s">
        <v>29</v>
      </c>
      <c r="R129" s="323">
        <f t="shared" ca="1" si="24"/>
        <v>250087</v>
      </c>
      <c r="S129" s="323">
        <f t="shared" ca="1" si="24"/>
        <v>6729841</v>
      </c>
      <c r="T129" s="323">
        <f ca="1">보조원</f>
        <v>250087</v>
      </c>
      <c r="U129" s="323">
        <f t="shared" ca="1" si="25"/>
        <v>6729841</v>
      </c>
      <c r="V129" s="323"/>
      <c r="W129" s="323"/>
      <c r="X129" s="323"/>
      <c r="Y129" s="323"/>
      <c r="Z129" s="324"/>
    </row>
    <row r="130" spans="11:26" ht="18" customHeight="1">
      <c r="K130" s="171" t="s">
        <v>14</v>
      </c>
      <c r="L130" s="171"/>
      <c r="N130" s="139" t="s">
        <v>17</v>
      </c>
      <c r="O130" s="68"/>
      <c r="P130" s="69"/>
      <c r="Q130" s="70"/>
      <c r="R130" s="71"/>
      <c r="S130" s="71">
        <f ca="1">SUBTOTAL(9,S124:S129)</f>
        <v>26234856</v>
      </c>
      <c r="T130" s="71"/>
      <c r="U130" s="71">
        <f ca="1">SUBTOTAL(9,U124:U129)</f>
        <v>26234856</v>
      </c>
      <c r="V130" s="71"/>
      <c r="W130" s="71"/>
      <c r="X130" s="71"/>
      <c r="Y130" s="71"/>
      <c r="Z130" s="68"/>
    </row>
    <row r="131" spans="11:26" ht="18" customHeight="1">
      <c r="K131" s="171" t="s">
        <v>14</v>
      </c>
      <c r="L131" s="171"/>
      <c r="N131" s="318" t="str">
        <f ca="1">"제 " &amp; Z131 &amp; " 호표  "&amp; OFFSET($A$1,MATCH(Z131,$A:$A,0)-1,1)</f>
        <v>제 9 호표  2.4. 인구·주택 수용계획</v>
      </c>
      <c r="O131" s="221"/>
      <c r="P131" s="148"/>
      <c r="Q131" s="148"/>
      <c r="R131" s="149"/>
      <c r="S131" s="149"/>
      <c r="T131" s="149"/>
      <c r="U131" s="149"/>
      <c r="V131" s="149"/>
      <c r="W131" s="149"/>
      <c r="X131" s="149"/>
      <c r="Y131" s="149"/>
      <c r="Z131" s="325">
        <f>Z123+1</f>
        <v>9</v>
      </c>
    </row>
    <row r="132" spans="11:26" ht="18" customHeight="1">
      <c r="K132" s="171" t="s">
        <v>14</v>
      </c>
      <c r="L132" s="171"/>
      <c r="N132" s="140" t="s">
        <v>43</v>
      </c>
      <c r="O132" s="172">
        <v>3</v>
      </c>
      <c r="P132" s="219">
        <f ca="1">OFFSET($A$1,MATCH(Z131,$A:$A,0)-1,O132)</f>
        <v>2.99</v>
      </c>
      <c r="Q132" s="141" t="s">
        <v>29</v>
      </c>
      <c r="R132" s="142">
        <f t="shared" ref="R132:S137" ca="1" si="26">T132</f>
        <v>467217</v>
      </c>
      <c r="S132" s="142">
        <f t="shared" ca="1" si="26"/>
        <v>1396978</v>
      </c>
      <c r="T132" s="142">
        <f ca="1">기술사</f>
        <v>467217</v>
      </c>
      <c r="U132" s="142">
        <f t="shared" ref="U132:U137" ca="1" si="27">ROUNDDOWN(P132*R132,0)</f>
        <v>1396978</v>
      </c>
      <c r="V132" s="142"/>
      <c r="W132" s="142"/>
      <c r="X132" s="142"/>
      <c r="Y132" s="142"/>
      <c r="Z132" s="114"/>
    </row>
    <row r="133" spans="11:26" ht="18" customHeight="1">
      <c r="K133" s="171" t="s">
        <v>14</v>
      </c>
      <c r="L133" s="171"/>
      <c r="N133" s="143" t="s">
        <v>32</v>
      </c>
      <c r="O133" s="173">
        <v>4</v>
      </c>
      <c r="P133" s="234">
        <f ca="1">OFFSET($A$1,MATCH(Z131,$A:$A,0)-1,O133)</f>
        <v>4.9400000000000004</v>
      </c>
      <c r="Q133" s="144" t="s">
        <v>29</v>
      </c>
      <c r="R133" s="118">
        <f t="shared" ca="1" si="26"/>
        <v>373353</v>
      </c>
      <c r="S133" s="118">
        <f t="shared" ca="1" si="26"/>
        <v>1844363</v>
      </c>
      <c r="T133" s="118">
        <f ca="1">특급</f>
        <v>373353</v>
      </c>
      <c r="U133" s="118">
        <f t="shared" ca="1" si="27"/>
        <v>1844363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N134" s="145" t="s">
        <v>39</v>
      </c>
      <c r="O134" s="173">
        <v>5</v>
      </c>
      <c r="P134" s="234">
        <f ca="1">OFFSET($A$1,MATCH(Z131,$A:$A,0)-1,O134)</f>
        <v>9.6199999999999992</v>
      </c>
      <c r="Q134" s="144" t="s">
        <v>29</v>
      </c>
      <c r="R134" s="118">
        <f t="shared" ca="1" si="26"/>
        <v>310884</v>
      </c>
      <c r="S134" s="118">
        <f t="shared" ca="1" si="26"/>
        <v>2990704</v>
      </c>
      <c r="T134" s="118">
        <f ca="1">고급</f>
        <v>310884</v>
      </c>
      <c r="U134" s="118">
        <f t="shared" ca="1" si="27"/>
        <v>2990704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N135" s="145" t="s">
        <v>40</v>
      </c>
      <c r="O135" s="173">
        <v>6</v>
      </c>
      <c r="P135" s="234">
        <f ca="1">OFFSET($A$1,MATCH(Z131,$A:$A,0)-1,O135)</f>
        <v>15.86</v>
      </c>
      <c r="Q135" s="144" t="s">
        <v>29</v>
      </c>
      <c r="R135" s="118">
        <f t="shared" ca="1" si="26"/>
        <v>295138</v>
      </c>
      <c r="S135" s="118">
        <f t="shared" ca="1" si="26"/>
        <v>4680888</v>
      </c>
      <c r="T135" s="118">
        <f ca="1">중급</f>
        <v>295138</v>
      </c>
      <c r="U135" s="118">
        <f t="shared" ca="1" si="27"/>
        <v>4680888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N136" s="145" t="s">
        <v>41</v>
      </c>
      <c r="O136" s="173">
        <v>7</v>
      </c>
      <c r="P136" s="234">
        <f ca="1">OFFSET($A$1,MATCH(Z131,$A:$A,0)-1,O136)</f>
        <v>23.27</v>
      </c>
      <c r="Q136" s="144" t="s">
        <v>29</v>
      </c>
      <c r="R136" s="118">
        <f t="shared" ca="1" si="26"/>
        <v>235459</v>
      </c>
      <c r="S136" s="118">
        <f t="shared" ca="1" si="26"/>
        <v>5479130</v>
      </c>
      <c r="T136" s="118">
        <f ca="1">초급</f>
        <v>235459</v>
      </c>
      <c r="U136" s="118">
        <f t="shared" ca="1" si="27"/>
        <v>5479130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319" t="s">
        <v>42</v>
      </c>
      <c r="O137" s="174">
        <v>8</v>
      </c>
      <c r="P137" s="235">
        <f ca="1">OFFSET($A$1,MATCH(Z131,$A:$A,0)-1,O137)</f>
        <v>22.49</v>
      </c>
      <c r="Q137" s="322" t="s">
        <v>29</v>
      </c>
      <c r="R137" s="323">
        <f t="shared" ca="1" si="26"/>
        <v>250087</v>
      </c>
      <c r="S137" s="323">
        <f t="shared" ca="1" si="26"/>
        <v>5624456</v>
      </c>
      <c r="T137" s="323">
        <f ca="1">보조원</f>
        <v>250087</v>
      </c>
      <c r="U137" s="323">
        <f t="shared" ca="1" si="27"/>
        <v>5624456</v>
      </c>
      <c r="V137" s="323"/>
      <c r="W137" s="323"/>
      <c r="X137" s="323"/>
      <c r="Y137" s="323"/>
      <c r="Z137" s="324"/>
    </row>
    <row r="138" spans="11:26" ht="18" customHeight="1">
      <c r="K138" s="171" t="s">
        <v>14</v>
      </c>
      <c r="L138" s="171"/>
      <c r="M138" s="171"/>
      <c r="N138" s="139" t="s">
        <v>17</v>
      </c>
      <c r="O138" s="68"/>
      <c r="P138" s="69"/>
      <c r="Q138" s="70"/>
      <c r="R138" s="71"/>
      <c r="S138" s="71">
        <f ca="1">SUBTOTAL(9,S132:S137)</f>
        <v>22016519</v>
      </c>
      <c r="T138" s="71"/>
      <c r="U138" s="71">
        <f ca="1">SUBTOTAL(9,U132:U137)</f>
        <v>22016519</v>
      </c>
      <c r="V138" s="71"/>
      <c r="W138" s="71"/>
      <c r="X138" s="71"/>
      <c r="Y138" s="71"/>
      <c r="Z138" s="68"/>
    </row>
    <row r="139" spans="11:26" ht="18" customHeight="1">
      <c r="K139" s="171" t="s">
        <v>14</v>
      </c>
      <c r="L139" s="171"/>
      <c r="M139" s="171"/>
      <c r="N139" s="318" t="str">
        <f ca="1">"제 " &amp; Z139 &amp; " 호표  "&amp; OFFSET($A$1,MATCH(Z139,$A:$A,0)-1,1)</f>
        <v>제 10 호표  2.5. 기반시설 설치계획</v>
      </c>
      <c r="O139" s="221"/>
      <c r="P139" s="148"/>
      <c r="Q139" s="148"/>
      <c r="R139" s="149"/>
      <c r="S139" s="149"/>
      <c r="T139" s="149"/>
      <c r="U139" s="149"/>
      <c r="V139" s="149"/>
      <c r="W139" s="149"/>
      <c r="X139" s="149"/>
      <c r="Y139" s="149"/>
      <c r="Z139" s="325">
        <f>Z131+1</f>
        <v>10</v>
      </c>
    </row>
    <row r="140" spans="11:26" ht="18" customHeight="1">
      <c r="K140" s="171" t="s">
        <v>14</v>
      </c>
      <c r="L140" s="171"/>
      <c r="M140" s="171"/>
      <c r="N140" s="140" t="s">
        <v>43</v>
      </c>
      <c r="O140" s="172">
        <v>3</v>
      </c>
      <c r="P140" s="219">
        <f ca="1">OFFSET($A$1,MATCH(Z139,$A:$A,0)-1,O140)</f>
        <v>2.99</v>
      </c>
      <c r="Q140" s="141" t="s">
        <v>29</v>
      </c>
      <c r="R140" s="142">
        <f t="shared" ref="R140:S145" ca="1" si="28">T140</f>
        <v>467217</v>
      </c>
      <c r="S140" s="142">
        <f t="shared" ca="1" si="28"/>
        <v>1396978</v>
      </c>
      <c r="T140" s="142">
        <f ca="1">기술사</f>
        <v>467217</v>
      </c>
      <c r="U140" s="142">
        <f t="shared" ref="U140:U145" ca="1" si="29">ROUNDDOWN(P140*R140,0)</f>
        <v>1396978</v>
      </c>
      <c r="V140" s="142"/>
      <c r="W140" s="142"/>
      <c r="X140" s="142"/>
      <c r="Y140" s="142"/>
      <c r="Z140" s="114"/>
    </row>
    <row r="141" spans="11:26" ht="18" customHeight="1">
      <c r="K141" s="171" t="s">
        <v>14</v>
      </c>
      <c r="L141" s="171"/>
      <c r="M141" s="171"/>
      <c r="N141" s="143" t="s">
        <v>32</v>
      </c>
      <c r="O141" s="173">
        <v>4</v>
      </c>
      <c r="P141" s="234">
        <f ca="1">OFFSET($A$1,MATCH(Z139,$A:$A,0)-1,O141)</f>
        <v>4.9400000000000004</v>
      </c>
      <c r="Q141" s="144" t="s">
        <v>29</v>
      </c>
      <c r="R141" s="118">
        <f t="shared" ca="1" si="28"/>
        <v>373353</v>
      </c>
      <c r="S141" s="118">
        <f t="shared" ca="1" si="28"/>
        <v>1844363</v>
      </c>
      <c r="T141" s="118">
        <f ca="1">특급</f>
        <v>373353</v>
      </c>
      <c r="U141" s="118">
        <f t="shared" ca="1" si="29"/>
        <v>1844363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39</v>
      </c>
      <c r="O142" s="173">
        <v>5</v>
      </c>
      <c r="P142" s="234">
        <f ca="1">OFFSET($A$1,MATCH(Z139,$A:$A,0)-1,O142)</f>
        <v>7.67</v>
      </c>
      <c r="Q142" s="144" t="s">
        <v>29</v>
      </c>
      <c r="R142" s="118">
        <f t="shared" ca="1" si="28"/>
        <v>310884</v>
      </c>
      <c r="S142" s="118">
        <f t="shared" ca="1" si="28"/>
        <v>2384480</v>
      </c>
      <c r="T142" s="118">
        <f ca="1">고급</f>
        <v>310884</v>
      </c>
      <c r="U142" s="118">
        <f t="shared" ca="1" si="29"/>
        <v>2384480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40</v>
      </c>
      <c r="O143" s="173">
        <v>6</v>
      </c>
      <c r="P143" s="234">
        <f ca="1">OFFSET($A$1,MATCH(Z139,$A:$A,0)-1,O143)</f>
        <v>12.87</v>
      </c>
      <c r="Q143" s="144" t="s">
        <v>29</v>
      </c>
      <c r="R143" s="118">
        <f t="shared" ca="1" si="28"/>
        <v>295138</v>
      </c>
      <c r="S143" s="118">
        <f t="shared" ca="1" si="28"/>
        <v>3798426</v>
      </c>
      <c r="T143" s="118">
        <f ca="1">중급</f>
        <v>295138</v>
      </c>
      <c r="U143" s="118">
        <f t="shared" ca="1" si="29"/>
        <v>3798426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41</v>
      </c>
      <c r="O144" s="173">
        <v>7</v>
      </c>
      <c r="P144" s="234">
        <f ca="1">OFFSET($A$1,MATCH(Z139,$A:$A,0)-1,O144)</f>
        <v>23.4</v>
      </c>
      <c r="Q144" s="144" t="s">
        <v>29</v>
      </c>
      <c r="R144" s="118">
        <f t="shared" ca="1" si="28"/>
        <v>235459</v>
      </c>
      <c r="S144" s="118">
        <f t="shared" ca="1" si="28"/>
        <v>5509740</v>
      </c>
      <c r="T144" s="118">
        <f ca="1">초급</f>
        <v>235459</v>
      </c>
      <c r="U144" s="118">
        <f t="shared" ca="1" si="29"/>
        <v>5509740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319" t="s">
        <v>42</v>
      </c>
      <c r="O145" s="174">
        <v>8</v>
      </c>
      <c r="P145" s="235">
        <f ca="1">OFFSET($A$1,MATCH(Z139,$A:$A,0)-1,O145)</f>
        <v>22.49</v>
      </c>
      <c r="Q145" s="322" t="s">
        <v>29</v>
      </c>
      <c r="R145" s="323">
        <f t="shared" ca="1" si="28"/>
        <v>250087</v>
      </c>
      <c r="S145" s="323">
        <f t="shared" ca="1" si="28"/>
        <v>5624456</v>
      </c>
      <c r="T145" s="323">
        <f ca="1">보조원</f>
        <v>250087</v>
      </c>
      <c r="U145" s="323">
        <f t="shared" ca="1" si="29"/>
        <v>5624456</v>
      </c>
      <c r="V145" s="323"/>
      <c r="W145" s="323"/>
      <c r="X145" s="323"/>
      <c r="Y145" s="323"/>
      <c r="Z145" s="324"/>
    </row>
    <row r="146" spans="11:26" ht="18" customHeight="1">
      <c r="K146" s="171" t="s">
        <v>14</v>
      </c>
      <c r="L146" s="171"/>
      <c r="M146" s="171"/>
      <c r="N146" s="139" t="s">
        <v>17</v>
      </c>
      <c r="O146" s="68"/>
      <c r="P146" s="69"/>
      <c r="Q146" s="70"/>
      <c r="R146" s="71"/>
      <c r="S146" s="71">
        <f ca="1">SUBTOTAL(9,S140:S145)</f>
        <v>20558443</v>
      </c>
      <c r="T146" s="71"/>
      <c r="U146" s="71">
        <f ca="1">SUBTOTAL(9,U140:U145)</f>
        <v>20558443</v>
      </c>
      <c r="V146" s="71"/>
      <c r="W146" s="71"/>
      <c r="X146" s="71"/>
      <c r="Y146" s="71"/>
      <c r="Z146" s="68"/>
    </row>
    <row r="147" spans="11:26" ht="18" customHeight="1">
      <c r="K147" s="171" t="s">
        <v>14</v>
      </c>
      <c r="L147" s="171"/>
      <c r="M147" s="171"/>
      <c r="N147" s="318" t="str">
        <f ca="1">"제 " &amp; Z147 &amp; " 호표  "&amp; OFFSET($A$1,MATCH(Z147,$A:$A,0)-1,1)</f>
        <v>제 11 호표  2.6. 공원·녹지 조성 및 환경보전계획</v>
      </c>
      <c r="O147" s="221"/>
      <c r="P147" s="148"/>
      <c r="Q147" s="148"/>
      <c r="R147" s="149"/>
      <c r="S147" s="149"/>
      <c r="T147" s="149"/>
      <c r="U147" s="149"/>
      <c r="V147" s="149"/>
      <c r="W147" s="149"/>
      <c r="X147" s="149"/>
      <c r="Y147" s="149"/>
      <c r="Z147" s="325">
        <f>Z139+1</f>
        <v>11</v>
      </c>
    </row>
    <row r="148" spans="11:26" ht="18" customHeight="1">
      <c r="K148" s="171" t="s">
        <v>14</v>
      </c>
      <c r="L148" s="171"/>
      <c r="M148" s="171"/>
      <c r="N148" s="140" t="s">
        <v>43</v>
      </c>
      <c r="O148" s="172">
        <v>3</v>
      </c>
      <c r="P148" s="219">
        <f ca="1">OFFSET($A$1,MATCH(Z147,$A:$A,0)-1,O148)</f>
        <v>3.51</v>
      </c>
      <c r="Q148" s="141" t="s">
        <v>29</v>
      </c>
      <c r="R148" s="142">
        <f t="shared" ref="R148:S153" ca="1" si="30">T148</f>
        <v>467217</v>
      </c>
      <c r="S148" s="142">
        <f t="shared" ca="1" si="30"/>
        <v>1639931</v>
      </c>
      <c r="T148" s="142">
        <f ca="1">기술사</f>
        <v>467217</v>
      </c>
      <c r="U148" s="142">
        <f t="shared" ref="U148:U153" ca="1" si="31">ROUNDDOWN(P148*R148,0)</f>
        <v>1639931</v>
      </c>
      <c r="V148" s="142"/>
      <c r="W148" s="142"/>
      <c r="X148" s="142"/>
      <c r="Y148" s="142"/>
      <c r="Z148" s="114"/>
    </row>
    <row r="149" spans="11:26" ht="18" customHeight="1">
      <c r="K149" s="171" t="s">
        <v>14</v>
      </c>
      <c r="L149" s="171"/>
      <c r="M149" s="171"/>
      <c r="N149" s="143" t="s">
        <v>32</v>
      </c>
      <c r="O149" s="173">
        <v>4</v>
      </c>
      <c r="P149" s="234">
        <f ca="1">OFFSET($A$1,MATCH(Z147,$A:$A,0)-1,O149)</f>
        <v>5.72</v>
      </c>
      <c r="Q149" s="144" t="s">
        <v>29</v>
      </c>
      <c r="R149" s="118">
        <f t="shared" ca="1" si="30"/>
        <v>373353</v>
      </c>
      <c r="S149" s="118">
        <f t="shared" ca="1" si="30"/>
        <v>2135579</v>
      </c>
      <c r="T149" s="118">
        <f ca="1">특급</f>
        <v>373353</v>
      </c>
      <c r="U149" s="118">
        <f t="shared" ca="1" si="31"/>
        <v>2135579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39</v>
      </c>
      <c r="O150" s="173">
        <v>5</v>
      </c>
      <c r="P150" s="234">
        <f ca="1">OFFSET($A$1,MATCH(Z147,$A:$A,0)-1,O150)</f>
        <v>11.31</v>
      </c>
      <c r="Q150" s="144" t="s">
        <v>29</v>
      </c>
      <c r="R150" s="118">
        <f t="shared" ca="1" si="30"/>
        <v>310884</v>
      </c>
      <c r="S150" s="118">
        <f t="shared" ca="1" si="30"/>
        <v>3516098</v>
      </c>
      <c r="T150" s="118">
        <f ca="1">고급</f>
        <v>310884</v>
      </c>
      <c r="U150" s="118">
        <f t="shared" ca="1" si="31"/>
        <v>3516098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40</v>
      </c>
      <c r="O151" s="173">
        <v>6</v>
      </c>
      <c r="P151" s="234">
        <f ca="1">OFFSET($A$1,MATCH(Z147,$A:$A,0)-1,O151)</f>
        <v>18.98</v>
      </c>
      <c r="Q151" s="144" t="s">
        <v>29</v>
      </c>
      <c r="R151" s="118">
        <f t="shared" ca="1" si="30"/>
        <v>295138</v>
      </c>
      <c r="S151" s="118">
        <f t="shared" ca="1" si="30"/>
        <v>5601719</v>
      </c>
      <c r="T151" s="118">
        <f ca="1">중급</f>
        <v>295138</v>
      </c>
      <c r="U151" s="118">
        <f t="shared" ca="1" si="31"/>
        <v>5601719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41</v>
      </c>
      <c r="O152" s="173">
        <v>7</v>
      </c>
      <c r="P152" s="234">
        <f ca="1">OFFSET($A$1,MATCH(Z147,$A:$A,0)-1,O152)</f>
        <v>28.08</v>
      </c>
      <c r="Q152" s="144" t="s">
        <v>29</v>
      </c>
      <c r="R152" s="118">
        <f t="shared" ca="1" si="30"/>
        <v>235459</v>
      </c>
      <c r="S152" s="118">
        <f t="shared" ca="1" si="30"/>
        <v>6611688</v>
      </c>
      <c r="T152" s="118">
        <f ca="1">초급</f>
        <v>235459</v>
      </c>
      <c r="U152" s="118">
        <f t="shared" ca="1" si="31"/>
        <v>6611688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319" t="s">
        <v>42</v>
      </c>
      <c r="O153" s="174">
        <v>8</v>
      </c>
      <c r="P153" s="235">
        <f ca="1">OFFSET($A$1,MATCH(Z147,$A:$A,0)-1,O153)</f>
        <v>17.940000000000001</v>
      </c>
      <c r="Q153" s="322" t="s">
        <v>29</v>
      </c>
      <c r="R153" s="323">
        <f t="shared" ca="1" si="30"/>
        <v>250087</v>
      </c>
      <c r="S153" s="323">
        <f t="shared" ca="1" si="30"/>
        <v>4486560</v>
      </c>
      <c r="T153" s="323">
        <f ca="1">보조원</f>
        <v>250087</v>
      </c>
      <c r="U153" s="323">
        <f t="shared" ca="1" si="31"/>
        <v>4486560</v>
      </c>
      <c r="V153" s="323"/>
      <c r="W153" s="323"/>
      <c r="X153" s="323"/>
      <c r="Y153" s="323"/>
      <c r="Z153" s="324"/>
    </row>
    <row r="154" spans="11:26" ht="18" customHeight="1">
      <c r="K154" s="171" t="s">
        <v>14</v>
      </c>
      <c r="L154" s="171"/>
      <c r="M154" s="171"/>
      <c r="N154" s="139" t="s">
        <v>17</v>
      </c>
      <c r="O154" s="68"/>
      <c r="P154" s="69"/>
      <c r="Q154" s="70"/>
      <c r="R154" s="71"/>
      <c r="S154" s="71">
        <f ca="1">SUBTOTAL(9,S148:S153)</f>
        <v>23991575</v>
      </c>
      <c r="T154" s="71"/>
      <c r="U154" s="71">
        <f ca="1">SUBTOTAL(9,U148:U153)</f>
        <v>23991575</v>
      </c>
      <c r="V154" s="71"/>
      <c r="W154" s="71"/>
      <c r="X154" s="71"/>
      <c r="Y154" s="71"/>
      <c r="Z154" s="68"/>
    </row>
    <row r="155" spans="11:26" ht="18" customHeight="1">
      <c r="K155" s="171" t="s">
        <v>14</v>
      </c>
      <c r="L155" s="171"/>
      <c r="M155" s="171"/>
      <c r="N155" s="318" t="str">
        <f ca="1">"제 " &amp; Z155 &amp; " 호표  "&amp; OFFSET($A$1,MATCH(Z155,$A:$A,0)-1,1)</f>
        <v>제 12 호표  2.7. 교통계획</v>
      </c>
      <c r="O155" s="221"/>
      <c r="P155" s="148"/>
      <c r="Q155" s="148"/>
      <c r="R155" s="149"/>
      <c r="S155" s="149"/>
      <c r="T155" s="149"/>
      <c r="U155" s="149"/>
      <c r="V155" s="149"/>
      <c r="W155" s="149"/>
      <c r="X155" s="149"/>
      <c r="Y155" s="149"/>
      <c r="Z155" s="325">
        <f>Z147+1</f>
        <v>12</v>
      </c>
    </row>
    <row r="156" spans="11:26" ht="18" customHeight="1">
      <c r="K156" s="171" t="s">
        <v>14</v>
      </c>
      <c r="L156" s="171"/>
      <c r="M156" s="171"/>
      <c r="N156" s="140" t="s">
        <v>43</v>
      </c>
      <c r="O156" s="172">
        <v>3</v>
      </c>
      <c r="P156" s="219">
        <f ca="1">OFFSET($A$1,MATCH(Z155,$A:$A,0)-1,O156)</f>
        <v>3.51</v>
      </c>
      <c r="Q156" s="141" t="s">
        <v>29</v>
      </c>
      <c r="R156" s="142">
        <f t="shared" ref="R156:S161" ca="1" si="32">T156</f>
        <v>467217</v>
      </c>
      <c r="S156" s="142">
        <f t="shared" ca="1" si="32"/>
        <v>1639931</v>
      </c>
      <c r="T156" s="142">
        <f ca="1">기술사</f>
        <v>467217</v>
      </c>
      <c r="U156" s="142">
        <f t="shared" ref="U156:U161" ca="1" si="33">ROUNDDOWN(P156*R156,0)</f>
        <v>1639931</v>
      </c>
      <c r="V156" s="142"/>
      <c r="W156" s="142"/>
      <c r="X156" s="142"/>
      <c r="Y156" s="142"/>
      <c r="Z156" s="114"/>
    </row>
    <row r="157" spans="11:26" ht="18" customHeight="1">
      <c r="K157" s="171" t="s">
        <v>14</v>
      </c>
      <c r="L157" s="171"/>
      <c r="M157" s="171"/>
      <c r="N157" s="143" t="s">
        <v>32</v>
      </c>
      <c r="O157" s="173">
        <v>4</v>
      </c>
      <c r="P157" s="234">
        <f ca="1">OFFSET($A$1,MATCH(Z155,$A:$A,0)-1,O157)</f>
        <v>5.72</v>
      </c>
      <c r="Q157" s="144" t="s">
        <v>29</v>
      </c>
      <c r="R157" s="118">
        <f t="shared" ca="1" si="32"/>
        <v>373353</v>
      </c>
      <c r="S157" s="118">
        <f t="shared" ca="1" si="32"/>
        <v>2135579</v>
      </c>
      <c r="T157" s="118">
        <f ca="1">특급</f>
        <v>373353</v>
      </c>
      <c r="U157" s="118">
        <f t="shared" ca="1" si="33"/>
        <v>2135579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39</v>
      </c>
      <c r="O158" s="173">
        <v>5</v>
      </c>
      <c r="P158" s="234">
        <f ca="1">OFFSET($A$1,MATCH(Z155,$A:$A,0)-1,O158)</f>
        <v>11.31</v>
      </c>
      <c r="Q158" s="144" t="s">
        <v>29</v>
      </c>
      <c r="R158" s="118">
        <f t="shared" ca="1" si="32"/>
        <v>310884</v>
      </c>
      <c r="S158" s="118">
        <f t="shared" ca="1" si="32"/>
        <v>3516098</v>
      </c>
      <c r="T158" s="118">
        <f ca="1">고급</f>
        <v>310884</v>
      </c>
      <c r="U158" s="118">
        <f t="shared" ca="1" si="33"/>
        <v>3516098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40</v>
      </c>
      <c r="O159" s="173">
        <v>6</v>
      </c>
      <c r="P159" s="234">
        <f ca="1">OFFSET($A$1,MATCH(Z155,$A:$A,0)-1,O159)</f>
        <v>18.98</v>
      </c>
      <c r="Q159" s="144" t="s">
        <v>29</v>
      </c>
      <c r="R159" s="118">
        <f t="shared" ca="1" si="32"/>
        <v>295138</v>
      </c>
      <c r="S159" s="118">
        <f t="shared" ca="1" si="32"/>
        <v>5601719</v>
      </c>
      <c r="T159" s="118">
        <f ca="1">중급</f>
        <v>295138</v>
      </c>
      <c r="U159" s="118">
        <f t="shared" ca="1" si="33"/>
        <v>5601719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41</v>
      </c>
      <c r="O160" s="173">
        <v>7</v>
      </c>
      <c r="P160" s="234">
        <f ca="1">OFFSET($A$1,MATCH(Z155,$A:$A,0)-1,O160)</f>
        <v>28.08</v>
      </c>
      <c r="Q160" s="144" t="s">
        <v>29</v>
      </c>
      <c r="R160" s="118">
        <f t="shared" ca="1" si="32"/>
        <v>235459</v>
      </c>
      <c r="S160" s="118">
        <f t="shared" ca="1" si="32"/>
        <v>6611688</v>
      </c>
      <c r="T160" s="118">
        <f ca="1">초급</f>
        <v>235459</v>
      </c>
      <c r="U160" s="118">
        <f t="shared" ca="1" si="33"/>
        <v>6611688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319" t="s">
        <v>42</v>
      </c>
      <c r="O161" s="174">
        <v>8</v>
      </c>
      <c r="P161" s="235">
        <f ca="1">OFFSET($A$1,MATCH(Z155,$A:$A,0)-1,O161)</f>
        <v>17.940000000000001</v>
      </c>
      <c r="Q161" s="322" t="s">
        <v>29</v>
      </c>
      <c r="R161" s="323">
        <f t="shared" ca="1" si="32"/>
        <v>250087</v>
      </c>
      <c r="S161" s="323">
        <f t="shared" ca="1" si="32"/>
        <v>4486560</v>
      </c>
      <c r="T161" s="323">
        <f ca="1">보조원</f>
        <v>250087</v>
      </c>
      <c r="U161" s="323">
        <f t="shared" ca="1" si="33"/>
        <v>4486560</v>
      </c>
      <c r="V161" s="323"/>
      <c r="W161" s="323"/>
      <c r="X161" s="323"/>
      <c r="Y161" s="323"/>
      <c r="Z161" s="324"/>
    </row>
    <row r="162" spans="11:26" ht="18" customHeight="1">
      <c r="K162" s="171" t="s">
        <v>14</v>
      </c>
      <c r="L162" s="171"/>
      <c r="M162" s="171"/>
      <c r="N162" s="139" t="s">
        <v>17</v>
      </c>
      <c r="O162" s="68"/>
      <c r="P162" s="69"/>
      <c r="Q162" s="70"/>
      <c r="R162" s="71"/>
      <c r="S162" s="71">
        <f ca="1">SUBTOTAL(9,S156:S161)</f>
        <v>23991575</v>
      </c>
      <c r="T162" s="71"/>
      <c r="U162" s="71">
        <f ca="1">SUBTOTAL(9,U156:U161)</f>
        <v>23991575</v>
      </c>
      <c r="V162" s="71"/>
      <c r="W162" s="71"/>
      <c r="X162" s="71"/>
      <c r="Y162" s="71"/>
      <c r="Z162" s="68"/>
    </row>
    <row r="163" spans="11:26" ht="18" customHeight="1">
      <c r="K163" s="171" t="s">
        <v>14</v>
      </c>
      <c r="L163" s="171"/>
      <c r="M163" s="171"/>
      <c r="N163" s="318" t="str">
        <f ca="1">"제 " &amp; Z163 &amp; " 호표  "&amp; OFFSET($A$1,MATCH(Z163,$A:$A,0)-1,1)</f>
        <v>제 13 호표  2.8. 경관계획</v>
      </c>
      <c r="O163" s="221"/>
      <c r="P163" s="148"/>
      <c r="Q163" s="148"/>
      <c r="R163" s="149"/>
      <c r="S163" s="149"/>
      <c r="T163" s="149"/>
      <c r="U163" s="149"/>
      <c r="V163" s="149"/>
      <c r="W163" s="149"/>
      <c r="X163" s="149"/>
      <c r="Y163" s="149"/>
      <c r="Z163" s="325">
        <f>Z155+1</f>
        <v>13</v>
      </c>
    </row>
    <row r="164" spans="11:26" ht="18" customHeight="1">
      <c r="K164" s="171" t="s">
        <v>14</v>
      </c>
      <c r="L164" s="171"/>
      <c r="M164" s="171"/>
      <c r="N164" s="140" t="s">
        <v>43</v>
      </c>
      <c r="O164" s="172">
        <v>3</v>
      </c>
      <c r="P164" s="219">
        <f ca="1">OFFSET($A$1,MATCH(Z163,$A:$A,0)-1,O164)</f>
        <v>2.99</v>
      </c>
      <c r="Q164" s="141" t="s">
        <v>29</v>
      </c>
      <c r="R164" s="142">
        <f t="shared" ref="R164:S169" ca="1" si="34">T164</f>
        <v>467217</v>
      </c>
      <c r="S164" s="142">
        <f t="shared" ca="1" si="34"/>
        <v>1396978</v>
      </c>
      <c r="T164" s="142">
        <f ca="1">기술사</f>
        <v>467217</v>
      </c>
      <c r="U164" s="142">
        <f t="shared" ref="U164:U169" ca="1" si="35">ROUNDDOWN(P164*R164,0)</f>
        <v>1396978</v>
      </c>
      <c r="V164" s="142"/>
      <c r="W164" s="142"/>
      <c r="X164" s="142"/>
      <c r="Y164" s="142"/>
      <c r="Z164" s="114"/>
    </row>
    <row r="165" spans="11:26" ht="18" customHeight="1">
      <c r="K165" s="171" t="s">
        <v>14</v>
      </c>
      <c r="L165" s="171"/>
      <c r="M165" s="171"/>
      <c r="N165" s="143" t="s">
        <v>32</v>
      </c>
      <c r="O165" s="173">
        <v>4</v>
      </c>
      <c r="P165" s="234">
        <f ca="1">OFFSET($A$1,MATCH(Z163,$A:$A,0)-1,O165)</f>
        <v>4.9400000000000004</v>
      </c>
      <c r="Q165" s="144" t="s">
        <v>29</v>
      </c>
      <c r="R165" s="118">
        <f t="shared" ca="1" si="34"/>
        <v>373353</v>
      </c>
      <c r="S165" s="118">
        <f t="shared" ca="1" si="34"/>
        <v>1844363</v>
      </c>
      <c r="T165" s="118">
        <f ca="1">특급</f>
        <v>373353</v>
      </c>
      <c r="U165" s="118">
        <f t="shared" ca="1" si="35"/>
        <v>1844363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39</v>
      </c>
      <c r="O166" s="173">
        <v>5</v>
      </c>
      <c r="P166" s="234">
        <f ca="1">OFFSET($A$1,MATCH(Z163,$A:$A,0)-1,O166)</f>
        <v>9.23</v>
      </c>
      <c r="Q166" s="144" t="s">
        <v>29</v>
      </c>
      <c r="R166" s="118">
        <f t="shared" ca="1" si="34"/>
        <v>310884</v>
      </c>
      <c r="S166" s="118">
        <f t="shared" ca="1" si="34"/>
        <v>2869459</v>
      </c>
      <c r="T166" s="118">
        <f ca="1">고급</f>
        <v>310884</v>
      </c>
      <c r="U166" s="118">
        <f t="shared" ca="1" si="35"/>
        <v>2869459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40</v>
      </c>
      <c r="O167" s="173">
        <v>6</v>
      </c>
      <c r="P167" s="234">
        <f ca="1">OFFSET($A$1,MATCH(Z163,$A:$A,0)-1,O167)</f>
        <v>15.47</v>
      </c>
      <c r="Q167" s="144" t="s">
        <v>29</v>
      </c>
      <c r="R167" s="118">
        <f t="shared" ca="1" si="34"/>
        <v>295138</v>
      </c>
      <c r="S167" s="118">
        <f t="shared" ca="1" si="34"/>
        <v>4565784</v>
      </c>
      <c r="T167" s="118">
        <f ca="1">중급</f>
        <v>295138</v>
      </c>
      <c r="U167" s="118">
        <f t="shared" ca="1" si="35"/>
        <v>4565784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41</v>
      </c>
      <c r="O168" s="173">
        <v>7</v>
      </c>
      <c r="P168" s="234">
        <f ca="1">OFFSET($A$1,MATCH(Z163,$A:$A,0)-1,O168)</f>
        <v>21.84</v>
      </c>
      <c r="Q168" s="144" t="s">
        <v>29</v>
      </c>
      <c r="R168" s="118">
        <f t="shared" ca="1" si="34"/>
        <v>235459</v>
      </c>
      <c r="S168" s="118">
        <f t="shared" ca="1" si="34"/>
        <v>5142424</v>
      </c>
      <c r="T168" s="118">
        <f ca="1">초급</f>
        <v>235459</v>
      </c>
      <c r="U168" s="118">
        <f t="shared" ca="1" si="35"/>
        <v>5142424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319" t="s">
        <v>42</v>
      </c>
      <c r="O169" s="174">
        <v>8</v>
      </c>
      <c r="P169" s="235">
        <f ca="1">OFFSET($A$1,MATCH(Z163,$A:$A,0)-1,O169)</f>
        <v>26</v>
      </c>
      <c r="Q169" s="322" t="s">
        <v>29</v>
      </c>
      <c r="R169" s="323">
        <f t="shared" ca="1" si="34"/>
        <v>250087</v>
      </c>
      <c r="S169" s="323">
        <f t="shared" ca="1" si="34"/>
        <v>6502262</v>
      </c>
      <c r="T169" s="323">
        <f ca="1">보조원</f>
        <v>250087</v>
      </c>
      <c r="U169" s="323">
        <f t="shared" ca="1" si="35"/>
        <v>6502262</v>
      </c>
      <c r="V169" s="323"/>
      <c r="W169" s="323"/>
      <c r="X169" s="323"/>
      <c r="Y169" s="323"/>
      <c r="Z169" s="324"/>
    </row>
    <row r="170" spans="11:26" ht="18" customHeight="1">
      <c r="K170" s="171" t="s">
        <v>14</v>
      </c>
      <c r="L170" s="171"/>
      <c r="M170" s="171"/>
      <c r="N170" s="139" t="s">
        <v>17</v>
      </c>
      <c r="O170" s="68"/>
      <c r="P170" s="69"/>
      <c r="Q170" s="70"/>
      <c r="R170" s="71"/>
      <c r="S170" s="71">
        <f ca="1">SUBTOTAL(9,S164:S169)</f>
        <v>22321270</v>
      </c>
      <c r="T170" s="71"/>
      <c r="U170" s="71">
        <f ca="1">SUBTOTAL(9,U164:U169)</f>
        <v>22321270</v>
      </c>
      <c r="V170" s="71"/>
      <c r="W170" s="71"/>
      <c r="X170" s="71"/>
      <c r="Y170" s="71"/>
      <c r="Z170" s="68"/>
    </row>
    <row r="171" spans="11:26" ht="18" customHeight="1">
      <c r="K171" s="171" t="s">
        <v>14</v>
      </c>
      <c r="L171" s="171"/>
      <c r="M171" s="171"/>
      <c r="N171" s="318" t="str">
        <f ca="1">"제 " &amp; Z171 &amp; " 호표  "&amp; OFFSET($A$1,MATCH(Z171,$A:$A,0)-1,1)</f>
        <v>제 14 호표  2.9. 촉진구역 지정에 관한 사항</v>
      </c>
      <c r="O171" s="221"/>
      <c r="P171" s="148"/>
      <c r="Q171" s="148"/>
      <c r="R171" s="149"/>
      <c r="S171" s="149"/>
      <c r="T171" s="149"/>
      <c r="U171" s="149"/>
      <c r="V171" s="149"/>
      <c r="W171" s="149"/>
      <c r="X171" s="149"/>
      <c r="Y171" s="149"/>
      <c r="Z171" s="325">
        <f>Z163+1</f>
        <v>14</v>
      </c>
    </row>
    <row r="172" spans="11:26" ht="18" customHeight="1">
      <c r="K172" s="171" t="s">
        <v>14</v>
      </c>
      <c r="L172" s="171"/>
      <c r="M172" s="171"/>
      <c r="N172" s="140" t="s">
        <v>43</v>
      </c>
      <c r="O172" s="172">
        <v>3</v>
      </c>
      <c r="P172" s="219">
        <f ca="1">OFFSET($A$1,MATCH(Z171,$A:$A,0)-1,O172)</f>
        <v>2.99</v>
      </c>
      <c r="Q172" s="141" t="s">
        <v>29</v>
      </c>
      <c r="R172" s="142">
        <f t="shared" ref="R172:S177" ca="1" si="36">T172</f>
        <v>467217</v>
      </c>
      <c r="S172" s="142">
        <f t="shared" ca="1" si="36"/>
        <v>1396978</v>
      </c>
      <c r="T172" s="142">
        <f ca="1">기술사</f>
        <v>467217</v>
      </c>
      <c r="U172" s="142">
        <f t="shared" ref="U172:U177" ca="1" si="37">ROUNDDOWN(P172*R172,0)</f>
        <v>1396978</v>
      </c>
      <c r="V172" s="142"/>
      <c r="W172" s="142"/>
      <c r="X172" s="142"/>
      <c r="Y172" s="142"/>
      <c r="Z172" s="114"/>
    </row>
    <row r="173" spans="11:26" ht="18" customHeight="1">
      <c r="K173" s="171" t="s">
        <v>14</v>
      </c>
      <c r="L173" s="171"/>
      <c r="M173" s="171"/>
      <c r="N173" s="143" t="s">
        <v>32</v>
      </c>
      <c r="O173" s="173">
        <v>4</v>
      </c>
      <c r="P173" s="234">
        <f ca="1">OFFSET($A$1,MATCH(Z171,$A:$A,0)-1,O173)</f>
        <v>4.9400000000000004</v>
      </c>
      <c r="Q173" s="144" t="s">
        <v>29</v>
      </c>
      <c r="R173" s="118">
        <f t="shared" ca="1" si="36"/>
        <v>373353</v>
      </c>
      <c r="S173" s="118">
        <f t="shared" ca="1" si="36"/>
        <v>1844363</v>
      </c>
      <c r="T173" s="118">
        <f ca="1">특급</f>
        <v>373353</v>
      </c>
      <c r="U173" s="118">
        <f t="shared" ca="1" si="37"/>
        <v>1844363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39</v>
      </c>
      <c r="O174" s="173">
        <v>5</v>
      </c>
      <c r="P174" s="234">
        <f ca="1">OFFSET($A$1,MATCH(Z171,$A:$A,0)-1,O174)</f>
        <v>9.23</v>
      </c>
      <c r="Q174" s="144" t="s">
        <v>29</v>
      </c>
      <c r="R174" s="118">
        <f t="shared" ca="1" si="36"/>
        <v>310884</v>
      </c>
      <c r="S174" s="118">
        <f t="shared" ca="1" si="36"/>
        <v>2869459</v>
      </c>
      <c r="T174" s="118">
        <f ca="1">고급</f>
        <v>310884</v>
      </c>
      <c r="U174" s="118">
        <f t="shared" ca="1" si="37"/>
        <v>2869459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40</v>
      </c>
      <c r="O175" s="173">
        <v>6</v>
      </c>
      <c r="P175" s="234">
        <f ca="1">OFFSET($A$1,MATCH(Z171,$A:$A,0)-1,O175)</f>
        <v>15.47</v>
      </c>
      <c r="Q175" s="144" t="s">
        <v>29</v>
      </c>
      <c r="R175" s="118">
        <f t="shared" ca="1" si="36"/>
        <v>295138</v>
      </c>
      <c r="S175" s="118">
        <f t="shared" ca="1" si="36"/>
        <v>4565784</v>
      </c>
      <c r="T175" s="118">
        <f ca="1">중급</f>
        <v>295138</v>
      </c>
      <c r="U175" s="118">
        <f t="shared" ca="1" si="37"/>
        <v>4565784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41</v>
      </c>
      <c r="O176" s="173">
        <v>7</v>
      </c>
      <c r="P176" s="234">
        <f ca="1">OFFSET($A$1,MATCH(Z171,$A:$A,0)-1,O176)</f>
        <v>21.84</v>
      </c>
      <c r="Q176" s="144" t="s">
        <v>29</v>
      </c>
      <c r="R176" s="118">
        <f t="shared" ca="1" si="36"/>
        <v>235459</v>
      </c>
      <c r="S176" s="118">
        <f t="shared" ca="1" si="36"/>
        <v>5142424</v>
      </c>
      <c r="T176" s="118">
        <f ca="1">초급</f>
        <v>235459</v>
      </c>
      <c r="U176" s="118">
        <f t="shared" ca="1" si="37"/>
        <v>5142424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319" t="s">
        <v>42</v>
      </c>
      <c r="O177" s="174">
        <v>8</v>
      </c>
      <c r="P177" s="235">
        <f ca="1">OFFSET($A$1,MATCH(Z171,$A:$A,0)-1,O177)</f>
        <v>26</v>
      </c>
      <c r="Q177" s="322" t="s">
        <v>29</v>
      </c>
      <c r="R177" s="323">
        <f t="shared" ca="1" si="36"/>
        <v>250087</v>
      </c>
      <c r="S177" s="323">
        <f t="shared" ca="1" si="36"/>
        <v>6502262</v>
      </c>
      <c r="T177" s="323">
        <f ca="1">보조원</f>
        <v>250087</v>
      </c>
      <c r="U177" s="323">
        <f t="shared" ca="1" si="37"/>
        <v>6502262</v>
      </c>
      <c r="V177" s="323"/>
      <c r="W177" s="323"/>
      <c r="X177" s="323"/>
      <c r="Y177" s="323"/>
      <c r="Z177" s="324"/>
    </row>
    <row r="178" spans="11:26" ht="18" customHeight="1">
      <c r="K178" s="171" t="s">
        <v>14</v>
      </c>
      <c r="L178" s="171"/>
      <c r="M178" s="171"/>
      <c r="N178" s="139" t="s">
        <v>17</v>
      </c>
      <c r="O178" s="68"/>
      <c r="P178" s="69"/>
      <c r="Q178" s="70"/>
      <c r="R178" s="71"/>
      <c r="S178" s="71">
        <f ca="1">SUBTOTAL(9,S172:S177)</f>
        <v>22321270</v>
      </c>
      <c r="T178" s="71"/>
      <c r="U178" s="71">
        <f ca="1">SUBTOTAL(9,U172:U177)</f>
        <v>22321270</v>
      </c>
      <c r="V178" s="71"/>
      <c r="W178" s="71"/>
      <c r="X178" s="71"/>
      <c r="Y178" s="71"/>
      <c r="Z178" s="68"/>
    </row>
    <row r="179" spans="11:26" ht="18" customHeight="1">
      <c r="K179" s="171" t="s">
        <v>14</v>
      </c>
      <c r="L179" s="171"/>
      <c r="M179" s="171"/>
      <c r="N179" s="318" t="str">
        <f ca="1">"제 " &amp; Z179 &amp; " 호표  "&amp; OFFSET($A$1,MATCH(Z179,$A:$A,0)-1,1)</f>
        <v>제 15 호표  2.10. 재정비촉진사업별 건축계획</v>
      </c>
      <c r="O179" s="221"/>
      <c r="P179" s="148"/>
      <c r="Q179" s="148"/>
      <c r="R179" s="149"/>
      <c r="S179" s="149"/>
      <c r="T179" s="149"/>
      <c r="U179" s="149"/>
      <c r="V179" s="149"/>
      <c r="W179" s="149"/>
      <c r="X179" s="149"/>
      <c r="Y179" s="149"/>
      <c r="Z179" s="325">
        <f>Z171+1</f>
        <v>15</v>
      </c>
    </row>
    <row r="180" spans="11:26" ht="18" customHeight="1">
      <c r="K180" s="171" t="s">
        <v>14</v>
      </c>
      <c r="L180" s="171"/>
      <c r="M180" s="171"/>
      <c r="N180" s="140" t="s">
        <v>43</v>
      </c>
      <c r="O180" s="172">
        <v>3</v>
      </c>
      <c r="P180" s="219">
        <f ca="1">OFFSET($A$1,MATCH(Z179,$A:$A,0)-1,O180)</f>
        <v>3.51</v>
      </c>
      <c r="Q180" s="141" t="s">
        <v>29</v>
      </c>
      <c r="R180" s="142">
        <f t="shared" ref="R180:S185" ca="1" si="38">T180</f>
        <v>467217</v>
      </c>
      <c r="S180" s="142">
        <f t="shared" ca="1" si="38"/>
        <v>1639931</v>
      </c>
      <c r="T180" s="142">
        <f ca="1">기술사</f>
        <v>467217</v>
      </c>
      <c r="U180" s="142">
        <f t="shared" ref="U180:U185" ca="1" si="39">ROUNDDOWN(P180*R180,0)</f>
        <v>1639931</v>
      </c>
      <c r="V180" s="142"/>
      <c r="W180" s="142"/>
      <c r="X180" s="142"/>
      <c r="Y180" s="142"/>
      <c r="Z180" s="114"/>
    </row>
    <row r="181" spans="11:26" ht="18" customHeight="1">
      <c r="K181" s="171" t="s">
        <v>14</v>
      </c>
      <c r="L181" s="171"/>
      <c r="M181" s="171"/>
      <c r="N181" s="143" t="s">
        <v>32</v>
      </c>
      <c r="O181" s="173">
        <v>4</v>
      </c>
      <c r="P181" s="234">
        <f ca="1">OFFSET($A$1,MATCH(Z179,$A:$A,0)-1,O181)</f>
        <v>5.72</v>
      </c>
      <c r="Q181" s="144" t="s">
        <v>29</v>
      </c>
      <c r="R181" s="118">
        <f t="shared" ca="1" si="38"/>
        <v>373353</v>
      </c>
      <c r="S181" s="118">
        <f t="shared" ca="1" si="38"/>
        <v>2135579</v>
      </c>
      <c r="T181" s="118">
        <f ca="1">특급</f>
        <v>373353</v>
      </c>
      <c r="U181" s="118">
        <f t="shared" ca="1" si="39"/>
        <v>2135579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39</v>
      </c>
      <c r="O182" s="173">
        <v>5</v>
      </c>
      <c r="P182" s="234">
        <f ca="1">OFFSET($A$1,MATCH(Z179,$A:$A,0)-1,O182)</f>
        <v>11.31</v>
      </c>
      <c r="Q182" s="144" t="s">
        <v>29</v>
      </c>
      <c r="R182" s="118">
        <f t="shared" ca="1" si="38"/>
        <v>310884</v>
      </c>
      <c r="S182" s="118">
        <f t="shared" ca="1" si="38"/>
        <v>3516098</v>
      </c>
      <c r="T182" s="118">
        <f ca="1">고급</f>
        <v>310884</v>
      </c>
      <c r="U182" s="118">
        <f t="shared" ca="1" si="39"/>
        <v>3516098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40</v>
      </c>
      <c r="O183" s="173">
        <v>6</v>
      </c>
      <c r="P183" s="234">
        <f ca="1">OFFSET($A$1,MATCH(Z179,$A:$A,0)-1,O183)</f>
        <v>18.98</v>
      </c>
      <c r="Q183" s="144" t="s">
        <v>29</v>
      </c>
      <c r="R183" s="118">
        <f t="shared" ca="1" si="38"/>
        <v>295138</v>
      </c>
      <c r="S183" s="118">
        <f t="shared" ca="1" si="38"/>
        <v>5601719</v>
      </c>
      <c r="T183" s="118">
        <f ca="1">중급</f>
        <v>295138</v>
      </c>
      <c r="U183" s="118">
        <f t="shared" ca="1" si="39"/>
        <v>5601719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41</v>
      </c>
      <c r="O184" s="173">
        <v>7</v>
      </c>
      <c r="P184" s="234">
        <f ca="1">OFFSET($A$1,MATCH(Z179,$A:$A,0)-1,O184)</f>
        <v>28.08</v>
      </c>
      <c r="Q184" s="144" t="s">
        <v>29</v>
      </c>
      <c r="R184" s="118">
        <f t="shared" ca="1" si="38"/>
        <v>235459</v>
      </c>
      <c r="S184" s="118">
        <f t="shared" ca="1" si="38"/>
        <v>6611688</v>
      </c>
      <c r="T184" s="118">
        <f ca="1">초급</f>
        <v>235459</v>
      </c>
      <c r="U184" s="118">
        <f t="shared" ca="1" si="39"/>
        <v>6611688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319" t="s">
        <v>42</v>
      </c>
      <c r="O185" s="174">
        <v>8</v>
      </c>
      <c r="P185" s="235">
        <f ca="1">OFFSET($A$1,MATCH(Z179,$A:$A,0)-1,O185)</f>
        <v>26.91</v>
      </c>
      <c r="Q185" s="322" t="s">
        <v>29</v>
      </c>
      <c r="R185" s="323">
        <f t="shared" ca="1" si="38"/>
        <v>250087</v>
      </c>
      <c r="S185" s="323">
        <f t="shared" ca="1" si="38"/>
        <v>6729841</v>
      </c>
      <c r="T185" s="323">
        <f ca="1">보조원</f>
        <v>250087</v>
      </c>
      <c r="U185" s="323">
        <f t="shared" ca="1" si="39"/>
        <v>6729841</v>
      </c>
      <c r="V185" s="323"/>
      <c r="W185" s="323"/>
      <c r="X185" s="323"/>
      <c r="Y185" s="323"/>
      <c r="Z185" s="324"/>
    </row>
    <row r="186" spans="11:26" ht="18" customHeight="1">
      <c r="K186" s="171" t="s">
        <v>14</v>
      </c>
      <c r="L186" s="171"/>
      <c r="M186" s="171"/>
      <c r="N186" s="139" t="s">
        <v>17</v>
      </c>
      <c r="O186" s="68"/>
      <c r="P186" s="69"/>
      <c r="Q186" s="70"/>
      <c r="R186" s="71"/>
      <c r="S186" s="71">
        <f ca="1">SUBTOTAL(9,S180:S185)</f>
        <v>26234856</v>
      </c>
      <c r="T186" s="71"/>
      <c r="U186" s="71">
        <f ca="1">SUBTOTAL(9,U180:U185)</f>
        <v>26234856</v>
      </c>
      <c r="V186" s="71"/>
      <c r="W186" s="71"/>
      <c r="X186" s="71"/>
      <c r="Y186" s="71"/>
      <c r="Z186" s="68"/>
    </row>
    <row r="187" spans="11:26" ht="18" customHeight="1">
      <c r="K187" s="171" t="s">
        <v>14</v>
      </c>
      <c r="L187" s="171"/>
      <c r="M187" s="171"/>
      <c r="N187" s="318" t="str">
        <f ca="1">"제 " &amp; Z187 &amp; " 호표  "&amp; OFFSET($A$1,MATCH(Z187,$A:$A,0)-1,1)</f>
        <v>제 16 호표  2.11. 기반시설의 비용분담계획</v>
      </c>
      <c r="O187" s="221"/>
      <c r="P187" s="148"/>
      <c r="Q187" s="148"/>
      <c r="R187" s="149"/>
      <c r="S187" s="149"/>
      <c r="T187" s="149"/>
      <c r="U187" s="149"/>
      <c r="V187" s="149"/>
      <c r="W187" s="149"/>
      <c r="X187" s="149"/>
      <c r="Y187" s="149"/>
      <c r="Z187" s="325">
        <f>Z179+1</f>
        <v>16</v>
      </c>
    </row>
    <row r="188" spans="11:26" ht="18" customHeight="1">
      <c r="K188" s="171" t="s">
        <v>14</v>
      </c>
      <c r="L188" s="171"/>
      <c r="M188" s="171"/>
      <c r="N188" s="140" t="s">
        <v>43</v>
      </c>
      <c r="O188" s="172">
        <v>3</v>
      </c>
      <c r="P188" s="219">
        <f ca="1">OFFSET($A$1,MATCH(Z187,$A:$A,0)-1,O188)</f>
        <v>2.99</v>
      </c>
      <c r="Q188" s="141" t="s">
        <v>29</v>
      </c>
      <c r="R188" s="142">
        <f t="shared" ref="R188:S193" ca="1" si="40">T188</f>
        <v>467217</v>
      </c>
      <c r="S188" s="142">
        <f t="shared" ca="1" si="40"/>
        <v>1396978</v>
      </c>
      <c r="T188" s="142">
        <f ca="1">기술사</f>
        <v>467217</v>
      </c>
      <c r="U188" s="142">
        <f t="shared" ref="U188:U193" ca="1" si="41">ROUNDDOWN(P188*R188,0)</f>
        <v>1396978</v>
      </c>
      <c r="V188" s="142"/>
      <c r="W188" s="142"/>
      <c r="X188" s="142"/>
      <c r="Y188" s="142"/>
      <c r="Z188" s="114"/>
    </row>
    <row r="189" spans="11:26" ht="18" customHeight="1">
      <c r="K189" s="171" t="s">
        <v>14</v>
      </c>
      <c r="L189" s="171"/>
      <c r="M189" s="171"/>
      <c r="N189" s="143" t="s">
        <v>32</v>
      </c>
      <c r="O189" s="173">
        <v>4</v>
      </c>
      <c r="P189" s="234">
        <f ca="1">OFFSET($A$1,MATCH(Z187,$A:$A,0)-1,O189)</f>
        <v>4.68</v>
      </c>
      <c r="Q189" s="144" t="s">
        <v>29</v>
      </c>
      <c r="R189" s="118">
        <f t="shared" ca="1" si="40"/>
        <v>373353</v>
      </c>
      <c r="S189" s="118">
        <f t="shared" ca="1" si="40"/>
        <v>1747292</v>
      </c>
      <c r="T189" s="118">
        <f ca="1">특급</f>
        <v>373353</v>
      </c>
      <c r="U189" s="118">
        <f t="shared" ca="1" si="41"/>
        <v>1747292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39</v>
      </c>
      <c r="O190" s="173">
        <v>5</v>
      </c>
      <c r="P190" s="234">
        <f ca="1">OFFSET($A$1,MATCH(Z187,$A:$A,0)-1,O190)</f>
        <v>9.23</v>
      </c>
      <c r="Q190" s="144" t="s">
        <v>29</v>
      </c>
      <c r="R190" s="118">
        <f t="shared" ca="1" si="40"/>
        <v>310884</v>
      </c>
      <c r="S190" s="118">
        <f t="shared" ca="1" si="40"/>
        <v>2869459</v>
      </c>
      <c r="T190" s="118">
        <f ca="1">고급</f>
        <v>310884</v>
      </c>
      <c r="U190" s="118">
        <f t="shared" ca="1" si="41"/>
        <v>2869459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40</v>
      </c>
      <c r="O191" s="173">
        <v>6</v>
      </c>
      <c r="P191" s="234">
        <f ca="1">OFFSET($A$1,MATCH(Z187,$A:$A,0)-1,O191)</f>
        <v>15.47</v>
      </c>
      <c r="Q191" s="144" t="s">
        <v>29</v>
      </c>
      <c r="R191" s="118">
        <f t="shared" ca="1" si="40"/>
        <v>295138</v>
      </c>
      <c r="S191" s="118">
        <f t="shared" ca="1" si="40"/>
        <v>4565784</v>
      </c>
      <c r="T191" s="118">
        <f ca="1">중급</f>
        <v>295138</v>
      </c>
      <c r="U191" s="118">
        <f t="shared" ca="1" si="41"/>
        <v>4565784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41</v>
      </c>
      <c r="O192" s="173">
        <v>7</v>
      </c>
      <c r="P192" s="234">
        <f ca="1">OFFSET($A$1,MATCH(Z187,$A:$A,0)-1,O192)</f>
        <v>21.84</v>
      </c>
      <c r="Q192" s="144" t="s">
        <v>29</v>
      </c>
      <c r="R192" s="118">
        <f t="shared" ca="1" si="40"/>
        <v>235459</v>
      </c>
      <c r="S192" s="118">
        <f t="shared" ca="1" si="40"/>
        <v>5142424</v>
      </c>
      <c r="T192" s="118">
        <f ca="1">초급</f>
        <v>235459</v>
      </c>
      <c r="U192" s="118">
        <f t="shared" ca="1" si="41"/>
        <v>5142424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319" t="s">
        <v>42</v>
      </c>
      <c r="O193" s="174">
        <v>8</v>
      </c>
      <c r="P193" s="235">
        <f ca="1">OFFSET($A$1,MATCH(Z187,$A:$A,0)-1,O193)</f>
        <v>26</v>
      </c>
      <c r="Q193" s="322" t="s">
        <v>29</v>
      </c>
      <c r="R193" s="323">
        <f t="shared" ca="1" si="40"/>
        <v>250087</v>
      </c>
      <c r="S193" s="323">
        <f t="shared" ca="1" si="40"/>
        <v>6502262</v>
      </c>
      <c r="T193" s="323">
        <f ca="1">보조원</f>
        <v>250087</v>
      </c>
      <c r="U193" s="323">
        <f t="shared" ca="1" si="41"/>
        <v>6502262</v>
      </c>
      <c r="V193" s="323"/>
      <c r="W193" s="323"/>
      <c r="X193" s="323"/>
      <c r="Y193" s="323"/>
      <c r="Z193" s="324"/>
    </row>
    <row r="194" spans="11:26" ht="18" customHeight="1">
      <c r="K194" s="171" t="s">
        <v>14</v>
      </c>
      <c r="L194" s="171"/>
      <c r="M194" s="171"/>
      <c r="N194" s="139" t="s">
        <v>17</v>
      </c>
      <c r="O194" s="68"/>
      <c r="P194" s="69"/>
      <c r="Q194" s="70"/>
      <c r="R194" s="71"/>
      <c r="S194" s="71">
        <f ca="1">SUBTOTAL(9,S188:S193)</f>
        <v>22224199</v>
      </c>
      <c r="T194" s="71"/>
      <c r="U194" s="71">
        <f ca="1">SUBTOTAL(9,U188:U193)</f>
        <v>22224199</v>
      </c>
      <c r="V194" s="71"/>
      <c r="W194" s="71"/>
      <c r="X194" s="71"/>
      <c r="Y194" s="71"/>
      <c r="Z194" s="68"/>
    </row>
    <row r="195" spans="11:26" ht="18" customHeight="1">
      <c r="K195" s="171" t="s">
        <v>14</v>
      </c>
      <c r="L195" s="171"/>
      <c r="M195" s="171"/>
      <c r="N195" s="318" t="str">
        <f ca="1">"제 " &amp; Z195 &amp; " 호표  "&amp; OFFSET($A$1,MATCH(Z195,$A:$A,0)-1,1)</f>
        <v>제 17 호표  2.12. 세입자 등의 주거대책</v>
      </c>
      <c r="O195" s="221"/>
      <c r="P195" s="148"/>
      <c r="Q195" s="148"/>
      <c r="R195" s="149"/>
      <c r="S195" s="149"/>
      <c r="T195" s="149"/>
      <c r="U195" s="149"/>
      <c r="V195" s="149"/>
      <c r="W195" s="149"/>
      <c r="X195" s="149"/>
      <c r="Y195" s="149"/>
      <c r="Z195" s="325">
        <f>Z187+1</f>
        <v>17</v>
      </c>
    </row>
    <row r="196" spans="11:26" ht="18" customHeight="1">
      <c r="K196" s="171" t="s">
        <v>14</v>
      </c>
      <c r="L196" s="171"/>
      <c r="M196" s="171"/>
      <c r="N196" s="140" t="s">
        <v>43</v>
      </c>
      <c r="O196" s="172">
        <v>3</v>
      </c>
      <c r="P196" s="219">
        <f ca="1">OFFSET($A$1,MATCH(Z195,$A:$A,0)-1,O196)</f>
        <v>2.99</v>
      </c>
      <c r="Q196" s="141" t="s">
        <v>29</v>
      </c>
      <c r="R196" s="142">
        <f t="shared" ref="R196:S201" ca="1" si="42">T196</f>
        <v>467217</v>
      </c>
      <c r="S196" s="142">
        <f t="shared" ca="1" si="42"/>
        <v>1396978</v>
      </c>
      <c r="T196" s="142">
        <f ca="1">기술사</f>
        <v>467217</v>
      </c>
      <c r="U196" s="142">
        <f t="shared" ref="U196:U201" ca="1" si="43">ROUNDDOWN(P196*R196,0)</f>
        <v>1396978</v>
      </c>
      <c r="V196" s="142"/>
      <c r="W196" s="142"/>
      <c r="X196" s="142"/>
      <c r="Y196" s="142"/>
      <c r="Z196" s="114"/>
    </row>
    <row r="197" spans="11:26" ht="18" customHeight="1">
      <c r="K197" s="171" t="s">
        <v>14</v>
      </c>
      <c r="L197" s="171"/>
      <c r="M197" s="171"/>
      <c r="N197" s="143" t="s">
        <v>32</v>
      </c>
      <c r="O197" s="173">
        <v>4</v>
      </c>
      <c r="P197" s="234">
        <f ca="1">OFFSET($A$1,MATCH(Z195,$A:$A,0)-1,O197)</f>
        <v>4.9400000000000004</v>
      </c>
      <c r="Q197" s="144" t="s">
        <v>29</v>
      </c>
      <c r="R197" s="118">
        <f t="shared" ca="1" si="42"/>
        <v>373353</v>
      </c>
      <c r="S197" s="118">
        <f t="shared" ca="1" si="42"/>
        <v>1844363</v>
      </c>
      <c r="T197" s="118">
        <f ca="1">특급</f>
        <v>373353</v>
      </c>
      <c r="U197" s="118">
        <f t="shared" ca="1" si="43"/>
        <v>1844363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39</v>
      </c>
      <c r="O198" s="173">
        <v>5</v>
      </c>
      <c r="P198" s="234">
        <f ca="1">OFFSET($A$1,MATCH(Z195,$A:$A,0)-1,O198)</f>
        <v>9.6199999999999992</v>
      </c>
      <c r="Q198" s="144" t="s">
        <v>29</v>
      </c>
      <c r="R198" s="118">
        <f t="shared" ca="1" si="42"/>
        <v>310884</v>
      </c>
      <c r="S198" s="118">
        <f t="shared" ca="1" si="42"/>
        <v>2990704</v>
      </c>
      <c r="T198" s="118">
        <f ca="1">고급</f>
        <v>310884</v>
      </c>
      <c r="U198" s="118">
        <f t="shared" ca="1" si="43"/>
        <v>2990704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40</v>
      </c>
      <c r="O199" s="173">
        <v>6</v>
      </c>
      <c r="P199" s="234">
        <f ca="1">OFFSET($A$1,MATCH(Z195,$A:$A,0)-1,O199)</f>
        <v>15.86</v>
      </c>
      <c r="Q199" s="144" t="s">
        <v>29</v>
      </c>
      <c r="R199" s="118">
        <f t="shared" ca="1" si="42"/>
        <v>295138</v>
      </c>
      <c r="S199" s="118">
        <f t="shared" ca="1" si="42"/>
        <v>4680888</v>
      </c>
      <c r="T199" s="118">
        <f ca="1">중급</f>
        <v>295138</v>
      </c>
      <c r="U199" s="118">
        <f t="shared" ca="1" si="43"/>
        <v>4680888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41</v>
      </c>
      <c r="O200" s="173">
        <v>7</v>
      </c>
      <c r="P200" s="234">
        <f ca="1">OFFSET($A$1,MATCH(Z195,$A:$A,0)-1,O200)</f>
        <v>23.27</v>
      </c>
      <c r="Q200" s="144" t="s">
        <v>29</v>
      </c>
      <c r="R200" s="118">
        <f t="shared" ca="1" si="42"/>
        <v>235459</v>
      </c>
      <c r="S200" s="118">
        <f t="shared" ca="1" si="42"/>
        <v>5479130</v>
      </c>
      <c r="T200" s="118">
        <f ca="1">초급</f>
        <v>235459</v>
      </c>
      <c r="U200" s="118">
        <f t="shared" ca="1" si="43"/>
        <v>5479130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319" t="s">
        <v>42</v>
      </c>
      <c r="O201" s="174">
        <v>8</v>
      </c>
      <c r="P201" s="235">
        <f ca="1">OFFSET($A$1,MATCH(Z195,$A:$A,0)-1,O201)</f>
        <v>22.49</v>
      </c>
      <c r="Q201" s="322" t="s">
        <v>29</v>
      </c>
      <c r="R201" s="323">
        <f t="shared" ca="1" si="42"/>
        <v>250087</v>
      </c>
      <c r="S201" s="323">
        <f t="shared" ca="1" si="42"/>
        <v>5624456</v>
      </c>
      <c r="T201" s="323">
        <f ca="1">보조원</f>
        <v>250087</v>
      </c>
      <c r="U201" s="323">
        <f t="shared" ca="1" si="43"/>
        <v>5624456</v>
      </c>
      <c r="V201" s="323"/>
      <c r="W201" s="323"/>
      <c r="X201" s="323"/>
      <c r="Y201" s="323"/>
      <c r="Z201" s="324"/>
    </row>
    <row r="202" spans="11:26" ht="18" customHeight="1">
      <c r="K202" s="171" t="s">
        <v>14</v>
      </c>
      <c r="L202" s="171"/>
      <c r="M202" s="171"/>
      <c r="N202" s="139" t="s">
        <v>17</v>
      </c>
      <c r="O202" s="68"/>
      <c r="P202" s="69"/>
      <c r="Q202" s="70"/>
      <c r="R202" s="71"/>
      <c r="S202" s="71">
        <f ca="1">SUBTOTAL(9,S196:S201)</f>
        <v>22016519</v>
      </c>
      <c r="T202" s="71"/>
      <c r="U202" s="71">
        <f ca="1">SUBTOTAL(9,U196:U201)</f>
        <v>22016519</v>
      </c>
      <c r="V202" s="71"/>
      <c r="W202" s="71"/>
      <c r="X202" s="71"/>
      <c r="Y202" s="71"/>
      <c r="Z202" s="68"/>
    </row>
    <row r="203" spans="11:26" ht="18" customHeight="1">
      <c r="K203" s="171" t="s">
        <v>14</v>
      </c>
      <c r="L203" s="171"/>
      <c r="M203" s="171"/>
      <c r="N203" s="318" t="str">
        <f ca="1">"제 " &amp; Z203 &amp; " 호표  "&amp; OFFSET($A$1,MATCH(Z203,$A:$A,0)-1,1)</f>
        <v>제 18 호표  2.13. 범죄예방대책</v>
      </c>
      <c r="O203" s="221"/>
      <c r="P203" s="148"/>
      <c r="Q203" s="148"/>
      <c r="R203" s="149"/>
      <c r="S203" s="149"/>
      <c r="T203" s="149"/>
      <c r="U203" s="149"/>
      <c r="V203" s="149"/>
      <c r="W203" s="149"/>
      <c r="X203" s="149"/>
      <c r="Y203" s="149"/>
      <c r="Z203" s="325">
        <f>Z195+1</f>
        <v>18</v>
      </c>
    </row>
    <row r="204" spans="11:26" ht="18" customHeight="1">
      <c r="K204" s="171" t="s">
        <v>14</v>
      </c>
      <c r="L204" s="171"/>
      <c r="M204" s="171"/>
      <c r="N204" s="140" t="s">
        <v>43</v>
      </c>
      <c r="O204" s="172">
        <v>3</v>
      </c>
      <c r="P204" s="219">
        <f ca="1">OFFSET($A$1,MATCH(Z203,$A:$A,0)-1,O204)</f>
        <v>2.99</v>
      </c>
      <c r="Q204" s="141" t="s">
        <v>29</v>
      </c>
      <c r="R204" s="142">
        <f t="shared" ref="R204:R209" ca="1" si="44">T204</f>
        <v>467217</v>
      </c>
      <c r="S204" s="142">
        <f t="shared" ref="S204:S209" ca="1" si="45">U204</f>
        <v>1396978</v>
      </c>
      <c r="T204" s="142">
        <f ca="1">기술사</f>
        <v>467217</v>
      </c>
      <c r="U204" s="142">
        <f t="shared" ref="U204:U209" ca="1" si="46">ROUNDDOWN(P204*R204,0)</f>
        <v>1396978</v>
      </c>
      <c r="V204" s="142"/>
      <c r="W204" s="142"/>
      <c r="X204" s="142"/>
      <c r="Y204" s="142"/>
      <c r="Z204" s="114"/>
    </row>
    <row r="205" spans="11:26" ht="18" customHeight="1">
      <c r="K205" s="171" t="s">
        <v>14</v>
      </c>
      <c r="L205" s="171"/>
      <c r="M205" s="171"/>
      <c r="N205" s="143" t="s">
        <v>32</v>
      </c>
      <c r="O205" s="173">
        <v>4</v>
      </c>
      <c r="P205" s="234">
        <f ca="1">OFFSET($A$1,MATCH(Z203,$A:$A,0)-1,O205)</f>
        <v>4.68</v>
      </c>
      <c r="Q205" s="144" t="s">
        <v>29</v>
      </c>
      <c r="R205" s="118">
        <f t="shared" ca="1" si="44"/>
        <v>373353</v>
      </c>
      <c r="S205" s="118">
        <f t="shared" ca="1" si="45"/>
        <v>1747292</v>
      </c>
      <c r="T205" s="118">
        <f ca="1">특급</f>
        <v>373353</v>
      </c>
      <c r="U205" s="118">
        <f t="shared" ca="1" si="46"/>
        <v>1747292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145" t="s">
        <v>39</v>
      </c>
      <c r="O206" s="173">
        <v>5</v>
      </c>
      <c r="P206" s="234">
        <f ca="1">OFFSET($A$1,MATCH(Z203,$A:$A,0)-1,O206)</f>
        <v>9.36</v>
      </c>
      <c r="Q206" s="144" t="s">
        <v>29</v>
      </c>
      <c r="R206" s="118">
        <f t="shared" ca="1" si="44"/>
        <v>310884</v>
      </c>
      <c r="S206" s="118">
        <f t="shared" ca="1" si="45"/>
        <v>2909874</v>
      </c>
      <c r="T206" s="118">
        <f ca="1">고급</f>
        <v>310884</v>
      </c>
      <c r="U206" s="118">
        <f t="shared" ca="1" si="46"/>
        <v>2909874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40</v>
      </c>
      <c r="O207" s="173">
        <v>6</v>
      </c>
      <c r="P207" s="234">
        <f ca="1">OFFSET($A$1,MATCH(Z203,$A:$A,0)-1,O207)</f>
        <v>15.86</v>
      </c>
      <c r="Q207" s="144" t="s">
        <v>29</v>
      </c>
      <c r="R207" s="118">
        <f t="shared" ca="1" si="44"/>
        <v>295138</v>
      </c>
      <c r="S207" s="118">
        <f t="shared" ca="1" si="45"/>
        <v>4680888</v>
      </c>
      <c r="T207" s="118">
        <f ca="1">중급</f>
        <v>295138</v>
      </c>
      <c r="U207" s="118">
        <f t="shared" ca="1" si="46"/>
        <v>4680888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41</v>
      </c>
      <c r="O208" s="173">
        <v>7</v>
      </c>
      <c r="P208" s="234">
        <f ca="1">OFFSET($A$1,MATCH(Z203,$A:$A,0)-1,O208)</f>
        <v>23.27</v>
      </c>
      <c r="Q208" s="144" t="s">
        <v>29</v>
      </c>
      <c r="R208" s="118">
        <f t="shared" ca="1" si="44"/>
        <v>235459</v>
      </c>
      <c r="S208" s="118">
        <f t="shared" ca="1" si="45"/>
        <v>5479130</v>
      </c>
      <c r="T208" s="118">
        <f ca="1">초급</f>
        <v>235459</v>
      </c>
      <c r="U208" s="118">
        <f t="shared" ca="1" si="46"/>
        <v>5479130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319" t="s">
        <v>42</v>
      </c>
      <c r="O209" s="174">
        <v>8</v>
      </c>
      <c r="P209" s="235">
        <f ca="1">OFFSET($A$1,MATCH(Z203,$A:$A,0)-1,O209)</f>
        <v>22.49</v>
      </c>
      <c r="Q209" s="322" t="s">
        <v>29</v>
      </c>
      <c r="R209" s="323">
        <f t="shared" ca="1" si="44"/>
        <v>250087</v>
      </c>
      <c r="S209" s="323">
        <f t="shared" ca="1" si="45"/>
        <v>5624456</v>
      </c>
      <c r="T209" s="323">
        <f ca="1">보조원</f>
        <v>250087</v>
      </c>
      <c r="U209" s="323">
        <f t="shared" ca="1" si="46"/>
        <v>5624456</v>
      </c>
      <c r="V209" s="323"/>
      <c r="W209" s="323"/>
      <c r="X209" s="323"/>
      <c r="Y209" s="323"/>
      <c r="Z209" s="324"/>
    </row>
    <row r="210" spans="11:26" ht="18" customHeight="1">
      <c r="K210" s="171" t="s">
        <v>14</v>
      </c>
      <c r="L210" s="171"/>
      <c r="M210" s="171"/>
      <c r="N210" s="139" t="s">
        <v>17</v>
      </c>
      <c r="O210" s="68"/>
      <c r="P210" s="69"/>
      <c r="Q210" s="70"/>
      <c r="R210" s="71"/>
      <c r="S210" s="71">
        <f ca="1">SUBTOTAL(9,S204:S209)</f>
        <v>21838618</v>
      </c>
      <c r="T210" s="71"/>
      <c r="U210" s="71">
        <f ca="1">SUBTOTAL(9,U204:U209)</f>
        <v>21838618</v>
      </c>
      <c r="V210" s="71"/>
      <c r="W210" s="71"/>
      <c r="X210" s="71"/>
      <c r="Y210" s="71"/>
      <c r="Z210" s="68"/>
    </row>
    <row r="211" spans="11:26" ht="18" customHeight="1">
      <c r="K211" s="171" t="s">
        <v>14</v>
      </c>
      <c r="L211" s="171"/>
      <c r="M211" s="171"/>
      <c r="N211" s="318" t="str">
        <f ca="1">"제 " &amp; Z211 &amp; " 호표  "&amp; OFFSET($A$1,MATCH(Z211,$A:$A,0)-1,1)</f>
        <v>제 19 호표  2.14. 단계적 사업 추진에 관한 사항</v>
      </c>
      <c r="O211" s="221"/>
      <c r="P211" s="148"/>
      <c r="Q211" s="148"/>
      <c r="R211" s="149"/>
      <c r="S211" s="149"/>
      <c r="T211" s="149"/>
      <c r="U211" s="149"/>
      <c r="V211" s="149"/>
      <c r="W211" s="149"/>
      <c r="X211" s="149"/>
      <c r="Y211" s="149"/>
      <c r="Z211" s="325">
        <f>Z203+1</f>
        <v>19</v>
      </c>
    </row>
    <row r="212" spans="11:26" ht="18" customHeight="1">
      <c r="K212" s="171" t="s">
        <v>14</v>
      </c>
      <c r="L212" s="171"/>
      <c r="M212" s="171"/>
      <c r="N212" s="140" t="s">
        <v>43</v>
      </c>
      <c r="O212" s="172">
        <v>3</v>
      </c>
      <c r="P212" s="219">
        <f ca="1">OFFSET($A$1,MATCH(Z211,$A:$A,0)-1,O212)</f>
        <v>2.99</v>
      </c>
      <c r="Q212" s="141" t="s">
        <v>29</v>
      </c>
      <c r="R212" s="142">
        <f t="shared" ref="R212:R217" ca="1" si="47">T212</f>
        <v>467217</v>
      </c>
      <c r="S212" s="142">
        <f t="shared" ref="S212:S217" ca="1" si="48">U212</f>
        <v>1396978</v>
      </c>
      <c r="T212" s="142">
        <f ca="1">기술사</f>
        <v>467217</v>
      </c>
      <c r="U212" s="142">
        <f t="shared" ref="U212:U217" ca="1" si="49">ROUNDDOWN(P212*R212,0)</f>
        <v>1396978</v>
      </c>
      <c r="V212" s="142"/>
      <c r="W212" s="142"/>
      <c r="X212" s="142"/>
      <c r="Y212" s="142"/>
      <c r="Z212" s="114"/>
    </row>
    <row r="213" spans="11:26" ht="18" customHeight="1">
      <c r="K213" s="171" t="s">
        <v>14</v>
      </c>
      <c r="L213" s="171"/>
      <c r="M213" s="171"/>
      <c r="N213" s="143" t="s">
        <v>32</v>
      </c>
      <c r="O213" s="173">
        <v>4</v>
      </c>
      <c r="P213" s="234">
        <f ca="1">OFFSET($A$1,MATCH(Z211,$A:$A,0)-1,O213)</f>
        <v>4.68</v>
      </c>
      <c r="Q213" s="144" t="s">
        <v>29</v>
      </c>
      <c r="R213" s="118">
        <f t="shared" ca="1" si="47"/>
        <v>373353</v>
      </c>
      <c r="S213" s="118">
        <f t="shared" ca="1" si="48"/>
        <v>1747292</v>
      </c>
      <c r="T213" s="118">
        <f ca="1">특급</f>
        <v>373353</v>
      </c>
      <c r="U213" s="118">
        <f t="shared" ca="1" si="49"/>
        <v>1747292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145" t="s">
        <v>39</v>
      </c>
      <c r="O214" s="173">
        <v>5</v>
      </c>
      <c r="P214" s="234">
        <f ca="1">OFFSET($A$1,MATCH(Z211,$A:$A,0)-1,O214)</f>
        <v>9.23</v>
      </c>
      <c r="Q214" s="144" t="s">
        <v>29</v>
      </c>
      <c r="R214" s="118">
        <f t="shared" ca="1" si="47"/>
        <v>310884</v>
      </c>
      <c r="S214" s="118">
        <f t="shared" ca="1" si="48"/>
        <v>2869459</v>
      </c>
      <c r="T214" s="118">
        <f ca="1">고급</f>
        <v>310884</v>
      </c>
      <c r="U214" s="118">
        <f t="shared" ca="1" si="49"/>
        <v>2869459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40</v>
      </c>
      <c r="O215" s="173">
        <v>6</v>
      </c>
      <c r="P215" s="234">
        <f ca="1">OFFSET($A$1,MATCH(Z211,$A:$A,0)-1,O215)</f>
        <v>15.47</v>
      </c>
      <c r="Q215" s="144" t="s">
        <v>29</v>
      </c>
      <c r="R215" s="118">
        <f t="shared" ca="1" si="47"/>
        <v>295138</v>
      </c>
      <c r="S215" s="118">
        <f t="shared" ca="1" si="48"/>
        <v>4565784</v>
      </c>
      <c r="T215" s="118">
        <f ca="1">중급</f>
        <v>295138</v>
      </c>
      <c r="U215" s="118">
        <f t="shared" ca="1" si="49"/>
        <v>4565784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41</v>
      </c>
      <c r="O216" s="173">
        <v>7</v>
      </c>
      <c r="P216" s="234">
        <f ca="1">OFFSET($A$1,MATCH(Z211,$A:$A,0)-1,O216)</f>
        <v>21.84</v>
      </c>
      <c r="Q216" s="144" t="s">
        <v>29</v>
      </c>
      <c r="R216" s="118">
        <f t="shared" ca="1" si="47"/>
        <v>235459</v>
      </c>
      <c r="S216" s="118">
        <f t="shared" ca="1" si="48"/>
        <v>5142424</v>
      </c>
      <c r="T216" s="118">
        <f ca="1">초급</f>
        <v>235459</v>
      </c>
      <c r="U216" s="118">
        <f t="shared" ca="1" si="49"/>
        <v>5142424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319" t="s">
        <v>42</v>
      </c>
      <c r="O217" s="174">
        <v>8</v>
      </c>
      <c r="P217" s="235">
        <f ca="1">OFFSET($A$1,MATCH(Z211,$A:$A,0)-1,O217)</f>
        <v>26</v>
      </c>
      <c r="Q217" s="322" t="s">
        <v>29</v>
      </c>
      <c r="R217" s="323">
        <f t="shared" ca="1" si="47"/>
        <v>250087</v>
      </c>
      <c r="S217" s="323">
        <f t="shared" ca="1" si="48"/>
        <v>6502262</v>
      </c>
      <c r="T217" s="323">
        <f ca="1">보조원</f>
        <v>250087</v>
      </c>
      <c r="U217" s="323">
        <f t="shared" ca="1" si="49"/>
        <v>6502262</v>
      </c>
      <c r="V217" s="323"/>
      <c r="W217" s="323"/>
      <c r="X217" s="323"/>
      <c r="Y217" s="323"/>
      <c r="Z217" s="324"/>
    </row>
    <row r="218" spans="11:26" ht="18" customHeight="1">
      <c r="K218" s="171" t="s">
        <v>14</v>
      </c>
      <c r="L218" s="171"/>
      <c r="M218" s="171"/>
      <c r="N218" s="139" t="s">
        <v>17</v>
      </c>
      <c r="O218" s="68"/>
      <c r="P218" s="69"/>
      <c r="Q218" s="70"/>
      <c r="R218" s="71"/>
      <c r="S218" s="71">
        <f ca="1">SUBTOTAL(9,S212:S217)</f>
        <v>22224199</v>
      </c>
      <c r="T218" s="71"/>
      <c r="U218" s="71">
        <f ca="1">SUBTOTAL(9,U212:U217)</f>
        <v>22224199</v>
      </c>
      <c r="V218" s="71"/>
      <c r="W218" s="71"/>
      <c r="X218" s="71"/>
      <c r="Y218" s="71"/>
      <c r="Z218" s="68"/>
    </row>
    <row r="219" spans="11:26" ht="18" customHeight="1">
      <c r="K219" s="171" t="s">
        <v>14</v>
      </c>
      <c r="L219" s="171"/>
      <c r="M219" s="171"/>
      <c r="N219" s="318" t="str">
        <f ca="1">"제 " &amp; Z219 &amp; " 호표  "&amp; OFFSET($A$1,MATCH(Z219,$A:$A,0)-1,1)</f>
        <v>제 20 호표  2.15. 상가의 분포 및 수용계획</v>
      </c>
      <c r="O219" s="221"/>
      <c r="P219" s="148"/>
      <c r="Q219" s="148"/>
      <c r="R219" s="149"/>
      <c r="S219" s="149"/>
      <c r="T219" s="149"/>
      <c r="U219" s="149"/>
      <c r="V219" s="149"/>
      <c r="W219" s="149"/>
      <c r="X219" s="149"/>
      <c r="Y219" s="149"/>
      <c r="Z219" s="325">
        <f>Z211+1</f>
        <v>20</v>
      </c>
    </row>
    <row r="220" spans="11:26" ht="18" customHeight="1">
      <c r="K220" s="171" t="s">
        <v>14</v>
      </c>
      <c r="L220" s="171"/>
      <c r="M220" s="171"/>
      <c r="N220" s="140" t="s">
        <v>43</v>
      </c>
      <c r="O220" s="172">
        <v>3</v>
      </c>
      <c r="P220" s="219">
        <f ca="1">OFFSET($A$1,MATCH(Z219,$A:$A,0)-1,O220)</f>
        <v>2.99</v>
      </c>
      <c r="Q220" s="141" t="s">
        <v>29</v>
      </c>
      <c r="R220" s="142">
        <f t="shared" ref="R220:R225" ca="1" si="50">T220</f>
        <v>467217</v>
      </c>
      <c r="S220" s="142">
        <f t="shared" ref="S220:S225" ca="1" si="51">U220</f>
        <v>1396978</v>
      </c>
      <c r="T220" s="142">
        <f ca="1">기술사</f>
        <v>467217</v>
      </c>
      <c r="U220" s="142">
        <f t="shared" ref="U220:U225" ca="1" si="52">ROUNDDOWN(P220*R220,0)</f>
        <v>1396978</v>
      </c>
      <c r="V220" s="142"/>
      <c r="W220" s="142"/>
      <c r="X220" s="142"/>
      <c r="Y220" s="142"/>
      <c r="Z220" s="114"/>
    </row>
    <row r="221" spans="11:26" ht="18" customHeight="1">
      <c r="K221" s="171" t="s">
        <v>14</v>
      </c>
      <c r="L221" s="171"/>
      <c r="M221" s="171"/>
      <c r="N221" s="143" t="s">
        <v>32</v>
      </c>
      <c r="O221" s="173">
        <v>4</v>
      </c>
      <c r="P221" s="234">
        <f ca="1">OFFSET($A$1,MATCH(Z219,$A:$A,0)-1,O221)</f>
        <v>4.68</v>
      </c>
      <c r="Q221" s="144" t="s">
        <v>29</v>
      </c>
      <c r="R221" s="118">
        <f t="shared" ca="1" si="50"/>
        <v>373353</v>
      </c>
      <c r="S221" s="118">
        <f t="shared" ca="1" si="51"/>
        <v>1747292</v>
      </c>
      <c r="T221" s="118">
        <f ca="1">특급</f>
        <v>373353</v>
      </c>
      <c r="U221" s="118">
        <f t="shared" ca="1" si="52"/>
        <v>1747292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145" t="s">
        <v>39</v>
      </c>
      <c r="O222" s="173">
        <v>5</v>
      </c>
      <c r="P222" s="234">
        <f ca="1">OFFSET($A$1,MATCH(Z219,$A:$A,0)-1,O222)</f>
        <v>9.6199999999999992</v>
      </c>
      <c r="Q222" s="144" t="s">
        <v>29</v>
      </c>
      <c r="R222" s="118">
        <f t="shared" ca="1" si="50"/>
        <v>310884</v>
      </c>
      <c r="S222" s="118">
        <f t="shared" ca="1" si="51"/>
        <v>2990704</v>
      </c>
      <c r="T222" s="118">
        <f ca="1">고급</f>
        <v>310884</v>
      </c>
      <c r="U222" s="118">
        <f t="shared" ca="1" si="52"/>
        <v>2990704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40</v>
      </c>
      <c r="O223" s="173">
        <v>6</v>
      </c>
      <c r="P223" s="234">
        <f ca="1">OFFSET($A$1,MATCH(Z219,$A:$A,0)-1,O223)</f>
        <v>15.86</v>
      </c>
      <c r="Q223" s="144" t="s">
        <v>29</v>
      </c>
      <c r="R223" s="118">
        <f t="shared" ca="1" si="50"/>
        <v>295138</v>
      </c>
      <c r="S223" s="118">
        <f t="shared" ca="1" si="51"/>
        <v>4680888</v>
      </c>
      <c r="T223" s="118">
        <f ca="1">중급</f>
        <v>295138</v>
      </c>
      <c r="U223" s="118">
        <f t="shared" ca="1" si="52"/>
        <v>4680888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41</v>
      </c>
      <c r="O224" s="173">
        <v>7</v>
      </c>
      <c r="P224" s="234">
        <f ca="1">OFFSET($A$1,MATCH(Z219,$A:$A,0)-1,O224)</f>
        <v>23.27</v>
      </c>
      <c r="Q224" s="144" t="s">
        <v>29</v>
      </c>
      <c r="R224" s="118">
        <f t="shared" ca="1" si="50"/>
        <v>235459</v>
      </c>
      <c r="S224" s="118">
        <f t="shared" ca="1" si="51"/>
        <v>5479130</v>
      </c>
      <c r="T224" s="118">
        <f ca="1">초급</f>
        <v>235459</v>
      </c>
      <c r="U224" s="118">
        <f t="shared" ca="1" si="52"/>
        <v>5479130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319" t="s">
        <v>42</v>
      </c>
      <c r="O225" s="174">
        <v>8</v>
      </c>
      <c r="P225" s="235">
        <f ca="1">OFFSET($A$1,MATCH(Z219,$A:$A,0)-1,O225)</f>
        <v>22.88</v>
      </c>
      <c r="Q225" s="322" t="s">
        <v>29</v>
      </c>
      <c r="R225" s="323">
        <f t="shared" ca="1" si="50"/>
        <v>250087</v>
      </c>
      <c r="S225" s="323">
        <f t="shared" ca="1" si="51"/>
        <v>5721990</v>
      </c>
      <c r="T225" s="323">
        <f ca="1">보조원</f>
        <v>250087</v>
      </c>
      <c r="U225" s="323">
        <f t="shared" ca="1" si="52"/>
        <v>5721990</v>
      </c>
      <c r="V225" s="323"/>
      <c r="W225" s="323"/>
      <c r="X225" s="323"/>
      <c r="Y225" s="323"/>
      <c r="Z225" s="324"/>
    </row>
    <row r="226" spans="11:26" ht="18" customHeight="1">
      <c r="K226" s="171" t="s">
        <v>14</v>
      </c>
      <c r="L226" s="171"/>
      <c r="M226" s="171"/>
      <c r="N226" s="139" t="s">
        <v>17</v>
      </c>
      <c r="O226" s="68"/>
      <c r="P226" s="69"/>
      <c r="Q226" s="70"/>
      <c r="R226" s="71"/>
      <c r="S226" s="71">
        <f ca="1">SUBTOTAL(9,S220:S225)</f>
        <v>22016982</v>
      </c>
      <c r="T226" s="71"/>
      <c r="U226" s="71">
        <f ca="1">SUBTOTAL(9,U220:U225)</f>
        <v>22016982</v>
      </c>
      <c r="V226" s="71"/>
      <c r="W226" s="71"/>
      <c r="X226" s="71"/>
      <c r="Y226" s="71"/>
      <c r="Z226" s="68"/>
    </row>
    <row r="227" spans="11:26" ht="18" customHeight="1">
      <c r="K227" s="171" t="s">
        <v>14</v>
      </c>
      <c r="L227" s="171"/>
      <c r="M227" s="171"/>
      <c r="N227" s="318" t="str">
        <f ca="1">"제 " &amp; Z227 &amp; " 호표  "&amp; OFFSET($A$1,MATCH(Z227,$A:$A,0)-1,1)</f>
        <v>제 21 호표  2.16. 계획의 수립기준에 관한 사항</v>
      </c>
      <c r="O227" s="221"/>
      <c r="P227" s="148"/>
      <c r="Q227" s="148"/>
      <c r="R227" s="149"/>
      <c r="S227" s="149"/>
      <c r="T227" s="149"/>
      <c r="U227" s="149"/>
      <c r="V227" s="149"/>
      <c r="W227" s="149"/>
      <c r="X227" s="149"/>
      <c r="Y227" s="149"/>
      <c r="Z227" s="325">
        <f>Z219+1</f>
        <v>21</v>
      </c>
    </row>
    <row r="228" spans="11:26" ht="18" customHeight="1">
      <c r="K228" s="171" t="s">
        <v>14</v>
      </c>
      <c r="L228" s="171"/>
      <c r="M228" s="171"/>
      <c r="N228" s="140" t="s">
        <v>43</v>
      </c>
      <c r="O228" s="172">
        <v>3</v>
      </c>
      <c r="P228" s="219">
        <f ca="1">OFFSET($A$1,MATCH(Z227,$A:$A,0)-1,O228)</f>
        <v>2.99</v>
      </c>
      <c r="Q228" s="141" t="s">
        <v>29</v>
      </c>
      <c r="R228" s="142">
        <f t="shared" ref="R228:R233" ca="1" si="53">T228</f>
        <v>467217</v>
      </c>
      <c r="S228" s="142">
        <f t="shared" ref="S228:S233" ca="1" si="54">U228</f>
        <v>1396978</v>
      </c>
      <c r="T228" s="142">
        <f ca="1">기술사</f>
        <v>467217</v>
      </c>
      <c r="U228" s="142">
        <f t="shared" ref="U228:U233" ca="1" si="55">ROUNDDOWN(P228*R228,0)</f>
        <v>1396978</v>
      </c>
      <c r="V228" s="142"/>
      <c r="W228" s="142"/>
      <c r="X228" s="142"/>
      <c r="Y228" s="142"/>
      <c r="Z228" s="114"/>
    </row>
    <row r="229" spans="11:26" ht="18" customHeight="1">
      <c r="K229" s="171" t="s">
        <v>14</v>
      </c>
      <c r="L229" s="171"/>
      <c r="M229" s="171"/>
      <c r="N229" s="143" t="s">
        <v>32</v>
      </c>
      <c r="O229" s="173">
        <v>4</v>
      </c>
      <c r="P229" s="234">
        <f ca="1">OFFSET($A$1,MATCH(Z227,$A:$A,0)-1,O229)</f>
        <v>4.9400000000000004</v>
      </c>
      <c r="Q229" s="144" t="s">
        <v>29</v>
      </c>
      <c r="R229" s="118">
        <f t="shared" ca="1" si="53"/>
        <v>373353</v>
      </c>
      <c r="S229" s="118">
        <f t="shared" ca="1" si="54"/>
        <v>1844363</v>
      </c>
      <c r="T229" s="118">
        <f ca="1">특급</f>
        <v>373353</v>
      </c>
      <c r="U229" s="118">
        <f t="shared" ca="1" si="55"/>
        <v>1844363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145" t="s">
        <v>39</v>
      </c>
      <c r="O230" s="173">
        <v>5</v>
      </c>
      <c r="P230" s="234">
        <f ca="1">OFFSET($A$1,MATCH(Z227,$A:$A,0)-1,O230)</f>
        <v>9.6199999999999992</v>
      </c>
      <c r="Q230" s="144" t="s">
        <v>29</v>
      </c>
      <c r="R230" s="118">
        <f t="shared" ca="1" si="53"/>
        <v>310884</v>
      </c>
      <c r="S230" s="118">
        <f t="shared" ca="1" si="54"/>
        <v>2990704</v>
      </c>
      <c r="T230" s="118">
        <f ca="1">고급</f>
        <v>310884</v>
      </c>
      <c r="U230" s="118">
        <f t="shared" ca="1" si="55"/>
        <v>2990704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40</v>
      </c>
      <c r="O231" s="173">
        <v>6</v>
      </c>
      <c r="P231" s="234">
        <f ca="1">OFFSET($A$1,MATCH(Z227,$A:$A,0)-1,O231)</f>
        <v>15.86</v>
      </c>
      <c r="Q231" s="144" t="s">
        <v>29</v>
      </c>
      <c r="R231" s="118">
        <f t="shared" ca="1" si="53"/>
        <v>295138</v>
      </c>
      <c r="S231" s="118">
        <f t="shared" ca="1" si="54"/>
        <v>4680888</v>
      </c>
      <c r="T231" s="118">
        <f ca="1">중급</f>
        <v>295138</v>
      </c>
      <c r="U231" s="118">
        <f t="shared" ca="1" si="55"/>
        <v>4680888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41</v>
      </c>
      <c r="O232" s="173">
        <v>7</v>
      </c>
      <c r="P232" s="234">
        <f ca="1">OFFSET($A$1,MATCH(Z227,$A:$A,0)-1,O232)</f>
        <v>23.27</v>
      </c>
      <c r="Q232" s="144" t="s">
        <v>29</v>
      </c>
      <c r="R232" s="118">
        <f t="shared" ca="1" si="53"/>
        <v>235459</v>
      </c>
      <c r="S232" s="118">
        <f t="shared" ca="1" si="54"/>
        <v>5479130</v>
      </c>
      <c r="T232" s="118">
        <f ca="1">초급</f>
        <v>235459</v>
      </c>
      <c r="U232" s="118">
        <f t="shared" ca="1" si="55"/>
        <v>5479130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319" t="s">
        <v>42</v>
      </c>
      <c r="O233" s="174">
        <v>8</v>
      </c>
      <c r="P233" s="235">
        <f ca="1">OFFSET($A$1,MATCH(Z227,$A:$A,0)-1,O233)</f>
        <v>22.49</v>
      </c>
      <c r="Q233" s="322" t="s">
        <v>29</v>
      </c>
      <c r="R233" s="323">
        <f t="shared" ca="1" si="53"/>
        <v>250087</v>
      </c>
      <c r="S233" s="323">
        <f t="shared" ca="1" si="54"/>
        <v>5624456</v>
      </c>
      <c r="T233" s="323">
        <f ca="1">보조원</f>
        <v>250087</v>
      </c>
      <c r="U233" s="323">
        <f t="shared" ca="1" si="55"/>
        <v>5624456</v>
      </c>
      <c r="V233" s="323"/>
      <c r="W233" s="323"/>
      <c r="X233" s="323"/>
      <c r="Y233" s="323"/>
      <c r="Z233" s="324"/>
    </row>
    <row r="234" spans="11:26" ht="18" customHeight="1">
      <c r="K234" s="171" t="s">
        <v>14</v>
      </c>
      <c r="L234" s="171"/>
      <c r="M234" s="171"/>
      <c r="N234" s="139" t="s">
        <v>17</v>
      </c>
      <c r="O234" s="68"/>
      <c r="P234" s="69"/>
      <c r="Q234" s="70"/>
      <c r="R234" s="71"/>
      <c r="S234" s="71">
        <f ca="1">SUBTOTAL(9,S228:S233)</f>
        <v>22016519</v>
      </c>
      <c r="T234" s="71"/>
      <c r="U234" s="71">
        <f ca="1">SUBTOTAL(9,U228:U233)</f>
        <v>22016519</v>
      </c>
      <c r="V234" s="71"/>
      <c r="W234" s="71"/>
      <c r="X234" s="71"/>
      <c r="Y234" s="71"/>
      <c r="Z234" s="68"/>
    </row>
    <row r="235" spans="11:26" ht="18" customHeight="1">
      <c r="K235" s="171" t="s">
        <v>14</v>
      </c>
      <c r="L235" s="171"/>
      <c r="M235" s="171"/>
      <c r="N235" s="318" t="str">
        <f ca="1">"제 " &amp; Z235 &amp; " 호표  "&amp; OFFSET($A$1,MATCH(Z235,$A:$A,0)-1,1)</f>
        <v>제 22 호표  3.1. 보고서작성 및 편집</v>
      </c>
      <c r="O235" s="221"/>
      <c r="P235" s="148"/>
      <c r="Q235" s="148"/>
      <c r="R235" s="149"/>
      <c r="S235" s="149"/>
      <c r="T235" s="149"/>
      <c r="U235" s="149"/>
      <c r="V235" s="149"/>
      <c r="W235" s="149"/>
      <c r="X235" s="149"/>
      <c r="Y235" s="149"/>
      <c r="Z235" s="325">
        <f>Z227+1</f>
        <v>22</v>
      </c>
    </row>
    <row r="236" spans="11:26" ht="18" customHeight="1">
      <c r="K236" s="171" t="s">
        <v>14</v>
      </c>
      <c r="L236" s="171"/>
      <c r="M236" s="171"/>
      <c r="N236" s="140" t="s">
        <v>43</v>
      </c>
      <c r="O236" s="172">
        <v>3</v>
      </c>
      <c r="P236" s="219">
        <f ca="1">OFFSET($A$1,MATCH(Z235,$A:$A,0)-1,O236)</f>
        <v>10.14</v>
      </c>
      <c r="Q236" s="141" t="s">
        <v>29</v>
      </c>
      <c r="R236" s="142">
        <f t="shared" ref="R236:R241" ca="1" si="56">T236</f>
        <v>467217</v>
      </c>
      <c r="S236" s="142">
        <f t="shared" ref="S236:S241" ca="1" si="57">U236</f>
        <v>4737580</v>
      </c>
      <c r="T236" s="142">
        <f ca="1">기술사</f>
        <v>467217</v>
      </c>
      <c r="U236" s="142">
        <f t="shared" ref="U236:U241" ca="1" si="58">ROUNDDOWN(P236*R236,0)</f>
        <v>4737580</v>
      </c>
      <c r="V236" s="142"/>
      <c r="W236" s="142"/>
      <c r="X236" s="142"/>
      <c r="Y236" s="142"/>
      <c r="Z236" s="114"/>
    </row>
    <row r="237" spans="11:26" ht="18" customHeight="1">
      <c r="K237" s="171" t="s">
        <v>14</v>
      </c>
      <c r="L237" s="171"/>
      <c r="M237" s="171"/>
      <c r="N237" s="143" t="s">
        <v>32</v>
      </c>
      <c r="O237" s="173">
        <v>4</v>
      </c>
      <c r="P237" s="234">
        <f ca="1">OFFSET($A$1,MATCH(Z235,$A:$A,0)-1,O237)</f>
        <v>15.86</v>
      </c>
      <c r="Q237" s="144" t="s">
        <v>29</v>
      </c>
      <c r="R237" s="118">
        <f t="shared" ca="1" si="56"/>
        <v>373353</v>
      </c>
      <c r="S237" s="118">
        <f t="shared" ca="1" si="57"/>
        <v>5921378</v>
      </c>
      <c r="T237" s="118">
        <f ca="1">특급</f>
        <v>373353</v>
      </c>
      <c r="U237" s="118">
        <f t="shared" ca="1" si="58"/>
        <v>5921378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145" t="s">
        <v>39</v>
      </c>
      <c r="O238" s="173">
        <v>5</v>
      </c>
      <c r="P238" s="234">
        <f ca="1">OFFSET($A$1,MATCH(Z235,$A:$A,0)-1,O238)</f>
        <v>35.880000000000003</v>
      </c>
      <c r="Q238" s="144" t="s">
        <v>29</v>
      </c>
      <c r="R238" s="118">
        <f t="shared" ca="1" si="56"/>
        <v>310884</v>
      </c>
      <c r="S238" s="118">
        <f t="shared" ca="1" si="57"/>
        <v>11154517</v>
      </c>
      <c r="T238" s="118">
        <f ca="1">고급</f>
        <v>310884</v>
      </c>
      <c r="U238" s="118">
        <f t="shared" ca="1" si="58"/>
        <v>11154517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40</v>
      </c>
      <c r="O239" s="173">
        <v>6</v>
      </c>
      <c r="P239" s="234">
        <f ca="1">OFFSET($A$1,MATCH(Z235,$A:$A,0)-1,O239)</f>
        <v>59.8</v>
      </c>
      <c r="Q239" s="144" t="s">
        <v>29</v>
      </c>
      <c r="R239" s="118">
        <f t="shared" ca="1" si="56"/>
        <v>295138</v>
      </c>
      <c r="S239" s="118">
        <f t="shared" ca="1" si="57"/>
        <v>17649252</v>
      </c>
      <c r="T239" s="118">
        <f ca="1">중급</f>
        <v>295138</v>
      </c>
      <c r="U239" s="118">
        <f t="shared" ca="1" si="58"/>
        <v>17649252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41</v>
      </c>
      <c r="O240" s="173">
        <v>7</v>
      </c>
      <c r="P240" s="234">
        <f ca="1">OFFSET($A$1,MATCH(Z235,$A:$A,0)-1,O240)</f>
        <v>59.28</v>
      </c>
      <c r="Q240" s="144" t="s">
        <v>29</v>
      </c>
      <c r="R240" s="118">
        <f t="shared" ca="1" si="56"/>
        <v>235459</v>
      </c>
      <c r="S240" s="118">
        <f t="shared" ca="1" si="57"/>
        <v>13958009</v>
      </c>
      <c r="T240" s="118">
        <f ca="1">초급</f>
        <v>235459</v>
      </c>
      <c r="U240" s="118">
        <f t="shared" ca="1" si="58"/>
        <v>13958009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319" t="s">
        <v>42</v>
      </c>
      <c r="O241" s="174">
        <v>8</v>
      </c>
      <c r="P241" s="235">
        <f ca="1">OFFSET($A$1,MATCH(Z235,$A:$A,0)-1,O241)</f>
        <v>39.39</v>
      </c>
      <c r="Q241" s="322" t="s">
        <v>29</v>
      </c>
      <c r="R241" s="323">
        <f t="shared" ca="1" si="56"/>
        <v>250087</v>
      </c>
      <c r="S241" s="323">
        <f t="shared" ca="1" si="57"/>
        <v>9850926</v>
      </c>
      <c r="T241" s="323">
        <f ca="1">보조원</f>
        <v>250087</v>
      </c>
      <c r="U241" s="323">
        <f t="shared" ca="1" si="58"/>
        <v>9850926</v>
      </c>
      <c r="V241" s="323"/>
      <c r="W241" s="323"/>
      <c r="X241" s="323"/>
      <c r="Y241" s="323"/>
      <c r="Z241" s="324"/>
    </row>
    <row r="242" spans="11:26" ht="18" customHeight="1">
      <c r="K242" s="171" t="s">
        <v>14</v>
      </c>
      <c r="L242" s="171"/>
      <c r="M242" s="171"/>
      <c r="N242" s="139" t="s">
        <v>17</v>
      </c>
      <c r="O242" s="68"/>
      <c r="P242" s="69"/>
      <c r="Q242" s="70"/>
      <c r="R242" s="71"/>
      <c r="S242" s="71">
        <f ca="1">SUBTOTAL(9,S236:S241)</f>
        <v>63271662</v>
      </c>
      <c r="T242" s="71"/>
      <c r="U242" s="71">
        <f ca="1">SUBTOTAL(9,U236:U241)</f>
        <v>63271662</v>
      </c>
      <c r="V242" s="71"/>
      <c r="W242" s="71"/>
      <c r="X242" s="71"/>
      <c r="Y242" s="71"/>
      <c r="Z242" s="68"/>
    </row>
    <row r="243" spans="11:26" ht="18" customHeight="1">
      <c r="K243" s="171" t="s">
        <v>14</v>
      </c>
      <c r="L243" s="171"/>
      <c r="M243" s="171"/>
      <c r="N243" s="318" t="str">
        <f ca="1">"제 " &amp; Z243 &amp; " 호표  "&amp; OFFSET($A$1,MATCH(Z243,$A:$A,0)-1,1)</f>
        <v>제 23 호표  3.2. 관련도서작성</v>
      </c>
      <c r="O243" s="221"/>
      <c r="P243" s="148"/>
      <c r="Q243" s="148"/>
      <c r="R243" s="149"/>
      <c r="S243" s="149"/>
      <c r="T243" s="149"/>
      <c r="U243" s="149"/>
      <c r="V243" s="149"/>
      <c r="W243" s="149"/>
      <c r="X243" s="149"/>
      <c r="Y243" s="149"/>
      <c r="Z243" s="325">
        <f>Z235+1</f>
        <v>23</v>
      </c>
    </row>
    <row r="244" spans="11:26" ht="18" customHeight="1">
      <c r="K244" s="171" t="s">
        <v>14</v>
      </c>
      <c r="L244" s="171"/>
      <c r="M244" s="171"/>
      <c r="N244" s="140" t="s">
        <v>43</v>
      </c>
      <c r="O244" s="172">
        <v>3</v>
      </c>
      <c r="P244" s="219">
        <f ca="1">OFFSET($A$1,MATCH(Z243,$A:$A,0)-1,O244)</f>
        <v>4.68</v>
      </c>
      <c r="Q244" s="141" t="s">
        <v>29</v>
      </c>
      <c r="R244" s="142">
        <f t="shared" ref="R244:R249" ca="1" si="59">T244</f>
        <v>467217</v>
      </c>
      <c r="S244" s="142">
        <f t="shared" ref="S244:S249" ca="1" si="60">U244</f>
        <v>2186575</v>
      </c>
      <c r="T244" s="142">
        <f ca="1">기술사</f>
        <v>467217</v>
      </c>
      <c r="U244" s="142">
        <f t="shared" ref="U244:U249" ca="1" si="61">ROUNDDOWN(P244*R244,0)</f>
        <v>2186575</v>
      </c>
      <c r="V244" s="142"/>
      <c r="W244" s="142"/>
      <c r="X244" s="142"/>
      <c r="Y244" s="142"/>
      <c r="Z244" s="114"/>
    </row>
    <row r="245" spans="11:26" ht="18" customHeight="1">
      <c r="K245" s="171" t="s">
        <v>14</v>
      </c>
      <c r="L245" s="171"/>
      <c r="M245" s="171"/>
      <c r="N245" s="143" t="s">
        <v>32</v>
      </c>
      <c r="O245" s="173">
        <v>4</v>
      </c>
      <c r="P245" s="234">
        <f ca="1">OFFSET($A$1,MATCH(Z243,$A:$A,0)-1,O245)</f>
        <v>8.32</v>
      </c>
      <c r="Q245" s="144" t="s">
        <v>29</v>
      </c>
      <c r="R245" s="118">
        <f t="shared" ca="1" si="59"/>
        <v>373353</v>
      </c>
      <c r="S245" s="118">
        <f t="shared" ca="1" si="60"/>
        <v>3106296</v>
      </c>
      <c r="T245" s="118">
        <f ca="1">특급</f>
        <v>373353</v>
      </c>
      <c r="U245" s="118">
        <f t="shared" ca="1" si="61"/>
        <v>3106296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145" t="s">
        <v>39</v>
      </c>
      <c r="O246" s="173">
        <v>5</v>
      </c>
      <c r="P246" s="234">
        <f ca="1">OFFSET($A$1,MATCH(Z243,$A:$A,0)-1,O246)</f>
        <v>18.07</v>
      </c>
      <c r="Q246" s="144" t="s">
        <v>29</v>
      </c>
      <c r="R246" s="118">
        <f t="shared" ca="1" si="59"/>
        <v>310884</v>
      </c>
      <c r="S246" s="118">
        <f t="shared" ca="1" si="60"/>
        <v>5617673</v>
      </c>
      <c r="T246" s="118">
        <f ca="1">고급</f>
        <v>310884</v>
      </c>
      <c r="U246" s="118">
        <f t="shared" ca="1" si="61"/>
        <v>5617673</v>
      </c>
      <c r="V246" s="118"/>
      <c r="W246" s="118"/>
      <c r="X246" s="118"/>
      <c r="Y246" s="118"/>
      <c r="Z246" s="115"/>
    </row>
    <row r="247" spans="11:26" ht="18" customHeight="1">
      <c r="K247" s="171" t="s">
        <v>14</v>
      </c>
      <c r="L247" s="171"/>
      <c r="M247" s="171"/>
      <c r="N247" s="145" t="s">
        <v>40</v>
      </c>
      <c r="O247" s="173">
        <v>6</v>
      </c>
      <c r="P247" s="234">
        <f ca="1">OFFSET($A$1,MATCH(Z243,$A:$A,0)-1,O247)</f>
        <v>40.43</v>
      </c>
      <c r="Q247" s="144" t="s">
        <v>29</v>
      </c>
      <c r="R247" s="118">
        <f t="shared" ca="1" si="59"/>
        <v>295138</v>
      </c>
      <c r="S247" s="118">
        <f t="shared" ca="1" si="60"/>
        <v>11932429</v>
      </c>
      <c r="T247" s="118">
        <f ca="1">중급</f>
        <v>295138</v>
      </c>
      <c r="U247" s="118">
        <f t="shared" ca="1" si="61"/>
        <v>11932429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41</v>
      </c>
      <c r="O248" s="173">
        <v>7</v>
      </c>
      <c r="P248" s="234">
        <f ca="1">OFFSET($A$1,MATCH(Z243,$A:$A,0)-1,O248)</f>
        <v>79.819999999999993</v>
      </c>
      <c r="Q248" s="144" t="s">
        <v>29</v>
      </c>
      <c r="R248" s="118">
        <f t="shared" ca="1" si="59"/>
        <v>235459</v>
      </c>
      <c r="S248" s="118">
        <f t="shared" ca="1" si="60"/>
        <v>18794337</v>
      </c>
      <c r="T248" s="118">
        <f ca="1">초급</f>
        <v>235459</v>
      </c>
      <c r="U248" s="118">
        <f t="shared" ca="1" si="61"/>
        <v>18794337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319" t="s">
        <v>42</v>
      </c>
      <c r="O249" s="174">
        <v>8</v>
      </c>
      <c r="P249" s="235">
        <f ca="1">OFFSET($A$1,MATCH(Z243,$A:$A,0)-1,O249)</f>
        <v>99.71</v>
      </c>
      <c r="Q249" s="322" t="s">
        <v>29</v>
      </c>
      <c r="R249" s="323">
        <f t="shared" ca="1" si="59"/>
        <v>250087</v>
      </c>
      <c r="S249" s="323">
        <f t="shared" ca="1" si="60"/>
        <v>24936174</v>
      </c>
      <c r="T249" s="323">
        <f ca="1">보조원</f>
        <v>250087</v>
      </c>
      <c r="U249" s="323">
        <f t="shared" ca="1" si="61"/>
        <v>24936174</v>
      </c>
      <c r="V249" s="323"/>
      <c r="W249" s="323"/>
      <c r="X249" s="323"/>
      <c r="Y249" s="323"/>
      <c r="Z249" s="324"/>
    </row>
    <row r="250" spans="11:26" ht="18" customHeight="1">
      <c r="K250" s="171" t="s">
        <v>14</v>
      </c>
      <c r="L250" s="171"/>
      <c r="M250" s="171"/>
      <c r="N250" s="139" t="s">
        <v>17</v>
      </c>
      <c r="O250" s="68"/>
      <c r="P250" s="69"/>
      <c r="Q250" s="70"/>
      <c r="R250" s="71"/>
      <c r="S250" s="71">
        <f ca="1">SUBTOTAL(9,S244:S249)</f>
        <v>66573484</v>
      </c>
      <c r="T250" s="71"/>
      <c r="U250" s="71">
        <f ca="1">SUBTOTAL(9,U244:U249)</f>
        <v>66573484</v>
      </c>
      <c r="V250" s="71"/>
      <c r="W250" s="71"/>
      <c r="X250" s="71"/>
      <c r="Y250" s="71"/>
      <c r="Z250" s="68"/>
    </row>
    <row r="251" spans="11:26" ht="18" customHeight="1">
      <c r="K251" s="171" t="s">
        <v>14</v>
      </c>
      <c r="L251" s="171"/>
      <c r="M251" s="171"/>
      <c r="N251" s="318" t="str">
        <f ca="1">"제 " &amp; Z251 &amp; " 호표  "&amp; OFFSET($A$1,MATCH(Z251,$A:$A,0)-1,1)</f>
        <v>제 24 호표  4.1. 공청회/주민설명회</v>
      </c>
      <c r="O251" s="221"/>
      <c r="P251" s="148"/>
      <c r="Q251" s="148"/>
      <c r="R251" s="149"/>
      <c r="S251" s="149"/>
      <c r="T251" s="149"/>
      <c r="U251" s="149"/>
      <c r="V251" s="149"/>
      <c r="W251" s="149"/>
      <c r="X251" s="149"/>
      <c r="Y251" s="149"/>
      <c r="Z251" s="325">
        <f>Z243+1</f>
        <v>24</v>
      </c>
    </row>
    <row r="252" spans="11:26" ht="18" customHeight="1">
      <c r="K252" s="171" t="s">
        <v>14</v>
      </c>
      <c r="L252" s="171"/>
      <c r="M252" s="171"/>
      <c r="N252" s="140" t="s">
        <v>43</v>
      </c>
      <c r="O252" s="172">
        <v>3</v>
      </c>
      <c r="P252" s="219">
        <f ca="1">OFFSET($A$1,MATCH(Z251,$A:$A,0)-1,O252)</f>
        <v>2</v>
      </c>
      <c r="Q252" s="141" t="s">
        <v>29</v>
      </c>
      <c r="R252" s="142">
        <f t="shared" ref="R252:R257" ca="1" si="62">T252</f>
        <v>467217</v>
      </c>
      <c r="S252" s="142">
        <f t="shared" ref="S252:S257" ca="1" si="63">U252</f>
        <v>934434</v>
      </c>
      <c r="T252" s="142">
        <f ca="1">기술사</f>
        <v>467217</v>
      </c>
      <c r="U252" s="142">
        <f t="shared" ref="U252:U257" ca="1" si="64">ROUNDDOWN(P252*R252,0)</f>
        <v>934434</v>
      </c>
      <c r="V252" s="142"/>
      <c r="W252" s="142"/>
      <c r="X252" s="142"/>
      <c r="Y252" s="142"/>
      <c r="Z252" s="114"/>
    </row>
    <row r="253" spans="11:26" ht="18" customHeight="1">
      <c r="K253" s="171" t="s">
        <v>14</v>
      </c>
      <c r="L253" s="171"/>
      <c r="M253" s="171"/>
      <c r="N253" s="143" t="s">
        <v>32</v>
      </c>
      <c r="O253" s="173">
        <v>4</v>
      </c>
      <c r="P253" s="234">
        <f ca="1">OFFSET($A$1,MATCH(Z251,$A:$A,0)-1,O253)</f>
        <v>2</v>
      </c>
      <c r="Q253" s="144" t="s">
        <v>29</v>
      </c>
      <c r="R253" s="118">
        <f t="shared" ca="1" si="62"/>
        <v>373353</v>
      </c>
      <c r="S253" s="118">
        <f t="shared" ca="1" si="63"/>
        <v>746706</v>
      </c>
      <c r="T253" s="118">
        <f ca="1">특급</f>
        <v>373353</v>
      </c>
      <c r="U253" s="118">
        <f t="shared" ca="1" si="64"/>
        <v>746706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145" t="s">
        <v>39</v>
      </c>
      <c r="O254" s="173">
        <v>5</v>
      </c>
      <c r="P254" s="234">
        <f ca="1">OFFSET($A$1,MATCH(Z251,$A:$A,0)-1,O254)</f>
        <v>2</v>
      </c>
      <c r="Q254" s="144" t="s">
        <v>29</v>
      </c>
      <c r="R254" s="118">
        <f t="shared" ca="1" si="62"/>
        <v>310884</v>
      </c>
      <c r="S254" s="118">
        <f t="shared" ca="1" si="63"/>
        <v>621768</v>
      </c>
      <c r="T254" s="118">
        <f ca="1">고급</f>
        <v>310884</v>
      </c>
      <c r="U254" s="118">
        <f t="shared" ca="1" si="64"/>
        <v>621768</v>
      </c>
      <c r="V254" s="118"/>
      <c r="W254" s="118"/>
      <c r="X254" s="118"/>
      <c r="Y254" s="118"/>
      <c r="Z254" s="115"/>
    </row>
    <row r="255" spans="11:26" ht="18" customHeight="1">
      <c r="K255" s="171" t="s">
        <v>14</v>
      </c>
      <c r="L255" s="171"/>
      <c r="M255" s="171"/>
      <c r="N255" s="145" t="s">
        <v>40</v>
      </c>
      <c r="O255" s="173">
        <v>6</v>
      </c>
      <c r="P255" s="234">
        <f ca="1">OFFSET($A$1,MATCH(Z251,$A:$A,0)-1,O255)</f>
        <v>4</v>
      </c>
      <c r="Q255" s="144" t="s">
        <v>29</v>
      </c>
      <c r="R255" s="118">
        <f t="shared" ca="1" si="62"/>
        <v>295138</v>
      </c>
      <c r="S255" s="118">
        <f t="shared" ca="1" si="63"/>
        <v>1180552</v>
      </c>
      <c r="T255" s="118">
        <f ca="1">중급</f>
        <v>295138</v>
      </c>
      <c r="U255" s="118">
        <f t="shared" ca="1" si="64"/>
        <v>1180552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41</v>
      </c>
      <c r="O256" s="173">
        <v>7</v>
      </c>
      <c r="P256" s="234">
        <f ca="1">OFFSET($A$1,MATCH(Z251,$A:$A,0)-1,O256)</f>
        <v>4</v>
      </c>
      <c r="Q256" s="144" t="s">
        <v>29</v>
      </c>
      <c r="R256" s="118">
        <f t="shared" ca="1" si="62"/>
        <v>235459</v>
      </c>
      <c r="S256" s="118">
        <f t="shared" ca="1" si="63"/>
        <v>941836</v>
      </c>
      <c r="T256" s="118">
        <f ca="1">초급</f>
        <v>235459</v>
      </c>
      <c r="U256" s="118">
        <f t="shared" ca="1" si="64"/>
        <v>941836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319" t="s">
        <v>42</v>
      </c>
      <c r="O257" s="174">
        <v>8</v>
      </c>
      <c r="P257" s="235">
        <f ca="1">OFFSET($A$1,MATCH(Z251,$A:$A,0)-1,O257)</f>
        <v>4</v>
      </c>
      <c r="Q257" s="322" t="s">
        <v>29</v>
      </c>
      <c r="R257" s="323">
        <f t="shared" ca="1" si="62"/>
        <v>250087</v>
      </c>
      <c r="S257" s="323">
        <f t="shared" ca="1" si="63"/>
        <v>1000348</v>
      </c>
      <c r="T257" s="323">
        <f ca="1">보조원</f>
        <v>250087</v>
      </c>
      <c r="U257" s="323">
        <f t="shared" ca="1" si="64"/>
        <v>1000348</v>
      </c>
      <c r="V257" s="323"/>
      <c r="W257" s="323"/>
      <c r="X257" s="323"/>
      <c r="Y257" s="323"/>
      <c r="Z257" s="324"/>
    </row>
    <row r="258" spans="11:26" ht="18" customHeight="1">
      <c r="K258" s="171" t="s">
        <v>14</v>
      </c>
      <c r="L258" s="171"/>
      <c r="M258" s="171"/>
      <c r="N258" s="139" t="s">
        <v>17</v>
      </c>
      <c r="O258" s="68"/>
      <c r="P258" s="69"/>
      <c r="Q258" s="70"/>
      <c r="R258" s="71"/>
      <c r="S258" s="71">
        <f ca="1">SUBTOTAL(9,S252:S257)</f>
        <v>5425644</v>
      </c>
      <c r="T258" s="71"/>
      <c r="U258" s="71">
        <f ca="1">SUBTOTAL(9,U252:U257)</f>
        <v>5425644</v>
      </c>
      <c r="V258" s="71"/>
      <c r="W258" s="71"/>
      <c r="X258" s="71"/>
      <c r="Y258" s="71"/>
      <c r="Z258" s="68"/>
    </row>
    <row r="259" spans="11:26" ht="18" customHeight="1">
      <c r="K259" s="171" t="s">
        <v>14</v>
      </c>
      <c r="L259" s="171"/>
      <c r="M259" s="171"/>
      <c r="N259" s="318" t="str">
        <f ca="1">"제 " &amp; Z259 &amp; " 호표  "&amp; OFFSET($A$1,MATCH(Z259,$A:$A,0)-1,1)</f>
        <v>제 25 호표  4.2. 주민간담회/시민계획단</v>
      </c>
      <c r="O259" s="221"/>
      <c r="P259" s="148"/>
      <c r="Q259" s="148"/>
      <c r="R259" s="149"/>
      <c r="S259" s="149"/>
      <c r="T259" s="149"/>
      <c r="U259" s="149"/>
      <c r="V259" s="149"/>
      <c r="W259" s="149"/>
      <c r="X259" s="149"/>
      <c r="Y259" s="149"/>
      <c r="Z259" s="325">
        <f>Z251+1</f>
        <v>25</v>
      </c>
    </row>
    <row r="260" spans="11:26" ht="18" customHeight="1">
      <c r="K260" s="171" t="s">
        <v>14</v>
      </c>
      <c r="L260" s="171"/>
      <c r="M260" s="171"/>
      <c r="N260" s="140" t="s">
        <v>43</v>
      </c>
      <c r="O260" s="172">
        <v>3</v>
      </c>
      <c r="P260" s="219">
        <f ca="1">OFFSET($A$1,MATCH(Z259,$A:$A,0)-1,O260)</f>
        <v>2</v>
      </c>
      <c r="Q260" s="141" t="s">
        <v>29</v>
      </c>
      <c r="R260" s="142">
        <f t="shared" ref="R260:R265" ca="1" si="65">T260</f>
        <v>467217</v>
      </c>
      <c r="S260" s="142">
        <f t="shared" ref="S260:S265" ca="1" si="66">U260</f>
        <v>934434</v>
      </c>
      <c r="T260" s="142">
        <f ca="1">기술사</f>
        <v>467217</v>
      </c>
      <c r="U260" s="142">
        <f t="shared" ref="U260:U265" ca="1" si="67">ROUNDDOWN(P260*R260,0)</f>
        <v>934434</v>
      </c>
      <c r="V260" s="142"/>
      <c r="W260" s="142"/>
      <c r="X260" s="142"/>
      <c r="Y260" s="142"/>
      <c r="Z260" s="114"/>
    </row>
    <row r="261" spans="11:26" ht="18" customHeight="1">
      <c r="K261" s="171" t="s">
        <v>14</v>
      </c>
      <c r="L261" s="171"/>
      <c r="M261" s="171"/>
      <c r="N261" s="143" t="s">
        <v>32</v>
      </c>
      <c r="O261" s="173">
        <v>4</v>
      </c>
      <c r="P261" s="234">
        <f ca="1">OFFSET($A$1,MATCH(Z259,$A:$A,0)-1,O261)</f>
        <v>2</v>
      </c>
      <c r="Q261" s="144" t="s">
        <v>29</v>
      </c>
      <c r="R261" s="118">
        <f t="shared" ca="1" si="65"/>
        <v>373353</v>
      </c>
      <c r="S261" s="118">
        <f t="shared" ca="1" si="66"/>
        <v>746706</v>
      </c>
      <c r="T261" s="118">
        <f ca="1">특급</f>
        <v>373353</v>
      </c>
      <c r="U261" s="118">
        <f t="shared" ca="1" si="67"/>
        <v>746706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145" t="s">
        <v>39</v>
      </c>
      <c r="O262" s="173">
        <v>5</v>
      </c>
      <c r="P262" s="234">
        <f ca="1">OFFSET($A$1,MATCH(Z259,$A:$A,0)-1,O262)</f>
        <v>2</v>
      </c>
      <c r="Q262" s="144" t="s">
        <v>29</v>
      </c>
      <c r="R262" s="118">
        <f t="shared" ca="1" si="65"/>
        <v>310884</v>
      </c>
      <c r="S262" s="118">
        <f t="shared" ca="1" si="66"/>
        <v>621768</v>
      </c>
      <c r="T262" s="118">
        <f ca="1">고급</f>
        <v>310884</v>
      </c>
      <c r="U262" s="118">
        <f t="shared" ca="1" si="67"/>
        <v>621768</v>
      </c>
      <c r="V262" s="118"/>
      <c r="W262" s="118"/>
      <c r="X262" s="118"/>
      <c r="Y262" s="118"/>
      <c r="Z262" s="115"/>
    </row>
    <row r="263" spans="11:26" ht="18" customHeight="1">
      <c r="K263" s="171" t="s">
        <v>14</v>
      </c>
      <c r="L263" s="171"/>
      <c r="M263" s="171"/>
      <c r="N263" s="145" t="s">
        <v>40</v>
      </c>
      <c r="O263" s="173">
        <v>6</v>
      </c>
      <c r="P263" s="234">
        <f ca="1">OFFSET($A$1,MATCH(Z259,$A:$A,0)-1,O263)</f>
        <v>4</v>
      </c>
      <c r="Q263" s="144" t="s">
        <v>29</v>
      </c>
      <c r="R263" s="118">
        <f t="shared" ca="1" si="65"/>
        <v>295138</v>
      </c>
      <c r="S263" s="118">
        <f t="shared" ca="1" si="66"/>
        <v>1180552</v>
      </c>
      <c r="T263" s="118">
        <f ca="1">중급</f>
        <v>295138</v>
      </c>
      <c r="U263" s="118">
        <f t="shared" ca="1" si="67"/>
        <v>1180552</v>
      </c>
      <c r="V263" s="118"/>
      <c r="W263" s="118"/>
      <c r="X263" s="118"/>
      <c r="Y263" s="118"/>
      <c r="Z263" s="115"/>
    </row>
    <row r="264" spans="11:26" ht="18" customHeight="1">
      <c r="K264" s="171" t="s">
        <v>14</v>
      </c>
      <c r="L264" s="171"/>
      <c r="M264" s="171"/>
      <c r="N264" s="145" t="s">
        <v>41</v>
      </c>
      <c r="O264" s="173">
        <v>7</v>
      </c>
      <c r="P264" s="234">
        <f ca="1">OFFSET($A$1,MATCH(Z259,$A:$A,0)-1,O264)</f>
        <v>4</v>
      </c>
      <c r="Q264" s="144" t="s">
        <v>29</v>
      </c>
      <c r="R264" s="118">
        <f t="shared" ca="1" si="65"/>
        <v>235459</v>
      </c>
      <c r="S264" s="118">
        <f t="shared" ca="1" si="66"/>
        <v>941836</v>
      </c>
      <c r="T264" s="118">
        <f ca="1">초급</f>
        <v>235459</v>
      </c>
      <c r="U264" s="118">
        <f t="shared" ca="1" si="67"/>
        <v>941836</v>
      </c>
      <c r="V264" s="118"/>
      <c r="W264" s="118"/>
      <c r="X264" s="118"/>
      <c r="Y264" s="118"/>
      <c r="Z264" s="115"/>
    </row>
    <row r="265" spans="11:26" ht="18" customHeight="1">
      <c r="K265" s="171" t="s">
        <v>14</v>
      </c>
      <c r="L265" s="171"/>
      <c r="M265" s="171"/>
      <c r="N265" s="319" t="s">
        <v>42</v>
      </c>
      <c r="O265" s="174">
        <v>8</v>
      </c>
      <c r="P265" s="235">
        <f ca="1">OFFSET($A$1,MATCH(Z259,$A:$A,0)-1,O265)</f>
        <v>4</v>
      </c>
      <c r="Q265" s="322" t="s">
        <v>29</v>
      </c>
      <c r="R265" s="323">
        <f t="shared" ca="1" si="65"/>
        <v>250087</v>
      </c>
      <c r="S265" s="323">
        <f t="shared" ca="1" si="66"/>
        <v>1000348</v>
      </c>
      <c r="T265" s="323">
        <f ca="1">보조원</f>
        <v>250087</v>
      </c>
      <c r="U265" s="323">
        <f t="shared" ca="1" si="67"/>
        <v>1000348</v>
      </c>
      <c r="V265" s="323"/>
      <c r="W265" s="323"/>
      <c r="X265" s="323"/>
      <c r="Y265" s="323"/>
      <c r="Z265" s="324"/>
    </row>
    <row r="266" spans="11:26" ht="18" customHeight="1">
      <c r="K266" s="171" t="s">
        <v>14</v>
      </c>
      <c r="L266" s="171"/>
      <c r="M266" s="171"/>
      <c r="N266" s="139" t="s">
        <v>17</v>
      </c>
      <c r="O266" s="68"/>
      <c r="P266" s="69"/>
      <c r="Q266" s="70"/>
      <c r="R266" s="71"/>
      <c r="S266" s="71">
        <f ca="1">SUBTOTAL(9,S260:S265)</f>
        <v>5425644</v>
      </c>
      <c r="T266" s="71"/>
      <c r="U266" s="71">
        <f ca="1">SUBTOTAL(9,U260:U265)</f>
        <v>5425644</v>
      </c>
      <c r="V266" s="71"/>
      <c r="W266" s="71"/>
      <c r="X266" s="71"/>
      <c r="Y266" s="71"/>
      <c r="Z266" s="68"/>
    </row>
    <row r="267" spans="11:26" ht="18" customHeight="1">
      <c r="K267" s="171" t="s">
        <v>14</v>
      </c>
      <c r="L267" s="171"/>
      <c r="M267" s="171"/>
      <c r="N267" s="318" t="str">
        <f ca="1">"제 " &amp; Z267 &amp; " 호표  "&amp; OFFSET($A$1,MATCH(Z267,$A:$A,0)-1,1)</f>
        <v>제 26 호표  4.3. 위원회심의 지원</v>
      </c>
      <c r="O267" s="221"/>
      <c r="P267" s="148"/>
      <c r="Q267" s="148"/>
      <c r="R267" s="149"/>
      <c r="S267" s="149"/>
      <c r="T267" s="149"/>
      <c r="U267" s="149"/>
      <c r="V267" s="149"/>
      <c r="W267" s="149"/>
      <c r="X267" s="149"/>
      <c r="Y267" s="149"/>
      <c r="Z267" s="325">
        <f>Z259+1</f>
        <v>26</v>
      </c>
    </row>
    <row r="268" spans="11:26" ht="18" customHeight="1">
      <c r="K268" s="171" t="s">
        <v>14</v>
      </c>
      <c r="L268" s="171"/>
      <c r="M268" s="171"/>
      <c r="N268" s="140" t="s">
        <v>43</v>
      </c>
      <c r="O268" s="172">
        <v>3</v>
      </c>
      <c r="P268" s="219">
        <f ca="1">OFFSET($A$1,MATCH(Z267,$A:$A,0)-1,O268)</f>
        <v>2</v>
      </c>
      <c r="Q268" s="141" t="s">
        <v>29</v>
      </c>
      <c r="R268" s="142">
        <f t="shared" ref="R268:R273" ca="1" si="68">T268</f>
        <v>467217</v>
      </c>
      <c r="S268" s="142">
        <f t="shared" ref="S268:S273" ca="1" si="69">U268</f>
        <v>934434</v>
      </c>
      <c r="T268" s="142">
        <f ca="1">기술사</f>
        <v>467217</v>
      </c>
      <c r="U268" s="142">
        <f t="shared" ref="U268:U273" ca="1" si="70">ROUNDDOWN(P268*R268,0)</f>
        <v>934434</v>
      </c>
      <c r="V268" s="142"/>
      <c r="W268" s="142"/>
      <c r="X268" s="142"/>
      <c r="Y268" s="142"/>
      <c r="Z268" s="114"/>
    </row>
    <row r="269" spans="11:26" ht="18" customHeight="1">
      <c r="K269" s="171" t="s">
        <v>14</v>
      </c>
      <c r="L269" s="171"/>
      <c r="M269" s="171"/>
      <c r="N269" s="143" t="s">
        <v>32</v>
      </c>
      <c r="O269" s="173">
        <v>4</v>
      </c>
      <c r="P269" s="234">
        <f ca="1">OFFSET($A$1,MATCH(Z267,$A:$A,0)-1,O269)</f>
        <v>2</v>
      </c>
      <c r="Q269" s="144" t="s">
        <v>29</v>
      </c>
      <c r="R269" s="118">
        <f t="shared" ca="1" si="68"/>
        <v>373353</v>
      </c>
      <c r="S269" s="118">
        <f t="shared" ca="1" si="69"/>
        <v>746706</v>
      </c>
      <c r="T269" s="118">
        <f ca="1">특급</f>
        <v>373353</v>
      </c>
      <c r="U269" s="118">
        <f t="shared" ca="1" si="70"/>
        <v>746706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145" t="s">
        <v>39</v>
      </c>
      <c r="O270" s="173">
        <v>5</v>
      </c>
      <c r="P270" s="234">
        <f ca="1">OFFSET($A$1,MATCH(Z267,$A:$A,0)-1,O270)</f>
        <v>2</v>
      </c>
      <c r="Q270" s="144" t="s">
        <v>29</v>
      </c>
      <c r="R270" s="118">
        <f t="shared" ca="1" si="68"/>
        <v>310884</v>
      </c>
      <c r="S270" s="118">
        <f t="shared" ca="1" si="69"/>
        <v>621768</v>
      </c>
      <c r="T270" s="118">
        <f ca="1">고급</f>
        <v>310884</v>
      </c>
      <c r="U270" s="118">
        <f t="shared" ca="1" si="70"/>
        <v>621768</v>
      </c>
      <c r="V270" s="118"/>
      <c r="W270" s="118"/>
      <c r="X270" s="118"/>
      <c r="Y270" s="118"/>
      <c r="Z270" s="115"/>
    </row>
    <row r="271" spans="11:26" ht="18" customHeight="1">
      <c r="K271" s="171" t="s">
        <v>14</v>
      </c>
      <c r="L271" s="171"/>
      <c r="M271" s="171"/>
      <c r="N271" s="145" t="s">
        <v>40</v>
      </c>
      <c r="O271" s="173">
        <v>6</v>
      </c>
      <c r="P271" s="234">
        <f ca="1">OFFSET($A$1,MATCH(Z267,$A:$A,0)-1,O271)</f>
        <v>4</v>
      </c>
      <c r="Q271" s="144" t="s">
        <v>29</v>
      </c>
      <c r="R271" s="118">
        <f t="shared" ca="1" si="68"/>
        <v>295138</v>
      </c>
      <c r="S271" s="118">
        <f t="shared" ca="1" si="69"/>
        <v>1180552</v>
      </c>
      <c r="T271" s="118">
        <f ca="1">중급</f>
        <v>295138</v>
      </c>
      <c r="U271" s="118">
        <f t="shared" ca="1" si="70"/>
        <v>1180552</v>
      </c>
      <c r="V271" s="118"/>
      <c r="W271" s="118"/>
      <c r="X271" s="118"/>
      <c r="Y271" s="118"/>
      <c r="Z271" s="115"/>
    </row>
    <row r="272" spans="11:26" ht="18" customHeight="1">
      <c r="K272" s="171" t="s">
        <v>14</v>
      </c>
      <c r="L272" s="171"/>
      <c r="M272" s="171"/>
      <c r="N272" s="145" t="s">
        <v>41</v>
      </c>
      <c r="O272" s="173">
        <v>7</v>
      </c>
      <c r="P272" s="234">
        <f ca="1">OFFSET($A$1,MATCH(Z267,$A:$A,0)-1,O272)</f>
        <v>4</v>
      </c>
      <c r="Q272" s="144" t="s">
        <v>29</v>
      </c>
      <c r="R272" s="118">
        <f t="shared" ca="1" si="68"/>
        <v>235459</v>
      </c>
      <c r="S272" s="118">
        <f t="shared" ca="1" si="69"/>
        <v>941836</v>
      </c>
      <c r="T272" s="118">
        <f ca="1">초급</f>
        <v>235459</v>
      </c>
      <c r="U272" s="118">
        <f t="shared" ca="1" si="70"/>
        <v>941836</v>
      </c>
      <c r="V272" s="118"/>
      <c r="W272" s="118"/>
      <c r="X272" s="118"/>
      <c r="Y272" s="118"/>
      <c r="Z272" s="115"/>
    </row>
    <row r="273" spans="11:26" ht="18" customHeight="1">
      <c r="K273" s="171" t="s">
        <v>14</v>
      </c>
      <c r="L273" s="171"/>
      <c r="M273" s="171"/>
      <c r="N273" s="319" t="s">
        <v>42</v>
      </c>
      <c r="O273" s="174">
        <v>8</v>
      </c>
      <c r="P273" s="235">
        <f ca="1">OFFSET($A$1,MATCH(Z267,$A:$A,0)-1,O273)</f>
        <v>4</v>
      </c>
      <c r="Q273" s="322" t="s">
        <v>29</v>
      </c>
      <c r="R273" s="323">
        <f t="shared" ca="1" si="68"/>
        <v>250087</v>
      </c>
      <c r="S273" s="323">
        <f t="shared" ca="1" si="69"/>
        <v>1000348</v>
      </c>
      <c r="T273" s="323">
        <f ca="1">보조원</f>
        <v>250087</v>
      </c>
      <c r="U273" s="323">
        <f t="shared" ca="1" si="70"/>
        <v>1000348</v>
      </c>
      <c r="V273" s="323"/>
      <c r="W273" s="323"/>
      <c r="X273" s="323"/>
      <c r="Y273" s="323"/>
      <c r="Z273" s="324"/>
    </row>
    <row r="274" spans="11:26" ht="18" customHeight="1">
      <c r="K274" s="171" t="s">
        <v>14</v>
      </c>
      <c r="L274" s="171"/>
      <c r="M274" s="171"/>
      <c r="N274" s="139" t="s">
        <v>17</v>
      </c>
      <c r="O274" s="68"/>
      <c r="P274" s="69"/>
      <c r="Q274" s="70"/>
      <c r="R274" s="71"/>
      <c r="S274" s="71">
        <f ca="1">SUBTOTAL(9,S268:S273)</f>
        <v>5425644</v>
      </c>
      <c r="T274" s="71"/>
      <c r="U274" s="71">
        <f ca="1">SUBTOTAL(9,U268:U273)</f>
        <v>5425644</v>
      </c>
      <c r="V274" s="71"/>
      <c r="W274" s="71"/>
      <c r="X274" s="71"/>
      <c r="Y274" s="71"/>
      <c r="Z274" s="68"/>
    </row>
    <row r="275" spans="11:26" ht="18" customHeight="1">
      <c r="K275" s="171" t="s">
        <v>14</v>
      </c>
      <c r="L275" s="171"/>
      <c r="M275" s="171"/>
      <c r="N275" s="318" t="str">
        <f ca="1">"제 " &amp; Z275 &amp; " 호표  "&amp; OFFSET($A$1,MATCH(Z275,$A:$A,0)-1,1)</f>
        <v>제 27 호표  4.4. 관계기관 협의</v>
      </c>
      <c r="O275" s="221"/>
      <c r="P275" s="148"/>
      <c r="Q275" s="148"/>
      <c r="R275" s="149"/>
      <c r="S275" s="149"/>
      <c r="T275" s="149"/>
      <c r="U275" s="149"/>
      <c r="V275" s="149"/>
      <c r="W275" s="149"/>
      <c r="X275" s="149"/>
      <c r="Y275" s="149"/>
      <c r="Z275" s="325">
        <f>Z267+1</f>
        <v>27</v>
      </c>
    </row>
    <row r="276" spans="11:26" ht="18" customHeight="1">
      <c r="K276" s="171" t="s">
        <v>14</v>
      </c>
      <c r="L276" s="171"/>
      <c r="M276" s="171"/>
      <c r="N276" s="140" t="s">
        <v>43</v>
      </c>
      <c r="O276" s="172">
        <v>3</v>
      </c>
      <c r="P276" s="219">
        <f ca="1">OFFSET($A$1,MATCH(Z275,$A:$A,0)-1,O276)</f>
        <v>2</v>
      </c>
      <c r="Q276" s="141" t="s">
        <v>29</v>
      </c>
      <c r="R276" s="142">
        <f t="shared" ref="R276:R281" ca="1" si="71">T276</f>
        <v>467217</v>
      </c>
      <c r="S276" s="142">
        <f t="shared" ref="S276:S281" ca="1" si="72">U276</f>
        <v>934434</v>
      </c>
      <c r="T276" s="142">
        <f ca="1">기술사</f>
        <v>467217</v>
      </c>
      <c r="U276" s="142">
        <f t="shared" ref="U276:U281" ca="1" si="73">ROUNDDOWN(P276*R276,0)</f>
        <v>934434</v>
      </c>
      <c r="V276" s="142"/>
      <c r="W276" s="142"/>
      <c r="X276" s="142"/>
      <c r="Y276" s="142"/>
      <c r="Z276" s="114"/>
    </row>
    <row r="277" spans="11:26" ht="18" customHeight="1">
      <c r="K277" s="171" t="s">
        <v>14</v>
      </c>
      <c r="L277" s="171"/>
      <c r="M277" s="171"/>
      <c r="N277" s="143" t="s">
        <v>32</v>
      </c>
      <c r="O277" s="173">
        <v>4</v>
      </c>
      <c r="P277" s="234">
        <f ca="1">OFFSET($A$1,MATCH(Z275,$A:$A,0)-1,O277)</f>
        <v>2</v>
      </c>
      <c r="Q277" s="144" t="s">
        <v>29</v>
      </c>
      <c r="R277" s="118">
        <f t="shared" ca="1" si="71"/>
        <v>373353</v>
      </c>
      <c r="S277" s="118">
        <f t="shared" ca="1" si="72"/>
        <v>746706</v>
      </c>
      <c r="T277" s="118">
        <f ca="1">특급</f>
        <v>373353</v>
      </c>
      <c r="U277" s="118">
        <f t="shared" ca="1" si="73"/>
        <v>746706</v>
      </c>
      <c r="V277" s="118"/>
      <c r="W277" s="118"/>
      <c r="X277" s="118"/>
      <c r="Y277" s="118"/>
      <c r="Z277" s="115"/>
    </row>
    <row r="278" spans="11:26" ht="18" customHeight="1">
      <c r="K278" s="171" t="s">
        <v>14</v>
      </c>
      <c r="L278" s="171"/>
      <c r="M278" s="171"/>
      <c r="N278" s="145" t="s">
        <v>39</v>
      </c>
      <c r="O278" s="173">
        <v>5</v>
      </c>
      <c r="P278" s="234">
        <f ca="1">OFFSET($A$1,MATCH(Z275,$A:$A,0)-1,O278)</f>
        <v>2</v>
      </c>
      <c r="Q278" s="144" t="s">
        <v>29</v>
      </c>
      <c r="R278" s="118">
        <f t="shared" ca="1" si="71"/>
        <v>310884</v>
      </c>
      <c r="S278" s="118">
        <f t="shared" ca="1" si="72"/>
        <v>621768</v>
      </c>
      <c r="T278" s="118">
        <f ca="1">고급</f>
        <v>310884</v>
      </c>
      <c r="U278" s="118">
        <f t="shared" ca="1" si="73"/>
        <v>621768</v>
      </c>
      <c r="V278" s="118"/>
      <c r="W278" s="118"/>
      <c r="X278" s="118"/>
      <c r="Y278" s="118"/>
      <c r="Z278" s="115"/>
    </row>
    <row r="279" spans="11:26" ht="18" customHeight="1">
      <c r="K279" s="171" t="s">
        <v>14</v>
      </c>
      <c r="L279" s="171"/>
      <c r="M279" s="171"/>
      <c r="N279" s="145" t="s">
        <v>40</v>
      </c>
      <c r="O279" s="173">
        <v>6</v>
      </c>
      <c r="P279" s="234">
        <f ca="1">OFFSET($A$1,MATCH(Z275,$A:$A,0)-1,O279)</f>
        <v>4</v>
      </c>
      <c r="Q279" s="144" t="s">
        <v>29</v>
      </c>
      <c r="R279" s="118">
        <f t="shared" ca="1" si="71"/>
        <v>295138</v>
      </c>
      <c r="S279" s="118">
        <f t="shared" ca="1" si="72"/>
        <v>1180552</v>
      </c>
      <c r="T279" s="118">
        <f ca="1">중급</f>
        <v>295138</v>
      </c>
      <c r="U279" s="118">
        <f t="shared" ca="1" si="73"/>
        <v>1180552</v>
      </c>
      <c r="V279" s="118"/>
      <c r="W279" s="118"/>
      <c r="X279" s="118"/>
      <c r="Y279" s="118"/>
      <c r="Z279" s="115"/>
    </row>
    <row r="280" spans="11:26" ht="18" customHeight="1">
      <c r="K280" s="171" t="s">
        <v>14</v>
      </c>
      <c r="L280" s="171"/>
      <c r="M280" s="171"/>
      <c r="N280" s="145" t="s">
        <v>41</v>
      </c>
      <c r="O280" s="173">
        <v>7</v>
      </c>
      <c r="P280" s="234">
        <f ca="1">OFFSET($A$1,MATCH(Z275,$A:$A,0)-1,O280)</f>
        <v>4</v>
      </c>
      <c r="Q280" s="144" t="s">
        <v>29</v>
      </c>
      <c r="R280" s="118">
        <f t="shared" ca="1" si="71"/>
        <v>235459</v>
      </c>
      <c r="S280" s="118">
        <f t="shared" ca="1" si="72"/>
        <v>941836</v>
      </c>
      <c r="T280" s="118">
        <f ca="1">초급</f>
        <v>235459</v>
      </c>
      <c r="U280" s="118">
        <f t="shared" ca="1" si="73"/>
        <v>941836</v>
      </c>
      <c r="V280" s="118"/>
      <c r="W280" s="118"/>
      <c r="X280" s="118"/>
      <c r="Y280" s="118"/>
      <c r="Z280" s="115"/>
    </row>
    <row r="281" spans="11:26" ht="18" customHeight="1">
      <c r="K281" s="171" t="s">
        <v>14</v>
      </c>
      <c r="L281" s="171"/>
      <c r="M281" s="171"/>
      <c r="N281" s="319" t="s">
        <v>42</v>
      </c>
      <c r="O281" s="174">
        <v>8</v>
      </c>
      <c r="P281" s="235">
        <f ca="1">OFFSET($A$1,MATCH(Z275,$A:$A,0)-1,O281)</f>
        <v>4</v>
      </c>
      <c r="Q281" s="322" t="s">
        <v>29</v>
      </c>
      <c r="R281" s="323">
        <f t="shared" ca="1" si="71"/>
        <v>250087</v>
      </c>
      <c r="S281" s="323">
        <f t="shared" ca="1" si="72"/>
        <v>1000348</v>
      </c>
      <c r="T281" s="323">
        <f ca="1">보조원</f>
        <v>250087</v>
      </c>
      <c r="U281" s="323">
        <f t="shared" ca="1" si="73"/>
        <v>1000348</v>
      </c>
      <c r="V281" s="323"/>
      <c r="W281" s="323"/>
      <c r="X281" s="323"/>
      <c r="Y281" s="323"/>
      <c r="Z281" s="324"/>
    </row>
    <row r="282" spans="11:26" ht="18" customHeight="1">
      <c r="K282" s="171" t="s">
        <v>14</v>
      </c>
      <c r="L282" s="171"/>
      <c r="M282" s="171"/>
      <c r="N282" s="139" t="s">
        <v>17</v>
      </c>
      <c r="O282" s="68"/>
      <c r="P282" s="69"/>
      <c r="Q282" s="70"/>
      <c r="R282" s="71"/>
      <c r="S282" s="71">
        <f ca="1">SUBTOTAL(9,S276:S281)</f>
        <v>5425644</v>
      </c>
      <c r="T282" s="71"/>
      <c r="U282" s="71">
        <f ca="1">SUBTOTAL(9,U276:U281)</f>
        <v>5425644</v>
      </c>
      <c r="V282" s="71"/>
      <c r="W282" s="71"/>
      <c r="X282" s="71"/>
      <c r="Y282" s="71"/>
      <c r="Z282" s="68"/>
    </row>
    <row r="283" spans="11:26" ht="18" customHeight="1">
      <c r="K283" s="171" t="s">
        <v>14</v>
      </c>
      <c r="L283" s="171"/>
      <c r="M283" s="171"/>
    </row>
    <row r="284" spans="11:26" ht="18" customHeight="1">
      <c r="K284" s="171" t="s">
        <v>14</v>
      </c>
      <c r="L284" s="171"/>
      <c r="M284" s="171"/>
    </row>
    <row r="285" spans="11:26" ht="18" customHeight="1">
      <c r="K285" s="171" t="s">
        <v>14</v>
      </c>
      <c r="L285" s="171"/>
      <c r="M285" s="171"/>
    </row>
    <row r="286" spans="11:26" ht="18" customHeight="1">
      <c r="K286" s="171" t="s">
        <v>14</v>
      </c>
      <c r="L286" s="171"/>
      <c r="M286" s="171"/>
    </row>
    <row r="287" spans="11:26" ht="18" customHeight="1">
      <c r="K287" s="171" t="s">
        <v>14</v>
      </c>
      <c r="L287" s="171"/>
      <c r="M287" s="171"/>
    </row>
    <row r="288" spans="11:26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</row>
    <row r="828" spans="11:13" ht="18" customHeight="1">
      <c r="K828" s="171" t="s">
        <v>14</v>
      </c>
      <c r="L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L839" s="171"/>
    </row>
    <row r="840" spans="11:12" ht="18" customHeight="1">
      <c r="L840" s="171"/>
    </row>
    <row r="841" spans="11:12" ht="18" customHeight="1">
      <c r="L841" s="171"/>
    </row>
  </sheetData>
  <mergeCells count="19">
    <mergeCell ref="B6:C6"/>
    <mergeCell ref="D6:E6"/>
    <mergeCell ref="P65:P66"/>
    <mergeCell ref="Q65:Q66"/>
    <mergeCell ref="Z65:Z66"/>
    <mergeCell ref="B15:C16"/>
    <mergeCell ref="J15:J16"/>
    <mergeCell ref="L15:L16"/>
    <mergeCell ref="N65:N66"/>
    <mergeCell ref="O65:O66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7:V48">
    <cfRule type="cellIs" dxfId="47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3" min="13" max="28" man="1"/>
    <brk id="8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0657" r:id="rId4" name="Drop Down 1">
              <controlPr defaultSize="0" autoLine="0" autoPict="0">
                <anchor moveWithCells="1">
                  <from>
                    <xdr:col>0</xdr:col>
                    <xdr:colOff>295275</xdr:colOff>
                    <xdr:row>6</xdr:row>
                    <xdr:rowOff>266700</xdr:rowOff>
                  </from>
                  <to>
                    <xdr:col>6</xdr:col>
                    <xdr:colOff>19050</xdr:colOff>
                    <xdr:row>7</xdr:row>
                    <xdr:rowOff>285750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72">
    <tabColor rgb="FF00B0F0"/>
    <pageSetUpPr fitToPage="1"/>
  </sheetPr>
  <dimension ref="A1:AB824"/>
  <sheetViews>
    <sheetView showGridLines="0" zoomScale="85" zoomScaleNormal="85" zoomScaleSheetLayoutView="75" workbookViewId="0">
      <selection activeCell="K7" sqref="K7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522</v>
      </c>
    </row>
    <row r="2" spans="1:27" ht="19.5" thickBot="1">
      <c r="B2" s="66" t="s">
        <v>1</v>
      </c>
    </row>
    <row r="3" spans="1:27" ht="18" customHeight="1">
      <c r="B3" s="773" t="s">
        <v>48</v>
      </c>
      <c r="C3" s="774"/>
      <c r="D3" s="716"/>
      <c r="E3" s="717">
        <v>10</v>
      </c>
      <c r="F3" s="44" t="s">
        <v>853</v>
      </c>
      <c r="G3" s="838" t="s">
        <v>1104</v>
      </c>
      <c r="H3" s="839"/>
      <c r="I3" s="656">
        <v>2</v>
      </c>
      <c r="J3" s="669" t="s">
        <v>794</v>
      </c>
    </row>
    <row r="4" spans="1:27" ht="18" customHeight="1">
      <c r="B4" s="777" t="s">
        <v>1971</v>
      </c>
      <c r="C4" s="778"/>
      <c r="D4" s="718"/>
      <c r="E4" s="719">
        <v>10</v>
      </c>
      <c r="F4" s="65" t="str">
        <f>F3</f>
        <v>㎢</v>
      </c>
      <c r="G4" s="777" t="s">
        <v>1109</v>
      </c>
      <c r="H4" s="814"/>
      <c r="I4" s="298">
        <v>2</v>
      </c>
      <c r="J4" s="670" t="s">
        <v>794</v>
      </c>
    </row>
    <row r="5" spans="1:27" ht="18" customHeight="1" thickBot="1">
      <c r="B5" s="781" t="s">
        <v>523</v>
      </c>
      <c r="C5" s="782"/>
      <c r="D5" s="720"/>
      <c r="E5" s="721">
        <f>ROUND((IF(E4&lt;=10,10,E4)/E3)^0.6,3)</f>
        <v>1</v>
      </c>
      <c r="F5" s="681"/>
      <c r="G5" s="817" t="s">
        <v>1102</v>
      </c>
      <c r="H5" s="818"/>
      <c r="I5" s="646">
        <f>ROUND(I4/I3,3)</f>
        <v>1</v>
      </c>
      <c r="J5" s="671"/>
      <c r="U5" s="6">
        <f t="array" aca="1" ref="U5" ca="1">SUM((N76:N211=N83)*S76:S211)</f>
        <v>345905558</v>
      </c>
    </row>
    <row r="6" spans="1:27" ht="18" customHeight="1">
      <c r="B6" s="9" t="s">
        <v>852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G7" s="36"/>
      <c r="W7" s="188" t="s">
        <v>3</v>
      </c>
      <c r="X7" s="189"/>
    </row>
    <row r="8" spans="1:27" ht="18" customHeight="1" thickBot="1">
      <c r="B8" s="66" t="s">
        <v>4</v>
      </c>
      <c r="C8" s="9"/>
      <c r="D8" s="64"/>
      <c r="E8" s="64"/>
      <c r="G8" s="36"/>
      <c r="N8" s="66" t="s">
        <v>5</v>
      </c>
    </row>
    <row r="9" spans="1:27" ht="18" customHeight="1" thickBot="1"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SUBTOTAL(9,W10:W50)</f>
        <v>1407216595</v>
      </c>
      <c r="X9" s="187"/>
      <c r="Y9" s="177"/>
      <c r="Z9" s="167"/>
    </row>
    <row r="10" spans="1:27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SUBTOTAL(9,W11:W47)</f>
        <v>506366403</v>
      </c>
      <c r="X10" s="164"/>
      <c r="Y10" s="178" t="s">
        <v>9</v>
      </c>
      <c r="Z10" s="179"/>
    </row>
    <row r="11" spans="1:27" ht="18" customHeight="1" thickBot="1">
      <c r="A11" s="326"/>
      <c r="B11" s="759"/>
      <c r="C11" s="760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218"/>
      <c r="W11" s="159">
        <f ca="1">SUBTOTAL(9,W12:W43)</f>
        <v>501866403</v>
      </c>
      <c r="X11" s="160"/>
      <c r="Y11" s="168"/>
      <c r="Z11" s="168"/>
    </row>
    <row r="12" spans="1:27" ht="18" customHeight="1">
      <c r="A12" s="355"/>
      <c r="B12" s="73" t="s">
        <v>416</v>
      </c>
      <c r="C12" s="72"/>
      <c r="D12" s="30">
        <f t="shared" ref="D12:I12" si="0">SUBTOTAL(9,D13:D17)</f>
        <v>17.400000000000002</v>
      </c>
      <c r="E12" s="31">
        <f t="shared" si="0"/>
        <v>27.700000000000003</v>
      </c>
      <c r="F12" s="31">
        <f t="shared" si="0"/>
        <v>100.6</v>
      </c>
      <c r="G12" s="31">
        <f t="shared" si="0"/>
        <v>156.5</v>
      </c>
      <c r="H12" s="31">
        <f t="shared" si="0"/>
        <v>238.3</v>
      </c>
      <c r="I12" s="32">
        <f t="shared" si="0"/>
        <v>256.60000000000002</v>
      </c>
      <c r="J12" s="678"/>
      <c r="L12" s="232"/>
      <c r="N12" s="354" t="str">
        <f>B12</f>
        <v>1. 기초조사</v>
      </c>
      <c r="O12" s="169"/>
      <c r="P12" s="169"/>
      <c r="Q12" s="169"/>
      <c r="R12" s="169"/>
      <c r="S12" s="169"/>
      <c r="T12" s="169"/>
      <c r="U12" s="226"/>
      <c r="V12" s="248"/>
      <c r="W12" s="193">
        <f ca="1">SUBTOTAL(9,W13:W17)</f>
        <v>216217672</v>
      </c>
      <c r="X12" s="194"/>
      <c r="Y12" s="170" t="str">
        <f>IF(A44&gt;0, "제 " &amp;A44&amp; " 호표","")</f>
        <v/>
      </c>
      <c r="Z12" s="170"/>
      <c r="AA12" s="229"/>
    </row>
    <row r="13" spans="1:27" ht="18" customHeight="1">
      <c r="A13" s="355"/>
      <c r="B13" s="409" t="s">
        <v>1943</v>
      </c>
      <c r="C13" s="237"/>
      <c r="D13" s="20">
        <v>11.8</v>
      </c>
      <c r="E13" s="21">
        <v>18.899999999999999</v>
      </c>
      <c r="F13" s="21">
        <v>79.3</v>
      </c>
      <c r="G13" s="21">
        <v>119.7</v>
      </c>
      <c r="H13" s="21">
        <v>198.8</v>
      </c>
      <c r="I13" s="22">
        <v>214.5</v>
      </c>
      <c r="J13" s="389" t="s">
        <v>1991</v>
      </c>
      <c r="L13" s="233">
        <v>1</v>
      </c>
      <c r="N13" s="292" t="str">
        <f t="shared" ref="N13:N43" si="1">B13</f>
        <v>1.1. 도시현황조사</v>
      </c>
      <c r="O13" s="37"/>
      <c r="P13" s="37"/>
      <c r="Q13" s="37"/>
      <c r="R13" s="37"/>
      <c r="S13" s="37"/>
      <c r="T13" s="37"/>
      <c r="U13" s="227"/>
      <c r="V13" s="231"/>
      <c r="W13" s="153">
        <f t="array" aca="1" ref="W13" ca="1">SUM((ROUNDDOWN((D46:I46)*단가,0)))</f>
        <v>173003560</v>
      </c>
      <c r="X13" s="154"/>
      <c r="Y13" s="170" t="str">
        <f>IF(A46&gt;0, "제 " &amp;A46&amp; " 호표","")</f>
        <v>제 1 호표</v>
      </c>
      <c r="Z13" s="150"/>
    </row>
    <row r="14" spans="1:27" ht="18" customHeight="1">
      <c r="A14" s="355"/>
      <c r="B14" s="409" t="s">
        <v>1944</v>
      </c>
      <c r="C14" s="237"/>
      <c r="D14" s="20">
        <v>1.3</v>
      </c>
      <c r="E14" s="21">
        <v>2.1</v>
      </c>
      <c r="F14" s="21">
        <v>2.8</v>
      </c>
      <c r="G14" s="21">
        <v>7.8</v>
      </c>
      <c r="H14" s="21">
        <v>7.8</v>
      </c>
      <c r="I14" s="22">
        <v>10.5</v>
      </c>
      <c r="J14" s="389" t="s">
        <v>1090</v>
      </c>
      <c r="L14" s="233">
        <v>1</v>
      </c>
      <c r="N14" s="292" t="str">
        <f t="shared" si="1"/>
        <v>1.2. 관련계획조사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SUM((ROUNDDOWN((D47:I47)*단가,0)))</f>
        <v>9026467</v>
      </c>
      <c r="X14" s="154"/>
      <c r="Y14" s="170" t="str">
        <f t="shared" ref="Y14:Y43" si="2">IF(A47&gt;0, "제 " &amp;A47&amp; " 호표","")</f>
        <v>제 2 호표</v>
      </c>
      <c r="Z14" s="150"/>
    </row>
    <row r="15" spans="1:27" ht="18" customHeight="1">
      <c r="A15" s="355"/>
      <c r="B15" s="409" t="s">
        <v>1945</v>
      </c>
      <c r="C15" s="237"/>
      <c r="D15" s="20">
        <v>1.5</v>
      </c>
      <c r="E15" s="21">
        <v>2.2999999999999998</v>
      </c>
      <c r="F15" s="21">
        <v>5.2</v>
      </c>
      <c r="G15" s="21">
        <v>10.5</v>
      </c>
      <c r="H15" s="21">
        <v>10.199999999999999</v>
      </c>
      <c r="I15" s="22">
        <v>10.5</v>
      </c>
      <c r="J15" s="389" t="s">
        <v>1090</v>
      </c>
      <c r="L15" s="233">
        <v>1</v>
      </c>
      <c r="N15" s="292" t="str">
        <f t="shared" si="1"/>
        <v>1.3. 교통관계조사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SUM((ROUNDDOWN((D48:I48)*단가,0)))</f>
        <v>11302675</v>
      </c>
      <c r="X15" s="154"/>
      <c r="Y15" s="170" t="str">
        <f t="shared" si="2"/>
        <v>제 3 호표</v>
      </c>
      <c r="Z15" s="150"/>
    </row>
    <row r="16" spans="1:27" ht="18" customHeight="1">
      <c r="A16" s="355"/>
      <c r="B16" s="409" t="s">
        <v>1946</v>
      </c>
      <c r="C16" s="237"/>
      <c r="D16" s="20">
        <v>1.5</v>
      </c>
      <c r="E16" s="21">
        <v>2.2999999999999998</v>
      </c>
      <c r="F16" s="21">
        <v>7.8</v>
      </c>
      <c r="G16" s="21">
        <v>10.7</v>
      </c>
      <c r="H16" s="21">
        <v>13.1</v>
      </c>
      <c r="I16" s="22">
        <v>13.3</v>
      </c>
      <c r="J16" s="389" t="s">
        <v>1090</v>
      </c>
      <c r="L16" s="233">
        <v>1</v>
      </c>
      <c r="N16" s="292" t="str">
        <f t="shared" si="1"/>
        <v>1.4. 시설관계조사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SUM((ROUNDDOWN((D49:I49)*단가,0)))</f>
        <v>13553076</v>
      </c>
      <c r="X16" s="154"/>
      <c r="Y16" s="170" t="str">
        <f t="shared" si="2"/>
        <v>제 4 호표</v>
      </c>
      <c r="Z16" s="150"/>
    </row>
    <row r="17" spans="1:26" ht="18" customHeight="1">
      <c r="A17" s="355"/>
      <c r="B17" s="410" t="s">
        <v>1947</v>
      </c>
      <c r="C17" s="238"/>
      <c r="D17" s="24">
        <v>1.3</v>
      </c>
      <c r="E17" s="25">
        <v>2.1</v>
      </c>
      <c r="F17" s="25">
        <v>5.5</v>
      </c>
      <c r="G17" s="25">
        <v>7.8</v>
      </c>
      <c r="H17" s="25">
        <v>8.4</v>
      </c>
      <c r="I17" s="26">
        <v>7.8</v>
      </c>
      <c r="J17" s="443" t="s">
        <v>1090</v>
      </c>
      <c r="L17" s="233">
        <v>1</v>
      </c>
      <c r="N17" s="292" t="str">
        <f t="shared" si="1"/>
        <v>1.5. 공급처리시설 관계조사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SUM((ROUNDDOWN((D50:I50)*단가,0)))</f>
        <v>9331894</v>
      </c>
      <c r="X17" s="154"/>
      <c r="Y17" s="170" t="str">
        <f t="shared" si="2"/>
        <v>제 5 호표</v>
      </c>
      <c r="Z17" s="150"/>
    </row>
    <row r="18" spans="1:26" ht="18" customHeight="1">
      <c r="A18" s="355"/>
      <c r="B18" s="222" t="s">
        <v>524</v>
      </c>
      <c r="C18" s="47"/>
      <c r="D18" s="33">
        <f t="shared" ref="D18:I18" si="3">SUBTOTAL(9,D19:D35)</f>
        <v>25.500000000000004</v>
      </c>
      <c r="E18" s="34">
        <f t="shared" si="3"/>
        <v>41.499999999999993</v>
      </c>
      <c r="F18" s="34">
        <f t="shared" si="3"/>
        <v>80.8</v>
      </c>
      <c r="G18" s="34">
        <f t="shared" si="3"/>
        <v>135.1</v>
      </c>
      <c r="H18" s="34">
        <f t="shared" si="3"/>
        <v>199.5</v>
      </c>
      <c r="I18" s="35">
        <f t="shared" si="3"/>
        <v>190.9</v>
      </c>
      <c r="J18" s="594"/>
      <c r="L18" s="233"/>
      <c r="N18" s="79" t="str">
        <f t="shared" si="1"/>
        <v>2. 기본계획</v>
      </c>
      <c r="O18" s="37"/>
      <c r="P18" s="37"/>
      <c r="Q18" s="37"/>
      <c r="R18" s="37"/>
      <c r="S18" s="37"/>
      <c r="T18" s="37"/>
      <c r="U18" s="227"/>
      <c r="V18" s="231"/>
      <c r="W18" s="193">
        <f ca="1">SUBTOTAL(9,W19:W35)</f>
        <v>187116384</v>
      </c>
      <c r="X18" s="154"/>
      <c r="Y18" s="170" t="str">
        <f t="shared" si="2"/>
        <v/>
      </c>
      <c r="Z18" s="150"/>
    </row>
    <row r="19" spans="1:26" ht="18" customHeight="1">
      <c r="A19" s="355"/>
      <c r="B19" s="223" t="s">
        <v>1948</v>
      </c>
      <c r="C19" s="237"/>
      <c r="D19" s="20">
        <v>1.8</v>
      </c>
      <c r="E19" s="21">
        <v>2.9</v>
      </c>
      <c r="F19" s="21">
        <v>5.8</v>
      </c>
      <c r="G19" s="21">
        <v>9.6</v>
      </c>
      <c r="H19" s="21">
        <v>14.4</v>
      </c>
      <c r="I19" s="22">
        <v>9.1999999999999993</v>
      </c>
      <c r="J19" s="389" t="s">
        <v>1090</v>
      </c>
      <c r="L19" s="233">
        <v>1</v>
      </c>
      <c r="N19" s="292" t="str">
        <f t="shared" si="1"/>
        <v>2.1. 기본원칙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SUM((ROUNDDOWN((D52:I52)*단가,0)))</f>
        <v>12251573</v>
      </c>
      <c r="X19" s="154"/>
      <c r="Y19" s="170" t="str">
        <f t="shared" si="2"/>
        <v>제 6 호표</v>
      </c>
      <c r="Z19" s="150"/>
    </row>
    <row r="20" spans="1:26" ht="18" customHeight="1">
      <c r="A20" s="355"/>
      <c r="B20" s="223" t="s">
        <v>1949</v>
      </c>
      <c r="C20" s="237"/>
      <c r="D20" s="20">
        <v>1.3</v>
      </c>
      <c r="E20" s="21">
        <v>2.1</v>
      </c>
      <c r="F20" s="21">
        <v>3.9</v>
      </c>
      <c r="G20" s="21">
        <v>6.6</v>
      </c>
      <c r="H20" s="21">
        <v>9.6999999999999993</v>
      </c>
      <c r="I20" s="22">
        <v>9.1999999999999993</v>
      </c>
      <c r="J20" s="389" t="s">
        <v>1090</v>
      </c>
      <c r="L20" s="233">
        <v>1</v>
      </c>
      <c r="N20" s="292" t="str">
        <f t="shared" si="1"/>
        <v>2.2. 정비예정구역의 설정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SUM((ROUNDDOWN((D53:I53)*단가,0)))</f>
        <v>9136532</v>
      </c>
      <c r="X20" s="154"/>
      <c r="Y20" s="170" t="str">
        <f t="shared" si="2"/>
        <v>제 7 호표</v>
      </c>
      <c r="Z20" s="150"/>
    </row>
    <row r="21" spans="1:26" ht="18" customHeight="1">
      <c r="A21" s="355"/>
      <c r="B21" s="223" t="s">
        <v>1950</v>
      </c>
      <c r="C21" s="237"/>
      <c r="D21" s="20">
        <v>1.3</v>
      </c>
      <c r="E21" s="21">
        <v>2.1</v>
      </c>
      <c r="F21" s="21">
        <v>3.9</v>
      </c>
      <c r="G21" s="21">
        <v>6.6</v>
      </c>
      <c r="H21" s="21">
        <v>9.6999999999999993</v>
      </c>
      <c r="I21" s="22">
        <v>9.1999999999999993</v>
      </c>
      <c r="J21" s="389" t="s">
        <v>1090</v>
      </c>
      <c r="L21" s="233">
        <v>1</v>
      </c>
      <c r="N21" s="292" t="str">
        <f t="shared" si="1"/>
        <v>2.3. 도심기능의 활성화 및 도심공동화 방지 방안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SUM((ROUNDDOWN((D54:I54)*단가,0)))</f>
        <v>9136532</v>
      </c>
      <c r="X21" s="154"/>
      <c r="Y21" s="170" t="str">
        <f t="shared" si="2"/>
        <v>제 8 호표</v>
      </c>
      <c r="Z21" s="150"/>
    </row>
    <row r="22" spans="1:26" ht="18" customHeight="1">
      <c r="A22" s="355"/>
      <c r="B22" s="223" t="s">
        <v>1951</v>
      </c>
      <c r="C22" s="237"/>
      <c r="D22" s="20">
        <v>1.5</v>
      </c>
      <c r="E22" s="21">
        <v>2.5</v>
      </c>
      <c r="F22" s="21">
        <v>4.9000000000000004</v>
      </c>
      <c r="G22" s="21">
        <v>8.1</v>
      </c>
      <c r="H22" s="21">
        <v>11.9</v>
      </c>
      <c r="I22" s="22">
        <v>11.5</v>
      </c>
      <c r="J22" s="389" t="s">
        <v>1090</v>
      </c>
      <c r="L22" s="233">
        <v>1</v>
      </c>
      <c r="N22" s="292" t="str">
        <f t="shared" si="1"/>
        <v>2.4. 주거지관리계획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SUM((ROUNDDOWN((D55:I55)*단가,0)))</f>
        <v>11226117</v>
      </c>
      <c r="X22" s="154"/>
      <c r="Y22" s="170" t="str">
        <f t="shared" si="2"/>
        <v>제 9 호표</v>
      </c>
      <c r="Z22" s="150"/>
    </row>
    <row r="23" spans="1:26" ht="18" customHeight="1">
      <c r="A23" s="355"/>
      <c r="B23" s="223" t="s">
        <v>1952</v>
      </c>
      <c r="C23" s="237"/>
      <c r="D23" s="20">
        <v>1.3</v>
      </c>
      <c r="E23" s="21">
        <v>2.1</v>
      </c>
      <c r="F23" s="21">
        <v>3.9</v>
      </c>
      <c r="G23" s="21">
        <v>6.6</v>
      </c>
      <c r="H23" s="21">
        <v>9.6999999999999993</v>
      </c>
      <c r="I23" s="22">
        <v>9.1999999999999993</v>
      </c>
      <c r="J23" s="389" t="s">
        <v>1090</v>
      </c>
      <c r="L23" s="233">
        <v>1</v>
      </c>
      <c r="N23" s="292" t="str">
        <f t="shared" si="1"/>
        <v>2.5. 공공과 민간의 역할분담 계획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SUM((ROUNDDOWN((D56:I56)*단가,0)))</f>
        <v>9136532</v>
      </c>
      <c r="X23" s="154"/>
      <c r="Y23" s="170" t="str">
        <f t="shared" si="2"/>
        <v>제 10 호표</v>
      </c>
      <c r="Z23" s="150"/>
    </row>
    <row r="24" spans="1:26" ht="18" customHeight="1">
      <c r="A24" s="355"/>
      <c r="B24" s="223" t="s">
        <v>1953</v>
      </c>
      <c r="C24" s="237"/>
      <c r="D24" s="20">
        <v>1.3</v>
      </c>
      <c r="E24" s="21">
        <v>2.1</v>
      </c>
      <c r="F24" s="21">
        <v>3.9</v>
      </c>
      <c r="G24" s="21">
        <v>6.6</v>
      </c>
      <c r="H24" s="21">
        <v>9.6999999999999993</v>
      </c>
      <c r="I24" s="22">
        <v>9.1999999999999993</v>
      </c>
      <c r="J24" s="389" t="s">
        <v>1090</v>
      </c>
      <c r="L24" s="233">
        <v>1</v>
      </c>
      <c r="N24" s="292" t="str">
        <f t="shared" si="1"/>
        <v>2.6. 재원조달계획</v>
      </c>
      <c r="O24" s="37"/>
      <c r="P24" s="39"/>
      <c r="Q24" s="37"/>
      <c r="R24" s="117"/>
      <c r="S24" s="37"/>
      <c r="T24" s="37"/>
      <c r="U24" s="228"/>
      <c r="V24" s="231"/>
      <c r="W24" s="153">
        <f t="array" aca="1" ref="W24" ca="1">SUM((ROUNDDOWN((D57:I57)*단가,0)))</f>
        <v>9136532</v>
      </c>
      <c r="X24" s="196"/>
      <c r="Y24" s="170" t="str">
        <f t="shared" si="2"/>
        <v>제 11 호표</v>
      </c>
      <c r="Z24" s="150"/>
    </row>
    <row r="25" spans="1:26" ht="18" customHeight="1">
      <c r="A25" s="355"/>
      <c r="B25" s="223" t="s">
        <v>1954</v>
      </c>
      <c r="C25" s="237"/>
      <c r="D25" s="20">
        <v>1.3</v>
      </c>
      <c r="E25" s="21">
        <v>2.1</v>
      </c>
      <c r="F25" s="21">
        <v>3.9</v>
      </c>
      <c r="G25" s="21">
        <v>6.6</v>
      </c>
      <c r="H25" s="21">
        <v>9.6999999999999993</v>
      </c>
      <c r="I25" s="22">
        <v>9.1999999999999993</v>
      </c>
      <c r="J25" s="389" t="s">
        <v>1090</v>
      </c>
      <c r="L25" s="233">
        <v>1</v>
      </c>
      <c r="N25" s="292" t="str">
        <f t="shared" si="1"/>
        <v>2.7. 단계별 추진계획</v>
      </c>
      <c r="O25" s="37"/>
      <c r="P25" s="39"/>
      <c r="Q25" s="37"/>
      <c r="R25" s="117"/>
      <c r="S25" s="37"/>
      <c r="T25" s="37"/>
      <c r="U25" s="228"/>
      <c r="V25" s="231"/>
      <c r="W25" s="153">
        <f t="array" aca="1" ref="W25" ca="1">SUM((ROUNDDOWN((D58:I58)*단가,0)))</f>
        <v>9136532</v>
      </c>
      <c r="X25" s="154"/>
      <c r="Y25" s="170" t="str">
        <f t="shared" si="2"/>
        <v>제 12 호표</v>
      </c>
      <c r="Z25" s="150"/>
    </row>
    <row r="26" spans="1:26" ht="18" customHeight="1">
      <c r="A26" s="355"/>
      <c r="B26" s="223" t="s">
        <v>1955</v>
      </c>
      <c r="C26" s="237"/>
      <c r="D26" s="20">
        <v>1.5</v>
      </c>
      <c r="E26" s="21">
        <v>2.5</v>
      </c>
      <c r="F26" s="21">
        <v>4.9000000000000004</v>
      </c>
      <c r="G26" s="21">
        <v>8.1</v>
      </c>
      <c r="H26" s="21">
        <v>11.9</v>
      </c>
      <c r="I26" s="22">
        <v>11.5</v>
      </c>
      <c r="J26" s="389" t="s">
        <v>1090</v>
      </c>
      <c r="L26" s="233">
        <v>1</v>
      </c>
      <c r="N26" s="292" t="str">
        <f t="shared" si="1"/>
        <v>2.8. 사업지구내 거주민 주거안정대책</v>
      </c>
      <c r="O26" s="37"/>
      <c r="P26" s="39"/>
      <c r="Q26" s="37"/>
      <c r="R26" s="117"/>
      <c r="S26" s="37"/>
      <c r="T26" s="37"/>
      <c r="U26" s="228"/>
      <c r="V26" s="231"/>
      <c r="W26" s="153">
        <f t="array" aca="1" ref="W26" ca="1">SUM((ROUNDDOWN((D59:I59)*단가,0)))</f>
        <v>11226117</v>
      </c>
      <c r="X26" s="154"/>
      <c r="Y26" s="170" t="str">
        <f t="shared" si="2"/>
        <v>제 13 호표</v>
      </c>
      <c r="Z26" s="150"/>
    </row>
    <row r="27" spans="1:26" ht="18" customHeight="1">
      <c r="A27" s="355"/>
      <c r="B27" s="223" t="s">
        <v>1956</v>
      </c>
      <c r="C27" s="237"/>
      <c r="D27" s="20">
        <v>1.5</v>
      </c>
      <c r="E27" s="21">
        <v>2.5</v>
      </c>
      <c r="F27" s="21">
        <v>4.9000000000000004</v>
      </c>
      <c r="G27" s="21">
        <v>8.1</v>
      </c>
      <c r="H27" s="21">
        <v>11.9</v>
      </c>
      <c r="I27" s="22">
        <v>11.5</v>
      </c>
      <c r="J27" s="389" t="s">
        <v>1090</v>
      </c>
      <c r="L27" s="233">
        <v>1</v>
      </c>
      <c r="N27" s="292" t="str">
        <f t="shared" si="1"/>
        <v>2.9. 정비예정구역의 관리계획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SUM((ROUNDDOWN((D60:I60)*단가,0)))</f>
        <v>11226117</v>
      </c>
      <c r="X27" s="154"/>
      <c r="Y27" s="170" t="str">
        <f t="shared" si="2"/>
        <v>제 14 호표</v>
      </c>
      <c r="Z27" s="150"/>
    </row>
    <row r="28" spans="1:26" ht="18" customHeight="1">
      <c r="A28" s="355"/>
      <c r="B28" s="223" t="s">
        <v>1957</v>
      </c>
      <c r="C28" s="237"/>
      <c r="D28" s="20">
        <v>1.8</v>
      </c>
      <c r="E28" s="21">
        <v>2.9</v>
      </c>
      <c r="F28" s="21">
        <v>5.8</v>
      </c>
      <c r="G28" s="21">
        <v>9.6999999999999993</v>
      </c>
      <c r="H28" s="21">
        <v>14.4</v>
      </c>
      <c r="I28" s="22">
        <v>13.8</v>
      </c>
      <c r="J28" s="389" t="s">
        <v>1090</v>
      </c>
      <c r="L28" s="233">
        <v>1</v>
      </c>
      <c r="N28" s="292" t="str">
        <f t="shared" si="1"/>
        <v>2.10. 토지이용계획</v>
      </c>
      <c r="O28" s="37"/>
      <c r="P28" s="39"/>
      <c r="Q28" s="37"/>
      <c r="R28" s="117"/>
      <c r="S28" s="37"/>
      <c r="T28" s="37"/>
      <c r="U28" s="228"/>
      <c r="V28" s="231"/>
      <c r="W28" s="153">
        <f t="array" aca="1" ref="W28" ca="1">SUM((ROUNDDOWN((D61:I61)*단가,0)))</f>
        <v>13431487</v>
      </c>
      <c r="X28" s="154"/>
      <c r="Y28" s="170" t="str">
        <f t="shared" si="2"/>
        <v>제 15 호표</v>
      </c>
      <c r="Z28" s="150"/>
    </row>
    <row r="29" spans="1:26" ht="18" customHeight="1">
      <c r="A29" s="355"/>
      <c r="B29" s="223" t="s">
        <v>1958</v>
      </c>
      <c r="C29" s="237"/>
      <c r="D29" s="20">
        <v>1.5</v>
      </c>
      <c r="E29" s="21">
        <v>2.4</v>
      </c>
      <c r="F29" s="21">
        <v>4.9000000000000004</v>
      </c>
      <c r="G29" s="21">
        <v>8.1</v>
      </c>
      <c r="H29" s="21">
        <v>12</v>
      </c>
      <c r="I29" s="22">
        <v>11.5</v>
      </c>
      <c r="J29" s="389" t="s">
        <v>1090</v>
      </c>
      <c r="L29" s="233">
        <v>1</v>
      </c>
      <c r="N29" s="292" t="str">
        <f t="shared" si="1"/>
        <v>2.11. 정비기반시설계획 및 공동 이용시설 설치계획</v>
      </c>
      <c r="O29" s="37"/>
      <c r="P29" s="39"/>
      <c r="Q29" s="37"/>
      <c r="R29" s="117"/>
      <c r="S29" s="37"/>
      <c r="T29" s="37"/>
      <c r="U29" s="228"/>
      <c r="V29" s="231"/>
      <c r="W29" s="153">
        <f t="array" aca="1" ref="W29" ca="1">SUM((ROUNDDOWN((D62:I62)*단가,0)))</f>
        <v>11212328</v>
      </c>
      <c r="X29" s="154"/>
      <c r="Y29" s="170" t="str">
        <f t="shared" si="2"/>
        <v>제 16 호표</v>
      </c>
      <c r="Z29" s="150"/>
    </row>
    <row r="30" spans="1:26" ht="18" customHeight="1">
      <c r="A30" s="355"/>
      <c r="B30" s="223" t="s">
        <v>1959</v>
      </c>
      <c r="C30" s="237"/>
      <c r="D30" s="20">
        <v>1.8</v>
      </c>
      <c r="E30" s="21">
        <v>2.9</v>
      </c>
      <c r="F30" s="21">
        <v>5.8</v>
      </c>
      <c r="G30" s="21">
        <v>9.6999999999999993</v>
      </c>
      <c r="H30" s="21">
        <v>14.4</v>
      </c>
      <c r="I30" s="22">
        <v>13.8</v>
      </c>
      <c r="J30" s="389" t="s">
        <v>1090</v>
      </c>
      <c r="L30" s="233">
        <v>1</v>
      </c>
      <c r="N30" s="292" t="str">
        <f t="shared" si="1"/>
        <v>2.12. 교통계획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SUM((ROUNDDOWN((D63:I63)*단가,0)))</f>
        <v>13431487</v>
      </c>
      <c r="X30" s="154"/>
      <c r="Y30" s="170" t="str">
        <f t="shared" si="2"/>
        <v>제 17 호표</v>
      </c>
      <c r="Z30" s="150"/>
    </row>
    <row r="31" spans="1:26" ht="18" customHeight="1">
      <c r="A31" s="355"/>
      <c r="B31" s="223" t="s">
        <v>1960</v>
      </c>
      <c r="C31" s="237"/>
      <c r="D31" s="20">
        <v>1.8</v>
      </c>
      <c r="E31" s="21">
        <v>2.9</v>
      </c>
      <c r="F31" s="21">
        <v>5.8</v>
      </c>
      <c r="G31" s="21">
        <v>9.6999999999999993</v>
      </c>
      <c r="H31" s="21">
        <v>14.4</v>
      </c>
      <c r="I31" s="22">
        <v>18.399999999999999</v>
      </c>
      <c r="J31" s="389" t="s">
        <v>1090</v>
      </c>
      <c r="L31" s="233">
        <v>1</v>
      </c>
      <c r="N31" s="292" t="str">
        <f t="shared" si="1"/>
        <v>2.13. 환경계획</v>
      </c>
      <c r="O31" s="37"/>
      <c r="P31" s="39"/>
      <c r="Q31" s="37"/>
      <c r="R31" s="117"/>
      <c r="S31" s="37"/>
      <c r="T31" s="37"/>
      <c r="U31" s="228"/>
      <c r="V31" s="231"/>
      <c r="W31" s="153">
        <f t="array" aca="1" ref="W31" ca="1">SUM((ROUNDDOWN((D64:I64)*단가,0)))</f>
        <v>14581887</v>
      </c>
      <c r="X31" s="154"/>
      <c r="Y31" s="170" t="str">
        <f t="shared" si="2"/>
        <v>제 18 호표</v>
      </c>
      <c r="Z31" s="150"/>
    </row>
    <row r="32" spans="1:26" ht="18" customHeight="1">
      <c r="A32" s="355"/>
      <c r="B32" s="223" t="s">
        <v>1961</v>
      </c>
      <c r="C32" s="237"/>
      <c r="D32" s="20">
        <v>1.5</v>
      </c>
      <c r="E32" s="21">
        <v>2.4</v>
      </c>
      <c r="F32" s="21">
        <v>4.9000000000000004</v>
      </c>
      <c r="G32" s="21">
        <v>8.1</v>
      </c>
      <c r="H32" s="21">
        <v>11.9</v>
      </c>
      <c r="I32" s="22">
        <v>11.5</v>
      </c>
      <c r="J32" s="389" t="s">
        <v>1090</v>
      </c>
      <c r="L32" s="233">
        <v>1</v>
      </c>
      <c r="N32" s="292" t="str">
        <f t="shared" si="1"/>
        <v>2.14. 사회복지 및 주민문화시설 등의 설치계획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SUM((ROUNDDOWN((D65:I65)*단가,0)))</f>
        <v>11188782</v>
      </c>
      <c r="X32" s="154"/>
      <c r="Y32" s="170" t="str">
        <f t="shared" si="2"/>
        <v>제 19 호표</v>
      </c>
      <c r="Z32" s="150"/>
    </row>
    <row r="33" spans="1:26" ht="18" customHeight="1">
      <c r="A33" s="355"/>
      <c r="B33" s="223" t="s">
        <v>1962</v>
      </c>
      <c r="C33" s="237"/>
      <c r="D33" s="20">
        <v>1.8</v>
      </c>
      <c r="E33" s="21">
        <v>2.9</v>
      </c>
      <c r="F33" s="21">
        <v>5.8</v>
      </c>
      <c r="G33" s="21">
        <v>9.6999999999999993</v>
      </c>
      <c r="H33" s="21">
        <v>14.4</v>
      </c>
      <c r="I33" s="22">
        <v>13.8</v>
      </c>
      <c r="J33" s="389" t="s">
        <v>1090</v>
      </c>
      <c r="L33" s="233">
        <v>1</v>
      </c>
      <c r="N33" s="292" t="str">
        <f t="shared" si="1"/>
        <v>2.15. 건폐율·용적률 등에 관한 건축물의 밀도계획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SUM((ROUNDDOWN((D66:I66)*단가,0)))</f>
        <v>13431487</v>
      </c>
      <c r="X33" s="154"/>
      <c r="Y33" s="170" t="str">
        <f t="shared" si="2"/>
        <v>제 20 호표</v>
      </c>
      <c r="Z33" s="150"/>
    </row>
    <row r="34" spans="1:26" ht="18" customHeight="1">
      <c r="A34" s="355"/>
      <c r="B34" s="223" t="s">
        <v>1963</v>
      </c>
      <c r="C34" s="237"/>
      <c r="D34" s="20">
        <v>1.3</v>
      </c>
      <c r="E34" s="21">
        <v>2.1</v>
      </c>
      <c r="F34" s="21">
        <v>3.9</v>
      </c>
      <c r="G34" s="21">
        <v>6.6</v>
      </c>
      <c r="H34" s="21">
        <v>9.6999999999999993</v>
      </c>
      <c r="I34" s="22">
        <v>9.1999999999999993</v>
      </c>
      <c r="J34" s="389" t="s">
        <v>1090</v>
      </c>
      <c r="L34" s="233">
        <v>1</v>
      </c>
      <c r="N34" s="292" t="str">
        <f t="shared" si="1"/>
        <v>2.16. 역사적 유물 및 전통건축물 보존 및 활용계획</v>
      </c>
      <c r="O34" s="37"/>
      <c r="P34" s="39"/>
      <c r="Q34" s="37"/>
      <c r="R34" s="117"/>
      <c r="S34" s="37"/>
      <c r="T34" s="37"/>
      <c r="U34" s="228"/>
      <c r="V34" s="231"/>
      <c r="W34" s="153">
        <f t="array" aca="1" ref="W34" ca="1">SUM((ROUNDDOWN((D67:I67)*단가,0)))</f>
        <v>9136532</v>
      </c>
      <c r="X34" s="154"/>
      <c r="Y34" s="170" t="str">
        <f t="shared" si="2"/>
        <v>제 21 호표</v>
      </c>
      <c r="Z34" s="150"/>
    </row>
    <row r="35" spans="1:26" ht="18" customHeight="1">
      <c r="A35" s="355"/>
      <c r="B35" s="223" t="s">
        <v>1964</v>
      </c>
      <c r="C35" s="237"/>
      <c r="D35" s="20">
        <v>1.2</v>
      </c>
      <c r="E35" s="21">
        <v>2.1</v>
      </c>
      <c r="F35" s="21">
        <v>3.9</v>
      </c>
      <c r="G35" s="21">
        <v>6.6</v>
      </c>
      <c r="H35" s="21">
        <v>9.6999999999999993</v>
      </c>
      <c r="I35" s="22">
        <v>9.1999999999999993</v>
      </c>
      <c r="J35" s="443" t="s">
        <v>1090</v>
      </c>
      <c r="L35" s="233">
        <v>1</v>
      </c>
      <c r="N35" s="292" t="str">
        <f t="shared" si="1"/>
        <v>2.17. 도시경관에 관한 계획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SUM((ROUNDDOWN((D68:I68)*단가,0)))</f>
        <v>9089810</v>
      </c>
      <c r="X35" s="154"/>
      <c r="Y35" s="170" t="str">
        <f t="shared" si="2"/>
        <v>제 22 호표</v>
      </c>
      <c r="Z35" s="150"/>
    </row>
    <row r="36" spans="1:26" ht="18" customHeight="1">
      <c r="A36" s="355"/>
      <c r="B36" s="222" t="s">
        <v>136</v>
      </c>
      <c r="C36" s="47"/>
      <c r="D36" s="33">
        <f t="shared" ref="D36:I36" si="4">SUBTOTAL(9,D37:D38)</f>
        <v>8.8000000000000007</v>
      </c>
      <c r="E36" s="34">
        <f t="shared" si="4"/>
        <v>14.3</v>
      </c>
      <c r="F36" s="34">
        <f t="shared" si="4"/>
        <v>31.9</v>
      </c>
      <c r="G36" s="34">
        <f t="shared" si="4"/>
        <v>59.3</v>
      </c>
      <c r="H36" s="34">
        <f t="shared" si="4"/>
        <v>82.300000000000011</v>
      </c>
      <c r="I36" s="35">
        <f t="shared" si="4"/>
        <v>82.3</v>
      </c>
      <c r="J36" s="594"/>
      <c r="L36" s="233"/>
      <c r="N36" s="79" t="str">
        <f t="shared" si="1"/>
        <v>3. 성과품작성</v>
      </c>
      <c r="O36" s="37"/>
      <c r="P36" s="39"/>
      <c r="Q36" s="37"/>
      <c r="R36" s="117"/>
      <c r="S36" s="37"/>
      <c r="T36" s="37"/>
      <c r="U36" s="228"/>
      <c r="V36" s="231"/>
      <c r="W36" s="193">
        <f ca="1">SUBTOTAL(9,W37:W38)</f>
        <v>76829771</v>
      </c>
      <c r="X36" s="154"/>
      <c r="Y36" s="170" t="str">
        <f t="shared" si="2"/>
        <v/>
      </c>
      <c r="Z36" s="150"/>
    </row>
    <row r="37" spans="1:26" ht="18" customHeight="1">
      <c r="A37" s="355"/>
      <c r="B37" s="223" t="s">
        <v>1965</v>
      </c>
      <c r="C37" s="237"/>
      <c r="D37" s="20">
        <v>6</v>
      </c>
      <c r="E37" s="21">
        <v>9.4</v>
      </c>
      <c r="F37" s="21">
        <v>21.2</v>
      </c>
      <c r="G37" s="21">
        <v>35.4</v>
      </c>
      <c r="H37" s="21">
        <v>35.1</v>
      </c>
      <c r="I37" s="22">
        <v>23.3</v>
      </c>
      <c r="J37" s="400" t="s">
        <v>1090</v>
      </c>
      <c r="L37" s="233">
        <v>1</v>
      </c>
      <c r="N37" s="292" t="str">
        <f t="shared" si="1"/>
        <v>3.1. 보고서 작성 및 편집</v>
      </c>
      <c r="O37" s="37"/>
      <c r="P37" s="39"/>
      <c r="Q37" s="37"/>
      <c r="R37" s="117"/>
      <c r="S37" s="37"/>
      <c r="T37" s="37"/>
      <c r="U37" s="228"/>
      <c r="V37" s="231"/>
      <c r="W37" s="153">
        <f t="array" aca="1" ref="W37" ca="1">SUM((ROUNDDOWN((D70:I70)*단가,0)))</f>
        <v>37443082</v>
      </c>
      <c r="X37" s="154"/>
      <c r="Y37" s="170" t="str">
        <f t="shared" si="2"/>
        <v>제 23 호표</v>
      </c>
      <c r="Z37" s="150"/>
    </row>
    <row r="38" spans="1:26" ht="18" customHeight="1">
      <c r="A38" s="355"/>
      <c r="B38" s="259" t="s">
        <v>1966</v>
      </c>
      <c r="C38" s="264"/>
      <c r="D38" s="40">
        <v>2.8</v>
      </c>
      <c r="E38" s="41">
        <v>4.9000000000000004</v>
      </c>
      <c r="F38" s="41">
        <v>10.7</v>
      </c>
      <c r="G38" s="41">
        <v>23.9</v>
      </c>
      <c r="H38" s="41">
        <v>47.2</v>
      </c>
      <c r="I38" s="42">
        <v>59</v>
      </c>
      <c r="J38" s="685" t="s">
        <v>1090</v>
      </c>
      <c r="L38" s="233">
        <v>1</v>
      </c>
      <c r="N38" s="292" t="str">
        <f t="shared" si="1"/>
        <v>3.2. 관련도서 작성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SUM((ROUNDDOWN((D71:I71)*단가,0)))</f>
        <v>39386689</v>
      </c>
      <c r="X38" s="154"/>
      <c r="Y38" s="170" t="str">
        <f t="shared" si="2"/>
        <v>제 24 호표</v>
      </c>
      <c r="Z38" s="150"/>
    </row>
    <row r="39" spans="1:26" ht="18" customHeight="1">
      <c r="A39" s="326"/>
      <c r="B39" s="222" t="s">
        <v>268</v>
      </c>
      <c r="C39" s="47"/>
      <c r="D39" s="48">
        <f t="shared" ref="D39:I39" si="5">SUBTOTAL(9,D40:D43)</f>
        <v>8</v>
      </c>
      <c r="E39" s="49">
        <f t="shared" si="5"/>
        <v>8</v>
      </c>
      <c r="F39" s="49">
        <f t="shared" si="5"/>
        <v>8</v>
      </c>
      <c r="G39" s="49">
        <f t="shared" si="5"/>
        <v>16</v>
      </c>
      <c r="H39" s="49">
        <f t="shared" si="5"/>
        <v>16</v>
      </c>
      <c r="I39" s="50">
        <f t="shared" si="5"/>
        <v>16</v>
      </c>
      <c r="J39" s="620"/>
      <c r="L39" s="233"/>
      <c r="N39" s="79" t="str">
        <f t="shared" si="1"/>
        <v>4. 기술협의</v>
      </c>
      <c r="O39" s="37"/>
      <c r="P39" s="39"/>
      <c r="Q39" s="37"/>
      <c r="R39" s="117"/>
      <c r="S39" s="37"/>
      <c r="T39" s="37"/>
      <c r="U39" s="228"/>
      <c r="V39" s="231"/>
      <c r="W39" s="193">
        <f ca="1">SUBTOTAL(9,W40:W43)</f>
        <v>21702576</v>
      </c>
      <c r="X39" s="154"/>
      <c r="Y39" s="170" t="str">
        <f t="shared" si="2"/>
        <v/>
      </c>
      <c r="Z39" s="150"/>
    </row>
    <row r="40" spans="1:26" ht="18" customHeight="1">
      <c r="A40" s="326"/>
      <c r="B40" s="223" t="s">
        <v>1967</v>
      </c>
      <c r="C40" s="237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389" t="s">
        <v>1934</v>
      </c>
      <c r="L40" s="233">
        <v>1</v>
      </c>
      <c r="N40" s="292" t="str">
        <f t="shared" si="1"/>
        <v>4.1. 공청회/주민설명회</v>
      </c>
      <c r="O40" s="37"/>
      <c r="P40" s="39"/>
      <c r="Q40" s="37"/>
      <c r="R40" s="117"/>
      <c r="S40" s="37"/>
      <c r="T40" s="37"/>
      <c r="U40" s="228"/>
      <c r="V40" s="231"/>
      <c r="W40" s="153">
        <f t="array" aca="1" ref="W40" ca="1">SUM((ROUNDDOWN((D73:I73)*단가,0)))</f>
        <v>5425644</v>
      </c>
      <c r="X40" s="154"/>
      <c r="Y40" s="170" t="str">
        <f t="shared" si="2"/>
        <v>제 25 호표</v>
      </c>
      <c r="Z40" s="150"/>
    </row>
    <row r="41" spans="1:26" ht="18" customHeight="1">
      <c r="A41" s="326"/>
      <c r="B41" s="223" t="s">
        <v>1968</v>
      </c>
      <c r="C41" s="237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389" t="s">
        <v>1094</v>
      </c>
      <c r="L41" s="233">
        <v>1</v>
      </c>
      <c r="N41" s="292" t="str">
        <f t="shared" si="1"/>
        <v>4.2. 주민간담회/시민계획단</v>
      </c>
      <c r="O41" s="37"/>
      <c r="P41" s="39"/>
      <c r="Q41" s="37"/>
      <c r="R41" s="117"/>
      <c r="S41" s="37"/>
      <c r="T41" s="37"/>
      <c r="U41" s="228"/>
      <c r="V41" s="231"/>
      <c r="W41" s="153">
        <f t="array" aca="1" ref="W41" ca="1">SUM((ROUNDDOWN((D74:I74)*단가,0)))</f>
        <v>5425644</v>
      </c>
      <c r="X41" s="154"/>
      <c r="Y41" s="170" t="str">
        <f t="shared" si="2"/>
        <v>제 26 호표</v>
      </c>
      <c r="Z41" s="150"/>
    </row>
    <row r="42" spans="1:26" ht="18" customHeight="1">
      <c r="A42" s="326"/>
      <c r="B42" s="223" t="s">
        <v>1969</v>
      </c>
      <c r="C42" s="237"/>
      <c r="D42" s="197">
        <v>2</v>
      </c>
      <c r="E42" s="198">
        <v>2</v>
      </c>
      <c r="F42" s="198">
        <v>2</v>
      </c>
      <c r="G42" s="198">
        <v>4</v>
      </c>
      <c r="H42" s="198">
        <v>4</v>
      </c>
      <c r="I42" s="199">
        <v>4</v>
      </c>
      <c r="J42" s="389" t="s">
        <v>1094</v>
      </c>
      <c r="L42" s="233">
        <v>1</v>
      </c>
      <c r="N42" s="292" t="str">
        <f t="shared" si="1"/>
        <v>4.3. 위원회심의 지원</v>
      </c>
      <c r="O42" s="37"/>
      <c r="P42" s="39"/>
      <c r="Q42" s="37"/>
      <c r="R42" s="117"/>
      <c r="S42" s="37"/>
      <c r="T42" s="37"/>
      <c r="U42" s="228"/>
      <c r="V42" s="231"/>
      <c r="W42" s="153">
        <f t="array" aca="1" ref="W42" ca="1">SUM((ROUNDDOWN((D75:I75)*단가,0)))</f>
        <v>5425644</v>
      </c>
      <c r="X42" s="154"/>
      <c r="Y42" s="170" t="str">
        <f t="shared" si="2"/>
        <v>제 27 호표</v>
      </c>
      <c r="Z42" s="150"/>
    </row>
    <row r="43" spans="1:26" ht="18" customHeight="1" thickBot="1">
      <c r="A43" s="355"/>
      <c r="B43" s="223" t="s">
        <v>1970</v>
      </c>
      <c r="C43" s="237"/>
      <c r="D43" s="197">
        <v>2</v>
      </c>
      <c r="E43" s="198">
        <v>2</v>
      </c>
      <c r="F43" s="198">
        <v>2</v>
      </c>
      <c r="G43" s="198">
        <v>4</v>
      </c>
      <c r="H43" s="198">
        <v>4</v>
      </c>
      <c r="I43" s="199">
        <v>4</v>
      </c>
      <c r="J43" s="612" t="s">
        <v>1094</v>
      </c>
      <c r="L43" s="233">
        <v>1</v>
      </c>
      <c r="N43" s="292" t="str">
        <f t="shared" si="1"/>
        <v>4.4. 관계기관 협의</v>
      </c>
      <c r="O43" s="37"/>
      <c r="P43" s="39"/>
      <c r="Q43" s="37"/>
      <c r="R43" s="117"/>
      <c r="S43" s="37"/>
      <c r="T43" s="37"/>
      <c r="U43" s="228"/>
      <c r="V43" s="231"/>
      <c r="W43" s="153">
        <f t="array" aca="1" ref="W43" ca="1">SUM((ROUNDDOWN((D76:I76)*단가,0)))</f>
        <v>5425644</v>
      </c>
      <c r="X43" s="154"/>
      <c r="Y43" s="170" t="str">
        <f t="shared" si="2"/>
        <v>제 28 호표</v>
      </c>
      <c r="Z43" s="150"/>
    </row>
    <row r="44" spans="1:26" ht="18" customHeight="1" thickBot="1">
      <c r="A44" s="326"/>
      <c r="B44" s="14" t="s">
        <v>30</v>
      </c>
      <c r="C44" s="250"/>
      <c r="D44" s="249" t="s">
        <v>12</v>
      </c>
      <c r="E44" s="251"/>
      <c r="F44" s="251"/>
      <c r="G44" s="251"/>
      <c r="H44" s="251"/>
      <c r="I44" s="250"/>
      <c r="J44" s="175" t="s">
        <v>31</v>
      </c>
      <c r="N44" s="290" t="s">
        <v>10</v>
      </c>
      <c r="O44" s="129"/>
      <c r="P44" s="130"/>
      <c r="Q44" s="124"/>
      <c r="R44" s="131"/>
      <c r="S44" s="124"/>
      <c r="T44" s="124"/>
      <c r="U44" s="181"/>
      <c r="V44" s="181"/>
      <c r="W44" s="159">
        <f>SUBTOTAL(9,W45:W47)</f>
        <v>4500000</v>
      </c>
      <c r="X44" s="160"/>
      <c r="Y44" s="124"/>
      <c r="Z44" s="124"/>
    </row>
    <row r="45" spans="1:26" ht="18" customHeight="1">
      <c r="A45" s="326"/>
      <c r="B45" s="73" t="s">
        <v>416</v>
      </c>
      <c r="C45" s="72"/>
      <c r="D45" s="30">
        <f t="shared" ref="D45:I45" si="6">SUBTOTAL(9,D46:D50)</f>
        <v>17.400000000000002</v>
      </c>
      <c r="E45" s="31">
        <f t="shared" si="6"/>
        <v>27.700000000000003</v>
      </c>
      <c r="F45" s="31">
        <f t="shared" si="6"/>
        <v>100.6</v>
      </c>
      <c r="G45" s="31">
        <f t="shared" si="6"/>
        <v>156.5</v>
      </c>
      <c r="H45" s="31">
        <f t="shared" si="6"/>
        <v>238.3</v>
      </c>
      <c r="I45" s="32">
        <f t="shared" si="6"/>
        <v>256.60000000000002</v>
      </c>
      <c r="J45" s="28"/>
      <c r="N45" s="128" t="str">
        <f>"여비("&amp;TEXT(R45,"#인 ×")&amp;TEXT(S45,"#일 ×")&amp;TEXT(T45,"###,###원)")</f>
        <v>여비(3인 ×5일 ×100,000원)</v>
      </c>
      <c r="O45" s="78"/>
      <c r="P45" s="52"/>
      <c r="Q45" s="51"/>
      <c r="R45" s="146">
        <v>3</v>
      </c>
      <c r="S45" s="146">
        <v>5</v>
      </c>
      <c r="T45" s="147">
        <v>100000</v>
      </c>
      <c r="U45" s="182"/>
      <c r="V45" s="182"/>
      <c r="W45" s="161">
        <f>R45*S45*T45</f>
        <v>1500000</v>
      </c>
      <c r="X45" s="162"/>
      <c r="Y45" s="51"/>
      <c r="Z45" s="51"/>
    </row>
    <row r="46" spans="1:26" ht="18" customHeight="1">
      <c r="A46" s="326">
        <v>1</v>
      </c>
      <c r="B46" s="409" t="s">
        <v>1943</v>
      </c>
      <c r="C46" s="237"/>
      <c r="D46" s="20">
        <f t="array" ref="D46:I50">ROUNDDOWN(D13:I17*L13:L17*E5,3)</f>
        <v>11.8</v>
      </c>
      <c r="E46" s="21">
        <v>18.899999999999999</v>
      </c>
      <c r="F46" s="21">
        <v>79.3</v>
      </c>
      <c r="G46" s="21">
        <v>119.7</v>
      </c>
      <c r="H46" s="21">
        <v>198.8</v>
      </c>
      <c r="I46" s="22">
        <v>214.5</v>
      </c>
      <c r="J46" s="74"/>
      <c r="N46" s="79" t="s">
        <v>46</v>
      </c>
      <c r="O46" s="79"/>
      <c r="P46" s="39"/>
      <c r="Q46" s="37"/>
      <c r="R46" s="117"/>
      <c r="S46" s="37"/>
      <c r="T46" s="37"/>
      <c r="U46" s="180"/>
      <c r="V46" s="180"/>
      <c r="W46" s="157">
        <v>2000000</v>
      </c>
      <c r="X46" s="158"/>
      <c r="Y46" s="37"/>
      <c r="Z46" s="37"/>
    </row>
    <row r="47" spans="1:26" ht="18" customHeight="1">
      <c r="A47" s="326">
        <v>2</v>
      </c>
      <c r="B47" s="409" t="s">
        <v>1944</v>
      </c>
      <c r="C47" s="237"/>
      <c r="D47" s="20">
        <v>1.3</v>
      </c>
      <c r="E47" s="21">
        <v>2.1</v>
      </c>
      <c r="F47" s="21">
        <v>2.8</v>
      </c>
      <c r="G47" s="21">
        <v>7.8</v>
      </c>
      <c r="H47" s="21">
        <v>7.8</v>
      </c>
      <c r="I47" s="22">
        <v>10.5</v>
      </c>
      <c r="J47" s="74"/>
      <c r="N47" s="132" t="s">
        <v>13</v>
      </c>
      <c r="O47" s="132"/>
      <c r="P47" s="38"/>
      <c r="Q47" s="38"/>
      <c r="R47" s="116"/>
      <c r="S47" s="38"/>
      <c r="T47" s="38"/>
      <c r="U47" s="183"/>
      <c r="V47" s="183"/>
      <c r="W47" s="155">
        <v>1000000</v>
      </c>
      <c r="X47" s="156"/>
      <c r="Y47" s="38"/>
      <c r="Z47" s="38"/>
    </row>
    <row r="48" spans="1:26" ht="18" customHeight="1">
      <c r="A48" s="326">
        <v>3</v>
      </c>
      <c r="B48" s="409" t="s">
        <v>1945</v>
      </c>
      <c r="C48" s="237"/>
      <c r="D48" s="20">
        <v>1.5</v>
      </c>
      <c r="E48" s="21">
        <v>2.2999999999999998</v>
      </c>
      <c r="F48" s="21">
        <v>5.2</v>
      </c>
      <c r="G48" s="21">
        <v>10.5</v>
      </c>
      <c r="H48" s="21">
        <v>10.199999999999999</v>
      </c>
      <c r="I48" s="22">
        <v>10.5</v>
      </c>
      <c r="J48" s="74"/>
      <c r="N48" s="127" t="s">
        <v>47</v>
      </c>
      <c r="O48" s="123"/>
      <c r="P48" s="123"/>
      <c r="Q48" s="123"/>
      <c r="R48" s="123"/>
      <c r="S48" s="123"/>
      <c r="T48" s="123"/>
      <c r="U48" s="184"/>
      <c r="V48" s="184"/>
      <c r="W48" s="163">
        <f ca="1">SUBTOTAL(9,W49:W50)</f>
        <v>900850192</v>
      </c>
      <c r="X48" s="164"/>
      <c r="Y48" s="123"/>
      <c r="Z48" s="123"/>
    </row>
    <row r="49" spans="1:26" ht="18" customHeight="1">
      <c r="A49" s="326">
        <v>4</v>
      </c>
      <c r="B49" s="409" t="s">
        <v>1946</v>
      </c>
      <c r="C49" s="237"/>
      <c r="D49" s="20">
        <v>1.5</v>
      </c>
      <c r="E49" s="21">
        <v>2.2999999999999998</v>
      </c>
      <c r="F49" s="21">
        <v>7.8</v>
      </c>
      <c r="G49" s="21">
        <v>10.7</v>
      </c>
      <c r="H49" s="21">
        <v>13.1</v>
      </c>
      <c r="I49" s="22">
        <v>13.3</v>
      </c>
      <c r="J49" s="74"/>
      <c r="N49" s="133" t="s">
        <v>861</v>
      </c>
      <c r="O49" s="124"/>
      <c r="P49" s="134"/>
      <c r="Q49" s="124"/>
      <c r="R49" s="131"/>
      <c r="S49" s="124"/>
      <c r="T49" s="181"/>
      <c r="U49" s="181"/>
      <c r="V49" s="190">
        <v>1.1499999999999999</v>
      </c>
      <c r="W49" s="159">
        <f ca="1">ROUNDDOWN(W11*V49,0)</f>
        <v>577146363</v>
      </c>
      <c r="X49" s="160"/>
      <c r="Y49" s="124"/>
      <c r="Z49" s="124"/>
    </row>
    <row r="50" spans="1:26" ht="18" customHeight="1" thickBot="1">
      <c r="A50" s="326">
        <v>5</v>
      </c>
      <c r="B50" s="410" t="s">
        <v>1947</v>
      </c>
      <c r="C50" s="238"/>
      <c r="D50" s="24">
        <v>1.3</v>
      </c>
      <c r="E50" s="25">
        <v>2.1</v>
      </c>
      <c r="F50" s="25">
        <v>5.5</v>
      </c>
      <c r="G50" s="25">
        <v>7.8</v>
      </c>
      <c r="H50" s="25">
        <v>8.4</v>
      </c>
      <c r="I50" s="26">
        <v>7.8</v>
      </c>
      <c r="J50" s="75"/>
      <c r="N50" s="135" t="s">
        <v>862</v>
      </c>
      <c r="O50" s="136"/>
      <c r="P50" s="137"/>
      <c r="Q50" s="136"/>
      <c r="R50" s="138"/>
      <c r="S50" s="136"/>
      <c r="T50" s="185"/>
      <c r="U50" s="185"/>
      <c r="V50" s="191">
        <v>0.3</v>
      </c>
      <c r="W50" s="165">
        <f ca="1">ROUNDDOWN((W11+W49)*V50,0)</f>
        <v>323703829</v>
      </c>
      <c r="X50" s="166"/>
      <c r="Y50" s="136"/>
      <c r="Z50" s="136"/>
    </row>
    <row r="51" spans="1:26" ht="18" customHeight="1">
      <c r="A51" s="326"/>
      <c r="B51" s="222" t="s">
        <v>524</v>
      </c>
      <c r="C51" s="47"/>
      <c r="D51" s="33">
        <f t="shared" ref="D51:I51" si="7">SUBTOTAL(9,D52:D68)</f>
        <v>25.500000000000004</v>
      </c>
      <c r="E51" s="34">
        <f t="shared" si="7"/>
        <v>41.499999999999993</v>
      </c>
      <c r="F51" s="34">
        <f t="shared" si="7"/>
        <v>80.8</v>
      </c>
      <c r="G51" s="34">
        <f t="shared" si="7"/>
        <v>135.1</v>
      </c>
      <c r="H51" s="34">
        <f t="shared" si="7"/>
        <v>199.5</v>
      </c>
      <c r="I51" s="35">
        <f t="shared" si="7"/>
        <v>190.9</v>
      </c>
      <c r="J51" s="13"/>
    </row>
    <row r="52" spans="1:26" ht="18" customHeight="1">
      <c r="A52" s="326">
        <v>6</v>
      </c>
      <c r="B52" s="223" t="s">
        <v>1948</v>
      </c>
      <c r="C52" s="237"/>
      <c r="D52" s="20">
        <f t="array" ref="D52:I68">ROUNDDOWN(D19:I35*L19:L35*E5,3)</f>
        <v>1.8</v>
      </c>
      <c r="E52" s="21">
        <v>2.9</v>
      </c>
      <c r="F52" s="21">
        <v>5.8</v>
      </c>
      <c r="G52" s="21">
        <v>9.6</v>
      </c>
      <c r="H52" s="21">
        <v>14.4</v>
      </c>
      <c r="I52" s="22">
        <v>9.1999999999999993</v>
      </c>
      <c r="J52" s="74"/>
    </row>
    <row r="53" spans="1:26" ht="18" customHeight="1">
      <c r="A53" s="326">
        <v>7</v>
      </c>
      <c r="B53" s="223" t="s">
        <v>1949</v>
      </c>
      <c r="C53" s="237"/>
      <c r="D53" s="20">
        <v>1.3</v>
      </c>
      <c r="E53" s="21">
        <v>2.1</v>
      </c>
      <c r="F53" s="21">
        <v>3.9</v>
      </c>
      <c r="G53" s="21">
        <v>6.6</v>
      </c>
      <c r="H53" s="21">
        <v>9.6999999999999993</v>
      </c>
      <c r="I53" s="22">
        <v>9.1999999999999993</v>
      </c>
      <c r="J53" s="74"/>
    </row>
    <row r="54" spans="1:26" ht="18" customHeight="1">
      <c r="A54" s="326">
        <v>8</v>
      </c>
      <c r="B54" s="223" t="s">
        <v>1950</v>
      </c>
      <c r="C54" s="237"/>
      <c r="D54" s="20">
        <v>1.3</v>
      </c>
      <c r="E54" s="21">
        <v>2.1</v>
      </c>
      <c r="F54" s="21">
        <v>3.9</v>
      </c>
      <c r="G54" s="21">
        <v>6.6</v>
      </c>
      <c r="H54" s="21">
        <v>9.6999999999999993</v>
      </c>
      <c r="I54" s="22">
        <v>9.1999999999999993</v>
      </c>
      <c r="J54" s="74"/>
    </row>
    <row r="55" spans="1:26" ht="18" customHeight="1">
      <c r="A55" s="326">
        <v>9</v>
      </c>
      <c r="B55" s="223" t="s">
        <v>1951</v>
      </c>
      <c r="C55" s="237"/>
      <c r="D55" s="20">
        <v>1.5</v>
      </c>
      <c r="E55" s="21">
        <v>2.5</v>
      </c>
      <c r="F55" s="21">
        <v>4.9000000000000004</v>
      </c>
      <c r="G55" s="21">
        <v>8.1</v>
      </c>
      <c r="H55" s="21">
        <v>11.9</v>
      </c>
      <c r="I55" s="22">
        <v>11.5</v>
      </c>
      <c r="J55" s="74"/>
    </row>
    <row r="56" spans="1:26" ht="18" customHeight="1">
      <c r="A56" s="326">
        <v>10</v>
      </c>
      <c r="B56" s="223" t="s">
        <v>1952</v>
      </c>
      <c r="C56" s="237"/>
      <c r="D56" s="20">
        <v>1.3</v>
      </c>
      <c r="E56" s="21">
        <v>2.1</v>
      </c>
      <c r="F56" s="21">
        <v>3.9</v>
      </c>
      <c r="G56" s="21">
        <v>6.6</v>
      </c>
      <c r="H56" s="21">
        <v>9.6999999999999993</v>
      </c>
      <c r="I56" s="22">
        <v>9.1999999999999993</v>
      </c>
      <c r="J56" s="74"/>
    </row>
    <row r="57" spans="1:26" ht="18" customHeight="1">
      <c r="A57" s="326">
        <v>11</v>
      </c>
      <c r="B57" s="223" t="s">
        <v>1953</v>
      </c>
      <c r="C57" s="237"/>
      <c r="D57" s="20">
        <v>1.3</v>
      </c>
      <c r="E57" s="21">
        <v>2.1</v>
      </c>
      <c r="F57" s="21">
        <v>3.9</v>
      </c>
      <c r="G57" s="21">
        <v>6.6</v>
      </c>
      <c r="H57" s="21">
        <v>9.6999999999999993</v>
      </c>
      <c r="I57" s="22">
        <v>9.1999999999999993</v>
      </c>
      <c r="J57" s="74"/>
    </row>
    <row r="58" spans="1:26" ht="18" customHeight="1">
      <c r="A58" s="326">
        <v>12</v>
      </c>
      <c r="B58" s="223" t="s">
        <v>1954</v>
      </c>
      <c r="C58" s="237"/>
      <c r="D58" s="20">
        <v>1.3</v>
      </c>
      <c r="E58" s="21">
        <v>2.1</v>
      </c>
      <c r="F58" s="21">
        <v>3.9</v>
      </c>
      <c r="G58" s="21">
        <v>6.6</v>
      </c>
      <c r="H58" s="21">
        <v>9.6999999999999993</v>
      </c>
      <c r="I58" s="22">
        <v>9.1999999999999993</v>
      </c>
      <c r="J58" s="74"/>
    </row>
    <row r="59" spans="1:26" ht="18" customHeight="1">
      <c r="A59" s="326">
        <v>13</v>
      </c>
      <c r="B59" s="223" t="s">
        <v>1955</v>
      </c>
      <c r="C59" s="237"/>
      <c r="D59" s="20">
        <v>1.5</v>
      </c>
      <c r="E59" s="21">
        <v>2.5</v>
      </c>
      <c r="F59" s="21">
        <v>4.9000000000000004</v>
      </c>
      <c r="G59" s="21">
        <v>8.1</v>
      </c>
      <c r="H59" s="21">
        <v>11.9</v>
      </c>
      <c r="I59" s="22">
        <v>11.5</v>
      </c>
      <c r="J59" s="74"/>
    </row>
    <row r="60" spans="1:26" ht="18" customHeight="1">
      <c r="A60" s="326">
        <v>14</v>
      </c>
      <c r="B60" s="223" t="s">
        <v>1956</v>
      </c>
      <c r="C60" s="237"/>
      <c r="D60" s="20">
        <v>1.5</v>
      </c>
      <c r="E60" s="21">
        <v>2.5</v>
      </c>
      <c r="F60" s="21">
        <v>4.9000000000000004</v>
      </c>
      <c r="G60" s="21">
        <v>8.1</v>
      </c>
      <c r="H60" s="21">
        <v>11.9</v>
      </c>
      <c r="I60" s="22">
        <v>11.5</v>
      </c>
      <c r="J60" s="74"/>
    </row>
    <row r="61" spans="1:26" ht="18" customHeight="1">
      <c r="A61" s="326">
        <v>15</v>
      </c>
      <c r="B61" s="223" t="s">
        <v>1957</v>
      </c>
      <c r="C61" s="237"/>
      <c r="D61" s="20">
        <v>1.8</v>
      </c>
      <c r="E61" s="21">
        <v>2.9</v>
      </c>
      <c r="F61" s="21">
        <v>5.8</v>
      </c>
      <c r="G61" s="21">
        <v>9.6999999999999993</v>
      </c>
      <c r="H61" s="21">
        <v>14.4</v>
      </c>
      <c r="I61" s="22">
        <v>13.8</v>
      </c>
      <c r="J61" s="74"/>
    </row>
    <row r="62" spans="1:26" ht="18" customHeight="1">
      <c r="A62" s="326">
        <v>16</v>
      </c>
      <c r="B62" s="223" t="s">
        <v>1958</v>
      </c>
      <c r="C62" s="237"/>
      <c r="D62" s="20">
        <v>1.5</v>
      </c>
      <c r="E62" s="21">
        <v>2.4</v>
      </c>
      <c r="F62" s="21">
        <v>4.9000000000000004</v>
      </c>
      <c r="G62" s="21">
        <v>8.1</v>
      </c>
      <c r="H62" s="21">
        <v>12</v>
      </c>
      <c r="I62" s="22">
        <v>11.5</v>
      </c>
      <c r="J62" s="74"/>
      <c r="L62" s="171"/>
    </row>
    <row r="63" spans="1:26" ht="18" customHeight="1">
      <c r="A63" s="326">
        <v>17</v>
      </c>
      <c r="B63" s="223" t="s">
        <v>1959</v>
      </c>
      <c r="C63" s="237"/>
      <c r="D63" s="20">
        <v>1.8</v>
      </c>
      <c r="E63" s="21">
        <v>2.9</v>
      </c>
      <c r="F63" s="21">
        <v>5.8</v>
      </c>
      <c r="G63" s="21">
        <v>9.6999999999999993</v>
      </c>
      <c r="H63" s="21">
        <v>14.4</v>
      </c>
      <c r="I63" s="22">
        <v>13.8</v>
      </c>
      <c r="J63" s="74"/>
      <c r="L63" s="171"/>
    </row>
    <row r="64" spans="1:26" ht="18" customHeight="1">
      <c r="A64" s="326">
        <v>18</v>
      </c>
      <c r="B64" s="223" t="s">
        <v>1960</v>
      </c>
      <c r="C64" s="237"/>
      <c r="D64" s="20">
        <v>1.8</v>
      </c>
      <c r="E64" s="21">
        <v>2.9</v>
      </c>
      <c r="F64" s="21">
        <v>5.8</v>
      </c>
      <c r="G64" s="21">
        <v>9.6999999999999993</v>
      </c>
      <c r="H64" s="21">
        <v>14.4</v>
      </c>
      <c r="I64" s="22">
        <v>18.399999999999999</v>
      </c>
      <c r="J64" s="74"/>
      <c r="L64" s="171"/>
    </row>
    <row r="65" spans="1:26" ht="18" customHeight="1">
      <c r="A65" s="326">
        <v>19</v>
      </c>
      <c r="B65" s="223" t="s">
        <v>1961</v>
      </c>
      <c r="C65" s="237"/>
      <c r="D65" s="20">
        <v>1.5</v>
      </c>
      <c r="E65" s="21">
        <v>2.4</v>
      </c>
      <c r="F65" s="21">
        <v>4.9000000000000004</v>
      </c>
      <c r="G65" s="21">
        <v>8.1</v>
      </c>
      <c r="H65" s="21">
        <v>11.9</v>
      </c>
      <c r="I65" s="22">
        <v>11.5</v>
      </c>
      <c r="J65" s="74"/>
      <c r="L65" s="171"/>
    </row>
    <row r="66" spans="1:26" ht="18" customHeight="1">
      <c r="A66" s="326">
        <v>20</v>
      </c>
      <c r="B66" s="223" t="s">
        <v>1962</v>
      </c>
      <c r="C66" s="237"/>
      <c r="D66" s="20">
        <v>1.8</v>
      </c>
      <c r="E66" s="21">
        <v>2.9</v>
      </c>
      <c r="F66" s="21">
        <v>5.8</v>
      </c>
      <c r="G66" s="21">
        <v>9.6999999999999993</v>
      </c>
      <c r="H66" s="21">
        <v>14.4</v>
      </c>
      <c r="I66" s="22">
        <v>13.8</v>
      </c>
      <c r="J66" s="74"/>
      <c r="L66" s="171"/>
    </row>
    <row r="67" spans="1:26" ht="18" customHeight="1">
      <c r="A67" s="326">
        <v>21</v>
      </c>
      <c r="B67" s="223" t="s">
        <v>1963</v>
      </c>
      <c r="C67" s="237"/>
      <c r="D67" s="20">
        <v>1.3</v>
      </c>
      <c r="E67" s="21">
        <v>2.1</v>
      </c>
      <c r="F67" s="21">
        <v>3.9</v>
      </c>
      <c r="G67" s="21">
        <v>6.6</v>
      </c>
      <c r="H67" s="21">
        <v>9.6999999999999993</v>
      </c>
      <c r="I67" s="22">
        <v>9.1999999999999993</v>
      </c>
      <c r="J67" s="74"/>
      <c r="L67" s="171"/>
    </row>
    <row r="68" spans="1:26" ht="18" customHeight="1">
      <c r="A68" s="326">
        <v>22</v>
      </c>
      <c r="B68" s="223" t="s">
        <v>1964</v>
      </c>
      <c r="C68" s="237"/>
      <c r="D68" s="20">
        <v>1.2</v>
      </c>
      <c r="E68" s="21">
        <v>2.1</v>
      </c>
      <c r="F68" s="21">
        <v>3.9</v>
      </c>
      <c r="G68" s="21">
        <v>6.6</v>
      </c>
      <c r="H68" s="21">
        <v>9.6999999999999993</v>
      </c>
      <c r="I68" s="22">
        <v>9.1999999999999993</v>
      </c>
      <c r="J68" s="75"/>
      <c r="K68" s="171" t="s">
        <v>14</v>
      </c>
      <c r="L68" s="171"/>
    </row>
    <row r="69" spans="1:26" ht="18" customHeight="1">
      <c r="A69" s="326"/>
      <c r="B69" s="222" t="s">
        <v>136</v>
      </c>
      <c r="C69" s="47"/>
      <c r="D69" s="33">
        <f t="shared" ref="D69:I69" si="8">SUBTOTAL(9,D70:D71)</f>
        <v>8.8000000000000007</v>
      </c>
      <c r="E69" s="34">
        <f t="shared" si="8"/>
        <v>14.3</v>
      </c>
      <c r="F69" s="34">
        <f t="shared" si="8"/>
        <v>31.9</v>
      </c>
      <c r="G69" s="34">
        <f t="shared" si="8"/>
        <v>59.3</v>
      </c>
      <c r="H69" s="34">
        <f t="shared" si="8"/>
        <v>82.300000000000011</v>
      </c>
      <c r="I69" s="35">
        <f t="shared" si="8"/>
        <v>82.3</v>
      </c>
      <c r="J69" s="13"/>
      <c r="K69" s="171" t="s">
        <v>14</v>
      </c>
      <c r="L69" s="171"/>
    </row>
    <row r="70" spans="1:26" ht="18" customHeight="1">
      <c r="A70" s="326">
        <v>23</v>
      </c>
      <c r="B70" s="223" t="s">
        <v>1965</v>
      </c>
      <c r="C70" s="237"/>
      <c r="D70" s="20">
        <f t="array" ref="D70:I71">ROUNDDOWN(D37:I38*L37:L38*E5,3)</f>
        <v>6</v>
      </c>
      <c r="E70" s="21">
        <v>9.4</v>
      </c>
      <c r="F70" s="21">
        <v>21.2</v>
      </c>
      <c r="G70" s="21">
        <v>35.4</v>
      </c>
      <c r="H70" s="21">
        <v>35.1</v>
      </c>
      <c r="I70" s="22">
        <v>23.3</v>
      </c>
      <c r="J70" s="23"/>
      <c r="K70" s="171" t="s">
        <v>14</v>
      </c>
      <c r="L70" s="171"/>
    </row>
    <row r="71" spans="1:26" ht="18" customHeight="1">
      <c r="A71" s="326">
        <v>24</v>
      </c>
      <c r="B71" s="259" t="s">
        <v>1966</v>
      </c>
      <c r="C71" s="237"/>
      <c r="D71" s="20">
        <v>2.8</v>
      </c>
      <c r="E71" s="21">
        <v>4.9000000000000004</v>
      </c>
      <c r="F71" s="21">
        <v>10.7</v>
      </c>
      <c r="G71" s="21">
        <v>23.9</v>
      </c>
      <c r="H71" s="21">
        <v>47.2</v>
      </c>
      <c r="I71" s="22">
        <v>59</v>
      </c>
      <c r="J71" s="23"/>
      <c r="K71" s="171" t="s">
        <v>14</v>
      </c>
      <c r="L71" s="171"/>
    </row>
    <row r="72" spans="1:26" ht="18" customHeight="1">
      <c r="A72" s="355"/>
      <c r="B72" s="222" t="s">
        <v>268</v>
      </c>
      <c r="C72" s="47"/>
      <c r="D72" s="48">
        <f t="shared" ref="D72:I72" si="9">SUBTOTAL(9,D73:D76)</f>
        <v>8</v>
      </c>
      <c r="E72" s="49">
        <f t="shared" si="9"/>
        <v>8</v>
      </c>
      <c r="F72" s="49">
        <f t="shared" si="9"/>
        <v>8</v>
      </c>
      <c r="G72" s="49">
        <f t="shared" si="9"/>
        <v>16</v>
      </c>
      <c r="H72" s="49">
        <f t="shared" si="9"/>
        <v>16</v>
      </c>
      <c r="I72" s="50">
        <f t="shared" si="9"/>
        <v>16</v>
      </c>
      <c r="J72" s="287"/>
      <c r="K72" s="171" t="s">
        <v>14</v>
      </c>
      <c r="L72" s="171"/>
    </row>
    <row r="73" spans="1:26" ht="18" customHeight="1" thickBot="1">
      <c r="A73" s="326">
        <v>25</v>
      </c>
      <c r="B73" s="223" t="s">
        <v>1967</v>
      </c>
      <c r="C73" s="237"/>
      <c r="D73" s="197">
        <f t="array" ref="D73:I76">ROUNDDOWN(D40:I43*L40:L43*I5,3)</f>
        <v>2</v>
      </c>
      <c r="E73" s="198">
        <v>2</v>
      </c>
      <c r="F73" s="198">
        <v>2</v>
      </c>
      <c r="G73" s="198">
        <v>4</v>
      </c>
      <c r="H73" s="198">
        <v>4</v>
      </c>
      <c r="I73" s="199">
        <v>4</v>
      </c>
      <c r="J73" s="74"/>
      <c r="K73" s="171" t="s">
        <v>14</v>
      </c>
      <c r="L73" s="171"/>
      <c r="M73" s="171"/>
      <c r="N73" s="66" t="s">
        <v>18</v>
      </c>
      <c r="O73" s="2"/>
      <c r="P73" s="2"/>
      <c r="Q73" s="2"/>
      <c r="R73" s="3"/>
      <c r="S73" s="4"/>
      <c r="T73" s="3"/>
      <c r="U73" s="4"/>
      <c r="V73" s="3"/>
      <c r="W73" s="4"/>
      <c r="X73" s="3"/>
      <c r="Y73" s="4"/>
      <c r="Z73" s="2"/>
    </row>
    <row r="74" spans="1:26" ht="18" customHeight="1">
      <c r="A74" s="326">
        <v>26</v>
      </c>
      <c r="B74" s="223" t="s">
        <v>1968</v>
      </c>
      <c r="C74" s="237"/>
      <c r="D74" s="197">
        <v>2</v>
      </c>
      <c r="E74" s="198">
        <v>2</v>
      </c>
      <c r="F74" s="198">
        <v>2</v>
      </c>
      <c r="G74" s="198">
        <v>4</v>
      </c>
      <c r="H74" s="198">
        <v>4</v>
      </c>
      <c r="I74" s="199">
        <v>4</v>
      </c>
      <c r="J74" s="74"/>
      <c r="K74" s="171" t="s">
        <v>14</v>
      </c>
      <c r="L74" s="171"/>
      <c r="M74" s="171"/>
      <c r="N74" s="765" t="s">
        <v>19</v>
      </c>
      <c r="O74" s="755" t="s">
        <v>20</v>
      </c>
      <c r="P74" s="755" t="s">
        <v>21</v>
      </c>
      <c r="Q74" s="755" t="s">
        <v>16</v>
      </c>
      <c r="R74" s="5" t="s">
        <v>22</v>
      </c>
      <c r="S74" s="5"/>
      <c r="T74" s="5" t="s">
        <v>23</v>
      </c>
      <c r="U74" s="5"/>
      <c r="V74" s="5" t="s">
        <v>24</v>
      </c>
      <c r="W74" s="5"/>
      <c r="X74" s="5" t="s">
        <v>25</v>
      </c>
      <c r="Y74" s="5"/>
      <c r="Z74" s="755" t="s">
        <v>26</v>
      </c>
    </row>
    <row r="75" spans="1:26" ht="18" customHeight="1" thickBot="1">
      <c r="A75" s="326">
        <v>27</v>
      </c>
      <c r="B75" s="223" t="s">
        <v>1969</v>
      </c>
      <c r="C75" s="237"/>
      <c r="D75" s="197">
        <v>2</v>
      </c>
      <c r="E75" s="198">
        <v>2</v>
      </c>
      <c r="F75" s="198">
        <v>2</v>
      </c>
      <c r="G75" s="198">
        <v>4</v>
      </c>
      <c r="H75" s="198">
        <v>4</v>
      </c>
      <c r="I75" s="199">
        <v>4</v>
      </c>
      <c r="J75" s="74"/>
      <c r="K75" s="171" t="s">
        <v>14</v>
      </c>
      <c r="L75" s="171"/>
      <c r="M75" s="171"/>
      <c r="N75" s="766"/>
      <c r="O75" s="756"/>
      <c r="P75" s="756"/>
      <c r="Q75" s="756"/>
      <c r="R75" s="67" t="s">
        <v>27</v>
      </c>
      <c r="S75" s="67" t="s">
        <v>28</v>
      </c>
      <c r="T75" s="67" t="s">
        <v>27</v>
      </c>
      <c r="U75" s="67" t="s">
        <v>28</v>
      </c>
      <c r="V75" s="67" t="s">
        <v>27</v>
      </c>
      <c r="W75" s="67" t="s">
        <v>28</v>
      </c>
      <c r="X75" s="67" t="s">
        <v>27</v>
      </c>
      <c r="Y75" s="67" t="s">
        <v>28</v>
      </c>
      <c r="Z75" s="756"/>
    </row>
    <row r="76" spans="1:26" ht="18" customHeight="1" thickTop="1" thickBot="1">
      <c r="A76" s="326">
        <v>28</v>
      </c>
      <c r="B76" s="388" t="s">
        <v>1970</v>
      </c>
      <c r="C76" s="401"/>
      <c r="D76" s="343">
        <v>2</v>
      </c>
      <c r="E76" s="344">
        <v>2</v>
      </c>
      <c r="F76" s="344">
        <v>2</v>
      </c>
      <c r="G76" s="344">
        <v>4</v>
      </c>
      <c r="H76" s="344">
        <v>4</v>
      </c>
      <c r="I76" s="345">
        <v>4</v>
      </c>
      <c r="J76" s="176"/>
      <c r="K76" s="171" t="s">
        <v>14</v>
      </c>
      <c r="L76" s="171"/>
      <c r="M76" s="171"/>
      <c r="N76" s="318" t="str">
        <f ca="1">"제 " &amp; Z76 &amp; " 호표  "&amp; OFFSET($A$1,MATCH(Z76,$A:$A,0)-1,1)</f>
        <v>제 1 호표  1.1. 도시현황조사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v>1</v>
      </c>
    </row>
    <row r="77" spans="1:26" ht="18" customHeight="1">
      <c r="A77" s="326"/>
      <c r="B77" s="85" t="s">
        <v>15</v>
      </c>
      <c r="C77" s="9" t="s">
        <v>526</v>
      </c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11.8</v>
      </c>
      <c r="Q77" s="141" t="s">
        <v>29</v>
      </c>
      <c r="R77" s="142">
        <f t="shared" ref="R77:S82" ca="1" si="10">T77</f>
        <v>467217</v>
      </c>
      <c r="S77" s="142">
        <f t="shared" ca="1" si="10"/>
        <v>5513160</v>
      </c>
      <c r="T77" s="142">
        <f ca="1">기술사</f>
        <v>467217</v>
      </c>
      <c r="U77" s="142">
        <f t="shared" ref="U77:U82" ca="1" si="11">ROUNDDOWN(P77*R77,0)</f>
        <v>5513160</v>
      </c>
      <c r="V77" s="142"/>
      <c r="W77" s="142"/>
      <c r="X77" s="142"/>
      <c r="Y77" s="142"/>
      <c r="Z77" s="114"/>
    </row>
    <row r="78" spans="1:26" ht="18" customHeight="1">
      <c r="A78" s="326"/>
      <c r="B78" s="8"/>
      <c r="C78" s="9" t="s">
        <v>230</v>
      </c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18.899999999999999</v>
      </c>
      <c r="Q78" s="144" t="s">
        <v>29</v>
      </c>
      <c r="R78" s="118">
        <f t="shared" ca="1" si="10"/>
        <v>373353</v>
      </c>
      <c r="S78" s="118">
        <f t="shared" ca="1" si="10"/>
        <v>7056371</v>
      </c>
      <c r="T78" s="118">
        <f ca="1">특급</f>
        <v>373353</v>
      </c>
      <c r="U78" s="118">
        <f t="shared" ca="1" si="11"/>
        <v>7056371</v>
      </c>
      <c r="V78" s="118"/>
      <c r="W78" s="118"/>
      <c r="X78" s="118"/>
      <c r="Y78" s="118"/>
      <c r="Z78" s="115"/>
    </row>
    <row r="79" spans="1:26" ht="18" customHeight="1">
      <c r="A79" s="326"/>
      <c r="B79" s="80"/>
      <c r="C79" s="9" t="s">
        <v>527</v>
      </c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79.3</v>
      </c>
      <c r="Q79" s="144" t="s">
        <v>29</v>
      </c>
      <c r="R79" s="118">
        <f t="shared" ca="1" si="10"/>
        <v>310884</v>
      </c>
      <c r="S79" s="118">
        <f t="shared" ca="1" si="10"/>
        <v>24653101</v>
      </c>
      <c r="T79" s="118">
        <f ca="1">고급</f>
        <v>310884</v>
      </c>
      <c r="U79" s="118">
        <f t="shared" ca="1" si="11"/>
        <v>24653101</v>
      </c>
      <c r="V79" s="118"/>
      <c r="W79" s="118"/>
      <c r="X79" s="118"/>
      <c r="Y79" s="118"/>
      <c r="Z79" s="115"/>
    </row>
    <row r="80" spans="1:26" ht="18" customHeight="1">
      <c r="A80" s="326"/>
      <c r="C80" s="9"/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119.7</v>
      </c>
      <c r="Q80" s="144" t="s">
        <v>29</v>
      </c>
      <c r="R80" s="118">
        <f t="shared" ca="1" si="10"/>
        <v>295138</v>
      </c>
      <c r="S80" s="118">
        <f t="shared" ca="1" si="10"/>
        <v>35328018</v>
      </c>
      <c r="T80" s="118">
        <f ca="1">중급</f>
        <v>295138</v>
      </c>
      <c r="U80" s="118">
        <f t="shared" ca="1" si="11"/>
        <v>35328018</v>
      </c>
      <c r="V80" s="118"/>
      <c r="W80" s="118"/>
      <c r="X80" s="118"/>
      <c r="Y80" s="118"/>
      <c r="Z80" s="115"/>
    </row>
    <row r="81" spans="1:26" ht="18" customHeight="1">
      <c r="A81" s="326"/>
      <c r="C81" s="9"/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198.8</v>
      </c>
      <c r="Q81" s="144" t="s">
        <v>29</v>
      </c>
      <c r="R81" s="118">
        <f t="shared" ca="1" si="10"/>
        <v>235459</v>
      </c>
      <c r="S81" s="118">
        <f t="shared" ca="1" si="10"/>
        <v>46809249</v>
      </c>
      <c r="T81" s="118">
        <f ca="1">초급</f>
        <v>235459</v>
      </c>
      <c r="U81" s="118">
        <f t="shared" ca="1" si="11"/>
        <v>46809249</v>
      </c>
      <c r="V81" s="118"/>
      <c r="W81" s="118"/>
      <c r="X81" s="118"/>
      <c r="Y81" s="118"/>
      <c r="Z81" s="115"/>
    </row>
    <row r="82" spans="1:26" ht="18" customHeight="1">
      <c r="A82" s="326"/>
      <c r="C82" s="9"/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214.5</v>
      </c>
      <c r="Q82" s="322" t="s">
        <v>29</v>
      </c>
      <c r="R82" s="323">
        <f t="shared" ca="1" si="10"/>
        <v>250087</v>
      </c>
      <c r="S82" s="323">
        <f t="shared" ca="1" si="10"/>
        <v>53643661</v>
      </c>
      <c r="T82" s="323">
        <f ca="1">보조원</f>
        <v>250087</v>
      </c>
      <c r="U82" s="323">
        <f t="shared" ca="1" si="11"/>
        <v>53643661</v>
      </c>
      <c r="V82" s="323"/>
      <c r="W82" s="323"/>
      <c r="X82" s="323"/>
      <c r="Y82" s="323"/>
      <c r="Z82" s="324"/>
    </row>
    <row r="83" spans="1:26" ht="18" customHeight="1">
      <c r="A83" s="326"/>
      <c r="C83" s="9"/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173003560</v>
      </c>
      <c r="T83" s="71"/>
      <c r="U83" s="71">
        <f ca="1">SUBTOTAL(9,U77:U82)</f>
        <v>173003560</v>
      </c>
      <c r="V83" s="71"/>
      <c r="W83" s="71"/>
      <c r="X83" s="71"/>
      <c r="Y83" s="71"/>
      <c r="Z83" s="68"/>
    </row>
    <row r="84" spans="1:26" ht="18" customHeight="1">
      <c r="A84" s="326"/>
      <c r="C84" s="9"/>
      <c r="K84" s="171" t="s">
        <v>14</v>
      </c>
      <c r="L84" s="171"/>
      <c r="M84" s="171"/>
      <c r="N84" s="318" t="str">
        <f ca="1">"제 " &amp; Z84 &amp; " 호표  "&amp; OFFSET($A$1,MATCH(Z84,$A:$A,0)-1,1)</f>
        <v>제 2 호표  1.2. 관련계획조사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2</v>
      </c>
    </row>
    <row r="85" spans="1:26" ht="18" customHeight="1">
      <c r="A85" s="326"/>
      <c r="C85" s="9"/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1.3</v>
      </c>
      <c r="Q85" s="141" t="s">
        <v>29</v>
      </c>
      <c r="R85" s="142">
        <f t="shared" ref="R85:S90" ca="1" si="12">T85</f>
        <v>467217</v>
      </c>
      <c r="S85" s="142">
        <f t="shared" ca="1" si="12"/>
        <v>607382</v>
      </c>
      <c r="T85" s="142">
        <f ca="1">기술사</f>
        <v>467217</v>
      </c>
      <c r="U85" s="142">
        <f t="shared" ref="U85:U90" ca="1" si="13">ROUNDDOWN(P85*R85,0)</f>
        <v>607382</v>
      </c>
      <c r="V85" s="142"/>
      <c r="W85" s="142"/>
      <c r="X85" s="142"/>
      <c r="Y85" s="142"/>
      <c r="Z85" s="114"/>
    </row>
    <row r="86" spans="1:26" ht="18" customHeight="1">
      <c r="A86" s="326"/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2.1</v>
      </c>
      <c r="Q86" s="144" t="s">
        <v>29</v>
      </c>
      <c r="R86" s="118">
        <f t="shared" ca="1" si="12"/>
        <v>373353</v>
      </c>
      <c r="S86" s="118">
        <f t="shared" ca="1" si="12"/>
        <v>784041</v>
      </c>
      <c r="T86" s="118">
        <f ca="1">특급</f>
        <v>373353</v>
      </c>
      <c r="U86" s="118">
        <f t="shared" ca="1" si="13"/>
        <v>784041</v>
      </c>
      <c r="V86" s="118"/>
      <c r="W86" s="118"/>
      <c r="X86" s="118"/>
      <c r="Y86" s="118"/>
      <c r="Z86" s="115"/>
    </row>
    <row r="87" spans="1:26" ht="18" customHeight="1">
      <c r="A87" s="326"/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2.8</v>
      </c>
      <c r="Q87" s="144" t="s">
        <v>29</v>
      </c>
      <c r="R87" s="118">
        <f t="shared" ca="1" si="12"/>
        <v>310884</v>
      </c>
      <c r="S87" s="118">
        <f t="shared" ca="1" si="12"/>
        <v>870475</v>
      </c>
      <c r="T87" s="118">
        <f ca="1">고급</f>
        <v>310884</v>
      </c>
      <c r="U87" s="118">
        <f t="shared" ca="1" si="13"/>
        <v>870475</v>
      </c>
      <c r="V87" s="118"/>
      <c r="W87" s="118"/>
      <c r="X87" s="118"/>
      <c r="Y87" s="118"/>
      <c r="Z87" s="115"/>
    </row>
    <row r="88" spans="1:26" ht="18" customHeight="1">
      <c r="A88" s="326"/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7.8</v>
      </c>
      <c r="Q88" s="144" t="s">
        <v>29</v>
      </c>
      <c r="R88" s="118">
        <f t="shared" ca="1" si="12"/>
        <v>295138</v>
      </c>
      <c r="S88" s="118">
        <f t="shared" ca="1" si="12"/>
        <v>2302076</v>
      </c>
      <c r="T88" s="118">
        <f ca="1">중급</f>
        <v>295138</v>
      </c>
      <c r="U88" s="118">
        <f t="shared" ca="1" si="13"/>
        <v>2302076</v>
      </c>
      <c r="V88" s="118"/>
      <c r="W88" s="118"/>
      <c r="X88" s="118"/>
      <c r="Y88" s="118"/>
      <c r="Z88" s="115"/>
    </row>
    <row r="89" spans="1:26" ht="18" customHeight="1">
      <c r="A89" s="326"/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7.8</v>
      </c>
      <c r="Q89" s="144" t="s">
        <v>29</v>
      </c>
      <c r="R89" s="118">
        <f t="shared" ca="1" si="12"/>
        <v>235459</v>
      </c>
      <c r="S89" s="118">
        <f t="shared" ca="1" si="12"/>
        <v>1836580</v>
      </c>
      <c r="T89" s="118">
        <f ca="1">초급</f>
        <v>235459</v>
      </c>
      <c r="U89" s="118">
        <f t="shared" ca="1" si="13"/>
        <v>1836580</v>
      </c>
      <c r="V89" s="118"/>
      <c r="W89" s="118"/>
      <c r="X89" s="118"/>
      <c r="Y89" s="118"/>
      <c r="Z89" s="115"/>
    </row>
    <row r="90" spans="1:26" ht="18" customHeight="1">
      <c r="A90" s="326"/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10.5</v>
      </c>
      <c r="Q90" s="322" t="s">
        <v>29</v>
      </c>
      <c r="R90" s="323">
        <f t="shared" ca="1" si="12"/>
        <v>250087</v>
      </c>
      <c r="S90" s="323">
        <f t="shared" ca="1" si="12"/>
        <v>2625913</v>
      </c>
      <c r="T90" s="323">
        <f ca="1">보조원</f>
        <v>250087</v>
      </c>
      <c r="U90" s="323">
        <f t="shared" ca="1" si="13"/>
        <v>2625913</v>
      </c>
      <c r="V90" s="323"/>
      <c r="W90" s="323"/>
      <c r="X90" s="323"/>
      <c r="Y90" s="323"/>
      <c r="Z90" s="324"/>
    </row>
    <row r="91" spans="1:26" ht="18" customHeight="1">
      <c r="A91" s="326"/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9026467</v>
      </c>
      <c r="T91" s="71"/>
      <c r="U91" s="71">
        <f ca="1">SUBTOTAL(9,U85:U90)</f>
        <v>9026467</v>
      </c>
      <c r="V91" s="71"/>
      <c r="W91" s="71"/>
      <c r="X91" s="71"/>
      <c r="Y91" s="71"/>
      <c r="Z91" s="68"/>
    </row>
    <row r="92" spans="1:26" ht="18" customHeight="1">
      <c r="A92" s="326"/>
      <c r="K92" s="171" t="s">
        <v>14</v>
      </c>
      <c r="L92" s="171"/>
      <c r="M92" s="171"/>
      <c r="N92" s="318" t="str">
        <f ca="1">"제 " &amp; Z92 &amp; " 호표  "&amp; OFFSET($A$1,MATCH(Z92,$A:$A,0)-1,1)</f>
        <v>제 3 호표  1.3. 교통관계조사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3</v>
      </c>
    </row>
    <row r="93" spans="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1.5</v>
      </c>
      <c r="Q93" s="141" t="s">
        <v>29</v>
      </c>
      <c r="R93" s="142">
        <f t="shared" ref="R93:R98" ca="1" si="14">T93</f>
        <v>467217</v>
      </c>
      <c r="S93" s="142">
        <f t="shared" ref="S93:S98" ca="1" si="15">U93</f>
        <v>700825</v>
      </c>
      <c r="T93" s="142">
        <f ca="1">기술사</f>
        <v>467217</v>
      </c>
      <c r="U93" s="142">
        <f t="shared" ref="U93:U98" ca="1" si="16">ROUNDDOWN(P93*R93,0)</f>
        <v>700825</v>
      </c>
      <c r="V93" s="142"/>
      <c r="W93" s="142"/>
      <c r="X93" s="142"/>
      <c r="Y93" s="142"/>
      <c r="Z93" s="114"/>
    </row>
    <row r="94" spans="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2.2999999999999998</v>
      </c>
      <c r="Q94" s="144" t="s">
        <v>29</v>
      </c>
      <c r="R94" s="118">
        <f t="shared" ca="1" si="14"/>
        <v>373353</v>
      </c>
      <c r="S94" s="118">
        <f t="shared" ca="1" si="15"/>
        <v>858711</v>
      </c>
      <c r="T94" s="118">
        <f ca="1">특급</f>
        <v>373353</v>
      </c>
      <c r="U94" s="118">
        <f t="shared" ca="1" si="16"/>
        <v>858711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5.2</v>
      </c>
      <c r="Q95" s="144" t="s">
        <v>29</v>
      </c>
      <c r="R95" s="118">
        <f t="shared" ca="1" si="14"/>
        <v>310884</v>
      </c>
      <c r="S95" s="118">
        <f t="shared" ca="1" si="15"/>
        <v>1616596</v>
      </c>
      <c r="T95" s="118">
        <f ca="1">고급</f>
        <v>310884</v>
      </c>
      <c r="U95" s="118">
        <f t="shared" ca="1" si="16"/>
        <v>1616596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10.5</v>
      </c>
      <c r="Q96" s="144" t="s">
        <v>29</v>
      </c>
      <c r="R96" s="118">
        <f t="shared" ca="1" si="14"/>
        <v>295138</v>
      </c>
      <c r="S96" s="118">
        <f t="shared" ca="1" si="15"/>
        <v>3098949</v>
      </c>
      <c r="T96" s="118">
        <f ca="1">중급</f>
        <v>295138</v>
      </c>
      <c r="U96" s="118">
        <f t="shared" ca="1" si="16"/>
        <v>3098949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10.199999999999999</v>
      </c>
      <c r="Q97" s="144" t="s">
        <v>29</v>
      </c>
      <c r="R97" s="118">
        <f t="shared" ca="1" si="14"/>
        <v>235459</v>
      </c>
      <c r="S97" s="118">
        <f t="shared" ca="1" si="15"/>
        <v>2401681</v>
      </c>
      <c r="T97" s="118">
        <f ca="1">초급</f>
        <v>235459</v>
      </c>
      <c r="U97" s="118">
        <f t="shared" ca="1" si="16"/>
        <v>2401681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10.5</v>
      </c>
      <c r="Q98" s="322" t="s">
        <v>29</v>
      </c>
      <c r="R98" s="323">
        <f t="shared" ca="1" si="14"/>
        <v>250087</v>
      </c>
      <c r="S98" s="323">
        <f t="shared" ca="1" si="15"/>
        <v>2625913</v>
      </c>
      <c r="T98" s="323">
        <f ca="1">보조원</f>
        <v>250087</v>
      </c>
      <c r="U98" s="323">
        <f t="shared" ca="1" si="16"/>
        <v>2625913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11302675</v>
      </c>
      <c r="T99" s="71"/>
      <c r="U99" s="71">
        <f ca="1">SUBTOTAL(9,U93:U98)</f>
        <v>11302675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4 호표  1.4. 시설관계조사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4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1.5</v>
      </c>
      <c r="Q101" s="141" t="s">
        <v>29</v>
      </c>
      <c r="R101" s="142">
        <f t="shared" ref="R101:R106" ca="1" si="17">T101</f>
        <v>467217</v>
      </c>
      <c r="S101" s="142">
        <f t="shared" ref="S101:S106" ca="1" si="18">U101</f>
        <v>700825</v>
      </c>
      <c r="T101" s="142">
        <f ca="1">기술사</f>
        <v>467217</v>
      </c>
      <c r="U101" s="142">
        <f t="shared" ref="U101:U106" ca="1" si="19">ROUNDDOWN(P101*R101,0)</f>
        <v>700825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2.2999999999999998</v>
      </c>
      <c r="Q102" s="144" t="s">
        <v>29</v>
      </c>
      <c r="R102" s="118">
        <f t="shared" ca="1" si="17"/>
        <v>373353</v>
      </c>
      <c r="S102" s="118">
        <f t="shared" ca="1" si="18"/>
        <v>858711</v>
      </c>
      <c r="T102" s="118">
        <f ca="1">특급</f>
        <v>373353</v>
      </c>
      <c r="U102" s="118">
        <f t="shared" ca="1" si="19"/>
        <v>858711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7.8</v>
      </c>
      <c r="Q103" s="144" t="s">
        <v>29</v>
      </c>
      <c r="R103" s="118">
        <f t="shared" ca="1" si="17"/>
        <v>310884</v>
      </c>
      <c r="S103" s="118">
        <f t="shared" ca="1" si="18"/>
        <v>2424895</v>
      </c>
      <c r="T103" s="118">
        <f ca="1">고급</f>
        <v>310884</v>
      </c>
      <c r="U103" s="118">
        <f t="shared" ca="1" si="19"/>
        <v>2424895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10.7</v>
      </c>
      <c r="Q104" s="144" t="s">
        <v>29</v>
      </c>
      <c r="R104" s="118">
        <f t="shared" ca="1" si="17"/>
        <v>295138</v>
      </c>
      <c r="S104" s="118">
        <f t="shared" ca="1" si="18"/>
        <v>3157976</v>
      </c>
      <c r="T104" s="118">
        <f ca="1">중급</f>
        <v>295138</v>
      </c>
      <c r="U104" s="118">
        <f t="shared" ca="1" si="19"/>
        <v>3157976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13.1</v>
      </c>
      <c r="Q105" s="144" t="s">
        <v>29</v>
      </c>
      <c r="R105" s="118">
        <f t="shared" ca="1" si="17"/>
        <v>235459</v>
      </c>
      <c r="S105" s="118">
        <f t="shared" ca="1" si="18"/>
        <v>3084512</v>
      </c>
      <c r="T105" s="118">
        <f ca="1">초급</f>
        <v>235459</v>
      </c>
      <c r="U105" s="118">
        <f t="shared" ca="1" si="19"/>
        <v>3084512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13.3</v>
      </c>
      <c r="Q106" s="322" t="s">
        <v>29</v>
      </c>
      <c r="R106" s="323">
        <f t="shared" ca="1" si="17"/>
        <v>250087</v>
      </c>
      <c r="S106" s="323">
        <f t="shared" ca="1" si="18"/>
        <v>3326157</v>
      </c>
      <c r="T106" s="323">
        <f ca="1">보조원</f>
        <v>250087</v>
      </c>
      <c r="U106" s="323">
        <f t="shared" ca="1" si="19"/>
        <v>3326157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13553076</v>
      </c>
      <c r="T107" s="71"/>
      <c r="U107" s="71">
        <f ca="1">SUBTOTAL(9,U101:U106)</f>
        <v>13553076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5 호표  1.5. 공급처리시설 관계조사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5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1.3</v>
      </c>
      <c r="Q109" s="141" t="s">
        <v>29</v>
      </c>
      <c r="R109" s="142">
        <f t="shared" ref="R109:R114" ca="1" si="20">T109</f>
        <v>467217</v>
      </c>
      <c r="S109" s="142">
        <f t="shared" ref="S109:S114" ca="1" si="21">U109</f>
        <v>607382</v>
      </c>
      <c r="T109" s="142">
        <f ca="1">기술사</f>
        <v>467217</v>
      </c>
      <c r="U109" s="142">
        <f t="shared" ref="U109:U114" ca="1" si="22">ROUNDDOWN(P109*R109,0)</f>
        <v>607382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2.1</v>
      </c>
      <c r="Q110" s="144" t="s">
        <v>29</v>
      </c>
      <c r="R110" s="118">
        <f t="shared" ca="1" si="20"/>
        <v>373353</v>
      </c>
      <c r="S110" s="118">
        <f t="shared" ca="1" si="21"/>
        <v>784041</v>
      </c>
      <c r="T110" s="118">
        <f ca="1">특급</f>
        <v>373353</v>
      </c>
      <c r="U110" s="118">
        <f t="shared" ca="1" si="22"/>
        <v>784041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5.5</v>
      </c>
      <c r="Q111" s="144" t="s">
        <v>29</v>
      </c>
      <c r="R111" s="118">
        <f t="shared" ca="1" si="20"/>
        <v>310884</v>
      </c>
      <c r="S111" s="118">
        <f t="shared" ca="1" si="21"/>
        <v>1709862</v>
      </c>
      <c r="T111" s="118">
        <f ca="1">고급</f>
        <v>310884</v>
      </c>
      <c r="U111" s="118">
        <f t="shared" ca="1" si="22"/>
        <v>1709862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7.8</v>
      </c>
      <c r="Q112" s="144" t="s">
        <v>29</v>
      </c>
      <c r="R112" s="118">
        <f t="shared" ca="1" si="20"/>
        <v>295138</v>
      </c>
      <c r="S112" s="118">
        <f t="shared" ca="1" si="21"/>
        <v>2302076</v>
      </c>
      <c r="T112" s="118">
        <f ca="1">중급</f>
        <v>295138</v>
      </c>
      <c r="U112" s="118">
        <f t="shared" ca="1" si="22"/>
        <v>2302076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8.4</v>
      </c>
      <c r="Q113" s="144" t="s">
        <v>29</v>
      </c>
      <c r="R113" s="118">
        <f t="shared" ca="1" si="20"/>
        <v>235459</v>
      </c>
      <c r="S113" s="118">
        <f t="shared" ca="1" si="21"/>
        <v>1977855</v>
      </c>
      <c r="T113" s="118">
        <f ca="1">초급</f>
        <v>235459</v>
      </c>
      <c r="U113" s="118">
        <f t="shared" ca="1" si="22"/>
        <v>1977855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7.8</v>
      </c>
      <c r="Q114" s="322" t="s">
        <v>29</v>
      </c>
      <c r="R114" s="323">
        <f t="shared" ca="1" si="20"/>
        <v>250087</v>
      </c>
      <c r="S114" s="323">
        <f t="shared" ca="1" si="21"/>
        <v>1950678</v>
      </c>
      <c r="T114" s="323">
        <f ca="1">보조원</f>
        <v>250087</v>
      </c>
      <c r="U114" s="323">
        <f t="shared" ca="1" si="22"/>
        <v>1950678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9331894</v>
      </c>
      <c r="T115" s="71"/>
      <c r="U115" s="71">
        <f ca="1">SUBTOTAL(9,U109:U114)</f>
        <v>9331894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6 호표  2.1. 기본원칙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6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1.8</v>
      </c>
      <c r="Q117" s="141" t="s">
        <v>29</v>
      </c>
      <c r="R117" s="142">
        <f t="shared" ref="R117:R122" ca="1" si="23">T117</f>
        <v>467217</v>
      </c>
      <c r="S117" s="142">
        <f t="shared" ref="S117:S122" ca="1" si="24">U117</f>
        <v>840990</v>
      </c>
      <c r="T117" s="142">
        <f ca="1">기술사</f>
        <v>467217</v>
      </c>
      <c r="U117" s="142">
        <f t="shared" ref="U117:U122" ca="1" si="25">ROUNDDOWN(P117*R117,0)</f>
        <v>840990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2.9</v>
      </c>
      <c r="Q118" s="144" t="s">
        <v>29</v>
      </c>
      <c r="R118" s="118">
        <f t="shared" ca="1" si="23"/>
        <v>373353</v>
      </c>
      <c r="S118" s="118">
        <f t="shared" ca="1" si="24"/>
        <v>1082723</v>
      </c>
      <c r="T118" s="118">
        <f ca="1">특급</f>
        <v>373353</v>
      </c>
      <c r="U118" s="118">
        <f t="shared" ca="1" si="25"/>
        <v>1082723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5.8</v>
      </c>
      <c r="Q119" s="144" t="s">
        <v>29</v>
      </c>
      <c r="R119" s="118">
        <f t="shared" ca="1" si="23"/>
        <v>310884</v>
      </c>
      <c r="S119" s="118">
        <f t="shared" ca="1" si="24"/>
        <v>1803127</v>
      </c>
      <c r="T119" s="118">
        <f ca="1">고급</f>
        <v>310884</v>
      </c>
      <c r="U119" s="118">
        <f t="shared" ca="1" si="25"/>
        <v>1803127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9.6</v>
      </c>
      <c r="Q120" s="144" t="s">
        <v>29</v>
      </c>
      <c r="R120" s="118">
        <f t="shared" ca="1" si="23"/>
        <v>295138</v>
      </c>
      <c r="S120" s="118">
        <f t="shared" ca="1" si="24"/>
        <v>2833324</v>
      </c>
      <c r="T120" s="118">
        <f ca="1">중급</f>
        <v>295138</v>
      </c>
      <c r="U120" s="118">
        <f t="shared" ca="1" si="25"/>
        <v>2833324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14.4</v>
      </c>
      <c r="Q121" s="144" t="s">
        <v>29</v>
      </c>
      <c r="R121" s="118">
        <f t="shared" ca="1" si="23"/>
        <v>235459</v>
      </c>
      <c r="S121" s="118">
        <f t="shared" ca="1" si="24"/>
        <v>3390609</v>
      </c>
      <c r="T121" s="118">
        <f ca="1">초급</f>
        <v>235459</v>
      </c>
      <c r="U121" s="118">
        <f t="shared" ca="1" si="25"/>
        <v>3390609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9.1999999999999993</v>
      </c>
      <c r="Q122" s="322" t="s">
        <v>29</v>
      </c>
      <c r="R122" s="323">
        <f t="shared" ca="1" si="23"/>
        <v>250087</v>
      </c>
      <c r="S122" s="323">
        <f t="shared" ca="1" si="24"/>
        <v>2300800</v>
      </c>
      <c r="T122" s="323">
        <f ca="1">보조원</f>
        <v>250087</v>
      </c>
      <c r="U122" s="323">
        <f t="shared" ca="1" si="25"/>
        <v>2300800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12251573</v>
      </c>
      <c r="T123" s="71"/>
      <c r="U123" s="71">
        <f ca="1">SUBTOTAL(9,U117:U122)</f>
        <v>12251573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7 호표  2.2. 정비예정구역의 설정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7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1.3</v>
      </c>
      <c r="Q125" s="141" t="s">
        <v>29</v>
      </c>
      <c r="R125" s="142">
        <f t="shared" ref="R125:R130" ca="1" si="26">T125</f>
        <v>467217</v>
      </c>
      <c r="S125" s="142">
        <f t="shared" ref="S125:S130" ca="1" si="27">U125</f>
        <v>607382</v>
      </c>
      <c r="T125" s="142">
        <f ca="1">기술사</f>
        <v>467217</v>
      </c>
      <c r="U125" s="142">
        <f t="shared" ref="U125:U130" ca="1" si="28">ROUNDDOWN(P125*R125,0)</f>
        <v>607382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2.1</v>
      </c>
      <c r="Q126" s="144" t="s">
        <v>29</v>
      </c>
      <c r="R126" s="118">
        <f t="shared" ca="1" si="26"/>
        <v>373353</v>
      </c>
      <c r="S126" s="118">
        <f t="shared" ca="1" si="27"/>
        <v>784041</v>
      </c>
      <c r="T126" s="118">
        <f ca="1">특급</f>
        <v>373353</v>
      </c>
      <c r="U126" s="118">
        <f t="shared" ca="1" si="28"/>
        <v>784041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3.9</v>
      </c>
      <c r="Q127" s="144" t="s">
        <v>29</v>
      </c>
      <c r="R127" s="118">
        <f t="shared" ca="1" si="26"/>
        <v>310884</v>
      </c>
      <c r="S127" s="118">
        <f t="shared" ca="1" si="27"/>
        <v>1212447</v>
      </c>
      <c r="T127" s="118">
        <f ca="1">고급</f>
        <v>310884</v>
      </c>
      <c r="U127" s="118">
        <f t="shared" ca="1" si="28"/>
        <v>1212447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6.6</v>
      </c>
      <c r="Q128" s="144" t="s">
        <v>29</v>
      </c>
      <c r="R128" s="118">
        <f t="shared" ca="1" si="26"/>
        <v>295138</v>
      </c>
      <c r="S128" s="118">
        <f t="shared" ca="1" si="27"/>
        <v>1947910</v>
      </c>
      <c r="T128" s="118">
        <f ca="1">중급</f>
        <v>295138</v>
      </c>
      <c r="U128" s="118">
        <f t="shared" ca="1" si="28"/>
        <v>1947910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9.6999999999999993</v>
      </c>
      <c r="Q129" s="144" t="s">
        <v>29</v>
      </c>
      <c r="R129" s="118">
        <f t="shared" ca="1" si="26"/>
        <v>235459</v>
      </c>
      <c r="S129" s="118">
        <f t="shared" ca="1" si="27"/>
        <v>2283952</v>
      </c>
      <c r="T129" s="118">
        <f ca="1">초급</f>
        <v>235459</v>
      </c>
      <c r="U129" s="118">
        <f t="shared" ca="1" si="28"/>
        <v>2283952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9.1999999999999993</v>
      </c>
      <c r="Q130" s="322" t="s">
        <v>29</v>
      </c>
      <c r="R130" s="323">
        <f t="shared" ca="1" si="26"/>
        <v>250087</v>
      </c>
      <c r="S130" s="323">
        <f t="shared" ca="1" si="27"/>
        <v>2300800</v>
      </c>
      <c r="T130" s="323">
        <f ca="1">보조원</f>
        <v>250087</v>
      </c>
      <c r="U130" s="323">
        <f t="shared" ca="1" si="28"/>
        <v>2300800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9136532</v>
      </c>
      <c r="T131" s="71"/>
      <c r="U131" s="71">
        <f ca="1">SUBTOTAL(9,U125:U130)</f>
        <v>9136532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  <c r="N132" s="318" t="str">
        <f ca="1">"제 " &amp; Z132 &amp; " 호표  "&amp; OFFSET($A$1,MATCH(Z132,$A:$A,0)-1,1)</f>
        <v>제 8 호표  2.3. 도심기능의 활성화 및 도심공동화 방지 방안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8</v>
      </c>
    </row>
    <row r="133" spans="11:26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1.3</v>
      </c>
      <c r="Q133" s="141" t="s">
        <v>29</v>
      </c>
      <c r="R133" s="142">
        <f t="shared" ref="R133:R138" ca="1" si="29">T133</f>
        <v>467217</v>
      </c>
      <c r="S133" s="142">
        <f t="shared" ref="S133:S138" ca="1" si="30">U133</f>
        <v>607382</v>
      </c>
      <c r="T133" s="142">
        <f ca="1">기술사</f>
        <v>467217</v>
      </c>
      <c r="U133" s="142">
        <f t="shared" ref="U133:U138" ca="1" si="31">ROUNDDOWN(P133*R133,0)</f>
        <v>607382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2.1</v>
      </c>
      <c r="Q134" s="144" t="s">
        <v>29</v>
      </c>
      <c r="R134" s="118">
        <f t="shared" ca="1" si="29"/>
        <v>373353</v>
      </c>
      <c r="S134" s="118">
        <f t="shared" ca="1" si="30"/>
        <v>784041</v>
      </c>
      <c r="T134" s="118">
        <f ca="1">특급</f>
        <v>373353</v>
      </c>
      <c r="U134" s="118">
        <f t="shared" ca="1" si="31"/>
        <v>784041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3.9</v>
      </c>
      <c r="Q135" s="144" t="s">
        <v>29</v>
      </c>
      <c r="R135" s="118">
        <f t="shared" ca="1" si="29"/>
        <v>310884</v>
      </c>
      <c r="S135" s="118">
        <f t="shared" ca="1" si="30"/>
        <v>1212447</v>
      </c>
      <c r="T135" s="118">
        <f ca="1">고급</f>
        <v>310884</v>
      </c>
      <c r="U135" s="118">
        <f t="shared" ca="1" si="31"/>
        <v>1212447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6.6</v>
      </c>
      <c r="Q136" s="144" t="s">
        <v>29</v>
      </c>
      <c r="R136" s="118">
        <f t="shared" ca="1" si="29"/>
        <v>295138</v>
      </c>
      <c r="S136" s="118">
        <f t="shared" ca="1" si="30"/>
        <v>1947910</v>
      </c>
      <c r="T136" s="118">
        <f ca="1">중급</f>
        <v>295138</v>
      </c>
      <c r="U136" s="118">
        <f t="shared" ca="1" si="31"/>
        <v>1947910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9.6999999999999993</v>
      </c>
      <c r="Q137" s="144" t="s">
        <v>29</v>
      </c>
      <c r="R137" s="118">
        <f t="shared" ca="1" si="29"/>
        <v>235459</v>
      </c>
      <c r="S137" s="118">
        <f t="shared" ca="1" si="30"/>
        <v>2283952</v>
      </c>
      <c r="T137" s="118">
        <f ca="1">초급</f>
        <v>235459</v>
      </c>
      <c r="U137" s="118">
        <f t="shared" ca="1" si="31"/>
        <v>2283952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9.1999999999999993</v>
      </c>
      <c r="Q138" s="322" t="s">
        <v>29</v>
      </c>
      <c r="R138" s="323">
        <f t="shared" ca="1" si="29"/>
        <v>250087</v>
      </c>
      <c r="S138" s="323">
        <f t="shared" ca="1" si="30"/>
        <v>2300800</v>
      </c>
      <c r="T138" s="323">
        <f ca="1">보조원</f>
        <v>250087</v>
      </c>
      <c r="U138" s="323">
        <f t="shared" ca="1" si="31"/>
        <v>2300800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9136532</v>
      </c>
      <c r="T139" s="71"/>
      <c r="U139" s="71">
        <f ca="1">SUBTOTAL(9,U133:U138)</f>
        <v>9136532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OFFSET($A$1,MATCH(Z140,$A:$A,0)-1,1)</f>
        <v>제 9 호표  2.4. 주거지관리계획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9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1.5</v>
      </c>
      <c r="Q141" s="141" t="s">
        <v>29</v>
      </c>
      <c r="R141" s="142">
        <f t="shared" ref="R141:R146" ca="1" si="32">T141</f>
        <v>467217</v>
      </c>
      <c r="S141" s="142">
        <f t="shared" ref="S141:S146" ca="1" si="33">U141</f>
        <v>700825</v>
      </c>
      <c r="T141" s="142">
        <f ca="1">기술사</f>
        <v>467217</v>
      </c>
      <c r="U141" s="142">
        <f t="shared" ref="U141:U146" ca="1" si="34">ROUNDDOWN(P141*R141,0)</f>
        <v>700825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2.5</v>
      </c>
      <c r="Q142" s="144" t="s">
        <v>29</v>
      </c>
      <c r="R142" s="118">
        <f t="shared" ca="1" si="32"/>
        <v>373353</v>
      </c>
      <c r="S142" s="118">
        <f t="shared" ca="1" si="33"/>
        <v>933382</v>
      </c>
      <c r="T142" s="118">
        <f ca="1">특급</f>
        <v>373353</v>
      </c>
      <c r="U142" s="118">
        <f t="shared" ca="1" si="34"/>
        <v>933382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4.9000000000000004</v>
      </c>
      <c r="Q143" s="144" t="s">
        <v>29</v>
      </c>
      <c r="R143" s="118">
        <f t="shared" ca="1" si="32"/>
        <v>310884</v>
      </c>
      <c r="S143" s="118">
        <f t="shared" ca="1" si="33"/>
        <v>1523331</v>
      </c>
      <c r="T143" s="118">
        <f ca="1">고급</f>
        <v>310884</v>
      </c>
      <c r="U143" s="118">
        <f t="shared" ca="1" si="34"/>
        <v>1523331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8.1</v>
      </c>
      <c r="Q144" s="144" t="s">
        <v>29</v>
      </c>
      <c r="R144" s="118">
        <f t="shared" ca="1" si="32"/>
        <v>295138</v>
      </c>
      <c r="S144" s="118">
        <f t="shared" ca="1" si="33"/>
        <v>2390617</v>
      </c>
      <c r="T144" s="118">
        <f ca="1">중급</f>
        <v>295138</v>
      </c>
      <c r="U144" s="118">
        <f t="shared" ca="1" si="34"/>
        <v>2390617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11.9</v>
      </c>
      <c r="Q145" s="144" t="s">
        <v>29</v>
      </c>
      <c r="R145" s="118">
        <f t="shared" ca="1" si="32"/>
        <v>235459</v>
      </c>
      <c r="S145" s="118">
        <f t="shared" ca="1" si="33"/>
        <v>2801962</v>
      </c>
      <c r="T145" s="118">
        <f ca="1">초급</f>
        <v>235459</v>
      </c>
      <c r="U145" s="118">
        <f t="shared" ca="1" si="34"/>
        <v>2801962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11.5</v>
      </c>
      <c r="Q146" s="322" t="s">
        <v>29</v>
      </c>
      <c r="R146" s="323">
        <f t="shared" ca="1" si="32"/>
        <v>250087</v>
      </c>
      <c r="S146" s="323">
        <f t="shared" ca="1" si="33"/>
        <v>2876000</v>
      </c>
      <c r="T146" s="323">
        <f ca="1">보조원</f>
        <v>250087</v>
      </c>
      <c r="U146" s="323">
        <f t="shared" ca="1" si="34"/>
        <v>2876000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11226117</v>
      </c>
      <c r="T147" s="71"/>
      <c r="U147" s="71">
        <f ca="1">SUBTOTAL(9,U141:U146)</f>
        <v>11226117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N148" s="318" t="str">
        <f ca="1">"제 " &amp; Z148 &amp; " 호표  "&amp; OFFSET($A$1,MATCH(Z148,$A:$A,0)-1,1)</f>
        <v>제 10 호표  2.5. 공공과 민간의 역할분담 계획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10</v>
      </c>
    </row>
    <row r="149" spans="11:26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1.3</v>
      </c>
      <c r="Q149" s="141" t="s">
        <v>29</v>
      </c>
      <c r="R149" s="142">
        <f t="shared" ref="R149:R154" ca="1" si="35">T149</f>
        <v>467217</v>
      </c>
      <c r="S149" s="142">
        <f t="shared" ref="S149:S154" ca="1" si="36">U149</f>
        <v>607382</v>
      </c>
      <c r="T149" s="142">
        <f ca="1">기술사</f>
        <v>467217</v>
      </c>
      <c r="U149" s="142">
        <f t="shared" ref="U149:U154" ca="1" si="37">ROUNDDOWN(P149*R149,0)</f>
        <v>607382</v>
      </c>
      <c r="V149" s="142"/>
      <c r="W149" s="142"/>
      <c r="X149" s="142"/>
      <c r="Y149" s="142"/>
      <c r="Z149" s="114"/>
    </row>
    <row r="150" spans="11:26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2.1</v>
      </c>
      <c r="Q150" s="144" t="s">
        <v>29</v>
      </c>
      <c r="R150" s="118">
        <f t="shared" ca="1" si="35"/>
        <v>373353</v>
      </c>
      <c r="S150" s="118">
        <f t="shared" ca="1" si="36"/>
        <v>784041</v>
      </c>
      <c r="T150" s="118">
        <f ca="1">특급</f>
        <v>373353</v>
      </c>
      <c r="U150" s="118">
        <f t="shared" ca="1" si="37"/>
        <v>784041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3.9</v>
      </c>
      <c r="Q151" s="144" t="s">
        <v>29</v>
      </c>
      <c r="R151" s="118">
        <f t="shared" ca="1" si="35"/>
        <v>310884</v>
      </c>
      <c r="S151" s="118">
        <f t="shared" ca="1" si="36"/>
        <v>1212447</v>
      </c>
      <c r="T151" s="118">
        <f ca="1">고급</f>
        <v>310884</v>
      </c>
      <c r="U151" s="118">
        <f t="shared" ca="1" si="37"/>
        <v>1212447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6.6</v>
      </c>
      <c r="Q152" s="144" t="s">
        <v>29</v>
      </c>
      <c r="R152" s="118">
        <f t="shared" ca="1" si="35"/>
        <v>295138</v>
      </c>
      <c r="S152" s="118">
        <f t="shared" ca="1" si="36"/>
        <v>1947910</v>
      </c>
      <c r="T152" s="118">
        <f ca="1">중급</f>
        <v>295138</v>
      </c>
      <c r="U152" s="118">
        <f t="shared" ca="1" si="37"/>
        <v>1947910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9.6999999999999993</v>
      </c>
      <c r="Q153" s="144" t="s">
        <v>29</v>
      </c>
      <c r="R153" s="118">
        <f t="shared" ca="1" si="35"/>
        <v>235459</v>
      </c>
      <c r="S153" s="118">
        <f t="shared" ca="1" si="36"/>
        <v>2283952</v>
      </c>
      <c r="T153" s="118">
        <f ca="1">초급</f>
        <v>235459</v>
      </c>
      <c r="U153" s="118">
        <f t="shared" ca="1" si="37"/>
        <v>2283952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9.1999999999999993</v>
      </c>
      <c r="Q154" s="322" t="s">
        <v>29</v>
      </c>
      <c r="R154" s="323">
        <f t="shared" ca="1" si="35"/>
        <v>250087</v>
      </c>
      <c r="S154" s="323">
        <f t="shared" ca="1" si="36"/>
        <v>2300800</v>
      </c>
      <c r="T154" s="323">
        <f ca="1">보조원</f>
        <v>250087</v>
      </c>
      <c r="U154" s="323">
        <f t="shared" ca="1" si="37"/>
        <v>2300800</v>
      </c>
      <c r="V154" s="323"/>
      <c r="W154" s="323"/>
      <c r="X154" s="323"/>
      <c r="Y154" s="323"/>
      <c r="Z154" s="324"/>
    </row>
    <row r="155" spans="11:26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9136532</v>
      </c>
      <c r="T155" s="71"/>
      <c r="U155" s="71">
        <f ca="1">SUBTOTAL(9,U149:U154)</f>
        <v>9136532</v>
      </c>
      <c r="V155" s="71"/>
      <c r="W155" s="71"/>
      <c r="X155" s="71"/>
      <c r="Y155" s="71"/>
      <c r="Z155" s="68"/>
    </row>
    <row r="156" spans="11:26" ht="18" customHeight="1">
      <c r="K156" s="171" t="s">
        <v>14</v>
      </c>
      <c r="L156" s="171"/>
      <c r="M156" s="171"/>
      <c r="N156" s="318" t="str">
        <f ca="1">"제 " &amp; Z156 &amp; " 호표  "&amp; OFFSET($A$1,MATCH(Z156,$A:$A,0)-1,1)</f>
        <v>제 11 호표  2.6. 재원조달계획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11</v>
      </c>
    </row>
    <row r="157" spans="11:26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1.3</v>
      </c>
      <c r="Q157" s="141" t="s">
        <v>29</v>
      </c>
      <c r="R157" s="142">
        <f t="shared" ref="R157:R162" ca="1" si="38">T157</f>
        <v>467217</v>
      </c>
      <c r="S157" s="142">
        <f t="shared" ref="S157:S162" ca="1" si="39">U157</f>
        <v>607382</v>
      </c>
      <c r="T157" s="142">
        <f ca="1">기술사</f>
        <v>467217</v>
      </c>
      <c r="U157" s="142">
        <f t="shared" ref="U157:U162" ca="1" si="40">ROUNDDOWN(P157*R157,0)</f>
        <v>607382</v>
      </c>
      <c r="V157" s="142"/>
      <c r="W157" s="142"/>
      <c r="X157" s="142"/>
      <c r="Y157" s="142"/>
      <c r="Z157" s="114"/>
    </row>
    <row r="158" spans="11:26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2.1</v>
      </c>
      <c r="Q158" s="144" t="s">
        <v>29</v>
      </c>
      <c r="R158" s="118">
        <f t="shared" ca="1" si="38"/>
        <v>373353</v>
      </c>
      <c r="S158" s="118">
        <f t="shared" ca="1" si="39"/>
        <v>784041</v>
      </c>
      <c r="T158" s="118">
        <f ca="1">특급</f>
        <v>373353</v>
      </c>
      <c r="U158" s="118">
        <f t="shared" ca="1" si="40"/>
        <v>784041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3.9</v>
      </c>
      <c r="Q159" s="144" t="s">
        <v>29</v>
      </c>
      <c r="R159" s="118">
        <f t="shared" ca="1" si="38"/>
        <v>310884</v>
      </c>
      <c r="S159" s="118">
        <f t="shared" ca="1" si="39"/>
        <v>1212447</v>
      </c>
      <c r="T159" s="118">
        <f ca="1">고급</f>
        <v>310884</v>
      </c>
      <c r="U159" s="118">
        <f t="shared" ca="1" si="40"/>
        <v>1212447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6.6</v>
      </c>
      <c r="Q160" s="144" t="s">
        <v>29</v>
      </c>
      <c r="R160" s="118">
        <f t="shared" ca="1" si="38"/>
        <v>295138</v>
      </c>
      <c r="S160" s="118">
        <f t="shared" ca="1" si="39"/>
        <v>1947910</v>
      </c>
      <c r="T160" s="118">
        <f ca="1">중급</f>
        <v>295138</v>
      </c>
      <c r="U160" s="118">
        <f t="shared" ca="1" si="40"/>
        <v>1947910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9.6999999999999993</v>
      </c>
      <c r="Q161" s="144" t="s">
        <v>29</v>
      </c>
      <c r="R161" s="118">
        <f t="shared" ca="1" si="38"/>
        <v>235459</v>
      </c>
      <c r="S161" s="118">
        <f t="shared" ca="1" si="39"/>
        <v>2283952</v>
      </c>
      <c r="T161" s="118">
        <f ca="1">초급</f>
        <v>235459</v>
      </c>
      <c r="U161" s="118">
        <f t="shared" ca="1" si="40"/>
        <v>2283952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9.1999999999999993</v>
      </c>
      <c r="Q162" s="322" t="s">
        <v>29</v>
      </c>
      <c r="R162" s="323">
        <f t="shared" ca="1" si="38"/>
        <v>250087</v>
      </c>
      <c r="S162" s="323">
        <f t="shared" ca="1" si="39"/>
        <v>2300800</v>
      </c>
      <c r="T162" s="323">
        <f ca="1">보조원</f>
        <v>250087</v>
      </c>
      <c r="U162" s="323">
        <f t="shared" ca="1" si="40"/>
        <v>2300800</v>
      </c>
      <c r="V162" s="323"/>
      <c r="W162" s="323"/>
      <c r="X162" s="323"/>
      <c r="Y162" s="323"/>
      <c r="Z162" s="324"/>
    </row>
    <row r="163" spans="11:26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9136532</v>
      </c>
      <c r="T163" s="71"/>
      <c r="U163" s="71">
        <f ca="1">SUBTOTAL(9,U157:U162)</f>
        <v>9136532</v>
      </c>
      <c r="V163" s="71"/>
      <c r="W163" s="71"/>
      <c r="X163" s="71"/>
      <c r="Y163" s="71"/>
      <c r="Z163" s="68"/>
    </row>
    <row r="164" spans="11:26" ht="18" customHeight="1">
      <c r="K164" s="171" t="s">
        <v>14</v>
      </c>
      <c r="L164" s="171"/>
      <c r="M164" s="171"/>
      <c r="N164" s="318" t="str">
        <f ca="1">"제 " &amp; Z164 &amp; " 호표  "&amp; OFFSET($A$1,MATCH(Z164,$A:$A,0)-1,1)</f>
        <v>제 12 호표  2.7. 단계별 추진계획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12</v>
      </c>
    </row>
    <row r="165" spans="11:26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1.3</v>
      </c>
      <c r="Q165" s="141" t="s">
        <v>29</v>
      </c>
      <c r="R165" s="142">
        <f t="shared" ref="R165:R170" ca="1" si="41">T165</f>
        <v>467217</v>
      </c>
      <c r="S165" s="142">
        <f t="shared" ref="S165:S170" ca="1" si="42">U165</f>
        <v>607382</v>
      </c>
      <c r="T165" s="142">
        <f ca="1">기술사</f>
        <v>467217</v>
      </c>
      <c r="U165" s="142">
        <f t="shared" ref="U165:U170" ca="1" si="43">ROUNDDOWN(P165*R165,0)</f>
        <v>607382</v>
      </c>
      <c r="V165" s="142"/>
      <c r="W165" s="142"/>
      <c r="X165" s="142"/>
      <c r="Y165" s="142"/>
      <c r="Z165" s="114"/>
    </row>
    <row r="166" spans="11:26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2.1</v>
      </c>
      <c r="Q166" s="144" t="s">
        <v>29</v>
      </c>
      <c r="R166" s="118">
        <f t="shared" ca="1" si="41"/>
        <v>373353</v>
      </c>
      <c r="S166" s="118">
        <f t="shared" ca="1" si="42"/>
        <v>784041</v>
      </c>
      <c r="T166" s="118">
        <f ca="1">특급</f>
        <v>373353</v>
      </c>
      <c r="U166" s="118">
        <f t="shared" ca="1" si="43"/>
        <v>784041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3.9</v>
      </c>
      <c r="Q167" s="144" t="s">
        <v>29</v>
      </c>
      <c r="R167" s="118">
        <f t="shared" ca="1" si="41"/>
        <v>310884</v>
      </c>
      <c r="S167" s="118">
        <f t="shared" ca="1" si="42"/>
        <v>1212447</v>
      </c>
      <c r="T167" s="118">
        <f ca="1">고급</f>
        <v>310884</v>
      </c>
      <c r="U167" s="118">
        <f t="shared" ca="1" si="43"/>
        <v>1212447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6.6</v>
      </c>
      <c r="Q168" s="144" t="s">
        <v>29</v>
      </c>
      <c r="R168" s="118">
        <f t="shared" ca="1" si="41"/>
        <v>295138</v>
      </c>
      <c r="S168" s="118">
        <f t="shared" ca="1" si="42"/>
        <v>1947910</v>
      </c>
      <c r="T168" s="118">
        <f ca="1">중급</f>
        <v>295138</v>
      </c>
      <c r="U168" s="118">
        <f t="shared" ca="1" si="43"/>
        <v>1947910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9.6999999999999993</v>
      </c>
      <c r="Q169" s="144" t="s">
        <v>29</v>
      </c>
      <c r="R169" s="118">
        <f t="shared" ca="1" si="41"/>
        <v>235459</v>
      </c>
      <c r="S169" s="118">
        <f t="shared" ca="1" si="42"/>
        <v>2283952</v>
      </c>
      <c r="T169" s="118">
        <f ca="1">초급</f>
        <v>235459</v>
      </c>
      <c r="U169" s="118">
        <f t="shared" ca="1" si="43"/>
        <v>2283952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9.1999999999999993</v>
      </c>
      <c r="Q170" s="322" t="s">
        <v>29</v>
      </c>
      <c r="R170" s="323">
        <f t="shared" ca="1" si="41"/>
        <v>250087</v>
      </c>
      <c r="S170" s="323">
        <f t="shared" ca="1" si="42"/>
        <v>2300800</v>
      </c>
      <c r="T170" s="323">
        <f ca="1">보조원</f>
        <v>250087</v>
      </c>
      <c r="U170" s="323">
        <f t="shared" ca="1" si="43"/>
        <v>2300800</v>
      </c>
      <c r="V170" s="323"/>
      <c r="W170" s="323"/>
      <c r="X170" s="323"/>
      <c r="Y170" s="323"/>
      <c r="Z170" s="324"/>
    </row>
    <row r="171" spans="11:26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9136532</v>
      </c>
      <c r="T171" s="71"/>
      <c r="U171" s="71">
        <f ca="1">SUBTOTAL(9,U165:U170)</f>
        <v>9136532</v>
      </c>
      <c r="V171" s="71"/>
      <c r="W171" s="71"/>
      <c r="X171" s="71"/>
      <c r="Y171" s="71"/>
      <c r="Z171" s="68"/>
    </row>
    <row r="172" spans="11:26" ht="18" customHeight="1">
      <c r="K172" s="171" t="s">
        <v>14</v>
      </c>
      <c r="L172" s="171"/>
      <c r="M172" s="171"/>
      <c r="N172" s="318" t="str">
        <f ca="1">"제 " &amp; Z172 &amp; " 호표  "&amp; OFFSET($A$1,MATCH(Z172,$A:$A,0)-1,1)</f>
        <v>제 13 호표  2.8. 사업지구내 거주민 주거안정대책</v>
      </c>
      <c r="O172" s="221"/>
      <c r="P172" s="148"/>
      <c r="Q172" s="148"/>
      <c r="R172" s="149"/>
      <c r="S172" s="149"/>
      <c r="T172" s="149"/>
      <c r="U172" s="149"/>
      <c r="V172" s="149"/>
      <c r="W172" s="149"/>
      <c r="X172" s="149"/>
      <c r="Y172" s="149"/>
      <c r="Z172" s="325">
        <f>Z164+1</f>
        <v>13</v>
      </c>
    </row>
    <row r="173" spans="11:26" ht="18" customHeight="1">
      <c r="K173" s="171" t="s">
        <v>14</v>
      </c>
      <c r="L173" s="171"/>
      <c r="M173" s="171"/>
      <c r="N173" s="140" t="s">
        <v>43</v>
      </c>
      <c r="O173" s="172">
        <v>3</v>
      </c>
      <c r="P173" s="219">
        <f ca="1">OFFSET($A$1,MATCH(Z172,$A:$A,0)-1,O173)</f>
        <v>1.5</v>
      </c>
      <c r="Q173" s="141" t="s">
        <v>29</v>
      </c>
      <c r="R173" s="142">
        <f t="shared" ref="R173:R178" ca="1" si="44">T173</f>
        <v>467217</v>
      </c>
      <c r="S173" s="142">
        <f t="shared" ref="S173:S178" ca="1" si="45">U173</f>
        <v>700825</v>
      </c>
      <c r="T173" s="142">
        <f ca="1">기술사</f>
        <v>467217</v>
      </c>
      <c r="U173" s="142">
        <f t="shared" ref="U173:U178" ca="1" si="46">ROUNDDOWN(P173*R173,0)</f>
        <v>700825</v>
      </c>
      <c r="V173" s="142"/>
      <c r="W173" s="142"/>
      <c r="X173" s="142"/>
      <c r="Y173" s="142"/>
      <c r="Z173" s="114"/>
    </row>
    <row r="174" spans="11:26" ht="18" customHeight="1">
      <c r="K174" s="171" t="s">
        <v>14</v>
      </c>
      <c r="L174" s="171"/>
      <c r="M174" s="171"/>
      <c r="N174" s="143" t="s">
        <v>32</v>
      </c>
      <c r="O174" s="173">
        <v>4</v>
      </c>
      <c r="P174" s="234">
        <f ca="1">OFFSET($A$1,MATCH(Z172,$A:$A,0)-1,O174)</f>
        <v>2.5</v>
      </c>
      <c r="Q174" s="144" t="s">
        <v>29</v>
      </c>
      <c r="R174" s="118">
        <f t="shared" ca="1" si="44"/>
        <v>373353</v>
      </c>
      <c r="S174" s="118">
        <f t="shared" ca="1" si="45"/>
        <v>933382</v>
      </c>
      <c r="T174" s="118">
        <f ca="1">특급</f>
        <v>373353</v>
      </c>
      <c r="U174" s="118">
        <f t="shared" ca="1" si="46"/>
        <v>933382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39</v>
      </c>
      <c r="O175" s="173">
        <v>5</v>
      </c>
      <c r="P175" s="234">
        <f ca="1">OFFSET($A$1,MATCH(Z172,$A:$A,0)-1,O175)</f>
        <v>4.9000000000000004</v>
      </c>
      <c r="Q175" s="144" t="s">
        <v>29</v>
      </c>
      <c r="R175" s="118">
        <f t="shared" ca="1" si="44"/>
        <v>310884</v>
      </c>
      <c r="S175" s="118">
        <f t="shared" ca="1" si="45"/>
        <v>1523331</v>
      </c>
      <c r="T175" s="118">
        <f ca="1">고급</f>
        <v>310884</v>
      </c>
      <c r="U175" s="118">
        <f t="shared" ca="1" si="46"/>
        <v>1523331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40</v>
      </c>
      <c r="O176" s="173">
        <v>6</v>
      </c>
      <c r="P176" s="234">
        <f ca="1">OFFSET($A$1,MATCH(Z172,$A:$A,0)-1,O176)</f>
        <v>8.1</v>
      </c>
      <c r="Q176" s="144" t="s">
        <v>29</v>
      </c>
      <c r="R176" s="118">
        <f t="shared" ca="1" si="44"/>
        <v>295138</v>
      </c>
      <c r="S176" s="118">
        <f t="shared" ca="1" si="45"/>
        <v>2390617</v>
      </c>
      <c r="T176" s="118">
        <f ca="1">중급</f>
        <v>295138</v>
      </c>
      <c r="U176" s="118">
        <f t="shared" ca="1" si="46"/>
        <v>2390617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41</v>
      </c>
      <c r="O177" s="173">
        <v>7</v>
      </c>
      <c r="P177" s="234">
        <f ca="1">OFFSET($A$1,MATCH(Z172,$A:$A,0)-1,O177)</f>
        <v>11.9</v>
      </c>
      <c r="Q177" s="144" t="s">
        <v>29</v>
      </c>
      <c r="R177" s="118">
        <f t="shared" ca="1" si="44"/>
        <v>235459</v>
      </c>
      <c r="S177" s="118">
        <f t="shared" ca="1" si="45"/>
        <v>2801962</v>
      </c>
      <c r="T177" s="118">
        <f ca="1">초급</f>
        <v>235459</v>
      </c>
      <c r="U177" s="118">
        <f t="shared" ca="1" si="46"/>
        <v>2801962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319" t="s">
        <v>42</v>
      </c>
      <c r="O178" s="174">
        <v>8</v>
      </c>
      <c r="P178" s="235">
        <f ca="1">OFFSET($A$1,MATCH(Z172,$A:$A,0)-1,O178)</f>
        <v>11.5</v>
      </c>
      <c r="Q178" s="322" t="s">
        <v>29</v>
      </c>
      <c r="R178" s="323">
        <f t="shared" ca="1" si="44"/>
        <v>250087</v>
      </c>
      <c r="S178" s="323">
        <f t="shared" ca="1" si="45"/>
        <v>2876000</v>
      </c>
      <c r="T178" s="323">
        <f ca="1">보조원</f>
        <v>250087</v>
      </c>
      <c r="U178" s="323">
        <f t="shared" ca="1" si="46"/>
        <v>2876000</v>
      </c>
      <c r="V178" s="323"/>
      <c r="W178" s="323"/>
      <c r="X178" s="323"/>
      <c r="Y178" s="323"/>
      <c r="Z178" s="324"/>
    </row>
    <row r="179" spans="11:26" ht="18" customHeight="1">
      <c r="K179" s="171" t="s">
        <v>14</v>
      </c>
      <c r="L179" s="171"/>
      <c r="M179" s="171"/>
      <c r="N179" s="139" t="s">
        <v>17</v>
      </c>
      <c r="O179" s="68"/>
      <c r="P179" s="69"/>
      <c r="Q179" s="70"/>
      <c r="R179" s="71"/>
      <c r="S179" s="71">
        <f ca="1">SUBTOTAL(9,S173:S178)</f>
        <v>11226117</v>
      </c>
      <c r="T179" s="71"/>
      <c r="U179" s="71">
        <f ca="1">SUBTOTAL(9,U173:U178)</f>
        <v>11226117</v>
      </c>
      <c r="V179" s="71"/>
      <c r="W179" s="71"/>
      <c r="X179" s="71"/>
      <c r="Y179" s="71"/>
      <c r="Z179" s="68"/>
    </row>
    <row r="180" spans="11:26" ht="18" customHeight="1">
      <c r="K180" s="171" t="s">
        <v>14</v>
      </c>
      <c r="L180" s="171"/>
      <c r="M180" s="171"/>
      <c r="N180" s="318" t="str">
        <f ca="1">"제 " &amp; Z180 &amp; " 호표  "&amp; OFFSET($A$1,MATCH(Z180,$A:$A,0)-1,1)</f>
        <v>제 14 호표  2.9. 정비예정구역의 관리계획</v>
      </c>
      <c r="O180" s="221"/>
      <c r="P180" s="148"/>
      <c r="Q180" s="148"/>
      <c r="R180" s="149"/>
      <c r="S180" s="149"/>
      <c r="T180" s="149"/>
      <c r="U180" s="149"/>
      <c r="V180" s="149"/>
      <c r="W180" s="149"/>
      <c r="X180" s="149"/>
      <c r="Y180" s="149"/>
      <c r="Z180" s="325">
        <f>Z172+1</f>
        <v>14</v>
      </c>
    </row>
    <row r="181" spans="11:26" ht="18" customHeight="1">
      <c r="K181" s="171" t="s">
        <v>14</v>
      </c>
      <c r="L181" s="171"/>
      <c r="M181" s="171"/>
      <c r="N181" s="140" t="s">
        <v>43</v>
      </c>
      <c r="O181" s="172">
        <v>3</v>
      </c>
      <c r="P181" s="219">
        <f ca="1">OFFSET($A$1,MATCH(Z180,$A:$A,0)-1,O181)</f>
        <v>1.5</v>
      </c>
      <c r="Q181" s="141" t="s">
        <v>29</v>
      </c>
      <c r="R181" s="142">
        <f t="shared" ref="R181:R186" ca="1" si="47">T181</f>
        <v>467217</v>
      </c>
      <c r="S181" s="142">
        <f t="shared" ref="S181:S186" ca="1" si="48">U181</f>
        <v>700825</v>
      </c>
      <c r="T181" s="142">
        <f ca="1">기술사</f>
        <v>467217</v>
      </c>
      <c r="U181" s="142">
        <f t="shared" ref="U181:U186" ca="1" si="49">ROUNDDOWN(P181*R181,0)</f>
        <v>700825</v>
      </c>
      <c r="V181" s="142"/>
      <c r="W181" s="142"/>
      <c r="X181" s="142"/>
      <c r="Y181" s="142"/>
      <c r="Z181" s="114"/>
    </row>
    <row r="182" spans="11:26" ht="18" customHeight="1">
      <c r="K182" s="171" t="s">
        <v>14</v>
      </c>
      <c r="L182" s="171"/>
      <c r="M182" s="171"/>
      <c r="N182" s="143" t="s">
        <v>32</v>
      </c>
      <c r="O182" s="173">
        <v>4</v>
      </c>
      <c r="P182" s="234">
        <f ca="1">OFFSET($A$1,MATCH(Z180,$A:$A,0)-1,O182)</f>
        <v>2.5</v>
      </c>
      <c r="Q182" s="144" t="s">
        <v>29</v>
      </c>
      <c r="R182" s="118">
        <f t="shared" ca="1" si="47"/>
        <v>373353</v>
      </c>
      <c r="S182" s="118">
        <f t="shared" ca="1" si="48"/>
        <v>933382</v>
      </c>
      <c r="T182" s="118">
        <f ca="1">특급</f>
        <v>373353</v>
      </c>
      <c r="U182" s="118">
        <f t="shared" ca="1" si="49"/>
        <v>933382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39</v>
      </c>
      <c r="O183" s="173">
        <v>5</v>
      </c>
      <c r="P183" s="234">
        <f ca="1">OFFSET($A$1,MATCH(Z180,$A:$A,0)-1,O183)</f>
        <v>4.9000000000000004</v>
      </c>
      <c r="Q183" s="144" t="s">
        <v>29</v>
      </c>
      <c r="R183" s="118">
        <f t="shared" ca="1" si="47"/>
        <v>310884</v>
      </c>
      <c r="S183" s="118">
        <f t="shared" ca="1" si="48"/>
        <v>1523331</v>
      </c>
      <c r="T183" s="118">
        <f ca="1">고급</f>
        <v>310884</v>
      </c>
      <c r="U183" s="118">
        <f t="shared" ca="1" si="49"/>
        <v>1523331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40</v>
      </c>
      <c r="O184" s="173">
        <v>6</v>
      </c>
      <c r="P184" s="234">
        <f ca="1">OFFSET($A$1,MATCH(Z180,$A:$A,0)-1,O184)</f>
        <v>8.1</v>
      </c>
      <c r="Q184" s="144" t="s">
        <v>29</v>
      </c>
      <c r="R184" s="118">
        <f t="shared" ca="1" si="47"/>
        <v>295138</v>
      </c>
      <c r="S184" s="118">
        <f t="shared" ca="1" si="48"/>
        <v>2390617</v>
      </c>
      <c r="T184" s="118">
        <f ca="1">중급</f>
        <v>295138</v>
      </c>
      <c r="U184" s="118">
        <f t="shared" ca="1" si="49"/>
        <v>2390617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41</v>
      </c>
      <c r="O185" s="173">
        <v>7</v>
      </c>
      <c r="P185" s="234">
        <f ca="1">OFFSET($A$1,MATCH(Z180,$A:$A,0)-1,O185)</f>
        <v>11.9</v>
      </c>
      <c r="Q185" s="144" t="s">
        <v>29</v>
      </c>
      <c r="R185" s="118">
        <f t="shared" ca="1" si="47"/>
        <v>235459</v>
      </c>
      <c r="S185" s="118">
        <f t="shared" ca="1" si="48"/>
        <v>2801962</v>
      </c>
      <c r="T185" s="118">
        <f ca="1">초급</f>
        <v>235459</v>
      </c>
      <c r="U185" s="118">
        <f t="shared" ca="1" si="49"/>
        <v>2801962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319" t="s">
        <v>42</v>
      </c>
      <c r="O186" s="174">
        <v>8</v>
      </c>
      <c r="P186" s="235">
        <f ca="1">OFFSET($A$1,MATCH(Z180,$A:$A,0)-1,O186)</f>
        <v>11.5</v>
      </c>
      <c r="Q186" s="322" t="s">
        <v>29</v>
      </c>
      <c r="R186" s="323">
        <f t="shared" ca="1" si="47"/>
        <v>250087</v>
      </c>
      <c r="S186" s="323">
        <f t="shared" ca="1" si="48"/>
        <v>2876000</v>
      </c>
      <c r="T186" s="323">
        <f ca="1">보조원</f>
        <v>250087</v>
      </c>
      <c r="U186" s="323">
        <f t="shared" ca="1" si="49"/>
        <v>2876000</v>
      </c>
      <c r="V186" s="323"/>
      <c r="W186" s="323"/>
      <c r="X186" s="323"/>
      <c r="Y186" s="323"/>
      <c r="Z186" s="324"/>
    </row>
    <row r="187" spans="11:26" ht="18" customHeight="1">
      <c r="K187" s="171" t="s">
        <v>14</v>
      </c>
      <c r="L187" s="171"/>
      <c r="M187" s="171"/>
      <c r="N187" s="139" t="s">
        <v>17</v>
      </c>
      <c r="O187" s="68"/>
      <c r="P187" s="69"/>
      <c r="Q187" s="70"/>
      <c r="R187" s="71"/>
      <c r="S187" s="71">
        <f ca="1">SUBTOTAL(9,S181:S186)</f>
        <v>11226117</v>
      </c>
      <c r="T187" s="71"/>
      <c r="U187" s="71">
        <f ca="1">SUBTOTAL(9,U181:U186)</f>
        <v>11226117</v>
      </c>
      <c r="V187" s="71"/>
      <c r="W187" s="71"/>
      <c r="X187" s="71"/>
      <c r="Y187" s="71"/>
      <c r="Z187" s="68"/>
    </row>
    <row r="188" spans="11:26" ht="18" customHeight="1">
      <c r="K188" s="171" t="s">
        <v>14</v>
      </c>
      <c r="L188" s="171"/>
      <c r="M188" s="171"/>
      <c r="N188" s="318" t="str">
        <f ca="1">"제 " &amp; Z188 &amp; " 호표  "&amp; OFFSET($A$1,MATCH(Z188,$A:$A,0)-1,1)</f>
        <v>제 15 호표  2.10. 토지이용계획</v>
      </c>
      <c r="O188" s="221"/>
      <c r="P188" s="148"/>
      <c r="Q188" s="148"/>
      <c r="R188" s="149"/>
      <c r="S188" s="149"/>
      <c r="T188" s="149"/>
      <c r="U188" s="149"/>
      <c r="V188" s="149"/>
      <c r="W188" s="149"/>
      <c r="X188" s="149"/>
      <c r="Y188" s="149"/>
      <c r="Z188" s="325">
        <f>Z180+1</f>
        <v>15</v>
      </c>
    </row>
    <row r="189" spans="11:26" ht="18" customHeight="1">
      <c r="K189" s="171" t="s">
        <v>14</v>
      </c>
      <c r="L189" s="171"/>
      <c r="M189" s="171"/>
      <c r="N189" s="140" t="s">
        <v>43</v>
      </c>
      <c r="O189" s="172">
        <v>3</v>
      </c>
      <c r="P189" s="219">
        <f ca="1">OFFSET($A$1,MATCH(Z188,$A:$A,0)-1,O189)</f>
        <v>1.8</v>
      </c>
      <c r="Q189" s="141" t="s">
        <v>29</v>
      </c>
      <c r="R189" s="142">
        <f t="shared" ref="R189:R194" ca="1" si="50">T189</f>
        <v>467217</v>
      </c>
      <c r="S189" s="142">
        <f t="shared" ref="S189:S194" ca="1" si="51">U189</f>
        <v>840990</v>
      </c>
      <c r="T189" s="142">
        <f ca="1">기술사</f>
        <v>467217</v>
      </c>
      <c r="U189" s="142">
        <f t="shared" ref="U189:U194" ca="1" si="52">ROUNDDOWN(P189*R189,0)</f>
        <v>840990</v>
      </c>
      <c r="V189" s="142"/>
      <c r="W189" s="142"/>
      <c r="X189" s="142"/>
      <c r="Y189" s="142"/>
      <c r="Z189" s="114"/>
    </row>
    <row r="190" spans="11:26" ht="18" customHeight="1">
      <c r="K190" s="171" t="s">
        <v>14</v>
      </c>
      <c r="L190" s="171"/>
      <c r="M190" s="171"/>
      <c r="N190" s="143" t="s">
        <v>32</v>
      </c>
      <c r="O190" s="173">
        <v>4</v>
      </c>
      <c r="P190" s="234">
        <f ca="1">OFFSET($A$1,MATCH(Z188,$A:$A,0)-1,O190)</f>
        <v>2.9</v>
      </c>
      <c r="Q190" s="144" t="s">
        <v>29</v>
      </c>
      <c r="R190" s="118">
        <f t="shared" ca="1" si="50"/>
        <v>373353</v>
      </c>
      <c r="S190" s="118">
        <f t="shared" ca="1" si="51"/>
        <v>1082723</v>
      </c>
      <c r="T190" s="118">
        <f ca="1">특급</f>
        <v>373353</v>
      </c>
      <c r="U190" s="118">
        <f t="shared" ca="1" si="52"/>
        <v>1082723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39</v>
      </c>
      <c r="O191" s="173">
        <v>5</v>
      </c>
      <c r="P191" s="234">
        <f ca="1">OFFSET($A$1,MATCH(Z188,$A:$A,0)-1,O191)</f>
        <v>5.8</v>
      </c>
      <c r="Q191" s="144" t="s">
        <v>29</v>
      </c>
      <c r="R191" s="118">
        <f t="shared" ca="1" si="50"/>
        <v>310884</v>
      </c>
      <c r="S191" s="118">
        <f t="shared" ca="1" si="51"/>
        <v>1803127</v>
      </c>
      <c r="T191" s="118">
        <f ca="1">고급</f>
        <v>310884</v>
      </c>
      <c r="U191" s="118">
        <f t="shared" ca="1" si="52"/>
        <v>1803127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40</v>
      </c>
      <c r="O192" s="173">
        <v>6</v>
      </c>
      <c r="P192" s="234">
        <f ca="1">OFFSET($A$1,MATCH(Z188,$A:$A,0)-1,O192)</f>
        <v>9.6999999999999993</v>
      </c>
      <c r="Q192" s="144" t="s">
        <v>29</v>
      </c>
      <c r="R192" s="118">
        <f t="shared" ca="1" si="50"/>
        <v>295138</v>
      </c>
      <c r="S192" s="118">
        <f t="shared" ca="1" si="51"/>
        <v>2862838</v>
      </c>
      <c r="T192" s="118">
        <f ca="1">중급</f>
        <v>295138</v>
      </c>
      <c r="U192" s="118">
        <f t="shared" ca="1" si="52"/>
        <v>2862838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41</v>
      </c>
      <c r="O193" s="173">
        <v>7</v>
      </c>
      <c r="P193" s="234">
        <f ca="1">OFFSET($A$1,MATCH(Z188,$A:$A,0)-1,O193)</f>
        <v>14.4</v>
      </c>
      <c r="Q193" s="144" t="s">
        <v>29</v>
      </c>
      <c r="R193" s="118">
        <f t="shared" ca="1" si="50"/>
        <v>235459</v>
      </c>
      <c r="S193" s="118">
        <f t="shared" ca="1" si="51"/>
        <v>3390609</v>
      </c>
      <c r="T193" s="118">
        <f ca="1">초급</f>
        <v>235459</v>
      </c>
      <c r="U193" s="118">
        <f t="shared" ca="1" si="52"/>
        <v>3390609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319" t="s">
        <v>42</v>
      </c>
      <c r="O194" s="174">
        <v>8</v>
      </c>
      <c r="P194" s="235">
        <f ca="1">OFFSET($A$1,MATCH(Z188,$A:$A,0)-1,O194)</f>
        <v>13.8</v>
      </c>
      <c r="Q194" s="322" t="s">
        <v>29</v>
      </c>
      <c r="R194" s="323">
        <f t="shared" ca="1" si="50"/>
        <v>250087</v>
      </c>
      <c r="S194" s="323">
        <f t="shared" ca="1" si="51"/>
        <v>3451200</v>
      </c>
      <c r="T194" s="323">
        <f ca="1">보조원</f>
        <v>250087</v>
      </c>
      <c r="U194" s="323">
        <f t="shared" ca="1" si="52"/>
        <v>3451200</v>
      </c>
      <c r="V194" s="323"/>
      <c r="W194" s="323"/>
      <c r="X194" s="323"/>
      <c r="Y194" s="323"/>
      <c r="Z194" s="324"/>
    </row>
    <row r="195" spans="11:26" ht="18" customHeight="1">
      <c r="K195" s="171" t="s">
        <v>14</v>
      </c>
      <c r="L195" s="171"/>
      <c r="M195" s="171"/>
      <c r="N195" s="139" t="s">
        <v>17</v>
      </c>
      <c r="O195" s="68"/>
      <c r="P195" s="69"/>
      <c r="Q195" s="70"/>
      <c r="R195" s="71"/>
      <c r="S195" s="71">
        <f ca="1">SUBTOTAL(9,S189:S194)</f>
        <v>13431487</v>
      </c>
      <c r="T195" s="71"/>
      <c r="U195" s="71">
        <f ca="1">SUBTOTAL(9,U189:U194)</f>
        <v>13431487</v>
      </c>
      <c r="V195" s="71"/>
      <c r="W195" s="71"/>
      <c r="X195" s="71"/>
      <c r="Y195" s="71"/>
      <c r="Z195" s="68"/>
    </row>
    <row r="196" spans="11:26" ht="18" customHeight="1">
      <c r="K196" s="171" t="s">
        <v>14</v>
      </c>
      <c r="L196" s="171"/>
      <c r="M196" s="171"/>
      <c r="N196" s="318" t="str">
        <f ca="1">"제 " &amp; Z196 &amp; " 호표  "&amp; OFFSET($A$1,MATCH(Z196,$A:$A,0)-1,1)</f>
        <v>제 16 호표  2.11. 정비기반시설계획 및 공동 이용시설 설치계획</v>
      </c>
      <c r="O196" s="221"/>
      <c r="P196" s="148"/>
      <c r="Q196" s="148"/>
      <c r="R196" s="149"/>
      <c r="S196" s="149"/>
      <c r="T196" s="149"/>
      <c r="U196" s="149"/>
      <c r="V196" s="149"/>
      <c r="W196" s="149"/>
      <c r="X196" s="149"/>
      <c r="Y196" s="149"/>
      <c r="Z196" s="325">
        <f>Z188+1</f>
        <v>16</v>
      </c>
    </row>
    <row r="197" spans="11:26" ht="18" customHeight="1">
      <c r="K197" s="171" t="s">
        <v>14</v>
      </c>
      <c r="L197" s="171"/>
      <c r="M197" s="171"/>
      <c r="N197" s="140" t="s">
        <v>43</v>
      </c>
      <c r="O197" s="172">
        <v>3</v>
      </c>
      <c r="P197" s="219">
        <f ca="1">OFFSET($A$1,MATCH(Z196,$A:$A,0)-1,O197)</f>
        <v>1.5</v>
      </c>
      <c r="Q197" s="141" t="s">
        <v>29</v>
      </c>
      <c r="R197" s="142">
        <f t="shared" ref="R197:R202" ca="1" si="53">T197</f>
        <v>467217</v>
      </c>
      <c r="S197" s="142">
        <f t="shared" ref="S197:S202" ca="1" si="54">U197</f>
        <v>700825</v>
      </c>
      <c r="T197" s="142">
        <f ca="1">기술사</f>
        <v>467217</v>
      </c>
      <c r="U197" s="142">
        <f t="shared" ref="U197:U202" ca="1" si="55">ROUNDDOWN(P197*R197,0)</f>
        <v>700825</v>
      </c>
      <c r="V197" s="142"/>
      <c r="W197" s="142"/>
      <c r="X197" s="142"/>
      <c r="Y197" s="142"/>
      <c r="Z197" s="114"/>
    </row>
    <row r="198" spans="11:26" ht="18" customHeight="1">
      <c r="K198" s="171" t="s">
        <v>14</v>
      </c>
      <c r="L198" s="171"/>
      <c r="M198" s="171"/>
      <c r="N198" s="143" t="s">
        <v>32</v>
      </c>
      <c r="O198" s="173">
        <v>4</v>
      </c>
      <c r="P198" s="234">
        <f ca="1">OFFSET($A$1,MATCH(Z196,$A:$A,0)-1,O198)</f>
        <v>2.4</v>
      </c>
      <c r="Q198" s="144" t="s">
        <v>29</v>
      </c>
      <c r="R198" s="118">
        <f t="shared" ca="1" si="53"/>
        <v>373353</v>
      </c>
      <c r="S198" s="118">
        <f t="shared" ca="1" si="54"/>
        <v>896047</v>
      </c>
      <c r="T198" s="118">
        <f ca="1">특급</f>
        <v>373353</v>
      </c>
      <c r="U198" s="118">
        <f t="shared" ca="1" si="55"/>
        <v>896047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39</v>
      </c>
      <c r="O199" s="173">
        <v>5</v>
      </c>
      <c r="P199" s="234">
        <f ca="1">OFFSET($A$1,MATCH(Z196,$A:$A,0)-1,O199)</f>
        <v>4.9000000000000004</v>
      </c>
      <c r="Q199" s="144" t="s">
        <v>29</v>
      </c>
      <c r="R199" s="118">
        <f t="shared" ca="1" si="53"/>
        <v>310884</v>
      </c>
      <c r="S199" s="118">
        <f t="shared" ca="1" si="54"/>
        <v>1523331</v>
      </c>
      <c r="T199" s="118">
        <f ca="1">고급</f>
        <v>310884</v>
      </c>
      <c r="U199" s="118">
        <f t="shared" ca="1" si="55"/>
        <v>1523331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40</v>
      </c>
      <c r="O200" s="173">
        <v>6</v>
      </c>
      <c r="P200" s="234">
        <f ca="1">OFFSET($A$1,MATCH(Z196,$A:$A,0)-1,O200)</f>
        <v>8.1</v>
      </c>
      <c r="Q200" s="144" t="s">
        <v>29</v>
      </c>
      <c r="R200" s="118">
        <f t="shared" ca="1" si="53"/>
        <v>295138</v>
      </c>
      <c r="S200" s="118">
        <f t="shared" ca="1" si="54"/>
        <v>2390617</v>
      </c>
      <c r="T200" s="118">
        <f ca="1">중급</f>
        <v>295138</v>
      </c>
      <c r="U200" s="118">
        <f t="shared" ca="1" si="55"/>
        <v>2390617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41</v>
      </c>
      <c r="O201" s="173">
        <v>7</v>
      </c>
      <c r="P201" s="234">
        <f ca="1">OFFSET($A$1,MATCH(Z196,$A:$A,0)-1,O201)</f>
        <v>12</v>
      </c>
      <c r="Q201" s="144" t="s">
        <v>29</v>
      </c>
      <c r="R201" s="118">
        <f t="shared" ca="1" si="53"/>
        <v>235459</v>
      </c>
      <c r="S201" s="118">
        <f t="shared" ca="1" si="54"/>
        <v>2825508</v>
      </c>
      <c r="T201" s="118">
        <f ca="1">초급</f>
        <v>235459</v>
      </c>
      <c r="U201" s="118">
        <f t="shared" ca="1" si="55"/>
        <v>2825508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319" t="s">
        <v>42</v>
      </c>
      <c r="O202" s="174">
        <v>8</v>
      </c>
      <c r="P202" s="235">
        <f ca="1">OFFSET($A$1,MATCH(Z196,$A:$A,0)-1,O202)</f>
        <v>11.5</v>
      </c>
      <c r="Q202" s="322" t="s">
        <v>29</v>
      </c>
      <c r="R202" s="323">
        <f t="shared" ca="1" si="53"/>
        <v>250087</v>
      </c>
      <c r="S202" s="323">
        <f t="shared" ca="1" si="54"/>
        <v>2876000</v>
      </c>
      <c r="T202" s="323">
        <f ca="1">보조원</f>
        <v>250087</v>
      </c>
      <c r="U202" s="323">
        <f t="shared" ca="1" si="55"/>
        <v>2876000</v>
      </c>
      <c r="V202" s="323"/>
      <c r="W202" s="323"/>
      <c r="X202" s="323"/>
      <c r="Y202" s="323"/>
      <c r="Z202" s="324"/>
    </row>
    <row r="203" spans="11:26" ht="18" customHeight="1">
      <c r="K203" s="171" t="s">
        <v>14</v>
      </c>
      <c r="L203" s="171"/>
      <c r="M203" s="171"/>
      <c r="N203" s="139" t="s">
        <v>17</v>
      </c>
      <c r="O203" s="68"/>
      <c r="P203" s="69"/>
      <c r="Q203" s="70"/>
      <c r="R203" s="71"/>
      <c r="S203" s="71">
        <f ca="1">SUBTOTAL(9,S197:S202)</f>
        <v>11212328</v>
      </c>
      <c r="T203" s="71"/>
      <c r="U203" s="71">
        <f ca="1">SUBTOTAL(9,U197:U202)</f>
        <v>11212328</v>
      </c>
      <c r="V203" s="71"/>
      <c r="W203" s="71"/>
      <c r="X203" s="71"/>
      <c r="Y203" s="71"/>
      <c r="Z203" s="68"/>
    </row>
    <row r="204" spans="11:26" ht="18" customHeight="1">
      <c r="K204" s="171" t="s">
        <v>14</v>
      </c>
      <c r="L204" s="171"/>
      <c r="M204" s="171"/>
      <c r="N204" s="318" t="str">
        <f ca="1">"제 " &amp; Z204 &amp; " 호표  "&amp; OFFSET($A$1,MATCH(Z204,$A:$A,0)-1,1)</f>
        <v>제 17 호표  2.12. 교통계획</v>
      </c>
      <c r="O204" s="221"/>
      <c r="P204" s="148"/>
      <c r="Q204" s="148"/>
      <c r="R204" s="149"/>
      <c r="S204" s="149"/>
      <c r="T204" s="149"/>
      <c r="U204" s="149"/>
      <c r="V204" s="149"/>
      <c r="W204" s="149"/>
      <c r="X204" s="149"/>
      <c r="Y204" s="149"/>
      <c r="Z204" s="325">
        <f>Z196+1</f>
        <v>17</v>
      </c>
    </row>
    <row r="205" spans="11:26" ht="18" customHeight="1">
      <c r="K205" s="171" t="s">
        <v>14</v>
      </c>
      <c r="L205" s="171"/>
      <c r="M205" s="171"/>
      <c r="N205" s="140" t="s">
        <v>43</v>
      </c>
      <c r="O205" s="172">
        <v>3</v>
      </c>
      <c r="P205" s="219">
        <f ca="1">OFFSET($A$1,MATCH(Z204,$A:$A,0)-1,O205)</f>
        <v>1.8</v>
      </c>
      <c r="Q205" s="141" t="s">
        <v>29</v>
      </c>
      <c r="R205" s="142">
        <f t="shared" ref="R205:R210" ca="1" si="56">T205</f>
        <v>467217</v>
      </c>
      <c r="S205" s="142">
        <f t="shared" ref="S205:S210" ca="1" si="57">U205</f>
        <v>840990</v>
      </c>
      <c r="T205" s="142">
        <f ca="1">기술사</f>
        <v>467217</v>
      </c>
      <c r="U205" s="142">
        <f t="shared" ref="U205:U210" ca="1" si="58">ROUNDDOWN(P205*R205,0)</f>
        <v>840990</v>
      </c>
      <c r="V205" s="142"/>
      <c r="W205" s="142"/>
      <c r="X205" s="142"/>
      <c r="Y205" s="142"/>
      <c r="Z205" s="114"/>
    </row>
    <row r="206" spans="11:26" ht="18" customHeight="1">
      <c r="K206" s="171" t="s">
        <v>14</v>
      </c>
      <c r="L206" s="171"/>
      <c r="M206" s="171"/>
      <c r="N206" s="143" t="s">
        <v>32</v>
      </c>
      <c r="O206" s="173">
        <v>4</v>
      </c>
      <c r="P206" s="234">
        <f ca="1">OFFSET($A$1,MATCH(Z204,$A:$A,0)-1,O206)</f>
        <v>2.9</v>
      </c>
      <c r="Q206" s="144" t="s">
        <v>29</v>
      </c>
      <c r="R206" s="118">
        <f t="shared" ca="1" si="56"/>
        <v>373353</v>
      </c>
      <c r="S206" s="118">
        <f t="shared" ca="1" si="57"/>
        <v>1082723</v>
      </c>
      <c r="T206" s="118">
        <f ca="1">특급</f>
        <v>373353</v>
      </c>
      <c r="U206" s="118">
        <f t="shared" ca="1" si="58"/>
        <v>1082723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39</v>
      </c>
      <c r="O207" s="173">
        <v>5</v>
      </c>
      <c r="P207" s="234">
        <f ca="1">OFFSET($A$1,MATCH(Z204,$A:$A,0)-1,O207)</f>
        <v>5.8</v>
      </c>
      <c r="Q207" s="144" t="s">
        <v>29</v>
      </c>
      <c r="R207" s="118">
        <f t="shared" ca="1" si="56"/>
        <v>310884</v>
      </c>
      <c r="S207" s="118">
        <f t="shared" ca="1" si="57"/>
        <v>1803127</v>
      </c>
      <c r="T207" s="118">
        <f ca="1">고급</f>
        <v>310884</v>
      </c>
      <c r="U207" s="118">
        <f t="shared" ca="1" si="58"/>
        <v>1803127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40</v>
      </c>
      <c r="O208" s="173">
        <v>6</v>
      </c>
      <c r="P208" s="234">
        <f ca="1">OFFSET($A$1,MATCH(Z204,$A:$A,0)-1,O208)</f>
        <v>9.6999999999999993</v>
      </c>
      <c r="Q208" s="144" t="s">
        <v>29</v>
      </c>
      <c r="R208" s="118">
        <f t="shared" ca="1" si="56"/>
        <v>295138</v>
      </c>
      <c r="S208" s="118">
        <f t="shared" ca="1" si="57"/>
        <v>2862838</v>
      </c>
      <c r="T208" s="118">
        <f ca="1">중급</f>
        <v>295138</v>
      </c>
      <c r="U208" s="118">
        <f t="shared" ca="1" si="58"/>
        <v>2862838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41</v>
      </c>
      <c r="O209" s="173">
        <v>7</v>
      </c>
      <c r="P209" s="234">
        <f ca="1">OFFSET($A$1,MATCH(Z204,$A:$A,0)-1,O209)</f>
        <v>14.4</v>
      </c>
      <c r="Q209" s="144" t="s">
        <v>29</v>
      </c>
      <c r="R209" s="118">
        <f t="shared" ca="1" si="56"/>
        <v>235459</v>
      </c>
      <c r="S209" s="118">
        <f t="shared" ca="1" si="57"/>
        <v>3390609</v>
      </c>
      <c r="T209" s="118">
        <f ca="1">초급</f>
        <v>235459</v>
      </c>
      <c r="U209" s="118">
        <f t="shared" ca="1" si="58"/>
        <v>3390609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319" t="s">
        <v>42</v>
      </c>
      <c r="O210" s="174">
        <v>8</v>
      </c>
      <c r="P210" s="235">
        <f ca="1">OFFSET($A$1,MATCH(Z204,$A:$A,0)-1,O210)</f>
        <v>13.8</v>
      </c>
      <c r="Q210" s="322" t="s">
        <v>29</v>
      </c>
      <c r="R210" s="323">
        <f t="shared" ca="1" si="56"/>
        <v>250087</v>
      </c>
      <c r="S210" s="323">
        <f t="shared" ca="1" si="57"/>
        <v>3451200</v>
      </c>
      <c r="T210" s="323">
        <f ca="1">보조원</f>
        <v>250087</v>
      </c>
      <c r="U210" s="323">
        <f t="shared" ca="1" si="58"/>
        <v>3451200</v>
      </c>
      <c r="V210" s="323"/>
      <c r="W210" s="323"/>
      <c r="X210" s="323"/>
      <c r="Y210" s="323"/>
      <c r="Z210" s="324"/>
    </row>
    <row r="211" spans="11:26" ht="18" customHeight="1">
      <c r="K211" s="171" t="s">
        <v>14</v>
      </c>
      <c r="L211" s="171"/>
      <c r="M211" s="171"/>
      <c r="N211" s="139" t="s">
        <v>17</v>
      </c>
      <c r="O211" s="68"/>
      <c r="P211" s="69"/>
      <c r="Q211" s="70"/>
      <c r="R211" s="71"/>
      <c r="S211" s="71">
        <f ca="1">SUBTOTAL(9,S205:S210)</f>
        <v>13431487</v>
      </c>
      <c r="T211" s="71"/>
      <c r="U211" s="71">
        <f ca="1">SUBTOTAL(9,U205:U210)</f>
        <v>13431487</v>
      </c>
      <c r="V211" s="71"/>
      <c r="W211" s="71"/>
      <c r="X211" s="71"/>
      <c r="Y211" s="71"/>
      <c r="Z211" s="68"/>
    </row>
    <row r="212" spans="11:26" ht="18" customHeight="1">
      <c r="K212" s="171" t="s">
        <v>14</v>
      </c>
      <c r="L212" s="171"/>
      <c r="M212" s="171"/>
      <c r="N212" s="318" t="str">
        <f ca="1">"제 " &amp; Z212 &amp; " 호표  "&amp; OFFSET($A$1,MATCH(Z212,$A:$A,0)-1,1)</f>
        <v>제 18 호표  2.13. 환경계획</v>
      </c>
      <c r="O212" s="221"/>
      <c r="P212" s="148"/>
      <c r="Q212" s="148"/>
      <c r="R212" s="149"/>
      <c r="S212" s="149"/>
      <c r="T212" s="149"/>
      <c r="U212" s="149"/>
      <c r="V212" s="149"/>
      <c r="W212" s="149"/>
      <c r="X212" s="149"/>
      <c r="Y212" s="149"/>
      <c r="Z212" s="325">
        <f>Z204+1</f>
        <v>18</v>
      </c>
    </row>
    <row r="213" spans="11:26" ht="18" customHeight="1">
      <c r="K213" s="171" t="s">
        <v>14</v>
      </c>
      <c r="L213" s="171"/>
      <c r="M213" s="171"/>
      <c r="N213" s="140" t="s">
        <v>43</v>
      </c>
      <c r="O213" s="172">
        <v>3</v>
      </c>
      <c r="P213" s="219">
        <f ca="1">OFFSET($A$1,MATCH(Z212,$A:$A,0)-1,O213)</f>
        <v>1.8</v>
      </c>
      <c r="Q213" s="141" t="s">
        <v>29</v>
      </c>
      <c r="R213" s="142">
        <f t="shared" ref="R213:R218" ca="1" si="59">T213</f>
        <v>467217</v>
      </c>
      <c r="S213" s="142">
        <f t="shared" ref="S213:S218" ca="1" si="60">U213</f>
        <v>840990</v>
      </c>
      <c r="T213" s="142">
        <f ca="1">기술사</f>
        <v>467217</v>
      </c>
      <c r="U213" s="142">
        <f t="shared" ref="U213:U218" ca="1" si="61">ROUNDDOWN(P213*R213,0)</f>
        <v>840990</v>
      </c>
      <c r="V213" s="142"/>
      <c r="W213" s="142"/>
      <c r="X213" s="142"/>
      <c r="Y213" s="142"/>
      <c r="Z213" s="114"/>
    </row>
    <row r="214" spans="11:26" ht="18" customHeight="1">
      <c r="K214" s="171" t="s">
        <v>14</v>
      </c>
      <c r="L214" s="171"/>
      <c r="M214" s="171"/>
      <c r="N214" s="143" t="s">
        <v>32</v>
      </c>
      <c r="O214" s="173">
        <v>4</v>
      </c>
      <c r="P214" s="234">
        <f ca="1">OFFSET($A$1,MATCH(Z212,$A:$A,0)-1,O214)</f>
        <v>2.9</v>
      </c>
      <c r="Q214" s="144" t="s">
        <v>29</v>
      </c>
      <c r="R214" s="118">
        <f t="shared" ca="1" si="59"/>
        <v>373353</v>
      </c>
      <c r="S214" s="118">
        <f t="shared" ca="1" si="60"/>
        <v>1082723</v>
      </c>
      <c r="T214" s="118">
        <f ca="1">특급</f>
        <v>373353</v>
      </c>
      <c r="U214" s="118">
        <f t="shared" ca="1" si="61"/>
        <v>1082723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39</v>
      </c>
      <c r="O215" s="173">
        <v>5</v>
      </c>
      <c r="P215" s="234">
        <f ca="1">OFFSET($A$1,MATCH(Z212,$A:$A,0)-1,O215)</f>
        <v>5.8</v>
      </c>
      <c r="Q215" s="144" t="s">
        <v>29</v>
      </c>
      <c r="R215" s="118">
        <f t="shared" ca="1" si="59"/>
        <v>310884</v>
      </c>
      <c r="S215" s="118">
        <f t="shared" ca="1" si="60"/>
        <v>1803127</v>
      </c>
      <c r="T215" s="118">
        <f ca="1">고급</f>
        <v>310884</v>
      </c>
      <c r="U215" s="118">
        <f t="shared" ca="1" si="61"/>
        <v>1803127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40</v>
      </c>
      <c r="O216" s="173">
        <v>6</v>
      </c>
      <c r="P216" s="234">
        <f ca="1">OFFSET($A$1,MATCH(Z212,$A:$A,0)-1,O216)</f>
        <v>9.6999999999999993</v>
      </c>
      <c r="Q216" s="144" t="s">
        <v>29</v>
      </c>
      <c r="R216" s="118">
        <f t="shared" ca="1" si="59"/>
        <v>295138</v>
      </c>
      <c r="S216" s="118">
        <f t="shared" ca="1" si="60"/>
        <v>2862838</v>
      </c>
      <c r="T216" s="118">
        <f ca="1">중급</f>
        <v>295138</v>
      </c>
      <c r="U216" s="118">
        <f t="shared" ca="1" si="61"/>
        <v>2862838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41</v>
      </c>
      <c r="O217" s="173">
        <v>7</v>
      </c>
      <c r="P217" s="234">
        <f ca="1">OFFSET($A$1,MATCH(Z212,$A:$A,0)-1,O217)</f>
        <v>14.4</v>
      </c>
      <c r="Q217" s="144" t="s">
        <v>29</v>
      </c>
      <c r="R217" s="118">
        <f t="shared" ca="1" si="59"/>
        <v>235459</v>
      </c>
      <c r="S217" s="118">
        <f t="shared" ca="1" si="60"/>
        <v>3390609</v>
      </c>
      <c r="T217" s="118">
        <f ca="1">초급</f>
        <v>235459</v>
      </c>
      <c r="U217" s="118">
        <f t="shared" ca="1" si="61"/>
        <v>3390609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319" t="s">
        <v>42</v>
      </c>
      <c r="O218" s="174">
        <v>8</v>
      </c>
      <c r="P218" s="235">
        <f ca="1">OFFSET($A$1,MATCH(Z212,$A:$A,0)-1,O218)</f>
        <v>18.399999999999999</v>
      </c>
      <c r="Q218" s="322" t="s">
        <v>29</v>
      </c>
      <c r="R218" s="323">
        <f t="shared" ca="1" si="59"/>
        <v>250087</v>
      </c>
      <c r="S218" s="323">
        <f t="shared" ca="1" si="60"/>
        <v>4601600</v>
      </c>
      <c r="T218" s="323">
        <f ca="1">보조원</f>
        <v>250087</v>
      </c>
      <c r="U218" s="323">
        <f t="shared" ca="1" si="61"/>
        <v>4601600</v>
      </c>
      <c r="V218" s="323"/>
      <c r="W218" s="323"/>
      <c r="X218" s="323"/>
      <c r="Y218" s="323"/>
      <c r="Z218" s="324"/>
    </row>
    <row r="219" spans="11:26" ht="18" customHeight="1">
      <c r="K219" s="171" t="s">
        <v>14</v>
      </c>
      <c r="L219" s="171"/>
      <c r="M219" s="171"/>
      <c r="N219" s="139" t="s">
        <v>17</v>
      </c>
      <c r="O219" s="68"/>
      <c r="P219" s="69"/>
      <c r="Q219" s="70"/>
      <c r="R219" s="71"/>
      <c r="S219" s="71">
        <f ca="1">SUBTOTAL(9,S213:S218)</f>
        <v>14581887</v>
      </c>
      <c r="T219" s="71"/>
      <c r="U219" s="71">
        <f ca="1">SUBTOTAL(9,U213:U218)</f>
        <v>14581887</v>
      </c>
      <c r="V219" s="71"/>
      <c r="W219" s="71"/>
      <c r="X219" s="71"/>
      <c r="Y219" s="71"/>
      <c r="Z219" s="68"/>
    </row>
    <row r="220" spans="11:26" ht="18" customHeight="1">
      <c r="K220" s="171" t="s">
        <v>14</v>
      </c>
      <c r="L220" s="171"/>
      <c r="M220" s="171"/>
      <c r="N220" s="318" t="str">
        <f ca="1">"제 " &amp; Z220 &amp; " 호표  "&amp; OFFSET($A$1,MATCH(Z220,$A:$A,0)-1,1)</f>
        <v>제 19 호표  2.14. 사회복지 및 주민문화시설 등의 설치계획</v>
      </c>
      <c r="O220" s="221"/>
      <c r="P220" s="148"/>
      <c r="Q220" s="148"/>
      <c r="R220" s="149"/>
      <c r="S220" s="149"/>
      <c r="T220" s="149"/>
      <c r="U220" s="149"/>
      <c r="V220" s="149"/>
      <c r="W220" s="149"/>
      <c r="X220" s="149"/>
      <c r="Y220" s="149"/>
      <c r="Z220" s="325">
        <f>Z212+1</f>
        <v>19</v>
      </c>
    </row>
    <row r="221" spans="11:26" ht="18" customHeight="1">
      <c r="K221" s="171" t="s">
        <v>14</v>
      </c>
      <c r="L221" s="171"/>
      <c r="M221" s="171"/>
      <c r="N221" s="140" t="s">
        <v>43</v>
      </c>
      <c r="O221" s="172">
        <v>3</v>
      </c>
      <c r="P221" s="219">
        <f ca="1">OFFSET($A$1,MATCH(Z220,$A:$A,0)-1,O221)</f>
        <v>1.5</v>
      </c>
      <c r="Q221" s="141" t="s">
        <v>29</v>
      </c>
      <c r="R221" s="142">
        <f t="shared" ref="R221:R226" ca="1" si="62">T221</f>
        <v>467217</v>
      </c>
      <c r="S221" s="142">
        <f t="shared" ref="S221:S226" ca="1" si="63">U221</f>
        <v>700825</v>
      </c>
      <c r="T221" s="142">
        <f ca="1">기술사</f>
        <v>467217</v>
      </c>
      <c r="U221" s="142">
        <f t="shared" ref="U221:U226" ca="1" si="64">ROUNDDOWN(P221*R221,0)</f>
        <v>700825</v>
      </c>
      <c r="V221" s="142"/>
      <c r="W221" s="142"/>
      <c r="X221" s="142"/>
      <c r="Y221" s="142"/>
      <c r="Z221" s="114"/>
    </row>
    <row r="222" spans="11:26" ht="18" customHeight="1">
      <c r="K222" s="171" t="s">
        <v>14</v>
      </c>
      <c r="L222" s="171"/>
      <c r="M222" s="171"/>
      <c r="N222" s="143" t="s">
        <v>32</v>
      </c>
      <c r="O222" s="173">
        <v>4</v>
      </c>
      <c r="P222" s="234">
        <f ca="1">OFFSET($A$1,MATCH(Z220,$A:$A,0)-1,O222)</f>
        <v>2.4</v>
      </c>
      <c r="Q222" s="144" t="s">
        <v>29</v>
      </c>
      <c r="R222" s="118">
        <f t="shared" ca="1" si="62"/>
        <v>373353</v>
      </c>
      <c r="S222" s="118">
        <f t="shared" ca="1" si="63"/>
        <v>896047</v>
      </c>
      <c r="T222" s="118">
        <f ca="1">특급</f>
        <v>373353</v>
      </c>
      <c r="U222" s="118">
        <f t="shared" ca="1" si="64"/>
        <v>896047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39</v>
      </c>
      <c r="O223" s="173">
        <v>5</v>
      </c>
      <c r="P223" s="234">
        <f ca="1">OFFSET($A$1,MATCH(Z220,$A:$A,0)-1,O223)</f>
        <v>4.9000000000000004</v>
      </c>
      <c r="Q223" s="144" t="s">
        <v>29</v>
      </c>
      <c r="R223" s="118">
        <f t="shared" ca="1" si="62"/>
        <v>310884</v>
      </c>
      <c r="S223" s="118">
        <f t="shared" ca="1" si="63"/>
        <v>1523331</v>
      </c>
      <c r="T223" s="118">
        <f ca="1">고급</f>
        <v>310884</v>
      </c>
      <c r="U223" s="118">
        <f t="shared" ca="1" si="64"/>
        <v>1523331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40</v>
      </c>
      <c r="O224" s="173">
        <v>6</v>
      </c>
      <c r="P224" s="234">
        <f ca="1">OFFSET($A$1,MATCH(Z220,$A:$A,0)-1,O224)</f>
        <v>8.1</v>
      </c>
      <c r="Q224" s="144" t="s">
        <v>29</v>
      </c>
      <c r="R224" s="118">
        <f t="shared" ca="1" si="62"/>
        <v>295138</v>
      </c>
      <c r="S224" s="118">
        <f t="shared" ca="1" si="63"/>
        <v>2390617</v>
      </c>
      <c r="T224" s="118">
        <f ca="1">중급</f>
        <v>295138</v>
      </c>
      <c r="U224" s="118">
        <f t="shared" ca="1" si="64"/>
        <v>2390617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41</v>
      </c>
      <c r="O225" s="173">
        <v>7</v>
      </c>
      <c r="P225" s="234">
        <f ca="1">OFFSET($A$1,MATCH(Z220,$A:$A,0)-1,O225)</f>
        <v>11.9</v>
      </c>
      <c r="Q225" s="144" t="s">
        <v>29</v>
      </c>
      <c r="R225" s="118">
        <f t="shared" ca="1" si="62"/>
        <v>235459</v>
      </c>
      <c r="S225" s="118">
        <f t="shared" ca="1" si="63"/>
        <v>2801962</v>
      </c>
      <c r="T225" s="118">
        <f ca="1">초급</f>
        <v>235459</v>
      </c>
      <c r="U225" s="118">
        <f t="shared" ca="1" si="64"/>
        <v>2801962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319" t="s">
        <v>42</v>
      </c>
      <c r="O226" s="174">
        <v>8</v>
      </c>
      <c r="P226" s="235">
        <f ca="1">OFFSET($A$1,MATCH(Z220,$A:$A,0)-1,O226)</f>
        <v>11.5</v>
      </c>
      <c r="Q226" s="322" t="s">
        <v>29</v>
      </c>
      <c r="R226" s="323">
        <f t="shared" ca="1" si="62"/>
        <v>250087</v>
      </c>
      <c r="S226" s="323">
        <f t="shared" ca="1" si="63"/>
        <v>2876000</v>
      </c>
      <c r="T226" s="323">
        <f ca="1">보조원</f>
        <v>250087</v>
      </c>
      <c r="U226" s="323">
        <f t="shared" ca="1" si="64"/>
        <v>2876000</v>
      </c>
      <c r="V226" s="323"/>
      <c r="W226" s="323"/>
      <c r="X226" s="323"/>
      <c r="Y226" s="323"/>
      <c r="Z226" s="324"/>
    </row>
    <row r="227" spans="11:26" ht="18" customHeight="1">
      <c r="K227" s="171" t="s">
        <v>14</v>
      </c>
      <c r="L227" s="171"/>
      <c r="M227" s="171"/>
      <c r="N227" s="139" t="s">
        <v>17</v>
      </c>
      <c r="O227" s="68"/>
      <c r="P227" s="69"/>
      <c r="Q227" s="70"/>
      <c r="R227" s="71"/>
      <c r="S227" s="71">
        <f ca="1">SUBTOTAL(9,S221:S226)</f>
        <v>11188782</v>
      </c>
      <c r="T227" s="71"/>
      <c r="U227" s="71">
        <f ca="1">SUBTOTAL(9,U221:U226)</f>
        <v>11188782</v>
      </c>
      <c r="V227" s="71"/>
      <c r="W227" s="71"/>
      <c r="X227" s="71"/>
      <c r="Y227" s="71"/>
      <c r="Z227" s="68"/>
    </row>
    <row r="228" spans="11:26" ht="18" customHeight="1">
      <c r="K228" s="171" t="s">
        <v>14</v>
      </c>
      <c r="L228" s="171"/>
      <c r="M228" s="171"/>
      <c r="N228" s="318" t="str">
        <f ca="1">"제 " &amp; Z228 &amp; " 호표  "&amp; OFFSET($A$1,MATCH(Z228,$A:$A,0)-1,1)</f>
        <v>제 20 호표  2.15. 건폐율·용적률 등에 관한 건축물의 밀도계획</v>
      </c>
      <c r="O228" s="221"/>
      <c r="P228" s="148"/>
      <c r="Q228" s="148"/>
      <c r="R228" s="149"/>
      <c r="S228" s="149"/>
      <c r="T228" s="149"/>
      <c r="U228" s="149"/>
      <c r="V228" s="149"/>
      <c r="W228" s="149"/>
      <c r="X228" s="149"/>
      <c r="Y228" s="149"/>
      <c r="Z228" s="325">
        <f>Z220+1</f>
        <v>20</v>
      </c>
    </row>
    <row r="229" spans="11:26" ht="18" customHeight="1">
      <c r="K229" s="171" t="s">
        <v>14</v>
      </c>
      <c r="L229" s="171"/>
      <c r="M229" s="171"/>
      <c r="N229" s="140" t="s">
        <v>43</v>
      </c>
      <c r="O229" s="172">
        <v>3</v>
      </c>
      <c r="P229" s="219">
        <f ca="1">OFFSET($A$1,MATCH(Z228,$A:$A,0)-1,O229)</f>
        <v>1.8</v>
      </c>
      <c r="Q229" s="141" t="s">
        <v>29</v>
      </c>
      <c r="R229" s="142">
        <f t="shared" ref="R229:R234" ca="1" si="65">T229</f>
        <v>467217</v>
      </c>
      <c r="S229" s="142">
        <f t="shared" ref="S229:S234" ca="1" si="66">U229</f>
        <v>840990</v>
      </c>
      <c r="T229" s="142">
        <f ca="1">기술사</f>
        <v>467217</v>
      </c>
      <c r="U229" s="142">
        <f t="shared" ref="U229:U234" ca="1" si="67">ROUNDDOWN(P229*R229,0)</f>
        <v>840990</v>
      </c>
      <c r="V229" s="142"/>
      <c r="W229" s="142"/>
      <c r="X229" s="142"/>
      <c r="Y229" s="142"/>
      <c r="Z229" s="114"/>
    </row>
    <row r="230" spans="11:26" ht="18" customHeight="1">
      <c r="K230" s="171" t="s">
        <v>14</v>
      </c>
      <c r="L230" s="171"/>
      <c r="M230" s="171"/>
      <c r="N230" s="143" t="s">
        <v>32</v>
      </c>
      <c r="O230" s="173">
        <v>4</v>
      </c>
      <c r="P230" s="234">
        <f ca="1">OFFSET($A$1,MATCH(Z228,$A:$A,0)-1,O230)</f>
        <v>2.9</v>
      </c>
      <c r="Q230" s="144" t="s">
        <v>29</v>
      </c>
      <c r="R230" s="118">
        <f t="shared" ca="1" si="65"/>
        <v>373353</v>
      </c>
      <c r="S230" s="118">
        <f t="shared" ca="1" si="66"/>
        <v>1082723</v>
      </c>
      <c r="T230" s="118">
        <f ca="1">특급</f>
        <v>373353</v>
      </c>
      <c r="U230" s="118">
        <f t="shared" ca="1" si="67"/>
        <v>1082723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39</v>
      </c>
      <c r="O231" s="173">
        <v>5</v>
      </c>
      <c r="P231" s="234">
        <f ca="1">OFFSET($A$1,MATCH(Z228,$A:$A,0)-1,O231)</f>
        <v>5.8</v>
      </c>
      <c r="Q231" s="144" t="s">
        <v>29</v>
      </c>
      <c r="R231" s="118">
        <f t="shared" ca="1" si="65"/>
        <v>310884</v>
      </c>
      <c r="S231" s="118">
        <f t="shared" ca="1" si="66"/>
        <v>1803127</v>
      </c>
      <c r="T231" s="118">
        <f ca="1">고급</f>
        <v>310884</v>
      </c>
      <c r="U231" s="118">
        <f t="shared" ca="1" si="67"/>
        <v>1803127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40</v>
      </c>
      <c r="O232" s="173">
        <v>6</v>
      </c>
      <c r="P232" s="234">
        <f ca="1">OFFSET($A$1,MATCH(Z228,$A:$A,0)-1,O232)</f>
        <v>9.6999999999999993</v>
      </c>
      <c r="Q232" s="144" t="s">
        <v>29</v>
      </c>
      <c r="R232" s="118">
        <f t="shared" ca="1" si="65"/>
        <v>295138</v>
      </c>
      <c r="S232" s="118">
        <f t="shared" ca="1" si="66"/>
        <v>2862838</v>
      </c>
      <c r="T232" s="118">
        <f ca="1">중급</f>
        <v>295138</v>
      </c>
      <c r="U232" s="118">
        <f t="shared" ca="1" si="67"/>
        <v>2862838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41</v>
      </c>
      <c r="O233" s="173">
        <v>7</v>
      </c>
      <c r="P233" s="234">
        <f ca="1">OFFSET($A$1,MATCH(Z228,$A:$A,0)-1,O233)</f>
        <v>14.4</v>
      </c>
      <c r="Q233" s="144" t="s">
        <v>29</v>
      </c>
      <c r="R233" s="118">
        <f t="shared" ca="1" si="65"/>
        <v>235459</v>
      </c>
      <c r="S233" s="118">
        <f t="shared" ca="1" si="66"/>
        <v>3390609</v>
      </c>
      <c r="T233" s="118">
        <f ca="1">초급</f>
        <v>235459</v>
      </c>
      <c r="U233" s="118">
        <f t="shared" ca="1" si="67"/>
        <v>3390609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319" t="s">
        <v>42</v>
      </c>
      <c r="O234" s="174">
        <v>8</v>
      </c>
      <c r="P234" s="235">
        <f ca="1">OFFSET($A$1,MATCH(Z228,$A:$A,0)-1,O234)</f>
        <v>13.8</v>
      </c>
      <c r="Q234" s="322" t="s">
        <v>29</v>
      </c>
      <c r="R234" s="323">
        <f t="shared" ca="1" si="65"/>
        <v>250087</v>
      </c>
      <c r="S234" s="323">
        <f t="shared" ca="1" si="66"/>
        <v>3451200</v>
      </c>
      <c r="T234" s="323">
        <f ca="1">보조원</f>
        <v>250087</v>
      </c>
      <c r="U234" s="323">
        <f t="shared" ca="1" si="67"/>
        <v>3451200</v>
      </c>
      <c r="V234" s="323"/>
      <c r="W234" s="323"/>
      <c r="X234" s="323"/>
      <c r="Y234" s="323"/>
      <c r="Z234" s="324"/>
    </row>
    <row r="235" spans="11:26" ht="18" customHeight="1">
      <c r="K235" s="171" t="s">
        <v>14</v>
      </c>
      <c r="L235" s="171"/>
      <c r="M235" s="171"/>
      <c r="N235" s="139" t="s">
        <v>17</v>
      </c>
      <c r="O235" s="68"/>
      <c r="P235" s="69"/>
      <c r="Q235" s="70"/>
      <c r="R235" s="71"/>
      <c r="S235" s="71">
        <f ca="1">SUBTOTAL(9,S229:S234)</f>
        <v>13431487</v>
      </c>
      <c r="T235" s="71"/>
      <c r="U235" s="71">
        <f ca="1">SUBTOTAL(9,U229:U234)</f>
        <v>13431487</v>
      </c>
      <c r="V235" s="71"/>
      <c r="W235" s="71"/>
      <c r="X235" s="71"/>
      <c r="Y235" s="71"/>
      <c r="Z235" s="68"/>
    </row>
    <row r="236" spans="11:26" ht="18" customHeight="1">
      <c r="K236" s="171" t="s">
        <v>14</v>
      </c>
      <c r="L236" s="171"/>
      <c r="M236" s="171"/>
      <c r="N236" s="318" t="str">
        <f ca="1">"제 " &amp; Z236 &amp; " 호표  "&amp; OFFSET($A$1,MATCH(Z236,$A:$A,0)-1,1)</f>
        <v>제 21 호표  2.16. 역사적 유물 및 전통건축물 보존 및 활용계획</v>
      </c>
      <c r="O236" s="221"/>
      <c r="P236" s="148"/>
      <c r="Q236" s="148"/>
      <c r="R236" s="149"/>
      <c r="S236" s="149"/>
      <c r="T236" s="149"/>
      <c r="U236" s="149"/>
      <c r="V236" s="149"/>
      <c r="W236" s="149"/>
      <c r="X236" s="149"/>
      <c r="Y236" s="149"/>
      <c r="Z236" s="325">
        <f>Z228+1</f>
        <v>21</v>
      </c>
    </row>
    <row r="237" spans="11:26" ht="18" customHeight="1">
      <c r="K237" s="171" t="s">
        <v>14</v>
      </c>
      <c r="L237" s="171"/>
      <c r="M237" s="171"/>
      <c r="N237" s="140" t="s">
        <v>43</v>
      </c>
      <c r="O237" s="172">
        <v>3</v>
      </c>
      <c r="P237" s="219">
        <f ca="1">OFFSET($A$1,MATCH(Z236,$A:$A,0)-1,O237)</f>
        <v>1.3</v>
      </c>
      <c r="Q237" s="141" t="s">
        <v>29</v>
      </c>
      <c r="R237" s="142">
        <f t="shared" ref="R237:R242" ca="1" si="68">T237</f>
        <v>467217</v>
      </c>
      <c r="S237" s="142">
        <f t="shared" ref="S237:S242" ca="1" si="69">U237</f>
        <v>607382</v>
      </c>
      <c r="T237" s="142">
        <f ca="1">기술사</f>
        <v>467217</v>
      </c>
      <c r="U237" s="142">
        <f t="shared" ref="U237:U242" ca="1" si="70">ROUNDDOWN(P237*R237,0)</f>
        <v>607382</v>
      </c>
      <c r="V237" s="142"/>
      <c r="W237" s="142"/>
      <c r="X237" s="142"/>
      <c r="Y237" s="142"/>
      <c r="Z237" s="114"/>
    </row>
    <row r="238" spans="11:26" ht="18" customHeight="1">
      <c r="K238" s="171" t="s">
        <v>14</v>
      </c>
      <c r="L238" s="171"/>
      <c r="M238" s="171"/>
      <c r="N238" s="143" t="s">
        <v>32</v>
      </c>
      <c r="O238" s="173">
        <v>4</v>
      </c>
      <c r="P238" s="234">
        <f ca="1">OFFSET($A$1,MATCH(Z236,$A:$A,0)-1,O238)</f>
        <v>2.1</v>
      </c>
      <c r="Q238" s="144" t="s">
        <v>29</v>
      </c>
      <c r="R238" s="118">
        <f t="shared" ca="1" si="68"/>
        <v>373353</v>
      </c>
      <c r="S238" s="118">
        <f t="shared" ca="1" si="69"/>
        <v>784041</v>
      </c>
      <c r="T238" s="118">
        <f ca="1">특급</f>
        <v>373353</v>
      </c>
      <c r="U238" s="118">
        <f t="shared" ca="1" si="70"/>
        <v>784041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39</v>
      </c>
      <c r="O239" s="173">
        <v>5</v>
      </c>
      <c r="P239" s="234">
        <f ca="1">OFFSET($A$1,MATCH(Z236,$A:$A,0)-1,O239)</f>
        <v>3.9</v>
      </c>
      <c r="Q239" s="144" t="s">
        <v>29</v>
      </c>
      <c r="R239" s="118">
        <f t="shared" ca="1" si="68"/>
        <v>310884</v>
      </c>
      <c r="S239" s="118">
        <f t="shared" ca="1" si="69"/>
        <v>1212447</v>
      </c>
      <c r="T239" s="118">
        <f ca="1">고급</f>
        <v>310884</v>
      </c>
      <c r="U239" s="118">
        <f t="shared" ca="1" si="70"/>
        <v>1212447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40</v>
      </c>
      <c r="O240" s="173">
        <v>6</v>
      </c>
      <c r="P240" s="234">
        <f ca="1">OFFSET($A$1,MATCH(Z236,$A:$A,0)-1,O240)</f>
        <v>6.6</v>
      </c>
      <c r="Q240" s="144" t="s">
        <v>29</v>
      </c>
      <c r="R240" s="118">
        <f t="shared" ca="1" si="68"/>
        <v>295138</v>
      </c>
      <c r="S240" s="118">
        <f t="shared" ca="1" si="69"/>
        <v>1947910</v>
      </c>
      <c r="T240" s="118">
        <f ca="1">중급</f>
        <v>295138</v>
      </c>
      <c r="U240" s="118">
        <f t="shared" ca="1" si="70"/>
        <v>1947910</v>
      </c>
      <c r="V240" s="118"/>
      <c r="W240" s="118"/>
      <c r="X240" s="118"/>
      <c r="Y240" s="118"/>
      <c r="Z240" s="115"/>
    </row>
    <row r="241" spans="11:28" ht="18" customHeight="1">
      <c r="K241" s="171" t="s">
        <v>14</v>
      </c>
      <c r="L241" s="171"/>
      <c r="M241" s="171"/>
      <c r="N241" s="145" t="s">
        <v>41</v>
      </c>
      <c r="O241" s="173">
        <v>7</v>
      </c>
      <c r="P241" s="234">
        <f ca="1">OFFSET($A$1,MATCH(Z236,$A:$A,0)-1,O241)</f>
        <v>9.6999999999999993</v>
      </c>
      <c r="Q241" s="144" t="s">
        <v>29</v>
      </c>
      <c r="R241" s="118">
        <f t="shared" ca="1" si="68"/>
        <v>235459</v>
      </c>
      <c r="S241" s="118">
        <f t="shared" ca="1" si="69"/>
        <v>2283952</v>
      </c>
      <c r="T241" s="118">
        <f ca="1">초급</f>
        <v>235459</v>
      </c>
      <c r="U241" s="118">
        <f t="shared" ca="1" si="70"/>
        <v>2283952</v>
      </c>
      <c r="V241" s="118"/>
      <c r="W241" s="118"/>
      <c r="X241" s="118"/>
      <c r="Y241" s="118"/>
      <c r="Z241" s="115"/>
    </row>
    <row r="242" spans="11:28" ht="18" customHeight="1">
      <c r="K242" s="171" t="s">
        <v>14</v>
      </c>
      <c r="L242" s="171"/>
      <c r="M242" s="171"/>
      <c r="N242" s="319" t="s">
        <v>42</v>
      </c>
      <c r="O242" s="174">
        <v>8</v>
      </c>
      <c r="P242" s="235">
        <f ca="1">OFFSET($A$1,MATCH(Z236,$A:$A,0)-1,O242)</f>
        <v>9.1999999999999993</v>
      </c>
      <c r="Q242" s="322" t="s">
        <v>29</v>
      </c>
      <c r="R242" s="323">
        <f t="shared" ca="1" si="68"/>
        <v>250087</v>
      </c>
      <c r="S242" s="323">
        <f t="shared" ca="1" si="69"/>
        <v>2300800</v>
      </c>
      <c r="T242" s="323">
        <f ca="1">보조원</f>
        <v>250087</v>
      </c>
      <c r="U242" s="323">
        <f t="shared" ca="1" si="70"/>
        <v>2300800</v>
      </c>
      <c r="V242" s="323"/>
      <c r="W242" s="323"/>
      <c r="X242" s="323"/>
      <c r="Y242" s="323"/>
      <c r="Z242" s="324"/>
    </row>
    <row r="243" spans="11:28" ht="18" customHeight="1">
      <c r="K243" s="171" t="s">
        <v>14</v>
      </c>
      <c r="L243" s="171"/>
      <c r="M243" s="171"/>
      <c r="N243" s="139" t="s">
        <v>17</v>
      </c>
      <c r="O243" s="68"/>
      <c r="P243" s="69"/>
      <c r="Q243" s="70"/>
      <c r="R243" s="71"/>
      <c r="S243" s="71">
        <f ca="1">SUBTOTAL(9,S237:S242)</f>
        <v>9136532</v>
      </c>
      <c r="T243" s="71"/>
      <c r="U243" s="71">
        <f ca="1">SUBTOTAL(9,U237:U242)</f>
        <v>9136532</v>
      </c>
      <c r="V243" s="71"/>
      <c r="W243" s="71"/>
      <c r="X243" s="71"/>
      <c r="Y243" s="71"/>
      <c r="Z243" s="68"/>
    </row>
    <row r="244" spans="11:28" ht="18" customHeight="1">
      <c r="K244" s="171" t="s">
        <v>14</v>
      </c>
      <c r="L244" s="171"/>
      <c r="M244" s="171"/>
      <c r="N244" s="318" t="str">
        <f ca="1">"제 " &amp; Z244 &amp; " 호표  "&amp; OFFSET($A$1,MATCH(Z244,$A:$A,0)-1,1)</f>
        <v>제 22 호표  2.17. 도시경관에 관한 계획</v>
      </c>
      <c r="O244" s="221"/>
      <c r="P244" s="148"/>
      <c r="Q244" s="148"/>
      <c r="R244" s="149"/>
      <c r="S244" s="149"/>
      <c r="T244" s="149"/>
      <c r="U244" s="149"/>
      <c r="V244" s="149"/>
      <c r="W244" s="149"/>
      <c r="X244" s="149"/>
      <c r="Y244" s="149"/>
      <c r="Z244" s="325">
        <f>Z236+1</f>
        <v>22</v>
      </c>
    </row>
    <row r="245" spans="11:28" ht="18" customHeight="1">
      <c r="K245" s="171" t="s">
        <v>14</v>
      </c>
      <c r="L245" s="171"/>
      <c r="M245" s="171"/>
      <c r="N245" s="140" t="s">
        <v>43</v>
      </c>
      <c r="O245" s="172">
        <v>3</v>
      </c>
      <c r="P245" s="219">
        <f ca="1">OFFSET($A$1,MATCH(Z244,$A:$A,0)-1,O245)</f>
        <v>1.2</v>
      </c>
      <c r="Q245" s="141" t="s">
        <v>29</v>
      </c>
      <c r="R245" s="142">
        <f t="shared" ref="R245:R250" ca="1" si="71">T245</f>
        <v>467217</v>
      </c>
      <c r="S245" s="142">
        <f t="shared" ref="S245:S250" ca="1" si="72">U245</f>
        <v>560660</v>
      </c>
      <c r="T245" s="142">
        <f ca="1">기술사</f>
        <v>467217</v>
      </c>
      <c r="U245" s="142">
        <f t="shared" ref="U245:U250" ca="1" si="73">ROUNDDOWN(P245*R245,0)</f>
        <v>560660</v>
      </c>
      <c r="V245" s="142"/>
      <c r="W245" s="142"/>
      <c r="X245" s="142"/>
      <c r="Y245" s="142"/>
      <c r="Z245" s="114"/>
    </row>
    <row r="246" spans="11:28" ht="18" customHeight="1">
      <c r="K246" s="171" t="s">
        <v>14</v>
      </c>
      <c r="L246" s="171"/>
      <c r="M246" s="171"/>
      <c r="N246" s="143" t="s">
        <v>32</v>
      </c>
      <c r="O246" s="173">
        <v>4</v>
      </c>
      <c r="P246" s="234">
        <f ca="1">OFFSET($A$1,MATCH(Z244,$A:$A,0)-1,O246)</f>
        <v>2.1</v>
      </c>
      <c r="Q246" s="144" t="s">
        <v>29</v>
      </c>
      <c r="R246" s="118">
        <f t="shared" ca="1" si="71"/>
        <v>373353</v>
      </c>
      <c r="S246" s="118">
        <f t="shared" ca="1" si="72"/>
        <v>784041</v>
      </c>
      <c r="T246" s="118">
        <f ca="1">특급</f>
        <v>373353</v>
      </c>
      <c r="U246" s="118">
        <f t="shared" ca="1" si="73"/>
        <v>784041</v>
      </c>
      <c r="V246" s="118"/>
      <c r="W246" s="118"/>
      <c r="X246" s="118"/>
      <c r="Y246" s="118"/>
      <c r="Z246" s="115"/>
    </row>
    <row r="247" spans="11:28" ht="18" customHeight="1">
      <c r="K247" s="171" t="s">
        <v>14</v>
      </c>
      <c r="L247" s="171"/>
      <c r="M247" s="171"/>
      <c r="N247" s="145" t="s">
        <v>39</v>
      </c>
      <c r="O247" s="173">
        <v>5</v>
      </c>
      <c r="P247" s="234">
        <f ca="1">OFFSET($A$1,MATCH(Z244,$A:$A,0)-1,O247)</f>
        <v>3.9</v>
      </c>
      <c r="Q247" s="144" t="s">
        <v>29</v>
      </c>
      <c r="R247" s="118">
        <f t="shared" ca="1" si="71"/>
        <v>310884</v>
      </c>
      <c r="S247" s="118">
        <f t="shared" ca="1" si="72"/>
        <v>1212447</v>
      </c>
      <c r="T247" s="118">
        <f ca="1">고급</f>
        <v>310884</v>
      </c>
      <c r="U247" s="118">
        <f t="shared" ca="1" si="73"/>
        <v>1212447</v>
      </c>
      <c r="V247" s="118"/>
      <c r="W247" s="118"/>
      <c r="X247" s="118"/>
      <c r="Y247" s="118"/>
      <c r="Z247" s="115"/>
      <c r="AA247" s="171"/>
      <c r="AB247" s="171"/>
    </row>
    <row r="248" spans="11:28" ht="18" customHeight="1">
      <c r="K248" s="171" t="s">
        <v>14</v>
      </c>
      <c r="L248" s="171"/>
      <c r="M248" s="171"/>
      <c r="N248" s="145" t="s">
        <v>40</v>
      </c>
      <c r="O248" s="173">
        <v>6</v>
      </c>
      <c r="P248" s="234">
        <f ca="1">OFFSET($A$1,MATCH(Z244,$A:$A,0)-1,O248)</f>
        <v>6.6</v>
      </c>
      <c r="Q248" s="144" t="s">
        <v>29</v>
      </c>
      <c r="R248" s="118">
        <f t="shared" ca="1" si="71"/>
        <v>295138</v>
      </c>
      <c r="S248" s="118">
        <f t="shared" ca="1" si="72"/>
        <v>1947910</v>
      </c>
      <c r="T248" s="118">
        <f ca="1">중급</f>
        <v>295138</v>
      </c>
      <c r="U248" s="118">
        <f t="shared" ca="1" si="73"/>
        <v>1947910</v>
      </c>
      <c r="V248" s="118"/>
      <c r="W248" s="118"/>
      <c r="X248" s="118"/>
      <c r="Y248" s="118"/>
      <c r="Z248" s="115"/>
      <c r="AA248" s="171"/>
      <c r="AB248" s="171"/>
    </row>
    <row r="249" spans="11:28" ht="18" customHeight="1">
      <c r="K249" s="171" t="s">
        <v>14</v>
      </c>
      <c r="L249" s="171"/>
      <c r="M249" s="171"/>
      <c r="N249" s="145" t="s">
        <v>41</v>
      </c>
      <c r="O249" s="173">
        <v>7</v>
      </c>
      <c r="P249" s="234">
        <f ca="1">OFFSET($A$1,MATCH(Z244,$A:$A,0)-1,O249)</f>
        <v>9.6999999999999993</v>
      </c>
      <c r="Q249" s="144" t="s">
        <v>29</v>
      </c>
      <c r="R249" s="118">
        <f t="shared" ca="1" si="71"/>
        <v>235459</v>
      </c>
      <c r="S249" s="118">
        <f t="shared" ca="1" si="72"/>
        <v>2283952</v>
      </c>
      <c r="T249" s="118">
        <f ca="1">초급</f>
        <v>235459</v>
      </c>
      <c r="U249" s="118">
        <f t="shared" ca="1" si="73"/>
        <v>2283952</v>
      </c>
      <c r="V249" s="118"/>
      <c r="W249" s="118"/>
      <c r="X249" s="118"/>
      <c r="Y249" s="118"/>
      <c r="Z249" s="115"/>
      <c r="AA249" s="171"/>
      <c r="AB249" s="171"/>
    </row>
    <row r="250" spans="11:28" ht="18" customHeight="1">
      <c r="K250" s="171" t="s">
        <v>14</v>
      </c>
      <c r="L250" s="171"/>
      <c r="M250" s="171"/>
      <c r="N250" s="319" t="s">
        <v>42</v>
      </c>
      <c r="O250" s="174">
        <v>8</v>
      </c>
      <c r="P250" s="235">
        <f ca="1">OFFSET($A$1,MATCH(Z244,$A:$A,0)-1,O250)</f>
        <v>9.1999999999999993</v>
      </c>
      <c r="Q250" s="322" t="s">
        <v>29</v>
      </c>
      <c r="R250" s="323">
        <f t="shared" ca="1" si="71"/>
        <v>250087</v>
      </c>
      <c r="S250" s="323">
        <f t="shared" ca="1" si="72"/>
        <v>2300800</v>
      </c>
      <c r="T250" s="323">
        <f ca="1">보조원</f>
        <v>250087</v>
      </c>
      <c r="U250" s="323">
        <f t="shared" ca="1" si="73"/>
        <v>2300800</v>
      </c>
      <c r="V250" s="323"/>
      <c r="W250" s="323"/>
      <c r="X250" s="323"/>
      <c r="Y250" s="323"/>
      <c r="Z250" s="324"/>
      <c r="AA250" s="171"/>
      <c r="AB250" s="171"/>
    </row>
    <row r="251" spans="11:28" ht="18" customHeight="1">
      <c r="K251" s="171" t="s">
        <v>14</v>
      </c>
      <c r="L251" s="171"/>
      <c r="M251" s="171"/>
      <c r="N251" s="139" t="s">
        <v>17</v>
      </c>
      <c r="O251" s="68"/>
      <c r="P251" s="69"/>
      <c r="Q251" s="70"/>
      <c r="R251" s="71"/>
      <c r="S251" s="71">
        <f ca="1">SUBTOTAL(9,S245:S250)</f>
        <v>9089810</v>
      </c>
      <c r="T251" s="71"/>
      <c r="U251" s="71">
        <f ca="1">SUBTOTAL(9,U245:U250)</f>
        <v>9089810</v>
      </c>
      <c r="V251" s="71"/>
      <c r="W251" s="71"/>
      <c r="X251" s="71"/>
      <c r="Y251" s="71"/>
      <c r="Z251" s="68"/>
    </row>
    <row r="252" spans="11:28" ht="18" customHeight="1">
      <c r="K252" s="171" t="s">
        <v>14</v>
      </c>
      <c r="L252" s="171"/>
      <c r="M252" s="171"/>
      <c r="N252" s="318" t="str">
        <f ca="1">"제 " &amp; Z252 &amp; " 호표  "&amp; OFFSET($A$1,MATCH(Z252,$A:$A,0)-1,1)</f>
        <v>제 23 호표  3.1. 보고서 작성 및 편집</v>
      </c>
      <c r="O252" s="221"/>
      <c r="P252" s="148"/>
      <c r="Q252" s="148"/>
      <c r="R252" s="149"/>
      <c r="S252" s="149"/>
      <c r="T252" s="149"/>
      <c r="U252" s="149"/>
      <c r="V252" s="149"/>
      <c r="W252" s="149"/>
      <c r="X252" s="149"/>
      <c r="Y252" s="149"/>
      <c r="Z252" s="325">
        <f>Z244+1</f>
        <v>23</v>
      </c>
    </row>
    <row r="253" spans="11:28" ht="18" customHeight="1">
      <c r="K253" s="171" t="s">
        <v>14</v>
      </c>
      <c r="L253" s="171"/>
      <c r="M253" s="171"/>
      <c r="N253" s="140" t="s">
        <v>43</v>
      </c>
      <c r="O253" s="172">
        <v>3</v>
      </c>
      <c r="P253" s="219">
        <f ca="1">OFFSET($A$1,MATCH(Z252,$A:$A,0)-1,O253)</f>
        <v>6</v>
      </c>
      <c r="Q253" s="141" t="s">
        <v>29</v>
      </c>
      <c r="R253" s="142">
        <f t="shared" ref="R253:R258" ca="1" si="74">T253</f>
        <v>467217</v>
      </c>
      <c r="S253" s="142">
        <f t="shared" ref="S253:S258" ca="1" si="75">U253</f>
        <v>2803302</v>
      </c>
      <c r="T253" s="142">
        <f ca="1">기술사</f>
        <v>467217</v>
      </c>
      <c r="U253" s="142">
        <f t="shared" ref="U253:U258" ca="1" si="76">ROUNDDOWN(P253*R253,0)</f>
        <v>2803302</v>
      </c>
      <c r="V253" s="142"/>
      <c r="W253" s="142"/>
      <c r="X253" s="142"/>
      <c r="Y253" s="142"/>
      <c r="Z253" s="114"/>
    </row>
    <row r="254" spans="11:28" ht="18" customHeight="1">
      <c r="K254" s="171" t="s">
        <v>14</v>
      </c>
      <c r="L254" s="171"/>
      <c r="M254" s="171"/>
      <c r="N254" s="143" t="s">
        <v>32</v>
      </c>
      <c r="O254" s="173">
        <v>4</v>
      </c>
      <c r="P254" s="234">
        <f ca="1">OFFSET($A$1,MATCH(Z252,$A:$A,0)-1,O254)</f>
        <v>9.4</v>
      </c>
      <c r="Q254" s="144" t="s">
        <v>29</v>
      </c>
      <c r="R254" s="118">
        <f t="shared" ca="1" si="74"/>
        <v>373353</v>
      </c>
      <c r="S254" s="118">
        <f t="shared" ca="1" si="75"/>
        <v>3509518</v>
      </c>
      <c r="T254" s="118">
        <f ca="1">특급</f>
        <v>373353</v>
      </c>
      <c r="U254" s="118">
        <f t="shared" ca="1" si="76"/>
        <v>3509518</v>
      </c>
      <c r="V254" s="118"/>
      <c r="W254" s="118"/>
      <c r="X254" s="118"/>
      <c r="Y254" s="118"/>
      <c r="Z254" s="115"/>
    </row>
    <row r="255" spans="11:28" ht="18" customHeight="1">
      <c r="K255" s="171" t="s">
        <v>14</v>
      </c>
      <c r="L255" s="171"/>
      <c r="M255" s="171"/>
      <c r="N255" s="145" t="s">
        <v>39</v>
      </c>
      <c r="O255" s="173">
        <v>5</v>
      </c>
      <c r="P255" s="234">
        <f ca="1">OFFSET($A$1,MATCH(Z252,$A:$A,0)-1,O255)</f>
        <v>21.2</v>
      </c>
      <c r="Q255" s="144" t="s">
        <v>29</v>
      </c>
      <c r="R255" s="118">
        <f t="shared" ca="1" si="74"/>
        <v>310884</v>
      </c>
      <c r="S255" s="118">
        <f t="shared" ca="1" si="75"/>
        <v>6590740</v>
      </c>
      <c r="T255" s="118">
        <f ca="1">고급</f>
        <v>310884</v>
      </c>
      <c r="U255" s="118">
        <f t="shared" ca="1" si="76"/>
        <v>6590740</v>
      </c>
      <c r="V255" s="118"/>
      <c r="W255" s="118"/>
      <c r="X255" s="118"/>
      <c r="Y255" s="118"/>
      <c r="Z255" s="115"/>
    </row>
    <row r="256" spans="11:28" ht="18" customHeight="1">
      <c r="K256" s="171" t="s">
        <v>14</v>
      </c>
      <c r="L256" s="171"/>
      <c r="M256" s="171"/>
      <c r="N256" s="145" t="s">
        <v>40</v>
      </c>
      <c r="O256" s="173">
        <v>6</v>
      </c>
      <c r="P256" s="234">
        <f ca="1">OFFSET($A$1,MATCH(Z252,$A:$A,0)-1,O256)</f>
        <v>35.4</v>
      </c>
      <c r="Q256" s="144" t="s">
        <v>29</v>
      </c>
      <c r="R256" s="118">
        <f t="shared" ca="1" si="74"/>
        <v>295138</v>
      </c>
      <c r="S256" s="118">
        <f t="shared" ca="1" si="75"/>
        <v>10447885</v>
      </c>
      <c r="T256" s="118">
        <f ca="1">중급</f>
        <v>295138</v>
      </c>
      <c r="U256" s="118">
        <f t="shared" ca="1" si="76"/>
        <v>10447885</v>
      </c>
      <c r="V256" s="118"/>
      <c r="W256" s="118"/>
      <c r="X256" s="118"/>
      <c r="Y256" s="118"/>
      <c r="Z256" s="115"/>
    </row>
    <row r="257" spans="11:28" ht="18" customHeight="1">
      <c r="K257" s="171" t="s">
        <v>14</v>
      </c>
      <c r="L257" s="171"/>
      <c r="M257" s="171"/>
      <c r="N257" s="145" t="s">
        <v>41</v>
      </c>
      <c r="O257" s="173">
        <v>7</v>
      </c>
      <c r="P257" s="234">
        <f ca="1">OFFSET($A$1,MATCH(Z252,$A:$A,0)-1,O257)</f>
        <v>35.1</v>
      </c>
      <c r="Q257" s="144" t="s">
        <v>29</v>
      </c>
      <c r="R257" s="118">
        <f t="shared" ca="1" si="74"/>
        <v>235459</v>
      </c>
      <c r="S257" s="118">
        <f t="shared" ca="1" si="75"/>
        <v>8264610</v>
      </c>
      <c r="T257" s="118">
        <f ca="1">초급</f>
        <v>235459</v>
      </c>
      <c r="U257" s="118">
        <f t="shared" ca="1" si="76"/>
        <v>8264610</v>
      </c>
      <c r="V257" s="118"/>
      <c r="W257" s="118"/>
      <c r="X257" s="118"/>
      <c r="Y257" s="118"/>
      <c r="Z257" s="115"/>
    </row>
    <row r="258" spans="11:28" ht="18" customHeight="1">
      <c r="K258" s="171" t="s">
        <v>14</v>
      </c>
      <c r="L258" s="171"/>
      <c r="M258" s="171"/>
      <c r="N258" s="319" t="s">
        <v>42</v>
      </c>
      <c r="O258" s="174">
        <v>8</v>
      </c>
      <c r="P258" s="235">
        <f ca="1">OFFSET($A$1,MATCH(Z252,$A:$A,0)-1,O258)</f>
        <v>23.3</v>
      </c>
      <c r="Q258" s="322" t="s">
        <v>29</v>
      </c>
      <c r="R258" s="323">
        <f t="shared" ca="1" si="74"/>
        <v>250087</v>
      </c>
      <c r="S258" s="323">
        <f t="shared" ca="1" si="75"/>
        <v>5827027</v>
      </c>
      <c r="T258" s="323">
        <f ca="1">보조원</f>
        <v>250087</v>
      </c>
      <c r="U258" s="323">
        <f t="shared" ca="1" si="76"/>
        <v>5827027</v>
      </c>
      <c r="V258" s="323"/>
      <c r="W258" s="323"/>
      <c r="X258" s="323"/>
      <c r="Y258" s="323"/>
      <c r="Z258" s="324"/>
    </row>
    <row r="259" spans="11:28" ht="18" customHeight="1">
      <c r="K259" s="171" t="s">
        <v>14</v>
      </c>
      <c r="L259" s="171"/>
      <c r="M259" s="171"/>
      <c r="N259" s="139" t="s">
        <v>17</v>
      </c>
      <c r="O259" s="68"/>
      <c r="P259" s="69"/>
      <c r="Q259" s="70"/>
      <c r="R259" s="71"/>
      <c r="S259" s="71">
        <f ca="1">SUBTOTAL(9,S253:S258)</f>
        <v>37443082</v>
      </c>
      <c r="T259" s="71"/>
      <c r="U259" s="71">
        <f ca="1">SUBTOTAL(9,U253:U258)</f>
        <v>37443082</v>
      </c>
      <c r="V259" s="71"/>
      <c r="W259" s="71"/>
      <c r="X259" s="71"/>
      <c r="Y259" s="71"/>
      <c r="Z259" s="68"/>
    </row>
    <row r="260" spans="11:28" ht="18" customHeight="1">
      <c r="K260" s="171" t="s">
        <v>14</v>
      </c>
      <c r="L260" s="171"/>
      <c r="M260" s="171"/>
      <c r="N260" s="318" t="str">
        <f ca="1">"제 " &amp; Z260 &amp; " 호표  "&amp; OFFSET($A$1,MATCH(Z260,$A:$A,0)-1,1)</f>
        <v>제 24 호표  3.2. 관련도서 작성</v>
      </c>
      <c r="O260" s="221"/>
      <c r="P260" s="148"/>
      <c r="Q260" s="148"/>
      <c r="R260" s="149"/>
      <c r="S260" s="149"/>
      <c r="T260" s="149"/>
      <c r="U260" s="149"/>
      <c r="V260" s="149"/>
      <c r="W260" s="149"/>
      <c r="X260" s="149"/>
      <c r="Y260" s="149"/>
      <c r="Z260" s="325">
        <f>Z252+1</f>
        <v>24</v>
      </c>
    </row>
    <row r="261" spans="11:28" ht="18" customHeight="1">
      <c r="K261" s="171" t="s">
        <v>14</v>
      </c>
      <c r="L261" s="171"/>
      <c r="M261" s="171"/>
      <c r="N261" s="140" t="s">
        <v>43</v>
      </c>
      <c r="O261" s="172">
        <v>3</v>
      </c>
      <c r="P261" s="219">
        <f ca="1">OFFSET($A$1,MATCH(Z260,$A:$A,0)-1,O261)</f>
        <v>2.8</v>
      </c>
      <c r="Q261" s="141" t="s">
        <v>29</v>
      </c>
      <c r="R261" s="142">
        <f t="shared" ref="R261:R266" ca="1" si="77">T261</f>
        <v>467217</v>
      </c>
      <c r="S261" s="142">
        <f t="shared" ref="S261:S266" ca="1" si="78">U261</f>
        <v>1308207</v>
      </c>
      <c r="T261" s="142">
        <f ca="1">기술사</f>
        <v>467217</v>
      </c>
      <c r="U261" s="142">
        <f t="shared" ref="U261:U266" ca="1" si="79">ROUNDDOWN(P261*R261,0)</f>
        <v>1308207</v>
      </c>
      <c r="V261" s="142"/>
      <c r="W261" s="142"/>
      <c r="X261" s="142"/>
      <c r="Y261" s="142"/>
      <c r="Z261" s="114"/>
    </row>
    <row r="262" spans="11:28" ht="18" customHeight="1">
      <c r="K262" s="171" t="s">
        <v>14</v>
      </c>
      <c r="L262" s="171"/>
      <c r="M262" s="171"/>
      <c r="N262" s="143" t="s">
        <v>32</v>
      </c>
      <c r="O262" s="173">
        <v>4</v>
      </c>
      <c r="P262" s="234">
        <f ca="1">OFFSET($A$1,MATCH(Z260,$A:$A,0)-1,O262)</f>
        <v>4.9000000000000004</v>
      </c>
      <c r="Q262" s="144" t="s">
        <v>29</v>
      </c>
      <c r="R262" s="118">
        <f t="shared" ca="1" si="77"/>
        <v>373353</v>
      </c>
      <c r="S262" s="118">
        <f t="shared" ca="1" si="78"/>
        <v>1829429</v>
      </c>
      <c r="T262" s="118">
        <f ca="1">특급</f>
        <v>373353</v>
      </c>
      <c r="U262" s="118">
        <f t="shared" ca="1" si="79"/>
        <v>1829429</v>
      </c>
      <c r="V262" s="118"/>
      <c r="W262" s="118"/>
      <c r="X262" s="118"/>
      <c r="Y262" s="118"/>
      <c r="Z262" s="115"/>
    </row>
    <row r="263" spans="11:28" ht="18" customHeight="1">
      <c r="K263" s="171" t="s">
        <v>14</v>
      </c>
      <c r="L263" s="171"/>
      <c r="M263" s="171"/>
      <c r="N263" s="145" t="s">
        <v>39</v>
      </c>
      <c r="O263" s="173">
        <v>5</v>
      </c>
      <c r="P263" s="234">
        <f ca="1">OFFSET($A$1,MATCH(Z260,$A:$A,0)-1,O263)</f>
        <v>10.7</v>
      </c>
      <c r="Q263" s="144" t="s">
        <v>29</v>
      </c>
      <c r="R263" s="118">
        <f t="shared" ca="1" si="77"/>
        <v>310884</v>
      </c>
      <c r="S263" s="118">
        <f t="shared" ca="1" si="78"/>
        <v>3326458</v>
      </c>
      <c r="T263" s="118">
        <f ca="1">고급</f>
        <v>310884</v>
      </c>
      <c r="U263" s="118">
        <f t="shared" ca="1" si="79"/>
        <v>3326458</v>
      </c>
      <c r="V263" s="118"/>
      <c r="W263" s="118"/>
      <c r="X263" s="118"/>
      <c r="Y263" s="118"/>
      <c r="Z263" s="115"/>
      <c r="AA263" s="171"/>
      <c r="AB263" s="171"/>
    </row>
    <row r="264" spans="11:28" ht="18" customHeight="1">
      <c r="K264" s="171" t="s">
        <v>14</v>
      </c>
      <c r="L264" s="171"/>
      <c r="M264" s="171"/>
      <c r="N264" s="145" t="s">
        <v>40</v>
      </c>
      <c r="O264" s="173">
        <v>6</v>
      </c>
      <c r="P264" s="234">
        <f ca="1">OFFSET($A$1,MATCH(Z260,$A:$A,0)-1,O264)</f>
        <v>23.9</v>
      </c>
      <c r="Q264" s="144" t="s">
        <v>29</v>
      </c>
      <c r="R264" s="118">
        <f t="shared" ca="1" si="77"/>
        <v>295138</v>
      </c>
      <c r="S264" s="118">
        <f t="shared" ca="1" si="78"/>
        <v>7053798</v>
      </c>
      <c r="T264" s="118">
        <f ca="1">중급</f>
        <v>295138</v>
      </c>
      <c r="U264" s="118">
        <f t="shared" ca="1" si="79"/>
        <v>7053798</v>
      </c>
      <c r="V264" s="118"/>
      <c r="W264" s="118"/>
      <c r="X264" s="118"/>
      <c r="Y264" s="118"/>
      <c r="Z264" s="115"/>
      <c r="AA264" s="171"/>
      <c r="AB264" s="171"/>
    </row>
    <row r="265" spans="11:28" ht="18" customHeight="1">
      <c r="K265" s="171" t="s">
        <v>14</v>
      </c>
      <c r="L265" s="171"/>
      <c r="M265" s="171"/>
      <c r="N265" s="145" t="s">
        <v>41</v>
      </c>
      <c r="O265" s="173">
        <v>7</v>
      </c>
      <c r="P265" s="234">
        <f ca="1">OFFSET($A$1,MATCH(Z260,$A:$A,0)-1,O265)</f>
        <v>47.2</v>
      </c>
      <c r="Q265" s="144" t="s">
        <v>29</v>
      </c>
      <c r="R265" s="118">
        <f t="shared" ca="1" si="77"/>
        <v>235459</v>
      </c>
      <c r="S265" s="118">
        <f t="shared" ca="1" si="78"/>
        <v>11113664</v>
      </c>
      <c r="T265" s="118">
        <f ca="1">초급</f>
        <v>235459</v>
      </c>
      <c r="U265" s="118">
        <f t="shared" ca="1" si="79"/>
        <v>11113664</v>
      </c>
      <c r="V265" s="118"/>
      <c r="W265" s="118"/>
      <c r="X265" s="118"/>
      <c r="Y265" s="118"/>
      <c r="Z265" s="115"/>
      <c r="AA265" s="171"/>
      <c r="AB265" s="171"/>
    </row>
    <row r="266" spans="11:28" ht="18" customHeight="1">
      <c r="K266" s="171" t="s">
        <v>14</v>
      </c>
      <c r="L266" s="171"/>
      <c r="M266" s="171"/>
      <c r="N266" s="319" t="s">
        <v>42</v>
      </c>
      <c r="O266" s="174">
        <v>8</v>
      </c>
      <c r="P266" s="235">
        <f ca="1">OFFSET($A$1,MATCH(Z260,$A:$A,0)-1,O266)</f>
        <v>59</v>
      </c>
      <c r="Q266" s="322" t="s">
        <v>29</v>
      </c>
      <c r="R266" s="323">
        <f t="shared" ca="1" si="77"/>
        <v>250087</v>
      </c>
      <c r="S266" s="323">
        <f t="shared" ca="1" si="78"/>
        <v>14755133</v>
      </c>
      <c r="T266" s="323">
        <f ca="1">보조원</f>
        <v>250087</v>
      </c>
      <c r="U266" s="323">
        <f t="shared" ca="1" si="79"/>
        <v>14755133</v>
      </c>
      <c r="V266" s="323"/>
      <c r="W266" s="323"/>
      <c r="X266" s="323"/>
      <c r="Y266" s="323"/>
      <c r="Z266" s="324"/>
      <c r="AA266" s="171"/>
      <c r="AB266" s="171"/>
    </row>
    <row r="267" spans="11:28" ht="18" customHeight="1">
      <c r="K267" s="171" t="s">
        <v>14</v>
      </c>
      <c r="L267" s="171"/>
      <c r="M267" s="171"/>
      <c r="N267" s="139" t="s">
        <v>17</v>
      </c>
      <c r="O267" s="68"/>
      <c r="P267" s="69"/>
      <c r="Q267" s="70"/>
      <c r="R267" s="71"/>
      <c r="S267" s="71">
        <f ca="1">SUBTOTAL(9,S261:S266)</f>
        <v>39386689</v>
      </c>
      <c r="T267" s="71"/>
      <c r="U267" s="71">
        <f ca="1">SUBTOTAL(9,U261:U266)</f>
        <v>39386689</v>
      </c>
      <c r="V267" s="71"/>
      <c r="W267" s="71"/>
      <c r="X267" s="71"/>
      <c r="Y267" s="71"/>
      <c r="Z267" s="68"/>
      <c r="AA267" s="171"/>
      <c r="AB267" s="171"/>
    </row>
    <row r="268" spans="11:28" ht="18" customHeight="1">
      <c r="K268" s="171" t="s">
        <v>14</v>
      </c>
      <c r="L268" s="171"/>
      <c r="M268" s="171"/>
      <c r="N268" s="318" t="str">
        <f ca="1">"제 " &amp; Z268 &amp; " 호표  "&amp; OFFSET($A$1,MATCH(Z268,$A:$A,0)-1,1)</f>
        <v>제 25 호표  4.1. 공청회/주민설명회</v>
      </c>
      <c r="O268" s="221"/>
      <c r="P268" s="148"/>
      <c r="Q268" s="148"/>
      <c r="R268" s="149"/>
      <c r="S268" s="149"/>
      <c r="T268" s="149"/>
      <c r="U268" s="149"/>
      <c r="V268" s="149"/>
      <c r="W268" s="149"/>
      <c r="X268" s="149"/>
      <c r="Y268" s="149"/>
      <c r="Z268" s="325">
        <f>Z260+1</f>
        <v>25</v>
      </c>
      <c r="AA268" s="171"/>
      <c r="AB268" s="171"/>
    </row>
    <row r="269" spans="11:28" ht="18" customHeight="1">
      <c r="K269" s="171" t="s">
        <v>14</v>
      </c>
      <c r="L269" s="171"/>
      <c r="M269" s="171"/>
      <c r="N269" s="140" t="s">
        <v>43</v>
      </c>
      <c r="O269" s="172">
        <v>3</v>
      </c>
      <c r="P269" s="219">
        <f ca="1">OFFSET($A$1,MATCH(Z268,$A:$A,0)-1,O269)</f>
        <v>2</v>
      </c>
      <c r="Q269" s="141" t="s">
        <v>29</v>
      </c>
      <c r="R269" s="142">
        <f t="shared" ref="R269:R274" ca="1" si="80">T269</f>
        <v>467217</v>
      </c>
      <c r="S269" s="142">
        <f t="shared" ref="S269:S274" ca="1" si="81">U269</f>
        <v>934434</v>
      </c>
      <c r="T269" s="142">
        <f ca="1">기술사</f>
        <v>467217</v>
      </c>
      <c r="U269" s="142">
        <f t="shared" ref="U269:U274" ca="1" si="82">ROUNDDOWN(P269*R269,0)</f>
        <v>934434</v>
      </c>
      <c r="V269" s="142"/>
      <c r="W269" s="142"/>
      <c r="X269" s="142"/>
      <c r="Y269" s="142"/>
      <c r="Z269" s="114"/>
      <c r="AA269" s="171"/>
      <c r="AB269" s="171"/>
    </row>
    <row r="270" spans="11:28" ht="18" customHeight="1">
      <c r="K270" s="171" t="s">
        <v>14</v>
      </c>
      <c r="L270" s="171"/>
      <c r="M270" s="171"/>
      <c r="N270" s="143" t="s">
        <v>32</v>
      </c>
      <c r="O270" s="173">
        <v>4</v>
      </c>
      <c r="P270" s="234">
        <f ca="1">OFFSET($A$1,MATCH(Z268,$A:$A,0)-1,O270)</f>
        <v>2</v>
      </c>
      <c r="Q270" s="144" t="s">
        <v>29</v>
      </c>
      <c r="R270" s="118">
        <f t="shared" ca="1" si="80"/>
        <v>373353</v>
      </c>
      <c r="S270" s="118">
        <f t="shared" ca="1" si="81"/>
        <v>746706</v>
      </c>
      <c r="T270" s="118">
        <f ca="1">특급</f>
        <v>373353</v>
      </c>
      <c r="U270" s="118">
        <f t="shared" ca="1" si="82"/>
        <v>746706</v>
      </c>
      <c r="V270" s="118"/>
      <c r="W270" s="118"/>
      <c r="X270" s="118"/>
      <c r="Y270" s="118"/>
      <c r="Z270" s="115"/>
      <c r="AA270" s="171"/>
      <c r="AB270" s="171"/>
    </row>
    <row r="271" spans="11:28" ht="18" customHeight="1">
      <c r="K271" s="171" t="s">
        <v>14</v>
      </c>
      <c r="L271" s="171"/>
      <c r="M271" s="171"/>
      <c r="N271" s="145" t="s">
        <v>39</v>
      </c>
      <c r="O271" s="173">
        <v>5</v>
      </c>
      <c r="P271" s="234">
        <f ca="1">OFFSET($A$1,MATCH(Z268,$A:$A,0)-1,O271)</f>
        <v>2</v>
      </c>
      <c r="Q271" s="144" t="s">
        <v>29</v>
      </c>
      <c r="R271" s="118">
        <f t="shared" ca="1" si="80"/>
        <v>310884</v>
      </c>
      <c r="S271" s="118">
        <f t="shared" ca="1" si="81"/>
        <v>621768</v>
      </c>
      <c r="T271" s="118">
        <f ca="1">고급</f>
        <v>310884</v>
      </c>
      <c r="U271" s="118">
        <f t="shared" ca="1" si="82"/>
        <v>621768</v>
      </c>
      <c r="V271" s="118"/>
      <c r="W271" s="118"/>
      <c r="X271" s="118"/>
      <c r="Y271" s="118"/>
      <c r="Z271" s="115"/>
      <c r="AA271" s="171"/>
      <c r="AB271" s="171"/>
    </row>
    <row r="272" spans="11:28" ht="18" customHeight="1">
      <c r="K272" s="171" t="s">
        <v>14</v>
      </c>
      <c r="L272" s="171"/>
      <c r="M272" s="171"/>
      <c r="N272" s="145" t="s">
        <v>40</v>
      </c>
      <c r="O272" s="173">
        <v>6</v>
      </c>
      <c r="P272" s="234">
        <f ca="1">OFFSET($A$1,MATCH(Z268,$A:$A,0)-1,O272)</f>
        <v>4</v>
      </c>
      <c r="Q272" s="144" t="s">
        <v>29</v>
      </c>
      <c r="R272" s="118">
        <f t="shared" ca="1" si="80"/>
        <v>295138</v>
      </c>
      <c r="S272" s="118">
        <f t="shared" ca="1" si="81"/>
        <v>1180552</v>
      </c>
      <c r="T272" s="118">
        <f ca="1">중급</f>
        <v>295138</v>
      </c>
      <c r="U272" s="118">
        <f t="shared" ca="1" si="82"/>
        <v>1180552</v>
      </c>
      <c r="V272" s="118"/>
      <c r="W272" s="118"/>
      <c r="X272" s="118"/>
      <c r="Y272" s="118"/>
      <c r="Z272" s="115"/>
      <c r="AA272" s="171"/>
      <c r="AB272" s="171"/>
    </row>
    <row r="273" spans="11:28" ht="18" customHeight="1">
      <c r="K273" s="171" t="s">
        <v>14</v>
      </c>
      <c r="L273" s="171"/>
      <c r="M273" s="171"/>
      <c r="N273" s="145" t="s">
        <v>41</v>
      </c>
      <c r="O273" s="173">
        <v>7</v>
      </c>
      <c r="P273" s="234">
        <f ca="1">OFFSET($A$1,MATCH(Z268,$A:$A,0)-1,O273)</f>
        <v>4</v>
      </c>
      <c r="Q273" s="144" t="s">
        <v>29</v>
      </c>
      <c r="R273" s="118">
        <f t="shared" ca="1" si="80"/>
        <v>235459</v>
      </c>
      <c r="S273" s="118">
        <f t="shared" ca="1" si="81"/>
        <v>941836</v>
      </c>
      <c r="T273" s="118">
        <f ca="1">초급</f>
        <v>235459</v>
      </c>
      <c r="U273" s="118">
        <f t="shared" ca="1" si="82"/>
        <v>941836</v>
      </c>
      <c r="V273" s="118"/>
      <c r="W273" s="118"/>
      <c r="X273" s="118"/>
      <c r="Y273" s="118"/>
      <c r="Z273" s="115"/>
      <c r="AA273" s="171"/>
      <c r="AB273" s="171"/>
    </row>
    <row r="274" spans="11:28" ht="18" customHeight="1">
      <c r="K274" s="171" t="s">
        <v>14</v>
      </c>
      <c r="L274" s="171"/>
      <c r="M274" s="171"/>
      <c r="N274" s="319" t="s">
        <v>42</v>
      </c>
      <c r="O274" s="174">
        <v>8</v>
      </c>
      <c r="P274" s="235">
        <f ca="1">OFFSET($A$1,MATCH(Z268,$A:$A,0)-1,O274)</f>
        <v>4</v>
      </c>
      <c r="Q274" s="322" t="s">
        <v>29</v>
      </c>
      <c r="R274" s="323">
        <f t="shared" ca="1" si="80"/>
        <v>250087</v>
      </c>
      <c r="S274" s="323">
        <f t="shared" ca="1" si="81"/>
        <v>1000348</v>
      </c>
      <c r="T274" s="323">
        <f ca="1">보조원</f>
        <v>250087</v>
      </c>
      <c r="U274" s="323">
        <f t="shared" ca="1" si="82"/>
        <v>1000348</v>
      </c>
      <c r="V274" s="323"/>
      <c r="W274" s="323"/>
      <c r="X274" s="323"/>
      <c r="Y274" s="323"/>
      <c r="Z274" s="324"/>
      <c r="AA274" s="171"/>
      <c r="AB274" s="171"/>
    </row>
    <row r="275" spans="11:28" ht="18" customHeight="1">
      <c r="K275" s="171" t="s">
        <v>14</v>
      </c>
      <c r="L275" s="171"/>
      <c r="M275" s="171"/>
      <c r="N275" s="139" t="s">
        <v>17</v>
      </c>
      <c r="O275" s="68"/>
      <c r="P275" s="69"/>
      <c r="Q275" s="70"/>
      <c r="R275" s="71"/>
      <c r="S275" s="71">
        <f ca="1">SUBTOTAL(9,S269:S274)</f>
        <v>5425644</v>
      </c>
      <c r="T275" s="71"/>
      <c r="U275" s="71">
        <f ca="1">SUBTOTAL(9,U269:U274)</f>
        <v>5425644</v>
      </c>
      <c r="V275" s="71"/>
      <c r="W275" s="71"/>
      <c r="X275" s="71"/>
      <c r="Y275" s="71"/>
      <c r="Z275" s="68"/>
      <c r="AA275" s="171"/>
      <c r="AB275" s="171"/>
    </row>
    <row r="276" spans="11:28" ht="18" customHeight="1">
      <c r="K276" s="171" t="s">
        <v>14</v>
      </c>
      <c r="L276" s="171"/>
      <c r="M276" s="171"/>
      <c r="N276" s="318" t="str">
        <f ca="1">"제 " &amp; Z276 &amp; " 호표  "&amp; OFFSET($A$1,MATCH(Z276,$A:$A,0)-1,1)</f>
        <v>제 26 호표  4.2. 주민간담회/시민계획단</v>
      </c>
      <c r="O276" s="221"/>
      <c r="P276" s="148"/>
      <c r="Q276" s="148"/>
      <c r="R276" s="149"/>
      <c r="S276" s="149"/>
      <c r="T276" s="149"/>
      <c r="U276" s="149"/>
      <c r="V276" s="149"/>
      <c r="W276" s="149"/>
      <c r="X276" s="149"/>
      <c r="Y276" s="149"/>
      <c r="Z276" s="325">
        <f>Z268+1</f>
        <v>26</v>
      </c>
      <c r="AA276" s="171"/>
      <c r="AB276" s="171"/>
    </row>
    <row r="277" spans="11:28" ht="18" customHeight="1">
      <c r="K277" s="171" t="s">
        <v>14</v>
      </c>
      <c r="L277" s="171"/>
      <c r="M277" s="171"/>
      <c r="N277" s="140" t="s">
        <v>43</v>
      </c>
      <c r="O277" s="172">
        <v>3</v>
      </c>
      <c r="P277" s="219">
        <f ca="1">OFFSET($A$1,MATCH(Z276,$A:$A,0)-1,O277)</f>
        <v>2</v>
      </c>
      <c r="Q277" s="141" t="s">
        <v>29</v>
      </c>
      <c r="R277" s="142">
        <f t="shared" ref="R277:R282" ca="1" si="83">T277</f>
        <v>467217</v>
      </c>
      <c r="S277" s="142">
        <f t="shared" ref="S277:S282" ca="1" si="84">U277</f>
        <v>934434</v>
      </c>
      <c r="T277" s="142">
        <f ca="1">기술사</f>
        <v>467217</v>
      </c>
      <c r="U277" s="142">
        <f t="shared" ref="U277:U282" ca="1" si="85">ROUNDDOWN(P277*R277,0)</f>
        <v>934434</v>
      </c>
      <c r="V277" s="142"/>
      <c r="W277" s="142"/>
      <c r="X277" s="142"/>
      <c r="Y277" s="142"/>
      <c r="Z277" s="114"/>
      <c r="AA277" s="171"/>
      <c r="AB277" s="171"/>
    </row>
    <row r="278" spans="11:28" ht="18" customHeight="1">
      <c r="K278" s="171" t="s">
        <v>14</v>
      </c>
      <c r="L278" s="171"/>
      <c r="M278" s="171"/>
      <c r="N278" s="143" t="s">
        <v>32</v>
      </c>
      <c r="O278" s="173">
        <v>4</v>
      </c>
      <c r="P278" s="234">
        <f ca="1">OFFSET($A$1,MATCH(Z276,$A:$A,0)-1,O278)</f>
        <v>2</v>
      </c>
      <c r="Q278" s="144" t="s">
        <v>29</v>
      </c>
      <c r="R278" s="118">
        <f t="shared" ca="1" si="83"/>
        <v>373353</v>
      </c>
      <c r="S278" s="118">
        <f t="shared" ca="1" si="84"/>
        <v>746706</v>
      </c>
      <c r="T278" s="118">
        <f ca="1">특급</f>
        <v>373353</v>
      </c>
      <c r="U278" s="118">
        <f t="shared" ca="1" si="85"/>
        <v>746706</v>
      </c>
      <c r="V278" s="118"/>
      <c r="W278" s="118"/>
      <c r="X278" s="118"/>
      <c r="Y278" s="118"/>
      <c r="Z278" s="115"/>
    </row>
    <row r="279" spans="11:28" ht="18" customHeight="1">
      <c r="K279" s="171" t="s">
        <v>14</v>
      </c>
      <c r="L279" s="171"/>
      <c r="M279" s="171"/>
      <c r="N279" s="145" t="s">
        <v>39</v>
      </c>
      <c r="O279" s="173">
        <v>5</v>
      </c>
      <c r="P279" s="234">
        <f ca="1">OFFSET($A$1,MATCH(Z276,$A:$A,0)-1,O279)</f>
        <v>2</v>
      </c>
      <c r="Q279" s="144" t="s">
        <v>29</v>
      </c>
      <c r="R279" s="118">
        <f t="shared" ca="1" si="83"/>
        <v>310884</v>
      </c>
      <c r="S279" s="118">
        <f t="shared" ca="1" si="84"/>
        <v>621768</v>
      </c>
      <c r="T279" s="118">
        <f ca="1">고급</f>
        <v>310884</v>
      </c>
      <c r="U279" s="118">
        <f t="shared" ca="1" si="85"/>
        <v>621768</v>
      </c>
      <c r="V279" s="118"/>
      <c r="W279" s="118"/>
      <c r="X279" s="118"/>
      <c r="Y279" s="118"/>
      <c r="Z279" s="115"/>
    </row>
    <row r="280" spans="11:28" ht="18" customHeight="1">
      <c r="K280" s="171" t="s">
        <v>14</v>
      </c>
      <c r="L280" s="171"/>
      <c r="M280" s="171"/>
      <c r="N280" s="145" t="s">
        <v>40</v>
      </c>
      <c r="O280" s="173">
        <v>6</v>
      </c>
      <c r="P280" s="234">
        <f ca="1">OFFSET($A$1,MATCH(Z276,$A:$A,0)-1,O280)</f>
        <v>4</v>
      </c>
      <c r="Q280" s="144" t="s">
        <v>29</v>
      </c>
      <c r="R280" s="118">
        <f t="shared" ca="1" si="83"/>
        <v>295138</v>
      </c>
      <c r="S280" s="118">
        <f t="shared" ca="1" si="84"/>
        <v>1180552</v>
      </c>
      <c r="T280" s="118">
        <f ca="1">중급</f>
        <v>295138</v>
      </c>
      <c r="U280" s="118">
        <f t="shared" ca="1" si="85"/>
        <v>1180552</v>
      </c>
      <c r="V280" s="118"/>
      <c r="W280" s="118"/>
      <c r="X280" s="118"/>
      <c r="Y280" s="118"/>
      <c r="Z280" s="115"/>
    </row>
    <row r="281" spans="11:28" ht="18" customHeight="1">
      <c r="K281" s="171" t="s">
        <v>14</v>
      </c>
      <c r="L281" s="171"/>
      <c r="M281" s="171"/>
      <c r="N281" s="145" t="s">
        <v>41</v>
      </c>
      <c r="O281" s="173">
        <v>7</v>
      </c>
      <c r="P281" s="234">
        <f ca="1">OFFSET($A$1,MATCH(Z276,$A:$A,0)-1,O281)</f>
        <v>4</v>
      </c>
      <c r="Q281" s="144" t="s">
        <v>29</v>
      </c>
      <c r="R281" s="118">
        <f t="shared" ca="1" si="83"/>
        <v>235459</v>
      </c>
      <c r="S281" s="118">
        <f t="shared" ca="1" si="84"/>
        <v>941836</v>
      </c>
      <c r="T281" s="118">
        <f ca="1">초급</f>
        <v>235459</v>
      </c>
      <c r="U281" s="118">
        <f t="shared" ca="1" si="85"/>
        <v>941836</v>
      </c>
      <c r="V281" s="118"/>
      <c r="W281" s="118"/>
      <c r="X281" s="118"/>
      <c r="Y281" s="118"/>
      <c r="Z281" s="115"/>
    </row>
    <row r="282" spans="11:28" ht="18" customHeight="1">
      <c r="K282" s="171" t="s">
        <v>14</v>
      </c>
      <c r="L282" s="171"/>
      <c r="M282" s="171"/>
      <c r="N282" s="319" t="s">
        <v>42</v>
      </c>
      <c r="O282" s="174">
        <v>8</v>
      </c>
      <c r="P282" s="235">
        <f ca="1">OFFSET($A$1,MATCH(Z276,$A:$A,0)-1,O282)</f>
        <v>4</v>
      </c>
      <c r="Q282" s="322" t="s">
        <v>29</v>
      </c>
      <c r="R282" s="323">
        <f t="shared" ca="1" si="83"/>
        <v>250087</v>
      </c>
      <c r="S282" s="323">
        <f t="shared" ca="1" si="84"/>
        <v>1000348</v>
      </c>
      <c r="T282" s="323">
        <f ca="1">보조원</f>
        <v>250087</v>
      </c>
      <c r="U282" s="323">
        <f t="shared" ca="1" si="85"/>
        <v>1000348</v>
      </c>
      <c r="V282" s="323"/>
      <c r="W282" s="323"/>
      <c r="X282" s="323"/>
      <c r="Y282" s="323"/>
      <c r="Z282" s="324"/>
    </row>
    <row r="283" spans="11:28" ht="18" customHeight="1">
      <c r="K283" s="171" t="s">
        <v>14</v>
      </c>
      <c r="L283" s="171"/>
      <c r="M283" s="171"/>
      <c r="N283" s="139" t="s">
        <v>17</v>
      </c>
      <c r="O283" s="68"/>
      <c r="P283" s="69"/>
      <c r="Q283" s="70"/>
      <c r="R283" s="71"/>
      <c r="S283" s="71">
        <f ca="1">SUBTOTAL(9,S277:S282)</f>
        <v>5425644</v>
      </c>
      <c r="T283" s="71"/>
      <c r="U283" s="71">
        <f ca="1">SUBTOTAL(9,U277:U282)</f>
        <v>5425644</v>
      </c>
      <c r="V283" s="71"/>
      <c r="W283" s="71"/>
      <c r="X283" s="71"/>
      <c r="Y283" s="71"/>
      <c r="Z283" s="68"/>
    </row>
    <row r="284" spans="11:28" ht="18" customHeight="1">
      <c r="K284" s="171" t="s">
        <v>14</v>
      </c>
      <c r="L284" s="171"/>
      <c r="M284" s="171"/>
      <c r="N284" s="318" t="str">
        <f ca="1">"제 " &amp; Z284 &amp; " 호표  "&amp; OFFSET($A$1,MATCH(Z284,$A:$A,0)-1,1)</f>
        <v>제 27 호표  4.3. 위원회심의 지원</v>
      </c>
      <c r="O284" s="221"/>
      <c r="P284" s="148"/>
      <c r="Q284" s="148"/>
      <c r="R284" s="149"/>
      <c r="S284" s="149"/>
      <c r="T284" s="149"/>
      <c r="U284" s="149"/>
      <c r="V284" s="149"/>
      <c r="W284" s="149"/>
      <c r="X284" s="149"/>
      <c r="Y284" s="149"/>
      <c r="Z284" s="325">
        <f>Z276+1</f>
        <v>27</v>
      </c>
    </row>
    <row r="285" spans="11:28" ht="18" customHeight="1">
      <c r="K285" s="171" t="s">
        <v>14</v>
      </c>
      <c r="L285" s="171"/>
      <c r="M285" s="171"/>
      <c r="N285" s="140" t="s">
        <v>43</v>
      </c>
      <c r="O285" s="172">
        <v>3</v>
      </c>
      <c r="P285" s="219">
        <f ca="1">OFFSET($A$1,MATCH(Z284,$A:$A,0)-1,O285)</f>
        <v>2</v>
      </c>
      <c r="Q285" s="141" t="s">
        <v>29</v>
      </c>
      <c r="R285" s="142">
        <f t="shared" ref="R285:R290" ca="1" si="86">T285</f>
        <v>467217</v>
      </c>
      <c r="S285" s="142">
        <f t="shared" ref="S285:S290" ca="1" si="87">U285</f>
        <v>934434</v>
      </c>
      <c r="T285" s="142">
        <f ca="1">기술사</f>
        <v>467217</v>
      </c>
      <c r="U285" s="142">
        <f t="shared" ref="U285:U290" ca="1" si="88">ROUNDDOWN(P285*R285,0)</f>
        <v>934434</v>
      </c>
      <c r="V285" s="142"/>
      <c r="W285" s="142"/>
      <c r="X285" s="142"/>
      <c r="Y285" s="142"/>
      <c r="Z285" s="114"/>
    </row>
    <row r="286" spans="11:28" ht="18" customHeight="1">
      <c r="K286" s="171" t="s">
        <v>14</v>
      </c>
      <c r="L286" s="171"/>
      <c r="M286" s="171"/>
      <c r="N286" s="143" t="s">
        <v>32</v>
      </c>
      <c r="O286" s="173">
        <v>4</v>
      </c>
      <c r="P286" s="234">
        <f ca="1">OFFSET($A$1,MATCH(Z284,$A:$A,0)-1,O286)</f>
        <v>2</v>
      </c>
      <c r="Q286" s="144" t="s">
        <v>29</v>
      </c>
      <c r="R286" s="118">
        <f t="shared" ca="1" si="86"/>
        <v>373353</v>
      </c>
      <c r="S286" s="118">
        <f t="shared" ca="1" si="87"/>
        <v>746706</v>
      </c>
      <c r="T286" s="118">
        <f ca="1">특급</f>
        <v>373353</v>
      </c>
      <c r="U286" s="118">
        <f t="shared" ca="1" si="88"/>
        <v>746706</v>
      </c>
      <c r="V286" s="118"/>
      <c r="W286" s="118"/>
      <c r="X286" s="118"/>
      <c r="Y286" s="118"/>
      <c r="Z286" s="115"/>
    </row>
    <row r="287" spans="11:28" ht="18" customHeight="1">
      <c r="K287" s="171" t="s">
        <v>14</v>
      </c>
      <c r="L287" s="171"/>
      <c r="M287" s="171"/>
      <c r="N287" s="145" t="s">
        <v>39</v>
      </c>
      <c r="O287" s="173">
        <v>5</v>
      </c>
      <c r="P287" s="234">
        <f ca="1">OFFSET($A$1,MATCH(Z284,$A:$A,0)-1,O287)</f>
        <v>2</v>
      </c>
      <c r="Q287" s="144" t="s">
        <v>29</v>
      </c>
      <c r="R287" s="118">
        <f t="shared" ca="1" si="86"/>
        <v>310884</v>
      </c>
      <c r="S287" s="118">
        <f t="shared" ca="1" si="87"/>
        <v>621768</v>
      </c>
      <c r="T287" s="118">
        <f ca="1">고급</f>
        <v>310884</v>
      </c>
      <c r="U287" s="118">
        <f t="shared" ca="1" si="88"/>
        <v>621768</v>
      </c>
      <c r="V287" s="118"/>
      <c r="W287" s="118"/>
      <c r="X287" s="118"/>
      <c r="Y287" s="118"/>
      <c r="Z287" s="115"/>
    </row>
    <row r="288" spans="11:28" ht="18" customHeight="1">
      <c r="K288" s="171" t="s">
        <v>14</v>
      </c>
      <c r="L288" s="171"/>
      <c r="M288" s="171"/>
      <c r="N288" s="145" t="s">
        <v>40</v>
      </c>
      <c r="O288" s="173">
        <v>6</v>
      </c>
      <c r="P288" s="234">
        <f ca="1">OFFSET($A$1,MATCH(Z284,$A:$A,0)-1,O288)</f>
        <v>4</v>
      </c>
      <c r="Q288" s="144" t="s">
        <v>29</v>
      </c>
      <c r="R288" s="118">
        <f t="shared" ca="1" si="86"/>
        <v>295138</v>
      </c>
      <c r="S288" s="118">
        <f t="shared" ca="1" si="87"/>
        <v>1180552</v>
      </c>
      <c r="T288" s="118">
        <f ca="1">중급</f>
        <v>295138</v>
      </c>
      <c r="U288" s="118">
        <f t="shared" ca="1" si="88"/>
        <v>1180552</v>
      </c>
      <c r="V288" s="118"/>
      <c r="W288" s="118"/>
      <c r="X288" s="118"/>
      <c r="Y288" s="118"/>
      <c r="Z288" s="115"/>
    </row>
    <row r="289" spans="11:26" ht="18" customHeight="1">
      <c r="K289" s="171" t="s">
        <v>14</v>
      </c>
      <c r="L289" s="171"/>
      <c r="M289" s="171"/>
      <c r="N289" s="145" t="s">
        <v>41</v>
      </c>
      <c r="O289" s="173">
        <v>7</v>
      </c>
      <c r="P289" s="234">
        <f ca="1">OFFSET($A$1,MATCH(Z284,$A:$A,0)-1,O289)</f>
        <v>4</v>
      </c>
      <c r="Q289" s="144" t="s">
        <v>29</v>
      </c>
      <c r="R289" s="118">
        <f t="shared" ca="1" si="86"/>
        <v>235459</v>
      </c>
      <c r="S289" s="118">
        <f t="shared" ca="1" si="87"/>
        <v>941836</v>
      </c>
      <c r="T289" s="118">
        <f ca="1">초급</f>
        <v>235459</v>
      </c>
      <c r="U289" s="118">
        <f t="shared" ca="1" si="88"/>
        <v>941836</v>
      </c>
      <c r="V289" s="118"/>
      <c r="W289" s="118"/>
      <c r="X289" s="118"/>
      <c r="Y289" s="118"/>
      <c r="Z289" s="115"/>
    </row>
    <row r="290" spans="11:26" ht="18" customHeight="1">
      <c r="K290" s="171" t="s">
        <v>14</v>
      </c>
      <c r="L290" s="171"/>
      <c r="M290" s="171"/>
      <c r="N290" s="319" t="s">
        <v>42</v>
      </c>
      <c r="O290" s="174">
        <v>8</v>
      </c>
      <c r="P290" s="235">
        <f ca="1">OFFSET($A$1,MATCH(Z284,$A:$A,0)-1,O290)</f>
        <v>4</v>
      </c>
      <c r="Q290" s="322" t="s">
        <v>29</v>
      </c>
      <c r="R290" s="323">
        <f t="shared" ca="1" si="86"/>
        <v>250087</v>
      </c>
      <c r="S290" s="323">
        <f t="shared" ca="1" si="87"/>
        <v>1000348</v>
      </c>
      <c r="T290" s="323">
        <f ca="1">보조원</f>
        <v>250087</v>
      </c>
      <c r="U290" s="323">
        <f t="shared" ca="1" si="88"/>
        <v>1000348</v>
      </c>
      <c r="V290" s="323"/>
      <c r="W290" s="323"/>
      <c r="X290" s="323"/>
      <c r="Y290" s="323"/>
      <c r="Z290" s="324"/>
    </row>
    <row r="291" spans="11:26" ht="18" customHeight="1">
      <c r="K291" s="171" t="s">
        <v>14</v>
      </c>
      <c r="L291" s="171"/>
      <c r="M291" s="171"/>
      <c r="N291" s="139" t="s">
        <v>17</v>
      </c>
      <c r="O291" s="68"/>
      <c r="P291" s="69"/>
      <c r="Q291" s="70"/>
      <c r="R291" s="71"/>
      <c r="S291" s="71">
        <f ca="1">SUBTOTAL(9,S285:S290)</f>
        <v>5425644</v>
      </c>
      <c r="T291" s="71"/>
      <c r="U291" s="71">
        <f ca="1">SUBTOTAL(9,U285:U290)</f>
        <v>5425644</v>
      </c>
      <c r="V291" s="71"/>
      <c r="W291" s="71"/>
      <c r="X291" s="71"/>
      <c r="Y291" s="71"/>
      <c r="Z291" s="68"/>
    </row>
    <row r="292" spans="11:26" ht="18" customHeight="1">
      <c r="K292" s="171" t="s">
        <v>14</v>
      </c>
      <c r="L292" s="171"/>
      <c r="M292" s="171"/>
      <c r="N292" s="318" t="str">
        <f ca="1">"제 " &amp; Z292 &amp; " 호표  "&amp; OFFSET($A$1,MATCH(Z292,$A:$A,0)-1,1)</f>
        <v>제 28 호표  4.4. 관계기관 협의</v>
      </c>
      <c r="O292" s="221"/>
      <c r="P292" s="148"/>
      <c r="Q292" s="148"/>
      <c r="R292" s="149"/>
      <c r="S292" s="149"/>
      <c r="T292" s="149"/>
      <c r="U292" s="149"/>
      <c r="V292" s="149"/>
      <c r="W292" s="149"/>
      <c r="X292" s="149"/>
      <c r="Y292" s="149"/>
      <c r="Z292" s="325">
        <f>Z284+1</f>
        <v>28</v>
      </c>
    </row>
    <row r="293" spans="11:26" ht="18" customHeight="1">
      <c r="K293" s="171" t="s">
        <v>14</v>
      </c>
      <c r="L293" s="171"/>
      <c r="M293" s="171"/>
      <c r="N293" s="140" t="s">
        <v>43</v>
      </c>
      <c r="O293" s="172">
        <v>3</v>
      </c>
      <c r="P293" s="219">
        <f ca="1">OFFSET($A$1,MATCH(Z292,$A:$A,0)-1,O293)</f>
        <v>2</v>
      </c>
      <c r="Q293" s="141" t="s">
        <v>29</v>
      </c>
      <c r="R293" s="142">
        <f t="shared" ref="R293:R298" ca="1" si="89">T293</f>
        <v>467217</v>
      </c>
      <c r="S293" s="142">
        <f t="shared" ref="S293:S298" ca="1" si="90">U293</f>
        <v>934434</v>
      </c>
      <c r="T293" s="142">
        <f ca="1">기술사</f>
        <v>467217</v>
      </c>
      <c r="U293" s="142">
        <f t="shared" ref="U293:U298" ca="1" si="91">ROUNDDOWN(P293*R293,0)</f>
        <v>934434</v>
      </c>
      <c r="V293" s="142"/>
      <c r="W293" s="142"/>
      <c r="X293" s="142"/>
      <c r="Y293" s="142"/>
      <c r="Z293" s="114"/>
    </row>
    <row r="294" spans="11:26" ht="18" customHeight="1">
      <c r="K294" s="171" t="s">
        <v>14</v>
      </c>
      <c r="L294" s="171"/>
      <c r="M294" s="171"/>
      <c r="N294" s="143" t="s">
        <v>32</v>
      </c>
      <c r="O294" s="173">
        <v>4</v>
      </c>
      <c r="P294" s="234">
        <f ca="1">OFFSET($A$1,MATCH(Z292,$A:$A,0)-1,O294)</f>
        <v>2</v>
      </c>
      <c r="Q294" s="144" t="s">
        <v>29</v>
      </c>
      <c r="R294" s="118">
        <f t="shared" ca="1" si="89"/>
        <v>373353</v>
      </c>
      <c r="S294" s="118">
        <f t="shared" ca="1" si="90"/>
        <v>746706</v>
      </c>
      <c r="T294" s="118">
        <f ca="1">특급</f>
        <v>373353</v>
      </c>
      <c r="U294" s="118">
        <f t="shared" ca="1" si="91"/>
        <v>746706</v>
      </c>
      <c r="V294" s="118"/>
      <c r="W294" s="118"/>
      <c r="X294" s="118"/>
      <c r="Y294" s="118"/>
      <c r="Z294" s="115"/>
    </row>
    <row r="295" spans="11:26" ht="18" customHeight="1">
      <c r="K295" s="171" t="s">
        <v>14</v>
      </c>
      <c r="L295" s="171"/>
      <c r="M295" s="171"/>
      <c r="N295" s="145" t="s">
        <v>39</v>
      </c>
      <c r="O295" s="173">
        <v>5</v>
      </c>
      <c r="P295" s="234">
        <f ca="1">OFFSET($A$1,MATCH(Z292,$A:$A,0)-1,O295)</f>
        <v>2</v>
      </c>
      <c r="Q295" s="144" t="s">
        <v>29</v>
      </c>
      <c r="R295" s="118">
        <f t="shared" ca="1" si="89"/>
        <v>310884</v>
      </c>
      <c r="S295" s="118">
        <f t="shared" ca="1" si="90"/>
        <v>621768</v>
      </c>
      <c r="T295" s="118">
        <f ca="1">고급</f>
        <v>310884</v>
      </c>
      <c r="U295" s="118">
        <f t="shared" ca="1" si="91"/>
        <v>621768</v>
      </c>
      <c r="V295" s="118"/>
      <c r="W295" s="118"/>
      <c r="X295" s="118"/>
      <c r="Y295" s="118"/>
      <c r="Z295" s="115"/>
    </row>
    <row r="296" spans="11:26" ht="18" customHeight="1">
      <c r="K296" s="171" t="s">
        <v>14</v>
      </c>
      <c r="L296" s="171"/>
      <c r="M296" s="171"/>
      <c r="N296" s="145" t="s">
        <v>40</v>
      </c>
      <c r="O296" s="173">
        <v>6</v>
      </c>
      <c r="P296" s="234">
        <f ca="1">OFFSET($A$1,MATCH(Z292,$A:$A,0)-1,O296)</f>
        <v>4</v>
      </c>
      <c r="Q296" s="144" t="s">
        <v>29</v>
      </c>
      <c r="R296" s="118">
        <f t="shared" ca="1" si="89"/>
        <v>295138</v>
      </c>
      <c r="S296" s="118">
        <f t="shared" ca="1" si="90"/>
        <v>1180552</v>
      </c>
      <c r="T296" s="118">
        <f ca="1">중급</f>
        <v>295138</v>
      </c>
      <c r="U296" s="118">
        <f t="shared" ca="1" si="91"/>
        <v>1180552</v>
      </c>
      <c r="V296" s="118"/>
      <c r="W296" s="118"/>
      <c r="X296" s="118"/>
      <c r="Y296" s="118"/>
      <c r="Z296" s="115"/>
    </row>
    <row r="297" spans="11:26" ht="18" customHeight="1">
      <c r="K297" s="171" t="s">
        <v>14</v>
      </c>
      <c r="L297" s="171"/>
      <c r="M297" s="171"/>
      <c r="N297" s="145" t="s">
        <v>41</v>
      </c>
      <c r="O297" s="173">
        <v>7</v>
      </c>
      <c r="P297" s="234">
        <f ca="1">OFFSET($A$1,MATCH(Z292,$A:$A,0)-1,O297)</f>
        <v>4</v>
      </c>
      <c r="Q297" s="144" t="s">
        <v>29</v>
      </c>
      <c r="R297" s="118">
        <f t="shared" ca="1" si="89"/>
        <v>235459</v>
      </c>
      <c r="S297" s="118">
        <f t="shared" ca="1" si="90"/>
        <v>941836</v>
      </c>
      <c r="T297" s="118">
        <f ca="1">초급</f>
        <v>235459</v>
      </c>
      <c r="U297" s="118">
        <f t="shared" ca="1" si="91"/>
        <v>941836</v>
      </c>
      <c r="V297" s="118"/>
      <c r="W297" s="118"/>
      <c r="X297" s="118"/>
      <c r="Y297" s="118"/>
      <c r="Z297" s="115"/>
    </row>
    <row r="298" spans="11:26" ht="18" customHeight="1">
      <c r="K298" s="171" t="s">
        <v>14</v>
      </c>
      <c r="L298" s="171"/>
      <c r="M298" s="171"/>
      <c r="N298" s="319" t="s">
        <v>42</v>
      </c>
      <c r="O298" s="174">
        <v>8</v>
      </c>
      <c r="P298" s="235">
        <f ca="1">OFFSET($A$1,MATCH(Z292,$A:$A,0)-1,O298)</f>
        <v>4</v>
      </c>
      <c r="Q298" s="322" t="s">
        <v>29</v>
      </c>
      <c r="R298" s="323">
        <f t="shared" ca="1" si="89"/>
        <v>250087</v>
      </c>
      <c r="S298" s="323">
        <f t="shared" ca="1" si="90"/>
        <v>1000348</v>
      </c>
      <c r="T298" s="323">
        <f ca="1">보조원</f>
        <v>250087</v>
      </c>
      <c r="U298" s="323">
        <f t="shared" ca="1" si="91"/>
        <v>1000348</v>
      </c>
      <c r="V298" s="323"/>
      <c r="W298" s="323"/>
      <c r="X298" s="323"/>
      <c r="Y298" s="323"/>
      <c r="Z298" s="324"/>
    </row>
    <row r="299" spans="11:26" ht="18" customHeight="1">
      <c r="K299" s="171" t="s">
        <v>14</v>
      </c>
      <c r="L299" s="171"/>
      <c r="M299" s="171"/>
      <c r="N299" s="139" t="s">
        <v>17</v>
      </c>
      <c r="O299" s="68"/>
      <c r="P299" s="69"/>
      <c r="Q299" s="70"/>
      <c r="R299" s="71"/>
      <c r="S299" s="71">
        <f ca="1">SUBTOTAL(9,S293:S298)</f>
        <v>5425644</v>
      </c>
      <c r="T299" s="71"/>
      <c r="U299" s="71">
        <f ca="1">SUBTOTAL(9,U293:U298)</f>
        <v>5425644</v>
      </c>
      <c r="V299" s="71"/>
      <c r="W299" s="71"/>
      <c r="X299" s="71"/>
      <c r="Y299" s="71"/>
      <c r="Z299" s="68"/>
    </row>
    <row r="300" spans="11:26" ht="18" customHeight="1">
      <c r="K300" s="171" t="s">
        <v>14</v>
      </c>
      <c r="L300" s="171"/>
      <c r="M300" s="171"/>
      <c r="P300" s="236"/>
    </row>
    <row r="301" spans="11:26" ht="18" customHeight="1">
      <c r="K301" s="171" t="s">
        <v>14</v>
      </c>
      <c r="L301" s="171"/>
      <c r="M301" s="171"/>
      <c r="P301" s="236"/>
    </row>
    <row r="302" spans="11:26" ht="18" customHeight="1">
      <c r="K302" s="171" t="s">
        <v>14</v>
      </c>
      <c r="L302" s="171"/>
      <c r="M302" s="171"/>
      <c r="P302" s="236"/>
    </row>
    <row r="303" spans="11:26" ht="18" customHeight="1">
      <c r="K303" s="171" t="s">
        <v>14</v>
      </c>
      <c r="L303" s="171"/>
      <c r="M303" s="171"/>
      <c r="P303" s="236"/>
    </row>
    <row r="304" spans="11:2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  <c r="P740" s="236"/>
    </row>
    <row r="741" spans="11:16" ht="18" customHeight="1">
      <c r="K741" s="171" t="s">
        <v>14</v>
      </c>
      <c r="L741" s="171"/>
      <c r="M741" s="171"/>
      <c r="P741" s="236"/>
    </row>
    <row r="742" spans="11:16" ht="18" customHeight="1">
      <c r="K742" s="171" t="s">
        <v>14</v>
      </c>
      <c r="L742" s="171"/>
      <c r="M742" s="171"/>
      <c r="P742" s="236"/>
    </row>
    <row r="743" spans="11:16" ht="18" customHeight="1">
      <c r="K743" s="171" t="s">
        <v>14</v>
      </c>
      <c r="L743" s="171"/>
      <c r="M743" s="171"/>
    </row>
    <row r="744" spans="11:16" ht="18" customHeight="1">
      <c r="K744" s="171" t="s">
        <v>14</v>
      </c>
      <c r="L744" s="171"/>
      <c r="M744" s="171"/>
    </row>
    <row r="745" spans="11:16" ht="18" customHeight="1">
      <c r="K745" s="171" t="s">
        <v>14</v>
      </c>
      <c r="L745" s="171"/>
      <c r="M745" s="171"/>
    </row>
    <row r="746" spans="11:16" ht="18" customHeight="1">
      <c r="K746" s="171" t="s">
        <v>14</v>
      </c>
      <c r="L746" s="171"/>
      <c r="M746" s="171"/>
    </row>
    <row r="747" spans="11:16" ht="18" customHeight="1">
      <c r="K747" s="171" t="s">
        <v>14</v>
      </c>
      <c r="L747" s="171"/>
      <c r="M747" s="171"/>
    </row>
    <row r="748" spans="11:16" ht="18" customHeight="1">
      <c r="K748" s="171" t="s">
        <v>14</v>
      </c>
      <c r="L748" s="171"/>
      <c r="M748" s="171"/>
    </row>
    <row r="749" spans="11:16" ht="18" customHeight="1">
      <c r="K749" s="171" t="s">
        <v>14</v>
      </c>
      <c r="L749" s="171"/>
      <c r="M749" s="171"/>
    </row>
    <row r="750" spans="11:16" ht="18" customHeight="1">
      <c r="K750" s="171" t="s">
        <v>14</v>
      </c>
      <c r="L750" s="171"/>
      <c r="M750" s="171"/>
    </row>
    <row r="751" spans="11:16" ht="18" customHeight="1">
      <c r="K751" s="171" t="s">
        <v>14</v>
      </c>
      <c r="L751" s="171"/>
      <c r="M751" s="171"/>
    </row>
    <row r="752" spans="11:16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M813" s="171"/>
    </row>
    <row r="814" spans="11:13" ht="18" customHeight="1">
      <c r="K814" s="171" t="s">
        <v>14</v>
      </c>
      <c r="M814" s="171"/>
    </row>
    <row r="815" spans="11:13" ht="18" customHeight="1">
      <c r="K815" s="171" t="s">
        <v>14</v>
      </c>
      <c r="M815" s="171"/>
    </row>
    <row r="816" spans="11:13" ht="18" customHeight="1">
      <c r="K816" s="171" t="s">
        <v>14</v>
      </c>
      <c r="M816" s="171"/>
    </row>
    <row r="817" spans="11:13" ht="18" customHeight="1">
      <c r="K817" s="171" t="s">
        <v>14</v>
      </c>
      <c r="M817" s="171"/>
    </row>
    <row r="818" spans="11:13" ht="18" customHeight="1">
      <c r="K818" s="171" t="s">
        <v>14</v>
      </c>
      <c r="M818" s="171"/>
    </row>
    <row r="819" spans="11:13" ht="18" customHeight="1">
      <c r="M819" s="171"/>
    </row>
    <row r="820" spans="11:13" ht="18" customHeight="1">
      <c r="M820" s="171"/>
    </row>
    <row r="821" spans="11:13" ht="18" customHeight="1">
      <c r="M821" s="171"/>
    </row>
    <row r="822" spans="11:13" ht="18" customHeight="1">
      <c r="M822" s="171"/>
    </row>
    <row r="823" spans="11:13" ht="18" customHeight="1">
      <c r="M823" s="171"/>
    </row>
    <row r="824" spans="11:13" ht="18" customHeight="1">
      <c r="M824" s="171"/>
    </row>
  </sheetData>
  <mergeCells count="14">
    <mergeCell ref="Z74:Z75"/>
    <mergeCell ref="B10:C11"/>
    <mergeCell ref="J10:J11"/>
    <mergeCell ref="L10:L11"/>
    <mergeCell ref="G3:H3"/>
    <mergeCell ref="G4:H4"/>
    <mergeCell ref="G5:H5"/>
    <mergeCell ref="N74:N75"/>
    <mergeCell ref="O74:O75"/>
    <mergeCell ref="B3:C3"/>
    <mergeCell ref="B4:C4"/>
    <mergeCell ref="B5:C5"/>
    <mergeCell ref="P74:P75"/>
    <mergeCell ref="Q74:Q75"/>
  </mergeCells>
  <phoneticPr fontId="14" type="noConversion"/>
  <conditionalFormatting sqref="V12:V43">
    <cfRule type="cellIs" dxfId="46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63" min="13" max="28" man="1"/>
    <brk id="90" min="13" max="28" man="1"/>
    <brk id="111" min="13" max="2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6">
    <tabColor rgb="FF00B0F0"/>
    <pageSetUpPr fitToPage="1"/>
  </sheetPr>
  <dimension ref="A1:AK735"/>
  <sheetViews>
    <sheetView showGridLines="0" zoomScale="85" zoomScaleNormal="85" zoomScaleSheetLayoutView="75" workbookViewId="0">
      <selection activeCell="A3" sqref="A3:J6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9" width="12.832031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hidden="1" customWidth="1"/>
    <col min="14" max="14" width="10.5" style="1" hidden="1" customWidth="1"/>
    <col min="15" max="16" width="14.5" style="1" hidden="1" customWidth="1"/>
    <col min="17" max="17" width="11.83203125" style="1" hidden="1" customWidth="1"/>
    <col min="18" max="18" width="12.6640625" style="1" hidden="1" customWidth="1"/>
    <col min="19" max="20" width="12.1640625" style="1" hidden="1" customWidth="1"/>
    <col min="21" max="21" width="34" style="1" hidden="1" customWidth="1"/>
    <col min="22" max="23" width="7.83203125" style="1" customWidth="1"/>
    <col min="24" max="24" width="22" style="1" customWidth="1"/>
    <col min="25" max="25" width="8.6640625" style="1" customWidth="1"/>
    <col min="26" max="26" width="14.5" style="1" bestFit="1" customWidth="1"/>
    <col min="27" max="27" width="8.33203125" style="1" bestFit="1" customWidth="1"/>
    <col min="28" max="32" width="15.6640625" style="6" customWidth="1"/>
    <col min="33" max="33" width="19.1640625" style="6" bestFit="1" customWidth="1"/>
    <col min="34" max="35" width="13.1640625" style="6" bestFit="1" customWidth="1"/>
    <col min="36" max="36" width="16" style="1" bestFit="1" customWidth="1"/>
    <col min="37" max="37" width="7.33203125" style="1" customWidth="1"/>
    <col min="38" max="38" width="3.5" style="1" customWidth="1"/>
    <col min="39" max="39" width="18.6640625" style="1" customWidth="1"/>
    <col min="40" max="16384" width="12" style="1"/>
  </cols>
  <sheetData>
    <row r="1" spans="1:37" ht="22.5">
      <c r="B1" s="7" t="s">
        <v>851</v>
      </c>
    </row>
    <row r="2" spans="1:37" ht="19.5" thickBot="1">
      <c r="B2" s="66" t="s">
        <v>1</v>
      </c>
    </row>
    <row r="3" spans="1:37" ht="18" customHeight="1">
      <c r="B3" s="773" t="s">
        <v>48</v>
      </c>
      <c r="C3" s="774"/>
      <c r="D3" s="716"/>
      <c r="E3" s="717">
        <v>10</v>
      </c>
      <c r="F3" s="44" t="s">
        <v>386</v>
      </c>
      <c r="G3" s="838" t="s">
        <v>1104</v>
      </c>
      <c r="H3" s="839"/>
      <c r="I3" s="656">
        <v>2</v>
      </c>
      <c r="J3" s="669" t="s">
        <v>794</v>
      </c>
      <c r="AB3" s="1"/>
      <c r="AC3" s="1"/>
      <c r="AJ3" s="6"/>
      <c r="AK3" s="6"/>
    </row>
    <row r="4" spans="1:37" ht="18" customHeight="1">
      <c r="B4" s="777" t="s">
        <v>1971</v>
      </c>
      <c r="C4" s="778"/>
      <c r="D4" s="718"/>
      <c r="E4" s="719">
        <v>10</v>
      </c>
      <c r="F4" s="65" t="str">
        <f>F3</f>
        <v>㎢</v>
      </c>
      <c r="G4" s="777" t="s">
        <v>1109</v>
      </c>
      <c r="H4" s="814"/>
      <c r="I4" s="298">
        <v>2</v>
      </c>
      <c r="J4" s="670" t="s">
        <v>794</v>
      </c>
      <c r="AB4" s="1"/>
      <c r="AC4" s="1"/>
      <c r="AJ4" s="6"/>
      <c r="AK4" s="6"/>
    </row>
    <row r="5" spans="1:37" ht="17.25" customHeight="1" thickBot="1">
      <c r="B5" s="781" t="s">
        <v>523</v>
      </c>
      <c r="C5" s="782"/>
      <c r="D5" s="720"/>
      <c r="E5" s="721">
        <f>ROUND((IF(E4&lt;=10,10,E4)/E3)^0.6,3)</f>
        <v>1</v>
      </c>
      <c r="F5" s="681"/>
      <c r="G5" s="817" t="s">
        <v>1102</v>
      </c>
      <c r="H5" s="818"/>
      <c r="I5" s="646">
        <f>ROUND(I4/I3,3)</f>
        <v>1</v>
      </c>
      <c r="J5" s="671"/>
    </row>
    <row r="6" spans="1:37" ht="18" customHeight="1">
      <c r="B6" s="9" t="s">
        <v>1993</v>
      </c>
      <c r="C6" s="9"/>
      <c r="D6" s="64"/>
      <c r="E6" s="64"/>
      <c r="G6" s="9" t="s">
        <v>1107</v>
      </c>
      <c r="J6" s="36"/>
    </row>
    <row r="7" spans="1:37" ht="18" customHeight="1">
      <c r="A7" s="326"/>
      <c r="B7" s="9"/>
      <c r="C7" s="9"/>
      <c r="D7" s="468"/>
      <c r="E7" s="468"/>
      <c r="G7" s="36"/>
    </row>
    <row r="8" spans="1:37" ht="18" customHeight="1">
      <c r="A8" s="326"/>
      <c r="B8" s="9"/>
      <c r="C8" s="9"/>
      <c r="D8" s="468"/>
      <c r="E8" s="468"/>
      <c r="G8" s="36"/>
      <c r="N8" s="468"/>
      <c r="O8" s="468"/>
      <c r="Q8" s="36"/>
      <c r="AG8" s="188" t="s">
        <v>850</v>
      </c>
      <c r="AH8" s="189"/>
    </row>
    <row r="9" spans="1:37" ht="18" customHeight="1" thickBot="1">
      <c r="A9" s="355"/>
      <c r="B9" s="66" t="s">
        <v>4</v>
      </c>
      <c r="C9" s="9"/>
      <c r="D9" s="468"/>
      <c r="E9" s="468"/>
      <c r="G9" s="36"/>
      <c r="N9" s="468"/>
      <c r="O9" s="468"/>
      <c r="Q9" s="36"/>
      <c r="X9" s="66" t="s">
        <v>5</v>
      </c>
    </row>
    <row r="10" spans="1:37" ht="18" customHeight="1" thickBot="1">
      <c r="A10" s="355"/>
      <c r="B10" s="9"/>
      <c r="X10" s="151" t="s">
        <v>44</v>
      </c>
      <c r="Y10" s="119"/>
      <c r="Z10" s="119"/>
      <c r="AA10" s="120"/>
      <c r="AB10" s="120"/>
      <c r="AC10" s="120"/>
      <c r="AD10" s="120"/>
      <c r="AE10" s="470"/>
      <c r="AF10" s="470"/>
      <c r="AG10" s="471">
        <f ca="1">SUBTOTAL(9,AG11:AG45)</f>
        <v>670388102</v>
      </c>
      <c r="AH10" s="472"/>
      <c r="AI10" s="177"/>
      <c r="AJ10" s="167"/>
    </row>
    <row r="11" spans="1:37" ht="18" customHeight="1">
      <c r="A11" s="355"/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849</v>
      </c>
      <c r="N11" s="14" t="s">
        <v>848</v>
      </c>
      <c r="O11" s="15"/>
      <c r="P11" s="15"/>
      <c r="Q11" s="15"/>
      <c r="R11" s="15"/>
      <c r="S11" s="16"/>
      <c r="T11" s="841" t="s">
        <v>847</v>
      </c>
      <c r="U11" s="761" t="s">
        <v>31</v>
      </c>
      <c r="X11" s="127" t="s">
        <v>846</v>
      </c>
      <c r="Y11" s="122"/>
      <c r="Z11" s="122"/>
      <c r="AA11" s="123"/>
      <c r="AB11" s="123"/>
      <c r="AC11" s="123"/>
      <c r="AD11" s="123"/>
      <c r="AE11" s="473"/>
      <c r="AF11" s="473"/>
      <c r="AG11" s="474">
        <f ca="1">SUBTOTAL(9,AG12:AG42)</f>
        <v>239852631</v>
      </c>
      <c r="AH11" s="475"/>
      <c r="AI11" s="178" t="s">
        <v>845</v>
      </c>
      <c r="AJ11" s="179"/>
    </row>
    <row r="12" spans="1:37" ht="18" customHeight="1" thickBot="1">
      <c r="A12" s="355"/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17" t="s">
        <v>33</v>
      </c>
      <c r="O12" s="19" t="s">
        <v>34</v>
      </c>
      <c r="P12" s="19" t="s">
        <v>35</v>
      </c>
      <c r="Q12" s="19" t="s">
        <v>36</v>
      </c>
      <c r="R12" s="19" t="s">
        <v>37</v>
      </c>
      <c r="S12" s="18" t="s">
        <v>38</v>
      </c>
      <c r="T12" s="842"/>
      <c r="U12" s="762"/>
      <c r="X12" s="290" t="s">
        <v>45</v>
      </c>
      <c r="Y12" s="124"/>
      <c r="Z12" s="125"/>
      <c r="AA12" s="126"/>
      <c r="AB12" s="126"/>
      <c r="AC12" s="126"/>
      <c r="AD12" s="126"/>
      <c r="AE12" s="476"/>
      <c r="AF12" s="477"/>
      <c r="AG12" s="517">
        <f ca="1">SUBTOTAL(9,AG13:AG38)</f>
        <v>239852631</v>
      </c>
      <c r="AH12" s="478"/>
      <c r="AI12" s="168"/>
      <c r="AJ12" s="168"/>
    </row>
    <row r="13" spans="1:37" ht="18" customHeight="1">
      <c r="A13" s="355"/>
      <c r="B13" s="73" t="s">
        <v>1972</v>
      </c>
      <c r="C13" s="72"/>
      <c r="D13" s="576">
        <f t="shared" ref="D13:I13" si="0">SUBTOTAL(9,D14:D19)</f>
        <v>5.5</v>
      </c>
      <c r="E13" s="575">
        <f t="shared" si="0"/>
        <v>8.6999999999999993</v>
      </c>
      <c r="F13" s="575">
        <f t="shared" si="0"/>
        <v>25.4</v>
      </c>
      <c r="G13" s="575">
        <f t="shared" si="0"/>
        <v>40.5</v>
      </c>
      <c r="H13" s="575">
        <f t="shared" si="0"/>
        <v>51.499999999999993</v>
      </c>
      <c r="I13" s="574">
        <f t="shared" si="0"/>
        <v>54.800000000000004</v>
      </c>
      <c r="J13" s="654"/>
      <c r="L13" s="482"/>
      <c r="N13" s="572">
        <f t="shared" ref="N13:S13" si="1">SUBTOTAL(9,N14:N19)</f>
        <v>18.900000000000002</v>
      </c>
      <c r="O13" s="571">
        <f t="shared" si="1"/>
        <v>30.000000000000004</v>
      </c>
      <c r="P13" s="571">
        <f t="shared" si="1"/>
        <v>108.39999999999999</v>
      </c>
      <c r="Q13" s="571">
        <f t="shared" si="1"/>
        <v>167.2</v>
      </c>
      <c r="R13" s="571">
        <f t="shared" si="1"/>
        <v>251.4</v>
      </c>
      <c r="S13" s="570">
        <f t="shared" si="1"/>
        <v>269.90000000000003</v>
      </c>
      <c r="T13" s="573"/>
      <c r="U13" s="483"/>
      <c r="X13" s="354" t="str">
        <f t="shared" ref="X13:X32" si="2">B13</f>
        <v>1. 현황조사</v>
      </c>
      <c r="Y13" s="169"/>
      <c r="Z13" s="169"/>
      <c r="AA13" s="169"/>
      <c r="AB13" s="169"/>
      <c r="AC13" s="169"/>
      <c r="AD13" s="169"/>
      <c r="AE13" s="484"/>
      <c r="AF13" s="485"/>
      <c r="AG13" s="486">
        <f ca="1">SUBTOTAL(9,AG14:AG19)</f>
        <v>51498299</v>
      </c>
      <c r="AH13" s="487"/>
      <c r="AI13" s="170"/>
      <c r="AJ13" s="170"/>
      <c r="AK13" s="229"/>
    </row>
    <row r="14" spans="1:37" ht="18" customHeight="1">
      <c r="A14" s="355"/>
      <c r="B14" s="409" t="s">
        <v>1943</v>
      </c>
      <c r="C14" s="237"/>
      <c r="D14" s="488">
        <f t="array" ref="D14:I19">ROUND(N14:S19*T14:T19,1)</f>
        <v>1.2</v>
      </c>
      <c r="E14" s="489">
        <v>1.9</v>
      </c>
      <c r="F14" s="489">
        <v>7.9</v>
      </c>
      <c r="G14" s="489">
        <v>12</v>
      </c>
      <c r="H14" s="489">
        <v>19.899999999999999</v>
      </c>
      <c r="I14" s="490">
        <v>21.5</v>
      </c>
      <c r="J14" s="389" t="s">
        <v>1992</v>
      </c>
      <c r="L14" s="494">
        <f t="shared" ref="L14:L19" si="3">$E$5</f>
        <v>1</v>
      </c>
      <c r="N14" s="495">
        <v>11.8</v>
      </c>
      <c r="O14" s="496">
        <v>18.899999999999999</v>
      </c>
      <c r="P14" s="496">
        <v>79.3</v>
      </c>
      <c r="Q14" s="496">
        <v>119.7</v>
      </c>
      <c r="R14" s="496">
        <v>198.8</v>
      </c>
      <c r="S14" s="497">
        <v>214.5</v>
      </c>
      <c r="T14" s="498">
        <v>0.1</v>
      </c>
      <c r="U14" s="499" t="s">
        <v>844</v>
      </c>
      <c r="X14" s="292" t="str">
        <f t="shared" si="2"/>
        <v>1.1. 도시현황조사</v>
      </c>
      <c r="Y14" s="37"/>
      <c r="Z14" s="37"/>
      <c r="AA14" s="37"/>
      <c r="AB14" s="37"/>
      <c r="AC14" s="37"/>
      <c r="AD14" s="37"/>
      <c r="AE14" s="562"/>
      <c r="AF14" s="500"/>
      <c r="AG14" s="501">
        <f t="array" aca="1" ref="AG14" ca="1">SUM(ROUNDDOWN(D40:I40*단가,0))</f>
        <v>17330173</v>
      </c>
      <c r="AH14" s="502"/>
      <c r="AI14" s="170" t="str">
        <f>IF(A40&gt;0, "제 " &amp;A40&amp; " 호표","")</f>
        <v>제 1 호표</v>
      </c>
      <c r="AJ14" s="150"/>
    </row>
    <row r="15" spans="1:37" ht="18" customHeight="1">
      <c r="A15" s="355"/>
      <c r="B15" s="409" t="s">
        <v>1973</v>
      </c>
      <c r="C15" s="237"/>
      <c r="D15" s="488">
        <v>0.8</v>
      </c>
      <c r="E15" s="489">
        <v>1.3</v>
      </c>
      <c r="F15" s="489">
        <v>1.7</v>
      </c>
      <c r="G15" s="489">
        <v>4.7</v>
      </c>
      <c r="H15" s="489">
        <v>4.7</v>
      </c>
      <c r="I15" s="490">
        <v>6.3</v>
      </c>
      <c r="J15" s="389" t="s">
        <v>1090</v>
      </c>
      <c r="L15" s="494">
        <f t="shared" si="3"/>
        <v>1</v>
      </c>
      <c r="N15" s="495">
        <v>1.3</v>
      </c>
      <c r="O15" s="496">
        <v>2.1</v>
      </c>
      <c r="P15" s="496">
        <v>2.8</v>
      </c>
      <c r="Q15" s="496">
        <v>7.8</v>
      </c>
      <c r="R15" s="496">
        <v>7.8</v>
      </c>
      <c r="S15" s="497">
        <v>10.5</v>
      </c>
      <c r="T15" s="498">
        <v>0.6</v>
      </c>
      <c r="U15" s="499" t="s">
        <v>843</v>
      </c>
      <c r="X15" s="292" t="str">
        <f t="shared" si="2"/>
        <v>1.2. 관련계획조사</v>
      </c>
      <c r="Y15" s="37"/>
      <c r="Z15" s="37"/>
      <c r="AA15" s="37"/>
      <c r="AB15" s="37"/>
      <c r="AC15" s="37"/>
      <c r="AD15" s="37"/>
      <c r="AE15" s="562"/>
      <c r="AF15" s="500"/>
      <c r="AG15" s="501">
        <f t="array" aca="1" ref="AG15" ca="1">SUM(ROUNDDOWN(D41:I41*단가,0))</f>
        <v>5456986</v>
      </c>
      <c r="AH15" s="502"/>
      <c r="AI15" s="170" t="str">
        <f t="shared" ref="AI15:AI37" si="4">IF(A41&gt;0, "제 " &amp;A41&amp; " 호표","")</f>
        <v>제 2 호표</v>
      </c>
      <c r="AJ15" s="150"/>
    </row>
    <row r="16" spans="1:37" ht="18" customHeight="1">
      <c r="A16" s="355"/>
      <c r="B16" s="223" t="s">
        <v>1945</v>
      </c>
      <c r="C16" s="237"/>
      <c r="D16" s="488">
        <v>0.9</v>
      </c>
      <c r="E16" s="489">
        <v>1.4</v>
      </c>
      <c r="F16" s="489">
        <v>3.1</v>
      </c>
      <c r="G16" s="489">
        <v>6.3</v>
      </c>
      <c r="H16" s="489">
        <v>6.1</v>
      </c>
      <c r="I16" s="490">
        <v>6.3</v>
      </c>
      <c r="J16" s="389" t="s">
        <v>1090</v>
      </c>
      <c r="L16" s="494">
        <f t="shared" si="3"/>
        <v>1</v>
      </c>
      <c r="N16" s="495">
        <v>1.5</v>
      </c>
      <c r="O16" s="496">
        <v>2.2999999999999998</v>
      </c>
      <c r="P16" s="496">
        <v>5.2</v>
      </c>
      <c r="Q16" s="496">
        <v>10.5</v>
      </c>
      <c r="R16" s="496">
        <v>10.199999999999999</v>
      </c>
      <c r="S16" s="497">
        <v>10.5</v>
      </c>
      <c r="T16" s="498">
        <v>0.6</v>
      </c>
      <c r="U16" s="499" t="s">
        <v>842</v>
      </c>
      <c r="X16" s="292" t="str">
        <f t="shared" si="2"/>
        <v>1.3. 교통관계조사</v>
      </c>
      <c r="Y16" s="37"/>
      <c r="Z16" s="37"/>
      <c r="AA16" s="37"/>
      <c r="AB16" s="37"/>
      <c r="AC16" s="37"/>
      <c r="AD16" s="37"/>
      <c r="AE16" s="562"/>
      <c r="AF16" s="500"/>
      <c r="AG16" s="501">
        <f t="array" aca="1" ref="AG16" ca="1">SUM(ROUNDDOWN(D42:I42*단가,0))</f>
        <v>6778145</v>
      </c>
      <c r="AH16" s="502"/>
      <c r="AI16" s="170" t="str">
        <f t="shared" si="4"/>
        <v>제 3 호표</v>
      </c>
      <c r="AJ16" s="150"/>
    </row>
    <row r="17" spans="1:36" ht="18" customHeight="1">
      <c r="A17" s="355"/>
      <c r="B17" s="223" t="s">
        <v>1974</v>
      </c>
      <c r="C17" s="237"/>
      <c r="D17" s="488">
        <v>0.9</v>
      </c>
      <c r="E17" s="489">
        <v>1.4</v>
      </c>
      <c r="F17" s="489">
        <v>4.7</v>
      </c>
      <c r="G17" s="489">
        <v>6.4</v>
      </c>
      <c r="H17" s="489">
        <v>7.9</v>
      </c>
      <c r="I17" s="490">
        <v>8</v>
      </c>
      <c r="J17" s="389" t="s">
        <v>1090</v>
      </c>
      <c r="L17" s="494">
        <f t="shared" si="3"/>
        <v>1</v>
      </c>
      <c r="N17" s="495">
        <v>1.5</v>
      </c>
      <c r="O17" s="496">
        <v>2.2999999999999998</v>
      </c>
      <c r="P17" s="496">
        <v>7.8</v>
      </c>
      <c r="Q17" s="496">
        <v>10.7</v>
      </c>
      <c r="R17" s="496">
        <v>13.1</v>
      </c>
      <c r="S17" s="497">
        <v>13.3</v>
      </c>
      <c r="T17" s="498">
        <v>0.6</v>
      </c>
      <c r="U17" s="499" t="s">
        <v>841</v>
      </c>
      <c r="X17" s="292" t="str">
        <f t="shared" si="2"/>
        <v>1.4. 시설관계조사</v>
      </c>
      <c r="Y17" s="37"/>
      <c r="Z17" s="37"/>
      <c r="AA17" s="37"/>
      <c r="AB17" s="37"/>
      <c r="AC17" s="37"/>
      <c r="AD17" s="37"/>
      <c r="AE17" s="562"/>
      <c r="AF17" s="500"/>
      <c r="AG17" s="501">
        <f t="array" aca="1" ref="AG17" ca="1">SUM(ROUNDDOWN(D43:I43*단가,0))</f>
        <v>8154048</v>
      </c>
      <c r="AH17" s="502"/>
      <c r="AI17" s="170" t="str">
        <f t="shared" si="4"/>
        <v>제 4 호표</v>
      </c>
      <c r="AJ17" s="150"/>
    </row>
    <row r="18" spans="1:36" ht="18" customHeight="1">
      <c r="A18" s="355"/>
      <c r="B18" s="223" t="s">
        <v>1975</v>
      </c>
      <c r="C18" s="237"/>
      <c r="D18" s="488">
        <v>0.8</v>
      </c>
      <c r="E18" s="489">
        <v>1.3</v>
      </c>
      <c r="F18" s="489">
        <v>3.3</v>
      </c>
      <c r="G18" s="489">
        <v>4.7</v>
      </c>
      <c r="H18" s="489">
        <v>5</v>
      </c>
      <c r="I18" s="490">
        <v>4.7</v>
      </c>
      <c r="J18" s="389" t="s">
        <v>1090</v>
      </c>
      <c r="L18" s="494">
        <f t="shared" si="3"/>
        <v>1</v>
      </c>
      <c r="N18" s="495">
        <v>1.3</v>
      </c>
      <c r="O18" s="496">
        <v>2.1</v>
      </c>
      <c r="P18" s="496">
        <v>5.5</v>
      </c>
      <c r="Q18" s="496">
        <v>7.8</v>
      </c>
      <c r="R18" s="496">
        <v>8.4</v>
      </c>
      <c r="S18" s="497">
        <v>7.8</v>
      </c>
      <c r="T18" s="498">
        <v>0.6</v>
      </c>
      <c r="U18" s="499" t="s">
        <v>840</v>
      </c>
      <c r="X18" s="292" t="str">
        <f t="shared" si="2"/>
        <v>1.5. 공급처리시설 관계조사</v>
      </c>
      <c r="Y18" s="37"/>
      <c r="Z18" s="37"/>
      <c r="AA18" s="37"/>
      <c r="AB18" s="37"/>
      <c r="AC18" s="37"/>
      <c r="AD18" s="37"/>
      <c r="AE18" s="562"/>
      <c r="AF18" s="500"/>
      <c r="AG18" s="501">
        <f t="array" aca="1" ref="AG18" ca="1">SUM(ROUNDDOWN(D44:I44*단가,0))</f>
        <v>5624899</v>
      </c>
      <c r="AH18" s="502"/>
      <c r="AI18" s="170" t="str">
        <f t="shared" si="4"/>
        <v>제 5 호표</v>
      </c>
      <c r="AJ18" s="150"/>
    </row>
    <row r="19" spans="1:36" ht="18" customHeight="1">
      <c r="A19" s="355"/>
      <c r="B19" s="409" t="s">
        <v>1976</v>
      </c>
      <c r="C19" s="237"/>
      <c r="D19" s="488">
        <v>0.9</v>
      </c>
      <c r="E19" s="489">
        <v>1.4</v>
      </c>
      <c r="F19" s="489">
        <v>4.7</v>
      </c>
      <c r="G19" s="489">
        <v>6.4</v>
      </c>
      <c r="H19" s="489">
        <v>7.9</v>
      </c>
      <c r="I19" s="490">
        <v>8</v>
      </c>
      <c r="J19" s="389" t="s">
        <v>1090</v>
      </c>
      <c r="L19" s="494">
        <f t="shared" si="3"/>
        <v>1</v>
      </c>
      <c r="N19" s="495">
        <v>1.5</v>
      </c>
      <c r="O19" s="496">
        <v>2.2999999999999998</v>
      </c>
      <c r="P19" s="496">
        <v>7.8</v>
      </c>
      <c r="Q19" s="496">
        <v>10.7</v>
      </c>
      <c r="R19" s="496">
        <v>13.1</v>
      </c>
      <c r="S19" s="497">
        <v>13.3</v>
      </c>
      <c r="T19" s="498">
        <v>0.6</v>
      </c>
      <c r="U19" s="499" t="s">
        <v>839</v>
      </c>
      <c r="X19" s="292" t="str">
        <f t="shared" si="2"/>
        <v>1.6. 주거수준조사</v>
      </c>
      <c r="Y19" s="37"/>
      <c r="Z19" s="37"/>
      <c r="AA19" s="37"/>
      <c r="AB19" s="37"/>
      <c r="AC19" s="37"/>
      <c r="AD19" s="37"/>
      <c r="AE19" s="562"/>
      <c r="AF19" s="500"/>
      <c r="AG19" s="501">
        <f t="array" aca="1" ref="AG19" ca="1">SUM(ROUNDDOWN(D45:I45*단가,0))</f>
        <v>8154048</v>
      </c>
      <c r="AH19" s="502"/>
      <c r="AI19" s="170" t="str">
        <f t="shared" si="4"/>
        <v>제 6 호표</v>
      </c>
      <c r="AJ19" s="150"/>
    </row>
    <row r="20" spans="1:36" ht="18" customHeight="1">
      <c r="A20" s="355"/>
      <c r="B20" s="222" t="s">
        <v>1977</v>
      </c>
      <c r="C20" s="47"/>
      <c r="D20" s="548">
        <f t="shared" ref="D20:I20" si="5">SUBTOTAL(9,D21:D23)</f>
        <v>7.7</v>
      </c>
      <c r="E20" s="547">
        <f t="shared" si="5"/>
        <v>12.2</v>
      </c>
      <c r="F20" s="547">
        <f t="shared" si="5"/>
        <v>29.900000000000002</v>
      </c>
      <c r="G20" s="547">
        <f t="shared" si="5"/>
        <v>49</v>
      </c>
      <c r="H20" s="547">
        <f t="shared" si="5"/>
        <v>55.199999999999996</v>
      </c>
      <c r="I20" s="546">
        <f t="shared" si="5"/>
        <v>76.5</v>
      </c>
      <c r="J20" s="594"/>
      <c r="L20" s="494"/>
      <c r="N20" s="572">
        <f t="shared" ref="N20:S20" si="6">SUBTOTAL(9,N21:N23)</f>
        <v>19.2</v>
      </c>
      <c r="O20" s="571">
        <f t="shared" si="6"/>
        <v>30.200000000000003</v>
      </c>
      <c r="P20" s="571">
        <f t="shared" si="6"/>
        <v>74.5</v>
      </c>
      <c r="Q20" s="571">
        <f t="shared" si="6"/>
        <v>122.30000000000001</v>
      </c>
      <c r="R20" s="571">
        <f t="shared" si="6"/>
        <v>137.80000000000001</v>
      </c>
      <c r="S20" s="570">
        <f t="shared" si="6"/>
        <v>191.39999999999998</v>
      </c>
      <c r="T20" s="498"/>
      <c r="U20" s="499"/>
      <c r="X20" s="354" t="str">
        <f t="shared" si="2"/>
        <v>2. 생활권설정 및 분석</v>
      </c>
      <c r="Y20" s="37"/>
      <c r="Z20" s="37"/>
      <c r="AA20" s="37"/>
      <c r="AB20" s="37"/>
      <c r="AC20" s="37"/>
      <c r="AD20" s="37"/>
      <c r="AE20" s="562"/>
      <c r="AF20" s="500"/>
      <c r="AG20" s="486">
        <f ca="1">SUBTOTAL(9,AG21:AG23)</f>
        <v>64038657</v>
      </c>
      <c r="AH20" s="502"/>
      <c r="AI20" s="170" t="str">
        <f t="shared" si="4"/>
        <v/>
      </c>
      <c r="AJ20" s="150"/>
    </row>
    <row r="21" spans="1:36" ht="18" customHeight="1">
      <c r="A21" s="355"/>
      <c r="B21" s="223" t="s">
        <v>1978</v>
      </c>
      <c r="C21" s="237"/>
      <c r="D21" s="488">
        <f t="array" ref="D21:I23">ROUND(N21:S23*T21:T23,1)</f>
        <v>3.3</v>
      </c>
      <c r="E21" s="489">
        <v>5.2</v>
      </c>
      <c r="F21" s="489">
        <v>12.8</v>
      </c>
      <c r="G21" s="489">
        <v>22.4</v>
      </c>
      <c r="H21" s="489">
        <v>23.9</v>
      </c>
      <c r="I21" s="490">
        <v>32.9</v>
      </c>
      <c r="J21" s="389" t="s">
        <v>1090</v>
      </c>
      <c r="L21" s="494">
        <f>$E$5</f>
        <v>1</v>
      </c>
      <c r="N21" s="495">
        <v>8.1999999999999993</v>
      </c>
      <c r="O21" s="496">
        <v>12.9</v>
      </c>
      <c r="P21" s="496">
        <v>31.9</v>
      </c>
      <c r="Q21" s="496">
        <v>55.9</v>
      </c>
      <c r="R21" s="496">
        <v>59.7</v>
      </c>
      <c r="S21" s="497">
        <v>82.3</v>
      </c>
      <c r="T21" s="498">
        <v>0.4</v>
      </c>
      <c r="U21" s="499" t="s">
        <v>838</v>
      </c>
      <c r="X21" s="292" t="str">
        <f t="shared" si="2"/>
        <v>2.1. 현황종합분석</v>
      </c>
      <c r="Y21" s="37"/>
      <c r="Z21" s="37"/>
      <c r="AA21" s="37"/>
      <c r="AB21" s="37"/>
      <c r="AC21" s="37"/>
      <c r="AD21" s="37"/>
      <c r="AE21" s="562"/>
      <c r="AF21" s="500"/>
      <c r="AG21" s="501">
        <f t="array" aca="1" ref="AG21" ca="1">SUM(ROUNDDOWN(D47:I47*단가,0))</f>
        <v>27928989</v>
      </c>
      <c r="AH21" s="502"/>
      <c r="AI21" s="170" t="str">
        <f t="shared" si="4"/>
        <v>제 7 호표</v>
      </c>
      <c r="AJ21" s="150"/>
    </row>
    <row r="22" spans="1:36" ht="18" customHeight="1">
      <c r="A22" s="355"/>
      <c r="B22" s="223" t="s">
        <v>1979</v>
      </c>
      <c r="C22" s="237"/>
      <c r="D22" s="488">
        <v>1.1000000000000001</v>
      </c>
      <c r="E22" s="489">
        <v>1.8</v>
      </c>
      <c r="F22" s="489">
        <v>4.3</v>
      </c>
      <c r="G22" s="489">
        <v>4.2</v>
      </c>
      <c r="H22" s="489">
        <v>7.4</v>
      </c>
      <c r="I22" s="490">
        <v>10.7</v>
      </c>
      <c r="J22" s="389" t="s">
        <v>1090</v>
      </c>
      <c r="L22" s="494">
        <f>$E$5</f>
        <v>1</v>
      </c>
      <c r="N22" s="495">
        <v>2.8</v>
      </c>
      <c r="O22" s="496">
        <v>4.4000000000000004</v>
      </c>
      <c r="P22" s="496">
        <v>10.7</v>
      </c>
      <c r="Q22" s="496">
        <v>10.5</v>
      </c>
      <c r="R22" s="496">
        <v>18.399999999999999</v>
      </c>
      <c r="S22" s="497">
        <v>26.8</v>
      </c>
      <c r="T22" s="498">
        <v>0.4</v>
      </c>
      <c r="U22" s="499" t="s">
        <v>837</v>
      </c>
      <c r="X22" s="292" t="str">
        <f t="shared" si="2"/>
        <v>2.2. 주거생활권 구분</v>
      </c>
      <c r="Y22" s="37"/>
      <c r="Z22" s="37"/>
      <c r="AA22" s="37"/>
      <c r="AB22" s="37"/>
      <c r="AC22" s="37"/>
      <c r="AD22" s="37"/>
      <c r="AE22" s="562"/>
      <c r="AF22" s="500"/>
      <c r="AG22" s="501">
        <f t="array" aca="1" ref="AG22" ca="1">SUM(ROUNDDOWN(D48:I48*단가,0))</f>
        <v>8180679</v>
      </c>
      <c r="AH22" s="502"/>
      <c r="AI22" s="170" t="str">
        <f t="shared" si="4"/>
        <v>제 8 호표</v>
      </c>
      <c r="AJ22" s="150"/>
    </row>
    <row r="23" spans="1:36" ht="18" customHeight="1">
      <c r="A23" s="355"/>
      <c r="B23" s="223" t="s">
        <v>1980</v>
      </c>
      <c r="C23" s="237"/>
      <c r="D23" s="488">
        <v>3.3</v>
      </c>
      <c r="E23" s="489">
        <v>5.2</v>
      </c>
      <c r="F23" s="489">
        <v>12.8</v>
      </c>
      <c r="G23" s="489">
        <v>22.4</v>
      </c>
      <c r="H23" s="489">
        <v>23.9</v>
      </c>
      <c r="I23" s="490">
        <v>32.9</v>
      </c>
      <c r="J23" s="389" t="s">
        <v>1090</v>
      </c>
      <c r="L23" s="494">
        <f>$E$5</f>
        <v>1</v>
      </c>
      <c r="N23" s="611">
        <v>8.1999999999999993</v>
      </c>
      <c r="O23" s="610">
        <v>12.9</v>
      </c>
      <c r="P23" s="610">
        <v>31.9</v>
      </c>
      <c r="Q23" s="610">
        <v>55.9</v>
      </c>
      <c r="R23" s="610">
        <v>59.7</v>
      </c>
      <c r="S23" s="609">
        <v>82.3</v>
      </c>
      <c r="T23" s="498">
        <v>0.4</v>
      </c>
      <c r="U23" s="499" t="s">
        <v>836</v>
      </c>
      <c r="X23" s="292" t="str">
        <f t="shared" si="2"/>
        <v>2.3. 주거환경지표 분석</v>
      </c>
      <c r="Y23" s="37"/>
      <c r="Z23" s="37"/>
      <c r="AA23" s="37"/>
      <c r="AB23" s="37"/>
      <c r="AC23" s="37"/>
      <c r="AD23" s="37"/>
      <c r="AE23" s="562"/>
      <c r="AF23" s="500"/>
      <c r="AG23" s="501">
        <f t="array" aca="1" ref="AG23" ca="1">SUM(ROUNDDOWN(D49:I49*단가,0))</f>
        <v>27928989</v>
      </c>
      <c r="AH23" s="502"/>
      <c r="AI23" s="170" t="str">
        <f t="shared" si="4"/>
        <v>제 9 호표</v>
      </c>
      <c r="AJ23" s="150"/>
    </row>
    <row r="24" spans="1:36" ht="18" customHeight="1">
      <c r="A24" s="326"/>
      <c r="B24" s="222" t="s">
        <v>835</v>
      </c>
      <c r="C24" s="47"/>
      <c r="D24" s="548">
        <f t="shared" ref="D24:I24" si="7">SUBTOTAL(9,D25:D29)</f>
        <v>9.6000000000000014</v>
      </c>
      <c r="E24" s="547">
        <f t="shared" si="7"/>
        <v>15.699999999999998</v>
      </c>
      <c r="F24" s="547">
        <f t="shared" si="7"/>
        <v>34.4</v>
      </c>
      <c r="G24" s="547">
        <f t="shared" si="7"/>
        <v>63.5</v>
      </c>
      <c r="H24" s="547">
        <f t="shared" si="7"/>
        <v>82.399999999999991</v>
      </c>
      <c r="I24" s="546">
        <f t="shared" si="7"/>
        <v>81.600000000000009</v>
      </c>
      <c r="J24" s="594"/>
      <c r="L24" s="494"/>
      <c r="N24" s="566">
        <f t="shared" ref="N24:S24" si="8">SUBTOTAL(9,N25:N29)</f>
        <v>8</v>
      </c>
      <c r="O24" s="565">
        <f t="shared" si="8"/>
        <v>13.200000000000001</v>
      </c>
      <c r="P24" s="565">
        <f t="shared" si="8"/>
        <v>29.4</v>
      </c>
      <c r="Q24" s="565">
        <f t="shared" si="8"/>
        <v>55.5</v>
      </c>
      <c r="R24" s="565">
        <f t="shared" si="8"/>
        <v>70.5</v>
      </c>
      <c r="S24" s="564">
        <f t="shared" si="8"/>
        <v>70</v>
      </c>
      <c r="T24" s="563"/>
      <c r="U24" s="557"/>
      <c r="X24" s="354" t="str">
        <f t="shared" si="2"/>
        <v>3. 생활권계획</v>
      </c>
      <c r="Y24" s="37"/>
      <c r="Z24" s="37"/>
      <c r="AA24" s="37"/>
      <c r="AB24" s="37"/>
      <c r="AC24" s="37"/>
      <c r="AD24" s="37"/>
      <c r="AE24" s="562"/>
      <c r="AF24" s="500"/>
      <c r="AG24" s="486">
        <f ca="1">SUBTOTAL(9,AG25:AG29)</f>
        <v>79591509</v>
      </c>
      <c r="AH24" s="502"/>
      <c r="AI24" s="170" t="str">
        <f t="shared" si="4"/>
        <v/>
      </c>
      <c r="AJ24" s="150"/>
    </row>
    <row r="25" spans="1:36" ht="18" customHeight="1">
      <c r="A25" s="326"/>
      <c r="B25" s="223" t="s">
        <v>1981</v>
      </c>
      <c r="C25" s="237"/>
      <c r="D25" s="488">
        <f t="array" ref="D25:I29">ROUND(N25:S29*T25:T29,1)</f>
        <v>2</v>
      </c>
      <c r="E25" s="489">
        <v>3.3</v>
      </c>
      <c r="F25" s="489">
        <v>6.4</v>
      </c>
      <c r="G25" s="489">
        <v>10.5</v>
      </c>
      <c r="H25" s="489">
        <v>15.5</v>
      </c>
      <c r="I25" s="490">
        <v>15</v>
      </c>
      <c r="J25" s="400" t="s">
        <v>1090</v>
      </c>
      <c r="L25" s="494">
        <f>$E$5</f>
        <v>1</v>
      </c>
      <c r="N25" s="495">
        <v>1.5</v>
      </c>
      <c r="O25" s="496">
        <v>2.5</v>
      </c>
      <c r="P25" s="496">
        <v>4.9000000000000004</v>
      </c>
      <c r="Q25" s="496">
        <v>8.1</v>
      </c>
      <c r="R25" s="496">
        <v>11.9</v>
      </c>
      <c r="S25" s="497">
        <v>11.5</v>
      </c>
      <c r="T25" s="498">
        <v>1.3</v>
      </c>
      <c r="U25" s="555" t="s">
        <v>834</v>
      </c>
      <c r="X25" s="292" t="str">
        <f t="shared" si="2"/>
        <v>3.1. 주거지관리방향</v>
      </c>
      <c r="Y25" s="37"/>
      <c r="Z25" s="37"/>
      <c r="AA25" s="37"/>
      <c r="AB25" s="37"/>
      <c r="AC25" s="37"/>
      <c r="AD25" s="37"/>
      <c r="AE25" s="562"/>
      <c r="AF25" s="500"/>
      <c r="AG25" s="501">
        <f t="array" aca="1" ref="AG25" ca="1">SUM(ROUNDDOWN(D51:I51*단가,0))</f>
        <v>14656023</v>
      </c>
      <c r="AH25" s="502"/>
      <c r="AI25" s="170" t="str">
        <f t="shared" si="4"/>
        <v>제 10 호표</v>
      </c>
      <c r="AJ25" s="150"/>
    </row>
    <row r="26" spans="1:36" ht="18" customHeight="1">
      <c r="A26" s="326"/>
      <c r="B26" s="223" t="s">
        <v>1982</v>
      </c>
      <c r="C26" s="237"/>
      <c r="D26" s="488">
        <v>2</v>
      </c>
      <c r="E26" s="489">
        <v>3.3</v>
      </c>
      <c r="F26" s="489">
        <v>6.4</v>
      </c>
      <c r="G26" s="489">
        <v>10.5</v>
      </c>
      <c r="H26" s="489">
        <v>15.5</v>
      </c>
      <c r="I26" s="490">
        <v>15</v>
      </c>
      <c r="J26" s="400" t="s">
        <v>1090</v>
      </c>
      <c r="L26" s="494">
        <f>$E$5</f>
        <v>1</v>
      </c>
      <c r="N26" s="495">
        <v>1.5</v>
      </c>
      <c r="O26" s="496">
        <v>2.5</v>
      </c>
      <c r="P26" s="496">
        <v>4.9000000000000004</v>
      </c>
      <c r="Q26" s="496">
        <v>8.1</v>
      </c>
      <c r="R26" s="496">
        <v>11.9</v>
      </c>
      <c r="S26" s="497">
        <v>11.5</v>
      </c>
      <c r="T26" s="498">
        <v>1.3</v>
      </c>
      <c r="U26" s="555" t="s">
        <v>834</v>
      </c>
      <c r="X26" s="292" t="str">
        <f t="shared" si="2"/>
        <v>3.2. 주거지 관리계획</v>
      </c>
      <c r="Y26" s="37"/>
      <c r="Z26" s="37"/>
      <c r="AA26" s="37"/>
      <c r="AB26" s="37"/>
      <c r="AC26" s="37"/>
      <c r="AD26" s="37"/>
      <c r="AE26" s="562"/>
      <c r="AF26" s="500"/>
      <c r="AG26" s="501">
        <f t="array" aca="1" ref="AG26" ca="1">SUM(ROUNDDOWN(D52:I52*단가,0))</f>
        <v>14656023</v>
      </c>
      <c r="AH26" s="502"/>
      <c r="AI26" s="170" t="str">
        <f t="shared" si="4"/>
        <v>제 11 호표</v>
      </c>
      <c r="AJ26" s="150"/>
    </row>
    <row r="27" spans="1:36" ht="18" customHeight="1">
      <c r="A27" s="326"/>
      <c r="B27" s="223" t="s">
        <v>1983</v>
      </c>
      <c r="C27" s="237"/>
      <c r="D27" s="488">
        <v>3.3</v>
      </c>
      <c r="E27" s="489">
        <v>5.3</v>
      </c>
      <c r="F27" s="489">
        <v>13.1</v>
      </c>
      <c r="G27" s="489">
        <v>28.7</v>
      </c>
      <c r="H27" s="489">
        <v>31</v>
      </c>
      <c r="I27" s="490">
        <v>31.9</v>
      </c>
      <c r="J27" s="400" t="s">
        <v>1090</v>
      </c>
      <c r="L27" s="494">
        <f>$E$5</f>
        <v>1</v>
      </c>
      <c r="N27" s="495">
        <v>3.3</v>
      </c>
      <c r="O27" s="496">
        <v>5.3</v>
      </c>
      <c r="P27" s="496">
        <v>13.1</v>
      </c>
      <c r="Q27" s="496">
        <v>28.7</v>
      </c>
      <c r="R27" s="496">
        <v>31</v>
      </c>
      <c r="S27" s="497">
        <v>31.9</v>
      </c>
      <c r="T27" s="498">
        <v>1</v>
      </c>
      <c r="U27" s="555" t="s">
        <v>833</v>
      </c>
      <c r="X27" s="292" t="str">
        <f t="shared" si="2"/>
        <v>3.3. 생활권종합계획</v>
      </c>
      <c r="Y27" s="37"/>
      <c r="Z27" s="37"/>
      <c r="AA27" s="37"/>
      <c r="AB27" s="37"/>
      <c r="AC27" s="37"/>
      <c r="AD27" s="37"/>
      <c r="AE27" s="562"/>
      <c r="AF27" s="500"/>
      <c r="AG27" s="501">
        <f t="array" aca="1" ref="AG27" ca="1">SUM(ROUNDDOWN(D53:I53*단가,0))</f>
        <v>31340630</v>
      </c>
      <c r="AH27" s="502"/>
      <c r="AI27" s="170" t="str">
        <f t="shared" si="4"/>
        <v>제 12 호표</v>
      </c>
      <c r="AJ27" s="150"/>
    </row>
    <row r="28" spans="1:36" ht="17.25" customHeight="1">
      <c r="A28" s="326"/>
      <c r="B28" s="223" t="s">
        <v>1984</v>
      </c>
      <c r="C28" s="237"/>
      <c r="D28" s="488">
        <v>2</v>
      </c>
      <c r="E28" s="489">
        <v>3.1</v>
      </c>
      <c r="F28" s="489">
        <v>6.4</v>
      </c>
      <c r="G28" s="489">
        <v>10.5</v>
      </c>
      <c r="H28" s="489">
        <v>15.6</v>
      </c>
      <c r="I28" s="490">
        <v>15</v>
      </c>
      <c r="J28" s="400" t="s">
        <v>1090</v>
      </c>
      <c r="L28" s="494">
        <f>$E$5</f>
        <v>1</v>
      </c>
      <c r="N28" s="611">
        <v>1.5</v>
      </c>
      <c r="O28" s="610">
        <v>2.4</v>
      </c>
      <c r="P28" s="610">
        <v>4.9000000000000004</v>
      </c>
      <c r="Q28" s="610">
        <v>8.1</v>
      </c>
      <c r="R28" s="610">
        <v>12</v>
      </c>
      <c r="S28" s="609">
        <v>11.5</v>
      </c>
      <c r="T28" s="498">
        <v>1.3</v>
      </c>
      <c r="U28" s="555" t="s">
        <v>832</v>
      </c>
      <c r="X28" s="292" t="str">
        <f t="shared" si="2"/>
        <v>3.4. 부문별 계획(주거환경관리, 생활권기반시설, 생활가로, 특성관리)</v>
      </c>
      <c r="Y28" s="37"/>
      <c r="Z28" s="37"/>
      <c r="AA28" s="37"/>
      <c r="AB28" s="37"/>
      <c r="AC28" s="37"/>
      <c r="AD28" s="37"/>
      <c r="AE28" s="562"/>
      <c r="AF28" s="500"/>
      <c r="AG28" s="501">
        <f t="array" aca="1" ref="AG28" ca="1">SUM(ROUNDDOWN(D54:I54*단가,0))</f>
        <v>14604899</v>
      </c>
      <c r="AH28" s="502"/>
      <c r="AI28" s="170" t="str">
        <f t="shared" si="4"/>
        <v>제 13 호표</v>
      </c>
      <c r="AJ28" s="150"/>
    </row>
    <row r="29" spans="1:36" ht="18" customHeight="1">
      <c r="A29" s="326"/>
      <c r="B29" s="223" t="s">
        <v>1985</v>
      </c>
      <c r="C29" s="237"/>
      <c r="D29" s="488">
        <v>0.3</v>
      </c>
      <c r="E29" s="489">
        <v>0.7</v>
      </c>
      <c r="F29" s="489">
        <v>2.1</v>
      </c>
      <c r="G29" s="489">
        <v>3.3</v>
      </c>
      <c r="H29" s="489">
        <v>4.8</v>
      </c>
      <c r="I29" s="490">
        <v>4.7</v>
      </c>
      <c r="J29" s="389" t="s">
        <v>1090</v>
      </c>
      <c r="L29" s="494">
        <f>$E$5</f>
        <v>1</v>
      </c>
      <c r="N29" s="495">
        <v>0.2</v>
      </c>
      <c r="O29" s="496">
        <v>0.5</v>
      </c>
      <c r="P29" s="496">
        <v>1.6</v>
      </c>
      <c r="Q29" s="496">
        <v>2.5</v>
      </c>
      <c r="R29" s="496">
        <v>3.7</v>
      </c>
      <c r="S29" s="497">
        <v>3.6</v>
      </c>
      <c r="T29" s="498">
        <v>1.3</v>
      </c>
      <c r="U29" s="499" t="s">
        <v>831</v>
      </c>
      <c r="X29" s="292" t="str">
        <f t="shared" si="2"/>
        <v>3.5. 주택수급계획</v>
      </c>
      <c r="Y29" s="37"/>
      <c r="Z29" s="37"/>
      <c r="AA29" s="37"/>
      <c r="AB29" s="37"/>
      <c r="AC29" s="37"/>
      <c r="AD29" s="37"/>
      <c r="AE29" s="562"/>
      <c r="AF29" s="500"/>
      <c r="AG29" s="501">
        <f t="array" aca="1" ref="AG29" ca="1">SUM(ROUNDDOWN(D55:I55*단가,0))</f>
        <v>4333934</v>
      </c>
      <c r="AH29" s="502"/>
      <c r="AI29" s="170" t="str">
        <f t="shared" si="4"/>
        <v>제 14 호표</v>
      </c>
      <c r="AJ29" s="150"/>
    </row>
    <row r="30" spans="1:36" ht="18" customHeight="1">
      <c r="A30" s="326"/>
      <c r="B30" s="222" t="s">
        <v>830</v>
      </c>
      <c r="C30" s="47"/>
      <c r="D30" s="548">
        <f t="shared" ref="D30:I30" si="9">SUBTOTAL(9,D31:D32)</f>
        <v>2.6</v>
      </c>
      <c r="E30" s="547">
        <f t="shared" si="9"/>
        <v>4.3</v>
      </c>
      <c r="F30" s="547">
        <f t="shared" si="9"/>
        <v>9.6000000000000014</v>
      </c>
      <c r="G30" s="547">
        <f t="shared" si="9"/>
        <v>17.7</v>
      </c>
      <c r="H30" s="547">
        <f t="shared" si="9"/>
        <v>24.7</v>
      </c>
      <c r="I30" s="546">
        <f t="shared" si="9"/>
        <v>24.7</v>
      </c>
      <c r="J30" s="594"/>
      <c r="L30" s="494"/>
      <c r="N30" s="566">
        <f t="shared" ref="N30:S30" si="10">SUBTOTAL(9,N31:N32)</f>
        <v>8.8000000000000007</v>
      </c>
      <c r="O30" s="565">
        <f t="shared" si="10"/>
        <v>14.3</v>
      </c>
      <c r="P30" s="565">
        <f t="shared" si="10"/>
        <v>31.9</v>
      </c>
      <c r="Q30" s="565">
        <f t="shared" si="10"/>
        <v>59.099999999999994</v>
      </c>
      <c r="R30" s="565">
        <f t="shared" si="10"/>
        <v>82.300000000000011</v>
      </c>
      <c r="S30" s="564">
        <f t="shared" si="10"/>
        <v>82.3</v>
      </c>
      <c r="T30" s="563"/>
      <c r="U30" s="557"/>
      <c r="X30" s="354" t="str">
        <f t="shared" si="2"/>
        <v>4. 성과품 작성</v>
      </c>
      <c r="Y30" s="37"/>
      <c r="Z30" s="37"/>
      <c r="AA30" s="37"/>
      <c r="AB30" s="37"/>
      <c r="AC30" s="37"/>
      <c r="AD30" s="37"/>
      <c r="AE30" s="562"/>
      <c r="AF30" s="500"/>
      <c r="AG30" s="486">
        <f ca="1">SUBTOTAL(9,AG31:AG32)</f>
        <v>23021590</v>
      </c>
      <c r="AH30" s="502"/>
      <c r="AI30" s="170" t="str">
        <f t="shared" si="4"/>
        <v/>
      </c>
      <c r="AJ30" s="150"/>
    </row>
    <row r="31" spans="1:36" ht="18" customHeight="1">
      <c r="A31" s="326"/>
      <c r="B31" s="223" t="s">
        <v>1986</v>
      </c>
      <c r="C31" s="237"/>
      <c r="D31" s="488">
        <f t="array" ref="D31:I32">ROUND(N31:S32*T31:T32,1)</f>
        <v>1.8</v>
      </c>
      <c r="E31" s="489">
        <v>2.8</v>
      </c>
      <c r="F31" s="489">
        <v>6.4</v>
      </c>
      <c r="G31" s="489">
        <v>10.6</v>
      </c>
      <c r="H31" s="489">
        <v>10.5</v>
      </c>
      <c r="I31" s="490">
        <v>7</v>
      </c>
      <c r="J31" s="400" t="s">
        <v>1090</v>
      </c>
      <c r="L31" s="494">
        <f>$E$5</f>
        <v>1</v>
      </c>
      <c r="N31" s="495">
        <v>6</v>
      </c>
      <c r="O31" s="496">
        <v>9.4</v>
      </c>
      <c r="P31" s="496">
        <v>21.2</v>
      </c>
      <c r="Q31" s="496">
        <v>35.4</v>
      </c>
      <c r="R31" s="496">
        <v>35.1</v>
      </c>
      <c r="S31" s="497">
        <v>23.3</v>
      </c>
      <c r="T31" s="498">
        <v>0.3</v>
      </c>
      <c r="U31" s="499" t="s">
        <v>829</v>
      </c>
      <c r="X31" s="292" t="str">
        <f t="shared" si="2"/>
        <v>4.1. 보고서 작성 및 편집</v>
      </c>
      <c r="Y31" s="37"/>
      <c r="Z31" s="37"/>
      <c r="AA31" s="37"/>
      <c r="AB31" s="37"/>
      <c r="AC31" s="37"/>
      <c r="AD31" s="37"/>
      <c r="AE31" s="562"/>
      <c r="AF31" s="500"/>
      <c r="AG31" s="501">
        <f t="array" aca="1" ref="AG31" ca="1">SUM(ROUNDDOWN(D57:I57*단가,0))</f>
        <v>11227425</v>
      </c>
      <c r="AH31" s="502"/>
      <c r="AI31" s="170" t="str">
        <f t="shared" si="4"/>
        <v>제 15 호표</v>
      </c>
      <c r="AJ31" s="150"/>
    </row>
    <row r="32" spans="1:36" ht="17.25" customHeight="1">
      <c r="A32" s="326"/>
      <c r="B32" s="259" t="s">
        <v>1987</v>
      </c>
      <c r="C32" s="264"/>
      <c r="D32" s="491">
        <v>0.8</v>
      </c>
      <c r="E32" s="492">
        <v>1.5</v>
      </c>
      <c r="F32" s="492">
        <v>3.2</v>
      </c>
      <c r="G32" s="492">
        <v>7.1</v>
      </c>
      <c r="H32" s="492">
        <v>14.2</v>
      </c>
      <c r="I32" s="493">
        <v>17.7</v>
      </c>
      <c r="J32" s="685" t="s">
        <v>1090</v>
      </c>
      <c r="L32" s="494">
        <f>$E$5</f>
        <v>1</v>
      </c>
      <c r="N32" s="495">
        <v>2.8</v>
      </c>
      <c r="O32" s="496">
        <v>4.9000000000000004</v>
      </c>
      <c r="P32" s="496">
        <v>10.7</v>
      </c>
      <c r="Q32" s="496">
        <v>23.7</v>
      </c>
      <c r="R32" s="496">
        <v>47.2</v>
      </c>
      <c r="S32" s="497">
        <v>59</v>
      </c>
      <c r="T32" s="498">
        <v>0.3</v>
      </c>
      <c r="U32" s="499" t="s">
        <v>828</v>
      </c>
      <c r="X32" s="292" t="str">
        <f t="shared" si="2"/>
        <v>4.2. 관련도서 작성</v>
      </c>
      <c r="Y32" s="37"/>
      <c r="Z32" s="37"/>
      <c r="AA32" s="37"/>
      <c r="AB32" s="37"/>
      <c r="AC32" s="37"/>
      <c r="AD32" s="37"/>
      <c r="AE32" s="562"/>
      <c r="AF32" s="500"/>
      <c r="AG32" s="501">
        <f t="array" aca="1" ref="AG32" ca="1">SUM(ROUNDDOWN(D58:I58*단가,0))</f>
        <v>11794165</v>
      </c>
      <c r="AH32" s="502"/>
      <c r="AI32" s="170" t="str">
        <f t="shared" si="4"/>
        <v>제 16 호표</v>
      </c>
      <c r="AJ32" s="150"/>
    </row>
    <row r="33" spans="1:36" ht="18" customHeight="1">
      <c r="A33" s="326"/>
      <c r="B33" s="222" t="s">
        <v>827</v>
      </c>
      <c r="C33" s="47"/>
      <c r="D33" s="503">
        <f t="shared" ref="D33:I33" si="11">SUBTOTAL(9,D34:D37)</f>
        <v>8</v>
      </c>
      <c r="E33" s="504">
        <f t="shared" si="11"/>
        <v>8</v>
      </c>
      <c r="F33" s="504">
        <f t="shared" si="11"/>
        <v>8</v>
      </c>
      <c r="G33" s="504">
        <f t="shared" si="11"/>
        <v>16</v>
      </c>
      <c r="H33" s="504">
        <f t="shared" si="11"/>
        <v>16</v>
      </c>
      <c r="I33" s="505">
        <f t="shared" si="11"/>
        <v>16</v>
      </c>
      <c r="J33" s="620"/>
      <c r="L33" s="494"/>
      <c r="N33" s="561">
        <f t="shared" ref="N33:S33" si="12">SUBTOTAL(9,N13:N32)</f>
        <v>54.9</v>
      </c>
      <c r="O33" s="543">
        <f t="shared" si="12"/>
        <v>87.700000000000017</v>
      </c>
      <c r="P33" s="560">
        <f t="shared" si="12"/>
        <v>244.19999999999996</v>
      </c>
      <c r="Q33" s="560">
        <f t="shared" si="12"/>
        <v>404.1</v>
      </c>
      <c r="R33" s="560">
        <f t="shared" si="12"/>
        <v>542</v>
      </c>
      <c r="S33" s="559">
        <f t="shared" si="12"/>
        <v>613.6</v>
      </c>
      <c r="T33" s="558"/>
      <c r="U33" s="63"/>
      <c r="X33" s="79" t="str">
        <f>B33</f>
        <v>5. 기술협의</v>
      </c>
      <c r="Y33" s="37"/>
      <c r="Z33" s="39"/>
      <c r="AA33" s="37"/>
      <c r="AB33" s="117"/>
      <c r="AC33" s="37"/>
      <c r="AD33" s="37"/>
      <c r="AE33" s="556"/>
      <c r="AF33" s="500"/>
      <c r="AG33" s="486">
        <f ca="1">SUBTOTAL(9,AG34:AG37)</f>
        <v>21702576</v>
      </c>
      <c r="AH33" s="502"/>
      <c r="AI33" s="170" t="str">
        <f t="shared" si="4"/>
        <v/>
      </c>
      <c r="AJ33" s="150"/>
    </row>
    <row r="34" spans="1:36" ht="18" customHeight="1">
      <c r="A34" s="326"/>
      <c r="B34" s="223" t="s">
        <v>1684</v>
      </c>
      <c r="C34" s="237"/>
      <c r="D34" s="488">
        <f t="array" ref="D34:I37">ROUND(N35:S38*T35:T38,1)</f>
        <v>2</v>
      </c>
      <c r="E34" s="489">
        <v>2</v>
      </c>
      <c r="F34" s="489">
        <v>2</v>
      </c>
      <c r="G34" s="489">
        <v>4</v>
      </c>
      <c r="H34" s="489">
        <v>4</v>
      </c>
      <c r="I34" s="490">
        <v>4</v>
      </c>
      <c r="J34" s="389" t="s">
        <v>1937</v>
      </c>
      <c r="L34" s="494">
        <f>$E$5</f>
        <v>1</v>
      </c>
      <c r="N34" s="512">
        <f t="shared" ref="N34:S34" si="13">SUBTOTAL(9,N35:N38)</f>
        <v>8</v>
      </c>
      <c r="O34" s="513">
        <f t="shared" si="13"/>
        <v>8</v>
      </c>
      <c r="P34" s="513">
        <f t="shared" si="13"/>
        <v>8</v>
      </c>
      <c r="Q34" s="513">
        <f t="shared" si="13"/>
        <v>16</v>
      </c>
      <c r="R34" s="513">
        <f t="shared" si="13"/>
        <v>16</v>
      </c>
      <c r="S34" s="514">
        <f t="shared" si="13"/>
        <v>16</v>
      </c>
      <c r="T34" s="498"/>
      <c r="U34" s="557"/>
      <c r="X34" s="292" t="str">
        <f>B34</f>
        <v>5.1. 공청회/주민설명회</v>
      </c>
      <c r="Y34" s="37"/>
      <c r="Z34" s="39"/>
      <c r="AA34" s="37"/>
      <c r="AB34" s="117"/>
      <c r="AC34" s="37"/>
      <c r="AD34" s="37"/>
      <c r="AE34" s="556"/>
      <c r="AF34" s="500"/>
      <c r="AG34" s="501">
        <f t="array" aca="1" ref="AG34" ca="1">SUM(ROUNDDOWN(D60:I60*단가,0))</f>
        <v>5425644</v>
      </c>
      <c r="AH34" s="502"/>
      <c r="AI34" s="170" t="str">
        <f t="shared" si="4"/>
        <v>제 17 호표</v>
      </c>
      <c r="AJ34" s="150"/>
    </row>
    <row r="35" spans="1:36" ht="18" customHeight="1">
      <c r="A35" s="326"/>
      <c r="B35" s="223" t="s">
        <v>1988</v>
      </c>
      <c r="C35" s="237"/>
      <c r="D35" s="488">
        <v>2</v>
      </c>
      <c r="E35" s="489">
        <v>2</v>
      </c>
      <c r="F35" s="489">
        <v>2</v>
      </c>
      <c r="G35" s="489">
        <v>4</v>
      </c>
      <c r="H35" s="489">
        <v>4</v>
      </c>
      <c r="I35" s="490">
        <v>4</v>
      </c>
      <c r="J35" s="389" t="s">
        <v>1094</v>
      </c>
      <c r="L35" s="494">
        <f>$E$5</f>
        <v>1</v>
      </c>
      <c r="N35" s="495">
        <v>2</v>
      </c>
      <c r="O35" s="496">
        <v>2</v>
      </c>
      <c r="P35" s="496">
        <v>2</v>
      </c>
      <c r="Q35" s="496">
        <v>4</v>
      </c>
      <c r="R35" s="496">
        <v>4</v>
      </c>
      <c r="S35" s="497">
        <v>4</v>
      </c>
      <c r="T35" s="498">
        <v>1</v>
      </c>
      <c r="U35" s="555" t="s">
        <v>826</v>
      </c>
      <c r="X35" s="292" t="str">
        <f>B35</f>
        <v>5.2. 주민간담회/시민계획단</v>
      </c>
      <c r="Y35" s="37"/>
      <c r="Z35" s="39"/>
      <c r="AA35" s="37"/>
      <c r="AB35" s="117"/>
      <c r="AC35" s="37"/>
      <c r="AD35" s="37"/>
      <c r="AE35" s="556"/>
      <c r="AF35" s="500"/>
      <c r="AG35" s="501">
        <f t="array" aca="1" ref="AG35" ca="1">SUM(ROUNDDOWN(D61:I61*단가,0))</f>
        <v>5425644</v>
      </c>
      <c r="AH35" s="502"/>
      <c r="AI35" s="170" t="str">
        <f t="shared" si="4"/>
        <v>제 18 호표</v>
      </c>
      <c r="AJ35" s="150"/>
    </row>
    <row r="36" spans="1:36" ht="18" customHeight="1">
      <c r="A36" s="326"/>
      <c r="B36" s="223" t="s">
        <v>1989</v>
      </c>
      <c r="C36" s="237"/>
      <c r="D36" s="488">
        <v>2</v>
      </c>
      <c r="E36" s="489">
        <v>2</v>
      </c>
      <c r="F36" s="489">
        <v>2</v>
      </c>
      <c r="G36" s="489">
        <v>4</v>
      </c>
      <c r="H36" s="489">
        <v>4</v>
      </c>
      <c r="I36" s="490">
        <v>4</v>
      </c>
      <c r="J36" s="389" t="s">
        <v>1094</v>
      </c>
      <c r="L36" s="494">
        <f>$E$5</f>
        <v>1</v>
      </c>
      <c r="N36" s="495">
        <v>2</v>
      </c>
      <c r="O36" s="496">
        <v>2</v>
      </c>
      <c r="P36" s="496">
        <v>2</v>
      </c>
      <c r="Q36" s="496">
        <v>4</v>
      </c>
      <c r="R36" s="496">
        <v>4</v>
      </c>
      <c r="S36" s="497">
        <v>4</v>
      </c>
      <c r="T36" s="498">
        <v>1</v>
      </c>
      <c r="U36" s="555" t="s">
        <v>825</v>
      </c>
      <c r="X36" s="292" t="str">
        <f>B36</f>
        <v>5.3. 위원회심의 지원</v>
      </c>
      <c r="Y36" s="37"/>
      <c r="Z36" s="39"/>
      <c r="AA36" s="37"/>
      <c r="AB36" s="117"/>
      <c r="AC36" s="37"/>
      <c r="AD36" s="37"/>
      <c r="AE36" s="556"/>
      <c r="AF36" s="500"/>
      <c r="AG36" s="501">
        <f t="array" aca="1" ref="AG36" ca="1">SUM(ROUNDDOWN(D62:I62*단가,0))</f>
        <v>5425644</v>
      </c>
      <c r="AH36" s="502"/>
      <c r="AI36" s="170" t="str">
        <f t="shared" si="4"/>
        <v>제 19 호표</v>
      </c>
      <c r="AJ36" s="150"/>
    </row>
    <row r="37" spans="1:36" ht="18" customHeight="1" thickBot="1">
      <c r="A37" s="326"/>
      <c r="B37" s="223" t="s">
        <v>1990</v>
      </c>
      <c r="C37" s="237"/>
      <c r="D37" s="488">
        <v>2</v>
      </c>
      <c r="E37" s="489">
        <v>2</v>
      </c>
      <c r="F37" s="489">
        <v>2</v>
      </c>
      <c r="G37" s="489">
        <v>4</v>
      </c>
      <c r="H37" s="489">
        <v>4</v>
      </c>
      <c r="I37" s="490">
        <v>4</v>
      </c>
      <c r="J37" s="612" t="s">
        <v>1094</v>
      </c>
      <c r="L37" s="494">
        <f>$E$5</f>
        <v>1</v>
      </c>
      <c r="N37" s="495">
        <v>2</v>
      </c>
      <c r="O37" s="496">
        <v>2</v>
      </c>
      <c r="P37" s="496">
        <v>2</v>
      </c>
      <c r="Q37" s="496">
        <v>4</v>
      </c>
      <c r="R37" s="496">
        <v>4</v>
      </c>
      <c r="S37" s="497">
        <v>4</v>
      </c>
      <c r="T37" s="498">
        <v>1</v>
      </c>
      <c r="U37" s="555" t="s">
        <v>824</v>
      </c>
      <c r="X37" s="292" t="str">
        <f>B37</f>
        <v>5.4. 관계기관 협의</v>
      </c>
      <c r="Y37" s="37"/>
      <c r="Z37" s="39"/>
      <c r="AA37" s="37"/>
      <c r="AB37" s="117"/>
      <c r="AC37" s="37"/>
      <c r="AD37" s="37"/>
      <c r="AE37" s="556"/>
      <c r="AF37" s="500"/>
      <c r="AG37" s="501">
        <f t="array" aca="1" ref="AG37" ca="1">SUM(ROUNDDOWN(D63:I63*단가,0))</f>
        <v>5425644</v>
      </c>
      <c r="AH37" s="502"/>
      <c r="AI37" s="170" t="str">
        <f t="shared" si="4"/>
        <v>제 20 호표</v>
      </c>
      <c r="AJ37" s="150"/>
    </row>
    <row r="38" spans="1:36" ht="18" customHeight="1" thickBot="1">
      <c r="A38" s="326"/>
      <c r="B38" s="14" t="s">
        <v>30</v>
      </c>
      <c r="C38" s="250"/>
      <c r="D38" s="249" t="s">
        <v>822</v>
      </c>
      <c r="E38" s="251"/>
      <c r="F38" s="251"/>
      <c r="G38" s="251"/>
      <c r="H38" s="251"/>
      <c r="I38" s="250"/>
      <c r="J38" s="175" t="s">
        <v>31</v>
      </c>
      <c r="N38" s="495">
        <v>2</v>
      </c>
      <c r="O38" s="496">
        <v>2</v>
      </c>
      <c r="P38" s="496">
        <v>2</v>
      </c>
      <c r="Q38" s="496">
        <v>4</v>
      </c>
      <c r="R38" s="496">
        <v>4</v>
      </c>
      <c r="S38" s="497">
        <v>4</v>
      </c>
      <c r="T38" s="498">
        <v>1</v>
      </c>
      <c r="U38" s="555" t="s">
        <v>823</v>
      </c>
      <c r="X38" s="292"/>
      <c r="Y38" s="37"/>
      <c r="Z38" s="39"/>
      <c r="AA38" s="37"/>
      <c r="AB38" s="117"/>
      <c r="AC38" s="37"/>
      <c r="AD38" s="37"/>
      <c r="AE38" s="556"/>
      <c r="AF38" s="500"/>
      <c r="AG38" s="501"/>
      <c r="AH38" s="502"/>
      <c r="AI38" s="170"/>
      <c r="AJ38" s="150"/>
    </row>
    <row r="39" spans="1:36" ht="18" customHeight="1">
      <c r="A39" s="326"/>
      <c r="B39" s="73" t="str">
        <f t="shared" ref="B39:B63" si="14">B13</f>
        <v>1. 현황조사</v>
      </c>
      <c r="C39" s="72"/>
      <c r="D39" s="576">
        <f t="shared" ref="D39:I39" si="15">SUBTOTAL(9,D40:D45)</f>
        <v>5.5</v>
      </c>
      <c r="E39" s="575">
        <f t="shared" si="15"/>
        <v>8.6999999999999993</v>
      </c>
      <c r="F39" s="575">
        <f t="shared" si="15"/>
        <v>25.4</v>
      </c>
      <c r="G39" s="575">
        <f t="shared" si="15"/>
        <v>40.5</v>
      </c>
      <c r="H39" s="575">
        <f t="shared" si="15"/>
        <v>51.499999999999993</v>
      </c>
      <c r="I39" s="574">
        <f t="shared" si="15"/>
        <v>54.800000000000004</v>
      </c>
      <c r="J39" s="73"/>
      <c r="N39" s="515"/>
      <c r="O39" s="515"/>
      <c r="P39" s="515"/>
      <c r="Q39" s="515"/>
      <c r="R39" s="515"/>
      <c r="S39" s="515"/>
      <c r="T39" s="515"/>
      <c r="U39" s="516"/>
      <c r="X39" s="290" t="s">
        <v>10</v>
      </c>
      <c r="Y39" s="129"/>
      <c r="Z39" s="130"/>
      <c r="AA39" s="124"/>
      <c r="AB39" s="131"/>
      <c r="AC39" s="124"/>
      <c r="AD39" s="124"/>
      <c r="AE39" s="476"/>
      <c r="AF39" s="476"/>
      <c r="AG39" s="517">
        <f>SUBTOTAL(9,AG40:AG42)</f>
        <v>0</v>
      </c>
      <c r="AH39" s="478"/>
      <c r="AI39" s="124"/>
      <c r="AJ39" s="124"/>
    </row>
    <row r="40" spans="1:36" ht="18" customHeight="1">
      <c r="A40" s="326">
        <v>1</v>
      </c>
      <c r="B40" s="409" t="str">
        <f t="shared" si="14"/>
        <v>1.1. 도시현황조사</v>
      </c>
      <c r="C40" s="237"/>
      <c r="D40" s="488">
        <f t="array" ref="D40:I45">ROUND(D14:I19*L14:L19*E5,1)</f>
        <v>1.2</v>
      </c>
      <c r="E40" s="489">
        <v>1.9</v>
      </c>
      <c r="F40" s="489">
        <v>7.9</v>
      </c>
      <c r="G40" s="489">
        <v>12</v>
      </c>
      <c r="H40" s="489">
        <v>19.899999999999999</v>
      </c>
      <c r="I40" s="490">
        <v>21.5</v>
      </c>
      <c r="J40" s="74"/>
      <c r="N40" s="518"/>
      <c r="O40" s="518"/>
      <c r="P40" s="518"/>
      <c r="Q40" s="518"/>
      <c r="R40" s="518"/>
      <c r="S40" s="518"/>
      <c r="T40" s="518"/>
      <c r="X40" s="128" t="str">
        <f>"여비("&amp;TEXT(AB40,"#인 ×")&amp;TEXT(AC40,"#일 ×")&amp;TEXT(AD40,"###,###원)")</f>
        <v>여비(3인 ×5일 ×100,000원)</v>
      </c>
      <c r="Y40" s="78"/>
      <c r="Z40" s="52"/>
      <c r="AA40" s="51"/>
      <c r="AB40" s="146">
        <v>3</v>
      </c>
      <c r="AC40" s="146">
        <v>5</v>
      </c>
      <c r="AD40" s="519">
        <v>100000</v>
      </c>
      <c r="AE40" s="550"/>
      <c r="AF40" s="550"/>
      <c r="AG40" s="520">
        <v>0</v>
      </c>
      <c r="AH40" s="521"/>
      <c r="AI40" s="51"/>
      <c r="AJ40" s="51"/>
    </row>
    <row r="41" spans="1:36" ht="18" customHeight="1">
      <c r="A41" s="326">
        <v>2</v>
      </c>
      <c r="B41" s="409" t="str">
        <f t="shared" si="14"/>
        <v>1.2. 관련계획조사</v>
      </c>
      <c r="C41" s="237"/>
      <c r="D41" s="488">
        <v>0.8</v>
      </c>
      <c r="E41" s="489">
        <v>1.3</v>
      </c>
      <c r="F41" s="489">
        <v>1.7</v>
      </c>
      <c r="G41" s="489">
        <v>4.7</v>
      </c>
      <c r="H41" s="489">
        <v>4.7</v>
      </c>
      <c r="I41" s="490">
        <v>6.3</v>
      </c>
      <c r="J41" s="74"/>
      <c r="N41" s="522"/>
      <c r="O41" s="522"/>
      <c r="P41" s="522"/>
      <c r="Q41" s="522"/>
      <c r="R41" s="522"/>
      <c r="S41" s="522"/>
      <c r="T41" s="522"/>
      <c r="X41" s="79" t="s">
        <v>46</v>
      </c>
      <c r="Y41" s="79"/>
      <c r="Z41" s="39"/>
      <c r="AA41" s="37"/>
      <c r="AB41" s="117"/>
      <c r="AC41" s="37"/>
      <c r="AD41" s="37"/>
      <c r="AE41" s="523"/>
      <c r="AF41" s="523"/>
      <c r="AG41" s="524">
        <v>0</v>
      </c>
      <c r="AH41" s="525"/>
      <c r="AI41" s="37"/>
      <c r="AJ41" s="37"/>
    </row>
    <row r="42" spans="1:36" ht="18" customHeight="1">
      <c r="A42" s="326">
        <v>3</v>
      </c>
      <c r="B42" s="223" t="str">
        <f t="shared" si="14"/>
        <v>1.3. 교통관계조사</v>
      </c>
      <c r="C42" s="237"/>
      <c r="D42" s="488">
        <v>0.9</v>
      </c>
      <c r="E42" s="489">
        <v>1.4</v>
      </c>
      <c r="F42" s="489">
        <v>3.1</v>
      </c>
      <c r="G42" s="489">
        <v>6.3</v>
      </c>
      <c r="H42" s="489">
        <v>6.1</v>
      </c>
      <c r="I42" s="490">
        <v>6.3</v>
      </c>
      <c r="J42" s="74"/>
      <c r="N42" s="522"/>
      <c r="O42" s="522"/>
      <c r="P42" s="522"/>
      <c r="Q42" s="522"/>
      <c r="R42" s="522"/>
      <c r="S42" s="522"/>
      <c r="T42" s="522"/>
      <c r="X42" s="132" t="s">
        <v>821</v>
      </c>
      <c r="Y42" s="132"/>
      <c r="Z42" s="38"/>
      <c r="AA42" s="38"/>
      <c r="AB42" s="116"/>
      <c r="AC42" s="38"/>
      <c r="AD42" s="38"/>
      <c r="AE42" s="526"/>
      <c r="AF42" s="526"/>
      <c r="AG42" s="527">
        <v>0</v>
      </c>
      <c r="AH42" s="528"/>
      <c r="AI42" s="38"/>
      <c r="AJ42" s="38"/>
    </row>
    <row r="43" spans="1:36" ht="18" customHeight="1">
      <c r="A43" s="326">
        <v>4</v>
      </c>
      <c r="B43" s="223" t="str">
        <f t="shared" si="14"/>
        <v>1.4. 시설관계조사</v>
      </c>
      <c r="C43" s="237"/>
      <c r="D43" s="488">
        <v>0.9</v>
      </c>
      <c r="E43" s="489">
        <v>1.4</v>
      </c>
      <c r="F43" s="489">
        <v>4.7</v>
      </c>
      <c r="G43" s="489">
        <v>6.4</v>
      </c>
      <c r="H43" s="489">
        <v>7.9</v>
      </c>
      <c r="I43" s="490">
        <v>8</v>
      </c>
      <c r="J43" s="74"/>
      <c r="N43" s="522"/>
      <c r="O43" s="522"/>
      <c r="P43" s="522"/>
      <c r="Q43" s="522"/>
      <c r="R43" s="522"/>
      <c r="S43" s="522"/>
      <c r="T43" s="522"/>
      <c r="X43" s="127" t="s">
        <v>47</v>
      </c>
      <c r="Y43" s="123"/>
      <c r="Z43" s="123"/>
      <c r="AA43" s="123"/>
      <c r="AB43" s="123"/>
      <c r="AC43" s="123"/>
      <c r="AD43" s="123"/>
      <c r="AE43" s="473"/>
      <c r="AF43" s="473"/>
      <c r="AG43" s="608">
        <f ca="1">SUBTOTAL(9,AG44:AG45)</f>
        <v>430535471</v>
      </c>
      <c r="AH43" s="475"/>
      <c r="AI43" s="123"/>
      <c r="AJ43" s="123"/>
    </row>
    <row r="44" spans="1:36" ht="18" customHeight="1">
      <c r="A44" s="326">
        <v>5</v>
      </c>
      <c r="B44" s="223" t="str">
        <f t="shared" si="14"/>
        <v>1.5. 공급처리시설 관계조사</v>
      </c>
      <c r="C44" s="237"/>
      <c r="D44" s="488">
        <v>0.8</v>
      </c>
      <c r="E44" s="489">
        <v>1.3</v>
      </c>
      <c r="F44" s="489">
        <v>3.3</v>
      </c>
      <c r="G44" s="489">
        <v>4.7</v>
      </c>
      <c r="H44" s="489">
        <v>5</v>
      </c>
      <c r="I44" s="490">
        <v>4.7</v>
      </c>
      <c r="J44" s="74"/>
      <c r="L44" s="171"/>
      <c r="N44" s="522"/>
      <c r="O44" s="522"/>
      <c r="P44" s="522"/>
      <c r="Q44" s="522"/>
      <c r="R44" s="522"/>
      <c r="S44" s="522"/>
      <c r="T44" s="522"/>
      <c r="X44" s="133" t="s">
        <v>861</v>
      </c>
      <c r="Y44" s="124"/>
      <c r="Z44" s="134"/>
      <c r="AA44" s="124"/>
      <c r="AB44" s="131"/>
      <c r="AC44" s="124"/>
      <c r="AD44" s="476"/>
      <c r="AE44" s="476"/>
      <c r="AF44" s="190">
        <v>1.1499999999999999</v>
      </c>
      <c r="AG44" s="517">
        <f ca="1">ROUNDDOWN(AG12*AF44,0)</f>
        <v>275830525</v>
      </c>
      <c r="AH44" s="478"/>
      <c r="AI44" s="124"/>
      <c r="AJ44" s="124"/>
    </row>
    <row r="45" spans="1:36" ht="18" customHeight="1" thickBot="1">
      <c r="A45" s="326">
        <v>6</v>
      </c>
      <c r="B45" s="409" t="str">
        <f t="shared" si="14"/>
        <v>1.6. 주거수준조사</v>
      </c>
      <c r="C45" s="237"/>
      <c r="D45" s="488">
        <v>0.9</v>
      </c>
      <c r="E45" s="489">
        <v>1.4</v>
      </c>
      <c r="F45" s="489">
        <v>4.7</v>
      </c>
      <c r="G45" s="489">
        <v>6.4</v>
      </c>
      <c r="H45" s="489">
        <v>7.9</v>
      </c>
      <c r="I45" s="490">
        <v>8</v>
      </c>
      <c r="J45" s="74"/>
      <c r="M45" s="171"/>
      <c r="N45" s="531"/>
      <c r="O45" s="531"/>
      <c r="P45" s="531"/>
      <c r="Q45" s="531"/>
      <c r="R45" s="531"/>
      <c r="S45" s="531"/>
      <c r="T45" s="531"/>
      <c r="X45" s="135" t="s">
        <v>862</v>
      </c>
      <c r="Y45" s="136"/>
      <c r="Z45" s="137"/>
      <c r="AA45" s="136"/>
      <c r="AB45" s="138"/>
      <c r="AC45" s="136"/>
      <c r="AD45" s="529"/>
      <c r="AE45" s="529"/>
      <c r="AF45" s="191">
        <v>0.3</v>
      </c>
      <c r="AG45" s="549">
        <f ca="1">ROUNDDOWN((AG12+AG44)*AF45,0)</f>
        <v>154704946</v>
      </c>
      <c r="AH45" s="530"/>
      <c r="AI45" s="136"/>
      <c r="AJ45" s="136"/>
    </row>
    <row r="46" spans="1:36" ht="18" customHeight="1">
      <c r="A46" s="326"/>
      <c r="B46" s="222" t="str">
        <f t="shared" si="14"/>
        <v>2. 생활권설정 및 분석</v>
      </c>
      <c r="C46" s="47"/>
      <c r="D46" s="548">
        <f t="shared" ref="D46:I46" si="16">SUBTOTAL(9,D47:D49)</f>
        <v>7.7</v>
      </c>
      <c r="E46" s="547">
        <f t="shared" si="16"/>
        <v>12.2</v>
      </c>
      <c r="F46" s="547">
        <f t="shared" si="16"/>
        <v>29.900000000000002</v>
      </c>
      <c r="G46" s="547">
        <f t="shared" si="16"/>
        <v>49</v>
      </c>
      <c r="H46" s="547">
        <f t="shared" si="16"/>
        <v>55.199999999999996</v>
      </c>
      <c r="I46" s="546">
        <f t="shared" si="16"/>
        <v>76.5</v>
      </c>
      <c r="J46" s="13"/>
      <c r="N46" s="522"/>
      <c r="O46" s="522"/>
      <c r="P46" s="522"/>
      <c r="Q46" s="522"/>
      <c r="R46" s="522"/>
      <c r="S46" s="522"/>
      <c r="T46" s="522"/>
    </row>
    <row r="47" spans="1:36" ht="18" customHeight="1">
      <c r="A47" s="326">
        <v>7</v>
      </c>
      <c r="B47" s="223" t="str">
        <f t="shared" si="14"/>
        <v>2.1. 현황종합분석</v>
      </c>
      <c r="C47" s="237"/>
      <c r="D47" s="488">
        <f t="array" ref="D47:I49">ROUND(D21:I23*L21:L23*E5,1)</f>
        <v>3.3</v>
      </c>
      <c r="E47" s="489">
        <v>5.2</v>
      </c>
      <c r="F47" s="489">
        <v>12.8</v>
      </c>
      <c r="G47" s="489">
        <v>22.4</v>
      </c>
      <c r="H47" s="489">
        <v>23.9</v>
      </c>
      <c r="I47" s="490">
        <v>32.9</v>
      </c>
      <c r="J47" s="74"/>
      <c r="N47" s="522"/>
      <c r="O47" s="522"/>
      <c r="P47" s="522"/>
      <c r="Q47" s="522"/>
      <c r="R47" s="522"/>
      <c r="S47" s="522"/>
      <c r="T47" s="522"/>
    </row>
    <row r="48" spans="1:36" ht="18" customHeight="1" thickBot="1">
      <c r="A48" s="326">
        <v>8</v>
      </c>
      <c r="B48" s="223" t="str">
        <f t="shared" si="14"/>
        <v>2.2. 주거생활권 구분</v>
      </c>
      <c r="C48" s="237"/>
      <c r="D48" s="488">
        <v>1.1000000000000001</v>
      </c>
      <c r="E48" s="489">
        <v>1.8</v>
      </c>
      <c r="F48" s="489">
        <v>4.3</v>
      </c>
      <c r="G48" s="489">
        <v>4.2</v>
      </c>
      <c r="H48" s="489">
        <v>7.4</v>
      </c>
      <c r="I48" s="490">
        <v>10.7</v>
      </c>
      <c r="J48" s="74"/>
      <c r="N48" s="522"/>
      <c r="O48" s="522"/>
      <c r="P48" s="522"/>
      <c r="Q48" s="522"/>
      <c r="R48" s="522"/>
      <c r="S48" s="522"/>
      <c r="T48" s="522"/>
      <c r="X48" s="66" t="s">
        <v>18</v>
      </c>
      <c r="Y48" s="2"/>
      <c r="Z48" s="2"/>
      <c r="AA48" s="2"/>
      <c r="AB48" s="3"/>
      <c r="AC48" s="4"/>
      <c r="AD48" s="3"/>
      <c r="AE48" s="4"/>
      <c r="AF48" s="3"/>
      <c r="AG48" s="4"/>
      <c r="AH48" s="3"/>
      <c r="AI48" s="4"/>
      <c r="AJ48" s="2"/>
    </row>
    <row r="49" spans="1:37" ht="18" customHeight="1">
      <c r="A49" s="326">
        <v>9</v>
      </c>
      <c r="B49" s="223" t="str">
        <f t="shared" si="14"/>
        <v>2.3. 주거환경지표 분석</v>
      </c>
      <c r="C49" s="237"/>
      <c r="D49" s="488">
        <v>3.3</v>
      </c>
      <c r="E49" s="489">
        <v>5.2</v>
      </c>
      <c r="F49" s="489">
        <v>12.8</v>
      </c>
      <c r="G49" s="489">
        <v>22.4</v>
      </c>
      <c r="H49" s="489">
        <v>23.9</v>
      </c>
      <c r="I49" s="490">
        <v>32.9</v>
      </c>
      <c r="J49" s="74"/>
      <c r="N49" s="522"/>
      <c r="O49" s="522"/>
      <c r="P49" s="522"/>
      <c r="Q49" s="522"/>
      <c r="R49" s="522"/>
      <c r="S49" s="522"/>
      <c r="T49" s="522"/>
      <c r="X49" s="765" t="s">
        <v>19</v>
      </c>
      <c r="Y49" s="755" t="s">
        <v>20</v>
      </c>
      <c r="Z49" s="755" t="s">
        <v>21</v>
      </c>
      <c r="AA49" s="755" t="s">
        <v>820</v>
      </c>
      <c r="AB49" s="5" t="s">
        <v>22</v>
      </c>
      <c r="AC49" s="5"/>
      <c r="AD49" s="5" t="s">
        <v>23</v>
      </c>
      <c r="AE49" s="5"/>
      <c r="AF49" s="5" t="s">
        <v>24</v>
      </c>
      <c r="AG49" s="5"/>
      <c r="AH49" s="5" t="s">
        <v>25</v>
      </c>
      <c r="AI49" s="5"/>
      <c r="AJ49" s="755" t="s">
        <v>26</v>
      </c>
    </row>
    <row r="50" spans="1:37" ht="18" customHeight="1" thickBot="1">
      <c r="A50" s="326"/>
      <c r="B50" s="222" t="str">
        <f t="shared" si="14"/>
        <v>3. 생활권계획</v>
      </c>
      <c r="C50" s="47"/>
      <c r="D50" s="548">
        <f t="shared" ref="D50:I50" si="17">SUBTOTAL(9,D51:D55)</f>
        <v>9.6000000000000014</v>
      </c>
      <c r="E50" s="547">
        <f t="shared" si="17"/>
        <v>15.699999999999998</v>
      </c>
      <c r="F50" s="547">
        <f t="shared" si="17"/>
        <v>34.4</v>
      </c>
      <c r="G50" s="547">
        <f t="shared" si="17"/>
        <v>63.5</v>
      </c>
      <c r="H50" s="547">
        <f t="shared" si="17"/>
        <v>82.399999999999991</v>
      </c>
      <c r="I50" s="546">
        <f t="shared" si="17"/>
        <v>81.600000000000009</v>
      </c>
      <c r="J50" s="13"/>
      <c r="N50" s="522"/>
      <c r="O50" s="522"/>
      <c r="P50" s="522"/>
      <c r="Q50" s="522"/>
      <c r="R50" s="522"/>
      <c r="S50" s="522"/>
      <c r="T50" s="522"/>
      <c r="X50" s="766"/>
      <c r="Y50" s="756"/>
      <c r="Z50" s="756"/>
      <c r="AA50" s="756"/>
      <c r="AB50" s="67" t="s">
        <v>27</v>
      </c>
      <c r="AC50" s="67" t="s">
        <v>28</v>
      </c>
      <c r="AD50" s="67" t="s">
        <v>27</v>
      </c>
      <c r="AE50" s="67" t="s">
        <v>28</v>
      </c>
      <c r="AF50" s="67" t="s">
        <v>27</v>
      </c>
      <c r="AG50" s="67" t="s">
        <v>28</v>
      </c>
      <c r="AH50" s="67" t="s">
        <v>27</v>
      </c>
      <c r="AI50" s="67" t="s">
        <v>28</v>
      </c>
      <c r="AJ50" s="756"/>
    </row>
    <row r="51" spans="1:37" ht="18" customHeight="1" thickTop="1">
      <c r="A51" s="326">
        <v>10</v>
      </c>
      <c r="B51" s="223" t="str">
        <f t="shared" si="14"/>
        <v>3.1. 주거지관리방향</v>
      </c>
      <c r="C51" s="237"/>
      <c r="D51" s="488">
        <f t="array" ref="D51:I55">ROUND(D25:I29*L25:L29*E5,1)</f>
        <v>2</v>
      </c>
      <c r="E51" s="489">
        <v>3.3</v>
      </c>
      <c r="F51" s="489">
        <v>6.4</v>
      </c>
      <c r="G51" s="489">
        <v>10.5</v>
      </c>
      <c r="H51" s="489">
        <v>15.5</v>
      </c>
      <c r="I51" s="490">
        <v>15</v>
      </c>
      <c r="J51" s="23"/>
      <c r="N51" s="522"/>
      <c r="O51" s="522"/>
      <c r="P51" s="522"/>
      <c r="Q51" s="522"/>
      <c r="R51" s="522"/>
      <c r="S51" s="522"/>
      <c r="T51" s="522"/>
      <c r="X51" s="532" t="str">
        <f ca="1">"제 " &amp; AJ51 &amp; " 호표  "&amp; OFFSET($A$1,MATCH(AJ51,$A:$A,0)-1,1)</f>
        <v>제 1 호표  1.1. 도시현황조사</v>
      </c>
      <c r="Y51" s="533"/>
      <c r="Z51" s="148"/>
      <c r="AA51" s="148"/>
      <c r="AB51" s="149"/>
      <c r="AC51" s="149"/>
      <c r="AD51" s="149"/>
      <c r="AE51" s="149"/>
      <c r="AF51" s="149"/>
      <c r="AG51" s="149"/>
      <c r="AH51" s="149"/>
      <c r="AI51" s="149"/>
      <c r="AJ51" s="325">
        <v>1</v>
      </c>
    </row>
    <row r="52" spans="1:37" ht="18" customHeight="1">
      <c r="A52" s="326">
        <v>11</v>
      </c>
      <c r="B52" s="223" t="str">
        <f t="shared" si="14"/>
        <v>3.2. 주거지 관리계획</v>
      </c>
      <c r="C52" s="237"/>
      <c r="D52" s="488">
        <v>2</v>
      </c>
      <c r="E52" s="489">
        <v>3.3</v>
      </c>
      <c r="F52" s="489">
        <v>6.4</v>
      </c>
      <c r="G52" s="489">
        <v>10.5</v>
      </c>
      <c r="H52" s="489">
        <v>15.5</v>
      </c>
      <c r="I52" s="490">
        <v>15</v>
      </c>
      <c r="J52" s="23"/>
      <c r="N52" s="522"/>
      <c r="O52" s="522"/>
      <c r="P52" s="522"/>
      <c r="Q52" s="522"/>
      <c r="R52" s="522"/>
      <c r="S52" s="522"/>
      <c r="T52" s="522"/>
      <c r="X52" s="140" t="s">
        <v>43</v>
      </c>
      <c r="Y52" s="172">
        <v>3</v>
      </c>
      <c r="Z52" s="534">
        <f ca="1">OFFSET($A$1,MATCH(AJ51,$A:$A,0)-1,Y52)</f>
        <v>1.2</v>
      </c>
      <c r="AA52" s="141" t="s">
        <v>29</v>
      </c>
      <c r="AB52" s="142">
        <f t="shared" ref="AB52:AC57" ca="1" si="18">AD52</f>
        <v>467217</v>
      </c>
      <c r="AC52" s="142">
        <f t="shared" ca="1" si="18"/>
        <v>560660</v>
      </c>
      <c r="AD52" s="142">
        <f ca="1">기술사</f>
        <v>467217</v>
      </c>
      <c r="AE52" s="142">
        <f t="shared" ref="AE52:AE57" ca="1" si="19">ROUNDDOWN(Z52*AB52,0)</f>
        <v>560660</v>
      </c>
      <c r="AF52" s="142"/>
      <c r="AG52" s="142"/>
      <c r="AH52" s="142"/>
      <c r="AI52" s="142"/>
      <c r="AJ52" s="114"/>
    </row>
    <row r="53" spans="1:37" ht="18" customHeight="1">
      <c r="A53" s="326">
        <v>12</v>
      </c>
      <c r="B53" s="223" t="str">
        <f t="shared" si="14"/>
        <v>3.3. 생활권종합계획</v>
      </c>
      <c r="C53" s="237"/>
      <c r="D53" s="488">
        <v>3.3</v>
      </c>
      <c r="E53" s="489">
        <v>5.3</v>
      </c>
      <c r="F53" s="489">
        <v>13.1</v>
      </c>
      <c r="G53" s="489">
        <v>28.7</v>
      </c>
      <c r="H53" s="489">
        <v>31</v>
      </c>
      <c r="I53" s="490">
        <v>31.9</v>
      </c>
      <c r="J53" s="23"/>
      <c r="N53" s="522"/>
      <c r="O53" s="522"/>
      <c r="P53" s="522"/>
      <c r="Q53" s="522"/>
      <c r="R53" s="522"/>
      <c r="S53" s="522"/>
      <c r="T53" s="522"/>
      <c r="X53" s="143" t="s">
        <v>32</v>
      </c>
      <c r="Y53" s="173">
        <v>4</v>
      </c>
      <c r="Z53" s="234">
        <f ca="1">OFFSET($A$1,MATCH(AJ51,$A:$A,0)-1,Y53)</f>
        <v>1.9</v>
      </c>
      <c r="AA53" s="144" t="s">
        <v>29</v>
      </c>
      <c r="AB53" s="118">
        <f t="shared" ca="1" si="18"/>
        <v>373353</v>
      </c>
      <c r="AC53" s="118">
        <f t="shared" ca="1" si="18"/>
        <v>709370</v>
      </c>
      <c r="AD53" s="118">
        <f ca="1">특급</f>
        <v>373353</v>
      </c>
      <c r="AE53" s="118">
        <f t="shared" ca="1" si="19"/>
        <v>709370</v>
      </c>
      <c r="AF53" s="118"/>
      <c r="AG53" s="118"/>
      <c r="AH53" s="118"/>
      <c r="AI53" s="118"/>
      <c r="AJ53" s="115"/>
    </row>
    <row r="54" spans="1:37" ht="18" customHeight="1">
      <c r="A54" s="326">
        <v>13</v>
      </c>
      <c r="B54" s="223" t="str">
        <f t="shared" si="14"/>
        <v>3.4. 부문별 계획(주거환경관리, 생활권기반시설, 생활가로, 특성관리)</v>
      </c>
      <c r="C54" s="237"/>
      <c r="D54" s="488">
        <v>2</v>
      </c>
      <c r="E54" s="489">
        <v>3.1</v>
      </c>
      <c r="F54" s="489">
        <v>6.4</v>
      </c>
      <c r="G54" s="489">
        <v>10.5</v>
      </c>
      <c r="H54" s="489">
        <v>15.6</v>
      </c>
      <c r="I54" s="490">
        <v>15</v>
      </c>
      <c r="J54" s="23"/>
      <c r="N54" s="522"/>
      <c r="O54" s="522"/>
      <c r="P54" s="522"/>
      <c r="Q54" s="522"/>
      <c r="R54" s="522"/>
      <c r="S54" s="522"/>
      <c r="T54" s="522"/>
      <c r="X54" s="145" t="s">
        <v>39</v>
      </c>
      <c r="Y54" s="173">
        <v>5</v>
      </c>
      <c r="Z54" s="234">
        <f ca="1">OFFSET($A$1,MATCH(AJ51,$A:$A,0)-1,Y54)</f>
        <v>7.9</v>
      </c>
      <c r="AA54" s="144" t="s">
        <v>29</v>
      </c>
      <c r="AB54" s="118">
        <f t="shared" ca="1" si="18"/>
        <v>310884</v>
      </c>
      <c r="AC54" s="118">
        <f t="shared" ca="1" si="18"/>
        <v>2455983</v>
      </c>
      <c r="AD54" s="118">
        <f ca="1">고급</f>
        <v>310884</v>
      </c>
      <c r="AE54" s="118">
        <f t="shared" ca="1" si="19"/>
        <v>2455983</v>
      </c>
      <c r="AF54" s="118"/>
      <c r="AG54" s="118"/>
      <c r="AH54" s="118"/>
      <c r="AI54" s="118"/>
      <c r="AJ54" s="115"/>
    </row>
    <row r="55" spans="1:37" ht="18" customHeight="1">
      <c r="A55" s="326">
        <v>14</v>
      </c>
      <c r="B55" s="223" t="str">
        <f t="shared" si="14"/>
        <v>3.5. 주택수급계획</v>
      </c>
      <c r="C55" s="237"/>
      <c r="D55" s="488">
        <v>0.3</v>
      </c>
      <c r="E55" s="489">
        <v>0.7</v>
      </c>
      <c r="F55" s="489">
        <v>2.1</v>
      </c>
      <c r="G55" s="489">
        <v>3.3</v>
      </c>
      <c r="H55" s="489">
        <v>4.8</v>
      </c>
      <c r="I55" s="490">
        <v>4.7</v>
      </c>
      <c r="J55" s="74"/>
      <c r="N55" s="522"/>
      <c r="O55" s="522"/>
      <c r="P55" s="522"/>
      <c r="Q55" s="522"/>
      <c r="R55" s="522"/>
      <c r="S55" s="522"/>
      <c r="T55" s="522"/>
      <c r="X55" s="145" t="s">
        <v>40</v>
      </c>
      <c r="Y55" s="173">
        <v>6</v>
      </c>
      <c r="Z55" s="234">
        <f ca="1">OFFSET($A$1,MATCH(AJ51,$A:$A,0)-1,Y55)</f>
        <v>12</v>
      </c>
      <c r="AA55" s="144" t="s">
        <v>29</v>
      </c>
      <c r="AB55" s="118">
        <f t="shared" ca="1" si="18"/>
        <v>295138</v>
      </c>
      <c r="AC55" s="118">
        <f t="shared" ca="1" si="18"/>
        <v>3541656</v>
      </c>
      <c r="AD55" s="118">
        <f ca="1">중급</f>
        <v>295138</v>
      </c>
      <c r="AE55" s="118">
        <f t="shared" ca="1" si="19"/>
        <v>3541656</v>
      </c>
      <c r="AF55" s="118"/>
      <c r="AG55" s="118"/>
      <c r="AH55" s="118"/>
      <c r="AI55" s="118"/>
      <c r="AJ55" s="115"/>
    </row>
    <row r="56" spans="1:37" ht="18" customHeight="1">
      <c r="A56" s="326"/>
      <c r="B56" s="222" t="str">
        <f t="shared" si="14"/>
        <v>4. 성과품 작성</v>
      </c>
      <c r="C56" s="47"/>
      <c r="D56" s="548">
        <f t="shared" ref="D56:I56" si="20">SUBTOTAL(9,D57:D58)</f>
        <v>2.6</v>
      </c>
      <c r="E56" s="547">
        <f t="shared" si="20"/>
        <v>4.3</v>
      </c>
      <c r="F56" s="547">
        <f t="shared" si="20"/>
        <v>9.6000000000000014</v>
      </c>
      <c r="G56" s="547">
        <f t="shared" si="20"/>
        <v>17.7</v>
      </c>
      <c r="H56" s="547">
        <f t="shared" si="20"/>
        <v>24.7</v>
      </c>
      <c r="I56" s="546">
        <f t="shared" si="20"/>
        <v>24.7</v>
      </c>
      <c r="J56" s="13"/>
      <c r="N56" s="522"/>
      <c r="O56" s="522"/>
      <c r="P56" s="522"/>
      <c r="Q56" s="522"/>
      <c r="R56" s="522"/>
      <c r="S56" s="522"/>
      <c r="T56" s="522"/>
      <c r="X56" s="145" t="s">
        <v>41</v>
      </c>
      <c r="Y56" s="173">
        <v>7</v>
      </c>
      <c r="Z56" s="234">
        <f ca="1">OFFSET($A$1,MATCH(AJ51,$A:$A,0)-1,Y56)</f>
        <v>19.899999999999999</v>
      </c>
      <c r="AA56" s="144" t="s">
        <v>29</v>
      </c>
      <c r="AB56" s="118">
        <f t="shared" ca="1" si="18"/>
        <v>235459</v>
      </c>
      <c r="AC56" s="118">
        <f t="shared" ca="1" si="18"/>
        <v>4685634</v>
      </c>
      <c r="AD56" s="118">
        <f ca="1">초급</f>
        <v>235459</v>
      </c>
      <c r="AE56" s="118">
        <f t="shared" ca="1" si="19"/>
        <v>4685634</v>
      </c>
      <c r="AF56" s="118"/>
      <c r="AG56" s="118"/>
      <c r="AH56" s="118"/>
      <c r="AI56" s="118"/>
      <c r="AJ56" s="115"/>
    </row>
    <row r="57" spans="1:37" ht="18" customHeight="1">
      <c r="A57" s="326">
        <v>15</v>
      </c>
      <c r="B57" s="223" t="str">
        <f t="shared" si="14"/>
        <v>4.1. 보고서 작성 및 편집</v>
      </c>
      <c r="C57" s="237"/>
      <c r="D57" s="488">
        <f t="array" ref="D57:I58">ROUND(D31:I32*L31:L32*E5,1)</f>
        <v>1.8</v>
      </c>
      <c r="E57" s="489">
        <v>2.8</v>
      </c>
      <c r="F57" s="489">
        <v>6.4</v>
      </c>
      <c r="G57" s="489">
        <v>10.6</v>
      </c>
      <c r="H57" s="489">
        <v>10.5</v>
      </c>
      <c r="I57" s="490">
        <v>7</v>
      </c>
      <c r="J57" s="23"/>
      <c r="L57" s="171"/>
      <c r="N57" s="522"/>
      <c r="O57" s="522"/>
      <c r="P57" s="522"/>
      <c r="Q57" s="522"/>
      <c r="R57" s="522"/>
      <c r="S57" s="522"/>
      <c r="T57" s="522"/>
      <c r="V57" s="171"/>
      <c r="W57" s="171"/>
      <c r="X57" s="319" t="s">
        <v>42</v>
      </c>
      <c r="Y57" s="174">
        <v>8</v>
      </c>
      <c r="Z57" s="235">
        <f ca="1">OFFSET($A$1,MATCH(AJ51,$A:$A,0)-1,Y57)</f>
        <v>21.5</v>
      </c>
      <c r="AA57" s="322" t="s">
        <v>29</v>
      </c>
      <c r="AB57" s="323">
        <f t="shared" ca="1" si="18"/>
        <v>250087</v>
      </c>
      <c r="AC57" s="323">
        <f t="shared" ca="1" si="18"/>
        <v>5376870</v>
      </c>
      <c r="AD57" s="323">
        <f ca="1">보조원</f>
        <v>250087</v>
      </c>
      <c r="AE57" s="323">
        <f t="shared" ca="1" si="19"/>
        <v>5376870</v>
      </c>
      <c r="AF57" s="323"/>
      <c r="AG57" s="323"/>
      <c r="AH57" s="323"/>
      <c r="AI57" s="323"/>
      <c r="AJ57" s="324"/>
    </row>
    <row r="58" spans="1:37" ht="18" customHeight="1">
      <c r="A58" s="326">
        <v>16</v>
      </c>
      <c r="B58" s="259" t="str">
        <f t="shared" si="14"/>
        <v>4.2. 관련도서 작성</v>
      </c>
      <c r="C58" s="264"/>
      <c r="D58" s="491">
        <v>0.8</v>
      </c>
      <c r="E58" s="492">
        <v>1.5</v>
      </c>
      <c r="F58" s="492">
        <v>3.2</v>
      </c>
      <c r="G58" s="492">
        <v>7.1</v>
      </c>
      <c r="H58" s="492">
        <v>14.2</v>
      </c>
      <c r="I58" s="493">
        <v>17.7</v>
      </c>
      <c r="J58" s="43"/>
      <c r="L58" s="171"/>
      <c r="M58" s="171"/>
      <c r="N58" s="531"/>
      <c r="O58" s="531"/>
      <c r="P58" s="531"/>
      <c r="Q58" s="531"/>
      <c r="R58" s="531"/>
      <c r="S58" s="531"/>
      <c r="T58" s="531"/>
      <c r="V58" s="171"/>
      <c r="W58" s="171"/>
      <c r="X58" s="139" t="s">
        <v>17</v>
      </c>
      <c r="Y58" s="68"/>
      <c r="Z58" s="69"/>
      <c r="AA58" s="70"/>
      <c r="AB58" s="71"/>
      <c r="AC58" s="71">
        <f ca="1">SUBTOTAL(9,AC52:AC57)</f>
        <v>17330173</v>
      </c>
      <c r="AD58" s="71"/>
      <c r="AE58" s="71">
        <f ca="1">SUBTOTAL(9,AE52:AE57)</f>
        <v>17330173</v>
      </c>
      <c r="AF58" s="71"/>
      <c r="AG58" s="71"/>
      <c r="AH58" s="71"/>
      <c r="AI58" s="71"/>
      <c r="AJ58" s="68"/>
    </row>
    <row r="59" spans="1:37" ht="18" customHeight="1">
      <c r="A59" s="326"/>
      <c r="B59" s="222" t="str">
        <f t="shared" si="14"/>
        <v>5. 기술협의</v>
      </c>
      <c r="C59" s="47"/>
      <c r="D59" s="503">
        <f t="shared" ref="D59:I59" si="21">SUBTOTAL(9,D60:D63)</f>
        <v>8</v>
      </c>
      <c r="E59" s="504">
        <f t="shared" si="21"/>
        <v>8</v>
      </c>
      <c r="F59" s="504">
        <f t="shared" si="21"/>
        <v>8</v>
      </c>
      <c r="G59" s="504">
        <f t="shared" si="21"/>
        <v>16</v>
      </c>
      <c r="H59" s="504">
        <f t="shared" si="21"/>
        <v>16</v>
      </c>
      <c r="I59" s="505">
        <f t="shared" si="21"/>
        <v>16</v>
      </c>
      <c r="J59" s="287"/>
      <c r="L59" s="171"/>
      <c r="M59" s="171"/>
      <c r="N59" s="522"/>
      <c r="O59" s="522"/>
      <c r="P59" s="522"/>
      <c r="Q59" s="522"/>
      <c r="R59" s="522"/>
      <c r="S59" s="522"/>
      <c r="T59" s="522"/>
      <c r="V59" s="171"/>
      <c r="W59" s="171"/>
      <c r="X59" s="532" t="str">
        <f ca="1">"제 " &amp; AJ59 &amp; " 호표  "&amp; OFFSET($A$1,MATCH(AJ59,$A:$A,0)-1,1)</f>
        <v>제 2 호표  1.2. 관련계획조사</v>
      </c>
      <c r="Y59" s="533"/>
      <c r="Z59" s="148"/>
      <c r="AA59" s="148"/>
      <c r="AB59" s="149"/>
      <c r="AC59" s="149"/>
      <c r="AD59" s="149"/>
      <c r="AE59" s="149"/>
      <c r="AF59" s="149"/>
      <c r="AG59" s="149"/>
      <c r="AH59" s="149"/>
      <c r="AI59" s="149"/>
      <c r="AJ59" s="325">
        <f>AJ51+1</f>
        <v>2</v>
      </c>
    </row>
    <row r="60" spans="1:37" ht="18" customHeight="1">
      <c r="A60" s="326">
        <v>17</v>
      </c>
      <c r="B60" s="223" t="str">
        <f t="shared" si="14"/>
        <v>5.1. 공청회/주민설명회</v>
      </c>
      <c r="C60" s="237"/>
      <c r="D60" s="488">
        <f t="array" ref="D60:I63">ROUND(D34:I37*L34:L37*I5,1)</f>
        <v>2</v>
      </c>
      <c r="E60" s="489">
        <v>2</v>
      </c>
      <c r="F60" s="489">
        <v>2</v>
      </c>
      <c r="G60" s="489">
        <v>4</v>
      </c>
      <c r="H60" s="489">
        <v>4</v>
      </c>
      <c r="I60" s="490">
        <v>4</v>
      </c>
      <c r="J60" s="74"/>
      <c r="L60" s="171"/>
      <c r="M60" s="171"/>
      <c r="N60" s="522"/>
      <c r="O60" s="522"/>
      <c r="P60" s="522"/>
      <c r="Q60" s="522"/>
      <c r="R60" s="522"/>
      <c r="S60" s="522"/>
      <c r="T60" s="522"/>
      <c r="V60" s="171"/>
      <c r="W60" s="171"/>
      <c r="X60" s="140" t="s">
        <v>43</v>
      </c>
      <c r="Y60" s="172">
        <v>3</v>
      </c>
      <c r="Z60" s="534">
        <f ca="1">OFFSET($A$1,MATCH(AJ59,$A:$A,0)-1,Y60)</f>
        <v>0.8</v>
      </c>
      <c r="AA60" s="141" t="s">
        <v>29</v>
      </c>
      <c r="AB60" s="142">
        <f t="shared" ref="AB60:AC65" ca="1" si="22">AD60</f>
        <v>467217</v>
      </c>
      <c r="AC60" s="142">
        <f t="shared" ca="1" si="22"/>
        <v>373773</v>
      </c>
      <c r="AD60" s="142">
        <f ca="1">기술사</f>
        <v>467217</v>
      </c>
      <c r="AE60" s="142">
        <f t="shared" ref="AE60:AE65" ca="1" si="23">ROUNDDOWN(Z60*AB60,0)</f>
        <v>373773</v>
      </c>
      <c r="AF60" s="142"/>
      <c r="AG60" s="142"/>
      <c r="AH60" s="142"/>
      <c r="AI60" s="142"/>
      <c r="AJ60" s="114"/>
    </row>
    <row r="61" spans="1:37" ht="18" customHeight="1">
      <c r="A61" s="326">
        <v>18</v>
      </c>
      <c r="B61" s="223" t="str">
        <f t="shared" si="14"/>
        <v>5.2. 주민간담회/시민계획단</v>
      </c>
      <c r="C61" s="237"/>
      <c r="D61" s="488">
        <v>2</v>
      </c>
      <c r="E61" s="489">
        <v>2</v>
      </c>
      <c r="F61" s="489">
        <v>2</v>
      </c>
      <c r="G61" s="489">
        <v>4</v>
      </c>
      <c r="H61" s="489">
        <v>4</v>
      </c>
      <c r="I61" s="490">
        <v>4</v>
      </c>
      <c r="J61" s="74"/>
      <c r="L61" s="171"/>
      <c r="M61" s="171"/>
      <c r="N61" s="522"/>
      <c r="O61" s="522"/>
      <c r="P61" s="522"/>
      <c r="Q61" s="522"/>
      <c r="R61" s="522"/>
      <c r="S61" s="522"/>
      <c r="T61" s="522"/>
      <c r="V61" s="171"/>
      <c r="W61" s="171"/>
      <c r="X61" s="143" t="s">
        <v>32</v>
      </c>
      <c r="Y61" s="173">
        <v>4</v>
      </c>
      <c r="Z61" s="234">
        <f ca="1">OFFSET($A$1,MATCH(AJ59,$A:$A,0)-1,Y61)</f>
        <v>1.3</v>
      </c>
      <c r="AA61" s="144" t="s">
        <v>29</v>
      </c>
      <c r="AB61" s="118">
        <f t="shared" ca="1" si="22"/>
        <v>373353</v>
      </c>
      <c r="AC61" s="118">
        <f t="shared" ca="1" si="22"/>
        <v>485358</v>
      </c>
      <c r="AD61" s="118">
        <f ca="1">특급</f>
        <v>373353</v>
      </c>
      <c r="AE61" s="118">
        <f t="shared" ca="1" si="23"/>
        <v>485358</v>
      </c>
      <c r="AF61" s="118"/>
      <c r="AG61" s="118"/>
      <c r="AH61" s="118"/>
      <c r="AI61" s="118"/>
      <c r="AJ61" s="115"/>
    </row>
    <row r="62" spans="1:37" ht="18" customHeight="1">
      <c r="A62" s="326">
        <v>19</v>
      </c>
      <c r="B62" s="223" t="str">
        <f t="shared" si="14"/>
        <v>5.3. 위원회심의 지원</v>
      </c>
      <c r="C62" s="237"/>
      <c r="D62" s="488">
        <v>2</v>
      </c>
      <c r="E62" s="489">
        <v>2</v>
      </c>
      <c r="F62" s="489">
        <v>2</v>
      </c>
      <c r="G62" s="489">
        <v>4</v>
      </c>
      <c r="H62" s="489">
        <v>4</v>
      </c>
      <c r="I62" s="490">
        <v>4</v>
      </c>
      <c r="J62" s="74"/>
      <c r="K62" s="171" t="s">
        <v>14</v>
      </c>
      <c r="L62" s="171"/>
      <c r="M62" s="171"/>
      <c r="N62" s="545"/>
      <c r="O62" s="545"/>
      <c r="P62" s="545"/>
      <c r="Q62" s="545"/>
      <c r="R62" s="545"/>
      <c r="S62" s="545"/>
      <c r="T62" s="545"/>
      <c r="V62" s="171"/>
      <c r="W62" s="171"/>
      <c r="X62" s="145" t="s">
        <v>39</v>
      </c>
      <c r="Y62" s="173">
        <v>5</v>
      </c>
      <c r="Z62" s="234">
        <f ca="1">OFFSET($A$1,MATCH(AJ59,$A:$A,0)-1,Y62)</f>
        <v>1.7</v>
      </c>
      <c r="AA62" s="144" t="s">
        <v>29</v>
      </c>
      <c r="AB62" s="118">
        <f t="shared" ca="1" si="22"/>
        <v>310884</v>
      </c>
      <c r="AC62" s="118">
        <f t="shared" ca="1" si="22"/>
        <v>528502</v>
      </c>
      <c r="AD62" s="118">
        <f ca="1">고급</f>
        <v>310884</v>
      </c>
      <c r="AE62" s="118">
        <f t="shared" ca="1" si="23"/>
        <v>528502</v>
      </c>
      <c r="AF62" s="118"/>
      <c r="AG62" s="118"/>
      <c r="AH62" s="118"/>
      <c r="AI62" s="118"/>
      <c r="AJ62" s="115"/>
      <c r="AK62" s="171"/>
    </row>
    <row r="63" spans="1:37" ht="18" customHeight="1" thickBot="1">
      <c r="A63" s="326">
        <v>20</v>
      </c>
      <c r="B63" s="388" t="str">
        <f t="shared" si="14"/>
        <v>5.4. 관계기관 협의</v>
      </c>
      <c r="C63" s="401"/>
      <c r="D63" s="535">
        <v>2</v>
      </c>
      <c r="E63" s="536">
        <v>2</v>
      </c>
      <c r="F63" s="536">
        <v>2</v>
      </c>
      <c r="G63" s="536">
        <v>4</v>
      </c>
      <c r="H63" s="536">
        <v>4</v>
      </c>
      <c r="I63" s="537">
        <v>4</v>
      </c>
      <c r="J63" s="176"/>
      <c r="K63" s="171" t="s">
        <v>14</v>
      </c>
      <c r="L63" s="171"/>
      <c r="M63" s="171"/>
      <c r="N63" s="531"/>
      <c r="O63" s="531"/>
      <c r="P63" s="531"/>
      <c r="Q63" s="531"/>
      <c r="R63" s="531"/>
      <c r="S63" s="531"/>
      <c r="T63" s="531"/>
      <c r="U63" s="840"/>
      <c r="V63" s="171"/>
      <c r="W63" s="171"/>
      <c r="X63" s="145" t="s">
        <v>40</v>
      </c>
      <c r="Y63" s="173">
        <v>6</v>
      </c>
      <c r="Z63" s="234">
        <f ca="1">OFFSET($A$1,MATCH(AJ59,$A:$A,0)-1,Y63)</f>
        <v>4.7</v>
      </c>
      <c r="AA63" s="144" t="s">
        <v>29</v>
      </c>
      <c r="AB63" s="118">
        <f t="shared" ca="1" si="22"/>
        <v>295138</v>
      </c>
      <c r="AC63" s="118">
        <f t="shared" ca="1" si="22"/>
        <v>1387148</v>
      </c>
      <c r="AD63" s="118">
        <f ca="1">중급</f>
        <v>295138</v>
      </c>
      <c r="AE63" s="118">
        <f t="shared" ca="1" si="23"/>
        <v>1387148</v>
      </c>
      <c r="AF63" s="118"/>
      <c r="AG63" s="118"/>
      <c r="AH63" s="118"/>
      <c r="AI63" s="118"/>
      <c r="AJ63" s="115"/>
      <c r="AK63" s="171"/>
    </row>
    <row r="64" spans="1:37" ht="18" customHeight="1">
      <c r="A64" s="326"/>
      <c r="B64" s="85" t="s">
        <v>15</v>
      </c>
      <c r="C64" s="9" t="s">
        <v>1994</v>
      </c>
      <c r="K64" s="171" t="s">
        <v>14</v>
      </c>
      <c r="L64" s="171"/>
      <c r="M64" s="171"/>
      <c r="N64" s="522"/>
      <c r="O64" s="522"/>
      <c r="P64" s="522"/>
      <c r="Q64" s="522"/>
      <c r="R64" s="522"/>
      <c r="S64" s="522"/>
      <c r="T64" s="522"/>
      <c r="U64" s="840"/>
      <c r="V64" s="171"/>
      <c r="W64" s="171"/>
      <c r="X64" s="145" t="s">
        <v>41</v>
      </c>
      <c r="Y64" s="173">
        <v>7</v>
      </c>
      <c r="Z64" s="234">
        <f ca="1">OFFSET($A$1,MATCH(AJ59,$A:$A,0)-1,Y64)</f>
        <v>4.7</v>
      </c>
      <c r="AA64" s="144" t="s">
        <v>29</v>
      </c>
      <c r="AB64" s="118">
        <f t="shared" ca="1" si="22"/>
        <v>235459</v>
      </c>
      <c r="AC64" s="118">
        <f t="shared" ca="1" si="22"/>
        <v>1106657</v>
      </c>
      <c r="AD64" s="118">
        <f ca="1">초급</f>
        <v>235459</v>
      </c>
      <c r="AE64" s="118">
        <f t="shared" ca="1" si="23"/>
        <v>1106657</v>
      </c>
      <c r="AF64" s="118"/>
      <c r="AG64" s="118"/>
      <c r="AH64" s="118"/>
      <c r="AI64" s="118"/>
      <c r="AJ64" s="115"/>
      <c r="AK64" s="171"/>
    </row>
    <row r="65" spans="1:37" ht="18" customHeight="1">
      <c r="A65" s="326"/>
      <c r="B65" s="8"/>
      <c r="C65" s="9" t="s">
        <v>1097</v>
      </c>
      <c r="K65" s="171" t="s">
        <v>14</v>
      </c>
      <c r="L65" s="171"/>
      <c r="M65" s="171"/>
      <c r="N65" s="522"/>
      <c r="O65" s="522"/>
      <c r="P65" s="522"/>
      <c r="Q65" s="522"/>
      <c r="R65" s="522"/>
      <c r="S65" s="522"/>
      <c r="T65" s="522"/>
      <c r="U65" s="840"/>
      <c r="V65" s="171"/>
      <c r="W65" s="171"/>
      <c r="X65" s="319" t="s">
        <v>42</v>
      </c>
      <c r="Y65" s="174">
        <v>8</v>
      </c>
      <c r="Z65" s="235">
        <f ca="1">OFFSET($A$1,MATCH(AJ59,$A:$A,0)-1,Y65)</f>
        <v>6.3</v>
      </c>
      <c r="AA65" s="322" t="s">
        <v>29</v>
      </c>
      <c r="AB65" s="323">
        <f t="shared" ca="1" si="22"/>
        <v>250087</v>
      </c>
      <c r="AC65" s="323">
        <f t="shared" ca="1" si="22"/>
        <v>1575548</v>
      </c>
      <c r="AD65" s="323">
        <f ca="1">보조원</f>
        <v>250087</v>
      </c>
      <c r="AE65" s="323">
        <f t="shared" ca="1" si="23"/>
        <v>1575548</v>
      </c>
      <c r="AF65" s="323"/>
      <c r="AG65" s="323"/>
      <c r="AH65" s="323"/>
      <c r="AI65" s="323"/>
      <c r="AJ65" s="324"/>
      <c r="AK65" s="171"/>
    </row>
    <row r="66" spans="1:37" ht="18" customHeight="1">
      <c r="A66" s="326"/>
      <c r="B66" s="80"/>
      <c r="C66" s="9"/>
      <c r="K66" s="171" t="s">
        <v>818</v>
      </c>
      <c r="L66" s="171"/>
      <c r="M66" s="171"/>
      <c r="V66" s="171"/>
      <c r="W66" s="171"/>
      <c r="X66" s="139" t="s">
        <v>819</v>
      </c>
      <c r="Y66" s="68"/>
      <c r="Z66" s="69"/>
      <c r="AA66" s="70"/>
      <c r="AB66" s="71"/>
      <c r="AC66" s="71">
        <f ca="1">SUBTOTAL(9,AC60:AC65)</f>
        <v>5456986</v>
      </c>
      <c r="AD66" s="71"/>
      <c r="AE66" s="71">
        <f ca="1">SUBTOTAL(9,AE60:AE65)</f>
        <v>5456986</v>
      </c>
      <c r="AF66" s="71"/>
      <c r="AG66" s="71"/>
      <c r="AH66" s="71"/>
      <c r="AI66" s="71"/>
      <c r="AJ66" s="68"/>
      <c r="AK66" s="171"/>
    </row>
    <row r="67" spans="1:37" ht="18" customHeight="1">
      <c r="A67" s="326"/>
      <c r="C67" s="9"/>
      <c r="K67" s="171" t="s">
        <v>14</v>
      </c>
      <c r="L67" s="171"/>
      <c r="M67" s="171"/>
      <c r="V67" s="171"/>
      <c r="W67" s="171"/>
      <c r="X67" s="532" t="str">
        <f ca="1">"제 " &amp; AJ67 &amp; " 호표  "&amp; OFFSET($A$1,MATCH(AJ67,$A:$A,0)-1,1)</f>
        <v>제 3 호표  1.3. 교통관계조사</v>
      </c>
      <c r="Y67" s="533"/>
      <c r="Z67" s="148"/>
      <c r="AA67" s="148"/>
      <c r="AB67" s="149"/>
      <c r="AC67" s="149"/>
      <c r="AD67" s="149"/>
      <c r="AE67" s="149"/>
      <c r="AF67" s="149"/>
      <c r="AG67" s="149"/>
      <c r="AH67" s="149"/>
      <c r="AI67" s="149"/>
      <c r="AJ67" s="325">
        <f>AJ59+1</f>
        <v>3</v>
      </c>
      <c r="AK67" s="171"/>
    </row>
    <row r="68" spans="1:37" ht="18" customHeight="1">
      <c r="A68" s="326"/>
      <c r="B68" s="8"/>
      <c r="C68" s="9"/>
      <c r="K68" s="171" t="s">
        <v>14</v>
      </c>
      <c r="L68" s="171"/>
      <c r="M68" s="171"/>
      <c r="V68" s="171"/>
      <c r="W68" s="171"/>
      <c r="X68" s="140" t="s">
        <v>43</v>
      </c>
      <c r="Y68" s="172">
        <v>3</v>
      </c>
      <c r="Z68" s="534">
        <f ca="1">OFFSET($A$1,MATCH(AJ67,$A:$A,0)-1,Y68)</f>
        <v>0.9</v>
      </c>
      <c r="AA68" s="141" t="s">
        <v>29</v>
      </c>
      <c r="AB68" s="142">
        <f t="shared" ref="AB68:AC73" ca="1" si="24">AD68</f>
        <v>467217</v>
      </c>
      <c r="AC68" s="142">
        <f t="shared" ca="1" si="24"/>
        <v>420495</v>
      </c>
      <c r="AD68" s="142">
        <f ca="1">기술사</f>
        <v>467217</v>
      </c>
      <c r="AE68" s="142">
        <f t="shared" ref="AE68:AE73" ca="1" si="25">ROUNDDOWN(Z68*AB68,0)</f>
        <v>420495</v>
      </c>
      <c r="AF68" s="142"/>
      <c r="AG68" s="142"/>
      <c r="AH68" s="142"/>
      <c r="AI68" s="142"/>
      <c r="AJ68" s="114"/>
      <c r="AK68" s="171"/>
    </row>
    <row r="69" spans="1:37" ht="18" customHeight="1">
      <c r="A69" s="326"/>
      <c r="B69" s="80"/>
      <c r="C69" s="9"/>
      <c r="K69" s="171" t="s">
        <v>14</v>
      </c>
      <c r="L69" s="171"/>
      <c r="M69" s="171"/>
      <c r="V69" s="171"/>
      <c r="W69" s="171"/>
      <c r="X69" s="143" t="s">
        <v>32</v>
      </c>
      <c r="Y69" s="173">
        <v>4</v>
      </c>
      <c r="Z69" s="234">
        <f ca="1">OFFSET($A$1,MATCH(AJ67,$A:$A,0)-1,Y69)</f>
        <v>1.4</v>
      </c>
      <c r="AA69" s="144" t="s">
        <v>29</v>
      </c>
      <c r="AB69" s="118">
        <f t="shared" ca="1" si="24"/>
        <v>373353</v>
      </c>
      <c r="AC69" s="118">
        <f t="shared" ca="1" si="24"/>
        <v>522694</v>
      </c>
      <c r="AD69" s="118">
        <f ca="1">특급</f>
        <v>373353</v>
      </c>
      <c r="AE69" s="118">
        <f t="shared" ca="1" si="25"/>
        <v>522694</v>
      </c>
      <c r="AF69" s="118"/>
      <c r="AG69" s="118"/>
      <c r="AH69" s="118"/>
      <c r="AI69" s="118"/>
      <c r="AJ69" s="115"/>
      <c r="AK69" s="171"/>
    </row>
    <row r="70" spans="1:37" ht="18" customHeight="1">
      <c r="C70" s="9"/>
      <c r="K70" s="171" t="s">
        <v>14</v>
      </c>
      <c r="L70" s="171"/>
      <c r="M70" s="171"/>
      <c r="V70" s="171"/>
      <c r="W70" s="171"/>
      <c r="X70" s="145" t="s">
        <v>39</v>
      </c>
      <c r="Y70" s="173">
        <v>5</v>
      </c>
      <c r="Z70" s="234">
        <f ca="1">OFFSET($A$1,MATCH(AJ67,$A:$A,0)-1,Y70)</f>
        <v>3.1</v>
      </c>
      <c r="AA70" s="144" t="s">
        <v>29</v>
      </c>
      <c r="AB70" s="118">
        <f t="shared" ca="1" si="24"/>
        <v>310884</v>
      </c>
      <c r="AC70" s="118">
        <f t="shared" ca="1" si="24"/>
        <v>963740</v>
      </c>
      <c r="AD70" s="118">
        <f ca="1">고급</f>
        <v>310884</v>
      </c>
      <c r="AE70" s="118">
        <f t="shared" ca="1" si="25"/>
        <v>963740</v>
      </c>
      <c r="AF70" s="118"/>
      <c r="AG70" s="118"/>
      <c r="AH70" s="118"/>
      <c r="AI70" s="118"/>
      <c r="AJ70" s="115"/>
      <c r="AK70" s="171"/>
    </row>
    <row r="71" spans="1:37" ht="18" customHeight="1">
      <c r="K71" s="171" t="s">
        <v>14</v>
      </c>
      <c r="L71" s="171"/>
      <c r="M71" s="171"/>
      <c r="V71" s="171"/>
      <c r="W71" s="171"/>
      <c r="X71" s="145" t="s">
        <v>40</v>
      </c>
      <c r="Y71" s="173">
        <v>6</v>
      </c>
      <c r="Z71" s="234">
        <f ca="1">OFFSET($A$1,MATCH(AJ67,$A:$A,0)-1,Y71)</f>
        <v>6.3</v>
      </c>
      <c r="AA71" s="144" t="s">
        <v>29</v>
      </c>
      <c r="AB71" s="118">
        <f t="shared" ca="1" si="24"/>
        <v>295138</v>
      </c>
      <c r="AC71" s="118">
        <f t="shared" ca="1" si="24"/>
        <v>1859369</v>
      </c>
      <c r="AD71" s="118">
        <f ca="1">중급</f>
        <v>295138</v>
      </c>
      <c r="AE71" s="118">
        <f t="shared" ca="1" si="25"/>
        <v>1859369</v>
      </c>
      <c r="AF71" s="118"/>
      <c r="AG71" s="118"/>
      <c r="AH71" s="118"/>
      <c r="AI71" s="118"/>
      <c r="AJ71" s="115"/>
      <c r="AK71" s="171"/>
    </row>
    <row r="72" spans="1:37" ht="18" customHeight="1">
      <c r="K72" s="171" t="s">
        <v>815</v>
      </c>
      <c r="L72" s="171"/>
      <c r="M72" s="171"/>
      <c r="V72" s="171"/>
      <c r="W72" s="171"/>
      <c r="X72" s="145" t="s">
        <v>41</v>
      </c>
      <c r="Y72" s="173">
        <v>7</v>
      </c>
      <c r="Z72" s="234">
        <f ca="1">OFFSET($A$1,MATCH(AJ67,$A:$A,0)-1,Y72)</f>
        <v>6.1</v>
      </c>
      <c r="AA72" s="144" t="s">
        <v>29</v>
      </c>
      <c r="AB72" s="118">
        <f t="shared" ca="1" si="24"/>
        <v>235459</v>
      </c>
      <c r="AC72" s="118">
        <f t="shared" ca="1" si="24"/>
        <v>1436299</v>
      </c>
      <c r="AD72" s="118">
        <f ca="1">초급</f>
        <v>235459</v>
      </c>
      <c r="AE72" s="118">
        <f t="shared" ca="1" si="25"/>
        <v>1436299</v>
      </c>
      <c r="AF72" s="118"/>
      <c r="AG72" s="118"/>
      <c r="AH72" s="118"/>
      <c r="AI72" s="118"/>
      <c r="AJ72" s="115"/>
      <c r="AK72" s="171"/>
    </row>
    <row r="73" spans="1:37" ht="18" customHeight="1">
      <c r="K73" s="171" t="s">
        <v>815</v>
      </c>
      <c r="L73" s="171"/>
      <c r="M73" s="171"/>
      <c r="V73" s="171"/>
      <c r="W73" s="171"/>
      <c r="X73" s="319" t="s">
        <v>42</v>
      </c>
      <c r="Y73" s="174">
        <v>8</v>
      </c>
      <c r="Z73" s="235">
        <f ca="1">OFFSET($A$1,MATCH(AJ67,$A:$A,0)-1,Y73)</f>
        <v>6.3</v>
      </c>
      <c r="AA73" s="322" t="s">
        <v>29</v>
      </c>
      <c r="AB73" s="323">
        <f t="shared" ca="1" si="24"/>
        <v>250087</v>
      </c>
      <c r="AC73" s="323">
        <f t="shared" ca="1" si="24"/>
        <v>1575548</v>
      </c>
      <c r="AD73" s="323">
        <f ca="1">보조원</f>
        <v>250087</v>
      </c>
      <c r="AE73" s="323">
        <f t="shared" ca="1" si="25"/>
        <v>1575548</v>
      </c>
      <c r="AF73" s="323"/>
      <c r="AG73" s="323"/>
      <c r="AH73" s="323"/>
      <c r="AI73" s="323"/>
      <c r="AJ73" s="324"/>
      <c r="AK73" s="171"/>
    </row>
    <row r="74" spans="1:37" ht="18" customHeight="1">
      <c r="K74" s="171" t="s">
        <v>815</v>
      </c>
      <c r="L74" s="171"/>
      <c r="M74" s="171"/>
      <c r="V74" s="171"/>
      <c r="W74" s="171"/>
      <c r="X74" s="139" t="s">
        <v>817</v>
      </c>
      <c r="Y74" s="68"/>
      <c r="Z74" s="69"/>
      <c r="AA74" s="70"/>
      <c r="AB74" s="71"/>
      <c r="AC74" s="71">
        <f ca="1">SUBTOTAL(9,AC68:AC73)</f>
        <v>6778145</v>
      </c>
      <c r="AD74" s="71"/>
      <c r="AE74" s="71">
        <f ca="1">SUBTOTAL(9,AE68:AE73)</f>
        <v>6778145</v>
      </c>
      <c r="AF74" s="71"/>
      <c r="AG74" s="71"/>
      <c r="AH74" s="71"/>
      <c r="AI74" s="71"/>
      <c r="AJ74" s="68"/>
    </row>
    <row r="75" spans="1:37" ht="18" customHeight="1">
      <c r="K75" s="171" t="s">
        <v>815</v>
      </c>
      <c r="L75" s="171"/>
      <c r="M75" s="171"/>
      <c r="V75" s="171"/>
      <c r="W75" s="171"/>
      <c r="X75" s="532" t="str">
        <f ca="1">"제 " &amp; AJ75 &amp; " 호표  "&amp; OFFSET($A$1,MATCH(AJ75,$A:$A,0)-1,1)</f>
        <v>제 4 호표  1.4. 시설관계조사</v>
      </c>
      <c r="Y75" s="533"/>
      <c r="Z75" s="148"/>
      <c r="AA75" s="148"/>
      <c r="AB75" s="149"/>
      <c r="AC75" s="149"/>
      <c r="AD75" s="149"/>
      <c r="AE75" s="149"/>
      <c r="AF75" s="149"/>
      <c r="AG75" s="149"/>
      <c r="AH75" s="149"/>
      <c r="AI75" s="149"/>
      <c r="AJ75" s="325">
        <f>AJ67+1</f>
        <v>4</v>
      </c>
    </row>
    <row r="76" spans="1:37" ht="18" customHeight="1">
      <c r="K76" s="171" t="s">
        <v>815</v>
      </c>
      <c r="L76" s="171"/>
      <c r="M76" s="171"/>
      <c r="V76" s="171"/>
      <c r="W76" s="171"/>
      <c r="X76" s="140" t="s">
        <v>43</v>
      </c>
      <c r="Y76" s="172">
        <v>3</v>
      </c>
      <c r="Z76" s="534">
        <f ca="1">OFFSET($A$1,MATCH(AJ75,$A:$A,0)-1,Y76)</f>
        <v>0.9</v>
      </c>
      <c r="AA76" s="141" t="s">
        <v>29</v>
      </c>
      <c r="AB76" s="142">
        <f t="shared" ref="AB76:AC81" ca="1" si="26">AD76</f>
        <v>467217</v>
      </c>
      <c r="AC76" s="142">
        <f t="shared" ca="1" si="26"/>
        <v>420495</v>
      </c>
      <c r="AD76" s="142">
        <f ca="1">기술사</f>
        <v>467217</v>
      </c>
      <c r="AE76" s="142">
        <f t="shared" ref="AE76:AE81" ca="1" si="27">ROUNDDOWN(Z76*AB76,0)</f>
        <v>420495</v>
      </c>
      <c r="AF76" s="142"/>
      <c r="AG76" s="142"/>
      <c r="AH76" s="142"/>
      <c r="AI76" s="142"/>
      <c r="AJ76" s="114"/>
    </row>
    <row r="77" spans="1:37" ht="18" customHeight="1">
      <c r="K77" s="171" t="s">
        <v>815</v>
      </c>
      <c r="L77" s="171"/>
      <c r="M77" s="171"/>
      <c r="V77" s="171"/>
      <c r="W77" s="171"/>
      <c r="X77" s="143" t="s">
        <v>32</v>
      </c>
      <c r="Y77" s="173">
        <v>4</v>
      </c>
      <c r="Z77" s="234">
        <f ca="1">OFFSET($A$1,MATCH(AJ75,$A:$A,0)-1,Y77)</f>
        <v>1.4</v>
      </c>
      <c r="AA77" s="144" t="s">
        <v>29</v>
      </c>
      <c r="AB77" s="118">
        <f t="shared" ca="1" si="26"/>
        <v>373353</v>
      </c>
      <c r="AC77" s="118">
        <f t="shared" ca="1" si="26"/>
        <v>522694</v>
      </c>
      <c r="AD77" s="118">
        <f ca="1">특급</f>
        <v>373353</v>
      </c>
      <c r="AE77" s="118">
        <f t="shared" ca="1" si="27"/>
        <v>522694</v>
      </c>
      <c r="AF77" s="118"/>
      <c r="AG77" s="118"/>
      <c r="AH77" s="118"/>
      <c r="AI77" s="118"/>
      <c r="AJ77" s="115"/>
    </row>
    <row r="78" spans="1:37" ht="18" customHeight="1">
      <c r="K78" s="171" t="s">
        <v>702</v>
      </c>
      <c r="L78" s="171"/>
      <c r="M78" s="171"/>
      <c r="V78" s="171"/>
      <c r="W78" s="171"/>
      <c r="X78" s="145" t="s">
        <v>39</v>
      </c>
      <c r="Y78" s="173">
        <v>5</v>
      </c>
      <c r="Z78" s="234">
        <f ca="1">OFFSET($A$1,MATCH(AJ75,$A:$A,0)-1,Y78)</f>
        <v>4.7</v>
      </c>
      <c r="AA78" s="144" t="s">
        <v>29</v>
      </c>
      <c r="AB78" s="118">
        <f t="shared" ca="1" si="26"/>
        <v>310884</v>
      </c>
      <c r="AC78" s="118">
        <f t="shared" ca="1" si="26"/>
        <v>1461154</v>
      </c>
      <c r="AD78" s="118">
        <f ca="1">고급</f>
        <v>310884</v>
      </c>
      <c r="AE78" s="118">
        <f t="shared" ca="1" si="27"/>
        <v>1461154</v>
      </c>
      <c r="AF78" s="118"/>
      <c r="AG78" s="118"/>
      <c r="AH78" s="118"/>
      <c r="AI78" s="118"/>
      <c r="AJ78" s="115"/>
    </row>
    <row r="79" spans="1:37" ht="18" customHeight="1">
      <c r="K79" s="171" t="s">
        <v>702</v>
      </c>
      <c r="L79" s="171"/>
      <c r="M79" s="171"/>
      <c r="V79" s="171"/>
      <c r="W79" s="171"/>
      <c r="X79" s="145" t="s">
        <v>40</v>
      </c>
      <c r="Y79" s="173">
        <v>6</v>
      </c>
      <c r="Z79" s="234">
        <f ca="1">OFFSET($A$1,MATCH(AJ75,$A:$A,0)-1,Y79)</f>
        <v>6.4</v>
      </c>
      <c r="AA79" s="144" t="s">
        <v>29</v>
      </c>
      <c r="AB79" s="118">
        <f t="shared" ca="1" si="26"/>
        <v>295138</v>
      </c>
      <c r="AC79" s="118">
        <f t="shared" ca="1" si="26"/>
        <v>1888883</v>
      </c>
      <c r="AD79" s="118">
        <f ca="1">중급</f>
        <v>295138</v>
      </c>
      <c r="AE79" s="118">
        <f t="shared" ca="1" si="27"/>
        <v>1888883</v>
      </c>
      <c r="AF79" s="118"/>
      <c r="AG79" s="118"/>
      <c r="AH79" s="118"/>
      <c r="AI79" s="118"/>
      <c r="AJ79" s="115"/>
    </row>
    <row r="80" spans="1:37" ht="18" customHeight="1">
      <c r="K80" s="171" t="s">
        <v>815</v>
      </c>
      <c r="L80" s="171"/>
      <c r="M80" s="171"/>
      <c r="V80" s="171"/>
      <c r="W80" s="171"/>
      <c r="X80" s="145" t="s">
        <v>41</v>
      </c>
      <c r="Y80" s="173">
        <v>7</v>
      </c>
      <c r="Z80" s="234">
        <f ca="1">OFFSET($A$1,MATCH(AJ75,$A:$A,0)-1,Y80)</f>
        <v>7.9</v>
      </c>
      <c r="AA80" s="144" t="s">
        <v>29</v>
      </c>
      <c r="AB80" s="118">
        <f t="shared" ca="1" si="26"/>
        <v>235459</v>
      </c>
      <c r="AC80" s="118">
        <f t="shared" ca="1" si="26"/>
        <v>1860126</v>
      </c>
      <c r="AD80" s="118">
        <f ca="1">초급</f>
        <v>235459</v>
      </c>
      <c r="AE80" s="118">
        <f t="shared" ca="1" si="27"/>
        <v>1860126</v>
      </c>
      <c r="AF80" s="118"/>
      <c r="AG80" s="118"/>
      <c r="AH80" s="118"/>
      <c r="AI80" s="118"/>
      <c r="AJ80" s="115"/>
    </row>
    <row r="81" spans="11:36" ht="18" customHeight="1">
      <c r="K81" s="171" t="s">
        <v>815</v>
      </c>
      <c r="L81" s="171"/>
      <c r="M81" s="171"/>
      <c r="V81" s="171"/>
      <c r="W81" s="171"/>
      <c r="X81" s="319" t="s">
        <v>42</v>
      </c>
      <c r="Y81" s="174">
        <v>8</v>
      </c>
      <c r="Z81" s="235">
        <f ca="1">OFFSET($A$1,MATCH(AJ75,$A:$A,0)-1,Y81)</f>
        <v>8</v>
      </c>
      <c r="AA81" s="322" t="s">
        <v>29</v>
      </c>
      <c r="AB81" s="323">
        <f t="shared" ca="1" si="26"/>
        <v>250087</v>
      </c>
      <c r="AC81" s="323">
        <f t="shared" ca="1" si="26"/>
        <v>2000696</v>
      </c>
      <c r="AD81" s="323">
        <f ca="1">보조원</f>
        <v>250087</v>
      </c>
      <c r="AE81" s="323">
        <f t="shared" ca="1" si="27"/>
        <v>2000696</v>
      </c>
      <c r="AF81" s="323"/>
      <c r="AG81" s="323"/>
      <c r="AH81" s="323"/>
      <c r="AI81" s="323"/>
      <c r="AJ81" s="324"/>
    </row>
    <row r="82" spans="11:36" ht="18" customHeight="1">
      <c r="K82" s="171" t="s">
        <v>814</v>
      </c>
      <c r="L82" s="171"/>
      <c r="M82" s="171"/>
      <c r="V82" s="171"/>
      <c r="W82" s="171"/>
      <c r="X82" s="139" t="s">
        <v>700</v>
      </c>
      <c r="Y82" s="68"/>
      <c r="Z82" s="69"/>
      <c r="AA82" s="70"/>
      <c r="AB82" s="71"/>
      <c r="AC82" s="71">
        <f ca="1">SUBTOTAL(9,AC76:AC81)</f>
        <v>8154048</v>
      </c>
      <c r="AD82" s="71"/>
      <c r="AE82" s="71">
        <f ca="1">SUBTOTAL(9,AE76:AE81)</f>
        <v>8154048</v>
      </c>
      <c r="AF82" s="71"/>
      <c r="AG82" s="71"/>
      <c r="AH82" s="71"/>
      <c r="AI82" s="71"/>
      <c r="AJ82" s="68"/>
    </row>
    <row r="83" spans="11:36" ht="18" customHeight="1">
      <c r="K83" s="171" t="s">
        <v>815</v>
      </c>
      <c r="L83" s="171"/>
      <c r="M83" s="171"/>
      <c r="V83" s="171"/>
      <c r="W83" s="171"/>
      <c r="X83" s="532" t="str">
        <f ca="1">"제 " &amp; AJ83 &amp; " 호표  "&amp; OFFSET($A$1,MATCH(AJ83,$A:$A,0)-1,1)</f>
        <v>제 5 호표  1.5. 공급처리시설 관계조사</v>
      </c>
      <c r="Y83" s="533"/>
      <c r="Z83" s="148"/>
      <c r="AA83" s="148"/>
      <c r="AB83" s="149"/>
      <c r="AC83" s="149"/>
      <c r="AD83" s="149"/>
      <c r="AE83" s="149"/>
      <c r="AF83" s="149"/>
      <c r="AG83" s="149"/>
      <c r="AH83" s="149"/>
      <c r="AI83" s="149"/>
      <c r="AJ83" s="325">
        <f>AJ75+1</f>
        <v>5</v>
      </c>
    </row>
    <row r="84" spans="11:36" ht="18" customHeight="1">
      <c r="K84" s="171" t="s">
        <v>815</v>
      </c>
      <c r="L84" s="171"/>
      <c r="M84" s="171"/>
      <c r="V84" s="171"/>
      <c r="W84" s="171"/>
      <c r="X84" s="140" t="s">
        <v>43</v>
      </c>
      <c r="Y84" s="172">
        <v>3</v>
      </c>
      <c r="Z84" s="534">
        <f ca="1">OFFSET($A$1,MATCH(AJ83,$A:$A,0)-1,Y84)</f>
        <v>0.8</v>
      </c>
      <c r="AA84" s="141" t="s">
        <v>29</v>
      </c>
      <c r="AB84" s="142">
        <f t="shared" ref="AB84:AC89" ca="1" si="28">AD84</f>
        <v>467217</v>
      </c>
      <c r="AC84" s="142">
        <f t="shared" ca="1" si="28"/>
        <v>373773</v>
      </c>
      <c r="AD84" s="142">
        <f ca="1">기술사</f>
        <v>467217</v>
      </c>
      <c r="AE84" s="142">
        <f t="shared" ref="AE84:AE89" ca="1" si="29">ROUNDDOWN(Z84*AB84,0)</f>
        <v>373773</v>
      </c>
      <c r="AF84" s="142"/>
      <c r="AG84" s="142"/>
      <c r="AH84" s="142"/>
      <c r="AI84" s="142"/>
      <c r="AJ84" s="114"/>
    </row>
    <row r="85" spans="11:36" ht="18" customHeight="1">
      <c r="K85" s="171" t="s">
        <v>815</v>
      </c>
      <c r="L85" s="171"/>
      <c r="M85" s="171"/>
      <c r="V85" s="171"/>
      <c r="W85" s="171"/>
      <c r="X85" s="143" t="s">
        <v>32</v>
      </c>
      <c r="Y85" s="173">
        <v>4</v>
      </c>
      <c r="Z85" s="234">
        <f ca="1">OFFSET($A$1,MATCH(AJ83,$A:$A,0)-1,Y85)</f>
        <v>1.3</v>
      </c>
      <c r="AA85" s="144" t="s">
        <v>29</v>
      </c>
      <c r="AB85" s="118">
        <f t="shared" ca="1" si="28"/>
        <v>373353</v>
      </c>
      <c r="AC85" s="118">
        <f t="shared" ca="1" si="28"/>
        <v>485358</v>
      </c>
      <c r="AD85" s="118">
        <f ca="1">특급</f>
        <v>373353</v>
      </c>
      <c r="AE85" s="118">
        <f t="shared" ca="1" si="29"/>
        <v>485358</v>
      </c>
      <c r="AF85" s="118"/>
      <c r="AG85" s="118"/>
      <c r="AH85" s="118"/>
      <c r="AI85" s="118"/>
      <c r="AJ85" s="115"/>
    </row>
    <row r="86" spans="11:36" ht="18" customHeight="1">
      <c r="K86" s="171" t="s">
        <v>14</v>
      </c>
      <c r="L86" s="171"/>
      <c r="M86" s="171"/>
      <c r="V86" s="171"/>
      <c r="W86" s="171"/>
      <c r="X86" s="145" t="s">
        <v>39</v>
      </c>
      <c r="Y86" s="173">
        <v>5</v>
      </c>
      <c r="Z86" s="234">
        <f ca="1">OFFSET($A$1,MATCH(AJ83,$A:$A,0)-1,Y86)</f>
        <v>3.3</v>
      </c>
      <c r="AA86" s="144" t="s">
        <v>29</v>
      </c>
      <c r="AB86" s="118">
        <f t="shared" ca="1" si="28"/>
        <v>310884</v>
      </c>
      <c r="AC86" s="118">
        <f t="shared" ca="1" si="28"/>
        <v>1025917</v>
      </c>
      <c r="AD86" s="118">
        <f ca="1">고급</f>
        <v>310884</v>
      </c>
      <c r="AE86" s="118">
        <f t="shared" ca="1" si="29"/>
        <v>1025917</v>
      </c>
      <c r="AF86" s="118"/>
      <c r="AG86" s="118"/>
      <c r="AH86" s="118"/>
      <c r="AI86" s="118"/>
      <c r="AJ86" s="115"/>
    </row>
    <row r="87" spans="11:36" ht="18" customHeight="1">
      <c r="K87" s="171" t="s">
        <v>815</v>
      </c>
      <c r="L87" s="171"/>
      <c r="M87" s="171"/>
      <c r="V87" s="171"/>
      <c r="W87" s="171"/>
      <c r="X87" s="145" t="s">
        <v>40</v>
      </c>
      <c r="Y87" s="173">
        <v>6</v>
      </c>
      <c r="Z87" s="234">
        <f ca="1">OFFSET($A$1,MATCH(AJ83,$A:$A,0)-1,Y87)</f>
        <v>4.7</v>
      </c>
      <c r="AA87" s="144" t="s">
        <v>29</v>
      </c>
      <c r="AB87" s="118">
        <f t="shared" ca="1" si="28"/>
        <v>295138</v>
      </c>
      <c r="AC87" s="118">
        <f t="shared" ca="1" si="28"/>
        <v>1387148</v>
      </c>
      <c r="AD87" s="118">
        <f ca="1">중급</f>
        <v>295138</v>
      </c>
      <c r="AE87" s="118">
        <f t="shared" ca="1" si="29"/>
        <v>1387148</v>
      </c>
      <c r="AF87" s="118"/>
      <c r="AG87" s="118"/>
      <c r="AH87" s="118"/>
      <c r="AI87" s="118"/>
      <c r="AJ87" s="115"/>
    </row>
    <row r="88" spans="11:36" ht="18" customHeight="1">
      <c r="K88" s="171" t="s">
        <v>702</v>
      </c>
      <c r="L88" s="171"/>
      <c r="M88" s="171"/>
      <c r="V88" s="171"/>
      <c r="W88" s="171"/>
      <c r="X88" s="145" t="s">
        <v>41</v>
      </c>
      <c r="Y88" s="173">
        <v>7</v>
      </c>
      <c r="Z88" s="234">
        <f ca="1">OFFSET($A$1,MATCH(AJ83,$A:$A,0)-1,Y88)</f>
        <v>5</v>
      </c>
      <c r="AA88" s="144" t="s">
        <v>29</v>
      </c>
      <c r="AB88" s="118">
        <f t="shared" ca="1" si="28"/>
        <v>235459</v>
      </c>
      <c r="AC88" s="118">
        <f t="shared" ca="1" si="28"/>
        <v>1177295</v>
      </c>
      <c r="AD88" s="118">
        <f ca="1">초급</f>
        <v>235459</v>
      </c>
      <c r="AE88" s="118">
        <f t="shared" ca="1" si="29"/>
        <v>1177295</v>
      </c>
      <c r="AF88" s="118"/>
      <c r="AG88" s="118"/>
      <c r="AH88" s="118"/>
      <c r="AI88" s="118"/>
      <c r="AJ88" s="115"/>
    </row>
    <row r="89" spans="11:36" ht="18" customHeight="1">
      <c r="K89" s="171" t="s">
        <v>702</v>
      </c>
      <c r="L89" s="171"/>
      <c r="M89" s="171"/>
      <c r="V89" s="171"/>
      <c r="W89" s="171"/>
      <c r="X89" s="319" t="s">
        <v>42</v>
      </c>
      <c r="Y89" s="174">
        <v>8</v>
      </c>
      <c r="Z89" s="235">
        <f ca="1">OFFSET($A$1,MATCH(AJ83,$A:$A,0)-1,Y89)</f>
        <v>4.7</v>
      </c>
      <c r="AA89" s="322" t="s">
        <v>29</v>
      </c>
      <c r="AB89" s="323">
        <f t="shared" ca="1" si="28"/>
        <v>250087</v>
      </c>
      <c r="AC89" s="323">
        <f t="shared" ca="1" si="28"/>
        <v>1175408</v>
      </c>
      <c r="AD89" s="323">
        <f ca="1">보조원</f>
        <v>250087</v>
      </c>
      <c r="AE89" s="323">
        <f t="shared" ca="1" si="29"/>
        <v>1175408</v>
      </c>
      <c r="AF89" s="323"/>
      <c r="AG89" s="323"/>
      <c r="AH89" s="323"/>
      <c r="AI89" s="323"/>
      <c r="AJ89" s="324"/>
    </row>
    <row r="90" spans="11:36" ht="18" customHeight="1">
      <c r="K90" s="171" t="s">
        <v>814</v>
      </c>
      <c r="L90" s="171"/>
      <c r="M90" s="171"/>
      <c r="V90" s="171"/>
      <c r="W90" s="171"/>
      <c r="X90" s="139" t="s">
        <v>817</v>
      </c>
      <c r="Y90" s="68"/>
      <c r="Z90" s="69"/>
      <c r="AA90" s="70"/>
      <c r="AB90" s="71"/>
      <c r="AC90" s="71">
        <f ca="1">SUBTOTAL(9,AC84:AC89)</f>
        <v>5624899</v>
      </c>
      <c r="AD90" s="71"/>
      <c r="AE90" s="71">
        <f ca="1">SUBTOTAL(9,AE84:AE89)</f>
        <v>5624899</v>
      </c>
      <c r="AF90" s="71"/>
      <c r="AG90" s="71"/>
      <c r="AH90" s="71"/>
      <c r="AI90" s="71"/>
      <c r="AJ90" s="68"/>
    </row>
    <row r="91" spans="11:36" ht="18" customHeight="1">
      <c r="K91" s="171" t="s">
        <v>815</v>
      </c>
      <c r="L91" s="171"/>
      <c r="M91" s="171"/>
      <c r="V91" s="171"/>
      <c r="W91" s="171"/>
      <c r="X91" s="532" t="str">
        <f ca="1">"제 " &amp; AJ91 &amp; " 호표  "&amp; OFFSET($A$1,MATCH(AJ91,$A:$A,0)-1,1)</f>
        <v>제 6 호표  1.6. 주거수준조사</v>
      </c>
      <c r="Y91" s="533"/>
      <c r="Z91" s="148"/>
      <c r="AA91" s="148"/>
      <c r="AB91" s="149"/>
      <c r="AC91" s="149"/>
      <c r="AD91" s="149"/>
      <c r="AE91" s="149"/>
      <c r="AF91" s="149"/>
      <c r="AG91" s="149"/>
      <c r="AH91" s="149"/>
      <c r="AI91" s="149"/>
      <c r="AJ91" s="325">
        <f>AJ83+1</f>
        <v>6</v>
      </c>
    </row>
    <row r="92" spans="11:36" ht="18" customHeight="1">
      <c r="K92" s="171" t="s">
        <v>815</v>
      </c>
      <c r="L92" s="171"/>
      <c r="M92" s="171"/>
      <c r="V92" s="171"/>
      <c r="W92" s="171"/>
      <c r="X92" s="140" t="s">
        <v>43</v>
      </c>
      <c r="Y92" s="172">
        <v>3</v>
      </c>
      <c r="Z92" s="534">
        <f ca="1">OFFSET($A$1,MATCH(AJ91,$A:$A,0)-1,Y92)</f>
        <v>0.9</v>
      </c>
      <c r="AA92" s="141" t="s">
        <v>29</v>
      </c>
      <c r="AB92" s="142">
        <f t="shared" ref="AB92:AC97" ca="1" si="30">AD92</f>
        <v>467217</v>
      </c>
      <c r="AC92" s="142">
        <f t="shared" ca="1" si="30"/>
        <v>420495</v>
      </c>
      <c r="AD92" s="142">
        <f ca="1">기술사</f>
        <v>467217</v>
      </c>
      <c r="AE92" s="142">
        <f t="shared" ref="AE92:AE97" ca="1" si="31">ROUNDDOWN(Z92*AB92,0)</f>
        <v>420495</v>
      </c>
      <c r="AF92" s="142"/>
      <c r="AG92" s="142"/>
      <c r="AH92" s="142"/>
      <c r="AI92" s="142"/>
      <c r="AJ92" s="114"/>
    </row>
    <row r="93" spans="11:36" ht="18" customHeight="1">
      <c r="K93" s="171" t="s">
        <v>815</v>
      </c>
      <c r="L93" s="171"/>
      <c r="M93" s="171"/>
      <c r="V93" s="171"/>
      <c r="W93" s="171"/>
      <c r="X93" s="143" t="s">
        <v>32</v>
      </c>
      <c r="Y93" s="173">
        <v>4</v>
      </c>
      <c r="Z93" s="234">
        <f ca="1">OFFSET($A$1,MATCH(AJ91,$A:$A,0)-1,Y93)</f>
        <v>1.4</v>
      </c>
      <c r="AA93" s="144" t="s">
        <v>29</v>
      </c>
      <c r="AB93" s="118">
        <f t="shared" ca="1" si="30"/>
        <v>373353</v>
      </c>
      <c r="AC93" s="118">
        <f t="shared" ca="1" si="30"/>
        <v>522694</v>
      </c>
      <c r="AD93" s="118">
        <f ca="1">특급</f>
        <v>373353</v>
      </c>
      <c r="AE93" s="118">
        <f t="shared" ca="1" si="31"/>
        <v>522694</v>
      </c>
      <c r="AF93" s="118"/>
      <c r="AG93" s="118"/>
      <c r="AH93" s="118"/>
      <c r="AI93" s="118"/>
      <c r="AJ93" s="115"/>
    </row>
    <row r="94" spans="11:36" ht="18" customHeight="1">
      <c r="K94" s="171" t="s">
        <v>14</v>
      </c>
      <c r="L94" s="171"/>
      <c r="M94" s="171"/>
      <c r="V94" s="171"/>
      <c r="W94" s="171"/>
      <c r="X94" s="145" t="s">
        <v>39</v>
      </c>
      <c r="Y94" s="173">
        <v>5</v>
      </c>
      <c r="Z94" s="234">
        <f ca="1">OFFSET($A$1,MATCH(AJ91,$A:$A,0)-1,Y94)</f>
        <v>4.7</v>
      </c>
      <c r="AA94" s="144" t="s">
        <v>29</v>
      </c>
      <c r="AB94" s="118">
        <f t="shared" ca="1" si="30"/>
        <v>310884</v>
      </c>
      <c r="AC94" s="118">
        <f t="shared" ca="1" si="30"/>
        <v>1461154</v>
      </c>
      <c r="AD94" s="118">
        <f ca="1">고급</f>
        <v>310884</v>
      </c>
      <c r="AE94" s="118">
        <f t="shared" ca="1" si="31"/>
        <v>1461154</v>
      </c>
      <c r="AF94" s="118"/>
      <c r="AG94" s="118"/>
      <c r="AH94" s="118"/>
      <c r="AI94" s="118"/>
      <c r="AJ94" s="115"/>
    </row>
    <row r="95" spans="11:36" ht="18" customHeight="1">
      <c r="K95" s="171" t="s">
        <v>815</v>
      </c>
      <c r="L95" s="171"/>
      <c r="M95" s="171"/>
      <c r="V95" s="171"/>
      <c r="W95" s="171"/>
      <c r="X95" s="145" t="s">
        <v>40</v>
      </c>
      <c r="Y95" s="173">
        <v>6</v>
      </c>
      <c r="Z95" s="234">
        <f ca="1">OFFSET($A$1,MATCH(AJ91,$A:$A,0)-1,Y95)</f>
        <v>6.4</v>
      </c>
      <c r="AA95" s="144" t="s">
        <v>29</v>
      </c>
      <c r="AB95" s="118">
        <f t="shared" ca="1" si="30"/>
        <v>295138</v>
      </c>
      <c r="AC95" s="118">
        <f t="shared" ca="1" si="30"/>
        <v>1888883</v>
      </c>
      <c r="AD95" s="118">
        <f ca="1">중급</f>
        <v>295138</v>
      </c>
      <c r="AE95" s="118">
        <f t="shared" ca="1" si="31"/>
        <v>1888883</v>
      </c>
      <c r="AF95" s="118"/>
      <c r="AG95" s="118"/>
      <c r="AH95" s="118"/>
      <c r="AI95" s="118"/>
      <c r="AJ95" s="115"/>
    </row>
    <row r="96" spans="11:36" ht="18" customHeight="1">
      <c r="K96" s="171" t="s">
        <v>14</v>
      </c>
      <c r="L96" s="171"/>
      <c r="M96" s="171"/>
      <c r="V96" s="171"/>
      <c r="W96" s="171"/>
      <c r="X96" s="145" t="s">
        <v>41</v>
      </c>
      <c r="Y96" s="173">
        <v>7</v>
      </c>
      <c r="Z96" s="234">
        <f ca="1">OFFSET($A$1,MATCH(AJ91,$A:$A,0)-1,Y96)</f>
        <v>7.9</v>
      </c>
      <c r="AA96" s="144" t="s">
        <v>29</v>
      </c>
      <c r="AB96" s="118">
        <f t="shared" ca="1" si="30"/>
        <v>235459</v>
      </c>
      <c r="AC96" s="118">
        <f t="shared" ca="1" si="30"/>
        <v>1860126</v>
      </c>
      <c r="AD96" s="118">
        <f ca="1">초급</f>
        <v>235459</v>
      </c>
      <c r="AE96" s="118">
        <f t="shared" ca="1" si="31"/>
        <v>1860126</v>
      </c>
      <c r="AF96" s="118"/>
      <c r="AG96" s="118"/>
      <c r="AH96" s="118"/>
      <c r="AI96" s="118"/>
      <c r="AJ96" s="115"/>
    </row>
    <row r="97" spans="11:36" ht="18" customHeight="1">
      <c r="K97" s="171" t="s">
        <v>815</v>
      </c>
      <c r="L97" s="171"/>
      <c r="M97" s="171"/>
      <c r="V97" s="171"/>
      <c r="W97" s="171"/>
      <c r="X97" s="319" t="s">
        <v>42</v>
      </c>
      <c r="Y97" s="174">
        <v>8</v>
      </c>
      <c r="Z97" s="235">
        <f ca="1">OFFSET($A$1,MATCH(AJ91,$A:$A,0)-1,Y97)</f>
        <v>8</v>
      </c>
      <c r="AA97" s="322" t="s">
        <v>29</v>
      </c>
      <c r="AB97" s="323">
        <f t="shared" ca="1" si="30"/>
        <v>250087</v>
      </c>
      <c r="AC97" s="323">
        <f t="shared" ca="1" si="30"/>
        <v>2000696</v>
      </c>
      <c r="AD97" s="323">
        <f ca="1">보조원</f>
        <v>250087</v>
      </c>
      <c r="AE97" s="323">
        <f t="shared" ca="1" si="31"/>
        <v>2000696</v>
      </c>
      <c r="AF97" s="323"/>
      <c r="AG97" s="323"/>
      <c r="AH97" s="323"/>
      <c r="AI97" s="323"/>
      <c r="AJ97" s="324"/>
    </row>
    <row r="98" spans="11:36" ht="18" customHeight="1">
      <c r="K98" s="171" t="s">
        <v>815</v>
      </c>
      <c r="L98" s="171"/>
      <c r="M98" s="171"/>
      <c r="V98" s="171"/>
      <c r="W98" s="171"/>
      <c r="X98" s="139" t="s">
        <v>17</v>
      </c>
      <c r="Y98" s="68"/>
      <c r="Z98" s="69"/>
      <c r="AA98" s="70"/>
      <c r="AB98" s="71"/>
      <c r="AC98" s="71">
        <f ca="1">SUBTOTAL(9,AC92:AC97)</f>
        <v>8154048</v>
      </c>
      <c r="AD98" s="71"/>
      <c r="AE98" s="71">
        <f ca="1">SUBTOTAL(9,AE92:AE97)</f>
        <v>8154048</v>
      </c>
      <c r="AF98" s="71"/>
      <c r="AG98" s="71"/>
      <c r="AH98" s="71"/>
      <c r="AI98" s="71"/>
      <c r="AJ98" s="68"/>
    </row>
    <row r="99" spans="11:36" ht="18" customHeight="1">
      <c r="K99" s="171" t="s">
        <v>815</v>
      </c>
      <c r="L99" s="171"/>
      <c r="M99" s="171"/>
      <c r="V99" s="171"/>
      <c r="W99" s="171"/>
      <c r="X99" s="532" t="str">
        <f ca="1">"제 " &amp; AJ99 &amp; " 호표  "&amp; OFFSET($A$1,MATCH(AJ99,$A:$A,0)-1,1)</f>
        <v>제 7 호표  2.1. 현황종합분석</v>
      </c>
      <c r="Y99" s="533"/>
      <c r="Z99" s="148"/>
      <c r="AA99" s="148"/>
      <c r="AB99" s="149"/>
      <c r="AC99" s="149"/>
      <c r="AD99" s="149"/>
      <c r="AE99" s="149"/>
      <c r="AF99" s="149"/>
      <c r="AG99" s="149"/>
      <c r="AH99" s="149"/>
      <c r="AI99" s="149"/>
      <c r="AJ99" s="325">
        <f>AJ91+1</f>
        <v>7</v>
      </c>
    </row>
    <row r="100" spans="11:36" ht="18" customHeight="1">
      <c r="K100" s="171" t="s">
        <v>815</v>
      </c>
      <c r="L100" s="171"/>
      <c r="M100" s="171"/>
      <c r="V100" s="171"/>
      <c r="W100" s="171"/>
      <c r="X100" s="140" t="s">
        <v>43</v>
      </c>
      <c r="Y100" s="172">
        <v>3</v>
      </c>
      <c r="Z100" s="534">
        <f ca="1">OFFSET($A$1,MATCH(AJ99,$A:$A,0)-1,Y100)</f>
        <v>3.3</v>
      </c>
      <c r="AA100" s="141" t="s">
        <v>29</v>
      </c>
      <c r="AB100" s="142">
        <f t="shared" ref="AB100:AC105" ca="1" si="32">AD100</f>
        <v>467217</v>
      </c>
      <c r="AC100" s="142">
        <f t="shared" ca="1" si="32"/>
        <v>1541816</v>
      </c>
      <c r="AD100" s="142">
        <f ca="1">기술사</f>
        <v>467217</v>
      </c>
      <c r="AE100" s="142">
        <f t="shared" ref="AE100:AE105" ca="1" si="33">ROUNDDOWN(Z100*AB100,0)</f>
        <v>1541816</v>
      </c>
      <c r="AF100" s="142"/>
      <c r="AG100" s="142"/>
      <c r="AH100" s="142"/>
      <c r="AI100" s="142"/>
      <c r="AJ100" s="114"/>
    </row>
    <row r="101" spans="11:36" ht="18" customHeight="1">
      <c r="K101" s="171" t="s">
        <v>14</v>
      </c>
      <c r="L101" s="171"/>
      <c r="M101" s="171"/>
      <c r="V101" s="171"/>
      <c r="W101" s="171"/>
      <c r="X101" s="143" t="s">
        <v>32</v>
      </c>
      <c r="Y101" s="173">
        <v>4</v>
      </c>
      <c r="Z101" s="234">
        <f ca="1">OFFSET($A$1,MATCH(AJ99,$A:$A,0)-1,Y101)</f>
        <v>5.2</v>
      </c>
      <c r="AA101" s="144" t="s">
        <v>29</v>
      </c>
      <c r="AB101" s="118">
        <f t="shared" ca="1" si="32"/>
        <v>373353</v>
      </c>
      <c r="AC101" s="118">
        <f t="shared" ca="1" si="32"/>
        <v>1941435</v>
      </c>
      <c r="AD101" s="118">
        <f ca="1">특급</f>
        <v>373353</v>
      </c>
      <c r="AE101" s="118">
        <f t="shared" ca="1" si="33"/>
        <v>1941435</v>
      </c>
      <c r="AF101" s="118"/>
      <c r="AG101" s="118"/>
      <c r="AH101" s="118"/>
      <c r="AI101" s="118"/>
      <c r="AJ101" s="115"/>
    </row>
    <row r="102" spans="11:36" ht="18" customHeight="1">
      <c r="K102" s="171" t="s">
        <v>815</v>
      </c>
      <c r="L102" s="171"/>
      <c r="M102" s="171"/>
      <c r="V102" s="171"/>
      <c r="W102" s="171"/>
      <c r="X102" s="145" t="s">
        <v>39</v>
      </c>
      <c r="Y102" s="173">
        <v>5</v>
      </c>
      <c r="Z102" s="234">
        <f ca="1">OFFSET($A$1,MATCH(AJ99,$A:$A,0)-1,Y102)</f>
        <v>12.8</v>
      </c>
      <c r="AA102" s="144" t="s">
        <v>29</v>
      </c>
      <c r="AB102" s="118">
        <f t="shared" ca="1" si="32"/>
        <v>310884</v>
      </c>
      <c r="AC102" s="118">
        <f t="shared" ca="1" si="32"/>
        <v>3979315</v>
      </c>
      <c r="AD102" s="118">
        <f ca="1">고급</f>
        <v>310884</v>
      </c>
      <c r="AE102" s="118">
        <f t="shared" ca="1" si="33"/>
        <v>3979315</v>
      </c>
      <c r="AF102" s="118"/>
      <c r="AG102" s="118"/>
      <c r="AH102" s="118"/>
      <c r="AI102" s="118"/>
      <c r="AJ102" s="115"/>
    </row>
    <row r="103" spans="11:36" ht="18" customHeight="1">
      <c r="K103" s="171" t="s">
        <v>815</v>
      </c>
      <c r="L103" s="171"/>
      <c r="M103" s="171"/>
      <c r="V103" s="171"/>
      <c r="W103" s="171"/>
      <c r="X103" s="145" t="s">
        <v>40</v>
      </c>
      <c r="Y103" s="173">
        <v>6</v>
      </c>
      <c r="Z103" s="234">
        <f ca="1">OFFSET($A$1,MATCH(AJ99,$A:$A,0)-1,Y103)</f>
        <v>22.4</v>
      </c>
      <c r="AA103" s="144" t="s">
        <v>29</v>
      </c>
      <c r="AB103" s="118">
        <f t="shared" ca="1" si="32"/>
        <v>295138</v>
      </c>
      <c r="AC103" s="118">
        <f t="shared" ca="1" si="32"/>
        <v>6611091</v>
      </c>
      <c r="AD103" s="118">
        <f ca="1">중급</f>
        <v>295138</v>
      </c>
      <c r="AE103" s="118">
        <f t="shared" ca="1" si="33"/>
        <v>6611091</v>
      </c>
      <c r="AF103" s="118"/>
      <c r="AG103" s="118"/>
      <c r="AH103" s="118"/>
      <c r="AI103" s="118"/>
      <c r="AJ103" s="115"/>
    </row>
    <row r="104" spans="11:36" ht="18" customHeight="1">
      <c r="K104" s="171" t="s">
        <v>702</v>
      </c>
      <c r="L104" s="171"/>
      <c r="M104" s="171"/>
      <c r="V104" s="171"/>
      <c r="W104" s="171"/>
      <c r="X104" s="145" t="s">
        <v>41</v>
      </c>
      <c r="Y104" s="173">
        <v>7</v>
      </c>
      <c r="Z104" s="234">
        <f ca="1">OFFSET($A$1,MATCH(AJ99,$A:$A,0)-1,Y104)</f>
        <v>23.9</v>
      </c>
      <c r="AA104" s="144" t="s">
        <v>29</v>
      </c>
      <c r="AB104" s="118">
        <f t="shared" ca="1" si="32"/>
        <v>235459</v>
      </c>
      <c r="AC104" s="118">
        <f t="shared" ca="1" si="32"/>
        <v>5627470</v>
      </c>
      <c r="AD104" s="118">
        <f ca="1">초급</f>
        <v>235459</v>
      </c>
      <c r="AE104" s="118">
        <f t="shared" ca="1" si="33"/>
        <v>5627470</v>
      </c>
      <c r="AF104" s="118"/>
      <c r="AG104" s="118"/>
      <c r="AH104" s="118"/>
      <c r="AI104" s="118"/>
      <c r="AJ104" s="115"/>
    </row>
    <row r="105" spans="11:36" ht="18" customHeight="1">
      <c r="K105" s="171" t="s">
        <v>815</v>
      </c>
      <c r="L105" s="171"/>
      <c r="M105" s="171"/>
      <c r="V105" s="171"/>
      <c r="W105" s="171"/>
      <c r="X105" s="319" t="s">
        <v>42</v>
      </c>
      <c r="Y105" s="174">
        <v>8</v>
      </c>
      <c r="Z105" s="235">
        <f ca="1">OFFSET($A$1,MATCH(AJ99,$A:$A,0)-1,Y105)</f>
        <v>32.9</v>
      </c>
      <c r="AA105" s="322" t="s">
        <v>29</v>
      </c>
      <c r="AB105" s="323">
        <f t="shared" ca="1" si="32"/>
        <v>250087</v>
      </c>
      <c r="AC105" s="323">
        <f t="shared" ca="1" si="32"/>
        <v>8227862</v>
      </c>
      <c r="AD105" s="323">
        <f ca="1">보조원</f>
        <v>250087</v>
      </c>
      <c r="AE105" s="323">
        <f t="shared" ca="1" si="33"/>
        <v>8227862</v>
      </c>
      <c r="AF105" s="323"/>
      <c r="AG105" s="323"/>
      <c r="AH105" s="323"/>
      <c r="AI105" s="323"/>
      <c r="AJ105" s="324"/>
    </row>
    <row r="106" spans="11:36" ht="18" customHeight="1">
      <c r="K106" s="171" t="s">
        <v>702</v>
      </c>
      <c r="L106" s="171"/>
      <c r="M106" s="171"/>
      <c r="V106" s="171"/>
      <c r="W106" s="171"/>
      <c r="X106" s="139" t="s">
        <v>700</v>
      </c>
      <c r="Y106" s="68"/>
      <c r="Z106" s="69"/>
      <c r="AA106" s="70"/>
      <c r="AB106" s="71"/>
      <c r="AC106" s="71">
        <f ca="1">SUBTOTAL(9,AC100:AC105)</f>
        <v>27928989</v>
      </c>
      <c r="AD106" s="71"/>
      <c r="AE106" s="71">
        <f ca="1">SUBTOTAL(9,AE100:AE105)</f>
        <v>27928989</v>
      </c>
      <c r="AF106" s="71"/>
      <c r="AG106" s="71"/>
      <c r="AH106" s="71"/>
      <c r="AI106" s="71"/>
      <c r="AJ106" s="68"/>
    </row>
    <row r="107" spans="11:36" ht="18" customHeight="1">
      <c r="K107" s="171" t="s">
        <v>815</v>
      </c>
      <c r="L107" s="171"/>
      <c r="M107" s="171"/>
      <c r="V107" s="171"/>
      <c r="W107" s="171"/>
      <c r="X107" s="532" t="str">
        <f ca="1">"제 " &amp; AJ107 &amp; " 호표  "&amp; OFFSET($A$1,MATCH(AJ107,$A:$A,0)-1,1)</f>
        <v>제 8 호표  2.2. 주거생활권 구분</v>
      </c>
      <c r="Y107" s="533"/>
      <c r="Z107" s="148"/>
      <c r="AA107" s="148"/>
      <c r="AB107" s="149"/>
      <c r="AC107" s="149"/>
      <c r="AD107" s="149"/>
      <c r="AE107" s="149"/>
      <c r="AF107" s="149"/>
      <c r="AG107" s="149"/>
      <c r="AH107" s="149"/>
      <c r="AI107" s="149"/>
      <c r="AJ107" s="325">
        <f>AJ99+1</f>
        <v>8</v>
      </c>
    </row>
    <row r="108" spans="11:36" ht="18" customHeight="1">
      <c r="K108" s="171" t="s">
        <v>702</v>
      </c>
      <c r="L108" s="171"/>
      <c r="M108" s="171"/>
      <c r="V108" s="171"/>
      <c r="W108" s="171"/>
      <c r="X108" s="140" t="s">
        <v>43</v>
      </c>
      <c r="Y108" s="172">
        <v>3</v>
      </c>
      <c r="Z108" s="534">
        <f ca="1">OFFSET($A$1,MATCH(AJ107,$A:$A,0)-1,Y108)</f>
        <v>1.1000000000000001</v>
      </c>
      <c r="AA108" s="141" t="s">
        <v>29</v>
      </c>
      <c r="AB108" s="142">
        <f t="shared" ref="AB108:AC113" ca="1" si="34">AD108</f>
        <v>467217</v>
      </c>
      <c r="AC108" s="142">
        <f t="shared" ca="1" si="34"/>
        <v>513938</v>
      </c>
      <c r="AD108" s="142">
        <f ca="1">기술사</f>
        <v>467217</v>
      </c>
      <c r="AE108" s="142">
        <f t="shared" ref="AE108:AE113" ca="1" si="35">ROUNDDOWN(Z108*AB108,0)</f>
        <v>513938</v>
      </c>
      <c r="AF108" s="142"/>
      <c r="AG108" s="142"/>
      <c r="AH108" s="142"/>
      <c r="AI108" s="142"/>
      <c r="AJ108" s="114"/>
    </row>
    <row r="109" spans="11:36" ht="18" customHeight="1">
      <c r="K109" s="171" t="s">
        <v>815</v>
      </c>
      <c r="L109" s="171"/>
      <c r="M109" s="171"/>
      <c r="V109" s="171"/>
      <c r="W109" s="171"/>
      <c r="X109" s="143" t="s">
        <v>32</v>
      </c>
      <c r="Y109" s="173">
        <v>4</v>
      </c>
      <c r="Z109" s="234">
        <f ca="1">OFFSET($A$1,MATCH(AJ107,$A:$A,0)-1,Y109)</f>
        <v>1.8</v>
      </c>
      <c r="AA109" s="144" t="s">
        <v>29</v>
      </c>
      <c r="AB109" s="118">
        <f t="shared" ca="1" si="34"/>
        <v>373353</v>
      </c>
      <c r="AC109" s="118">
        <f t="shared" ca="1" si="34"/>
        <v>672035</v>
      </c>
      <c r="AD109" s="118">
        <f ca="1">특급</f>
        <v>373353</v>
      </c>
      <c r="AE109" s="118">
        <f t="shared" ca="1" si="35"/>
        <v>672035</v>
      </c>
      <c r="AF109" s="118"/>
      <c r="AG109" s="118"/>
      <c r="AH109" s="118"/>
      <c r="AI109" s="118"/>
      <c r="AJ109" s="115"/>
    </row>
    <row r="110" spans="11:36" ht="18" customHeight="1">
      <c r="K110" s="171" t="s">
        <v>815</v>
      </c>
      <c r="L110" s="171"/>
      <c r="M110" s="171"/>
      <c r="V110" s="171"/>
      <c r="W110" s="171"/>
      <c r="X110" s="145" t="s">
        <v>39</v>
      </c>
      <c r="Y110" s="173">
        <v>5</v>
      </c>
      <c r="Z110" s="234">
        <f ca="1">OFFSET($A$1,MATCH(AJ107,$A:$A,0)-1,Y110)</f>
        <v>4.3</v>
      </c>
      <c r="AA110" s="144" t="s">
        <v>29</v>
      </c>
      <c r="AB110" s="118">
        <f t="shared" ca="1" si="34"/>
        <v>310884</v>
      </c>
      <c r="AC110" s="118">
        <f t="shared" ca="1" si="34"/>
        <v>1336801</v>
      </c>
      <c r="AD110" s="118">
        <f ca="1">고급</f>
        <v>310884</v>
      </c>
      <c r="AE110" s="118">
        <f t="shared" ca="1" si="35"/>
        <v>1336801</v>
      </c>
      <c r="AF110" s="118"/>
      <c r="AG110" s="118"/>
      <c r="AH110" s="118"/>
      <c r="AI110" s="118"/>
      <c r="AJ110" s="115"/>
    </row>
    <row r="111" spans="11:36" ht="18" customHeight="1">
      <c r="K111" s="171" t="s">
        <v>814</v>
      </c>
      <c r="L111" s="171"/>
      <c r="M111" s="171"/>
      <c r="V111" s="171"/>
      <c r="W111" s="171"/>
      <c r="X111" s="145" t="s">
        <v>40</v>
      </c>
      <c r="Y111" s="173">
        <v>6</v>
      </c>
      <c r="Z111" s="234">
        <f ca="1">OFFSET($A$1,MATCH(AJ107,$A:$A,0)-1,Y111)</f>
        <v>4.2</v>
      </c>
      <c r="AA111" s="144" t="s">
        <v>29</v>
      </c>
      <c r="AB111" s="118">
        <f t="shared" ca="1" si="34"/>
        <v>295138</v>
      </c>
      <c r="AC111" s="118">
        <f t="shared" ca="1" si="34"/>
        <v>1239579</v>
      </c>
      <c r="AD111" s="118">
        <f ca="1">중급</f>
        <v>295138</v>
      </c>
      <c r="AE111" s="118">
        <f t="shared" ca="1" si="35"/>
        <v>1239579</v>
      </c>
      <c r="AF111" s="118"/>
      <c r="AG111" s="118"/>
      <c r="AH111" s="118"/>
      <c r="AI111" s="118"/>
      <c r="AJ111" s="115"/>
    </row>
    <row r="112" spans="11:36" ht="18" customHeight="1">
      <c r="K112" s="171" t="s">
        <v>702</v>
      </c>
      <c r="L112" s="171"/>
      <c r="M112" s="171"/>
      <c r="V112" s="171"/>
      <c r="W112" s="171"/>
      <c r="X112" s="145" t="s">
        <v>41</v>
      </c>
      <c r="Y112" s="173">
        <v>7</v>
      </c>
      <c r="Z112" s="234">
        <f ca="1">OFFSET($A$1,MATCH(AJ107,$A:$A,0)-1,Y112)</f>
        <v>7.4</v>
      </c>
      <c r="AA112" s="144" t="s">
        <v>29</v>
      </c>
      <c r="AB112" s="118">
        <f t="shared" ca="1" si="34"/>
        <v>235459</v>
      </c>
      <c r="AC112" s="118">
        <f t="shared" ca="1" si="34"/>
        <v>1742396</v>
      </c>
      <c r="AD112" s="118">
        <f ca="1">초급</f>
        <v>235459</v>
      </c>
      <c r="AE112" s="118">
        <f t="shared" ca="1" si="35"/>
        <v>1742396</v>
      </c>
      <c r="AF112" s="118"/>
      <c r="AG112" s="118"/>
      <c r="AH112" s="118"/>
      <c r="AI112" s="118"/>
      <c r="AJ112" s="115"/>
    </row>
    <row r="113" spans="11:36" ht="18" customHeight="1">
      <c r="K113" s="171" t="s">
        <v>815</v>
      </c>
      <c r="L113" s="171"/>
      <c r="M113" s="171"/>
      <c r="V113" s="171"/>
      <c r="W113" s="171"/>
      <c r="X113" s="319" t="s">
        <v>42</v>
      </c>
      <c r="Y113" s="174">
        <v>8</v>
      </c>
      <c r="Z113" s="235">
        <f ca="1">OFFSET($A$1,MATCH(AJ107,$A:$A,0)-1,Y113)</f>
        <v>10.7</v>
      </c>
      <c r="AA113" s="322" t="s">
        <v>29</v>
      </c>
      <c r="AB113" s="323">
        <f t="shared" ca="1" si="34"/>
        <v>250087</v>
      </c>
      <c r="AC113" s="323">
        <f t="shared" ca="1" si="34"/>
        <v>2675930</v>
      </c>
      <c r="AD113" s="323">
        <f ca="1">보조원</f>
        <v>250087</v>
      </c>
      <c r="AE113" s="323">
        <f t="shared" ca="1" si="35"/>
        <v>2675930</v>
      </c>
      <c r="AF113" s="323"/>
      <c r="AG113" s="323"/>
      <c r="AH113" s="323"/>
      <c r="AI113" s="323"/>
      <c r="AJ113" s="324"/>
    </row>
    <row r="114" spans="11:36" ht="18" customHeight="1">
      <c r="K114" s="171" t="s">
        <v>814</v>
      </c>
      <c r="L114" s="171"/>
      <c r="M114" s="171"/>
      <c r="V114" s="171"/>
      <c r="W114" s="171"/>
      <c r="X114" s="139" t="s">
        <v>700</v>
      </c>
      <c r="Y114" s="68"/>
      <c r="Z114" s="69"/>
      <c r="AA114" s="70"/>
      <c r="AB114" s="71"/>
      <c r="AC114" s="71">
        <f ca="1">SUBTOTAL(9,AC108:AC113)</f>
        <v>8180679</v>
      </c>
      <c r="AD114" s="71"/>
      <c r="AE114" s="71">
        <f ca="1">SUBTOTAL(9,AE108:AE113)</f>
        <v>8180679</v>
      </c>
      <c r="AF114" s="71"/>
      <c r="AG114" s="71"/>
      <c r="AH114" s="71"/>
      <c r="AI114" s="71"/>
      <c r="AJ114" s="68"/>
    </row>
    <row r="115" spans="11:36" ht="18" customHeight="1">
      <c r="K115" s="171" t="s">
        <v>814</v>
      </c>
      <c r="L115" s="171"/>
      <c r="M115" s="171"/>
      <c r="V115" s="171"/>
      <c r="W115" s="171"/>
      <c r="X115" s="532" t="str">
        <f ca="1">"제 " &amp; AJ115 &amp; " 호표  "&amp; OFFSET($A$1,MATCH(AJ115,$A:$A,0)-1,1)</f>
        <v>제 9 호표  2.3. 주거환경지표 분석</v>
      </c>
      <c r="Y115" s="533"/>
      <c r="Z115" s="148"/>
      <c r="AA115" s="148"/>
      <c r="AB115" s="149"/>
      <c r="AC115" s="149"/>
      <c r="AD115" s="149"/>
      <c r="AE115" s="149"/>
      <c r="AF115" s="149"/>
      <c r="AG115" s="149"/>
      <c r="AH115" s="149"/>
      <c r="AI115" s="149"/>
      <c r="AJ115" s="325">
        <f>AJ107+1</f>
        <v>9</v>
      </c>
    </row>
    <row r="116" spans="11:36" ht="18" customHeight="1">
      <c r="K116" s="171" t="s">
        <v>815</v>
      </c>
      <c r="L116" s="171"/>
      <c r="M116" s="171"/>
      <c r="V116" s="171"/>
      <c r="W116" s="171"/>
      <c r="X116" s="140" t="s">
        <v>43</v>
      </c>
      <c r="Y116" s="172">
        <v>3</v>
      </c>
      <c r="Z116" s="534">
        <f ca="1">OFFSET($A$1,MATCH(AJ115,$A:$A,0)-1,Y116)</f>
        <v>3.3</v>
      </c>
      <c r="AA116" s="141" t="s">
        <v>29</v>
      </c>
      <c r="AB116" s="142">
        <f t="shared" ref="AB116:AC121" ca="1" si="36">AD116</f>
        <v>467217</v>
      </c>
      <c r="AC116" s="142">
        <f t="shared" ca="1" si="36"/>
        <v>1541816</v>
      </c>
      <c r="AD116" s="142">
        <f ca="1">기술사</f>
        <v>467217</v>
      </c>
      <c r="AE116" s="142">
        <f t="shared" ref="AE116:AE121" ca="1" si="37">ROUNDDOWN(Z116*AB116,0)</f>
        <v>1541816</v>
      </c>
      <c r="AF116" s="142"/>
      <c r="AG116" s="142"/>
      <c r="AH116" s="142"/>
      <c r="AI116" s="142"/>
      <c r="AJ116" s="114"/>
    </row>
    <row r="117" spans="11:36" ht="18" customHeight="1">
      <c r="K117" s="171" t="s">
        <v>815</v>
      </c>
      <c r="L117" s="171"/>
      <c r="M117" s="171"/>
      <c r="V117" s="171"/>
      <c r="W117" s="171"/>
      <c r="X117" s="143" t="s">
        <v>32</v>
      </c>
      <c r="Y117" s="173">
        <v>4</v>
      </c>
      <c r="Z117" s="234">
        <f ca="1">OFFSET($A$1,MATCH(AJ115,$A:$A,0)-1,Y117)</f>
        <v>5.2</v>
      </c>
      <c r="AA117" s="144" t="s">
        <v>29</v>
      </c>
      <c r="AB117" s="118">
        <f t="shared" ca="1" si="36"/>
        <v>373353</v>
      </c>
      <c r="AC117" s="118">
        <f t="shared" ca="1" si="36"/>
        <v>1941435</v>
      </c>
      <c r="AD117" s="118">
        <f ca="1">특급</f>
        <v>373353</v>
      </c>
      <c r="AE117" s="118">
        <f t="shared" ca="1" si="37"/>
        <v>1941435</v>
      </c>
      <c r="AF117" s="118"/>
      <c r="AG117" s="118"/>
      <c r="AH117" s="118"/>
      <c r="AI117" s="118"/>
      <c r="AJ117" s="115"/>
    </row>
    <row r="118" spans="11:36" ht="18" customHeight="1">
      <c r="K118" s="171" t="s">
        <v>702</v>
      </c>
      <c r="L118" s="171"/>
      <c r="M118" s="171"/>
      <c r="V118" s="171"/>
      <c r="W118" s="171"/>
      <c r="X118" s="145" t="s">
        <v>39</v>
      </c>
      <c r="Y118" s="173">
        <v>5</v>
      </c>
      <c r="Z118" s="234">
        <f ca="1">OFFSET($A$1,MATCH(AJ115,$A:$A,0)-1,Y118)</f>
        <v>12.8</v>
      </c>
      <c r="AA118" s="144" t="s">
        <v>29</v>
      </c>
      <c r="AB118" s="118">
        <f t="shared" ca="1" si="36"/>
        <v>310884</v>
      </c>
      <c r="AC118" s="118">
        <f t="shared" ca="1" si="36"/>
        <v>3979315</v>
      </c>
      <c r="AD118" s="118">
        <f ca="1">고급</f>
        <v>310884</v>
      </c>
      <c r="AE118" s="118">
        <f t="shared" ca="1" si="37"/>
        <v>3979315</v>
      </c>
      <c r="AF118" s="118"/>
      <c r="AG118" s="118"/>
      <c r="AH118" s="118"/>
      <c r="AI118" s="118"/>
      <c r="AJ118" s="115"/>
    </row>
    <row r="119" spans="11:36" ht="18" customHeight="1">
      <c r="K119" s="171" t="s">
        <v>814</v>
      </c>
      <c r="L119" s="171"/>
      <c r="M119" s="171"/>
      <c r="V119" s="171"/>
      <c r="W119" s="171"/>
      <c r="X119" s="145" t="s">
        <v>40</v>
      </c>
      <c r="Y119" s="173">
        <v>6</v>
      </c>
      <c r="Z119" s="234">
        <f ca="1">OFFSET($A$1,MATCH(AJ115,$A:$A,0)-1,Y119)</f>
        <v>22.4</v>
      </c>
      <c r="AA119" s="144" t="s">
        <v>29</v>
      </c>
      <c r="AB119" s="118">
        <f t="shared" ca="1" si="36"/>
        <v>295138</v>
      </c>
      <c r="AC119" s="118">
        <f t="shared" ca="1" si="36"/>
        <v>6611091</v>
      </c>
      <c r="AD119" s="118">
        <f ca="1">중급</f>
        <v>295138</v>
      </c>
      <c r="AE119" s="118">
        <f t="shared" ca="1" si="37"/>
        <v>6611091</v>
      </c>
      <c r="AF119" s="118"/>
      <c r="AG119" s="118"/>
      <c r="AH119" s="118"/>
      <c r="AI119" s="118"/>
      <c r="AJ119" s="115"/>
    </row>
    <row r="120" spans="11:36" ht="18" customHeight="1">
      <c r="K120" s="171" t="s">
        <v>815</v>
      </c>
      <c r="L120" s="171"/>
      <c r="M120" s="171"/>
      <c r="V120" s="171"/>
      <c r="W120" s="171"/>
      <c r="X120" s="145" t="s">
        <v>41</v>
      </c>
      <c r="Y120" s="173">
        <v>7</v>
      </c>
      <c r="Z120" s="234">
        <f ca="1">OFFSET($A$1,MATCH(AJ115,$A:$A,0)-1,Y120)</f>
        <v>23.9</v>
      </c>
      <c r="AA120" s="144" t="s">
        <v>29</v>
      </c>
      <c r="AB120" s="118">
        <f t="shared" ca="1" si="36"/>
        <v>235459</v>
      </c>
      <c r="AC120" s="118">
        <f t="shared" ca="1" si="36"/>
        <v>5627470</v>
      </c>
      <c r="AD120" s="118">
        <f ca="1">초급</f>
        <v>235459</v>
      </c>
      <c r="AE120" s="118">
        <f t="shared" ca="1" si="37"/>
        <v>5627470</v>
      </c>
      <c r="AF120" s="118"/>
      <c r="AG120" s="118"/>
      <c r="AH120" s="118"/>
      <c r="AI120" s="118"/>
      <c r="AJ120" s="115"/>
    </row>
    <row r="121" spans="11:36" ht="18" customHeight="1">
      <c r="K121" s="171" t="s">
        <v>815</v>
      </c>
      <c r="L121" s="171"/>
      <c r="M121" s="171"/>
      <c r="V121" s="171"/>
      <c r="W121" s="171"/>
      <c r="X121" s="319" t="s">
        <v>42</v>
      </c>
      <c r="Y121" s="174">
        <v>8</v>
      </c>
      <c r="Z121" s="235">
        <f ca="1">OFFSET($A$1,MATCH(AJ115,$A:$A,0)-1,Y121)</f>
        <v>32.9</v>
      </c>
      <c r="AA121" s="322" t="s">
        <v>29</v>
      </c>
      <c r="AB121" s="323">
        <f t="shared" ca="1" si="36"/>
        <v>250087</v>
      </c>
      <c r="AC121" s="323">
        <f t="shared" ca="1" si="36"/>
        <v>8227862</v>
      </c>
      <c r="AD121" s="323">
        <f ca="1">보조원</f>
        <v>250087</v>
      </c>
      <c r="AE121" s="323">
        <f t="shared" ca="1" si="37"/>
        <v>8227862</v>
      </c>
      <c r="AF121" s="323"/>
      <c r="AG121" s="323"/>
      <c r="AH121" s="323"/>
      <c r="AI121" s="323"/>
      <c r="AJ121" s="324"/>
    </row>
    <row r="122" spans="11:36" ht="18" customHeight="1">
      <c r="K122" s="171" t="s">
        <v>815</v>
      </c>
      <c r="L122" s="171"/>
      <c r="M122" s="171"/>
      <c r="V122" s="171"/>
      <c r="W122" s="171"/>
      <c r="X122" s="139" t="s">
        <v>816</v>
      </c>
      <c r="Y122" s="68"/>
      <c r="Z122" s="69"/>
      <c r="AA122" s="70"/>
      <c r="AB122" s="71"/>
      <c r="AC122" s="71">
        <f ca="1">SUBTOTAL(9,AC116:AC121)</f>
        <v>27928989</v>
      </c>
      <c r="AD122" s="71"/>
      <c r="AE122" s="71">
        <f ca="1">SUBTOTAL(9,AE116:AE121)</f>
        <v>27928989</v>
      </c>
      <c r="AF122" s="71"/>
      <c r="AG122" s="71"/>
      <c r="AH122" s="71"/>
      <c r="AI122" s="71"/>
      <c r="AJ122" s="68"/>
    </row>
    <row r="123" spans="11:36" ht="18" customHeight="1">
      <c r="K123" s="171" t="s">
        <v>815</v>
      </c>
      <c r="L123" s="171"/>
      <c r="M123" s="171"/>
      <c r="V123" s="171"/>
      <c r="W123" s="171"/>
      <c r="X123" s="532" t="str">
        <f ca="1">"제 " &amp; AJ123 &amp; " 호표  "&amp; OFFSET($A$1,MATCH(AJ123,$A:$A,0)-1,1)</f>
        <v>제 10 호표  3.1. 주거지관리방향</v>
      </c>
      <c r="Y123" s="533"/>
      <c r="Z123" s="148"/>
      <c r="AA123" s="148"/>
      <c r="AB123" s="149"/>
      <c r="AC123" s="149"/>
      <c r="AD123" s="149"/>
      <c r="AE123" s="149"/>
      <c r="AF123" s="149"/>
      <c r="AG123" s="149"/>
      <c r="AH123" s="149"/>
      <c r="AI123" s="149"/>
      <c r="AJ123" s="325">
        <f>AJ115+1</f>
        <v>10</v>
      </c>
    </row>
    <row r="124" spans="11:36" ht="18" customHeight="1">
      <c r="K124" s="171" t="s">
        <v>814</v>
      </c>
      <c r="L124" s="171"/>
      <c r="M124" s="171"/>
      <c r="V124" s="171"/>
      <c r="W124" s="171"/>
      <c r="X124" s="140" t="s">
        <v>43</v>
      </c>
      <c r="Y124" s="172">
        <v>3</v>
      </c>
      <c r="Z124" s="534">
        <f ca="1">OFFSET($A$1,MATCH(AJ123,$A:$A,0)-1,Y124)</f>
        <v>2</v>
      </c>
      <c r="AA124" s="141" t="s">
        <v>29</v>
      </c>
      <c r="AB124" s="142">
        <f t="shared" ref="AB124:AC129" ca="1" si="38">AD124</f>
        <v>467217</v>
      </c>
      <c r="AC124" s="142">
        <f t="shared" ca="1" si="38"/>
        <v>934434</v>
      </c>
      <c r="AD124" s="142">
        <f ca="1">기술사</f>
        <v>467217</v>
      </c>
      <c r="AE124" s="142">
        <f t="shared" ref="AE124:AE129" ca="1" si="39">ROUNDDOWN(Z124*AB124,0)</f>
        <v>934434</v>
      </c>
      <c r="AF124" s="142"/>
      <c r="AG124" s="142"/>
      <c r="AH124" s="142"/>
      <c r="AI124" s="142"/>
      <c r="AJ124" s="114"/>
    </row>
    <row r="125" spans="11:36" ht="18" customHeight="1">
      <c r="K125" s="171" t="s">
        <v>14</v>
      </c>
      <c r="L125" s="171"/>
      <c r="M125" s="171"/>
      <c r="V125" s="171"/>
      <c r="W125" s="171"/>
      <c r="X125" s="143" t="s">
        <v>32</v>
      </c>
      <c r="Y125" s="173">
        <v>4</v>
      </c>
      <c r="Z125" s="234">
        <f ca="1">OFFSET($A$1,MATCH(AJ123,$A:$A,0)-1,Y125)</f>
        <v>3.3</v>
      </c>
      <c r="AA125" s="144" t="s">
        <v>29</v>
      </c>
      <c r="AB125" s="118">
        <f t="shared" ca="1" si="38"/>
        <v>373353</v>
      </c>
      <c r="AC125" s="118">
        <f t="shared" ca="1" si="38"/>
        <v>1232064</v>
      </c>
      <c r="AD125" s="118">
        <f ca="1">특급</f>
        <v>373353</v>
      </c>
      <c r="AE125" s="118">
        <f t="shared" ca="1" si="39"/>
        <v>1232064</v>
      </c>
      <c r="AF125" s="118"/>
      <c r="AG125" s="118"/>
      <c r="AH125" s="118"/>
      <c r="AI125" s="118"/>
      <c r="AJ125" s="115"/>
    </row>
    <row r="126" spans="11:36" ht="18" customHeight="1">
      <c r="K126" s="171" t="s">
        <v>814</v>
      </c>
      <c r="L126" s="171"/>
      <c r="M126" s="171"/>
      <c r="V126" s="171"/>
      <c r="W126" s="171"/>
      <c r="X126" s="145" t="s">
        <v>39</v>
      </c>
      <c r="Y126" s="173">
        <v>5</v>
      </c>
      <c r="Z126" s="234">
        <f ca="1">OFFSET($A$1,MATCH(AJ123,$A:$A,0)-1,Y126)</f>
        <v>6.4</v>
      </c>
      <c r="AA126" s="144" t="s">
        <v>29</v>
      </c>
      <c r="AB126" s="118">
        <f t="shared" ca="1" si="38"/>
        <v>310884</v>
      </c>
      <c r="AC126" s="118">
        <f t="shared" ca="1" si="38"/>
        <v>1989657</v>
      </c>
      <c r="AD126" s="118">
        <f ca="1">고급</f>
        <v>310884</v>
      </c>
      <c r="AE126" s="118">
        <f t="shared" ca="1" si="39"/>
        <v>1989657</v>
      </c>
      <c r="AF126" s="118"/>
      <c r="AG126" s="118"/>
      <c r="AH126" s="118"/>
      <c r="AI126" s="118"/>
      <c r="AJ126" s="115"/>
    </row>
    <row r="127" spans="11:36" ht="18" customHeight="1">
      <c r="K127" s="171" t="s">
        <v>815</v>
      </c>
      <c r="L127" s="171"/>
      <c r="M127" s="171"/>
      <c r="V127" s="171"/>
      <c r="W127" s="171"/>
      <c r="X127" s="145" t="s">
        <v>40</v>
      </c>
      <c r="Y127" s="173">
        <v>6</v>
      </c>
      <c r="Z127" s="234">
        <f ca="1">OFFSET($A$1,MATCH(AJ123,$A:$A,0)-1,Y127)</f>
        <v>10.5</v>
      </c>
      <c r="AA127" s="144" t="s">
        <v>29</v>
      </c>
      <c r="AB127" s="118">
        <f t="shared" ca="1" si="38"/>
        <v>295138</v>
      </c>
      <c r="AC127" s="118">
        <f t="shared" ca="1" si="38"/>
        <v>3098949</v>
      </c>
      <c r="AD127" s="118">
        <f ca="1">중급</f>
        <v>295138</v>
      </c>
      <c r="AE127" s="118">
        <f t="shared" ca="1" si="39"/>
        <v>3098949</v>
      </c>
      <c r="AF127" s="118"/>
      <c r="AG127" s="118"/>
      <c r="AH127" s="118"/>
      <c r="AI127" s="118"/>
      <c r="AJ127" s="115"/>
    </row>
    <row r="128" spans="11:36" ht="18" customHeight="1">
      <c r="K128" s="171" t="s">
        <v>702</v>
      </c>
      <c r="L128" s="171"/>
      <c r="M128" s="171"/>
      <c r="V128" s="171"/>
      <c r="W128" s="171"/>
      <c r="X128" s="145" t="s">
        <v>41</v>
      </c>
      <c r="Y128" s="173">
        <v>7</v>
      </c>
      <c r="Z128" s="234">
        <f ca="1">OFFSET($A$1,MATCH(AJ123,$A:$A,0)-1,Y128)</f>
        <v>15.5</v>
      </c>
      <c r="AA128" s="144" t="s">
        <v>29</v>
      </c>
      <c r="AB128" s="118">
        <f t="shared" ca="1" si="38"/>
        <v>235459</v>
      </c>
      <c r="AC128" s="118">
        <f t="shared" ca="1" si="38"/>
        <v>3649614</v>
      </c>
      <c r="AD128" s="118">
        <f ca="1">초급</f>
        <v>235459</v>
      </c>
      <c r="AE128" s="118">
        <f t="shared" ca="1" si="39"/>
        <v>3649614</v>
      </c>
      <c r="AF128" s="118"/>
      <c r="AG128" s="118"/>
      <c r="AH128" s="118"/>
      <c r="AI128" s="118"/>
      <c r="AJ128" s="115"/>
    </row>
    <row r="129" spans="11:36" ht="18" customHeight="1">
      <c r="K129" s="171" t="s">
        <v>702</v>
      </c>
      <c r="L129" s="171"/>
      <c r="M129" s="171"/>
      <c r="V129" s="171"/>
      <c r="W129" s="171"/>
      <c r="X129" s="319" t="s">
        <v>42</v>
      </c>
      <c r="Y129" s="174">
        <v>8</v>
      </c>
      <c r="Z129" s="235">
        <f ca="1">OFFSET($A$1,MATCH(AJ123,$A:$A,0)-1,Y129)</f>
        <v>15</v>
      </c>
      <c r="AA129" s="322" t="s">
        <v>29</v>
      </c>
      <c r="AB129" s="323">
        <f t="shared" ca="1" si="38"/>
        <v>250087</v>
      </c>
      <c r="AC129" s="323">
        <f t="shared" ca="1" si="38"/>
        <v>3751305</v>
      </c>
      <c r="AD129" s="323">
        <f ca="1">보조원</f>
        <v>250087</v>
      </c>
      <c r="AE129" s="323">
        <f t="shared" ca="1" si="39"/>
        <v>3751305</v>
      </c>
      <c r="AF129" s="323"/>
      <c r="AG129" s="323"/>
      <c r="AH129" s="323"/>
      <c r="AI129" s="323"/>
      <c r="AJ129" s="324"/>
    </row>
    <row r="130" spans="11:36" ht="18" customHeight="1">
      <c r="K130" s="171" t="s">
        <v>702</v>
      </c>
      <c r="L130" s="171"/>
      <c r="M130" s="171"/>
      <c r="V130" s="171"/>
      <c r="W130" s="171"/>
      <c r="X130" s="139" t="s">
        <v>700</v>
      </c>
      <c r="Y130" s="68"/>
      <c r="Z130" s="69"/>
      <c r="AA130" s="70"/>
      <c r="AB130" s="71"/>
      <c r="AC130" s="71">
        <f ca="1">SUBTOTAL(9,AC124:AC129)</f>
        <v>14656023</v>
      </c>
      <c r="AD130" s="71"/>
      <c r="AE130" s="71">
        <f ca="1">SUBTOTAL(9,AE124:AE129)</f>
        <v>14656023</v>
      </c>
      <c r="AF130" s="71"/>
      <c r="AG130" s="71"/>
      <c r="AH130" s="71"/>
      <c r="AI130" s="71"/>
      <c r="AJ130" s="68"/>
    </row>
    <row r="131" spans="11:36" ht="18" customHeight="1">
      <c r="K131" s="171" t="s">
        <v>815</v>
      </c>
      <c r="L131" s="171"/>
      <c r="M131" s="171"/>
      <c r="V131" s="171"/>
      <c r="W131" s="171"/>
      <c r="X131" s="532" t="str">
        <f ca="1">"제 " &amp; AJ131 &amp; " 호표  "&amp; OFFSET($A$1,MATCH(AJ131,$A:$A,0)-1,1)</f>
        <v>제 11 호표  3.2. 주거지 관리계획</v>
      </c>
      <c r="Y131" s="533"/>
      <c r="Z131" s="148"/>
      <c r="AA131" s="148"/>
      <c r="AB131" s="149"/>
      <c r="AC131" s="149"/>
      <c r="AD131" s="149"/>
      <c r="AE131" s="149"/>
      <c r="AF131" s="149"/>
      <c r="AG131" s="149"/>
      <c r="AH131" s="149"/>
      <c r="AI131" s="149"/>
      <c r="AJ131" s="325">
        <f>AJ123+1</f>
        <v>11</v>
      </c>
    </row>
    <row r="132" spans="11:36" ht="18" customHeight="1">
      <c r="K132" s="171" t="s">
        <v>815</v>
      </c>
      <c r="L132" s="171"/>
      <c r="M132" s="171"/>
      <c r="V132" s="171"/>
      <c r="W132" s="171"/>
      <c r="X132" s="140" t="s">
        <v>43</v>
      </c>
      <c r="Y132" s="172">
        <v>3</v>
      </c>
      <c r="Z132" s="534">
        <f ca="1">OFFSET($A$1,MATCH(AJ131,$A:$A,0)-1,Y132)</f>
        <v>2</v>
      </c>
      <c r="AA132" s="141" t="s">
        <v>29</v>
      </c>
      <c r="AB132" s="142">
        <f t="shared" ref="AB132:AC137" ca="1" si="40">AD132</f>
        <v>467217</v>
      </c>
      <c r="AC132" s="142">
        <f t="shared" ca="1" si="40"/>
        <v>934434</v>
      </c>
      <c r="AD132" s="142">
        <f ca="1">기술사</f>
        <v>467217</v>
      </c>
      <c r="AE132" s="142">
        <f t="shared" ref="AE132:AE137" ca="1" si="41">ROUNDDOWN(Z132*AB132,0)</f>
        <v>934434</v>
      </c>
      <c r="AF132" s="142"/>
      <c r="AG132" s="142"/>
      <c r="AH132" s="142"/>
      <c r="AI132" s="142"/>
      <c r="AJ132" s="114"/>
    </row>
    <row r="133" spans="11:36" ht="18" customHeight="1">
      <c r="K133" s="171" t="s">
        <v>814</v>
      </c>
      <c r="L133" s="171"/>
      <c r="M133" s="171"/>
      <c r="V133" s="171"/>
      <c r="W133" s="171"/>
      <c r="X133" s="143" t="s">
        <v>32</v>
      </c>
      <c r="Y133" s="173">
        <v>4</v>
      </c>
      <c r="Z133" s="234">
        <f ca="1">OFFSET($A$1,MATCH(AJ131,$A:$A,0)-1,Y133)</f>
        <v>3.3</v>
      </c>
      <c r="AA133" s="144" t="s">
        <v>29</v>
      </c>
      <c r="AB133" s="118">
        <f t="shared" ca="1" si="40"/>
        <v>373353</v>
      </c>
      <c r="AC133" s="118">
        <f t="shared" ca="1" si="40"/>
        <v>1232064</v>
      </c>
      <c r="AD133" s="118">
        <f ca="1">특급</f>
        <v>373353</v>
      </c>
      <c r="AE133" s="118">
        <f t="shared" ca="1" si="41"/>
        <v>1232064</v>
      </c>
      <c r="AF133" s="118"/>
      <c r="AG133" s="118"/>
      <c r="AH133" s="118"/>
      <c r="AI133" s="118"/>
      <c r="AJ133" s="115"/>
    </row>
    <row r="134" spans="11:36" ht="18" customHeight="1">
      <c r="K134" s="171" t="s">
        <v>815</v>
      </c>
      <c r="L134" s="171"/>
      <c r="M134" s="171"/>
      <c r="V134" s="171"/>
      <c r="W134" s="171"/>
      <c r="X134" s="145" t="s">
        <v>39</v>
      </c>
      <c r="Y134" s="173">
        <v>5</v>
      </c>
      <c r="Z134" s="234">
        <f ca="1">OFFSET($A$1,MATCH(AJ131,$A:$A,0)-1,Y134)</f>
        <v>6.4</v>
      </c>
      <c r="AA134" s="144" t="s">
        <v>29</v>
      </c>
      <c r="AB134" s="118">
        <f t="shared" ca="1" si="40"/>
        <v>310884</v>
      </c>
      <c r="AC134" s="118">
        <f t="shared" ca="1" si="40"/>
        <v>1989657</v>
      </c>
      <c r="AD134" s="118">
        <f ca="1">고급</f>
        <v>310884</v>
      </c>
      <c r="AE134" s="118">
        <f t="shared" ca="1" si="41"/>
        <v>1989657</v>
      </c>
      <c r="AF134" s="118"/>
      <c r="AG134" s="118"/>
      <c r="AH134" s="118"/>
      <c r="AI134" s="118"/>
      <c r="AJ134" s="115"/>
    </row>
    <row r="135" spans="11:36" ht="18" customHeight="1">
      <c r="K135" s="171" t="s">
        <v>815</v>
      </c>
      <c r="L135" s="171"/>
      <c r="M135" s="171"/>
      <c r="V135" s="171"/>
      <c r="W135" s="171"/>
      <c r="X135" s="145" t="s">
        <v>40</v>
      </c>
      <c r="Y135" s="173">
        <v>6</v>
      </c>
      <c r="Z135" s="234">
        <f ca="1">OFFSET($A$1,MATCH(AJ131,$A:$A,0)-1,Y135)</f>
        <v>10.5</v>
      </c>
      <c r="AA135" s="144" t="s">
        <v>29</v>
      </c>
      <c r="AB135" s="118">
        <f t="shared" ca="1" si="40"/>
        <v>295138</v>
      </c>
      <c r="AC135" s="118">
        <f t="shared" ca="1" si="40"/>
        <v>3098949</v>
      </c>
      <c r="AD135" s="118">
        <f ca="1">중급</f>
        <v>295138</v>
      </c>
      <c r="AE135" s="118">
        <f t="shared" ca="1" si="41"/>
        <v>3098949</v>
      </c>
      <c r="AF135" s="118"/>
      <c r="AG135" s="118"/>
      <c r="AH135" s="118"/>
      <c r="AI135" s="118"/>
      <c r="AJ135" s="115"/>
    </row>
    <row r="136" spans="11:36" ht="18" customHeight="1">
      <c r="K136" s="171" t="s">
        <v>702</v>
      </c>
      <c r="L136" s="171"/>
      <c r="M136" s="171"/>
      <c r="V136" s="171"/>
      <c r="W136" s="171"/>
      <c r="X136" s="145" t="s">
        <v>41</v>
      </c>
      <c r="Y136" s="173">
        <v>7</v>
      </c>
      <c r="Z136" s="234">
        <f ca="1">OFFSET($A$1,MATCH(AJ131,$A:$A,0)-1,Y136)</f>
        <v>15.5</v>
      </c>
      <c r="AA136" s="144" t="s">
        <v>29</v>
      </c>
      <c r="AB136" s="118">
        <f t="shared" ca="1" si="40"/>
        <v>235459</v>
      </c>
      <c r="AC136" s="118">
        <f t="shared" ca="1" si="40"/>
        <v>3649614</v>
      </c>
      <c r="AD136" s="118">
        <f ca="1">초급</f>
        <v>235459</v>
      </c>
      <c r="AE136" s="118">
        <f t="shared" ca="1" si="41"/>
        <v>3649614</v>
      </c>
      <c r="AF136" s="118"/>
      <c r="AG136" s="118"/>
      <c r="AH136" s="118"/>
      <c r="AI136" s="118"/>
      <c r="AJ136" s="115"/>
    </row>
    <row r="137" spans="11:36" ht="18" customHeight="1">
      <c r="K137" s="171" t="s">
        <v>815</v>
      </c>
      <c r="L137" s="171"/>
      <c r="M137" s="171"/>
      <c r="V137" s="171"/>
      <c r="W137" s="171"/>
      <c r="X137" s="319" t="s">
        <v>42</v>
      </c>
      <c r="Y137" s="174">
        <v>8</v>
      </c>
      <c r="Z137" s="235">
        <f ca="1">OFFSET($A$1,MATCH(AJ131,$A:$A,0)-1,Y137)</f>
        <v>15</v>
      </c>
      <c r="AA137" s="322" t="s">
        <v>29</v>
      </c>
      <c r="AB137" s="323">
        <f t="shared" ca="1" si="40"/>
        <v>250087</v>
      </c>
      <c r="AC137" s="323">
        <f t="shared" ca="1" si="40"/>
        <v>3751305</v>
      </c>
      <c r="AD137" s="323">
        <f ca="1">보조원</f>
        <v>250087</v>
      </c>
      <c r="AE137" s="323">
        <f t="shared" ca="1" si="41"/>
        <v>3751305</v>
      </c>
      <c r="AF137" s="323"/>
      <c r="AG137" s="323"/>
      <c r="AH137" s="323"/>
      <c r="AI137" s="323"/>
      <c r="AJ137" s="324"/>
    </row>
    <row r="138" spans="11:36" ht="18" customHeight="1">
      <c r="K138" s="171" t="s">
        <v>702</v>
      </c>
      <c r="L138" s="171"/>
      <c r="M138" s="171"/>
      <c r="V138" s="171"/>
      <c r="W138" s="171"/>
      <c r="X138" s="139" t="s">
        <v>700</v>
      </c>
      <c r="Y138" s="68"/>
      <c r="Z138" s="69"/>
      <c r="AA138" s="70"/>
      <c r="AB138" s="71"/>
      <c r="AC138" s="71">
        <f ca="1">SUBTOTAL(9,AC132:AC137)</f>
        <v>14656023</v>
      </c>
      <c r="AD138" s="71"/>
      <c r="AE138" s="71">
        <f ca="1">SUBTOTAL(9,AE132:AE137)</f>
        <v>14656023</v>
      </c>
      <c r="AF138" s="71"/>
      <c r="AG138" s="71"/>
      <c r="AH138" s="71"/>
      <c r="AI138" s="71"/>
      <c r="AJ138" s="68"/>
    </row>
    <row r="139" spans="11:36" ht="18" customHeight="1">
      <c r="K139" s="171" t="s">
        <v>815</v>
      </c>
      <c r="L139" s="171"/>
      <c r="M139" s="171"/>
      <c r="V139" s="171"/>
      <c r="W139" s="171"/>
      <c r="X139" s="532" t="str">
        <f ca="1">"제 " &amp; AJ139 &amp; " 호표  "&amp; OFFSET($A$1,MATCH(AJ139,$A:$A,0)-1,1)</f>
        <v>제 12 호표  3.3. 생활권종합계획</v>
      </c>
      <c r="Y139" s="533"/>
      <c r="Z139" s="148"/>
      <c r="AA139" s="148"/>
      <c r="AB139" s="149"/>
      <c r="AC139" s="149"/>
      <c r="AD139" s="149"/>
      <c r="AE139" s="149"/>
      <c r="AF139" s="149"/>
      <c r="AG139" s="149"/>
      <c r="AH139" s="149"/>
      <c r="AI139" s="149"/>
      <c r="AJ139" s="325">
        <f>AJ131+1</f>
        <v>12</v>
      </c>
    </row>
    <row r="140" spans="11:36" ht="18" customHeight="1">
      <c r="K140" s="171" t="s">
        <v>815</v>
      </c>
      <c r="L140" s="171"/>
      <c r="M140" s="171"/>
      <c r="V140" s="171"/>
      <c r="W140" s="171"/>
      <c r="X140" s="140" t="s">
        <v>43</v>
      </c>
      <c r="Y140" s="172">
        <v>3</v>
      </c>
      <c r="Z140" s="534">
        <f ca="1">OFFSET($A$1,MATCH(AJ139,$A:$A,0)-1,Y140)</f>
        <v>3.3</v>
      </c>
      <c r="AA140" s="141" t="s">
        <v>29</v>
      </c>
      <c r="AB140" s="142">
        <f t="shared" ref="AB140:AC145" ca="1" si="42">AD140</f>
        <v>467217</v>
      </c>
      <c r="AC140" s="142">
        <f t="shared" ca="1" si="42"/>
        <v>1541816</v>
      </c>
      <c r="AD140" s="142">
        <f ca="1">기술사</f>
        <v>467217</v>
      </c>
      <c r="AE140" s="142">
        <f t="shared" ref="AE140:AE145" ca="1" si="43">ROUNDDOWN(Z140*AB140,0)</f>
        <v>1541816</v>
      </c>
      <c r="AF140" s="142"/>
      <c r="AG140" s="142"/>
      <c r="AH140" s="142"/>
      <c r="AI140" s="142"/>
      <c r="AJ140" s="114"/>
    </row>
    <row r="141" spans="11:36" ht="18" customHeight="1">
      <c r="K141" s="171" t="s">
        <v>815</v>
      </c>
      <c r="L141" s="171"/>
      <c r="M141" s="171"/>
      <c r="V141" s="171"/>
      <c r="W141" s="171"/>
      <c r="X141" s="143" t="s">
        <v>32</v>
      </c>
      <c r="Y141" s="173">
        <v>4</v>
      </c>
      <c r="Z141" s="234">
        <f ca="1">OFFSET($A$1,MATCH(AJ139,$A:$A,0)-1,Y141)</f>
        <v>5.3</v>
      </c>
      <c r="AA141" s="144" t="s">
        <v>29</v>
      </c>
      <c r="AB141" s="118">
        <f t="shared" ca="1" si="42"/>
        <v>373353</v>
      </c>
      <c r="AC141" s="118">
        <f t="shared" ca="1" si="42"/>
        <v>1978770</v>
      </c>
      <c r="AD141" s="118">
        <f ca="1">특급</f>
        <v>373353</v>
      </c>
      <c r="AE141" s="118">
        <f t="shared" ca="1" si="43"/>
        <v>1978770</v>
      </c>
      <c r="AF141" s="118"/>
      <c r="AG141" s="118"/>
      <c r="AH141" s="118"/>
      <c r="AI141" s="118"/>
      <c r="AJ141" s="115"/>
    </row>
    <row r="142" spans="11:36" ht="18" customHeight="1">
      <c r="K142" s="171" t="s">
        <v>815</v>
      </c>
      <c r="L142" s="171"/>
      <c r="M142" s="171"/>
      <c r="V142" s="171"/>
      <c r="W142" s="171"/>
      <c r="X142" s="145" t="s">
        <v>39</v>
      </c>
      <c r="Y142" s="173">
        <v>5</v>
      </c>
      <c r="Z142" s="234">
        <f ca="1">OFFSET($A$1,MATCH(AJ139,$A:$A,0)-1,Y142)</f>
        <v>13.1</v>
      </c>
      <c r="AA142" s="144" t="s">
        <v>29</v>
      </c>
      <c r="AB142" s="118">
        <f t="shared" ca="1" si="42"/>
        <v>310884</v>
      </c>
      <c r="AC142" s="118">
        <f t="shared" ca="1" si="42"/>
        <v>4072580</v>
      </c>
      <c r="AD142" s="118">
        <f ca="1">고급</f>
        <v>310884</v>
      </c>
      <c r="AE142" s="118">
        <f t="shared" ca="1" si="43"/>
        <v>4072580</v>
      </c>
      <c r="AF142" s="118"/>
      <c r="AG142" s="118"/>
      <c r="AH142" s="118"/>
      <c r="AI142" s="118"/>
      <c r="AJ142" s="115"/>
    </row>
    <row r="143" spans="11:36" ht="18" customHeight="1">
      <c r="K143" s="171" t="s">
        <v>815</v>
      </c>
      <c r="L143" s="171"/>
      <c r="M143" s="171"/>
      <c r="V143" s="171"/>
      <c r="W143" s="171"/>
      <c r="X143" s="145" t="s">
        <v>40</v>
      </c>
      <c r="Y143" s="173">
        <v>6</v>
      </c>
      <c r="Z143" s="234">
        <f ca="1">OFFSET($A$1,MATCH(AJ139,$A:$A,0)-1,Y143)</f>
        <v>28.7</v>
      </c>
      <c r="AA143" s="144" t="s">
        <v>29</v>
      </c>
      <c r="AB143" s="118">
        <f t="shared" ca="1" si="42"/>
        <v>295138</v>
      </c>
      <c r="AC143" s="118">
        <f t="shared" ca="1" si="42"/>
        <v>8470460</v>
      </c>
      <c r="AD143" s="118">
        <f ca="1">중급</f>
        <v>295138</v>
      </c>
      <c r="AE143" s="118">
        <f t="shared" ca="1" si="43"/>
        <v>8470460</v>
      </c>
      <c r="AF143" s="118"/>
      <c r="AG143" s="118"/>
      <c r="AH143" s="118"/>
      <c r="AI143" s="118"/>
      <c r="AJ143" s="115"/>
    </row>
    <row r="144" spans="11:36" ht="18" customHeight="1">
      <c r="K144" s="171" t="s">
        <v>815</v>
      </c>
      <c r="L144" s="171"/>
      <c r="M144" s="171"/>
      <c r="V144" s="171"/>
      <c r="W144" s="171"/>
      <c r="X144" s="145" t="s">
        <v>41</v>
      </c>
      <c r="Y144" s="173">
        <v>7</v>
      </c>
      <c r="Z144" s="234">
        <f ca="1">OFFSET($A$1,MATCH(AJ139,$A:$A,0)-1,Y144)</f>
        <v>31</v>
      </c>
      <c r="AA144" s="144" t="s">
        <v>29</v>
      </c>
      <c r="AB144" s="118">
        <f t="shared" ca="1" si="42"/>
        <v>235459</v>
      </c>
      <c r="AC144" s="118">
        <f t="shared" ca="1" si="42"/>
        <v>7299229</v>
      </c>
      <c r="AD144" s="118">
        <f ca="1">초급</f>
        <v>235459</v>
      </c>
      <c r="AE144" s="118">
        <f t="shared" ca="1" si="43"/>
        <v>7299229</v>
      </c>
      <c r="AF144" s="118"/>
      <c r="AG144" s="118"/>
      <c r="AH144" s="118"/>
      <c r="AI144" s="118"/>
      <c r="AJ144" s="115"/>
    </row>
    <row r="145" spans="11:36" ht="18" customHeight="1">
      <c r="K145" s="171" t="s">
        <v>814</v>
      </c>
      <c r="L145" s="171"/>
      <c r="M145" s="171"/>
      <c r="V145" s="171"/>
      <c r="W145" s="171"/>
      <c r="X145" s="319" t="s">
        <v>42</v>
      </c>
      <c r="Y145" s="174">
        <v>8</v>
      </c>
      <c r="Z145" s="235">
        <f ca="1">OFFSET($A$1,MATCH(AJ139,$A:$A,0)-1,Y145)</f>
        <v>31.9</v>
      </c>
      <c r="AA145" s="322" t="s">
        <v>29</v>
      </c>
      <c r="AB145" s="323">
        <f t="shared" ca="1" si="42"/>
        <v>250087</v>
      </c>
      <c r="AC145" s="323">
        <f t="shared" ca="1" si="42"/>
        <v>7977775</v>
      </c>
      <c r="AD145" s="323">
        <f ca="1">보조원</f>
        <v>250087</v>
      </c>
      <c r="AE145" s="323">
        <f t="shared" ca="1" si="43"/>
        <v>7977775</v>
      </c>
      <c r="AF145" s="323"/>
      <c r="AG145" s="323"/>
      <c r="AH145" s="323"/>
      <c r="AI145" s="323"/>
      <c r="AJ145" s="324"/>
    </row>
    <row r="146" spans="11:36" ht="18" customHeight="1">
      <c r="K146" s="171" t="s">
        <v>815</v>
      </c>
      <c r="L146" s="171"/>
      <c r="M146" s="171"/>
      <c r="V146" s="171"/>
      <c r="W146" s="171"/>
      <c r="X146" s="139" t="s">
        <v>817</v>
      </c>
      <c r="Y146" s="68"/>
      <c r="Z146" s="69"/>
      <c r="AA146" s="70"/>
      <c r="AB146" s="71"/>
      <c r="AC146" s="71">
        <f ca="1">SUBTOTAL(9,AC140:AC145)</f>
        <v>31340630</v>
      </c>
      <c r="AD146" s="71"/>
      <c r="AE146" s="71">
        <f ca="1">SUBTOTAL(9,AE140:AE145)</f>
        <v>31340630</v>
      </c>
      <c r="AF146" s="71"/>
      <c r="AG146" s="71"/>
      <c r="AH146" s="71"/>
      <c r="AI146" s="71"/>
      <c r="AJ146" s="68"/>
    </row>
    <row r="147" spans="11:36" ht="18" customHeight="1">
      <c r="K147" s="171" t="s">
        <v>815</v>
      </c>
      <c r="L147" s="171"/>
      <c r="M147" s="171"/>
      <c r="V147" s="171"/>
      <c r="W147" s="171"/>
      <c r="X147" s="532" t="str">
        <f ca="1">"제 " &amp; AJ147 &amp; " 호표  "&amp; OFFSET($A$1,MATCH(AJ147,$A:$A,0)-1,1)</f>
        <v>제 13 호표  3.4. 부문별 계획(주거환경관리, 생활권기반시설, 생활가로, 특성관리)</v>
      </c>
      <c r="Y147" s="533"/>
      <c r="Z147" s="148"/>
      <c r="AA147" s="148"/>
      <c r="AB147" s="149"/>
      <c r="AC147" s="149"/>
      <c r="AD147" s="149"/>
      <c r="AE147" s="149"/>
      <c r="AF147" s="149"/>
      <c r="AG147" s="149"/>
      <c r="AH147" s="149"/>
      <c r="AI147" s="149"/>
      <c r="AJ147" s="325">
        <f>AJ139+1</f>
        <v>13</v>
      </c>
    </row>
    <row r="148" spans="11:36" ht="18" customHeight="1">
      <c r="K148" s="171" t="s">
        <v>815</v>
      </c>
      <c r="L148" s="171"/>
      <c r="M148" s="171"/>
      <c r="V148" s="171"/>
      <c r="W148" s="171"/>
      <c r="X148" s="140" t="s">
        <v>43</v>
      </c>
      <c r="Y148" s="172">
        <v>3</v>
      </c>
      <c r="Z148" s="534">
        <f ca="1">OFFSET($A$1,MATCH(AJ147,$A:$A,0)-1,Y148)</f>
        <v>2</v>
      </c>
      <c r="AA148" s="141" t="s">
        <v>29</v>
      </c>
      <c r="AB148" s="142">
        <f t="shared" ref="AB148:AC153" ca="1" si="44">AD148</f>
        <v>467217</v>
      </c>
      <c r="AC148" s="142">
        <f t="shared" ca="1" si="44"/>
        <v>934434</v>
      </c>
      <c r="AD148" s="142">
        <f ca="1">기술사</f>
        <v>467217</v>
      </c>
      <c r="AE148" s="142">
        <f t="shared" ref="AE148:AE153" ca="1" si="45">ROUNDDOWN(Z148*AB148,0)</f>
        <v>934434</v>
      </c>
      <c r="AF148" s="142"/>
      <c r="AG148" s="142"/>
      <c r="AH148" s="142"/>
      <c r="AI148" s="142"/>
      <c r="AJ148" s="114"/>
    </row>
    <row r="149" spans="11:36" ht="18" customHeight="1">
      <c r="K149" s="171" t="s">
        <v>815</v>
      </c>
      <c r="L149" s="171"/>
      <c r="M149" s="171"/>
      <c r="V149" s="171"/>
      <c r="W149" s="171"/>
      <c r="X149" s="143" t="s">
        <v>32</v>
      </c>
      <c r="Y149" s="173">
        <v>4</v>
      </c>
      <c r="Z149" s="234">
        <f ca="1">OFFSET($A$1,MATCH(AJ147,$A:$A,0)-1,Y149)</f>
        <v>3.1</v>
      </c>
      <c r="AA149" s="144" t="s">
        <v>29</v>
      </c>
      <c r="AB149" s="118">
        <f t="shared" ca="1" si="44"/>
        <v>373353</v>
      </c>
      <c r="AC149" s="118">
        <f t="shared" ca="1" si="44"/>
        <v>1157394</v>
      </c>
      <c r="AD149" s="118">
        <f ca="1">특급</f>
        <v>373353</v>
      </c>
      <c r="AE149" s="118">
        <f t="shared" ca="1" si="45"/>
        <v>1157394</v>
      </c>
      <c r="AF149" s="118"/>
      <c r="AG149" s="118"/>
      <c r="AH149" s="118"/>
      <c r="AI149" s="118"/>
      <c r="AJ149" s="115"/>
    </row>
    <row r="150" spans="11:36" ht="18" customHeight="1">
      <c r="K150" s="171" t="s">
        <v>815</v>
      </c>
      <c r="L150" s="171"/>
      <c r="M150" s="171"/>
      <c r="V150" s="171"/>
      <c r="W150" s="171"/>
      <c r="X150" s="145" t="s">
        <v>39</v>
      </c>
      <c r="Y150" s="173">
        <v>5</v>
      </c>
      <c r="Z150" s="234">
        <f ca="1">OFFSET($A$1,MATCH(AJ147,$A:$A,0)-1,Y150)</f>
        <v>6.4</v>
      </c>
      <c r="AA150" s="144" t="s">
        <v>29</v>
      </c>
      <c r="AB150" s="118">
        <f t="shared" ca="1" si="44"/>
        <v>310884</v>
      </c>
      <c r="AC150" s="118">
        <f t="shared" ca="1" si="44"/>
        <v>1989657</v>
      </c>
      <c r="AD150" s="118">
        <f ca="1">고급</f>
        <v>310884</v>
      </c>
      <c r="AE150" s="118">
        <f t="shared" ca="1" si="45"/>
        <v>1989657</v>
      </c>
      <c r="AF150" s="118"/>
      <c r="AG150" s="118"/>
      <c r="AH150" s="118"/>
      <c r="AI150" s="118"/>
      <c r="AJ150" s="115"/>
    </row>
    <row r="151" spans="11:36" ht="18" customHeight="1">
      <c r="K151" s="171" t="s">
        <v>815</v>
      </c>
      <c r="L151" s="171"/>
      <c r="M151" s="171"/>
      <c r="V151" s="171"/>
      <c r="W151" s="171"/>
      <c r="X151" s="145" t="s">
        <v>40</v>
      </c>
      <c r="Y151" s="173">
        <v>6</v>
      </c>
      <c r="Z151" s="234">
        <f ca="1">OFFSET($A$1,MATCH(AJ147,$A:$A,0)-1,Y151)</f>
        <v>10.5</v>
      </c>
      <c r="AA151" s="144" t="s">
        <v>29</v>
      </c>
      <c r="AB151" s="118">
        <f t="shared" ca="1" si="44"/>
        <v>295138</v>
      </c>
      <c r="AC151" s="118">
        <f t="shared" ca="1" si="44"/>
        <v>3098949</v>
      </c>
      <c r="AD151" s="118">
        <f ca="1">중급</f>
        <v>295138</v>
      </c>
      <c r="AE151" s="118">
        <f t="shared" ca="1" si="45"/>
        <v>3098949</v>
      </c>
      <c r="AF151" s="118"/>
      <c r="AG151" s="118"/>
      <c r="AH151" s="118"/>
      <c r="AI151" s="118"/>
      <c r="AJ151" s="115"/>
    </row>
    <row r="152" spans="11:36" ht="18" customHeight="1">
      <c r="K152" s="171" t="s">
        <v>814</v>
      </c>
      <c r="L152" s="171"/>
      <c r="M152" s="171"/>
      <c r="V152" s="171"/>
      <c r="W152" s="171"/>
      <c r="X152" s="145" t="s">
        <v>41</v>
      </c>
      <c r="Y152" s="173">
        <v>7</v>
      </c>
      <c r="Z152" s="234">
        <f ca="1">OFFSET($A$1,MATCH(AJ147,$A:$A,0)-1,Y152)</f>
        <v>15.6</v>
      </c>
      <c r="AA152" s="144" t="s">
        <v>29</v>
      </c>
      <c r="AB152" s="118">
        <f t="shared" ca="1" si="44"/>
        <v>235459</v>
      </c>
      <c r="AC152" s="118">
        <f t="shared" ca="1" si="44"/>
        <v>3673160</v>
      </c>
      <c r="AD152" s="118">
        <f ca="1">초급</f>
        <v>235459</v>
      </c>
      <c r="AE152" s="118">
        <f t="shared" ca="1" si="45"/>
        <v>3673160</v>
      </c>
      <c r="AF152" s="118"/>
      <c r="AG152" s="118"/>
      <c r="AH152" s="118"/>
      <c r="AI152" s="118"/>
      <c r="AJ152" s="115"/>
    </row>
    <row r="153" spans="11:36" ht="18" customHeight="1">
      <c r="K153" s="171" t="s">
        <v>815</v>
      </c>
      <c r="L153" s="171"/>
      <c r="M153" s="171"/>
      <c r="V153" s="171"/>
      <c r="W153" s="171"/>
      <c r="X153" s="319" t="s">
        <v>42</v>
      </c>
      <c r="Y153" s="174">
        <v>8</v>
      </c>
      <c r="Z153" s="235">
        <f ca="1">OFFSET($A$1,MATCH(AJ147,$A:$A,0)-1,Y153)</f>
        <v>15</v>
      </c>
      <c r="AA153" s="322" t="s">
        <v>29</v>
      </c>
      <c r="AB153" s="323">
        <f t="shared" ca="1" si="44"/>
        <v>250087</v>
      </c>
      <c r="AC153" s="323">
        <f t="shared" ca="1" si="44"/>
        <v>3751305</v>
      </c>
      <c r="AD153" s="323">
        <f ca="1">보조원</f>
        <v>250087</v>
      </c>
      <c r="AE153" s="323">
        <f t="shared" ca="1" si="45"/>
        <v>3751305</v>
      </c>
      <c r="AF153" s="323"/>
      <c r="AG153" s="323"/>
      <c r="AH153" s="323"/>
      <c r="AI153" s="323"/>
      <c r="AJ153" s="324"/>
    </row>
    <row r="154" spans="11:36" ht="18" customHeight="1">
      <c r="K154" s="171" t="s">
        <v>815</v>
      </c>
      <c r="L154" s="171"/>
      <c r="M154" s="171"/>
      <c r="V154" s="171"/>
      <c r="W154" s="171"/>
      <c r="X154" s="139" t="s">
        <v>817</v>
      </c>
      <c r="Y154" s="68"/>
      <c r="Z154" s="69"/>
      <c r="AA154" s="70"/>
      <c r="AB154" s="71"/>
      <c r="AC154" s="71">
        <f ca="1">SUBTOTAL(9,AC148:AC153)</f>
        <v>14604899</v>
      </c>
      <c r="AD154" s="71"/>
      <c r="AE154" s="71">
        <f ca="1">SUBTOTAL(9,AE148:AE153)</f>
        <v>14604899</v>
      </c>
      <c r="AF154" s="71"/>
      <c r="AG154" s="71"/>
      <c r="AH154" s="71"/>
      <c r="AI154" s="71"/>
      <c r="AJ154" s="68"/>
    </row>
    <row r="155" spans="11:36" ht="18" customHeight="1">
      <c r="K155" s="171" t="s">
        <v>815</v>
      </c>
      <c r="L155" s="171"/>
      <c r="M155" s="171"/>
      <c r="V155" s="171"/>
      <c r="W155" s="171"/>
      <c r="X155" s="532" t="str">
        <f ca="1">"제 " &amp; AJ155 &amp; " 호표  "&amp; OFFSET($A$1,MATCH(AJ155,$A:$A,0)-1,1)</f>
        <v>제 14 호표  3.5. 주택수급계획</v>
      </c>
      <c r="Y155" s="533"/>
      <c r="Z155" s="148"/>
      <c r="AA155" s="148"/>
      <c r="AB155" s="149"/>
      <c r="AC155" s="149"/>
      <c r="AD155" s="149"/>
      <c r="AE155" s="149"/>
      <c r="AF155" s="149"/>
      <c r="AG155" s="149"/>
      <c r="AH155" s="149"/>
      <c r="AI155" s="149"/>
      <c r="AJ155" s="325">
        <f>AJ147+1</f>
        <v>14</v>
      </c>
    </row>
    <row r="156" spans="11:36" ht="18" customHeight="1">
      <c r="K156" s="171" t="s">
        <v>702</v>
      </c>
      <c r="L156" s="171"/>
      <c r="M156" s="171"/>
      <c r="V156" s="171"/>
      <c r="W156" s="171"/>
      <c r="X156" s="140" t="s">
        <v>43</v>
      </c>
      <c r="Y156" s="172">
        <v>3</v>
      </c>
      <c r="Z156" s="534">
        <f ca="1">OFFSET($A$1,MATCH(AJ155,$A:$A,0)-1,Y156)</f>
        <v>0.3</v>
      </c>
      <c r="AA156" s="141" t="s">
        <v>29</v>
      </c>
      <c r="AB156" s="142">
        <f t="shared" ref="AB156:AC161" ca="1" si="46">AD156</f>
        <v>467217</v>
      </c>
      <c r="AC156" s="142">
        <f t="shared" ca="1" si="46"/>
        <v>140165</v>
      </c>
      <c r="AD156" s="142">
        <f ca="1">기술사</f>
        <v>467217</v>
      </c>
      <c r="AE156" s="142">
        <f t="shared" ref="AE156:AE161" ca="1" si="47">ROUNDDOWN(Z156*AB156,0)</f>
        <v>140165</v>
      </c>
      <c r="AF156" s="142"/>
      <c r="AG156" s="142"/>
      <c r="AH156" s="142"/>
      <c r="AI156" s="142"/>
      <c r="AJ156" s="114"/>
    </row>
    <row r="157" spans="11:36" ht="18" customHeight="1">
      <c r="K157" s="171" t="s">
        <v>702</v>
      </c>
      <c r="L157" s="171"/>
      <c r="M157" s="171"/>
      <c r="V157" s="171"/>
      <c r="W157" s="171"/>
      <c r="X157" s="143" t="s">
        <v>32</v>
      </c>
      <c r="Y157" s="173">
        <v>4</v>
      </c>
      <c r="Z157" s="234">
        <f ca="1">OFFSET($A$1,MATCH(AJ155,$A:$A,0)-1,Y157)</f>
        <v>0.7</v>
      </c>
      <c r="AA157" s="144" t="s">
        <v>29</v>
      </c>
      <c r="AB157" s="118">
        <f t="shared" ca="1" si="46"/>
        <v>373353</v>
      </c>
      <c r="AC157" s="118">
        <f t="shared" ca="1" si="46"/>
        <v>261347</v>
      </c>
      <c r="AD157" s="118">
        <f ca="1">특급</f>
        <v>373353</v>
      </c>
      <c r="AE157" s="118">
        <f t="shared" ca="1" si="47"/>
        <v>261347</v>
      </c>
      <c r="AF157" s="118"/>
      <c r="AG157" s="118"/>
      <c r="AH157" s="118"/>
      <c r="AI157" s="118"/>
      <c r="AJ157" s="115"/>
    </row>
    <row r="158" spans="11:36" ht="18" customHeight="1">
      <c r="K158" s="171" t="s">
        <v>702</v>
      </c>
      <c r="L158" s="171"/>
      <c r="M158" s="171"/>
      <c r="V158" s="171"/>
      <c r="W158" s="171"/>
      <c r="X158" s="145" t="s">
        <v>39</v>
      </c>
      <c r="Y158" s="173">
        <v>5</v>
      </c>
      <c r="Z158" s="234">
        <f ca="1">OFFSET($A$1,MATCH(AJ155,$A:$A,0)-1,Y158)</f>
        <v>2.1</v>
      </c>
      <c r="AA158" s="144" t="s">
        <v>29</v>
      </c>
      <c r="AB158" s="118">
        <f t="shared" ca="1" si="46"/>
        <v>310884</v>
      </c>
      <c r="AC158" s="118">
        <f t="shared" ca="1" si="46"/>
        <v>652856</v>
      </c>
      <c r="AD158" s="118">
        <f ca="1">고급</f>
        <v>310884</v>
      </c>
      <c r="AE158" s="118">
        <f t="shared" ca="1" si="47"/>
        <v>652856</v>
      </c>
      <c r="AF158" s="118"/>
      <c r="AG158" s="118"/>
      <c r="AH158" s="118"/>
      <c r="AI158" s="118"/>
      <c r="AJ158" s="115"/>
    </row>
    <row r="159" spans="11:36" ht="18" customHeight="1">
      <c r="K159" s="171" t="s">
        <v>702</v>
      </c>
      <c r="L159" s="171"/>
      <c r="M159" s="171"/>
      <c r="V159" s="171"/>
      <c r="W159" s="171"/>
      <c r="X159" s="145" t="s">
        <v>40</v>
      </c>
      <c r="Y159" s="173">
        <v>6</v>
      </c>
      <c r="Z159" s="234">
        <f ca="1">OFFSET($A$1,MATCH(AJ155,$A:$A,0)-1,Y159)</f>
        <v>3.3</v>
      </c>
      <c r="AA159" s="144" t="s">
        <v>29</v>
      </c>
      <c r="AB159" s="118">
        <f t="shared" ca="1" si="46"/>
        <v>295138</v>
      </c>
      <c r="AC159" s="118">
        <f t="shared" ca="1" si="46"/>
        <v>973955</v>
      </c>
      <c r="AD159" s="118">
        <f ca="1">중급</f>
        <v>295138</v>
      </c>
      <c r="AE159" s="118">
        <f t="shared" ca="1" si="47"/>
        <v>973955</v>
      </c>
      <c r="AF159" s="118"/>
      <c r="AG159" s="118"/>
      <c r="AH159" s="118"/>
      <c r="AI159" s="118"/>
      <c r="AJ159" s="115"/>
    </row>
    <row r="160" spans="11:36" ht="18" customHeight="1">
      <c r="K160" s="171" t="s">
        <v>702</v>
      </c>
      <c r="L160" s="171"/>
      <c r="M160" s="171"/>
      <c r="V160" s="171"/>
      <c r="W160" s="171"/>
      <c r="X160" s="145" t="s">
        <v>41</v>
      </c>
      <c r="Y160" s="173">
        <v>7</v>
      </c>
      <c r="Z160" s="234">
        <f ca="1">OFFSET($A$1,MATCH(AJ155,$A:$A,0)-1,Y160)</f>
        <v>4.8</v>
      </c>
      <c r="AA160" s="144" t="s">
        <v>29</v>
      </c>
      <c r="AB160" s="118">
        <f t="shared" ca="1" si="46"/>
        <v>235459</v>
      </c>
      <c r="AC160" s="118">
        <f t="shared" ca="1" si="46"/>
        <v>1130203</v>
      </c>
      <c r="AD160" s="118">
        <f ca="1">초급</f>
        <v>235459</v>
      </c>
      <c r="AE160" s="118">
        <f t="shared" ca="1" si="47"/>
        <v>1130203</v>
      </c>
      <c r="AF160" s="118"/>
      <c r="AG160" s="118"/>
      <c r="AH160" s="118"/>
      <c r="AI160" s="118"/>
      <c r="AJ160" s="115"/>
    </row>
    <row r="161" spans="11:36" ht="18" customHeight="1">
      <c r="K161" s="171" t="s">
        <v>814</v>
      </c>
      <c r="L161" s="171"/>
      <c r="M161" s="171"/>
      <c r="V161" s="171"/>
      <c r="W161" s="171"/>
      <c r="X161" s="319" t="s">
        <v>42</v>
      </c>
      <c r="Y161" s="174">
        <v>8</v>
      </c>
      <c r="Z161" s="235">
        <f ca="1">OFFSET($A$1,MATCH(AJ155,$A:$A,0)-1,Y161)</f>
        <v>4.7</v>
      </c>
      <c r="AA161" s="322" t="s">
        <v>29</v>
      </c>
      <c r="AB161" s="323">
        <f t="shared" ca="1" si="46"/>
        <v>250087</v>
      </c>
      <c r="AC161" s="323">
        <f t="shared" ca="1" si="46"/>
        <v>1175408</v>
      </c>
      <c r="AD161" s="323">
        <f ca="1">보조원</f>
        <v>250087</v>
      </c>
      <c r="AE161" s="323">
        <f t="shared" ca="1" si="47"/>
        <v>1175408</v>
      </c>
      <c r="AF161" s="323"/>
      <c r="AG161" s="323"/>
      <c r="AH161" s="323"/>
      <c r="AI161" s="323"/>
      <c r="AJ161" s="324"/>
    </row>
    <row r="162" spans="11:36" ht="18" customHeight="1">
      <c r="K162" s="171" t="s">
        <v>702</v>
      </c>
      <c r="L162" s="171"/>
      <c r="M162" s="171"/>
      <c r="V162" s="171"/>
      <c r="W162" s="171"/>
      <c r="X162" s="139" t="s">
        <v>700</v>
      </c>
      <c r="Y162" s="68"/>
      <c r="Z162" s="69"/>
      <c r="AA162" s="70"/>
      <c r="AB162" s="71"/>
      <c r="AC162" s="71">
        <f ca="1">SUBTOTAL(9,AC156:AC161)</f>
        <v>4333934</v>
      </c>
      <c r="AD162" s="71"/>
      <c r="AE162" s="71">
        <f ca="1">SUBTOTAL(9,AE156:AE161)</f>
        <v>4333934</v>
      </c>
      <c r="AF162" s="71"/>
      <c r="AG162" s="71"/>
      <c r="AH162" s="71"/>
      <c r="AI162" s="71"/>
      <c r="AJ162" s="68"/>
    </row>
    <row r="163" spans="11:36" ht="18" customHeight="1">
      <c r="K163" s="171" t="s">
        <v>815</v>
      </c>
      <c r="L163" s="171"/>
      <c r="M163" s="171"/>
      <c r="V163" s="171"/>
      <c r="W163" s="171"/>
      <c r="X163" s="532" t="str">
        <f ca="1">"제 " &amp; AJ163 &amp; " 호표  "&amp; OFFSET($A$1,MATCH(AJ163,$A:$A,0)-1,1)</f>
        <v>제 15 호표  4.1. 보고서 작성 및 편집</v>
      </c>
      <c r="Y163" s="533"/>
      <c r="Z163" s="148"/>
      <c r="AA163" s="148"/>
      <c r="AB163" s="149"/>
      <c r="AC163" s="149"/>
      <c r="AD163" s="149"/>
      <c r="AE163" s="149"/>
      <c r="AF163" s="149"/>
      <c r="AG163" s="149"/>
      <c r="AH163" s="149"/>
      <c r="AI163" s="149"/>
      <c r="AJ163" s="325">
        <f>AJ155+1</f>
        <v>15</v>
      </c>
    </row>
    <row r="164" spans="11:36" ht="18" customHeight="1">
      <c r="K164" s="171" t="s">
        <v>815</v>
      </c>
      <c r="L164" s="171"/>
      <c r="M164" s="171"/>
      <c r="V164" s="171"/>
      <c r="W164" s="171"/>
      <c r="X164" s="140" t="s">
        <v>43</v>
      </c>
      <c r="Y164" s="172">
        <v>3</v>
      </c>
      <c r="Z164" s="534">
        <f ca="1">OFFSET($A$1,MATCH(AJ163,$A:$A,0)-1,Y164)</f>
        <v>1.8</v>
      </c>
      <c r="AA164" s="141" t="s">
        <v>29</v>
      </c>
      <c r="AB164" s="142">
        <f t="shared" ref="AB164:AC169" ca="1" si="48">AD164</f>
        <v>467217</v>
      </c>
      <c r="AC164" s="142">
        <f t="shared" ca="1" si="48"/>
        <v>840990</v>
      </c>
      <c r="AD164" s="142">
        <f ca="1">기술사</f>
        <v>467217</v>
      </c>
      <c r="AE164" s="142">
        <f t="shared" ref="AE164:AE169" ca="1" si="49">ROUNDDOWN(Z164*AB164,0)</f>
        <v>840990</v>
      </c>
      <c r="AF164" s="142"/>
      <c r="AG164" s="142"/>
      <c r="AH164" s="142"/>
      <c r="AI164" s="142"/>
      <c r="AJ164" s="114"/>
    </row>
    <row r="165" spans="11:36" ht="18" customHeight="1">
      <c r="K165" s="171" t="s">
        <v>815</v>
      </c>
      <c r="L165" s="171"/>
      <c r="M165" s="171"/>
      <c r="V165" s="171"/>
      <c r="W165" s="171"/>
      <c r="X165" s="143" t="s">
        <v>32</v>
      </c>
      <c r="Y165" s="173">
        <v>4</v>
      </c>
      <c r="Z165" s="234">
        <f ca="1">OFFSET($A$1,MATCH(AJ163,$A:$A,0)-1,Y165)</f>
        <v>2.8</v>
      </c>
      <c r="AA165" s="144" t="s">
        <v>29</v>
      </c>
      <c r="AB165" s="118">
        <f t="shared" ca="1" si="48"/>
        <v>373353</v>
      </c>
      <c r="AC165" s="118">
        <f t="shared" ca="1" si="48"/>
        <v>1045388</v>
      </c>
      <c r="AD165" s="118">
        <f ca="1">특급</f>
        <v>373353</v>
      </c>
      <c r="AE165" s="118">
        <f t="shared" ca="1" si="49"/>
        <v>1045388</v>
      </c>
      <c r="AF165" s="118"/>
      <c r="AG165" s="118"/>
      <c r="AH165" s="118"/>
      <c r="AI165" s="118"/>
      <c r="AJ165" s="115"/>
    </row>
    <row r="166" spans="11:36" ht="18" customHeight="1">
      <c r="K166" s="171" t="s">
        <v>815</v>
      </c>
      <c r="L166" s="171"/>
      <c r="M166" s="171"/>
      <c r="V166" s="171"/>
      <c r="W166" s="171"/>
      <c r="X166" s="145" t="s">
        <v>39</v>
      </c>
      <c r="Y166" s="173">
        <v>5</v>
      </c>
      <c r="Z166" s="234">
        <f ca="1">OFFSET($A$1,MATCH(AJ163,$A:$A,0)-1,Y166)</f>
        <v>6.4</v>
      </c>
      <c r="AA166" s="144" t="s">
        <v>29</v>
      </c>
      <c r="AB166" s="118">
        <f t="shared" ca="1" si="48"/>
        <v>310884</v>
      </c>
      <c r="AC166" s="118">
        <f t="shared" ca="1" si="48"/>
        <v>1989657</v>
      </c>
      <c r="AD166" s="118">
        <f ca="1">고급</f>
        <v>310884</v>
      </c>
      <c r="AE166" s="118">
        <f t="shared" ca="1" si="49"/>
        <v>1989657</v>
      </c>
      <c r="AF166" s="118"/>
      <c r="AG166" s="118"/>
      <c r="AH166" s="118"/>
      <c r="AI166" s="118"/>
      <c r="AJ166" s="115"/>
    </row>
    <row r="167" spans="11:36" ht="18" customHeight="1">
      <c r="K167" s="171" t="s">
        <v>814</v>
      </c>
      <c r="L167" s="171"/>
      <c r="M167" s="171"/>
      <c r="V167" s="171"/>
      <c r="W167" s="171"/>
      <c r="X167" s="145" t="s">
        <v>40</v>
      </c>
      <c r="Y167" s="173">
        <v>6</v>
      </c>
      <c r="Z167" s="234">
        <f ca="1">OFFSET($A$1,MATCH(AJ163,$A:$A,0)-1,Y167)</f>
        <v>10.6</v>
      </c>
      <c r="AA167" s="144" t="s">
        <v>29</v>
      </c>
      <c r="AB167" s="118">
        <f t="shared" ca="1" si="48"/>
        <v>295138</v>
      </c>
      <c r="AC167" s="118">
        <f t="shared" ca="1" si="48"/>
        <v>3128462</v>
      </c>
      <c r="AD167" s="118">
        <f ca="1">중급</f>
        <v>295138</v>
      </c>
      <c r="AE167" s="118">
        <f t="shared" ca="1" si="49"/>
        <v>3128462</v>
      </c>
      <c r="AF167" s="118"/>
      <c r="AG167" s="118"/>
      <c r="AH167" s="118"/>
      <c r="AI167" s="118"/>
      <c r="AJ167" s="115"/>
    </row>
    <row r="168" spans="11:36" ht="18" customHeight="1">
      <c r="K168" s="171" t="s">
        <v>815</v>
      </c>
      <c r="L168" s="171"/>
      <c r="M168" s="171"/>
      <c r="V168" s="171"/>
      <c r="W168" s="171"/>
      <c r="X168" s="145" t="s">
        <v>41</v>
      </c>
      <c r="Y168" s="173">
        <v>7</v>
      </c>
      <c r="Z168" s="234">
        <f ca="1">OFFSET($A$1,MATCH(AJ163,$A:$A,0)-1,Y168)</f>
        <v>10.5</v>
      </c>
      <c r="AA168" s="144" t="s">
        <v>29</v>
      </c>
      <c r="AB168" s="118">
        <f t="shared" ca="1" si="48"/>
        <v>235459</v>
      </c>
      <c r="AC168" s="118">
        <f t="shared" ca="1" si="48"/>
        <v>2472319</v>
      </c>
      <c r="AD168" s="118">
        <f ca="1">초급</f>
        <v>235459</v>
      </c>
      <c r="AE168" s="118">
        <f t="shared" ca="1" si="49"/>
        <v>2472319</v>
      </c>
      <c r="AF168" s="118"/>
      <c r="AG168" s="118"/>
      <c r="AH168" s="118"/>
      <c r="AI168" s="118"/>
      <c r="AJ168" s="115"/>
    </row>
    <row r="169" spans="11:36" ht="18" customHeight="1">
      <c r="K169" s="171" t="s">
        <v>815</v>
      </c>
      <c r="L169" s="171"/>
      <c r="M169" s="171"/>
      <c r="V169" s="171"/>
      <c r="W169" s="171"/>
      <c r="X169" s="319" t="s">
        <v>42</v>
      </c>
      <c r="Y169" s="174">
        <v>8</v>
      </c>
      <c r="Z169" s="235">
        <f ca="1">OFFSET($A$1,MATCH(AJ163,$A:$A,0)-1,Y169)</f>
        <v>7</v>
      </c>
      <c r="AA169" s="322" t="s">
        <v>29</v>
      </c>
      <c r="AB169" s="323">
        <f t="shared" ca="1" si="48"/>
        <v>250087</v>
      </c>
      <c r="AC169" s="323">
        <f t="shared" ca="1" si="48"/>
        <v>1750609</v>
      </c>
      <c r="AD169" s="323">
        <f ca="1">보조원</f>
        <v>250087</v>
      </c>
      <c r="AE169" s="323">
        <f t="shared" ca="1" si="49"/>
        <v>1750609</v>
      </c>
      <c r="AF169" s="323"/>
      <c r="AG169" s="323"/>
      <c r="AH169" s="323"/>
      <c r="AI169" s="323"/>
      <c r="AJ169" s="324"/>
    </row>
    <row r="170" spans="11:36" ht="18" customHeight="1">
      <c r="K170" s="171" t="s">
        <v>814</v>
      </c>
      <c r="L170" s="171"/>
      <c r="M170" s="171"/>
      <c r="V170" s="171"/>
      <c r="W170" s="171"/>
      <c r="X170" s="139" t="s">
        <v>700</v>
      </c>
      <c r="Y170" s="68"/>
      <c r="Z170" s="69"/>
      <c r="AA170" s="70"/>
      <c r="AB170" s="71"/>
      <c r="AC170" s="71">
        <f ca="1">SUBTOTAL(9,AC164:AC169)</f>
        <v>11227425</v>
      </c>
      <c r="AD170" s="71"/>
      <c r="AE170" s="71">
        <f ca="1">SUBTOTAL(9,AE164:AE169)</f>
        <v>11227425</v>
      </c>
      <c r="AF170" s="71"/>
      <c r="AG170" s="71"/>
      <c r="AH170" s="71"/>
      <c r="AI170" s="71"/>
      <c r="AJ170" s="68"/>
    </row>
    <row r="171" spans="11:36" ht="18" customHeight="1">
      <c r="K171" s="171" t="s">
        <v>815</v>
      </c>
      <c r="L171" s="171"/>
      <c r="M171" s="171"/>
      <c r="V171" s="171"/>
      <c r="W171" s="171"/>
      <c r="X171" s="532" t="str">
        <f ca="1">"제 " &amp; AJ171 &amp; " 호표  "&amp; OFFSET($A$1,MATCH(AJ171,$A:$A,0)-1,1)</f>
        <v>제 16 호표  4.2. 관련도서 작성</v>
      </c>
      <c r="Y171" s="533"/>
      <c r="Z171" s="148"/>
      <c r="AA171" s="148"/>
      <c r="AB171" s="149"/>
      <c r="AC171" s="149"/>
      <c r="AD171" s="149"/>
      <c r="AE171" s="149"/>
      <c r="AF171" s="149"/>
      <c r="AG171" s="149"/>
      <c r="AH171" s="149"/>
      <c r="AI171" s="149"/>
      <c r="AJ171" s="325">
        <f>AJ163+1</f>
        <v>16</v>
      </c>
    </row>
    <row r="172" spans="11:36" ht="18" customHeight="1">
      <c r="K172" s="171" t="s">
        <v>815</v>
      </c>
      <c r="L172" s="171"/>
      <c r="M172" s="171"/>
      <c r="V172" s="171"/>
      <c r="W172" s="171"/>
      <c r="X172" s="140" t="s">
        <v>43</v>
      </c>
      <c r="Y172" s="172">
        <v>3</v>
      </c>
      <c r="Z172" s="534">
        <f ca="1">OFFSET($A$1,MATCH(AJ171,$A:$A,0)-1,Y172)</f>
        <v>0.8</v>
      </c>
      <c r="AA172" s="141" t="s">
        <v>29</v>
      </c>
      <c r="AB172" s="142">
        <f t="shared" ref="AB172:AC177" ca="1" si="50">AD172</f>
        <v>467217</v>
      </c>
      <c r="AC172" s="142">
        <f t="shared" ca="1" si="50"/>
        <v>373773</v>
      </c>
      <c r="AD172" s="142">
        <f ca="1">기술사</f>
        <v>467217</v>
      </c>
      <c r="AE172" s="142">
        <f t="shared" ref="AE172:AE177" ca="1" si="51">ROUNDDOWN(Z172*AB172,0)</f>
        <v>373773</v>
      </c>
      <c r="AF172" s="142"/>
      <c r="AG172" s="142"/>
      <c r="AH172" s="142"/>
      <c r="AI172" s="142"/>
      <c r="AJ172" s="114"/>
    </row>
    <row r="173" spans="11:36" ht="18" customHeight="1">
      <c r="K173" s="171" t="s">
        <v>814</v>
      </c>
      <c r="L173" s="171"/>
      <c r="M173" s="171"/>
      <c r="V173" s="171"/>
      <c r="W173" s="171"/>
      <c r="X173" s="143" t="s">
        <v>32</v>
      </c>
      <c r="Y173" s="173">
        <v>4</v>
      </c>
      <c r="Z173" s="234">
        <f ca="1">OFFSET($A$1,MATCH(AJ171,$A:$A,0)-1,Y173)</f>
        <v>1.5</v>
      </c>
      <c r="AA173" s="144" t="s">
        <v>29</v>
      </c>
      <c r="AB173" s="118">
        <f t="shared" ca="1" si="50"/>
        <v>373353</v>
      </c>
      <c r="AC173" s="118">
        <f t="shared" ca="1" si="50"/>
        <v>560029</v>
      </c>
      <c r="AD173" s="118">
        <f ca="1">특급</f>
        <v>373353</v>
      </c>
      <c r="AE173" s="118">
        <f t="shared" ca="1" si="51"/>
        <v>560029</v>
      </c>
      <c r="AF173" s="118"/>
      <c r="AG173" s="118"/>
      <c r="AH173" s="118"/>
      <c r="AI173" s="118"/>
      <c r="AJ173" s="115"/>
    </row>
    <row r="174" spans="11:36" ht="18" customHeight="1">
      <c r="K174" s="171" t="s">
        <v>815</v>
      </c>
      <c r="L174" s="171"/>
      <c r="M174" s="171"/>
      <c r="V174" s="171"/>
      <c r="W174" s="171"/>
      <c r="X174" s="145" t="s">
        <v>39</v>
      </c>
      <c r="Y174" s="173">
        <v>5</v>
      </c>
      <c r="Z174" s="234">
        <f ca="1">OFFSET($A$1,MATCH(AJ171,$A:$A,0)-1,Y174)</f>
        <v>3.2</v>
      </c>
      <c r="AA174" s="144" t="s">
        <v>29</v>
      </c>
      <c r="AB174" s="118">
        <f t="shared" ca="1" si="50"/>
        <v>310884</v>
      </c>
      <c r="AC174" s="118">
        <f t="shared" ca="1" si="50"/>
        <v>994828</v>
      </c>
      <c r="AD174" s="118">
        <f ca="1">고급</f>
        <v>310884</v>
      </c>
      <c r="AE174" s="118">
        <f t="shared" ca="1" si="51"/>
        <v>994828</v>
      </c>
      <c r="AF174" s="118"/>
      <c r="AG174" s="118"/>
      <c r="AH174" s="118"/>
      <c r="AI174" s="118"/>
      <c r="AJ174" s="115"/>
    </row>
    <row r="175" spans="11:36" ht="18" customHeight="1">
      <c r="K175" s="171" t="s">
        <v>815</v>
      </c>
      <c r="L175" s="171"/>
      <c r="M175" s="171"/>
      <c r="V175" s="171"/>
      <c r="W175" s="171"/>
      <c r="X175" s="145" t="s">
        <v>40</v>
      </c>
      <c r="Y175" s="173">
        <v>6</v>
      </c>
      <c r="Z175" s="234">
        <f ca="1">OFFSET($A$1,MATCH(AJ171,$A:$A,0)-1,Y175)</f>
        <v>7.1</v>
      </c>
      <c r="AA175" s="144" t="s">
        <v>29</v>
      </c>
      <c r="AB175" s="118">
        <f t="shared" ca="1" si="50"/>
        <v>295138</v>
      </c>
      <c r="AC175" s="118">
        <f t="shared" ca="1" si="50"/>
        <v>2095479</v>
      </c>
      <c r="AD175" s="118">
        <f ca="1">중급</f>
        <v>295138</v>
      </c>
      <c r="AE175" s="118">
        <f t="shared" ca="1" si="51"/>
        <v>2095479</v>
      </c>
      <c r="AF175" s="118"/>
      <c r="AG175" s="118"/>
      <c r="AH175" s="118"/>
      <c r="AI175" s="118"/>
      <c r="AJ175" s="115"/>
    </row>
    <row r="176" spans="11:36" ht="18" customHeight="1">
      <c r="K176" s="171" t="s">
        <v>814</v>
      </c>
      <c r="L176" s="171"/>
      <c r="M176" s="171"/>
      <c r="V176" s="171"/>
      <c r="W176" s="171"/>
      <c r="X176" s="145" t="s">
        <v>41</v>
      </c>
      <c r="Y176" s="173">
        <v>7</v>
      </c>
      <c r="Z176" s="234">
        <f ca="1">OFFSET($A$1,MATCH(AJ171,$A:$A,0)-1,Y176)</f>
        <v>14.2</v>
      </c>
      <c r="AA176" s="144" t="s">
        <v>29</v>
      </c>
      <c r="AB176" s="118">
        <f t="shared" ca="1" si="50"/>
        <v>235459</v>
      </c>
      <c r="AC176" s="118">
        <f t="shared" ca="1" si="50"/>
        <v>3343517</v>
      </c>
      <c r="AD176" s="118">
        <f ca="1">초급</f>
        <v>235459</v>
      </c>
      <c r="AE176" s="118">
        <f t="shared" ca="1" si="51"/>
        <v>3343517</v>
      </c>
      <c r="AF176" s="118"/>
      <c r="AG176" s="118"/>
      <c r="AH176" s="118"/>
      <c r="AI176" s="118"/>
      <c r="AJ176" s="115"/>
    </row>
    <row r="177" spans="11:36" ht="18" customHeight="1">
      <c r="K177" s="171" t="s">
        <v>815</v>
      </c>
      <c r="L177" s="171"/>
      <c r="M177" s="171"/>
      <c r="V177" s="171"/>
      <c r="W177" s="171"/>
      <c r="X177" s="319" t="s">
        <v>42</v>
      </c>
      <c r="Y177" s="174">
        <v>8</v>
      </c>
      <c r="Z177" s="235">
        <f ca="1">OFFSET($A$1,MATCH(AJ171,$A:$A,0)-1,Y177)</f>
        <v>17.7</v>
      </c>
      <c r="AA177" s="322" t="s">
        <v>29</v>
      </c>
      <c r="AB177" s="323">
        <f t="shared" ca="1" si="50"/>
        <v>250087</v>
      </c>
      <c r="AC177" s="323">
        <f t="shared" ca="1" si="50"/>
        <v>4426539</v>
      </c>
      <c r="AD177" s="323">
        <f ca="1">보조원</f>
        <v>250087</v>
      </c>
      <c r="AE177" s="323">
        <f t="shared" ca="1" si="51"/>
        <v>4426539</v>
      </c>
      <c r="AF177" s="323"/>
      <c r="AG177" s="323"/>
      <c r="AH177" s="323"/>
      <c r="AI177" s="323"/>
      <c r="AJ177" s="324"/>
    </row>
    <row r="178" spans="11:36" ht="18" customHeight="1">
      <c r="K178" s="171" t="s">
        <v>815</v>
      </c>
      <c r="L178" s="171"/>
      <c r="M178" s="171"/>
      <c r="V178" s="171"/>
      <c r="W178" s="171"/>
      <c r="X178" s="139" t="s">
        <v>816</v>
      </c>
      <c r="Y178" s="68"/>
      <c r="Z178" s="69"/>
      <c r="AA178" s="70"/>
      <c r="AB178" s="71"/>
      <c r="AC178" s="71">
        <f ca="1">SUBTOTAL(9,AC172:AC177)</f>
        <v>11794165</v>
      </c>
      <c r="AD178" s="71"/>
      <c r="AE178" s="71">
        <f ca="1">SUBTOTAL(9,AE172:AE177)</f>
        <v>11794165</v>
      </c>
      <c r="AF178" s="71"/>
      <c r="AG178" s="71"/>
      <c r="AH178" s="71"/>
      <c r="AI178" s="71"/>
      <c r="AJ178" s="68"/>
    </row>
    <row r="179" spans="11:36" ht="18" customHeight="1">
      <c r="K179" s="171" t="s">
        <v>815</v>
      </c>
      <c r="L179" s="171"/>
      <c r="M179" s="171"/>
      <c r="V179" s="171"/>
      <c r="W179" s="171"/>
      <c r="X179" s="532" t="str">
        <f ca="1">"제 " &amp; AJ179 &amp; " 호표  "&amp; OFFSET($A$1,MATCH(AJ179,$A:$A,0)-1,1)</f>
        <v>제 17 호표  5.1. 공청회/주민설명회</v>
      </c>
      <c r="Y179" s="533"/>
      <c r="Z179" s="148"/>
      <c r="AA179" s="148"/>
      <c r="AB179" s="149"/>
      <c r="AC179" s="149"/>
      <c r="AD179" s="149"/>
      <c r="AE179" s="149"/>
      <c r="AF179" s="149"/>
      <c r="AG179" s="149"/>
      <c r="AH179" s="149"/>
      <c r="AI179" s="149"/>
      <c r="AJ179" s="325">
        <f>AJ171+1</f>
        <v>17</v>
      </c>
    </row>
    <row r="180" spans="11:36" ht="18" customHeight="1">
      <c r="K180" s="171" t="s">
        <v>702</v>
      </c>
      <c r="L180" s="171"/>
      <c r="M180" s="171"/>
      <c r="V180" s="171"/>
      <c r="W180" s="171"/>
      <c r="X180" s="140" t="s">
        <v>43</v>
      </c>
      <c r="Y180" s="172">
        <v>3</v>
      </c>
      <c r="Z180" s="534">
        <f ca="1">OFFSET($A$1,MATCH(AJ179,$A:$A,0)-1,Y180)</f>
        <v>2</v>
      </c>
      <c r="AA180" s="141" t="s">
        <v>29</v>
      </c>
      <c r="AB180" s="142">
        <f t="shared" ref="AB180:AC185" ca="1" si="52">AD180</f>
        <v>467217</v>
      </c>
      <c r="AC180" s="142">
        <f t="shared" ca="1" si="52"/>
        <v>934434</v>
      </c>
      <c r="AD180" s="142">
        <f ca="1">기술사</f>
        <v>467217</v>
      </c>
      <c r="AE180" s="142">
        <f t="shared" ref="AE180:AE185" ca="1" si="53">ROUNDDOWN(Z180*AB180,0)</f>
        <v>934434</v>
      </c>
      <c r="AF180" s="142"/>
      <c r="AG180" s="142"/>
      <c r="AH180" s="142"/>
      <c r="AI180" s="142"/>
      <c r="AJ180" s="114"/>
    </row>
    <row r="181" spans="11:36" ht="18" customHeight="1">
      <c r="K181" s="171" t="s">
        <v>14</v>
      </c>
      <c r="L181" s="171"/>
      <c r="M181" s="171"/>
      <c r="V181" s="171"/>
      <c r="W181" s="171"/>
      <c r="X181" s="143" t="s">
        <v>32</v>
      </c>
      <c r="Y181" s="173">
        <v>4</v>
      </c>
      <c r="Z181" s="234">
        <f ca="1">OFFSET($A$1,MATCH(AJ179,$A:$A,0)-1,Y181)</f>
        <v>2</v>
      </c>
      <c r="AA181" s="144" t="s">
        <v>29</v>
      </c>
      <c r="AB181" s="118">
        <f t="shared" ca="1" si="52"/>
        <v>373353</v>
      </c>
      <c r="AC181" s="118">
        <f t="shared" ca="1" si="52"/>
        <v>746706</v>
      </c>
      <c r="AD181" s="118">
        <f ca="1">특급</f>
        <v>373353</v>
      </c>
      <c r="AE181" s="118">
        <f t="shared" ca="1" si="53"/>
        <v>746706</v>
      </c>
      <c r="AF181" s="118"/>
      <c r="AG181" s="118"/>
      <c r="AH181" s="118"/>
      <c r="AI181" s="118"/>
      <c r="AJ181" s="115"/>
    </row>
    <row r="182" spans="11:36" ht="18" customHeight="1">
      <c r="K182" s="171" t="s">
        <v>815</v>
      </c>
      <c r="L182" s="171"/>
      <c r="M182" s="171"/>
      <c r="V182" s="171"/>
      <c r="W182" s="171"/>
      <c r="X182" s="145" t="s">
        <v>39</v>
      </c>
      <c r="Y182" s="173">
        <v>5</v>
      </c>
      <c r="Z182" s="234">
        <f ca="1">OFFSET($A$1,MATCH(AJ179,$A:$A,0)-1,Y182)</f>
        <v>2</v>
      </c>
      <c r="AA182" s="144" t="s">
        <v>29</v>
      </c>
      <c r="AB182" s="118">
        <f t="shared" ca="1" si="52"/>
        <v>310884</v>
      </c>
      <c r="AC182" s="118">
        <f t="shared" ca="1" si="52"/>
        <v>621768</v>
      </c>
      <c r="AD182" s="118">
        <f ca="1">고급</f>
        <v>310884</v>
      </c>
      <c r="AE182" s="118">
        <f t="shared" ca="1" si="53"/>
        <v>621768</v>
      </c>
      <c r="AF182" s="118"/>
      <c r="AG182" s="118"/>
      <c r="AH182" s="118"/>
      <c r="AI182" s="118"/>
      <c r="AJ182" s="115"/>
    </row>
    <row r="183" spans="11:36" ht="18" customHeight="1">
      <c r="K183" s="171" t="s">
        <v>814</v>
      </c>
      <c r="L183" s="171"/>
      <c r="M183" s="171"/>
      <c r="V183" s="171"/>
      <c r="W183" s="171"/>
      <c r="X183" s="145" t="s">
        <v>40</v>
      </c>
      <c r="Y183" s="173">
        <v>6</v>
      </c>
      <c r="Z183" s="234">
        <f ca="1">OFFSET($A$1,MATCH(AJ179,$A:$A,0)-1,Y183)</f>
        <v>4</v>
      </c>
      <c r="AA183" s="144" t="s">
        <v>29</v>
      </c>
      <c r="AB183" s="118">
        <f t="shared" ca="1" si="52"/>
        <v>295138</v>
      </c>
      <c r="AC183" s="118">
        <f t="shared" ca="1" si="52"/>
        <v>1180552</v>
      </c>
      <c r="AD183" s="118">
        <f ca="1">중급</f>
        <v>295138</v>
      </c>
      <c r="AE183" s="118">
        <f t="shared" ca="1" si="53"/>
        <v>1180552</v>
      </c>
      <c r="AF183" s="118"/>
      <c r="AG183" s="118"/>
      <c r="AH183" s="118"/>
      <c r="AI183" s="118"/>
      <c r="AJ183" s="115"/>
    </row>
    <row r="184" spans="11:36" ht="18" customHeight="1">
      <c r="K184" s="171" t="s">
        <v>815</v>
      </c>
      <c r="L184" s="171"/>
      <c r="M184" s="171"/>
      <c r="V184" s="171"/>
      <c r="W184" s="171"/>
      <c r="X184" s="145" t="s">
        <v>41</v>
      </c>
      <c r="Y184" s="173">
        <v>7</v>
      </c>
      <c r="Z184" s="234">
        <f ca="1">OFFSET($A$1,MATCH(AJ179,$A:$A,0)-1,Y184)</f>
        <v>4</v>
      </c>
      <c r="AA184" s="144" t="s">
        <v>29</v>
      </c>
      <c r="AB184" s="118">
        <f t="shared" ca="1" si="52"/>
        <v>235459</v>
      </c>
      <c r="AC184" s="118">
        <f t="shared" ca="1" si="52"/>
        <v>941836</v>
      </c>
      <c r="AD184" s="118">
        <f ca="1">초급</f>
        <v>235459</v>
      </c>
      <c r="AE184" s="118">
        <f t="shared" ca="1" si="53"/>
        <v>941836</v>
      </c>
      <c r="AF184" s="118"/>
      <c r="AG184" s="118"/>
      <c r="AH184" s="118"/>
      <c r="AI184" s="118"/>
      <c r="AJ184" s="115"/>
    </row>
    <row r="185" spans="11:36" ht="18" customHeight="1">
      <c r="K185" s="171" t="s">
        <v>815</v>
      </c>
      <c r="L185" s="171"/>
      <c r="M185" s="171"/>
      <c r="V185" s="171"/>
      <c r="W185" s="171"/>
      <c r="X185" s="319" t="s">
        <v>42</v>
      </c>
      <c r="Y185" s="174">
        <v>8</v>
      </c>
      <c r="Z185" s="235">
        <f ca="1">OFFSET($A$1,MATCH(AJ179,$A:$A,0)-1,Y185)</f>
        <v>4</v>
      </c>
      <c r="AA185" s="322" t="s">
        <v>29</v>
      </c>
      <c r="AB185" s="323">
        <f t="shared" ca="1" si="52"/>
        <v>250087</v>
      </c>
      <c r="AC185" s="323">
        <f t="shared" ca="1" si="52"/>
        <v>1000348</v>
      </c>
      <c r="AD185" s="323">
        <f ca="1">보조원</f>
        <v>250087</v>
      </c>
      <c r="AE185" s="323">
        <f t="shared" ca="1" si="53"/>
        <v>1000348</v>
      </c>
      <c r="AF185" s="323"/>
      <c r="AG185" s="323"/>
      <c r="AH185" s="323"/>
      <c r="AI185" s="323"/>
      <c r="AJ185" s="324"/>
    </row>
    <row r="186" spans="11:36" ht="18" customHeight="1">
      <c r="K186" s="171" t="s">
        <v>702</v>
      </c>
      <c r="L186" s="171"/>
      <c r="M186" s="171"/>
      <c r="V186" s="171"/>
      <c r="W186" s="171"/>
      <c r="X186" s="139" t="s">
        <v>700</v>
      </c>
      <c r="Y186" s="68"/>
      <c r="Z186" s="69"/>
      <c r="AA186" s="70"/>
      <c r="AB186" s="71"/>
      <c r="AC186" s="71">
        <f ca="1">SUBTOTAL(9,AC180:AC185)</f>
        <v>5425644</v>
      </c>
      <c r="AD186" s="71"/>
      <c r="AE186" s="71">
        <f ca="1">SUBTOTAL(9,AE180:AE185)</f>
        <v>5425644</v>
      </c>
      <c r="AF186" s="71"/>
      <c r="AG186" s="71"/>
      <c r="AH186" s="71"/>
      <c r="AI186" s="71"/>
      <c r="AJ186" s="68"/>
    </row>
    <row r="187" spans="11:36" ht="18" customHeight="1">
      <c r="K187" s="171" t="s">
        <v>814</v>
      </c>
      <c r="L187" s="171"/>
      <c r="M187" s="171"/>
      <c r="V187" s="171"/>
      <c r="W187" s="171"/>
      <c r="X187" s="532" t="str">
        <f ca="1">"제 " &amp; AJ187 &amp; " 호표  "&amp; OFFSET($A$1,MATCH(AJ187,$A:$A,0)-1,1)</f>
        <v>제 18 호표  5.2. 주민간담회/시민계획단</v>
      </c>
      <c r="Y187" s="533"/>
      <c r="Z187" s="148"/>
      <c r="AA187" s="148"/>
      <c r="AB187" s="149"/>
      <c r="AC187" s="149"/>
      <c r="AD187" s="149"/>
      <c r="AE187" s="149"/>
      <c r="AF187" s="149"/>
      <c r="AG187" s="149"/>
      <c r="AH187" s="149"/>
      <c r="AI187" s="149"/>
      <c r="AJ187" s="325">
        <f>AJ179+1</f>
        <v>18</v>
      </c>
    </row>
    <row r="188" spans="11:36" ht="18" customHeight="1">
      <c r="K188" s="171" t="s">
        <v>702</v>
      </c>
      <c r="L188" s="171"/>
      <c r="M188" s="171"/>
      <c r="V188" s="171"/>
      <c r="W188" s="171"/>
      <c r="X188" s="140" t="s">
        <v>43</v>
      </c>
      <c r="Y188" s="172">
        <v>3</v>
      </c>
      <c r="Z188" s="534">
        <f ca="1">OFFSET($A$1,MATCH(AJ187,$A:$A,0)-1,Y188)</f>
        <v>2</v>
      </c>
      <c r="AA188" s="141" t="s">
        <v>29</v>
      </c>
      <c r="AB188" s="142">
        <f t="shared" ref="AB188:AC193" ca="1" si="54">AD188</f>
        <v>467217</v>
      </c>
      <c r="AC188" s="142">
        <f t="shared" ca="1" si="54"/>
        <v>934434</v>
      </c>
      <c r="AD188" s="142">
        <f ca="1">기술사</f>
        <v>467217</v>
      </c>
      <c r="AE188" s="142">
        <f t="shared" ref="AE188:AE193" ca="1" si="55">ROUNDDOWN(Z188*AB188,0)</f>
        <v>934434</v>
      </c>
      <c r="AF188" s="142"/>
      <c r="AG188" s="142"/>
      <c r="AH188" s="142"/>
      <c r="AI188" s="142"/>
      <c r="AJ188" s="114"/>
    </row>
    <row r="189" spans="11:36" ht="18" customHeight="1">
      <c r="K189" s="171" t="s">
        <v>814</v>
      </c>
      <c r="L189" s="171"/>
      <c r="M189" s="171"/>
      <c r="V189" s="171"/>
      <c r="W189" s="171"/>
      <c r="X189" s="143" t="s">
        <v>32</v>
      </c>
      <c r="Y189" s="173">
        <v>4</v>
      </c>
      <c r="Z189" s="234">
        <f ca="1">OFFSET($A$1,MATCH(AJ187,$A:$A,0)-1,Y189)</f>
        <v>2</v>
      </c>
      <c r="AA189" s="144" t="s">
        <v>29</v>
      </c>
      <c r="AB189" s="118">
        <f t="shared" ca="1" si="54"/>
        <v>373353</v>
      </c>
      <c r="AC189" s="118">
        <f t="shared" ca="1" si="54"/>
        <v>746706</v>
      </c>
      <c r="AD189" s="118">
        <f ca="1">특급</f>
        <v>373353</v>
      </c>
      <c r="AE189" s="118">
        <f t="shared" ca="1" si="55"/>
        <v>746706</v>
      </c>
      <c r="AF189" s="118"/>
      <c r="AG189" s="118"/>
      <c r="AH189" s="118"/>
      <c r="AI189" s="118"/>
      <c r="AJ189" s="115"/>
    </row>
    <row r="190" spans="11:36" ht="18" customHeight="1">
      <c r="K190" s="171" t="s">
        <v>814</v>
      </c>
      <c r="L190" s="171"/>
      <c r="M190" s="171"/>
      <c r="V190" s="171"/>
      <c r="W190" s="171"/>
      <c r="X190" s="145" t="s">
        <v>39</v>
      </c>
      <c r="Y190" s="173">
        <v>5</v>
      </c>
      <c r="Z190" s="234">
        <f ca="1">OFFSET($A$1,MATCH(AJ187,$A:$A,0)-1,Y190)</f>
        <v>2</v>
      </c>
      <c r="AA190" s="144" t="s">
        <v>29</v>
      </c>
      <c r="AB190" s="118">
        <f t="shared" ca="1" si="54"/>
        <v>310884</v>
      </c>
      <c r="AC190" s="118">
        <f t="shared" ca="1" si="54"/>
        <v>621768</v>
      </c>
      <c r="AD190" s="118">
        <f ca="1">고급</f>
        <v>310884</v>
      </c>
      <c r="AE190" s="118">
        <f t="shared" ca="1" si="55"/>
        <v>621768</v>
      </c>
      <c r="AF190" s="118"/>
      <c r="AG190" s="118"/>
      <c r="AH190" s="118"/>
      <c r="AI190" s="118"/>
      <c r="AJ190" s="115"/>
    </row>
    <row r="191" spans="11:36" ht="18" customHeight="1">
      <c r="K191" s="171" t="s">
        <v>814</v>
      </c>
      <c r="L191" s="171"/>
      <c r="M191" s="171"/>
      <c r="V191" s="171"/>
      <c r="W191" s="171"/>
      <c r="X191" s="145" t="s">
        <v>40</v>
      </c>
      <c r="Y191" s="173">
        <v>6</v>
      </c>
      <c r="Z191" s="234">
        <f ca="1">OFFSET($A$1,MATCH(AJ187,$A:$A,0)-1,Y191)</f>
        <v>4</v>
      </c>
      <c r="AA191" s="144" t="s">
        <v>29</v>
      </c>
      <c r="AB191" s="118">
        <f t="shared" ca="1" si="54"/>
        <v>295138</v>
      </c>
      <c r="AC191" s="118">
        <f t="shared" ca="1" si="54"/>
        <v>1180552</v>
      </c>
      <c r="AD191" s="118">
        <f ca="1">중급</f>
        <v>295138</v>
      </c>
      <c r="AE191" s="118">
        <f t="shared" ca="1" si="55"/>
        <v>1180552</v>
      </c>
      <c r="AF191" s="118"/>
      <c r="AG191" s="118"/>
      <c r="AH191" s="118"/>
      <c r="AI191" s="118"/>
      <c r="AJ191" s="115"/>
    </row>
    <row r="192" spans="11:36" ht="18" customHeight="1">
      <c r="K192" s="171" t="s">
        <v>702</v>
      </c>
      <c r="L192" s="171"/>
      <c r="M192" s="171"/>
      <c r="V192" s="171"/>
      <c r="W192" s="171"/>
      <c r="X192" s="145" t="s">
        <v>41</v>
      </c>
      <c r="Y192" s="173">
        <v>7</v>
      </c>
      <c r="Z192" s="234">
        <f ca="1">OFFSET($A$1,MATCH(AJ187,$A:$A,0)-1,Y192)</f>
        <v>4</v>
      </c>
      <c r="AA192" s="144" t="s">
        <v>29</v>
      </c>
      <c r="AB192" s="118">
        <f t="shared" ca="1" si="54"/>
        <v>235459</v>
      </c>
      <c r="AC192" s="118">
        <f t="shared" ca="1" si="54"/>
        <v>941836</v>
      </c>
      <c r="AD192" s="118">
        <f ca="1">초급</f>
        <v>235459</v>
      </c>
      <c r="AE192" s="118">
        <f t="shared" ca="1" si="55"/>
        <v>941836</v>
      </c>
      <c r="AF192" s="118"/>
      <c r="AG192" s="118"/>
      <c r="AH192" s="118"/>
      <c r="AI192" s="118"/>
      <c r="AJ192" s="115"/>
    </row>
    <row r="193" spans="11:36" ht="18" customHeight="1">
      <c r="K193" s="171" t="s">
        <v>814</v>
      </c>
      <c r="L193" s="171"/>
      <c r="M193" s="171"/>
      <c r="V193" s="171"/>
      <c r="W193" s="171"/>
      <c r="X193" s="319" t="s">
        <v>42</v>
      </c>
      <c r="Y193" s="174">
        <v>8</v>
      </c>
      <c r="Z193" s="235">
        <f ca="1">OFFSET($A$1,MATCH(AJ187,$A:$A,0)-1,Y193)</f>
        <v>4</v>
      </c>
      <c r="AA193" s="322" t="s">
        <v>29</v>
      </c>
      <c r="AB193" s="323">
        <f t="shared" ca="1" si="54"/>
        <v>250087</v>
      </c>
      <c r="AC193" s="323">
        <f t="shared" ca="1" si="54"/>
        <v>1000348</v>
      </c>
      <c r="AD193" s="323">
        <f ca="1">보조원</f>
        <v>250087</v>
      </c>
      <c r="AE193" s="323">
        <f t="shared" ca="1" si="55"/>
        <v>1000348</v>
      </c>
      <c r="AF193" s="323"/>
      <c r="AG193" s="323"/>
      <c r="AH193" s="323"/>
      <c r="AI193" s="323"/>
      <c r="AJ193" s="324"/>
    </row>
    <row r="194" spans="11:36" ht="18" customHeight="1">
      <c r="K194" s="171" t="s">
        <v>814</v>
      </c>
      <c r="L194" s="171"/>
      <c r="M194" s="171"/>
      <c r="V194" s="171"/>
      <c r="W194" s="171"/>
      <c r="X194" s="139" t="s">
        <v>816</v>
      </c>
      <c r="Y194" s="68"/>
      <c r="Z194" s="69"/>
      <c r="AA194" s="70"/>
      <c r="AB194" s="71"/>
      <c r="AC194" s="71">
        <f ca="1">SUBTOTAL(9,AC188:AC193)</f>
        <v>5425644</v>
      </c>
      <c r="AD194" s="71"/>
      <c r="AE194" s="71">
        <f ca="1">SUBTOTAL(9,AE188:AE193)</f>
        <v>5425644</v>
      </c>
      <c r="AF194" s="71"/>
      <c r="AG194" s="71"/>
      <c r="AH194" s="71"/>
      <c r="AI194" s="71"/>
      <c r="AJ194" s="68"/>
    </row>
    <row r="195" spans="11:36" ht="18" customHeight="1">
      <c r="K195" s="171" t="s">
        <v>702</v>
      </c>
      <c r="L195" s="171"/>
      <c r="M195" s="171"/>
      <c r="V195" s="171"/>
      <c r="W195" s="171"/>
      <c r="X195" s="532" t="str">
        <f ca="1">"제 " &amp; AJ195 &amp; " 호표  "&amp; OFFSET($A$1,MATCH(AJ195,$A:$A,0)-1,1)</f>
        <v>제 19 호표  5.3. 위원회심의 지원</v>
      </c>
      <c r="Y195" s="533"/>
      <c r="Z195" s="148"/>
      <c r="AA195" s="148"/>
      <c r="AB195" s="149"/>
      <c r="AC195" s="149"/>
      <c r="AD195" s="149"/>
      <c r="AE195" s="149"/>
      <c r="AF195" s="149"/>
      <c r="AG195" s="149"/>
      <c r="AH195" s="149"/>
      <c r="AI195" s="149"/>
      <c r="AJ195" s="325">
        <f>AJ187+1</f>
        <v>19</v>
      </c>
    </row>
    <row r="196" spans="11:36" ht="18" customHeight="1">
      <c r="K196" s="171" t="s">
        <v>814</v>
      </c>
      <c r="L196" s="171"/>
      <c r="M196" s="171"/>
      <c r="V196" s="171"/>
      <c r="W196" s="171"/>
      <c r="X196" s="140" t="s">
        <v>43</v>
      </c>
      <c r="Y196" s="172">
        <v>3</v>
      </c>
      <c r="Z196" s="534">
        <f ca="1">OFFSET($A$1,MATCH(AJ195,$A:$A,0)-1,Y196)</f>
        <v>2</v>
      </c>
      <c r="AA196" s="141" t="s">
        <v>29</v>
      </c>
      <c r="AB196" s="142">
        <f t="shared" ref="AB196:AC201" ca="1" si="56">AD196</f>
        <v>467217</v>
      </c>
      <c r="AC196" s="142">
        <f t="shared" ca="1" si="56"/>
        <v>934434</v>
      </c>
      <c r="AD196" s="142">
        <f ca="1">기술사</f>
        <v>467217</v>
      </c>
      <c r="AE196" s="142">
        <f t="shared" ref="AE196:AE201" ca="1" si="57">ROUNDDOWN(Z196*AB196,0)</f>
        <v>934434</v>
      </c>
      <c r="AF196" s="142"/>
      <c r="AG196" s="142"/>
      <c r="AH196" s="142"/>
      <c r="AI196" s="142"/>
      <c r="AJ196" s="114"/>
    </row>
    <row r="197" spans="11:36" ht="18" customHeight="1">
      <c r="K197" s="171" t="s">
        <v>702</v>
      </c>
      <c r="L197" s="171"/>
      <c r="M197" s="171"/>
      <c r="V197" s="171"/>
      <c r="W197" s="171"/>
      <c r="X197" s="143" t="s">
        <v>32</v>
      </c>
      <c r="Y197" s="173">
        <v>4</v>
      </c>
      <c r="Z197" s="234">
        <f ca="1">OFFSET($A$1,MATCH(AJ195,$A:$A,0)-1,Y197)</f>
        <v>2</v>
      </c>
      <c r="AA197" s="144" t="s">
        <v>29</v>
      </c>
      <c r="AB197" s="118">
        <f t="shared" ca="1" si="56"/>
        <v>373353</v>
      </c>
      <c r="AC197" s="118">
        <f t="shared" ca="1" si="56"/>
        <v>746706</v>
      </c>
      <c r="AD197" s="118">
        <f ca="1">특급</f>
        <v>373353</v>
      </c>
      <c r="AE197" s="118">
        <f t="shared" ca="1" si="57"/>
        <v>746706</v>
      </c>
      <c r="AF197" s="118"/>
      <c r="AG197" s="118"/>
      <c r="AH197" s="118"/>
      <c r="AI197" s="118"/>
      <c r="AJ197" s="115"/>
    </row>
    <row r="198" spans="11:36" ht="18" customHeight="1">
      <c r="K198" s="171" t="s">
        <v>814</v>
      </c>
      <c r="L198" s="171"/>
      <c r="M198" s="171"/>
      <c r="V198" s="171"/>
      <c r="W198" s="171"/>
      <c r="X198" s="145" t="s">
        <v>39</v>
      </c>
      <c r="Y198" s="173">
        <v>5</v>
      </c>
      <c r="Z198" s="234">
        <f ca="1">OFFSET($A$1,MATCH(AJ195,$A:$A,0)-1,Y198)</f>
        <v>2</v>
      </c>
      <c r="AA198" s="144" t="s">
        <v>29</v>
      </c>
      <c r="AB198" s="118">
        <f t="shared" ca="1" si="56"/>
        <v>310884</v>
      </c>
      <c r="AC198" s="118">
        <f t="shared" ca="1" si="56"/>
        <v>621768</v>
      </c>
      <c r="AD198" s="118">
        <f ca="1">고급</f>
        <v>310884</v>
      </c>
      <c r="AE198" s="118">
        <f t="shared" ca="1" si="57"/>
        <v>621768</v>
      </c>
      <c r="AF198" s="118"/>
      <c r="AG198" s="118"/>
      <c r="AH198" s="118"/>
      <c r="AI198" s="118"/>
      <c r="AJ198" s="115"/>
    </row>
    <row r="199" spans="11:36" ht="18" customHeight="1">
      <c r="K199" s="171" t="s">
        <v>814</v>
      </c>
      <c r="L199" s="171"/>
      <c r="M199" s="171"/>
      <c r="V199" s="171"/>
      <c r="W199" s="171"/>
      <c r="X199" s="145" t="s">
        <v>40</v>
      </c>
      <c r="Y199" s="173">
        <v>6</v>
      </c>
      <c r="Z199" s="234">
        <f ca="1">OFFSET($A$1,MATCH(AJ195,$A:$A,0)-1,Y199)</f>
        <v>4</v>
      </c>
      <c r="AA199" s="144" t="s">
        <v>29</v>
      </c>
      <c r="AB199" s="118">
        <f t="shared" ca="1" si="56"/>
        <v>295138</v>
      </c>
      <c r="AC199" s="118">
        <f t="shared" ca="1" si="56"/>
        <v>1180552</v>
      </c>
      <c r="AD199" s="118">
        <f ca="1">중급</f>
        <v>295138</v>
      </c>
      <c r="AE199" s="118">
        <f t="shared" ca="1" si="57"/>
        <v>1180552</v>
      </c>
      <c r="AF199" s="118"/>
      <c r="AG199" s="118"/>
      <c r="AH199" s="118"/>
      <c r="AI199" s="118"/>
      <c r="AJ199" s="115"/>
    </row>
    <row r="200" spans="11:36" ht="18" customHeight="1">
      <c r="K200" s="171" t="s">
        <v>702</v>
      </c>
      <c r="L200" s="171"/>
      <c r="M200" s="171"/>
      <c r="V200" s="171"/>
      <c r="W200" s="171"/>
      <c r="X200" s="145" t="s">
        <v>41</v>
      </c>
      <c r="Y200" s="173">
        <v>7</v>
      </c>
      <c r="Z200" s="234">
        <f ca="1">OFFSET($A$1,MATCH(AJ195,$A:$A,0)-1,Y200)</f>
        <v>4</v>
      </c>
      <c r="AA200" s="144" t="s">
        <v>29</v>
      </c>
      <c r="AB200" s="118">
        <f t="shared" ca="1" si="56"/>
        <v>235459</v>
      </c>
      <c r="AC200" s="118">
        <f t="shared" ca="1" si="56"/>
        <v>941836</v>
      </c>
      <c r="AD200" s="118">
        <f ca="1">초급</f>
        <v>235459</v>
      </c>
      <c r="AE200" s="118">
        <f t="shared" ca="1" si="57"/>
        <v>941836</v>
      </c>
      <c r="AF200" s="118"/>
      <c r="AG200" s="118"/>
      <c r="AH200" s="118"/>
      <c r="AI200" s="118"/>
      <c r="AJ200" s="115"/>
    </row>
    <row r="201" spans="11:36" ht="18" customHeight="1">
      <c r="K201" s="171" t="s">
        <v>815</v>
      </c>
      <c r="L201" s="171"/>
      <c r="M201" s="171"/>
      <c r="V201" s="171"/>
      <c r="W201" s="171"/>
      <c r="X201" s="319" t="s">
        <v>42</v>
      </c>
      <c r="Y201" s="174">
        <v>8</v>
      </c>
      <c r="Z201" s="235">
        <f ca="1">OFFSET($A$1,MATCH(AJ195,$A:$A,0)-1,Y201)</f>
        <v>4</v>
      </c>
      <c r="AA201" s="322" t="s">
        <v>29</v>
      </c>
      <c r="AB201" s="323">
        <f t="shared" ca="1" si="56"/>
        <v>250087</v>
      </c>
      <c r="AC201" s="323">
        <f t="shared" ca="1" si="56"/>
        <v>1000348</v>
      </c>
      <c r="AD201" s="323">
        <f ca="1">보조원</f>
        <v>250087</v>
      </c>
      <c r="AE201" s="323">
        <f t="shared" ca="1" si="57"/>
        <v>1000348</v>
      </c>
      <c r="AF201" s="323"/>
      <c r="AG201" s="323"/>
      <c r="AH201" s="323"/>
      <c r="AI201" s="323"/>
      <c r="AJ201" s="324"/>
    </row>
    <row r="202" spans="11:36" ht="18" customHeight="1">
      <c r="K202" s="171" t="s">
        <v>814</v>
      </c>
      <c r="L202" s="171"/>
      <c r="M202" s="171"/>
      <c r="V202" s="171"/>
      <c r="W202" s="171"/>
      <c r="X202" s="139" t="s">
        <v>816</v>
      </c>
      <c r="Y202" s="68"/>
      <c r="Z202" s="69"/>
      <c r="AA202" s="70"/>
      <c r="AB202" s="71"/>
      <c r="AC202" s="71">
        <f ca="1">SUBTOTAL(9,AC196:AC201)</f>
        <v>5425644</v>
      </c>
      <c r="AD202" s="71"/>
      <c r="AE202" s="71">
        <f ca="1">SUBTOTAL(9,AE196:AE201)</f>
        <v>5425644</v>
      </c>
      <c r="AF202" s="71"/>
      <c r="AG202" s="71"/>
      <c r="AH202" s="71"/>
      <c r="AI202" s="71"/>
      <c r="AJ202" s="68"/>
    </row>
    <row r="203" spans="11:36" ht="18" customHeight="1">
      <c r="K203" s="171" t="s">
        <v>815</v>
      </c>
      <c r="L203" s="171"/>
      <c r="M203" s="171"/>
      <c r="V203" s="171"/>
      <c r="W203" s="171"/>
      <c r="X203" s="532" t="str">
        <f ca="1">"제 " &amp; AJ203 &amp; " 호표  "&amp; OFFSET($A$1,MATCH(AJ203,$A:$A,0)-1,1)</f>
        <v>제 20 호표  5.4. 관계기관 협의</v>
      </c>
      <c r="Y203" s="533"/>
      <c r="Z203" s="148"/>
      <c r="AA203" s="148"/>
      <c r="AB203" s="149"/>
      <c r="AC203" s="149"/>
      <c r="AD203" s="149"/>
      <c r="AE203" s="149"/>
      <c r="AF203" s="149"/>
      <c r="AG203" s="149"/>
      <c r="AH203" s="149"/>
      <c r="AI203" s="149"/>
      <c r="AJ203" s="325">
        <f>AJ195+1</f>
        <v>20</v>
      </c>
    </row>
    <row r="204" spans="11:36" ht="18" customHeight="1">
      <c r="K204" s="171" t="s">
        <v>814</v>
      </c>
      <c r="L204" s="171"/>
      <c r="M204" s="171"/>
      <c r="V204" s="171"/>
      <c r="W204" s="171"/>
      <c r="X204" s="140" t="s">
        <v>43</v>
      </c>
      <c r="Y204" s="172">
        <v>3</v>
      </c>
      <c r="Z204" s="534">
        <f ca="1">OFFSET($A$1,MATCH(AJ203,$A:$A,0)-1,Y204)</f>
        <v>2</v>
      </c>
      <c r="AA204" s="141" t="s">
        <v>29</v>
      </c>
      <c r="AB204" s="142">
        <f t="shared" ref="AB204:AC209" ca="1" si="58">AD204</f>
        <v>467217</v>
      </c>
      <c r="AC204" s="142">
        <f t="shared" ca="1" si="58"/>
        <v>934434</v>
      </c>
      <c r="AD204" s="142">
        <f ca="1">기술사</f>
        <v>467217</v>
      </c>
      <c r="AE204" s="142">
        <f t="shared" ref="AE204:AE209" ca="1" si="59">ROUNDDOWN(Z204*AB204,0)</f>
        <v>934434</v>
      </c>
      <c r="AF204" s="142"/>
      <c r="AG204" s="142"/>
      <c r="AH204" s="142"/>
      <c r="AI204" s="142"/>
      <c r="AJ204" s="114"/>
    </row>
    <row r="205" spans="11:36" ht="18" customHeight="1">
      <c r="K205" s="171" t="s">
        <v>814</v>
      </c>
      <c r="L205" s="171"/>
      <c r="M205" s="171"/>
      <c r="V205" s="171"/>
      <c r="W205" s="171"/>
      <c r="X205" s="143" t="s">
        <v>32</v>
      </c>
      <c r="Y205" s="173">
        <v>4</v>
      </c>
      <c r="Z205" s="234">
        <f ca="1">OFFSET($A$1,MATCH(AJ203,$A:$A,0)-1,Y205)</f>
        <v>2</v>
      </c>
      <c r="AA205" s="144" t="s">
        <v>29</v>
      </c>
      <c r="AB205" s="118">
        <f t="shared" ca="1" si="58"/>
        <v>373353</v>
      </c>
      <c r="AC205" s="118">
        <f t="shared" ca="1" si="58"/>
        <v>746706</v>
      </c>
      <c r="AD205" s="118">
        <f ca="1">특급</f>
        <v>373353</v>
      </c>
      <c r="AE205" s="118">
        <f t="shared" ca="1" si="59"/>
        <v>746706</v>
      </c>
      <c r="AF205" s="118"/>
      <c r="AG205" s="118"/>
      <c r="AH205" s="118"/>
      <c r="AI205" s="118"/>
      <c r="AJ205" s="115"/>
    </row>
    <row r="206" spans="11:36" ht="18" customHeight="1">
      <c r="K206" s="171" t="s">
        <v>702</v>
      </c>
      <c r="L206" s="171"/>
      <c r="M206" s="171"/>
      <c r="V206" s="171"/>
      <c r="W206" s="171"/>
      <c r="X206" s="145" t="s">
        <v>39</v>
      </c>
      <c r="Y206" s="173">
        <v>5</v>
      </c>
      <c r="Z206" s="234">
        <f ca="1">OFFSET($A$1,MATCH(AJ203,$A:$A,0)-1,Y206)</f>
        <v>2</v>
      </c>
      <c r="AA206" s="144" t="s">
        <v>29</v>
      </c>
      <c r="AB206" s="118">
        <f t="shared" ca="1" si="58"/>
        <v>310884</v>
      </c>
      <c r="AC206" s="118">
        <f t="shared" ca="1" si="58"/>
        <v>621768</v>
      </c>
      <c r="AD206" s="118">
        <f ca="1">고급</f>
        <v>310884</v>
      </c>
      <c r="AE206" s="118">
        <f t="shared" ca="1" si="59"/>
        <v>621768</v>
      </c>
      <c r="AF206" s="118"/>
      <c r="AG206" s="118"/>
      <c r="AH206" s="118"/>
      <c r="AI206" s="118"/>
      <c r="AJ206" s="115"/>
    </row>
    <row r="207" spans="11:36" ht="18" customHeight="1">
      <c r="K207" s="171" t="s">
        <v>702</v>
      </c>
      <c r="L207" s="171"/>
      <c r="M207" s="171"/>
      <c r="V207" s="171"/>
      <c r="W207" s="171"/>
      <c r="X207" s="145" t="s">
        <v>40</v>
      </c>
      <c r="Y207" s="173">
        <v>6</v>
      </c>
      <c r="Z207" s="234">
        <f ca="1">OFFSET($A$1,MATCH(AJ203,$A:$A,0)-1,Y207)</f>
        <v>4</v>
      </c>
      <c r="AA207" s="144" t="s">
        <v>29</v>
      </c>
      <c r="AB207" s="118">
        <f t="shared" ca="1" si="58"/>
        <v>295138</v>
      </c>
      <c r="AC207" s="118">
        <f t="shared" ca="1" si="58"/>
        <v>1180552</v>
      </c>
      <c r="AD207" s="118">
        <f ca="1">중급</f>
        <v>295138</v>
      </c>
      <c r="AE207" s="118">
        <f t="shared" ca="1" si="59"/>
        <v>1180552</v>
      </c>
      <c r="AF207" s="118"/>
      <c r="AG207" s="118"/>
      <c r="AH207" s="118"/>
      <c r="AI207" s="118"/>
      <c r="AJ207" s="115"/>
    </row>
    <row r="208" spans="11:36" ht="18" customHeight="1">
      <c r="K208" s="171" t="s">
        <v>702</v>
      </c>
      <c r="L208" s="171"/>
      <c r="M208" s="171"/>
      <c r="V208" s="171"/>
      <c r="W208" s="171"/>
      <c r="X208" s="145" t="s">
        <v>41</v>
      </c>
      <c r="Y208" s="173">
        <v>7</v>
      </c>
      <c r="Z208" s="234">
        <f ca="1">OFFSET($A$1,MATCH(AJ203,$A:$A,0)-1,Y208)</f>
        <v>4</v>
      </c>
      <c r="AA208" s="144" t="s">
        <v>29</v>
      </c>
      <c r="AB208" s="118">
        <f t="shared" ca="1" si="58"/>
        <v>235459</v>
      </c>
      <c r="AC208" s="118">
        <f t="shared" ca="1" si="58"/>
        <v>941836</v>
      </c>
      <c r="AD208" s="118">
        <f ca="1">초급</f>
        <v>235459</v>
      </c>
      <c r="AE208" s="118">
        <f t="shared" ca="1" si="59"/>
        <v>941836</v>
      </c>
      <c r="AF208" s="118"/>
      <c r="AG208" s="118"/>
      <c r="AH208" s="118"/>
      <c r="AI208" s="118"/>
      <c r="AJ208" s="115"/>
    </row>
    <row r="209" spans="11:36" ht="18" customHeight="1">
      <c r="K209" s="171" t="s">
        <v>702</v>
      </c>
      <c r="L209" s="171"/>
      <c r="M209" s="171"/>
      <c r="V209" s="171"/>
      <c r="W209" s="171"/>
      <c r="X209" s="319" t="s">
        <v>42</v>
      </c>
      <c r="Y209" s="174">
        <v>8</v>
      </c>
      <c r="Z209" s="235">
        <f ca="1">OFFSET($A$1,MATCH(AJ203,$A:$A,0)-1,Y209)</f>
        <v>4</v>
      </c>
      <c r="AA209" s="322" t="s">
        <v>29</v>
      </c>
      <c r="AB209" s="323">
        <f t="shared" ca="1" si="58"/>
        <v>250087</v>
      </c>
      <c r="AC209" s="323">
        <f t="shared" ca="1" si="58"/>
        <v>1000348</v>
      </c>
      <c r="AD209" s="323">
        <f ca="1">보조원</f>
        <v>250087</v>
      </c>
      <c r="AE209" s="323">
        <f t="shared" ca="1" si="59"/>
        <v>1000348</v>
      </c>
      <c r="AF209" s="323"/>
      <c r="AG209" s="323"/>
      <c r="AH209" s="323"/>
      <c r="AI209" s="323"/>
      <c r="AJ209" s="324"/>
    </row>
    <row r="210" spans="11:36" ht="18" customHeight="1">
      <c r="K210" s="171" t="s">
        <v>702</v>
      </c>
      <c r="L210" s="171"/>
      <c r="M210" s="171"/>
      <c r="V210" s="171"/>
      <c r="W210" s="171"/>
      <c r="X210" s="139" t="s">
        <v>700</v>
      </c>
      <c r="Y210" s="68"/>
      <c r="Z210" s="69"/>
      <c r="AA210" s="70"/>
      <c r="AB210" s="71"/>
      <c r="AC210" s="71">
        <f ca="1">SUBTOTAL(9,AC204:AC209)</f>
        <v>5425644</v>
      </c>
      <c r="AD210" s="71"/>
      <c r="AE210" s="71">
        <f ca="1">SUBTOTAL(9,AE204:AE209)</f>
        <v>5425644</v>
      </c>
      <c r="AF210" s="71"/>
      <c r="AG210" s="71"/>
      <c r="AH210" s="71"/>
      <c r="AI210" s="71"/>
      <c r="AJ210" s="68"/>
    </row>
    <row r="211" spans="11:36" ht="18" customHeight="1">
      <c r="K211" s="171" t="s">
        <v>702</v>
      </c>
      <c r="L211" s="171"/>
      <c r="M211" s="171"/>
      <c r="V211" s="171"/>
      <c r="W211" s="171"/>
      <c r="Z211" s="236"/>
    </row>
    <row r="212" spans="11:36" ht="18" customHeight="1">
      <c r="K212" s="171" t="s">
        <v>702</v>
      </c>
      <c r="L212" s="171"/>
      <c r="M212" s="171"/>
      <c r="V212" s="171"/>
      <c r="W212" s="171"/>
      <c r="Z212" s="236"/>
    </row>
    <row r="213" spans="11:36" ht="18" customHeight="1">
      <c r="K213" s="171" t="s">
        <v>702</v>
      </c>
      <c r="L213" s="171"/>
      <c r="M213" s="171"/>
      <c r="V213" s="171"/>
      <c r="W213" s="171"/>
      <c r="Z213" s="236"/>
    </row>
    <row r="214" spans="11:36" ht="18" customHeight="1">
      <c r="K214" s="171" t="s">
        <v>702</v>
      </c>
      <c r="L214" s="171"/>
      <c r="M214" s="171"/>
      <c r="V214" s="171"/>
      <c r="W214" s="171"/>
      <c r="Z214" s="236"/>
    </row>
    <row r="215" spans="11:36" ht="18" customHeight="1">
      <c r="K215" s="171" t="s">
        <v>702</v>
      </c>
      <c r="L215" s="171"/>
      <c r="M215" s="171"/>
      <c r="V215" s="171"/>
      <c r="W215" s="171"/>
      <c r="Z215" s="236"/>
    </row>
    <row r="216" spans="11:36" ht="18" customHeight="1">
      <c r="K216" s="171" t="s">
        <v>702</v>
      </c>
      <c r="L216" s="171"/>
      <c r="M216" s="171"/>
      <c r="V216" s="171"/>
      <c r="W216" s="171"/>
      <c r="Z216" s="236"/>
    </row>
    <row r="217" spans="11:36" ht="18" customHeight="1">
      <c r="K217" s="171" t="s">
        <v>702</v>
      </c>
      <c r="L217" s="171"/>
      <c r="M217" s="171"/>
      <c r="V217" s="171"/>
      <c r="W217" s="171"/>
      <c r="Z217" s="236"/>
    </row>
    <row r="218" spans="11:36" ht="18" customHeight="1">
      <c r="K218" s="171" t="s">
        <v>702</v>
      </c>
      <c r="L218" s="171"/>
      <c r="M218" s="171"/>
      <c r="V218" s="171"/>
      <c r="W218" s="171"/>
      <c r="Z218" s="236"/>
    </row>
    <row r="219" spans="11:36" ht="18" customHeight="1">
      <c r="K219" s="171" t="s">
        <v>702</v>
      </c>
      <c r="L219" s="171"/>
      <c r="M219" s="171"/>
      <c r="V219" s="171"/>
      <c r="W219" s="171"/>
      <c r="Z219" s="236"/>
    </row>
    <row r="220" spans="11:36" ht="18" customHeight="1">
      <c r="K220" s="171" t="s">
        <v>702</v>
      </c>
      <c r="L220" s="171"/>
      <c r="M220" s="171"/>
      <c r="V220" s="171"/>
      <c r="W220" s="171"/>
      <c r="Z220" s="236"/>
    </row>
    <row r="221" spans="11:36" ht="18" customHeight="1">
      <c r="K221" s="171" t="s">
        <v>702</v>
      </c>
      <c r="L221" s="171"/>
      <c r="M221" s="171"/>
      <c r="V221" s="171"/>
      <c r="W221" s="171"/>
      <c r="Z221" s="236"/>
    </row>
    <row r="222" spans="11:36" ht="18" customHeight="1">
      <c r="K222" s="171" t="s">
        <v>702</v>
      </c>
      <c r="L222" s="171"/>
      <c r="M222" s="171"/>
      <c r="V222" s="171"/>
      <c r="W222" s="171"/>
      <c r="Z222" s="236"/>
    </row>
    <row r="223" spans="11:36" ht="18" customHeight="1">
      <c r="K223" s="171" t="s">
        <v>702</v>
      </c>
      <c r="L223" s="171"/>
      <c r="M223" s="171"/>
      <c r="V223" s="171"/>
      <c r="W223" s="171"/>
      <c r="Z223" s="236"/>
    </row>
    <row r="224" spans="11:36" ht="18" customHeight="1">
      <c r="K224" s="171" t="s">
        <v>702</v>
      </c>
      <c r="L224" s="171"/>
      <c r="M224" s="171"/>
      <c r="V224" s="171"/>
      <c r="W224" s="171"/>
      <c r="Z224" s="236"/>
    </row>
    <row r="225" spans="11:26" ht="18" customHeight="1">
      <c r="K225" s="171" t="s">
        <v>702</v>
      </c>
      <c r="L225" s="171"/>
      <c r="M225" s="171"/>
      <c r="V225" s="171"/>
      <c r="W225" s="171"/>
      <c r="Z225" s="236"/>
    </row>
    <row r="226" spans="11:26" ht="18" customHeight="1">
      <c r="K226" s="171" t="s">
        <v>702</v>
      </c>
      <c r="L226" s="171"/>
      <c r="M226" s="171"/>
      <c r="V226" s="171"/>
      <c r="W226" s="171"/>
      <c r="Z226" s="236"/>
    </row>
    <row r="227" spans="11:26" ht="18" customHeight="1">
      <c r="K227" s="171" t="s">
        <v>702</v>
      </c>
      <c r="L227" s="171"/>
      <c r="M227" s="171"/>
      <c r="V227" s="171"/>
      <c r="W227" s="171"/>
      <c r="Z227" s="236"/>
    </row>
    <row r="228" spans="11:26" ht="18" customHeight="1">
      <c r="K228" s="171" t="s">
        <v>702</v>
      </c>
      <c r="L228" s="171"/>
      <c r="M228" s="171"/>
      <c r="V228" s="171"/>
      <c r="W228" s="171"/>
      <c r="Z228" s="236"/>
    </row>
    <row r="229" spans="11:26" ht="18" customHeight="1">
      <c r="K229" s="171" t="s">
        <v>702</v>
      </c>
      <c r="L229" s="171"/>
      <c r="M229" s="171"/>
      <c r="V229" s="171"/>
      <c r="W229" s="171"/>
      <c r="Z229" s="236"/>
    </row>
    <row r="230" spans="11:26" ht="18" customHeight="1">
      <c r="K230" s="171" t="s">
        <v>702</v>
      </c>
      <c r="L230" s="171"/>
      <c r="M230" s="171"/>
      <c r="V230" s="171"/>
      <c r="W230" s="171"/>
      <c r="Z230" s="236"/>
    </row>
    <row r="231" spans="11:26" ht="18" customHeight="1">
      <c r="K231" s="171" t="s">
        <v>702</v>
      </c>
      <c r="L231" s="171"/>
      <c r="M231" s="171"/>
      <c r="V231" s="171"/>
      <c r="W231" s="171"/>
      <c r="Z231" s="236"/>
    </row>
    <row r="232" spans="11:26" ht="18" customHeight="1">
      <c r="K232" s="171" t="s">
        <v>702</v>
      </c>
      <c r="L232" s="171"/>
      <c r="M232" s="171"/>
      <c r="V232" s="171"/>
      <c r="W232" s="171"/>
      <c r="Z232" s="236"/>
    </row>
    <row r="233" spans="11:26" ht="18" customHeight="1">
      <c r="K233" s="171" t="s">
        <v>702</v>
      </c>
      <c r="L233" s="171"/>
      <c r="M233" s="171"/>
      <c r="V233" s="171"/>
      <c r="W233" s="171"/>
      <c r="Z233" s="236"/>
    </row>
    <row r="234" spans="11:26" ht="18" customHeight="1">
      <c r="K234" s="171" t="s">
        <v>702</v>
      </c>
      <c r="L234" s="171"/>
      <c r="M234" s="171"/>
      <c r="V234" s="171"/>
      <c r="W234" s="171"/>
      <c r="Z234" s="236"/>
    </row>
    <row r="235" spans="11:26" ht="18" customHeight="1">
      <c r="K235" s="171" t="s">
        <v>702</v>
      </c>
      <c r="L235" s="171"/>
      <c r="M235" s="171"/>
      <c r="V235" s="171"/>
      <c r="W235" s="171"/>
      <c r="Z235" s="236"/>
    </row>
    <row r="236" spans="11:26" ht="18" customHeight="1">
      <c r="K236" s="171" t="s">
        <v>702</v>
      </c>
      <c r="L236" s="171"/>
      <c r="M236" s="171"/>
      <c r="V236" s="171"/>
      <c r="W236" s="171"/>
      <c r="Z236" s="236"/>
    </row>
    <row r="237" spans="11:26" ht="18" customHeight="1">
      <c r="K237" s="171" t="s">
        <v>702</v>
      </c>
      <c r="L237" s="171"/>
      <c r="M237" s="171"/>
      <c r="V237" s="171"/>
      <c r="W237" s="171"/>
      <c r="Z237" s="236"/>
    </row>
    <row r="238" spans="11:26" ht="18" customHeight="1">
      <c r="K238" s="171" t="s">
        <v>702</v>
      </c>
      <c r="L238" s="171"/>
      <c r="M238" s="171"/>
      <c r="V238" s="171"/>
      <c r="W238" s="171"/>
      <c r="Z238" s="236"/>
    </row>
    <row r="239" spans="11:26" ht="18" customHeight="1">
      <c r="K239" s="171" t="s">
        <v>702</v>
      </c>
      <c r="L239" s="171"/>
      <c r="M239" s="171"/>
      <c r="V239" s="171"/>
      <c r="W239" s="171"/>
      <c r="Z239" s="236"/>
    </row>
    <row r="240" spans="11:26" ht="18" customHeight="1">
      <c r="K240" s="171" t="s">
        <v>702</v>
      </c>
      <c r="L240" s="171"/>
      <c r="M240" s="171"/>
      <c r="V240" s="171"/>
      <c r="W240" s="171"/>
      <c r="Z240" s="236"/>
    </row>
    <row r="241" spans="11:26" ht="18" customHeight="1">
      <c r="K241" s="171" t="s">
        <v>702</v>
      </c>
      <c r="L241" s="171"/>
      <c r="M241" s="171"/>
      <c r="V241" s="171"/>
      <c r="W241" s="171"/>
      <c r="Z241" s="236"/>
    </row>
    <row r="242" spans="11:26" ht="18" customHeight="1">
      <c r="K242" s="171" t="s">
        <v>702</v>
      </c>
      <c r="L242" s="171"/>
      <c r="M242" s="171"/>
      <c r="V242" s="171"/>
      <c r="W242" s="171"/>
      <c r="Z242" s="236"/>
    </row>
    <row r="243" spans="11:26" ht="18" customHeight="1">
      <c r="K243" s="171" t="s">
        <v>702</v>
      </c>
      <c r="L243" s="171"/>
      <c r="M243" s="171"/>
      <c r="V243" s="171"/>
      <c r="W243" s="171"/>
      <c r="Z243" s="236"/>
    </row>
    <row r="244" spans="11:26" ht="18" customHeight="1">
      <c r="K244" s="171" t="s">
        <v>702</v>
      </c>
      <c r="L244" s="171"/>
      <c r="M244" s="171"/>
      <c r="V244" s="171"/>
      <c r="W244" s="171"/>
      <c r="Z244" s="236"/>
    </row>
    <row r="245" spans="11:26" ht="18" customHeight="1">
      <c r="K245" s="171" t="s">
        <v>702</v>
      </c>
      <c r="L245" s="171"/>
      <c r="M245" s="171"/>
      <c r="V245" s="171"/>
      <c r="W245" s="171"/>
      <c r="Z245" s="236"/>
    </row>
    <row r="246" spans="11:26" ht="18" customHeight="1">
      <c r="K246" s="171" t="s">
        <v>702</v>
      </c>
      <c r="L246" s="171"/>
      <c r="M246" s="171"/>
      <c r="V246" s="171"/>
      <c r="W246" s="171"/>
      <c r="Z246" s="236"/>
    </row>
    <row r="247" spans="11:26" ht="18" customHeight="1">
      <c r="K247" s="171" t="s">
        <v>702</v>
      </c>
      <c r="L247" s="171"/>
      <c r="M247" s="171"/>
      <c r="V247" s="171"/>
      <c r="W247" s="171"/>
      <c r="Z247" s="236"/>
    </row>
    <row r="248" spans="11:26" ht="18" customHeight="1">
      <c r="K248" s="171" t="s">
        <v>702</v>
      </c>
      <c r="L248" s="171"/>
      <c r="M248" s="171"/>
      <c r="V248" s="171"/>
      <c r="W248" s="171"/>
      <c r="Z248" s="236"/>
    </row>
    <row r="249" spans="11:26" ht="18" customHeight="1">
      <c r="K249" s="171" t="s">
        <v>702</v>
      </c>
      <c r="L249" s="171"/>
      <c r="M249" s="171"/>
      <c r="V249" s="171"/>
      <c r="W249" s="171"/>
      <c r="Z249" s="236"/>
    </row>
    <row r="250" spans="11:26" ht="18" customHeight="1">
      <c r="K250" s="171" t="s">
        <v>702</v>
      </c>
      <c r="L250" s="171"/>
      <c r="M250" s="171"/>
      <c r="V250" s="171"/>
      <c r="W250" s="171"/>
      <c r="Z250" s="236"/>
    </row>
    <row r="251" spans="11:26" ht="18" customHeight="1">
      <c r="K251" s="171" t="s">
        <v>702</v>
      </c>
      <c r="L251" s="171"/>
      <c r="M251" s="171"/>
      <c r="V251" s="171"/>
      <c r="W251" s="171"/>
      <c r="Z251" s="236"/>
    </row>
    <row r="252" spans="11:26" ht="18" customHeight="1">
      <c r="K252" s="171" t="s">
        <v>702</v>
      </c>
      <c r="L252" s="171"/>
      <c r="M252" s="171"/>
      <c r="V252" s="171"/>
      <c r="W252" s="171"/>
      <c r="Z252" s="236"/>
    </row>
    <row r="253" spans="11:26" ht="18" customHeight="1">
      <c r="K253" s="171" t="s">
        <v>702</v>
      </c>
      <c r="L253" s="171"/>
      <c r="M253" s="171"/>
      <c r="V253" s="171"/>
      <c r="W253" s="171"/>
      <c r="Z253" s="236"/>
    </row>
    <row r="254" spans="11:26" ht="18" customHeight="1">
      <c r="K254" s="171" t="s">
        <v>702</v>
      </c>
      <c r="L254" s="171"/>
      <c r="M254" s="171"/>
      <c r="V254" s="171"/>
      <c r="W254" s="171"/>
      <c r="Z254" s="236"/>
    </row>
    <row r="255" spans="11:26" ht="18" customHeight="1">
      <c r="K255" s="171" t="s">
        <v>702</v>
      </c>
      <c r="L255" s="171"/>
      <c r="M255" s="171"/>
      <c r="V255" s="171"/>
      <c r="W255" s="171"/>
      <c r="Z255" s="236"/>
    </row>
    <row r="256" spans="11:26" ht="18" customHeight="1">
      <c r="K256" s="171" t="s">
        <v>702</v>
      </c>
      <c r="L256" s="171"/>
      <c r="M256" s="171"/>
      <c r="V256" s="171"/>
      <c r="W256" s="171"/>
      <c r="Z256" s="236"/>
    </row>
    <row r="257" spans="11:26" ht="18" customHeight="1">
      <c r="K257" s="171" t="s">
        <v>702</v>
      </c>
      <c r="L257" s="171"/>
      <c r="M257" s="171"/>
      <c r="V257" s="171"/>
      <c r="W257" s="171"/>
      <c r="Z257" s="236"/>
    </row>
    <row r="258" spans="11:26" ht="18" customHeight="1">
      <c r="K258" s="171" t="s">
        <v>702</v>
      </c>
      <c r="L258" s="171"/>
      <c r="M258" s="171"/>
      <c r="V258" s="171"/>
      <c r="W258" s="171"/>
      <c r="Z258" s="236"/>
    </row>
    <row r="259" spans="11:26" ht="18" customHeight="1">
      <c r="K259" s="171" t="s">
        <v>702</v>
      </c>
      <c r="L259" s="171"/>
      <c r="M259" s="171"/>
      <c r="V259" s="171"/>
      <c r="W259" s="171"/>
      <c r="Z259" s="236"/>
    </row>
    <row r="260" spans="11:26" ht="18" customHeight="1">
      <c r="K260" s="171" t="s">
        <v>702</v>
      </c>
      <c r="L260" s="171"/>
      <c r="M260" s="171"/>
      <c r="V260" s="171"/>
      <c r="W260" s="171"/>
      <c r="Z260" s="236"/>
    </row>
    <row r="261" spans="11:26" ht="18" customHeight="1">
      <c r="K261" s="171" t="s">
        <v>702</v>
      </c>
      <c r="L261" s="171"/>
      <c r="M261" s="171"/>
      <c r="V261" s="171"/>
      <c r="W261" s="171"/>
      <c r="Z261" s="236"/>
    </row>
    <row r="262" spans="11:26" ht="18" customHeight="1">
      <c r="K262" s="171" t="s">
        <v>702</v>
      </c>
      <c r="L262" s="171"/>
      <c r="M262" s="171"/>
      <c r="V262" s="171"/>
      <c r="W262" s="171"/>
      <c r="Z262" s="236"/>
    </row>
    <row r="263" spans="11:26" ht="18" customHeight="1">
      <c r="K263" s="171" t="s">
        <v>702</v>
      </c>
      <c r="L263" s="171"/>
      <c r="M263" s="171"/>
      <c r="V263" s="171"/>
      <c r="W263" s="171"/>
      <c r="Z263" s="236"/>
    </row>
    <row r="264" spans="11:26" ht="18" customHeight="1">
      <c r="K264" s="171" t="s">
        <v>702</v>
      </c>
      <c r="L264" s="171"/>
      <c r="M264" s="171"/>
      <c r="V264" s="171"/>
      <c r="W264" s="171"/>
      <c r="Z264" s="236"/>
    </row>
    <row r="265" spans="11:26" ht="18" customHeight="1">
      <c r="K265" s="171" t="s">
        <v>702</v>
      </c>
      <c r="L265" s="171"/>
      <c r="M265" s="171"/>
      <c r="V265" s="171"/>
      <c r="W265" s="171"/>
      <c r="Z265" s="236"/>
    </row>
    <row r="266" spans="11:26" ht="18" customHeight="1">
      <c r="K266" s="171" t="s">
        <v>702</v>
      </c>
      <c r="L266" s="171"/>
      <c r="M266" s="171"/>
      <c r="V266" s="171"/>
      <c r="W266" s="171"/>
      <c r="Z266" s="236"/>
    </row>
    <row r="267" spans="11:26" ht="18" customHeight="1">
      <c r="K267" s="171" t="s">
        <v>702</v>
      </c>
      <c r="L267" s="171"/>
      <c r="M267" s="171"/>
      <c r="V267" s="171"/>
      <c r="W267" s="171"/>
      <c r="Z267" s="236"/>
    </row>
    <row r="268" spans="11:26" ht="18" customHeight="1">
      <c r="K268" s="171" t="s">
        <v>702</v>
      </c>
      <c r="L268" s="171"/>
      <c r="M268" s="171"/>
      <c r="V268" s="171"/>
      <c r="W268" s="171"/>
      <c r="Z268" s="236"/>
    </row>
    <row r="269" spans="11:26" ht="18" customHeight="1">
      <c r="K269" s="171" t="s">
        <v>702</v>
      </c>
      <c r="L269" s="171"/>
      <c r="M269" s="171"/>
      <c r="V269" s="171"/>
      <c r="W269" s="171"/>
      <c r="Z269" s="236"/>
    </row>
    <row r="270" spans="11:26" ht="18" customHeight="1">
      <c r="K270" s="171" t="s">
        <v>702</v>
      </c>
      <c r="L270" s="171"/>
      <c r="M270" s="171"/>
      <c r="V270" s="171"/>
      <c r="W270" s="171"/>
      <c r="Z270" s="236"/>
    </row>
    <row r="271" spans="11:26" ht="18" customHeight="1">
      <c r="K271" s="171" t="s">
        <v>702</v>
      </c>
      <c r="L271" s="171"/>
      <c r="M271" s="171"/>
      <c r="V271" s="171"/>
      <c r="W271" s="171"/>
      <c r="Z271" s="236"/>
    </row>
    <row r="272" spans="11:26" ht="18" customHeight="1">
      <c r="K272" s="171" t="s">
        <v>702</v>
      </c>
      <c r="L272" s="171"/>
      <c r="M272" s="171"/>
      <c r="V272" s="171"/>
      <c r="W272" s="171"/>
      <c r="Z272" s="236"/>
    </row>
    <row r="273" spans="11:26" ht="18" customHeight="1">
      <c r="K273" s="171" t="s">
        <v>702</v>
      </c>
      <c r="L273" s="171"/>
      <c r="M273" s="171"/>
      <c r="V273" s="171"/>
      <c r="W273" s="171"/>
      <c r="Z273" s="236"/>
    </row>
    <row r="274" spans="11:26" ht="18" customHeight="1">
      <c r="K274" s="171" t="s">
        <v>702</v>
      </c>
      <c r="L274" s="171"/>
      <c r="M274" s="171"/>
      <c r="V274" s="171"/>
      <c r="W274" s="171"/>
      <c r="Z274" s="236"/>
    </row>
    <row r="275" spans="11:26" ht="18" customHeight="1">
      <c r="K275" s="171" t="s">
        <v>702</v>
      </c>
      <c r="L275" s="171"/>
      <c r="M275" s="171"/>
      <c r="V275" s="171"/>
      <c r="W275" s="171"/>
      <c r="Z275" s="236"/>
    </row>
    <row r="276" spans="11:26" ht="18" customHeight="1">
      <c r="K276" s="171" t="s">
        <v>702</v>
      </c>
      <c r="L276" s="171"/>
      <c r="M276" s="171"/>
      <c r="V276" s="171"/>
      <c r="W276" s="171"/>
      <c r="Z276" s="236"/>
    </row>
    <row r="277" spans="11:26" ht="18" customHeight="1">
      <c r="K277" s="171" t="s">
        <v>702</v>
      </c>
      <c r="L277" s="171"/>
      <c r="M277" s="171"/>
      <c r="V277" s="171"/>
      <c r="W277" s="171"/>
      <c r="Z277" s="236"/>
    </row>
    <row r="278" spans="11:26" ht="18" customHeight="1">
      <c r="K278" s="171" t="s">
        <v>702</v>
      </c>
      <c r="L278" s="171"/>
      <c r="M278" s="171"/>
      <c r="V278" s="171"/>
      <c r="W278" s="171"/>
      <c r="Z278" s="236"/>
    </row>
    <row r="279" spans="11:26" ht="18" customHeight="1">
      <c r="K279" s="171" t="s">
        <v>702</v>
      </c>
      <c r="L279" s="171"/>
      <c r="M279" s="171"/>
      <c r="V279" s="171"/>
      <c r="W279" s="171"/>
      <c r="Z279" s="236"/>
    </row>
    <row r="280" spans="11:26" ht="18" customHeight="1">
      <c r="K280" s="171" t="s">
        <v>702</v>
      </c>
      <c r="L280" s="171"/>
      <c r="M280" s="171"/>
      <c r="V280" s="171"/>
      <c r="W280" s="171"/>
      <c r="Z280" s="236"/>
    </row>
    <row r="281" spans="11:26" ht="18" customHeight="1">
      <c r="K281" s="171" t="s">
        <v>702</v>
      </c>
      <c r="L281" s="171"/>
      <c r="M281" s="171"/>
      <c r="V281" s="171"/>
      <c r="W281" s="171"/>
      <c r="Z281" s="236"/>
    </row>
    <row r="282" spans="11:26" ht="18" customHeight="1">
      <c r="K282" s="171" t="s">
        <v>702</v>
      </c>
      <c r="L282" s="171"/>
      <c r="M282" s="171"/>
      <c r="V282" s="171"/>
      <c r="W282" s="171"/>
      <c r="Z282" s="236"/>
    </row>
    <row r="283" spans="11:26" ht="18" customHeight="1">
      <c r="K283" s="171" t="s">
        <v>702</v>
      </c>
      <c r="L283" s="171"/>
      <c r="M283" s="171"/>
      <c r="V283" s="171"/>
      <c r="W283" s="171"/>
      <c r="Z283" s="236"/>
    </row>
    <row r="284" spans="11:26" ht="18" customHeight="1">
      <c r="K284" s="171" t="s">
        <v>702</v>
      </c>
      <c r="L284" s="171"/>
      <c r="M284" s="171"/>
      <c r="V284" s="171"/>
      <c r="W284" s="171"/>
      <c r="Z284" s="236"/>
    </row>
    <row r="285" spans="11:26" ht="18" customHeight="1">
      <c r="K285" s="171" t="s">
        <v>702</v>
      </c>
      <c r="L285" s="171"/>
      <c r="M285" s="171"/>
      <c r="V285" s="171"/>
      <c r="W285" s="171"/>
      <c r="Z285" s="236"/>
    </row>
    <row r="286" spans="11:26" ht="18" customHeight="1">
      <c r="K286" s="171" t="s">
        <v>702</v>
      </c>
      <c r="L286" s="171"/>
      <c r="M286" s="171"/>
      <c r="V286" s="171"/>
      <c r="W286" s="171"/>
      <c r="Z286" s="236"/>
    </row>
    <row r="287" spans="11:26" ht="18" customHeight="1">
      <c r="K287" s="171" t="s">
        <v>702</v>
      </c>
      <c r="L287" s="171"/>
      <c r="M287" s="171"/>
      <c r="V287" s="171"/>
      <c r="W287" s="171"/>
      <c r="Z287" s="236"/>
    </row>
    <row r="288" spans="11:26" ht="18" customHeight="1">
      <c r="K288" s="171" t="s">
        <v>702</v>
      </c>
      <c r="L288" s="171"/>
      <c r="M288" s="171"/>
      <c r="V288" s="171"/>
      <c r="W288" s="171"/>
      <c r="Z288" s="236"/>
    </row>
    <row r="289" spans="11:26" ht="18" customHeight="1">
      <c r="K289" s="171" t="s">
        <v>702</v>
      </c>
      <c r="L289" s="171"/>
      <c r="M289" s="171"/>
      <c r="V289" s="171"/>
      <c r="W289" s="171"/>
      <c r="Z289" s="236"/>
    </row>
    <row r="290" spans="11:26" ht="18" customHeight="1">
      <c r="K290" s="171" t="s">
        <v>702</v>
      </c>
      <c r="L290" s="171"/>
      <c r="M290" s="171"/>
      <c r="V290" s="171"/>
      <c r="W290" s="171"/>
      <c r="Z290" s="236"/>
    </row>
    <row r="291" spans="11:26" ht="18" customHeight="1">
      <c r="K291" s="171" t="s">
        <v>702</v>
      </c>
      <c r="L291" s="171"/>
      <c r="M291" s="171"/>
      <c r="V291" s="171"/>
      <c r="W291" s="171"/>
      <c r="Z291" s="236"/>
    </row>
    <row r="292" spans="11:26" ht="18" customHeight="1">
      <c r="K292" s="171" t="s">
        <v>702</v>
      </c>
      <c r="L292" s="171"/>
      <c r="M292" s="171"/>
      <c r="V292" s="171"/>
      <c r="W292" s="171"/>
      <c r="Z292" s="236"/>
    </row>
    <row r="293" spans="11:26" ht="18" customHeight="1">
      <c r="K293" s="171" t="s">
        <v>702</v>
      </c>
      <c r="L293" s="171"/>
      <c r="M293" s="171"/>
      <c r="V293" s="171"/>
      <c r="W293" s="171"/>
      <c r="Z293" s="236"/>
    </row>
    <row r="294" spans="11:26" ht="18" customHeight="1">
      <c r="K294" s="171" t="s">
        <v>702</v>
      </c>
      <c r="L294" s="171"/>
      <c r="M294" s="171"/>
      <c r="V294" s="171"/>
      <c r="W294" s="171"/>
      <c r="Z294" s="236"/>
    </row>
    <row r="295" spans="11:26" ht="18" customHeight="1">
      <c r="K295" s="171" t="s">
        <v>702</v>
      </c>
      <c r="L295" s="171"/>
      <c r="M295" s="171"/>
      <c r="V295" s="171"/>
      <c r="W295" s="171"/>
      <c r="Z295" s="236"/>
    </row>
    <row r="296" spans="11:26" ht="18" customHeight="1">
      <c r="K296" s="171" t="s">
        <v>702</v>
      </c>
      <c r="L296" s="171"/>
      <c r="M296" s="171"/>
      <c r="V296" s="171"/>
      <c r="W296" s="171"/>
      <c r="Z296" s="236"/>
    </row>
    <row r="297" spans="11:26" ht="18" customHeight="1">
      <c r="K297" s="171" t="s">
        <v>702</v>
      </c>
      <c r="L297" s="171"/>
      <c r="M297" s="171"/>
      <c r="V297" s="171"/>
      <c r="W297" s="171"/>
      <c r="Z297" s="236"/>
    </row>
    <row r="298" spans="11:26" ht="18" customHeight="1">
      <c r="K298" s="171" t="s">
        <v>702</v>
      </c>
      <c r="L298" s="171"/>
      <c r="M298" s="171"/>
      <c r="V298" s="171"/>
      <c r="W298" s="171"/>
      <c r="Z298" s="236"/>
    </row>
    <row r="299" spans="11:26" ht="18" customHeight="1">
      <c r="K299" s="171" t="s">
        <v>702</v>
      </c>
      <c r="L299" s="171"/>
      <c r="M299" s="171"/>
      <c r="V299" s="171"/>
      <c r="W299" s="171"/>
      <c r="Z299" s="236"/>
    </row>
    <row r="300" spans="11:26" ht="18" customHeight="1">
      <c r="K300" s="171" t="s">
        <v>702</v>
      </c>
      <c r="L300" s="171"/>
      <c r="M300" s="171"/>
      <c r="V300" s="171"/>
      <c r="W300" s="171"/>
      <c r="Z300" s="236"/>
    </row>
    <row r="301" spans="11:26" ht="18" customHeight="1">
      <c r="K301" s="171" t="s">
        <v>702</v>
      </c>
      <c r="L301" s="171"/>
      <c r="M301" s="171"/>
      <c r="V301" s="171"/>
      <c r="W301" s="171"/>
      <c r="Z301" s="236"/>
    </row>
    <row r="302" spans="11:26" ht="18" customHeight="1">
      <c r="K302" s="171" t="s">
        <v>702</v>
      </c>
      <c r="L302" s="171"/>
      <c r="M302" s="171"/>
      <c r="V302" s="171"/>
      <c r="W302" s="171"/>
      <c r="Z302" s="236"/>
    </row>
    <row r="303" spans="11:26" ht="18" customHeight="1">
      <c r="K303" s="171" t="s">
        <v>702</v>
      </c>
      <c r="L303" s="171"/>
      <c r="M303" s="171"/>
      <c r="V303" s="171"/>
      <c r="W303" s="171"/>
      <c r="Z303" s="236"/>
    </row>
    <row r="304" spans="11:26" ht="18" customHeight="1">
      <c r="K304" s="171" t="s">
        <v>702</v>
      </c>
      <c r="L304" s="171"/>
      <c r="M304" s="171"/>
      <c r="V304" s="171"/>
      <c r="W304" s="171"/>
      <c r="Z304" s="236"/>
    </row>
    <row r="305" spans="11:26" ht="18" customHeight="1">
      <c r="K305" s="171" t="s">
        <v>702</v>
      </c>
      <c r="L305" s="171"/>
      <c r="M305" s="171"/>
      <c r="V305" s="171"/>
      <c r="W305" s="171"/>
      <c r="Z305" s="236"/>
    </row>
    <row r="306" spans="11:26" ht="18" customHeight="1">
      <c r="K306" s="171" t="s">
        <v>702</v>
      </c>
      <c r="L306" s="171"/>
      <c r="M306" s="171"/>
      <c r="V306" s="171"/>
      <c r="W306" s="171"/>
      <c r="Z306" s="236"/>
    </row>
    <row r="307" spans="11:26" ht="18" customHeight="1">
      <c r="K307" s="171" t="s">
        <v>702</v>
      </c>
      <c r="L307" s="171"/>
      <c r="M307" s="171"/>
      <c r="V307" s="171"/>
      <c r="W307" s="171"/>
      <c r="Z307" s="236"/>
    </row>
    <row r="308" spans="11:26" ht="18" customHeight="1">
      <c r="K308" s="171" t="s">
        <v>702</v>
      </c>
      <c r="L308" s="171"/>
      <c r="M308" s="171"/>
      <c r="V308" s="171"/>
      <c r="W308" s="171"/>
      <c r="Z308" s="236"/>
    </row>
    <row r="309" spans="11:26" ht="18" customHeight="1">
      <c r="K309" s="171" t="s">
        <v>702</v>
      </c>
      <c r="L309" s="171"/>
      <c r="M309" s="171"/>
      <c r="V309" s="171"/>
      <c r="W309" s="171"/>
      <c r="Z309" s="236"/>
    </row>
    <row r="310" spans="11:26" ht="18" customHeight="1">
      <c r="K310" s="171" t="s">
        <v>702</v>
      </c>
      <c r="L310" s="171"/>
      <c r="M310" s="171"/>
      <c r="V310" s="171"/>
      <c r="W310" s="171"/>
      <c r="Z310" s="236"/>
    </row>
    <row r="311" spans="11:26" ht="18" customHeight="1">
      <c r="K311" s="171" t="s">
        <v>702</v>
      </c>
      <c r="L311" s="171"/>
      <c r="M311" s="171"/>
      <c r="V311" s="171"/>
      <c r="W311" s="171"/>
      <c r="Z311" s="236"/>
    </row>
    <row r="312" spans="11:26" ht="18" customHeight="1">
      <c r="K312" s="171" t="s">
        <v>702</v>
      </c>
      <c r="L312" s="171"/>
      <c r="M312" s="171"/>
      <c r="V312" s="171"/>
      <c r="W312" s="171"/>
      <c r="Z312" s="236"/>
    </row>
    <row r="313" spans="11:26" ht="18" customHeight="1">
      <c r="K313" s="171" t="s">
        <v>702</v>
      </c>
      <c r="L313" s="171"/>
      <c r="M313" s="171"/>
      <c r="V313" s="171"/>
      <c r="W313" s="171"/>
      <c r="Z313" s="236"/>
    </row>
    <row r="314" spans="11:26" ht="18" customHeight="1">
      <c r="K314" s="171" t="s">
        <v>702</v>
      </c>
      <c r="L314" s="171"/>
      <c r="M314" s="171"/>
      <c r="V314" s="171"/>
      <c r="W314" s="171"/>
      <c r="Z314" s="236"/>
    </row>
    <row r="315" spans="11:26" ht="18" customHeight="1">
      <c r="K315" s="171" t="s">
        <v>702</v>
      </c>
      <c r="L315" s="171"/>
      <c r="M315" s="171"/>
      <c r="V315" s="171"/>
      <c r="W315" s="171"/>
      <c r="Z315" s="236"/>
    </row>
    <row r="316" spans="11:26" ht="18" customHeight="1">
      <c r="K316" s="171" t="s">
        <v>702</v>
      </c>
      <c r="L316" s="171"/>
      <c r="M316" s="171"/>
      <c r="V316" s="171"/>
      <c r="W316" s="171"/>
      <c r="Z316" s="236"/>
    </row>
    <row r="317" spans="11:26" ht="18" customHeight="1">
      <c r="K317" s="171" t="s">
        <v>702</v>
      </c>
      <c r="L317" s="171"/>
      <c r="M317" s="171"/>
      <c r="V317" s="171"/>
      <c r="W317" s="171"/>
      <c r="Z317" s="236"/>
    </row>
    <row r="318" spans="11:26" ht="18" customHeight="1">
      <c r="K318" s="171" t="s">
        <v>702</v>
      </c>
      <c r="L318" s="171"/>
      <c r="M318" s="171"/>
      <c r="V318" s="171"/>
      <c r="W318" s="171"/>
      <c r="Z318" s="236"/>
    </row>
    <row r="319" spans="11:26" ht="18" customHeight="1">
      <c r="K319" s="171" t="s">
        <v>702</v>
      </c>
      <c r="L319" s="171"/>
      <c r="M319" s="171"/>
      <c r="V319" s="171"/>
      <c r="W319" s="171"/>
      <c r="Z319" s="236"/>
    </row>
    <row r="320" spans="11:26" ht="18" customHeight="1">
      <c r="K320" s="171" t="s">
        <v>702</v>
      </c>
      <c r="L320" s="171"/>
      <c r="M320" s="171"/>
      <c r="V320" s="171"/>
      <c r="W320" s="171"/>
      <c r="Z320" s="236"/>
    </row>
    <row r="321" spans="11:26" ht="18" customHeight="1">
      <c r="K321" s="171" t="s">
        <v>702</v>
      </c>
      <c r="L321" s="171"/>
      <c r="M321" s="171"/>
      <c r="V321" s="171"/>
      <c r="W321" s="171"/>
      <c r="Z321" s="236"/>
    </row>
    <row r="322" spans="11:26" ht="18" customHeight="1">
      <c r="K322" s="171" t="s">
        <v>702</v>
      </c>
      <c r="L322" s="171"/>
      <c r="M322" s="171"/>
      <c r="V322" s="171"/>
      <c r="W322" s="171"/>
      <c r="Z322" s="236"/>
    </row>
    <row r="323" spans="11:26" ht="18" customHeight="1">
      <c r="K323" s="171" t="s">
        <v>702</v>
      </c>
      <c r="L323" s="171"/>
      <c r="M323" s="171"/>
      <c r="V323" s="171"/>
      <c r="W323" s="171"/>
      <c r="Z323" s="236"/>
    </row>
    <row r="324" spans="11:26" ht="18" customHeight="1">
      <c r="K324" s="171" t="s">
        <v>702</v>
      </c>
      <c r="L324" s="171"/>
      <c r="M324" s="171"/>
      <c r="V324" s="171"/>
      <c r="W324" s="171"/>
      <c r="Z324" s="236"/>
    </row>
    <row r="325" spans="11:26" ht="18" customHeight="1">
      <c r="K325" s="171" t="s">
        <v>702</v>
      </c>
      <c r="L325" s="171"/>
      <c r="M325" s="171"/>
      <c r="V325" s="171"/>
      <c r="W325" s="171"/>
      <c r="Z325" s="236"/>
    </row>
    <row r="326" spans="11:26" ht="18" customHeight="1">
      <c r="K326" s="171" t="s">
        <v>702</v>
      </c>
      <c r="L326" s="171"/>
      <c r="M326" s="171"/>
      <c r="V326" s="171"/>
      <c r="W326" s="171"/>
      <c r="Z326" s="236"/>
    </row>
    <row r="327" spans="11:26" ht="18" customHeight="1">
      <c r="K327" s="171" t="s">
        <v>702</v>
      </c>
      <c r="L327" s="171"/>
      <c r="M327" s="171"/>
      <c r="V327" s="171"/>
      <c r="W327" s="171"/>
      <c r="Z327" s="236"/>
    </row>
    <row r="328" spans="11:26" ht="18" customHeight="1">
      <c r="K328" s="171" t="s">
        <v>702</v>
      </c>
      <c r="L328" s="171"/>
      <c r="M328" s="171"/>
      <c r="V328" s="171"/>
      <c r="W328" s="171"/>
      <c r="Z328" s="236"/>
    </row>
    <row r="329" spans="11:26" ht="18" customHeight="1">
      <c r="K329" s="171" t="s">
        <v>702</v>
      </c>
      <c r="L329" s="171"/>
      <c r="M329" s="171"/>
      <c r="V329" s="171"/>
      <c r="W329" s="171"/>
      <c r="Z329" s="236"/>
    </row>
    <row r="330" spans="11:26" ht="18" customHeight="1">
      <c r="K330" s="171" t="s">
        <v>702</v>
      </c>
      <c r="L330" s="171"/>
      <c r="M330" s="171"/>
      <c r="V330" s="171"/>
      <c r="W330" s="171"/>
      <c r="Z330" s="236"/>
    </row>
    <row r="331" spans="11:26" ht="18" customHeight="1">
      <c r="K331" s="171" t="s">
        <v>702</v>
      </c>
      <c r="L331" s="171"/>
      <c r="M331" s="171"/>
      <c r="V331" s="171"/>
      <c r="W331" s="171"/>
      <c r="Z331" s="236"/>
    </row>
    <row r="332" spans="11:26" ht="18" customHeight="1">
      <c r="K332" s="171" t="s">
        <v>702</v>
      </c>
      <c r="L332" s="171"/>
      <c r="M332" s="171"/>
      <c r="V332" s="171"/>
      <c r="W332" s="171"/>
      <c r="Z332" s="236"/>
    </row>
    <row r="333" spans="11:26" ht="18" customHeight="1">
      <c r="K333" s="171" t="s">
        <v>702</v>
      </c>
      <c r="L333" s="171"/>
      <c r="M333" s="171"/>
      <c r="V333" s="171"/>
      <c r="W333" s="171"/>
      <c r="Z333" s="236"/>
    </row>
    <row r="334" spans="11:26" ht="18" customHeight="1">
      <c r="K334" s="171" t="s">
        <v>702</v>
      </c>
      <c r="L334" s="171"/>
      <c r="M334" s="171"/>
      <c r="V334" s="171"/>
      <c r="W334" s="171"/>
      <c r="Z334" s="236"/>
    </row>
    <row r="335" spans="11:26" ht="18" customHeight="1">
      <c r="K335" s="171" t="s">
        <v>702</v>
      </c>
      <c r="L335" s="171"/>
      <c r="M335" s="171"/>
      <c r="V335" s="171"/>
      <c r="W335" s="171"/>
      <c r="Z335" s="236"/>
    </row>
    <row r="336" spans="11:26" ht="18" customHeight="1">
      <c r="K336" s="171" t="s">
        <v>702</v>
      </c>
      <c r="L336" s="171"/>
      <c r="M336" s="171"/>
      <c r="V336" s="171"/>
      <c r="W336" s="171"/>
      <c r="Z336" s="236"/>
    </row>
    <row r="337" spans="11:26" ht="18" customHeight="1">
      <c r="K337" s="171" t="s">
        <v>702</v>
      </c>
      <c r="L337" s="171"/>
      <c r="M337" s="171"/>
      <c r="V337" s="171"/>
      <c r="W337" s="171"/>
      <c r="Z337" s="236"/>
    </row>
    <row r="338" spans="11:26" ht="18" customHeight="1">
      <c r="K338" s="171" t="s">
        <v>702</v>
      </c>
      <c r="L338" s="171"/>
      <c r="M338" s="171"/>
      <c r="V338" s="171"/>
      <c r="W338" s="171"/>
      <c r="Z338" s="236"/>
    </row>
    <row r="339" spans="11:26" ht="18" customHeight="1">
      <c r="K339" s="171" t="s">
        <v>702</v>
      </c>
      <c r="L339" s="171"/>
      <c r="M339" s="171"/>
      <c r="V339" s="171"/>
      <c r="W339" s="171"/>
      <c r="Z339" s="236"/>
    </row>
    <row r="340" spans="11:26" ht="18" customHeight="1">
      <c r="K340" s="171" t="s">
        <v>702</v>
      </c>
      <c r="L340" s="171"/>
      <c r="M340" s="171"/>
      <c r="V340" s="171"/>
      <c r="W340" s="171"/>
      <c r="Z340" s="236"/>
    </row>
    <row r="341" spans="11:26" ht="18" customHeight="1">
      <c r="K341" s="171" t="s">
        <v>702</v>
      </c>
      <c r="L341" s="171"/>
      <c r="M341" s="171"/>
      <c r="V341" s="171"/>
      <c r="W341" s="171"/>
      <c r="Z341" s="236"/>
    </row>
    <row r="342" spans="11:26" ht="18" customHeight="1">
      <c r="K342" s="171" t="s">
        <v>702</v>
      </c>
      <c r="L342" s="171"/>
      <c r="M342" s="171"/>
      <c r="V342" s="171"/>
      <c r="W342" s="171"/>
      <c r="Z342" s="236"/>
    </row>
    <row r="343" spans="11:26" ht="18" customHeight="1">
      <c r="K343" s="171" t="s">
        <v>702</v>
      </c>
      <c r="L343" s="171"/>
      <c r="M343" s="171"/>
      <c r="V343" s="171"/>
      <c r="W343" s="171"/>
      <c r="Z343" s="236"/>
    </row>
    <row r="344" spans="11:26" ht="18" customHeight="1">
      <c r="K344" s="171" t="s">
        <v>702</v>
      </c>
      <c r="L344" s="171"/>
      <c r="M344" s="171"/>
      <c r="V344" s="171"/>
      <c r="W344" s="171"/>
      <c r="Z344" s="236"/>
    </row>
    <row r="345" spans="11:26" ht="18" customHeight="1">
      <c r="K345" s="171" t="s">
        <v>702</v>
      </c>
      <c r="L345" s="171"/>
      <c r="M345" s="171"/>
      <c r="V345" s="171"/>
      <c r="W345" s="171"/>
      <c r="Z345" s="236"/>
    </row>
    <row r="346" spans="11:26" ht="18" customHeight="1">
      <c r="K346" s="171" t="s">
        <v>702</v>
      </c>
      <c r="L346" s="171"/>
      <c r="M346" s="171"/>
      <c r="V346" s="171"/>
      <c r="W346" s="171"/>
      <c r="Z346" s="236"/>
    </row>
    <row r="347" spans="11:26" ht="18" customHeight="1">
      <c r="K347" s="171" t="s">
        <v>702</v>
      </c>
      <c r="L347" s="171"/>
      <c r="M347" s="171"/>
      <c r="V347" s="171"/>
      <c r="W347" s="171"/>
      <c r="Z347" s="236"/>
    </row>
    <row r="348" spans="11:26" ht="18" customHeight="1">
      <c r="K348" s="171" t="s">
        <v>702</v>
      </c>
      <c r="L348" s="171"/>
      <c r="M348" s="171"/>
      <c r="V348" s="171"/>
      <c r="W348" s="171"/>
      <c r="Z348" s="236"/>
    </row>
    <row r="349" spans="11:26" ht="18" customHeight="1">
      <c r="K349" s="171" t="s">
        <v>702</v>
      </c>
      <c r="L349" s="171"/>
      <c r="M349" s="171"/>
      <c r="V349" s="171"/>
      <c r="W349" s="171"/>
      <c r="Z349" s="236"/>
    </row>
    <row r="350" spans="11:26" ht="18" customHeight="1">
      <c r="K350" s="171" t="s">
        <v>702</v>
      </c>
      <c r="L350" s="171"/>
      <c r="M350" s="171"/>
      <c r="V350" s="171"/>
      <c r="W350" s="171"/>
      <c r="Z350" s="236"/>
    </row>
    <row r="351" spans="11:26" ht="18" customHeight="1">
      <c r="K351" s="171" t="s">
        <v>702</v>
      </c>
      <c r="L351" s="171"/>
      <c r="M351" s="171"/>
      <c r="V351" s="171"/>
      <c r="W351" s="171"/>
      <c r="Z351" s="236"/>
    </row>
    <row r="352" spans="11:26" ht="18" customHeight="1">
      <c r="K352" s="171" t="s">
        <v>702</v>
      </c>
      <c r="L352" s="171"/>
      <c r="M352" s="171"/>
      <c r="V352" s="171"/>
      <c r="W352" s="171"/>
      <c r="Z352" s="236"/>
    </row>
    <row r="353" spans="11:26" ht="18" customHeight="1">
      <c r="K353" s="171" t="s">
        <v>702</v>
      </c>
      <c r="L353" s="171"/>
      <c r="M353" s="171"/>
      <c r="V353" s="171"/>
      <c r="W353" s="171"/>
      <c r="Z353" s="236"/>
    </row>
    <row r="354" spans="11:26" ht="18" customHeight="1">
      <c r="K354" s="171" t="s">
        <v>702</v>
      </c>
      <c r="L354" s="171"/>
      <c r="M354" s="171"/>
      <c r="V354" s="171"/>
      <c r="W354" s="171"/>
      <c r="Z354" s="236"/>
    </row>
    <row r="355" spans="11:26" ht="18" customHeight="1">
      <c r="K355" s="171" t="s">
        <v>702</v>
      </c>
      <c r="L355" s="171"/>
      <c r="M355" s="171"/>
      <c r="V355" s="171"/>
      <c r="W355" s="171"/>
      <c r="Z355" s="236"/>
    </row>
    <row r="356" spans="11:26" ht="18" customHeight="1">
      <c r="K356" s="171" t="s">
        <v>702</v>
      </c>
      <c r="L356" s="171"/>
      <c r="M356" s="171"/>
      <c r="V356" s="171"/>
      <c r="W356" s="171"/>
      <c r="Z356" s="236"/>
    </row>
    <row r="357" spans="11:26" ht="18" customHeight="1">
      <c r="K357" s="171" t="s">
        <v>702</v>
      </c>
      <c r="L357" s="171"/>
      <c r="M357" s="171"/>
      <c r="V357" s="171"/>
      <c r="W357" s="171"/>
      <c r="Z357" s="236"/>
    </row>
    <row r="358" spans="11:26" ht="18" customHeight="1">
      <c r="K358" s="171" t="s">
        <v>702</v>
      </c>
      <c r="L358" s="171"/>
      <c r="M358" s="171"/>
      <c r="V358" s="171"/>
      <c r="W358" s="171"/>
      <c r="Z358" s="236"/>
    </row>
    <row r="359" spans="11:26" ht="18" customHeight="1">
      <c r="K359" s="171" t="s">
        <v>702</v>
      </c>
      <c r="L359" s="171"/>
      <c r="M359" s="171"/>
      <c r="V359" s="171"/>
      <c r="W359" s="171"/>
      <c r="Z359" s="236"/>
    </row>
    <row r="360" spans="11:26" ht="18" customHeight="1">
      <c r="K360" s="171" t="s">
        <v>702</v>
      </c>
      <c r="L360" s="171"/>
      <c r="M360" s="171"/>
      <c r="V360" s="171"/>
      <c r="W360" s="171"/>
      <c r="Z360" s="236"/>
    </row>
    <row r="361" spans="11:26" ht="18" customHeight="1">
      <c r="K361" s="171" t="s">
        <v>702</v>
      </c>
      <c r="L361" s="171"/>
      <c r="M361" s="171"/>
      <c r="V361" s="171"/>
      <c r="W361" s="171"/>
      <c r="Z361" s="236"/>
    </row>
    <row r="362" spans="11:26" ht="18" customHeight="1">
      <c r="K362" s="171" t="s">
        <v>702</v>
      </c>
      <c r="L362" s="171"/>
      <c r="M362" s="171"/>
      <c r="V362" s="171"/>
      <c r="W362" s="171"/>
      <c r="Z362" s="236"/>
    </row>
    <row r="363" spans="11:26" ht="18" customHeight="1">
      <c r="K363" s="171" t="s">
        <v>702</v>
      </c>
      <c r="L363" s="171"/>
      <c r="M363" s="171"/>
      <c r="V363" s="171"/>
      <c r="W363" s="171"/>
      <c r="Z363" s="236"/>
    </row>
    <row r="364" spans="11:26" ht="18" customHeight="1">
      <c r="K364" s="171" t="s">
        <v>702</v>
      </c>
      <c r="L364" s="171"/>
      <c r="M364" s="171"/>
      <c r="V364" s="171"/>
      <c r="W364" s="171"/>
      <c r="Z364" s="236"/>
    </row>
    <row r="365" spans="11:26" ht="18" customHeight="1">
      <c r="K365" s="171" t="s">
        <v>702</v>
      </c>
      <c r="L365" s="171"/>
      <c r="M365" s="171"/>
      <c r="V365" s="171"/>
      <c r="W365" s="171"/>
      <c r="Z365" s="236"/>
    </row>
    <row r="366" spans="11:26" ht="18" customHeight="1">
      <c r="K366" s="171" t="s">
        <v>702</v>
      </c>
      <c r="L366" s="171"/>
      <c r="M366" s="171"/>
      <c r="V366" s="171"/>
      <c r="W366" s="171"/>
      <c r="Z366" s="236"/>
    </row>
    <row r="367" spans="11:26" ht="18" customHeight="1">
      <c r="K367" s="171" t="s">
        <v>702</v>
      </c>
      <c r="L367" s="171"/>
      <c r="M367" s="171"/>
      <c r="V367" s="171"/>
      <c r="W367" s="171"/>
      <c r="Z367" s="236"/>
    </row>
    <row r="368" spans="11:26" ht="18" customHeight="1">
      <c r="K368" s="171" t="s">
        <v>702</v>
      </c>
      <c r="L368" s="171"/>
      <c r="M368" s="171"/>
      <c r="V368" s="171"/>
      <c r="W368" s="171"/>
      <c r="Z368" s="236"/>
    </row>
    <row r="369" spans="11:26" ht="18" customHeight="1">
      <c r="K369" s="171" t="s">
        <v>702</v>
      </c>
      <c r="L369" s="171"/>
      <c r="M369" s="171"/>
      <c r="V369" s="171"/>
      <c r="W369" s="171"/>
      <c r="Z369" s="236"/>
    </row>
    <row r="370" spans="11:26" ht="18" customHeight="1">
      <c r="K370" s="171" t="s">
        <v>702</v>
      </c>
      <c r="L370" s="171"/>
      <c r="M370" s="171"/>
      <c r="V370" s="171"/>
      <c r="W370" s="171"/>
      <c r="Z370" s="236"/>
    </row>
    <row r="371" spans="11:26" ht="18" customHeight="1">
      <c r="K371" s="171" t="s">
        <v>702</v>
      </c>
      <c r="L371" s="171"/>
      <c r="M371" s="171"/>
      <c r="V371" s="171"/>
      <c r="W371" s="171"/>
      <c r="Z371" s="236"/>
    </row>
    <row r="372" spans="11:26" ht="18" customHeight="1">
      <c r="K372" s="171" t="s">
        <v>702</v>
      </c>
      <c r="L372" s="171"/>
      <c r="M372" s="171"/>
      <c r="V372" s="171"/>
      <c r="W372" s="171"/>
      <c r="Z372" s="236"/>
    </row>
    <row r="373" spans="11:26" ht="18" customHeight="1">
      <c r="K373" s="171" t="s">
        <v>702</v>
      </c>
      <c r="L373" s="171"/>
      <c r="M373" s="171"/>
      <c r="V373" s="171"/>
      <c r="W373" s="171"/>
      <c r="Z373" s="236"/>
    </row>
    <row r="374" spans="11:26" ht="18" customHeight="1">
      <c r="K374" s="171" t="s">
        <v>702</v>
      </c>
      <c r="L374" s="171"/>
      <c r="M374" s="171"/>
      <c r="V374" s="171"/>
      <c r="W374" s="171"/>
      <c r="Z374" s="236"/>
    </row>
    <row r="375" spans="11:26" ht="18" customHeight="1">
      <c r="K375" s="171" t="s">
        <v>702</v>
      </c>
      <c r="L375" s="171"/>
      <c r="M375" s="171"/>
      <c r="V375" s="171"/>
      <c r="W375" s="171"/>
      <c r="Z375" s="236"/>
    </row>
    <row r="376" spans="11:26" ht="18" customHeight="1">
      <c r="K376" s="171" t="s">
        <v>702</v>
      </c>
      <c r="L376" s="171"/>
      <c r="M376" s="171"/>
      <c r="V376" s="171"/>
      <c r="W376" s="171"/>
      <c r="Z376" s="236"/>
    </row>
    <row r="377" spans="11:26" ht="18" customHeight="1">
      <c r="K377" s="171" t="s">
        <v>702</v>
      </c>
      <c r="L377" s="171"/>
      <c r="M377" s="171"/>
      <c r="V377" s="171"/>
      <c r="W377" s="171"/>
      <c r="Z377" s="236"/>
    </row>
    <row r="378" spans="11:26" ht="18" customHeight="1">
      <c r="K378" s="171" t="s">
        <v>702</v>
      </c>
      <c r="L378" s="171"/>
      <c r="M378" s="171"/>
      <c r="V378" s="171"/>
      <c r="W378" s="171"/>
      <c r="Z378" s="236"/>
    </row>
    <row r="379" spans="11:26" ht="18" customHeight="1">
      <c r="K379" s="171" t="s">
        <v>702</v>
      </c>
      <c r="L379" s="171"/>
      <c r="M379" s="171"/>
      <c r="V379" s="171"/>
      <c r="W379" s="171"/>
      <c r="Z379" s="236"/>
    </row>
    <row r="380" spans="11:26" ht="18" customHeight="1">
      <c r="K380" s="171" t="s">
        <v>702</v>
      </c>
      <c r="L380" s="171"/>
      <c r="M380" s="171"/>
      <c r="V380" s="171"/>
      <c r="W380" s="171"/>
      <c r="Z380" s="236"/>
    </row>
    <row r="381" spans="11:26" ht="18" customHeight="1">
      <c r="K381" s="171" t="s">
        <v>702</v>
      </c>
      <c r="L381" s="171"/>
      <c r="M381" s="171"/>
      <c r="V381" s="171"/>
      <c r="W381" s="171"/>
      <c r="Z381" s="236"/>
    </row>
    <row r="382" spans="11:26" ht="18" customHeight="1">
      <c r="K382" s="171" t="s">
        <v>702</v>
      </c>
      <c r="L382" s="171"/>
      <c r="M382" s="171"/>
      <c r="V382" s="171"/>
      <c r="W382" s="171"/>
      <c r="Z382" s="236"/>
    </row>
    <row r="383" spans="11:26" ht="18" customHeight="1">
      <c r="K383" s="171" t="s">
        <v>702</v>
      </c>
      <c r="L383" s="171"/>
      <c r="M383" s="171"/>
      <c r="V383" s="171"/>
      <c r="W383" s="171"/>
      <c r="Z383" s="236"/>
    </row>
    <row r="384" spans="11:26" ht="18" customHeight="1">
      <c r="K384" s="171" t="s">
        <v>702</v>
      </c>
      <c r="L384" s="171"/>
      <c r="M384" s="171"/>
      <c r="V384" s="171"/>
      <c r="W384" s="171"/>
      <c r="Z384" s="236"/>
    </row>
    <row r="385" spans="11:26" ht="18" customHeight="1">
      <c r="K385" s="171" t="s">
        <v>702</v>
      </c>
      <c r="L385" s="171"/>
      <c r="M385" s="171"/>
      <c r="V385" s="171"/>
      <c r="W385" s="171"/>
      <c r="Z385" s="236"/>
    </row>
    <row r="386" spans="11:26" ht="18" customHeight="1">
      <c r="K386" s="171" t="s">
        <v>702</v>
      </c>
      <c r="L386" s="171"/>
      <c r="M386" s="171"/>
      <c r="V386" s="171"/>
      <c r="W386" s="171"/>
      <c r="Z386" s="236"/>
    </row>
    <row r="387" spans="11:26" ht="18" customHeight="1">
      <c r="K387" s="171" t="s">
        <v>702</v>
      </c>
      <c r="L387" s="171"/>
      <c r="M387" s="171"/>
      <c r="V387" s="171"/>
      <c r="W387" s="171"/>
      <c r="Z387" s="236"/>
    </row>
    <row r="388" spans="11:26" ht="18" customHeight="1">
      <c r="K388" s="171" t="s">
        <v>702</v>
      </c>
      <c r="L388" s="171"/>
      <c r="M388" s="171"/>
      <c r="V388" s="171"/>
      <c r="W388" s="171"/>
      <c r="Z388" s="236"/>
    </row>
    <row r="389" spans="11:26" ht="18" customHeight="1">
      <c r="K389" s="171" t="s">
        <v>702</v>
      </c>
      <c r="L389" s="171"/>
      <c r="M389" s="171"/>
      <c r="V389" s="171"/>
      <c r="W389" s="171"/>
      <c r="Z389" s="236"/>
    </row>
    <row r="390" spans="11:26" ht="18" customHeight="1">
      <c r="K390" s="171" t="s">
        <v>702</v>
      </c>
      <c r="L390" s="171"/>
      <c r="M390" s="171"/>
      <c r="V390" s="171"/>
      <c r="W390" s="171"/>
      <c r="Z390" s="236"/>
    </row>
    <row r="391" spans="11:26" ht="18" customHeight="1">
      <c r="K391" s="171" t="s">
        <v>702</v>
      </c>
      <c r="L391" s="171"/>
      <c r="M391" s="171"/>
      <c r="V391" s="171"/>
      <c r="W391" s="171"/>
      <c r="Z391" s="236"/>
    </row>
    <row r="392" spans="11:26" ht="18" customHeight="1">
      <c r="K392" s="171" t="s">
        <v>702</v>
      </c>
      <c r="L392" s="171"/>
      <c r="M392" s="171"/>
      <c r="V392" s="171"/>
      <c r="W392" s="171"/>
      <c r="Z392" s="236"/>
    </row>
    <row r="393" spans="11:26" ht="18" customHeight="1">
      <c r="K393" s="171" t="s">
        <v>702</v>
      </c>
      <c r="L393" s="171"/>
      <c r="M393" s="171"/>
      <c r="V393" s="171"/>
      <c r="W393" s="171"/>
      <c r="Z393" s="236"/>
    </row>
    <row r="394" spans="11:26" ht="18" customHeight="1">
      <c r="K394" s="171" t="s">
        <v>702</v>
      </c>
      <c r="L394" s="171"/>
      <c r="M394" s="171"/>
      <c r="V394" s="171"/>
      <c r="W394" s="171"/>
      <c r="Z394" s="236"/>
    </row>
    <row r="395" spans="11:26" ht="18" customHeight="1">
      <c r="K395" s="171" t="s">
        <v>702</v>
      </c>
      <c r="L395" s="171"/>
      <c r="M395" s="171"/>
      <c r="V395" s="171"/>
      <c r="W395" s="171"/>
      <c r="Z395" s="236"/>
    </row>
    <row r="396" spans="11:26" ht="18" customHeight="1">
      <c r="K396" s="171" t="s">
        <v>702</v>
      </c>
      <c r="L396" s="171"/>
      <c r="M396" s="171"/>
      <c r="V396" s="171"/>
      <c r="W396" s="171"/>
      <c r="Z396" s="236"/>
    </row>
    <row r="397" spans="11:26" ht="18" customHeight="1">
      <c r="K397" s="171" t="s">
        <v>702</v>
      </c>
      <c r="L397" s="171"/>
      <c r="M397" s="171"/>
      <c r="V397" s="171"/>
      <c r="W397" s="171"/>
      <c r="Z397" s="236"/>
    </row>
    <row r="398" spans="11:26" ht="18" customHeight="1">
      <c r="K398" s="171" t="s">
        <v>702</v>
      </c>
      <c r="L398" s="171"/>
      <c r="M398" s="171"/>
      <c r="V398" s="171"/>
      <c r="W398" s="171"/>
      <c r="Z398" s="236"/>
    </row>
    <row r="399" spans="11:26" ht="18" customHeight="1">
      <c r="K399" s="171" t="s">
        <v>702</v>
      </c>
      <c r="L399" s="171"/>
      <c r="M399" s="171"/>
      <c r="V399" s="171"/>
      <c r="W399" s="171"/>
      <c r="Z399" s="236"/>
    </row>
    <row r="400" spans="11:26" ht="18" customHeight="1">
      <c r="K400" s="171" t="s">
        <v>702</v>
      </c>
      <c r="L400" s="171"/>
      <c r="M400" s="171"/>
      <c r="V400" s="171"/>
      <c r="W400" s="171"/>
      <c r="Z400" s="236"/>
    </row>
    <row r="401" spans="11:26" ht="18" customHeight="1">
      <c r="K401" s="171" t="s">
        <v>702</v>
      </c>
      <c r="L401" s="171"/>
      <c r="M401" s="171"/>
      <c r="V401" s="171"/>
      <c r="W401" s="171"/>
      <c r="Z401" s="236"/>
    </row>
    <row r="402" spans="11:26" ht="18" customHeight="1">
      <c r="K402" s="171" t="s">
        <v>702</v>
      </c>
      <c r="L402" s="171"/>
      <c r="M402" s="171"/>
      <c r="V402" s="171"/>
      <c r="W402" s="171"/>
      <c r="Z402" s="236"/>
    </row>
    <row r="403" spans="11:26" ht="18" customHeight="1">
      <c r="K403" s="171" t="s">
        <v>702</v>
      </c>
      <c r="L403" s="171"/>
      <c r="M403" s="171"/>
      <c r="V403" s="171"/>
      <c r="W403" s="171"/>
      <c r="Z403" s="236"/>
    </row>
    <row r="404" spans="11:26" ht="18" customHeight="1">
      <c r="K404" s="171" t="s">
        <v>702</v>
      </c>
      <c r="L404" s="171"/>
      <c r="M404" s="171"/>
      <c r="V404" s="171"/>
      <c r="W404" s="171"/>
      <c r="Z404" s="236"/>
    </row>
    <row r="405" spans="11:26" ht="18" customHeight="1">
      <c r="K405" s="171" t="s">
        <v>702</v>
      </c>
      <c r="L405" s="171"/>
      <c r="M405" s="171"/>
      <c r="V405" s="171"/>
      <c r="W405" s="171"/>
      <c r="Z405" s="236"/>
    </row>
    <row r="406" spans="11:26" ht="18" customHeight="1">
      <c r="K406" s="171" t="s">
        <v>702</v>
      </c>
      <c r="L406" s="171"/>
      <c r="M406" s="171"/>
      <c r="V406" s="171"/>
      <c r="W406" s="171"/>
      <c r="Z406" s="236"/>
    </row>
    <row r="407" spans="11:26" ht="18" customHeight="1">
      <c r="K407" s="171" t="s">
        <v>702</v>
      </c>
      <c r="L407" s="171"/>
      <c r="M407" s="171"/>
      <c r="V407" s="171"/>
      <c r="W407" s="171"/>
      <c r="Z407" s="236"/>
    </row>
    <row r="408" spans="11:26" ht="18" customHeight="1">
      <c r="K408" s="171" t="s">
        <v>702</v>
      </c>
      <c r="L408" s="171"/>
      <c r="M408" s="171"/>
      <c r="V408" s="171"/>
      <c r="W408" s="171"/>
      <c r="Z408" s="236"/>
    </row>
    <row r="409" spans="11:26" ht="18" customHeight="1">
      <c r="K409" s="171" t="s">
        <v>702</v>
      </c>
      <c r="L409" s="171"/>
      <c r="M409" s="171"/>
      <c r="V409" s="171"/>
      <c r="W409" s="171"/>
      <c r="Z409" s="236"/>
    </row>
    <row r="410" spans="11:26" ht="18" customHeight="1">
      <c r="K410" s="171" t="s">
        <v>702</v>
      </c>
      <c r="L410" s="171"/>
      <c r="M410" s="171"/>
      <c r="V410" s="171"/>
      <c r="W410" s="171"/>
      <c r="Z410" s="236"/>
    </row>
    <row r="411" spans="11:26" ht="18" customHeight="1">
      <c r="K411" s="171" t="s">
        <v>702</v>
      </c>
      <c r="L411" s="171"/>
      <c r="M411" s="171"/>
      <c r="V411" s="171"/>
      <c r="W411" s="171"/>
      <c r="Z411" s="236"/>
    </row>
    <row r="412" spans="11:26" ht="18" customHeight="1">
      <c r="K412" s="171" t="s">
        <v>702</v>
      </c>
      <c r="L412" s="171"/>
      <c r="M412" s="171"/>
      <c r="V412" s="171"/>
      <c r="W412" s="171"/>
      <c r="Z412" s="236"/>
    </row>
    <row r="413" spans="11:26" ht="18" customHeight="1">
      <c r="K413" s="171" t="s">
        <v>702</v>
      </c>
      <c r="L413" s="171"/>
      <c r="M413" s="171"/>
      <c r="V413" s="171"/>
      <c r="W413" s="171"/>
      <c r="Z413" s="236"/>
    </row>
    <row r="414" spans="11:26" ht="18" customHeight="1">
      <c r="K414" s="171" t="s">
        <v>702</v>
      </c>
      <c r="L414" s="171"/>
      <c r="M414" s="171"/>
      <c r="V414" s="171"/>
      <c r="W414" s="171"/>
      <c r="Z414" s="236"/>
    </row>
    <row r="415" spans="11:26" ht="18" customHeight="1">
      <c r="K415" s="171" t="s">
        <v>702</v>
      </c>
      <c r="L415" s="171"/>
      <c r="M415" s="171"/>
      <c r="V415" s="171"/>
      <c r="W415" s="171"/>
      <c r="Z415" s="236"/>
    </row>
    <row r="416" spans="11:26" ht="18" customHeight="1">
      <c r="K416" s="171" t="s">
        <v>702</v>
      </c>
      <c r="L416" s="171"/>
      <c r="M416" s="171"/>
      <c r="V416" s="171"/>
      <c r="W416" s="171"/>
      <c r="Z416" s="236"/>
    </row>
    <row r="417" spans="11:26" ht="18" customHeight="1">
      <c r="K417" s="171" t="s">
        <v>702</v>
      </c>
      <c r="L417" s="171"/>
      <c r="M417" s="171"/>
      <c r="V417" s="171"/>
      <c r="W417" s="171"/>
      <c r="Z417" s="236"/>
    </row>
    <row r="418" spans="11:26" ht="18" customHeight="1">
      <c r="K418" s="171" t="s">
        <v>702</v>
      </c>
      <c r="L418" s="171"/>
      <c r="M418" s="171"/>
      <c r="V418" s="171"/>
      <c r="W418" s="171"/>
      <c r="Z418" s="236"/>
    </row>
    <row r="419" spans="11:26" ht="18" customHeight="1">
      <c r="K419" s="171" t="s">
        <v>702</v>
      </c>
      <c r="L419" s="171"/>
      <c r="M419" s="171"/>
      <c r="V419" s="171"/>
      <c r="W419" s="171"/>
      <c r="Z419" s="236"/>
    </row>
    <row r="420" spans="11:26" ht="18" customHeight="1">
      <c r="K420" s="171" t="s">
        <v>702</v>
      </c>
      <c r="L420" s="171"/>
      <c r="M420" s="171"/>
      <c r="V420" s="171"/>
      <c r="W420" s="171"/>
      <c r="Z420" s="236"/>
    </row>
    <row r="421" spans="11:26" ht="18" customHeight="1">
      <c r="K421" s="171" t="s">
        <v>702</v>
      </c>
      <c r="L421" s="171"/>
      <c r="M421" s="171"/>
      <c r="V421" s="171"/>
      <c r="W421" s="171"/>
      <c r="Z421" s="236"/>
    </row>
    <row r="422" spans="11:26" ht="18" customHeight="1">
      <c r="K422" s="171" t="s">
        <v>702</v>
      </c>
      <c r="L422" s="171"/>
      <c r="M422" s="171"/>
      <c r="V422" s="171"/>
      <c r="W422" s="171"/>
      <c r="Z422" s="236"/>
    </row>
    <row r="423" spans="11:26" ht="18" customHeight="1">
      <c r="K423" s="171" t="s">
        <v>702</v>
      </c>
      <c r="L423" s="171"/>
      <c r="M423" s="171"/>
      <c r="V423" s="171"/>
      <c r="W423" s="171"/>
      <c r="Z423" s="236"/>
    </row>
    <row r="424" spans="11:26" ht="18" customHeight="1">
      <c r="K424" s="171" t="s">
        <v>702</v>
      </c>
      <c r="L424" s="171"/>
      <c r="M424" s="171"/>
      <c r="V424" s="171"/>
      <c r="W424" s="171"/>
      <c r="Z424" s="236"/>
    </row>
    <row r="425" spans="11:26" ht="18" customHeight="1">
      <c r="K425" s="171" t="s">
        <v>702</v>
      </c>
      <c r="L425" s="171"/>
      <c r="M425" s="171"/>
      <c r="V425" s="171"/>
      <c r="W425" s="171"/>
      <c r="Z425" s="236"/>
    </row>
    <row r="426" spans="11:26" ht="18" customHeight="1">
      <c r="K426" s="171" t="s">
        <v>702</v>
      </c>
      <c r="L426" s="171"/>
      <c r="M426" s="171"/>
      <c r="V426" s="171"/>
      <c r="W426" s="171"/>
      <c r="Z426" s="236"/>
    </row>
    <row r="427" spans="11:26" ht="18" customHeight="1">
      <c r="K427" s="171" t="s">
        <v>702</v>
      </c>
      <c r="L427" s="171"/>
      <c r="M427" s="171"/>
      <c r="V427" s="171"/>
      <c r="W427" s="171"/>
      <c r="Z427" s="236"/>
    </row>
    <row r="428" spans="11:26" ht="18" customHeight="1">
      <c r="K428" s="171" t="s">
        <v>702</v>
      </c>
      <c r="L428" s="171"/>
      <c r="M428" s="171"/>
      <c r="V428" s="171"/>
      <c r="W428" s="171"/>
      <c r="Z428" s="236"/>
    </row>
    <row r="429" spans="11:26" ht="18" customHeight="1">
      <c r="K429" s="171" t="s">
        <v>702</v>
      </c>
      <c r="L429" s="171"/>
      <c r="M429" s="171"/>
      <c r="V429" s="171"/>
      <c r="W429" s="171"/>
      <c r="Z429" s="236"/>
    </row>
    <row r="430" spans="11:26" ht="18" customHeight="1">
      <c r="K430" s="171" t="s">
        <v>702</v>
      </c>
      <c r="L430" s="171"/>
      <c r="M430" s="171"/>
      <c r="V430" s="171"/>
      <c r="W430" s="171"/>
      <c r="Z430" s="236"/>
    </row>
    <row r="431" spans="11:26" ht="18" customHeight="1">
      <c r="K431" s="171" t="s">
        <v>702</v>
      </c>
      <c r="L431" s="171"/>
      <c r="M431" s="171"/>
      <c r="V431" s="171"/>
      <c r="W431" s="171"/>
      <c r="Z431" s="236"/>
    </row>
    <row r="432" spans="11:26" ht="18" customHeight="1">
      <c r="K432" s="171" t="s">
        <v>702</v>
      </c>
      <c r="L432" s="171"/>
      <c r="M432" s="171"/>
      <c r="V432" s="171"/>
      <c r="W432" s="171"/>
      <c r="Z432" s="236"/>
    </row>
    <row r="433" spans="11:26" ht="18" customHeight="1">
      <c r="K433" s="171" t="s">
        <v>702</v>
      </c>
      <c r="L433" s="171"/>
      <c r="M433" s="171"/>
      <c r="V433" s="171"/>
      <c r="W433" s="171"/>
      <c r="Z433" s="236"/>
    </row>
    <row r="434" spans="11:26" ht="18" customHeight="1">
      <c r="K434" s="171" t="s">
        <v>702</v>
      </c>
      <c r="L434" s="171"/>
      <c r="M434" s="171"/>
      <c r="V434" s="171"/>
      <c r="W434" s="171"/>
      <c r="Z434" s="236"/>
    </row>
    <row r="435" spans="11:26" ht="18" customHeight="1">
      <c r="K435" s="171" t="s">
        <v>702</v>
      </c>
      <c r="L435" s="171"/>
      <c r="M435" s="171"/>
      <c r="V435" s="171"/>
      <c r="W435" s="171"/>
      <c r="Z435" s="236"/>
    </row>
    <row r="436" spans="11:26" ht="18" customHeight="1">
      <c r="K436" s="171" t="s">
        <v>702</v>
      </c>
      <c r="L436" s="171"/>
      <c r="M436" s="171"/>
      <c r="V436" s="171"/>
      <c r="W436" s="171"/>
      <c r="Z436" s="236"/>
    </row>
    <row r="437" spans="11:26" ht="18" customHeight="1">
      <c r="K437" s="171" t="s">
        <v>702</v>
      </c>
      <c r="L437" s="171"/>
      <c r="M437" s="171"/>
      <c r="V437" s="171"/>
      <c r="W437" s="171"/>
      <c r="Z437" s="236"/>
    </row>
    <row r="438" spans="11:26" ht="18" customHeight="1">
      <c r="K438" s="171" t="s">
        <v>702</v>
      </c>
      <c r="L438" s="171"/>
      <c r="M438" s="171"/>
      <c r="V438" s="171"/>
      <c r="W438" s="171"/>
      <c r="Z438" s="236"/>
    </row>
    <row r="439" spans="11:26" ht="18" customHeight="1">
      <c r="K439" s="171" t="s">
        <v>702</v>
      </c>
      <c r="L439" s="171"/>
      <c r="M439" s="171"/>
      <c r="V439" s="171"/>
      <c r="W439" s="171"/>
      <c r="Z439" s="236"/>
    </row>
    <row r="440" spans="11:26" ht="18" customHeight="1">
      <c r="K440" s="171" t="s">
        <v>702</v>
      </c>
      <c r="L440" s="171"/>
      <c r="M440" s="171"/>
      <c r="V440" s="171"/>
      <c r="W440" s="171"/>
      <c r="Z440" s="236"/>
    </row>
    <row r="441" spans="11:26" ht="18" customHeight="1">
      <c r="K441" s="171" t="s">
        <v>702</v>
      </c>
      <c r="L441" s="171"/>
      <c r="M441" s="171"/>
      <c r="V441" s="171"/>
      <c r="W441" s="171"/>
      <c r="Z441" s="236"/>
    </row>
    <row r="442" spans="11:26" ht="18" customHeight="1">
      <c r="K442" s="171" t="s">
        <v>702</v>
      </c>
      <c r="L442" s="171"/>
      <c r="M442" s="171"/>
      <c r="V442" s="171"/>
      <c r="W442" s="171"/>
      <c r="Z442" s="236"/>
    </row>
    <row r="443" spans="11:26" ht="18" customHeight="1">
      <c r="K443" s="171" t="s">
        <v>702</v>
      </c>
      <c r="L443" s="171"/>
      <c r="M443" s="171"/>
      <c r="V443" s="171"/>
      <c r="W443" s="171"/>
      <c r="Z443" s="236"/>
    </row>
    <row r="444" spans="11:26" ht="18" customHeight="1">
      <c r="K444" s="171" t="s">
        <v>702</v>
      </c>
      <c r="L444" s="171"/>
      <c r="M444" s="171"/>
      <c r="V444" s="171"/>
      <c r="W444" s="171"/>
      <c r="Z444" s="236"/>
    </row>
    <row r="445" spans="11:26" ht="18" customHeight="1">
      <c r="K445" s="171" t="s">
        <v>702</v>
      </c>
      <c r="L445" s="171"/>
      <c r="M445" s="171"/>
      <c r="V445" s="171"/>
      <c r="W445" s="171"/>
      <c r="Z445" s="236"/>
    </row>
    <row r="446" spans="11:26" ht="18" customHeight="1">
      <c r="K446" s="171" t="s">
        <v>702</v>
      </c>
      <c r="L446" s="171"/>
      <c r="M446" s="171"/>
      <c r="V446" s="171"/>
      <c r="W446" s="171"/>
      <c r="Z446" s="236"/>
    </row>
    <row r="447" spans="11:26" ht="18" customHeight="1">
      <c r="K447" s="171" t="s">
        <v>702</v>
      </c>
      <c r="L447" s="171"/>
      <c r="M447" s="171"/>
      <c r="V447" s="171"/>
      <c r="W447" s="171"/>
      <c r="Z447" s="236"/>
    </row>
    <row r="448" spans="11:26" ht="18" customHeight="1">
      <c r="K448" s="171" t="s">
        <v>702</v>
      </c>
      <c r="L448" s="171"/>
      <c r="M448" s="171"/>
      <c r="V448" s="171"/>
      <c r="W448" s="171"/>
      <c r="Z448" s="236"/>
    </row>
    <row r="449" spans="11:26" ht="18" customHeight="1">
      <c r="K449" s="171" t="s">
        <v>702</v>
      </c>
      <c r="L449" s="171"/>
      <c r="M449" s="171"/>
      <c r="V449" s="171"/>
      <c r="W449" s="171"/>
      <c r="Z449" s="236"/>
    </row>
    <row r="450" spans="11:26" ht="18" customHeight="1">
      <c r="K450" s="171" t="s">
        <v>702</v>
      </c>
      <c r="L450" s="171"/>
      <c r="M450" s="171"/>
      <c r="V450" s="171"/>
      <c r="W450" s="171"/>
      <c r="Z450" s="236"/>
    </row>
    <row r="451" spans="11:26" ht="18" customHeight="1">
      <c r="K451" s="171" t="s">
        <v>702</v>
      </c>
      <c r="L451" s="171"/>
      <c r="M451" s="171"/>
      <c r="V451" s="171"/>
      <c r="W451" s="171"/>
      <c r="Z451" s="236"/>
    </row>
    <row r="452" spans="11:26" ht="18" customHeight="1">
      <c r="K452" s="171" t="s">
        <v>702</v>
      </c>
      <c r="L452" s="171"/>
      <c r="M452" s="171"/>
      <c r="V452" s="171"/>
      <c r="W452" s="171"/>
      <c r="Z452" s="236"/>
    </row>
    <row r="453" spans="11:26" ht="18" customHeight="1">
      <c r="K453" s="171" t="s">
        <v>702</v>
      </c>
      <c r="L453" s="171"/>
      <c r="M453" s="171"/>
      <c r="V453" s="171"/>
      <c r="W453" s="171"/>
      <c r="Z453" s="236"/>
    </row>
    <row r="454" spans="11:26" ht="18" customHeight="1">
      <c r="K454" s="171" t="s">
        <v>702</v>
      </c>
      <c r="L454" s="171"/>
      <c r="M454" s="171"/>
      <c r="V454" s="171"/>
      <c r="W454" s="171"/>
      <c r="Z454" s="236"/>
    </row>
    <row r="455" spans="11:26" ht="18" customHeight="1">
      <c r="K455" s="171" t="s">
        <v>702</v>
      </c>
      <c r="L455" s="171"/>
      <c r="M455" s="171"/>
      <c r="V455" s="171"/>
      <c r="W455" s="171"/>
      <c r="Z455" s="236"/>
    </row>
    <row r="456" spans="11:26" ht="18" customHeight="1">
      <c r="K456" s="171" t="s">
        <v>702</v>
      </c>
      <c r="L456" s="171"/>
      <c r="M456" s="171"/>
      <c r="V456" s="171"/>
      <c r="W456" s="171"/>
      <c r="Z456" s="236"/>
    </row>
    <row r="457" spans="11:26" ht="18" customHeight="1">
      <c r="K457" s="171" t="s">
        <v>702</v>
      </c>
      <c r="L457" s="171"/>
      <c r="M457" s="171"/>
      <c r="V457" s="171"/>
      <c r="W457" s="171"/>
      <c r="Z457" s="236"/>
    </row>
    <row r="458" spans="11:26" ht="18" customHeight="1">
      <c r="K458" s="171" t="s">
        <v>814</v>
      </c>
      <c r="L458" s="171"/>
      <c r="M458" s="171"/>
      <c r="V458" s="171"/>
      <c r="W458" s="171"/>
      <c r="Z458" s="236"/>
    </row>
    <row r="459" spans="11:26" ht="18" customHeight="1">
      <c r="K459" s="171" t="s">
        <v>702</v>
      </c>
      <c r="L459" s="171"/>
      <c r="M459" s="171"/>
      <c r="V459" s="171"/>
      <c r="W459" s="171"/>
      <c r="Z459" s="236"/>
    </row>
    <row r="460" spans="11:26" ht="18" customHeight="1">
      <c r="K460" s="171" t="s">
        <v>702</v>
      </c>
      <c r="L460" s="171"/>
      <c r="M460" s="171"/>
      <c r="V460" s="171"/>
      <c r="W460" s="171"/>
      <c r="Z460" s="236"/>
    </row>
    <row r="461" spans="11:26" ht="18" customHeight="1">
      <c r="K461" s="171" t="s">
        <v>702</v>
      </c>
      <c r="L461" s="171"/>
      <c r="M461" s="171"/>
      <c r="V461" s="171"/>
      <c r="W461" s="171"/>
      <c r="Z461" s="236"/>
    </row>
    <row r="462" spans="11:26" ht="18" customHeight="1">
      <c r="K462" s="171" t="s">
        <v>702</v>
      </c>
      <c r="L462" s="171"/>
      <c r="M462" s="171"/>
      <c r="V462" s="171"/>
      <c r="W462" s="171"/>
      <c r="Z462" s="236"/>
    </row>
    <row r="463" spans="11:26" ht="18" customHeight="1">
      <c r="K463" s="171" t="s">
        <v>702</v>
      </c>
      <c r="L463" s="171"/>
      <c r="M463" s="171"/>
      <c r="V463" s="171"/>
      <c r="W463" s="171"/>
      <c r="Z463" s="236"/>
    </row>
    <row r="464" spans="11:26" ht="18" customHeight="1">
      <c r="K464" s="171" t="s">
        <v>702</v>
      </c>
      <c r="L464" s="171"/>
      <c r="M464" s="171"/>
      <c r="V464" s="171"/>
      <c r="W464" s="171"/>
      <c r="Z464" s="236"/>
    </row>
    <row r="465" spans="11:26" ht="18" customHeight="1">
      <c r="K465" s="171" t="s">
        <v>702</v>
      </c>
      <c r="L465" s="171"/>
      <c r="M465" s="171"/>
      <c r="V465" s="171"/>
      <c r="W465" s="171"/>
      <c r="Z465" s="236"/>
    </row>
    <row r="466" spans="11:26" ht="18" customHeight="1">
      <c r="K466" s="171" t="s">
        <v>702</v>
      </c>
      <c r="L466" s="171"/>
      <c r="M466" s="171"/>
      <c r="V466" s="171"/>
      <c r="W466" s="171"/>
      <c r="Z466" s="236"/>
    </row>
    <row r="467" spans="11:26" ht="18" customHeight="1">
      <c r="K467" s="171" t="s">
        <v>702</v>
      </c>
      <c r="L467" s="171"/>
      <c r="M467" s="171"/>
      <c r="V467" s="171"/>
      <c r="W467" s="171"/>
      <c r="Z467" s="236"/>
    </row>
    <row r="468" spans="11:26" ht="18" customHeight="1">
      <c r="K468" s="171" t="s">
        <v>702</v>
      </c>
      <c r="L468" s="171"/>
      <c r="M468" s="171"/>
      <c r="V468" s="171"/>
      <c r="W468" s="171"/>
      <c r="Z468" s="236"/>
    </row>
    <row r="469" spans="11:26" ht="18" customHeight="1">
      <c r="K469" s="171" t="s">
        <v>702</v>
      </c>
      <c r="L469" s="171"/>
      <c r="M469" s="171"/>
      <c r="V469" s="171"/>
      <c r="W469" s="171"/>
      <c r="Z469" s="236"/>
    </row>
    <row r="470" spans="11:26" ht="18" customHeight="1">
      <c r="K470" s="171" t="s">
        <v>702</v>
      </c>
      <c r="L470" s="171"/>
      <c r="M470" s="171"/>
      <c r="V470" s="171"/>
      <c r="W470" s="171"/>
      <c r="Z470" s="236"/>
    </row>
    <row r="471" spans="11:26" ht="18" customHeight="1">
      <c r="K471" s="171" t="s">
        <v>702</v>
      </c>
      <c r="L471" s="171"/>
      <c r="M471" s="171"/>
      <c r="V471" s="171"/>
      <c r="W471" s="171"/>
      <c r="Z471" s="236"/>
    </row>
    <row r="472" spans="11:26" ht="18" customHeight="1">
      <c r="K472" s="171" t="s">
        <v>702</v>
      </c>
      <c r="L472" s="171"/>
      <c r="M472" s="171"/>
      <c r="V472" s="171"/>
      <c r="W472" s="171"/>
      <c r="Z472" s="236"/>
    </row>
    <row r="473" spans="11:26" ht="18" customHeight="1">
      <c r="K473" s="171" t="s">
        <v>702</v>
      </c>
      <c r="L473" s="171"/>
      <c r="M473" s="171"/>
      <c r="V473" s="171"/>
      <c r="W473" s="171"/>
      <c r="Z473" s="236"/>
    </row>
    <row r="474" spans="11:26" ht="18" customHeight="1">
      <c r="K474" s="171" t="s">
        <v>702</v>
      </c>
      <c r="L474" s="171"/>
      <c r="M474" s="171"/>
      <c r="V474" s="171"/>
      <c r="W474" s="171"/>
      <c r="Z474" s="236"/>
    </row>
    <row r="475" spans="11:26" ht="18" customHeight="1">
      <c r="K475" s="171" t="s">
        <v>702</v>
      </c>
      <c r="L475" s="171"/>
      <c r="M475" s="171"/>
      <c r="V475" s="171"/>
      <c r="W475" s="171"/>
    </row>
    <row r="476" spans="11:26" ht="18" customHeight="1">
      <c r="K476" s="171" t="s">
        <v>702</v>
      </c>
      <c r="L476" s="171"/>
      <c r="M476" s="171"/>
      <c r="V476" s="171"/>
      <c r="W476" s="171"/>
    </row>
    <row r="477" spans="11:26" ht="18" customHeight="1">
      <c r="K477" s="171" t="s">
        <v>702</v>
      </c>
      <c r="L477" s="171"/>
      <c r="M477" s="171"/>
      <c r="V477" s="171"/>
      <c r="W477" s="171"/>
    </row>
    <row r="478" spans="11:26" ht="18" customHeight="1">
      <c r="K478" s="171" t="s">
        <v>702</v>
      </c>
      <c r="L478" s="171"/>
      <c r="M478" s="171"/>
      <c r="V478" s="171"/>
      <c r="W478" s="171"/>
    </row>
    <row r="479" spans="11:26" ht="18" customHeight="1">
      <c r="K479" s="171" t="s">
        <v>702</v>
      </c>
      <c r="L479" s="171"/>
      <c r="M479" s="171"/>
      <c r="V479" s="171"/>
      <c r="W479" s="171"/>
    </row>
    <row r="480" spans="11:26" ht="18" customHeight="1">
      <c r="K480" s="171" t="s">
        <v>702</v>
      </c>
      <c r="L480" s="171"/>
      <c r="M480" s="171"/>
      <c r="V480" s="171"/>
      <c r="W480" s="171"/>
    </row>
    <row r="481" spans="11:23" ht="18" customHeight="1">
      <c r="K481" s="171" t="s">
        <v>702</v>
      </c>
      <c r="L481" s="171"/>
      <c r="M481" s="171"/>
      <c r="V481" s="171"/>
      <c r="W481" s="171"/>
    </row>
    <row r="482" spans="11:23" ht="18" customHeight="1">
      <c r="K482" s="171" t="s">
        <v>702</v>
      </c>
      <c r="L482" s="171"/>
      <c r="M482" s="171"/>
      <c r="V482" s="171"/>
      <c r="W482" s="171"/>
    </row>
    <row r="483" spans="11:23" ht="18" customHeight="1">
      <c r="K483" s="171" t="s">
        <v>702</v>
      </c>
      <c r="L483" s="171"/>
      <c r="M483" s="171"/>
      <c r="V483" s="171"/>
      <c r="W483" s="171"/>
    </row>
    <row r="484" spans="11:23" ht="18" customHeight="1">
      <c r="K484" s="171" t="s">
        <v>702</v>
      </c>
      <c r="L484" s="171"/>
      <c r="M484" s="171"/>
      <c r="V484" s="171"/>
      <c r="W484" s="171"/>
    </row>
    <row r="485" spans="11:23" ht="18" customHeight="1">
      <c r="K485" s="171" t="s">
        <v>702</v>
      </c>
      <c r="L485" s="171"/>
      <c r="M485" s="171"/>
      <c r="V485" s="171"/>
      <c r="W485" s="171"/>
    </row>
    <row r="486" spans="11:23" ht="18" customHeight="1">
      <c r="K486" s="171" t="s">
        <v>702</v>
      </c>
      <c r="L486" s="171"/>
      <c r="M486" s="171"/>
      <c r="V486" s="171"/>
      <c r="W486" s="171"/>
    </row>
    <row r="487" spans="11:23" ht="18" customHeight="1">
      <c r="K487" s="171" t="s">
        <v>702</v>
      </c>
      <c r="L487" s="171"/>
      <c r="M487" s="171"/>
      <c r="V487" s="171"/>
      <c r="W487" s="171"/>
    </row>
    <row r="488" spans="11:23" ht="18" customHeight="1">
      <c r="K488" s="171" t="s">
        <v>702</v>
      </c>
      <c r="L488" s="171"/>
      <c r="M488" s="171"/>
      <c r="V488" s="171"/>
      <c r="W488" s="171"/>
    </row>
    <row r="489" spans="11:23" ht="18" customHeight="1">
      <c r="K489" s="171" t="s">
        <v>702</v>
      </c>
      <c r="L489" s="171"/>
      <c r="M489" s="171"/>
      <c r="V489" s="171"/>
      <c r="W489" s="171"/>
    </row>
    <row r="490" spans="11:23" ht="18" customHeight="1">
      <c r="K490" s="171" t="s">
        <v>702</v>
      </c>
      <c r="L490" s="171"/>
      <c r="M490" s="171"/>
      <c r="V490" s="171"/>
      <c r="W490" s="171"/>
    </row>
    <row r="491" spans="11:23" ht="18" customHeight="1">
      <c r="K491" s="171" t="s">
        <v>702</v>
      </c>
      <c r="L491" s="171"/>
      <c r="M491" s="171"/>
      <c r="V491" s="171"/>
      <c r="W491" s="171"/>
    </row>
    <row r="492" spans="11:23" ht="18" customHeight="1">
      <c r="K492" s="171" t="s">
        <v>702</v>
      </c>
      <c r="L492" s="171"/>
      <c r="M492" s="171"/>
      <c r="V492" s="171"/>
      <c r="W492" s="171"/>
    </row>
    <row r="493" spans="11:23" ht="18" customHeight="1">
      <c r="K493" s="171" t="s">
        <v>702</v>
      </c>
      <c r="L493" s="171"/>
      <c r="M493" s="171"/>
      <c r="V493" s="171"/>
      <c r="W493" s="171"/>
    </row>
    <row r="494" spans="11:23" ht="18" customHeight="1">
      <c r="K494" s="171" t="s">
        <v>702</v>
      </c>
      <c r="L494" s="171"/>
      <c r="M494" s="171"/>
      <c r="V494" s="171"/>
      <c r="W494" s="171"/>
    </row>
    <row r="495" spans="11:23" ht="18" customHeight="1">
      <c r="K495" s="171" t="s">
        <v>702</v>
      </c>
      <c r="L495" s="171"/>
      <c r="M495" s="171"/>
      <c r="V495" s="171"/>
      <c r="W495" s="171"/>
    </row>
    <row r="496" spans="11:23" ht="18" customHeight="1">
      <c r="K496" s="171" t="s">
        <v>702</v>
      </c>
      <c r="L496" s="171"/>
      <c r="M496" s="171"/>
      <c r="V496" s="171"/>
      <c r="W496" s="171"/>
    </row>
    <row r="497" spans="11:23" ht="18" customHeight="1">
      <c r="K497" s="171" t="s">
        <v>702</v>
      </c>
      <c r="L497" s="171"/>
      <c r="M497" s="171"/>
      <c r="V497" s="171"/>
      <c r="W497" s="171"/>
    </row>
    <row r="498" spans="11:23" ht="18" customHeight="1">
      <c r="K498" s="171" t="s">
        <v>702</v>
      </c>
      <c r="L498" s="171"/>
      <c r="M498" s="171"/>
      <c r="V498" s="171"/>
      <c r="W498" s="171"/>
    </row>
    <row r="499" spans="11:23" ht="18" customHeight="1">
      <c r="K499" s="171" t="s">
        <v>702</v>
      </c>
      <c r="L499" s="171"/>
      <c r="M499" s="171"/>
      <c r="V499" s="171"/>
      <c r="W499" s="171"/>
    </row>
    <row r="500" spans="11:23" ht="18" customHeight="1">
      <c r="K500" s="171" t="s">
        <v>702</v>
      </c>
      <c r="L500" s="171"/>
      <c r="M500" s="171"/>
      <c r="V500" s="171"/>
      <c r="W500" s="171"/>
    </row>
    <row r="501" spans="11:23" ht="18" customHeight="1">
      <c r="K501" s="171" t="s">
        <v>702</v>
      </c>
      <c r="L501" s="171"/>
      <c r="M501" s="171"/>
      <c r="V501" s="171"/>
      <c r="W501" s="171"/>
    </row>
    <row r="502" spans="11:23" ht="18" customHeight="1">
      <c r="K502" s="171" t="s">
        <v>702</v>
      </c>
      <c r="L502" s="171"/>
      <c r="M502" s="171"/>
      <c r="V502" s="171"/>
      <c r="W502" s="171"/>
    </row>
    <row r="503" spans="11:23" ht="18" customHeight="1">
      <c r="K503" s="171" t="s">
        <v>702</v>
      </c>
      <c r="L503" s="171"/>
      <c r="M503" s="171"/>
      <c r="V503" s="171"/>
      <c r="W503" s="171"/>
    </row>
    <row r="504" spans="11:23" ht="18" customHeight="1">
      <c r="K504" s="171" t="s">
        <v>702</v>
      </c>
      <c r="L504" s="171"/>
      <c r="M504" s="171"/>
      <c r="V504" s="171"/>
      <c r="W504" s="171"/>
    </row>
    <row r="505" spans="11:23" ht="18" customHeight="1">
      <c r="K505" s="171" t="s">
        <v>702</v>
      </c>
      <c r="L505" s="171"/>
      <c r="M505" s="171"/>
      <c r="V505" s="171"/>
      <c r="W505" s="171"/>
    </row>
    <row r="506" spans="11:23" ht="18" customHeight="1">
      <c r="K506" s="171" t="s">
        <v>702</v>
      </c>
      <c r="L506" s="171"/>
      <c r="M506" s="171"/>
      <c r="V506" s="171"/>
      <c r="W506" s="171"/>
    </row>
    <row r="507" spans="11:23" ht="18" customHeight="1">
      <c r="K507" s="171" t="s">
        <v>702</v>
      </c>
      <c r="L507" s="171"/>
      <c r="M507" s="171"/>
      <c r="V507" s="171"/>
      <c r="W507" s="171"/>
    </row>
    <row r="508" spans="11:23" ht="18" customHeight="1">
      <c r="K508" s="171" t="s">
        <v>702</v>
      </c>
      <c r="L508" s="171"/>
      <c r="M508" s="171"/>
      <c r="V508" s="171"/>
      <c r="W508" s="171"/>
    </row>
    <row r="509" spans="11:23" ht="18" customHeight="1">
      <c r="K509" s="171" t="s">
        <v>702</v>
      </c>
      <c r="L509" s="171"/>
      <c r="M509" s="171"/>
      <c r="V509" s="171"/>
      <c r="W509" s="171"/>
    </row>
    <row r="510" spans="11:23" ht="18" customHeight="1">
      <c r="K510" s="171" t="s">
        <v>702</v>
      </c>
      <c r="L510" s="171"/>
      <c r="M510" s="171"/>
      <c r="V510" s="171"/>
      <c r="W510" s="171"/>
    </row>
    <row r="511" spans="11:23" ht="18" customHeight="1">
      <c r="K511" s="171" t="s">
        <v>702</v>
      </c>
      <c r="L511" s="171"/>
      <c r="M511" s="171"/>
      <c r="V511" s="171"/>
      <c r="W511" s="171"/>
    </row>
    <row r="512" spans="11:23" ht="18" customHeight="1">
      <c r="K512" s="171" t="s">
        <v>702</v>
      </c>
      <c r="L512" s="171"/>
      <c r="M512" s="171"/>
      <c r="V512" s="171"/>
      <c r="W512" s="171"/>
    </row>
    <row r="513" spans="11:23" ht="18" customHeight="1">
      <c r="K513" s="171" t="s">
        <v>702</v>
      </c>
      <c r="L513" s="171"/>
      <c r="M513" s="171"/>
      <c r="V513" s="171"/>
      <c r="W513" s="171"/>
    </row>
    <row r="514" spans="11:23" ht="18" customHeight="1">
      <c r="K514" s="171" t="s">
        <v>702</v>
      </c>
      <c r="L514" s="171"/>
      <c r="M514" s="171"/>
      <c r="V514" s="171"/>
      <c r="W514" s="171"/>
    </row>
    <row r="515" spans="11:23" ht="18" customHeight="1">
      <c r="K515" s="171" t="s">
        <v>702</v>
      </c>
      <c r="L515" s="171"/>
      <c r="M515" s="171"/>
      <c r="V515" s="171"/>
      <c r="W515" s="171"/>
    </row>
    <row r="516" spans="11:23" ht="18" customHeight="1">
      <c r="K516" s="171" t="s">
        <v>702</v>
      </c>
      <c r="L516" s="171"/>
      <c r="M516" s="171"/>
      <c r="V516" s="171"/>
      <c r="W516" s="171"/>
    </row>
    <row r="517" spans="11:23" ht="18" customHeight="1">
      <c r="K517" s="171" t="s">
        <v>702</v>
      </c>
      <c r="L517" s="171"/>
      <c r="M517" s="171"/>
      <c r="V517" s="171"/>
      <c r="W517" s="171"/>
    </row>
    <row r="518" spans="11:23" ht="18" customHeight="1">
      <c r="K518" s="171" t="s">
        <v>702</v>
      </c>
      <c r="L518" s="171"/>
      <c r="M518" s="171"/>
      <c r="V518" s="171"/>
      <c r="W518" s="171"/>
    </row>
    <row r="519" spans="11:23" ht="18" customHeight="1">
      <c r="K519" s="171" t="s">
        <v>702</v>
      </c>
      <c r="L519" s="171"/>
      <c r="M519" s="171"/>
      <c r="V519" s="171"/>
      <c r="W519" s="171"/>
    </row>
    <row r="520" spans="11:23" ht="18" customHeight="1">
      <c r="K520" s="171" t="s">
        <v>702</v>
      </c>
      <c r="L520" s="171"/>
      <c r="M520" s="171"/>
      <c r="V520" s="171"/>
      <c r="W520" s="171"/>
    </row>
    <row r="521" spans="11:23" ht="18" customHeight="1">
      <c r="K521" s="171" t="s">
        <v>702</v>
      </c>
      <c r="L521" s="171"/>
      <c r="M521" s="171"/>
      <c r="V521" s="171"/>
      <c r="W521" s="171"/>
    </row>
    <row r="522" spans="11:23" ht="18" customHeight="1">
      <c r="K522" s="171" t="s">
        <v>702</v>
      </c>
      <c r="L522" s="171"/>
      <c r="M522" s="171"/>
      <c r="V522" s="171"/>
      <c r="W522" s="171"/>
    </row>
    <row r="523" spans="11:23" ht="18" customHeight="1">
      <c r="K523" s="171" t="s">
        <v>702</v>
      </c>
      <c r="L523" s="171"/>
      <c r="M523" s="171"/>
      <c r="V523" s="171"/>
      <c r="W523" s="171"/>
    </row>
    <row r="524" spans="11:23" ht="18" customHeight="1">
      <c r="K524" s="171" t="s">
        <v>702</v>
      </c>
      <c r="L524" s="171"/>
      <c r="M524" s="171"/>
      <c r="V524" s="171"/>
      <c r="W524" s="171"/>
    </row>
    <row r="525" spans="11:23" ht="18" customHeight="1">
      <c r="K525" s="171" t="s">
        <v>702</v>
      </c>
      <c r="L525" s="171"/>
      <c r="M525" s="171"/>
      <c r="V525" s="171"/>
      <c r="W525" s="171"/>
    </row>
    <row r="526" spans="11:23" ht="18" customHeight="1">
      <c r="K526" s="171" t="s">
        <v>702</v>
      </c>
      <c r="L526" s="171"/>
      <c r="M526" s="171"/>
      <c r="V526" s="171"/>
      <c r="W526" s="171"/>
    </row>
    <row r="527" spans="11:23" ht="18" customHeight="1">
      <c r="K527" s="171" t="s">
        <v>702</v>
      </c>
      <c r="L527" s="171"/>
      <c r="M527" s="171"/>
      <c r="V527" s="171"/>
      <c r="W527" s="171"/>
    </row>
    <row r="528" spans="11:23" ht="18" customHeight="1">
      <c r="K528" s="171" t="s">
        <v>702</v>
      </c>
      <c r="L528" s="171"/>
      <c r="M528" s="171"/>
      <c r="V528" s="171"/>
      <c r="W528" s="171"/>
    </row>
    <row r="529" spans="11:23" ht="18" customHeight="1">
      <c r="K529" s="171" t="s">
        <v>702</v>
      </c>
      <c r="L529" s="171"/>
      <c r="M529" s="171"/>
      <c r="V529" s="171"/>
      <c r="W529" s="171"/>
    </row>
    <row r="530" spans="11:23" ht="18" customHeight="1">
      <c r="K530" s="171" t="s">
        <v>702</v>
      </c>
      <c r="L530" s="171"/>
      <c r="M530" s="171"/>
      <c r="V530" s="171"/>
      <c r="W530" s="171"/>
    </row>
    <row r="531" spans="11:23" ht="18" customHeight="1">
      <c r="K531" s="171" t="s">
        <v>702</v>
      </c>
      <c r="L531" s="171"/>
      <c r="M531" s="171"/>
      <c r="V531" s="171"/>
      <c r="W531" s="171"/>
    </row>
    <row r="532" spans="11:23" ht="18" customHeight="1">
      <c r="K532" s="171" t="s">
        <v>702</v>
      </c>
      <c r="L532" s="171"/>
      <c r="M532" s="171"/>
      <c r="V532" s="171"/>
      <c r="W532" s="171"/>
    </row>
    <row r="533" spans="11:23" ht="18" customHeight="1">
      <c r="K533" s="171" t="s">
        <v>702</v>
      </c>
      <c r="L533" s="171"/>
      <c r="M533" s="171"/>
      <c r="V533" s="171"/>
      <c r="W533" s="171"/>
    </row>
    <row r="534" spans="11:23" ht="18" customHeight="1">
      <c r="K534" s="171" t="s">
        <v>702</v>
      </c>
      <c r="L534" s="171"/>
      <c r="M534" s="171"/>
      <c r="V534" s="171"/>
      <c r="W534" s="171"/>
    </row>
    <row r="535" spans="11:23" ht="18" customHeight="1">
      <c r="K535" s="171" t="s">
        <v>702</v>
      </c>
      <c r="L535" s="171"/>
      <c r="M535" s="171"/>
      <c r="V535" s="171"/>
      <c r="W535" s="171"/>
    </row>
    <row r="536" spans="11:23" ht="18" customHeight="1">
      <c r="K536" s="171" t="s">
        <v>702</v>
      </c>
      <c r="L536" s="171"/>
      <c r="M536" s="171"/>
      <c r="V536" s="171"/>
      <c r="W536" s="171"/>
    </row>
    <row r="537" spans="11:23" ht="18" customHeight="1">
      <c r="K537" s="171" t="s">
        <v>702</v>
      </c>
      <c r="L537" s="171"/>
      <c r="M537" s="171"/>
      <c r="V537" s="171"/>
      <c r="W537" s="171"/>
    </row>
    <row r="538" spans="11:23" ht="18" customHeight="1">
      <c r="K538" s="171" t="s">
        <v>702</v>
      </c>
      <c r="L538" s="171"/>
      <c r="M538" s="171"/>
      <c r="V538" s="171"/>
      <c r="W538" s="171"/>
    </row>
    <row r="539" spans="11:23" ht="18" customHeight="1">
      <c r="K539" s="171" t="s">
        <v>702</v>
      </c>
      <c r="L539" s="171"/>
      <c r="M539" s="171"/>
      <c r="V539" s="171"/>
      <c r="W539" s="171"/>
    </row>
    <row r="540" spans="11:23" ht="18" customHeight="1">
      <c r="K540" s="171" t="s">
        <v>702</v>
      </c>
      <c r="L540" s="171"/>
      <c r="M540" s="171"/>
      <c r="V540" s="171"/>
      <c r="W540" s="171"/>
    </row>
    <row r="541" spans="11:23" ht="18" customHeight="1">
      <c r="K541" s="171" t="s">
        <v>702</v>
      </c>
      <c r="L541" s="171"/>
      <c r="V541" s="171"/>
      <c r="W541" s="171"/>
    </row>
    <row r="542" spans="11:23" ht="18" customHeight="1">
      <c r="K542" s="171" t="s">
        <v>702</v>
      </c>
      <c r="L542" s="171"/>
    </row>
    <row r="543" spans="11:23" ht="18" customHeight="1">
      <c r="K543" s="171" t="s">
        <v>702</v>
      </c>
      <c r="L543" s="171"/>
    </row>
    <row r="544" spans="11:23" ht="18" customHeight="1">
      <c r="K544" s="171" t="s">
        <v>702</v>
      </c>
      <c r="L544" s="171"/>
    </row>
    <row r="545" spans="11:12" ht="18" customHeight="1">
      <c r="K545" s="171" t="s">
        <v>702</v>
      </c>
      <c r="L545" s="171"/>
    </row>
    <row r="546" spans="11:12" ht="18" customHeight="1">
      <c r="K546" s="171" t="s">
        <v>702</v>
      </c>
      <c r="L546" s="171"/>
    </row>
    <row r="547" spans="11:12" ht="18" customHeight="1">
      <c r="K547" s="171" t="s">
        <v>702</v>
      </c>
      <c r="L547" s="171"/>
    </row>
    <row r="548" spans="11:12" ht="18" customHeight="1">
      <c r="K548" s="171" t="s">
        <v>702</v>
      </c>
      <c r="L548" s="171"/>
    </row>
    <row r="549" spans="11:12" ht="18" customHeight="1">
      <c r="K549" s="171" t="s">
        <v>702</v>
      </c>
      <c r="L549" s="171"/>
    </row>
    <row r="550" spans="11:12" ht="18" customHeight="1">
      <c r="K550" s="171" t="s">
        <v>702</v>
      </c>
      <c r="L550" s="171"/>
    </row>
    <row r="551" spans="11:12" ht="18" customHeight="1">
      <c r="K551" s="171" t="s">
        <v>702</v>
      </c>
      <c r="L551" s="171"/>
    </row>
    <row r="552" spans="11:12" ht="18" customHeight="1">
      <c r="K552" s="171" t="s">
        <v>702</v>
      </c>
      <c r="L552" s="171"/>
    </row>
    <row r="553" spans="11:12" ht="18" customHeight="1">
      <c r="K553" s="171" t="s">
        <v>702</v>
      </c>
      <c r="L553" s="171"/>
    </row>
    <row r="554" spans="11:12" ht="18" customHeight="1">
      <c r="K554" s="171" t="s">
        <v>702</v>
      </c>
      <c r="L554" s="171"/>
    </row>
    <row r="555" spans="11:12" ht="18" customHeight="1">
      <c r="K555" s="171" t="s">
        <v>702</v>
      </c>
      <c r="L555" s="171"/>
    </row>
    <row r="556" spans="11:12" ht="18" customHeight="1">
      <c r="K556" s="171" t="s">
        <v>702</v>
      </c>
      <c r="L556" s="171"/>
    </row>
    <row r="557" spans="11:12" ht="18" customHeight="1">
      <c r="K557" s="171" t="s">
        <v>702</v>
      </c>
      <c r="L557" s="171"/>
    </row>
    <row r="558" spans="11:12" ht="18" customHeight="1">
      <c r="K558" s="171" t="s">
        <v>702</v>
      </c>
      <c r="L558" s="171"/>
    </row>
    <row r="559" spans="11:12" ht="18" customHeight="1">
      <c r="K559" s="171" t="s">
        <v>702</v>
      </c>
      <c r="L559" s="171"/>
    </row>
    <row r="560" spans="11:12" ht="18" customHeight="1">
      <c r="K560" s="171" t="s">
        <v>702</v>
      </c>
      <c r="L560" s="171"/>
    </row>
    <row r="561" spans="11:12" ht="18" customHeight="1">
      <c r="K561" s="171" t="s">
        <v>702</v>
      </c>
      <c r="L561" s="171"/>
    </row>
    <row r="562" spans="11:12" ht="18" customHeight="1">
      <c r="K562" s="171" t="s">
        <v>702</v>
      </c>
      <c r="L562" s="171"/>
    </row>
    <row r="563" spans="11:12" ht="18" customHeight="1">
      <c r="K563" s="171" t="s">
        <v>702</v>
      </c>
      <c r="L563" s="171"/>
    </row>
    <row r="564" spans="11:12" ht="18" customHeight="1">
      <c r="K564" s="171" t="s">
        <v>702</v>
      </c>
      <c r="L564" s="171"/>
    </row>
    <row r="565" spans="11:12" ht="18" customHeight="1">
      <c r="K565" s="171" t="s">
        <v>702</v>
      </c>
      <c r="L565" s="171"/>
    </row>
    <row r="566" spans="11:12" ht="18" customHeight="1">
      <c r="K566" s="171" t="s">
        <v>702</v>
      </c>
      <c r="L566" s="171"/>
    </row>
    <row r="567" spans="11:12" ht="18" customHeight="1">
      <c r="K567" s="171" t="s">
        <v>702</v>
      </c>
      <c r="L567" s="171"/>
    </row>
    <row r="568" spans="11:12" ht="18" customHeight="1">
      <c r="K568" s="171" t="s">
        <v>702</v>
      </c>
      <c r="L568" s="171"/>
    </row>
    <row r="569" spans="11:12" ht="18" customHeight="1">
      <c r="K569" s="171" t="s">
        <v>702</v>
      </c>
      <c r="L569" s="171"/>
    </row>
    <row r="570" spans="11:12" ht="18" customHeight="1">
      <c r="K570" s="171" t="s">
        <v>702</v>
      </c>
      <c r="L570" s="171"/>
    </row>
    <row r="571" spans="11:12" ht="18" customHeight="1">
      <c r="K571" s="171" t="s">
        <v>702</v>
      </c>
      <c r="L571" s="171"/>
    </row>
    <row r="572" spans="11:12" ht="18" customHeight="1">
      <c r="K572" s="171" t="s">
        <v>702</v>
      </c>
      <c r="L572" s="171"/>
    </row>
    <row r="573" spans="11:12" ht="18" customHeight="1">
      <c r="K573" s="171" t="s">
        <v>702</v>
      </c>
      <c r="L573" s="171"/>
    </row>
    <row r="574" spans="11:12" ht="18" customHeight="1">
      <c r="K574" s="171" t="s">
        <v>702</v>
      </c>
      <c r="L574" s="171"/>
    </row>
    <row r="575" spans="11:12" ht="18" customHeight="1">
      <c r="K575" s="171" t="s">
        <v>702</v>
      </c>
      <c r="L575" s="171"/>
    </row>
    <row r="576" spans="11:12" ht="18" customHeight="1">
      <c r="K576" s="171" t="s">
        <v>702</v>
      </c>
      <c r="L576" s="171"/>
    </row>
    <row r="577" spans="11:12" ht="18" customHeight="1">
      <c r="K577" s="171" t="s">
        <v>702</v>
      </c>
      <c r="L577" s="171"/>
    </row>
    <row r="578" spans="11:12" ht="18" customHeight="1">
      <c r="K578" s="171" t="s">
        <v>702</v>
      </c>
      <c r="L578" s="171"/>
    </row>
    <row r="579" spans="11:12" ht="18" customHeight="1">
      <c r="K579" s="171" t="s">
        <v>702</v>
      </c>
      <c r="L579" s="171"/>
    </row>
    <row r="580" spans="11:12" ht="18" customHeight="1">
      <c r="K580" s="171" t="s">
        <v>702</v>
      </c>
      <c r="L580" s="171"/>
    </row>
    <row r="581" spans="11:12" ht="18" customHeight="1">
      <c r="K581" s="171" t="s">
        <v>702</v>
      </c>
      <c r="L581" s="171"/>
    </row>
    <row r="582" spans="11:12" ht="18" customHeight="1">
      <c r="K582" s="171" t="s">
        <v>702</v>
      </c>
      <c r="L582" s="171"/>
    </row>
    <row r="583" spans="11:12" ht="18" customHeight="1">
      <c r="K583" s="171" t="s">
        <v>702</v>
      </c>
      <c r="L583" s="171"/>
    </row>
    <row r="584" spans="11:12" ht="18" customHeight="1">
      <c r="K584" s="171" t="s">
        <v>702</v>
      </c>
      <c r="L584" s="171"/>
    </row>
    <row r="585" spans="11:12" ht="18" customHeight="1">
      <c r="K585" s="171" t="s">
        <v>702</v>
      </c>
      <c r="L585" s="171"/>
    </row>
    <row r="586" spans="11:12" ht="18" customHeight="1">
      <c r="K586" s="171" t="s">
        <v>702</v>
      </c>
      <c r="L586" s="171"/>
    </row>
    <row r="587" spans="11:12" ht="18" customHeight="1">
      <c r="K587" s="171" t="s">
        <v>702</v>
      </c>
      <c r="L587" s="171"/>
    </row>
    <row r="588" spans="11:12" ht="18" customHeight="1">
      <c r="K588" s="171" t="s">
        <v>702</v>
      </c>
      <c r="L588" s="171"/>
    </row>
    <row r="589" spans="11:12" ht="18" customHeight="1">
      <c r="K589" s="171" t="s">
        <v>702</v>
      </c>
      <c r="L589" s="171"/>
    </row>
    <row r="590" spans="11:12" ht="18" customHeight="1">
      <c r="K590" s="171" t="s">
        <v>702</v>
      </c>
      <c r="L590" s="171"/>
    </row>
    <row r="591" spans="11:12" ht="18" customHeight="1">
      <c r="K591" s="171" t="s">
        <v>702</v>
      </c>
      <c r="L591" s="171"/>
    </row>
    <row r="592" spans="11:12" ht="18" customHeight="1">
      <c r="K592" s="171" t="s">
        <v>702</v>
      </c>
      <c r="L592" s="171"/>
    </row>
    <row r="593" spans="11:12" ht="18" customHeight="1">
      <c r="K593" s="171" t="s">
        <v>702</v>
      </c>
      <c r="L593" s="171"/>
    </row>
    <row r="594" spans="11:12" ht="18" customHeight="1">
      <c r="K594" s="171" t="s">
        <v>702</v>
      </c>
      <c r="L594" s="171"/>
    </row>
    <row r="595" spans="11:12" ht="18" customHeight="1">
      <c r="K595" s="171" t="s">
        <v>702</v>
      </c>
      <c r="L595" s="171"/>
    </row>
    <row r="596" spans="11:12" ht="18" customHeight="1">
      <c r="K596" s="171" t="s">
        <v>702</v>
      </c>
      <c r="L596" s="171"/>
    </row>
    <row r="597" spans="11:12" ht="18" customHeight="1">
      <c r="K597" s="171" t="s">
        <v>702</v>
      </c>
      <c r="L597" s="171"/>
    </row>
    <row r="598" spans="11:12" ht="18" customHeight="1">
      <c r="K598" s="171" t="s">
        <v>702</v>
      </c>
      <c r="L598" s="171"/>
    </row>
    <row r="599" spans="11:12" ht="18" customHeight="1">
      <c r="K599" s="171" t="s">
        <v>702</v>
      </c>
      <c r="L599" s="171"/>
    </row>
    <row r="600" spans="11:12" ht="18" customHeight="1">
      <c r="K600" s="171" t="s">
        <v>702</v>
      </c>
      <c r="L600" s="171"/>
    </row>
    <row r="601" spans="11:12" ht="18" customHeight="1">
      <c r="K601" s="171" t="s">
        <v>702</v>
      </c>
      <c r="L601" s="171"/>
    </row>
    <row r="602" spans="11:12" ht="18" customHeight="1">
      <c r="K602" s="171" t="s">
        <v>702</v>
      </c>
      <c r="L602" s="171"/>
    </row>
    <row r="603" spans="11:12" ht="18" customHeight="1">
      <c r="K603" s="171" t="s">
        <v>702</v>
      </c>
      <c r="L603" s="171"/>
    </row>
    <row r="604" spans="11:12" ht="18" customHeight="1">
      <c r="K604" s="171" t="s">
        <v>702</v>
      </c>
      <c r="L604" s="171"/>
    </row>
    <row r="605" spans="11:12" ht="18" customHeight="1">
      <c r="K605" s="171" t="s">
        <v>702</v>
      </c>
      <c r="L605" s="171"/>
    </row>
    <row r="606" spans="11:12" ht="18" customHeight="1">
      <c r="K606" s="171" t="s">
        <v>702</v>
      </c>
      <c r="L606" s="171"/>
    </row>
    <row r="607" spans="11:12" ht="18" customHeight="1">
      <c r="K607" s="171" t="s">
        <v>702</v>
      </c>
      <c r="L607" s="171"/>
    </row>
    <row r="608" spans="11:12" ht="18" customHeight="1">
      <c r="K608" s="171" t="s">
        <v>702</v>
      </c>
      <c r="L608" s="171"/>
    </row>
    <row r="609" spans="11:12" ht="18" customHeight="1">
      <c r="K609" s="171" t="s">
        <v>702</v>
      </c>
      <c r="L609" s="171"/>
    </row>
    <row r="610" spans="11:12" ht="18" customHeight="1">
      <c r="K610" s="171" t="s">
        <v>702</v>
      </c>
      <c r="L610" s="171"/>
    </row>
    <row r="611" spans="11:12" ht="18" customHeight="1">
      <c r="K611" s="171" t="s">
        <v>702</v>
      </c>
      <c r="L611" s="171"/>
    </row>
    <row r="612" spans="11:12" ht="18" customHeight="1">
      <c r="K612" s="171" t="s">
        <v>702</v>
      </c>
      <c r="L612" s="171"/>
    </row>
    <row r="613" spans="11:12" ht="18" customHeight="1">
      <c r="K613" s="171" t="s">
        <v>702</v>
      </c>
      <c r="L613" s="171"/>
    </row>
    <row r="614" spans="11:12" ht="18" customHeight="1">
      <c r="K614" s="171" t="s">
        <v>702</v>
      </c>
      <c r="L614" s="171"/>
    </row>
    <row r="615" spans="11:12" ht="18" customHeight="1">
      <c r="K615" s="171" t="s">
        <v>702</v>
      </c>
      <c r="L615" s="171"/>
    </row>
    <row r="616" spans="11:12" ht="18" customHeight="1">
      <c r="K616" s="171" t="s">
        <v>702</v>
      </c>
      <c r="L616" s="171"/>
    </row>
    <row r="617" spans="11:12" ht="18" customHeight="1">
      <c r="K617" s="171" t="s">
        <v>702</v>
      </c>
      <c r="L617" s="171"/>
    </row>
    <row r="618" spans="11:12" ht="18" customHeight="1">
      <c r="K618" s="171" t="s">
        <v>702</v>
      </c>
      <c r="L618" s="171"/>
    </row>
    <row r="619" spans="11:12" ht="18" customHeight="1">
      <c r="K619" s="171" t="s">
        <v>702</v>
      </c>
      <c r="L619" s="171"/>
    </row>
    <row r="620" spans="11:12" ht="18" customHeight="1">
      <c r="K620" s="171" t="s">
        <v>702</v>
      </c>
      <c r="L620" s="171"/>
    </row>
    <row r="621" spans="11:12" ht="18" customHeight="1">
      <c r="K621" s="171" t="s">
        <v>702</v>
      </c>
      <c r="L621" s="171"/>
    </row>
    <row r="622" spans="11:12" ht="18" customHeight="1">
      <c r="K622" s="171" t="s">
        <v>702</v>
      </c>
      <c r="L622" s="171"/>
    </row>
    <row r="623" spans="11:12" ht="18" customHeight="1">
      <c r="K623" s="171" t="s">
        <v>702</v>
      </c>
      <c r="L623" s="171"/>
    </row>
    <row r="624" spans="11:12" ht="18" customHeight="1">
      <c r="K624" s="171" t="s">
        <v>702</v>
      </c>
      <c r="L624" s="171"/>
    </row>
    <row r="625" spans="11:12" ht="18" customHeight="1">
      <c r="K625" s="171" t="s">
        <v>702</v>
      </c>
      <c r="L625" s="171"/>
    </row>
    <row r="626" spans="11:12" ht="18" customHeight="1">
      <c r="K626" s="171" t="s">
        <v>702</v>
      </c>
      <c r="L626" s="171"/>
    </row>
    <row r="627" spans="11:12" ht="18" customHeight="1">
      <c r="K627" s="171" t="s">
        <v>702</v>
      </c>
      <c r="L627" s="171"/>
    </row>
    <row r="628" spans="11:12" ht="18" customHeight="1">
      <c r="K628" s="171" t="s">
        <v>702</v>
      </c>
      <c r="L628" s="171"/>
    </row>
    <row r="629" spans="11:12" ht="18" customHeight="1">
      <c r="K629" s="171" t="s">
        <v>702</v>
      </c>
      <c r="L629" s="171"/>
    </row>
    <row r="630" spans="11:12" ht="18" customHeight="1">
      <c r="K630" s="171" t="s">
        <v>702</v>
      </c>
      <c r="L630" s="171"/>
    </row>
    <row r="631" spans="11:12" ht="18" customHeight="1">
      <c r="K631" s="171" t="s">
        <v>814</v>
      </c>
      <c r="L631" s="171"/>
    </row>
    <row r="632" spans="11:12" ht="18" customHeight="1">
      <c r="K632" s="171" t="s">
        <v>702</v>
      </c>
      <c r="L632" s="171"/>
    </row>
    <row r="633" spans="11:12" ht="18" customHeight="1">
      <c r="K633" s="171" t="s">
        <v>702</v>
      </c>
      <c r="L633" s="171"/>
    </row>
    <row r="634" spans="11:12" ht="18" customHeight="1">
      <c r="K634" s="171" t="s">
        <v>702</v>
      </c>
      <c r="L634" s="171"/>
    </row>
    <row r="635" spans="11:12" ht="18" customHeight="1">
      <c r="K635" s="171" t="s">
        <v>702</v>
      </c>
      <c r="L635" s="171"/>
    </row>
    <row r="636" spans="11:12" ht="18" customHeight="1">
      <c r="K636" s="171" t="s">
        <v>702</v>
      </c>
      <c r="L636" s="171"/>
    </row>
    <row r="637" spans="11:12" ht="18" customHeight="1">
      <c r="K637" s="171" t="s">
        <v>702</v>
      </c>
      <c r="L637" s="171"/>
    </row>
    <row r="638" spans="11:12" ht="18" customHeight="1">
      <c r="K638" s="171" t="s">
        <v>702</v>
      </c>
      <c r="L638" s="171"/>
    </row>
    <row r="639" spans="11:12" ht="18" customHeight="1">
      <c r="K639" s="171" t="s">
        <v>702</v>
      </c>
      <c r="L639" s="171"/>
    </row>
    <row r="640" spans="11:12" ht="18" customHeight="1">
      <c r="K640" s="171" t="s">
        <v>702</v>
      </c>
      <c r="L640" s="171"/>
    </row>
    <row r="641" spans="11:12" ht="18" customHeight="1">
      <c r="K641" s="171" t="s">
        <v>702</v>
      </c>
      <c r="L641" s="171"/>
    </row>
    <row r="642" spans="11:12" ht="18" customHeight="1">
      <c r="K642" s="171" t="s">
        <v>702</v>
      </c>
      <c r="L642" s="171"/>
    </row>
    <row r="643" spans="11:12" ht="18" customHeight="1">
      <c r="K643" s="171" t="s">
        <v>702</v>
      </c>
      <c r="L643" s="171"/>
    </row>
    <row r="644" spans="11:12" ht="18" customHeight="1">
      <c r="K644" s="171" t="s">
        <v>702</v>
      </c>
      <c r="L644" s="171"/>
    </row>
    <row r="645" spans="11:12" ht="18" customHeight="1">
      <c r="K645" s="171" t="s">
        <v>702</v>
      </c>
      <c r="L645" s="171"/>
    </row>
    <row r="646" spans="11:12" ht="18" customHeight="1">
      <c r="K646" s="171" t="s">
        <v>702</v>
      </c>
      <c r="L646" s="171"/>
    </row>
    <row r="647" spans="11:12" ht="18" customHeight="1">
      <c r="K647" s="171" t="s">
        <v>702</v>
      </c>
      <c r="L647" s="171"/>
    </row>
    <row r="648" spans="11:12" ht="18" customHeight="1">
      <c r="K648" s="171" t="s">
        <v>702</v>
      </c>
      <c r="L648" s="171"/>
    </row>
    <row r="649" spans="11:12" ht="18" customHeight="1">
      <c r="K649" s="171" t="s">
        <v>702</v>
      </c>
      <c r="L649" s="171"/>
    </row>
    <row r="650" spans="11:12" ht="18" customHeight="1">
      <c r="K650" s="171" t="s">
        <v>702</v>
      </c>
      <c r="L650" s="171"/>
    </row>
    <row r="651" spans="11:12" ht="18" customHeight="1">
      <c r="K651" s="171" t="s">
        <v>702</v>
      </c>
      <c r="L651" s="171"/>
    </row>
    <row r="652" spans="11:12" ht="18" customHeight="1">
      <c r="K652" s="171" t="s">
        <v>702</v>
      </c>
      <c r="L652" s="171"/>
    </row>
    <row r="653" spans="11:12" ht="18" customHeight="1">
      <c r="K653" s="171" t="s">
        <v>702</v>
      </c>
      <c r="L653" s="171"/>
    </row>
    <row r="654" spans="11:12" ht="18" customHeight="1">
      <c r="K654" s="171" t="s">
        <v>702</v>
      </c>
      <c r="L654" s="171"/>
    </row>
    <row r="655" spans="11:12" ht="18" customHeight="1">
      <c r="K655" s="171" t="s">
        <v>702</v>
      </c>
      <c r="L655" s="171"/>
    </row>
    <row r="656" spans="11:12" ht="18" customHeight="1">
      <c r="K656" s="171" t="s">
        <v>702</v>
      </c>
      <c r="L656" s="171"/>
    </row>
    <row r="657" spans="11:12" ht="18" customHeight="1">
      <c r="K657" s="171" t="s">
        <v>702</v>
      </c>
      <c r="L657" s="171"/>
    </row>
    <row r="658" spans="11:12" ht="18" customHeight="1">
      <c r="K658" s="171" t="s">
        <v>702</v>
      </c>
      <c r="L658" s="171"/>
    </row>
    <row r="659" spans="11:12" ht="18" customHeight="1">
      <c r="K659" s="171" t="s">
        <v>702</v>
      </c>
      <c r="L659" s="171"/>
    </row>
    <row r="660" spans="11:12" ht="18" customHeight="1">
      <c r="K660" s="171" t="s">
        <v>702</v>
      </c>
      <c r="L660" s="171"/>
    </row>
    <row r="661" spans="11:12" ht="18" customHeight="1">
      <c r="K661" s="171" t="s">
        <v>702</v>
      </c>
      <c r="L661" s="171"/>
    </row>
    <row r="662" spans="11:12" ht="18" customHeight="1">
      <c r="K662" s="171" t="s">
        <v>814</v>
      </c>
      <c r="L662" s="171"/>
    </row>
    <row r="663" spans="11:12" ht="18" customHeight="1">
      <c r="K663" s="171" t="s">
        <v>702</v>
      </c>
      <c r="L663" s="171"/>
    </row>
    <row r="664" spans="11:12" ht="18" customHeight="1">
      <c r="K664" s="171" t="s">
        <v>702</v>
      </c>
      <c r="L664" s="171"/>
    </row>
    <row r="665" spans="11:12" ht="18" customHeight="1">
      <c r="K665" s="171" t="s">
        <v>702</v>
      </c>
      <c r="L665" s="171"/>
    </row>
    <row r="666" spans="11:12" ht="18" customHeight="1">
      <c r="K666" s="171" t="s">
        <v>702</v>
      </c>
      <c r="L666" s="171"/>
    </row>
    <row r="667" spans="11:12" ht="18" customHeight="1">
      <c r="K667" s="171" t="s">
        <v>702</v>
      </c>
      <c r="L667" s="171"/>
    </row>
    <row r="668" spans="11:12" ht="18" customHeight="1">
      <c r="K668" s="171" t="s">
        <v>702</v>
      </c>
      <c r="L668" s="171"/>
    </row>
    <row r="669" spans="11:12" ht="18" customHeight="1">
      <c r="K669" s="171" t="s">
        <v>702</v>
      </c>
      <c r="L669" s="171"/>
    </row>
    <row r="670" spans="11:12" ht="18" customHeight="1">
      <c r="K670" s="171" t="s">
        <v>702</v>
      </c>
      <c r="L670" s="171"/>
    </row>
    <row r="671" spans="11:12" ht="18" customHeight="1">
      <c r="K671" s="171" t="s">
        <v>702</v>
      </c>
      <c r="L671" s="171"/>
    </row>
    <row r="672" spans="11:12" ht="18" customHeight="1">
      <c r="K672" s="171" t="s">
        <v>702</v>
      </c>
      <c r="L672" s="171"/>
    </row>
    <row r="673" spans="11:12" ht="18" customHeight="1">
      <c r="K673" s="171" t="s">
        <v>702</v>
      </c>
      <c r="L673" s="171"/>
    </row>
    <row r="674" spans="11:12" ht="18" customHeight="1">
      <c r="K674" s="171" t="s">
        <v>702</v>
      </c>
      <c r="L674" s="171"/>
    </row>
    <row r="675" spans="11:12" ht="18" customHeight="1">
      <c r="K675" s="171" t="s">
        <v>702</v>
      </c>
      <c r="L675" s="171"/>
    </row>
    <row r="676" spans="11:12" ht="18" customHeight="1">
      <c r="K676" s="171" t="s">
        <v>702</v>
      </c>
      <c r="L676" s="171"/>
    </row>
    <row r="677" spans="11:12" ht="18" customHeight="1">
      <c r="K677" s="171" t="s">
        <v>702</v>
      </c>
      <c r="L677" s="171"/>
    </row>
    <row r="678" spans="11:12" ht="18" customHeight="1">
      <c r="K678" s="171" t="s">
        <v>702</v>
      </c>
      <c r="L678" s="171"/>
    </row>
    <row r="679" spans="11:12" ht="18" customHeight="1">
      <c r="K679" s="171" t="s">
        <v>702</v>
      </c>
      <c r="L679" s="171"/>
    </row>
    <row r="680" spans="11:12" ht="18" customHeight="1">
      <c r="K680" s="171" t="s">
        <v>702</v>
      </c>
      <c r="L680" s="171"/>
    </row>
    <row r="681" spans="11:12" ht="18" customHeight="1">
      <c r="K681" s="171" t="s">
        <v>702</v>
      </c>
      <c r="L681" s="171"/>
    </row>
    <row r="682" spans="11:12" ht="18" customHeight="1">
      <c r="K682" s="171" t="s">
        <v>702</v>
      </c>
      <c r="L682" s="171"/>
    </row>
    <row r="683" spans="11:12" ht="18" customHeight="1">
      <c r="K683" s="171" t="s">
        <v>702</v>
      </c>
      <c r="L683" s="171"/>
    </row>
    <row r="684" spans="11:12" ht="18" customHeight="1">
      <c r="K684" s="171" t="s">
        <v>702</v>
      </c>
      <c r="L684" s="171"/>
    </row>
    <row r="685" spans="11:12" ht="18" customHeight="1">
      <c r="K685" s="171" t="s">
        <v>702</v>
      </c>
      <c r="L685" s="171"/>
    </row>
    <row r="686" spans="11:12" ht="18" customHeight="1">
      <c r="K686" s="171" t="s">
        <v>702</v>
      </c>
      <c r="L686" s="171"/>
    </row>
    <row r="687" spans="11:12" ht="18" customHeight="1">
      <c r="K687" s="171" t="s">
        <v>702</v>
      </c>
      <c r="L687" s="171"/>
    </row>
    <row r="688" spans="11:12" ht="18" customHeight="1">
      <c r="K688" s="171" t="s">
        <v>702</v>
      </c>
      <c r="L688" s="171"/>
    </row>
    <row r="689" spans="11:12" ht="18" customHeight="1">
      <c r="K689" s="171" t="s">
        <v>814</v>
      </c>
      <c r="L689" s="171"/>
    </row>
    <row r="690" spans="11:12" ht="18" customHeight="1">
      <c r="K690" s="171" t="s">
        <v>702</v>
      </c>
      <c r="L690" s="171"/>
    </row>
    <row r="691" spans="11:12" ht="18" customHeight="1">
      <c r="K691" s="171" t="s">
        <v>702</v>
      </c>
      <c r="L691" s="171"/>
    </row>
    <row r="692" spans="11:12" ht="18" customHeight="1">
      <c r="K692" s="171" t="s">
        <v>702</v>
      </c>
      <c r="L692" s="171"/>
    </row>
    <row r="693" spans="11:12" ht="18" customHeight="1">
      <c r="K693" s="171" t="s">
        <v>702</v>
      </c>
      <c r="L693" s="171"/>
    </row>
    <row r="694" spans="11:12" ht="18" customHeight="1">
      <c r="K694" s="171" t="s">
        <v>702</v>
      </c>
      <c r="L694" s="171"/>
    </row>
    <row r="695" spans="11:12" ht="18" customHeight="1">
      <c r="K695" s="171" t="s">
        <v>702</v>
      </c>
      <c r="L695" s="171"/>
    </row>
    <row r="696" spans="11:12" ht="18" customHeight="1">
      <c r="K696" s="171" t="s">
        <v>702</v>
      </c>
      <c r="L696" s="171"/>
    </row>
    <row r="697" spans="11:12" ht="18" customHeight="1">
      <c r="K697" s="171" t="s">
        <v>702</v>
      </c>
      <c r="L697" s="171"/>
    </row>
    <row r="698" spans="11:12" ht="18" customHeight="1">
      <c r="K698" s="171" t="s">
        <v>702</v>
      </c>
      <c r="L698" s="171"/>
    </row>
    <row r="699" spans="11:12" ht="18" customHeight="1">
      <c r="K699" s="171" t="s">
        <v>814</v>
      </c>
      <c r="L699" s="171"/>
    </row>
    <row r="700" spans="11:12" ht="18" customHeight="1">
      <c r="K700" s="171" t="s">
        <v>814</v>
      </c>
      <c r="L700" s="171"/>
    </row>
    <row r="701" spans="11:12" ht="18" customHeight="1">
      <c r="K701" s="171" t="s">
        <v>702</v>
      </c>
      <c r="L701" s="171"/>
    </row>
    <row r="702" spans="11:12" ht="18" customHeight="1">
      <c r="K702" s="171" t="s">
        <v>814</v>
      </c>
      <c r="L702" s="171"/>
    </row>
    <row r="703" spans="11:12" ht="18" customHeight="1">
      <c r="K703" s="171" t="s">
        <v>702</v>
      </c>
      <c r="L703" s="171"/>
    </row>
    <row r="704" spans="11:12" ht="18" customHeight="1">
      <c r="K704" s="171" t="s">
        <v>702</v>
      </c>
      <c r="L704" s="171"/>
    </row>
    <row r="705" spans="11:12" ht="18" customHeight="1">
      <c r="K705" s="171" t="s">
        <v>814</v>
      </c>
      <c r="L705" s="171"/>
    </row>
    <row r="706" spans="11:12" ht="18" customHeight="1">
      <c r="K706" s="171" t="s">
        <v>702</v>
      </c>
      <c r="L706" s="171"/>
    </row>
    <row r="707" spans="11:12" ht="18" customHeight="1">
      <c r="K707" s="171" t="s">
        <v>814</v>
      </c>
      <c r="L707" s="171"/>
    </row>
    <row r="708" spans="11:12" ht="18" customHeight="1">
      <c r="K708" s="171" t="s">
        <v>814</v>
      </c>
      <c r="L708" s="171"/>
    </row>
    <row r="709" spans="11:12" ht="18" customHeight="1">
      <c r="K709" s="171" t="s">
        <v>702</v>
      </c>
      <c r="L709" s="171"/>
    </row>
    <row r="710" spans="11:12" ht="18" customHeight="1">
      <c r="K710" s="171" t="s">
        <v>702</v>
      </c>
      <c r="L710" s="171"/>
    </row>
    <row r="711" spans="11:12" ht="18" customHeight="1">
      <c r="K711" s="171" t="s">
        <v>702</v>
      </c>
      <c r="L711" s="171"/>
    </row>
    <row r="712" spans="11:12" ht="18" customHeight="1">
      <c r="K712" s="171" t="s">
        <v>814</v>
      </c>
      <c r="L712" s="171"/>
    </row>
    <row r="713" spans="11:12" ht="18" customHeight="1">
      <c r="K713" s="171" t="s">
        <v>702</v>
      </c>
      <c r="L713" s="171"/>
    </row>
    <row r="714" spans="11:12" ht="18" customHeight="1">
      <c r="K714" s="171" t="s">
        <v>702</v>
      </c>
      <c r="L714" s="171"/>
    </row>
    <row r="715" spans="11:12" ht="18" customHeight="1">
      <c r="K715" s="171" t="s">
        <v>702</v>
      </c>
      <c r="L715" s="171"/>
    </row>
    <row r="716" spans="11:12" ht="18" customHeight="1">
      <c r="K716" s="171" t="s">
        <v>702</v>
      </c>
      <c r="L716" s="171"/>
    </row>
    <row r="717" spans="11:12" ht="18" customHeight="1">
      <c r="K717" s="171" t="s">
        <v>702</v>
      </c>
      <c r="L717" s="171"/>
    </row>
    <row r="718" spans="11:12" ht="18" customHeight="1">
      <c r="K718" s="171" t="s">
        <v>702</v>
      </c>
      <c r="L718" s="171"/>
    </row>
    <row r="719" spans="11:12" ht="18" customHeight="1">
      <c r="K719" s="171" t="s">
        <v>814</v>
      </c>
      <c r="L719" s="171"/>
    </row>
    <row r="720" spans="11:12" ht="18" customHeight="1">
      <c r="K720" s="171" t="s">
        <v>702</v>
      </c>
      <c r="L720" s="171"/>
    </row>
    <row r="721" spans="11:12" ht="18" customHeight="1">
      <c r="K721" s="171" t="s">
        <v>702</v>
      </c>
      <c r="L721" s="171"/>
    </row>
    <row r="722" spans="11:12" ht="18" customHeight="1">
      <c r="K722" s="171" t="s">
        <v>702</v>
      </c>
      <c r="L722" s="171"/>
    </row>
    <row r="723" spans="11:12" ht="18" customHeight="1">
      <c r="K723" s="171" t="s">
        <v>702</v>
      </c>
      <c r="L723" s="171"/>
    </row>
    <row r="724" spans="11:12" ht="18" customHeight="1">
      <c r="K724" s="171" t="s">
        <v>814</v>
      </c>
      <c r="L724" s="171"/>
    </row>
    <row r="725" spans="11:12" ht="18" customHeight="1">
      <c r="K725" s="171" t="s">
        <v>702</v>
      </c>
      <c r="L725" s="171"/>
    </row>
    <row r="726" spans="11:12" ht="18" customHeight="1">
      <c r="K726" s="171" t="s">
        <v>814</v>
      </c>
      <c r="L726" s="171"/>
    </row>
    <row r="727" spans="11:12" ht="18" customHeight="1">
      <c r="K727" s="171" t="s">
        <v>702</v>
      </c>
      <c r="L727" s="171"/>
    </row>
    <row r="728" spans="11:12" ht="18" customHeight="1">
      <c r="K728" s="171" t="s">
        <v>814</v>
      </c>
    </row>
    <row r="729" spans="11:12" ht="18" customHeight="1">
      <c r="K729" s="171" t="s">
        <v>814</v>
      </c>
    </row>
    <row r="730" spans="11:12" ht="18" customHeight="1">
      <c r="K730" s="171" t="s">
        <v>702</v>
      </c>
    </row>
    <row r="731" spans="11:12" ht="18" customHeight="1">
      <c r="K731" s="171" t="s">
        <v>702</v>
      </c>
    </row>
    <row r="732" spans="11:12" ht="18" customHeight="1">
      <c r="K732" s="171" t="s">
        <v>814</v>
      </c>
    </row>
    <row r="733" spans="11:12" ht="18" customHeight="1">
      <c r="K733" s="171" t="s">
        <v>814</v>
      </c>
    </row>
    <row r="734" spans="11:12" ht="18" customHeight="1">
      <c r="K734" s="171" t="s">
        <v>814</v>
      </c>
    </row>
    <row r="735" spans="11:12" ht="18" customHeight="1">
      <c r="K735" s="171" t="s">
        <v>14</v>
      </c>
    </row>
  </sheetData>
  <mergeCells count="17">
    <mergeCell ref="B3:C3"/>
    <mergeCell ref="G3:H3"/>
    <mergeCell ref="B4:C4"/>
    <mergeCell ref="G4:H4"/>
    <mergeCell ref="B5:C5"/>
    <mergeCell ref="G5:H5"/>
    <mergeCell ref="U63:U65"/>
    <mergeCell ref="T11:T12"/>
    <mergeCell ref="Z49:Z50"/>
    <mergeCell ref="AA49:AA50"/>
    <mergeCell ref="AJ49:AJ50"/>
    <mergeCell ref="B11:C12"/>
    <mergeCell ref="J11:J12"/>
    <mergeCell ref="L11:L12"/>
    <mergeCell ref="X49:X50"/>
    <mergeCell ref="Y49:Y50"/>
    <mergeCell ref="U11:U12"/>
  </mergeCells>
  <phoneticPr fontId="14" type="noConversion"/>
  <conditionalFormatting sqref="AF13:AF38">
    <cfRule type="cellIs" dxfId="45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1" manualBreakCount="1">
    <brk id="48" min="23" max="38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71">
    <tabColor rgb="FF00B0F0"/>
    <pageSetUpPr fitToPage="1"/>
  </sheetPr>
  <dimension ref="A1:Z838"/>
  <sheetViews>
    <sheetView showGridLines="0" zoomScale="85" zoomScaleNormal="85" zoomScaleSheetLayoutView="75" workbookViewId="0">
      <selection activeCell="A3" sqref="A3:J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854</v>
      </c>
    </row>
    <row r="2" spans="1:26" ht="19.5" thickBot="1">
      <c r="B2" s="66" t="s">
        <v>1</v>
      </c>
    </row>
    <row r="3" spans="1:26" ht="19.5" customHeight="1">
      <c r="A3" s="327"/>
      <c r="B3" s="773" t="s">
        <v>48</v>
      </c>
      <c r="C3" s="774"/>
      <c r="D3" s="716"/>
      <c r="E3" s="717">
        <v>5</v>
      </c>
      <c r="F3" s="44" t="s">
        <v>393</v>
      </c>
      <c r="G3" s="838" t="s">
        <v>1104</v>
      </c>
      <c r="H3" s="839"/>
      <c r="I3" s="656">
        <v>2</v>
      </c>
      <c r="J3" s="669" t="s">
        <v>794</v>
      </c>
      <c r="R3" s="1"/>
      <c r="S3" s="1"/>
      <c r="T3" s="1"/>
      <c r="U3" s="1"/>
      <c r="V3" s="1"/>
      <c r="W3" s="1"/>
      <c r="X3" s="1"/>
      <c r="Y3" s="1"/>
    </row>
    <row r="4" spans="1:26" ht="21.75" customHeight="1">
      <c r="A4" s="327"/>
      <c r="B4" s="777" t="s">
        <v>1329</v>
      </c>
      <c r="C4" s="778"/>
      <c r="D4" s="718"/>
      <c r="E4" s="719">
        <v>10</v>
      </c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A5" s="327"/>
      <c r="B5" s="781" t="s">
        <v>2020</v>
      </c>
      <c r="C5" s="782"/>
      <c r="D5" s="720"/>
      <c r="E5" s="721">
        <f>ROUND((IF(E4&lt;=5,3,E4)/E3)^0.7,3)</f>
        <v>1.625</v>
      </c>
      <c r="F5" s="681"/>
      <c r="G5" s="817" t="s">
        <v>1102</v>
      </c>
      <c r="H5" s="818"/>
      <c r="I5" s="646">
        <f>ROUND(I4/I3,3)</f>
        <v>1</v>
      </c>
      <c r="J5" s="671"/>
      <c r="R5" s="1"/>
      <c r="S5" s="1"/>
      <c r="T5" s="1"/>
      <c r="U5" s="1"/>
      <c r="V5" s="1"/>
      <c r="W5" s="1"/>
      <c r="X5" s="1"/>
      <c r="Y5" s="1"/>
    </row>
    <row r="6" spans="1:26" ht="23.25" customHeight="1">
      <c r="A6" s="327"/>
      <c r="B6" s="9" t="s">
        <v>2021</v>
      </c>
      <c r="C6" s="9"/>
      <c r="D6" s="64"/>
      <c r="E6" s="64"/>
      <c r="G6" s="9" t="s">
        <v>1107</v>
      </c>
      <c r="J6" s="36"/>
      <c r="R6" s="1"/>
      <c r="S6" s="1"/>
      <c r="T6" s="1"/>
      <c r="U6" s="1"/>
      <c r="V6" s="1"/>
      <c r="W6" s="1"/>
      <c r="X6" s="1"/>
      <c r="Y6" s="1"/>
    </row>
    <row r="7" spans="1:26" ht="23.25" customHeight="1">
      <c r="A7" s="6"/>
      <c r="B7" s="6"/>
      <c r="C7" s="6"/>
      <c r="R7" s="1"/>
      <c r="S7" s="1"/>
      <c r="T7" s="1"/>
      <c r="U7" s="1"/>
      <c r="V7" s="1"/>
      <c r="W7" s="1"/>
      <c r="X7" s="1"/>
      <c r="Y7" s="1"/>
    </row>
    <row r="8" spans="1:26" ht="18" customHeight="1">
      <c r="B8" s="9"/>
      <c r="C8" s="9"/>
      <c r="D8" s="64"/>
      <c r="E8" s="64"/>
      <c r="R8" s="1"/>
      <c r="S8" s="1"/>
      <c r="T8" s="1"/>
    </row>
    <row r="9" spans="1:26" ht="18" customHeight="1">
      <c r="B9" s="9"/>
      <c r="C9" s="9"/>
      <c r="D9" s="64"/>
      <c r="E9" s="64"/>
      <c r="R9" s="1"/>
      <c r="S9" s="1"/>
      <c r="T9" s="1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SUBTOTAL(9,W13:W52)</f>
        <v>1263194762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SUBTOTAL(9,W14:W49)</f>
        <v>457085783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SUBTOTAL(9,W15:W44)</f>
        <v>449085783</v>
      </c>
      <c r="X14" s="256"/>
      <c r="Y14" s="220"/>
      <c r="Z14" s="220"/>
    </row>
    <row r="15" spans="1:26" ht="18" customHeight="1">
      <c r="A15" s="279"/>
      <c r="B15" s="222" t="s">
        <v>518</v>
      </c>
      <c r="C15" s="47"/>
      <c r="D15" s="48">
        <f t="shared" ref="D15:I15" si="0">SUBTOTAL(9,D16:D21)</f>
        <v>4</v>
      </c>
      <c r="E15" s="49">
        <f t="shared" si="0"/>
        <v>8</v>
      </c>
      <c r="F15" s="49">
        <f t="shared" si="0"/>
        <v>20.2</v>
      </c>
      <c r="G15" s="49">
        <f t="shared" si="0"/>
        <v>56.199999999999996</v>
      </c>
      <c r="H15" s="49">
        <f t="shared" si="0"/>
        <v>73.5</v>
      </c>
      <c r="I15" s="50">
        <f t="shared" si="0"/>
        <v>88</v>
      </c>
      <c r="J15" s="389"/>
      <c r="L15" s="232"/>
      <c r="N15" s="354" t="str">
        <f>B15</f>
        <v>1. 현황조사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SUBTOTAL(9,W16:W21)</f>
        <v>108931304</v>
      </c>
      <c r="X15" s="194"/>
      <c r="Y15" s="170" t="str">
        <f>IF(A46&gt;0, "제 " &amp;A46&amp; " 호표","")</f>
        <v/>
      </c>
      <c r="Z15" s="170"/>
    </row>
    <row r="16" spans="1:26" ht="18" customHeight="1">
      <c r="A16" s="279"/>
      <c r="B16" s="223" t="s">
        <v>1995</v>
      </c>
      <c r="C16" s="23"/>
      <c r="D16" s="197">
        <v>0.5</v>
      </c>
      <c r="E16" s="198">
        <v>1</v>
      </c>
      <c r="F16" s="198">
        <v>2.5</v>
      </c>
      <c r="G16" s="198">
        <v>6.3</v>
      </c>
      <c r="H16" s="198">
        <v>10.3</v>
      </c>
      <c r="I16" s="199">
        <v>10.199999999999999</v>
      </c>
      <c r="J16" s="389" t="s">
        <v>2017</v>
      </c>
      <c r="L16" s="233">
        <v>1</v>
      </c>
      <c r="N16" s="292" t="str">
        <f t="shared" ref="N16:N44" si="1">B16</f>
        <v>1.1. 주민·산업의 현황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SUM((ROUNDDOWN((D47:I47)*단가,0)))</f>
        <v>13356284</v>
      </c>
      <c r="X16" s="154"/>
      <c r="Y16" s="170" t="str">
        <f>IF(A47&gt;0, "제 " &amp;A47&amp; " 호표","")</f>
        <v>제 1 호표</v>
      </c>
      <c r="Z16" s="150"/>
    </row>
    <row r="17" spans="1:26" ht="18" customHeight="1">
      <c r="A17" s="279"/>
      <c r="B17" s="223" t="s">
        <v>1996</v>
      </c>
      <c r="C17" s="23"/>
      <c r="D17" s="197">
        <v>2</v>
      </c>
      <c r="E17" s="198">
        <v>4</v>
      </c>
      <c r="F17" s="198">
        <v>8.9</v>
      </c>
      <c r="G17" s="198">
        <v>24.2</v>
      </c>
      <c r="H17" s="198">
        <v>27.7</v>
      </c>
      <c r="I17" s="199">
        <v>33</v>
      </c>
      <c r="J17" s="389" t="s">
        <v>1090</v>
      </c>
      <c r="L17" s="233">
        <v>1</v>
      </c>
      <c r="N17" s="292" t="str">
        <f t="shared" si="1"/>
        <v>1.2. 토지·건축물의 이용·소유현황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SUM((ROUNDDOWN((D48:I48)*단가,0)))</f>
        <v>44056949</v>
      </c>
      <c r="X17" s="154"/>
      <c r="Y17" s="170" t="str">
        <f t="shared" ref="Y17:Y44" si="2">IF(A48&gt;0, "제 " &amp;A48&amp; " 호표","")</f>
        <v>제 2 호표</v>
      </c>
      <c r="Z17" s="150"/>
    </row>
    <row r="18" spans="1:26" ht="18" customHeight="1">
      <c r="A18" s="279"/>
      <c r="B18" s="223" t="s">
        <v>1997</v>
      </c>
      <c r="C18" s="23"/>
      <c r="D18" s="197">
        <v>0.5</v>
      </c>
      <c r="E18" s="198">
        <v>1</v>
      </c>
      <c r="F18" s="198">
        <v>1.3</v>
      </c>
      <c r="G18" s="198">
        <v>4</v>
      </c>
      <c r="H18" s="198">
        <v>5.2</v>
      </c>
      <c r="I18" s="199">
        <v>9</v>
      </c>
      <c r="J18" s="389" t="s">
        <v>1090</v>
      </c>
      <c r="L18" s="233">
        <v>1</v>
      </c>
      <c r="N18" s="292" t="str">
        <f t="shared" si="1"/>
        <v>1.3. 정비기반시설의 설치현황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SUM((ROUNDDOWN((D49:I49)*단가,0)))</f>
        <v>9208212</v>
      </c>
      <c r="X18" s="154"/>
      <c r="Y18" s="170" t="str">
        <f t="shared" si="2"/>
        <v>제 3 호표</v>
      </c>
      <c r="Z18" s="150"/>
    </row>
    <row r="19" spans="1:26" ht="18" customHeight="1">
      <c r="A19" s="279"/>
      <c r="B19" s="223" t="s">
        <v>1998</v>
      </c>
      <c r="C19" s="23"/>
      <c r="D19" s="197">
        <v>0.5</v>
      </c>
      <c r="E19" s="198">
        <v>1</v>
      </c>
      <c r="F19" s="198">
        <v>2.6</v>
      </c>
      <c r="G19" s="198">
        <v>7.5</v>
      </c>
      <c r="H19" s="198">
        <v>10</v>
      </c>
      <c r="I19" s="199">
        <v>12.8</v>
      </c>
      <c r="J19" s="389" t="s">
        <v>1090</v>
      </c>
      <c r="L19" s="233">
        <v>1</v>
      </c>
      <c r="N19" s="292" t="str">
        <f t="shared" si="1"/>
        <v>1.4. 정비구역·주변지역의 교통상황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SUM((ROUNDDOWN((D50:I50)*단가,0)))</f>
        <v>14924425</v>
      </c>
      <c r="X19" s="154"/>
      <c r="Y19" s="170" t="str">
        <f t="shared" si="2"/>
        <v>제 4 호표</v>
      </c>
      <c r="Z19" s="150"/>
    </row>
    <row r="20" spans="1:26" ht="18" customHeight="1">
      <c r="A20" s="279"/>
      <c r="B20" s="223" t="s">
        <v>1999</v>
      </c>
      <c r="C20" s="23"/>
      <c r="D20" s="197">
        <v>0.5</v>
      </c>
      <c r="E20" s="198">
        <v>1</v>
      </c>
      <c r="F20" s="198">
        <v>2.5</v>
      </c>
      <c r="G20" s="198">
        <v>6.3</v>
      </c>
      <c r="H20" s="198">
        <v>10.3</v>
      </c>
      <c r="I20" s="199">
        <v>10.199999999999999</v>
      </c>
      <c r="J20" s="389" t="s">
        <v>1090</v>
      </c>
      <c r="L20" s="233">
        <v>1</v>
      </c>
      <c r="N20" s="292" t="str">
        <f t="shared" si="1"/>
        <v>1.5. 토지·건축물의 가격·임대차 현황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SUM((ROUNDDOWN((D51:I51)*단가,0)))</f>
        <v>13356284</v>
      </c>
      <c r="X20" s="154"/>
      <c r="Y20" s="170" t="str">
        <f t="shared" si="2"/>
        <v>제 5 호표</v>
      </c>
      <c r="Z20" s="150"/>
    </row>
    <row r="21" spans="1:26" ht="18" customHeight="1">
      <c r="A21" s="279"/>
      <c r="B21" s="223" t="s">
        <v>2000</v>
      </c>
      <c r="C21" s="23"/>
      <c r="D21" s="197">
        <v>0</v>
      </c>
      <c r="E21" s="198">
        <v>0</v>
      </c>
      <c r="F21" s="198">
        <v>2.4</v>
      </c>
      <c r="G21" s="198">
        <v>7.9</v>
      </c>
      <c r="H21" s="198">
        <v>10</v>
      </c>
      <c r="I21" s="199">
        <v>12.8</v>
      </c>
      <c r="J21" s="389" t="s">
        <v>1090</v>
      </c>
      <c r="L21" s="233">
        <v>1</v>
      </c>
      <c r="N21" s="292" t="str">
        <f t="shared" si="1"/>
        <v>1.6. 정비사업에 대한 주민의 의견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SUM((ROUNDDOWN((D52:I52)*단가,0)))</f>
        <v>14029150</v>
      </c>
      <c r="X21" s="154"/>
      <c r="Y21" s="170" t="str">
        <f t="shared" si="2"/>
        <v>제 6 호표</v>
      </c>
      <c r="Z21" s="150"/>
    </row>
    <row r="22" spans="1:26" ht="18" customHeight="1">
      <c r="A22" s="279"/>
      <c r="B22" s="222" t="s">
        <v>528</v>
      </c>
      <c r="C22" s="47"/>
      <c r="D22" s="48">
        <f t="shared" ref="D22:I22" si="3">SUBTOTAL(9,D23:D36)</f>
        <v>12.499999999999995</v>
      </c>
      <c r="E22" s="49">
        <f t="shared" si="3"/>
        <v>25.1</v>
      </c>
      <c r="F22" s="49">
        <f t="shared" si="3"/>
        <v>69.099999999999994</v>
      </c>
      <c r="G22" s="49">
        <f t="shared" si="3"/>
        <v>124.60000000000001</v>
      </c>
      <c r="H22" s="49">
        <f t="shared" si="3"/>
        <v>171.49999999999997</v>
      </c>
      <c r="I22" s="50">
        <f t="shared" si="3"/>
        <v>168.69999999999996</v>
      </c>
      <c r="J22" s="389"/>
      <c r="L22" s="232"/>
      <c r="N22" s="354" t="str">
        <f t="shared" si="1"/>
        <v>2. 정비계획</v>
      </c>
      <c r="O22" s="169"/>
      <c r="P22" s="169"/>
      <c r="Q22" s="169"/>
      <c r="R22" s="169"/>
      <c r="S22" s="169"/>
      <c r="T22" s="169"/>
      <c r="U22" s="226"/>
      <c r="V22" s="248"/>
      <c r="W22" s="193">
        <f ca="1">SUBTOTAL(9,W23:W36)</f>
        <v>253556448</v>
      </c>
      <c r="X22" s="194"/>
      <c r="Y22" s="170" t="str">
        <f t="shared" si="2"/>
        <v/>
      </c>
      <c r="Z22" s="170"/>
    </row>
    <row r="23" spans="1:26" ht="18" customHeight="1">
      <c r="A23" s="279"/>
      <c r="B23" s="223" t="s">
        <v>2002</v>
      </c>
      <c r="C23" s="23"/>
      <c r="D23" s="197">
        <v>0.3</v>
      </c>
      <c r="E23" s="198">
        <v>0.5</v>
      </c>
      <c r="F23" s="198">
        <v>1.6</v>
      </c>
      <c r="G23" s="198">
        <v>3</v>
      </c>
      <c r="H23" s="198">
        <v>3.8</v>
      </c>
      <c r="I23" s="199">
        <v>3.6</v>
      </c>
      <c r="J23" s="389" t="s">
        <v>1090</v>
      </c>
      <c r="L23" s="233">
        <v>1</v>
      </c>
      <c r="N23" s="292" t="str">
        <f t="shared" si="1"/>
        <v>2.1. 계획의 수립방향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SUM((ROUNDDOWN((D54:I54)*단가,0)))</f>
        <v>5694758</v>
      </c>
      <c r="X23" s="154"/>
      <c r="Y23" s="170" t="str">
        <f t="shared" si="2"/>
        <v>제 7 호표</v>
      </c>
      <c r="Z23" s="150"/>
    </row>
    <row r="24" spans="1:26" ht="18" customHeight="1">
      <c r="A24" s="279"/>
      <c r="B24" s="223" t="s">
        <v>2003</v>
      </c>
      <c r="C24" s="23"/>
      <c r="D24" s="197">
        <v>0.3</v>
      </c>
      <c r="E24" s="198">
        <v>0.5</v>
      </c>
      <c r="F24" s="198">
        <v>1.6</v>
      </c>
      <c r="G24" s="198">
        <v>3</v>
      </c>
      <c r="H24" s="198">
        <v>3.8</v>
      </c>
      <c r="I24" s="199">
        <v>3.6</v>
      </c>
      <c r="J24" s="389" t="s">
        <v>1090</v>
      </c>
      <c r="L24" s="233">
        <v>1</v>
      </c>
      <c r="N24" s="292" t="str">
        <f t="shared" si="1"/>
        <v>2.2. 정비사업의 시행 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SUM((ROUNDDOWN((D55:I55)*단가,0)))</f>
        <v>5694758</v>
      </c>
      <c r="X24" s="154"/>
      <c r="Y24" s="170" t="str">
        <f t="shared" si="2"/>
        <v>제 8 호표</v>
      </c>
      <c r="Z24" s="150"/>
    </row>
    <row r="25" spans="1:26" ht="18" customHeight="1">
      <c r="A25" s="279"/>
      <c r="B25" s="223" t="s">
        <v>2004</v>
      </c>
      <c r="C25" s="23"/>
      <c r="D25" s="197">
        <v>2.2999999999999998</v>
      </c>
      <c r="E25" s="198">
        <v>4.5999999999999996</v>
      </c>
      <c r="F25" s="198">
        <v>11.4</v>
      </c>
      <c r="G25" s="198">
        <v>22.9</v>
      </c>
      <c r="H25" s="198">
        <v>34.5</v>
      </c>
      <c r="I25" s="199">
        <v>34.4</v>
      </c>
      <c r="J25" s="389" t="s">
        <v>1090</v>
      </c>
      <c r="L25" s="233">
        <v>1</v>
      </c>
      <c r="N25" s="292" t="str">
        <f t="shared" si="1"/>
        <v>2.3. 토지이용계획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SUM((ROUNDDOWN((D56:I56)*단가,0)))</f>
        <v>48458768</v>
      </c>
      <c r="X25" s="154"/>
      <c r="Y25" s="170" t="str">
        <f t="shared" si="2"/>
        <v>제 9 호표</v>
      </c>
      <c r="Z25" s="150"/>
    </row>
    <row r="26" spans="1:26" ht="18" customHeight="1">
      <c r="A26" s="279"/>
      <c r="B26" s="223" t="s">
        <v>2005</v>
      </c>
      <c r="C26" s="23"/>
      <c r="D26" s="197">
        <v>2.2999999999999998</v>
      </c>
      <c r="E26" s="198">
        <v>4.5999999999999996</v>
      </c>
      <c r="F26" s="198">
        <v>11.4</v>
      </c>
      <c r="G26" s="198">
        <v>22.9</v>
      </c>
      <c r="H26" s="198">
        <v>34.5</v>
      </c>
      <c r="I26" s="199">
        <v>34.4</v>
      </c>
      <c r="J26" s="389" t="s">
        <v>1090</v>
      </c>
      <c r="L26" s="233">
        <v>1</v>
      </c>
      <c r="N26" s="292" t="str">
        <f t="shared" si="1"/>
        <v>2.4. 정비기반시설의 설치 계획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SUM((ROUNDDOWN((D57:I57)*단가,0)))</f>
        <v>48458768</v>
      </c>
      <c r="X26" s="154"/>
      <c r="Y26" s="170" t="str">
        <f t="shared" si="2"/>
        <v>제 10 호표</v>
      </c>
      <c r="Z26" s="150"/>
    </row>
    <row r="27" spans="1:26" ht="18" customHeight="1">
      <c r="A27" s="279"/>
      <c r="B27" s="223" t="s">
        <v>2006</v>
      </c>
      <c r="C27" s="23"/>
      <c r="D27" s="197">
        <v>1.1000000000000001</v>
      </c>
      <c r="E27" s="198">
        <v>2.2999999999999998</v>
      </c>
      <c r="F27" s="198">
        <v>8.6</v>
      </c>
      <c r="G27" s="198">
        <v>14.2</v>
      </c>
      <c r="H27" s="198">
        <v>17.100000000000001</v>
      </c>
      <c r="I27" s="199">
        <v>17</v>
      </c>
      <c r="J27" s="389" t="s">
        <v>1090</v>
      </c>
      <c r="L27" s="233">
        <v>1</v>
      </c>
      <c r="N27" s="292" t="str">
        <f t="shared" si="1"/>
        <v>2.5. 공동이용시설 설치계획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SUM((ROUNDDOWN((D58:I58)*단가,0)))</f>
        <v>26836400</v>
      </c>
      <c r="X27" s="154"/>
      <c r="Y27" s="170" t="str">
        <f t="shared" si="2"/>
        <v>제 11 호표</v>
      </c>
      <c r="Z27" s="150"/>
    </row>
    <row r="28" spans="1:26" ht="18" customHeight="1">
      <c r="A28" s="279"/>
      <c r="B28" s="223" t="s">
        <v>2007</v>
      </c>
      <c r="C28" s="23"/>
      <c r="D28" s="197">
        <v>0.3</v>
      </c>
      <c r="E28" s="198">
        <v>0.6</v>
      </c>
      <c r="F28" s="198">
        <v>2</v>
      </c>
      <c r="G28" s="198">
        <v>3</v>
      </c>
      <c r="H28" s="198">
        <v>3.8</v>
      </c>
      <c r="I28" s="199">
        <v>3.6</v>
      </c>
      <c r="J28" s="389" t="s">
        <v>1090</v>
      </c>
      <c r="L28" s="233">
        <v>1</v>
      </c>
      <c r="N28" s="292" t="str">
        <f t="shared" si="1"/>
        <v>2.6. 기존 건축물의 정비·개량 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SUM((ROUNDDOWN((D59:I59)*단가,0)))</f>
        <v>5957690</v>
      </c>
      <c r="X28" s="154"/>
      <c r="Y28" s="170" t="str">
        <f t="shared" si="2"/>
        <v>제 12 호표</v>
      </c>
      <c r="Z28" s="150"/>
    </row>
    <row r="29" spans="1:26" ht="18" customHeight="1">
      <c r="A29" s="279"/>
      <c r="B29" s="223" t="s">
        <v>2008</v>
      </c>
      <c r="C29" s="23"/>
      <c r="D29" s="197">
        <v>2.9</v>
      </c>
      <c r="E29" s="198">
        <v>5.7</v>
      </c>
      <c r="F29" s="198">
        <v>14.3</v>
      </c>
      <c r="G29" s="198">
        <v>24.9</v>
      </c>
      <c r="H29" s="198">
        <v>34.4</v>
      </c>
      <c r="I29" s="199">
        <v>33.5</v>
      </c>
      <c r="J29" s="389" t="s">
        <v>1090</v>
      </c>
      <c r="L29" s="233">
        <v>1</v>
      </c>
      <c r="N29" s="292" t="str">
        <f t="shared" si="1"/>
        <v>2.7. 건축물 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SUM((ROUNDDOWN((D60:I60)*단가,0)))</f>
        <v>51601549</v>
      </c>
      <c r="X29" s="154"/>
      <c r="Y29" s="170" t="str">
        <f t="shared" si="2"/>
        <v>제 13 호표</v>
      </c>
      <c r="Z29" s="150"/>
    </row>
    <row r="30" spans="1:26" ht="18" customHeight="1">
      <c r="A30" s="279"/>
      <c r="B30" s="223" t="s">
        <v>2009</v>
      </c>
      <c r="C30" s="23"/>
      <c r="D30" s="197">
        <v>1.7</v>
      </c>
      <c r="E30" s="198">
        <v>3.3</v>
      </c>
      <c r="F30" s="198">
        <v>8.6</v>
      </c>
      <c r="G30" s="198">
        <v>14.2</v>
      </c>
      <c r="H30" s="198">
        <v>17.100000000000001</v>
      </c>
      <c r="I30" s="199">
        <v>17</v>
      </c>
      <c r="J30" s="389" t="s">
        <v>1090</v>
      </c>
      <c r="L30" s="233">
        <v>1</v>
      </c>
      <c r="N30" s="292" t="str">
        <f t="shared" si="1"/>
        <v>2.8. 교통·동선처리계획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SUM((ROUNDDOWN((D61:I61)*단가,0)))</f>
        <v>27898635</v>
      </c>
      <c r="X30" s="154"/>
      <c r="Y30" s="170" t="str">
        <f t="shared" si="2"/>
        <v>제 14 호표</v>
      </c>
      <c r="Z30" s="150"/>
    </row>
    <row r="31" spans="1:26" ht="18" customHeight="1">
      <c r="A31" s="279"/>
      <c r="B31" s="223" t="s">
        <v>2010</v>
      </c>
      <c r="C31" s="23"/>
      <c r="D31" s="197">
        <v>0.3</v>
      </c>
      <c r="E31" s="198">
        <v>0.5</v>
      </c>
      <c r="F31" s="198">
        <v>1.6</v>
      </c>
      <c r="G31" s="198">
        <v>3</v>
      </c>
      <c r="H31" s="198">
        <v>3.8</v>
      </c>
      <c r="I31" s="199">
        <v>3.6</v>
      </c>
      <c r="J31" s="389" t="s">
        <v>1090</v>
      </c>
      <c r="L31" s="233">
        <v>1</v>
      </c>
      <c r="N31" s="292" t="str">
        <f t="shared" si="1"/>
        <v>2.9. 환경보전·재난방지 계획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SUM((ROUNDDOWN((D62:I62)*단가,0)))</f>
        <v>5694758</v>
      </c>
      <c r="X31" s="154"/>
      <c r="Y31" s="170" t="str">
        <f t="shared" si="2"/>
        <v>제 15 호표</v>
      </c>
      <c r="Z31" s="150"/>
    </row>
    <row r="32" spans="1:26" ht="18" customHeight="1">
      <c r="A32" s="279"/>
      <c r="B32" s="223" t="s">
        <v>2011</v>
      </c>
      <c r="C32" s="23"/>
      <c r="D32" s="197">
        <v>0.2</v>
      </c>
      <c r="E32" s="198">
        <v>0.5</v>
      </c>
      <c r="F32" s="198">
        <v>1.6</v>
      </c>
      <c r="G32" s="198">
        <v>3</v>
      </c>
      <c r="H32" s="198">
        <v>3.8</v>
      </c>
      <c r="I32" s="199">
        <v>3.6</v>
      </c>
      <c r="J32" s="389" t="s">
        <v>1090</v>
      </c>
      <c r="L32" s="233">
        <v>1</v>
      </c>
      <c r="N32" s="292" t="str">
        <f t="shared" si="1"/>
        <v>2.10. 구역 주변의 교육환경 보호 계획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SUM((ROUNDDOWN((D63:I63)*단가,0)))</f>
        <v>5619069</v>
      </c>
      <c r="X32" s="154"/>
      <c r="Y32" s="170" t="str">
        <f t="shared" si="2"/>
        <v>제 16 호표</v>
      </c>
      <c r="Z32" s="150"/>
    </row>
    <row r="33" spans="1:26" ht="18" customHeight="1">
      <c r="A33" s="279"/>
      <c r="B33" s="223" t="s">
        <v>2012</v>
      </c>
      <c r="C33" s="23"/>
      <c r="D33" s="197">
        <v>0.2</v>
      </c>
      <c r="E33" s="198">
        <v>0.5</v>
      </c>
      <c r="F33" s="198">
        <v>1.6</v>
      </c>
      <c r="G33" s="198">
        <v>3</v>
      </c>
      <c r="H33" s="198">
        <v>3.8</v>
      </c>
      <c r="I33" s="199">
        <v>3.6</v>
      </c>
      <c r="J33" s="389" t="s">
        <v>1090</v>
      </c>
      <c r="L33" s="233">
        <v>1</v>
      </c>
      <c r="N33" s="292" t="str">
        <f t="shared" si="1"/>
        <v>2.11. 구역의 분할·결합에 관한 계획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SUM((ROUNDDOWN((D64:I64)*단가,0)))</f>
        <v>5619069</v>
      </c>
      <c r="X33" s="154"/>
      <c r="Y33" s="170" t="str">
        <f t="shared" si="2"/>
        <v>제 17 호표</v>
      </c>
      <c r="Z33" s="150"/>
    </row>
    <row r="34" spans="1:26" ht="18" customHeight="1">
      <c r="A34" s="279"/>
      <c r="B34" s="223" t="s">
        <v>2013</v>
      </c>
      <c r="C34" s="23"/>
      <c r="D34" s="197">
        <v>0.2</v>
      </c>
      <c r="E34" s="198">
        <v>0.5</v>
      </c>
      <c r="F34" s="198">
        <v>1.6</v>
      </c>
      <c r="G34" s="198">
        <v>2.5</v>
      </c>
      <c r="H34" s="198">
        <v>3.7</v>
      </c>
      <c r="I34" s="199">
        <v>3.6</v>
      </c>
      <c r="J34" s="389" t="s">
        <v>1090</v>
      </c>
      <c r="L34" s="233">
        <v>1</v>
      </c>
      <c r="N34" s="292" t="str">
        <f t="shared" si="1"/>
        <v>2.12. 주택수급에 관한 사항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SUM((ROUNDDOWN((D65:I65)*단가,0)))</f>
        <v>5340742</v>
      </c>
      <c r="X34" s="154"/>
      <c r="Y34" s="170" t="str">
        <f t="shared" si="2"/>
        <v>제 18 호표</v>
      </c>
      <c r="Z34" s="150"/>
    </row>
    <row r="35" spans="1:26" ht="18" customHeight="1">
      <c r="A35" s="279"/>
      <c r="B35" s="223" t="s">
        <v>2014</v>
      </c>
      <c r="C35" s="23"/>
      <c r="D35" s="197">
        <v>0.2</v>
      </c>
      <c r="E35" s="198">
        <v>0.5</v>
      </c>
      <c r="F35" s="198">
        <v>1.6</v>
      </c>
      <c r="G35" s="198">
        <v>2.5</v>
      </c>
      <c r="H35" s="198">
        <v>3.7</v>
      </c>
      <c r="I35" s="199">
        <v>3.6</v>
      </c>
      <c r="J35" s="389" t="s">
        <v>1090</v>
      </c>
      <c r="L35" s="233">
        <v>1</v>
      </c>
      <c r="N35" s="292" t="str">
        <f t="shared" si="1"/>
        <v>2.13. 세입자 주거대책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SUM((ROUNDDOWN((D66:I66)*단가,0)))</f>
        <v>5340742</v>
      </c>
      <c r="X35" s="154"/>
      <c r="Y35" s="170" t="str">
        <f t="shared" si="2"/>
        <v>제 19 호표</v>
      </c>
      <c r="Z35" s="150"/>
    </row>
    <row r="36" spans="1:26" ht="18" customHeight="1">
      <c r="A36" s="279"/>
      <c r="B36" s="223" t="s">
        <v>2015</v>
      </c>
      <c r="C36" s="23"/>
      <c r="D36" s="197">
        <v>0.2</v>
      </c>
      <c r="E36" s="198">
        <v>0.5</v>
      </c>
      <c r="F36" s="198">
        <v>1.6</v>
      </c>
      <c r="G36" s="198">
        <v>2.5</v>
      </c>
      <c r="H36" s="198">
        <v>3.7</v>
      </c>
      <c r="I36" s="199">
        <v>3.6</v>
      </c>
      <c r="J36" s="389" t="s">
        <v>1090</v>
      </c>
      <c r="L36" s="233">
        <v>1</v>
      </c>
      <c r="N36" s="292" t="str">
        <f t="shared" si="1"/>
        <v>2.14. 안전·범죄예방 사항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SUM((ROUNDDOWN((D67:I67)*단가,0)))</f>
        <v>5340742</v>
      </c>
      <c r="X36" s="154"/>
      <c r="Y36" s="170" t="str">
        <f t="shared" si="2"/>
        <v>제 20 호표</v>
      </c>
      <c r="Z36" s="150"/>
    </row>
    <row r="37" spans="1:26" ht="18" customHeight="1">
      <c r="A37" s="279"/>
      <c r="B37" s="222" t="s">
        <v>51</v>
      </c>
      <c r="C37" s="47"/>
      <c r="D37" s="48">
        <f t="shared" ref="D37:I37" si="4">SUBTOTAL(9,D38:D39)</f>
        <v>3.7</v>
      </c>
      <c r="E37" s="49">
        <f t="shared" si="4"/>
        <v>7.4</v>
      </c>
      <c r="F37" s="49">
        <f t="shared" si="4"/>
        <v>16.799999999999997</v>
      </c>
      <c r="G37" s="49">
        <f t="shared" si="4"/>
        <v>31</v>
      </c>
      <c r="H37" s="49">
        <f t="shared" si="4"/>
        <v>43.4</v>
      </c>
      <c r="I37" s="50">
        <f t="shared" si="4"/>
        <v>43.4</v>
      </c>
      <c r="J37" s="389"/>
      <c r="L37" s="233"/>
      <c r="N37" s="354" t="str">
        <f t="shared" si="1"/>
        <v>3. 성과품작성</v>
      </c>
      <c r="O37" s="169"/>
      <c r="P37" s="169"/>
      <c r="Q37" s="169"/>
      <c r="R37" s="169"/>
      <c r="S37" s="169"/>
      <c r="T37" s="169"/>
      <c r="U37" s="226"/>
      <c r="V37" s="248"/>
      <c r="W37" s="193">
        <f ca="1">SUBTOTAL(9,W38:W39)</f>
        <v>64895455</v>
      </c>
      <c r="X37" s="257"/>
      <c r="Y37" s="170" t="str">
        <f t="shared" si="2"/>
        <v/>
      </c>
      <c r="Z37" s="169"/>
    </row>
    <row r="38" spans="1:26" ht="18" customHeight="1">
      <c r="A38" s="279"/>
      <c r="B38" s="223" t="s">
        <v>2016</v>
      </c>
      <c r="C38" s="23"/>
      <c r="D38" s="197">
        <v>2.5</v>
      </c>
      <c r="E38" s="198">
        <v>4.9000000000000004</v>
      </c>
      <c r="F38" s="198">
        <v>11.2</v>
      </c>
      <c r="G38" s="198">
        <v>18.600000000000001</v>
      </c>
      <c r="H38" s="198">
        <v>18.7</v>
      </c>
      <c r="I38" s="199">
        <v>12.5</v>
      </c>
      <c r="J38" s="389" t="s">
        <v>1090</v>
      </c>
      <c r="L38" s="233">
        <v>1</v>
      </c>
      <c r="N38" s="292" t="str">
        <f t="shared" si="1"/>
        <v>3.1. 보고서작성 및 편집</v>
      </c>
      <c r="O38" s="37"/>
      <c r="P38" s="37"/>
      <c r="Q38" s="37"/>
      <c r="R38" s="37"/>
      <c r="S38" s="37"/>
      <c r="T38" s="37"/>
      <c r="U38" s="226"/>
      <c r="V38" s="248"/>
      <c r="W38" s="153">
        <f t="array" aca="1" ref="W38" ca="1">SUM((ROUNDDOWN((D69:I69)*단가,0)))</f>
        <v>31683764</v>
      </c>
      <c r="X38" s="113"/>
      <c r="Y38" s="170" t="str">
        <f t="shared" si="2"/>
        <v>제 21 호표</v>
      </c>
      <c r="Z38" s="37"/>
    </row>
    <row r="39" spans="1:26" ht="18" customHeight="1">
      <c r="A39" s="279"/>
      <c r="B39" s="223" t="s">
        <v>1860</v>
      </c>
      <c r="C39" s="43"/>
      <c r="D39" s="206">
        <v>1.2</v>
      </c>
      <c r="E39" s="207">
        <v>2.5</v>
      </c>
      <c r="F39" s="207">
        <v>5.6</v>
      </c>
      <c r="G39" s="207">
        <v>12.4</v>
      </c>
      <c r="H39" s="207">
        <v>24.7</v>
      </c>
      <c r="I39" s="208">
        <v>30.9</v>
      </c>
      <c r="J39" s="390" t="s">
        <v>1090</v>
      </c>
      <c r="L39" s="233">
        <v>1</v>
      </c>
      <c r="N39" s="292" t="str">
        <f t="shared" si="1"/>
        <v>3.2. 관련도서작성</v>
      </c>
      <c r="O39" s="37"/>
      <c r="P39" s="37"/>
      <c r="Q39" s="37"/>
      <c r="R39" s="37"/>
      <c r="S39" s="37"/>
      <c r="T39" s="37"/>
      <c r="U39" s="353"/>
      <c r="V39" s="248"/>
      <c r="W39" s="153">
        <f t="array" aca="1" ref="W39" ca="1">SUM((ROUNDDOWN((D70:I70)*단가,0)))</f>
        <v>33211691</v>
      </c>
      <c r="X39" s="113"/>
      <c r="Y39" s="170" t="str">
        <f t="shared" si="2"/>
        <v>제 22 호표</v>
      </c>
      <c r="Z39" s="37"/>
    </row>
    <row r="40" spans="1:26" ht="18" customHeight="1">
      <c r="A40" s="279"/>
      <c r="B40" s="222" t="s">
        <v>269</v>
      </c>
      <c r="C40" s="47"/>
      <c r="D40" s="48">
        <f t="shared" ref="D40:I40" si="5">SUBTOTAL(9,D41:D44)</f>
        <v>8</v>
      </c>
      <c r="E40" s="49">
        <f t="shared" si="5"/>
        <v>8</v>
      </c>
      <c r="F40" s="49">
        <f t="shared" si="5"/>
        <v>8</v>
      </c>
      <c r="G40" s="49">
        <f t="shared" si="5"/>
        <v>16</v>
      </c>
      <c r="H40" s="49">
        <f t="shared" si="5"/>
        <v>16</v>
      </c>
      <c r="I40" s="50">
        <f t="shared" si="5"/>
        <v>16</v>
      </c>
      <c r="J40" s="389"/>
      <c r="L40" s="232"/>
      <c r="N40" s="354" t="str">
        <f t="shared" si="1"/>
        <v>4. 기술협의</v>
      </c>
      <c r="O40" s="169"/>
      <c r="P40" s="169"/>
      <c r="Q40" s="169"/>
      <c r="R40" s="169"/>
      <c r="S40" s="169"/>
      <c r="T40" s="169"/>
      <c r="U40" s="226"/>
      <c r="V40" s="248"/>
      <c r="W40" s="193">
        <f ca="1">SUBTOTAL(9,W41:W44)</f>
        <v>21702576</v>
      </c>
      <c r="X40" s="194"/>
      <c r="Y40" s="170" t="str">
        <f t="shared" si="2"/>
        <v/>
      </c>
      <c r="Z40" s="170"/>
    </row>
    <row r="41" spans="1:26" ht="18" customHeight="1">
      <c r="A41" s="279"/>
      <c r="B41" s="223" t="s">
        <v>271</v>
      </c>
      <c r="C41" s="23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389" t="s">
        <v>1094</v>
      </c>
      <c r="L41" s="233">
        <v>1</v>
      </c>
      <c r="N41" s="292" t="str">
        <f t="shared" si="1"/>
        <v>4-1. 공청회/주민설명회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SUM((ROUNDDOWN((D72:I72)*단가,0)))</f>
        <v>5425644</v>
      </c>
      <c r="X41" s="154"/>
      <c r="Y41" s="170" t="str">
        <f t="shared" si="2"/>
        <v>제 23 호표</v>
      </c>
      <c r="Z41" s="150"/>
    </row>
    <row r="42" spans="1:26" ht="18" customHeight="1">
      <c r="A42" s="279"/>
      <c r="B42" s="223" t="s">
        <v>273</v>
      </c>
      <c r="C42" s="23"/>
      <c r="D42" s="197">
        <v>2</v>
      </c>
      <c r="E42" s="198">
        <v>2</v>
      </c>
      <c r="F42" s="198">
        <v>2</v>
      </c>
      <c r="G42" s="198">
        <v>4</v>
      </c>
      <c r="H42" s="198">
        <v>4</v>
      </c>
      <c r="I42" s="199">
        <v>4</v>
      </c>
      <c r="J42" s="389" t="s">
        <v>1094</v>
      </c>
      <c r="L42" s="233">
        <v>1</v>
      </c>
      <c r="N42" s="292" t="str">
        <f t="shared" si="1"/>
        <v>4-2. 주민간담회/시민계획단</v>
      </c>
      <c r="O42" s="37"/>
      <c r="P42" s="37"/>
      <c r="Q42" s="37"/>
      <c r="R42" s="37"/>
      <c r="S42" s="37"/>
      <c r="T42" s="37"/>
      <c r="U42" s="227"/>
      <c r="V42" s="231"/>
      <c r="W42" s="153">
        <f t="array" aca="1" ref="W42" ca="1">SUM((ROUNDDOWN((D73:I73)*단가,0)))</f>
        <v>5425644</v>
      </c>
      <c r="X42" s="154"/>
      <c r="Y42" s="170" t="str">
        <f t="shared" si="2"/>
        <v>제 24 호표</v>
      </c>
      <c r="Z42" s="150"/>
    </row>
    <row r="43" spans="1:26" ht="18" customHeight="1">
      <c r="A43" s="279"/>
      <c r="B43" s="223" t="s">
        <v>275</v>
      </c>
      <c r="C43" s="23"/>
      <c r="D43" s="197">
        <v>2</v>
      </c>
      <c r="E43" s="198">
        <v>2</v>
      </c>
      <c r="F43" s="198">
        <v>2</v>
      </c>
      <c r="G43" s="198">
        <v>4</v>
      </c>
      <c r="H43" s="198">
        <v>4</v>
      </c>
      <c r="I43" s="199">
        <v>4</v>
      </c>
      <c r="J43" s="389" t="s">
        <v>1094</v>
      </c>
      <c r="L43" s="233">
        <v>1</v>
      </c>
      <c r="N43" s="292" t="str">
        <f t="shared" si="1"/>
        <v>4-3. 위원회심의 지원</v>
      </c>
      <c r="O43" s="37"/>
      <c r="P43" s="37"/>
      <c r="Q43" s="37"/>
      <c r="R43" s="37"/>
      <c r="S43" s="37"/>
      <c r="T43" s="37"/>
      <c r="U43" s="227"/>
      <c r="V43" s="231"/>
      <c r="W43" s="153">
        <f t="array" aca="1" ref="W43" ca="1">SUM((ROUNDDOWN((D74:I74)*단가,0)))</f>
        <v>5425644</v>
      </c>
      <c r="X43" s="154"/>
      <c r="Y43" s="170" t="str">
        <f t="shared" si="2"/>
        <v>제 25 호표</v>
      </c>
      <c r="Z43" s="150"/>
    </row>
    <row r="44" spans="1:26" ht="18" customHeight="1" thickBot="1">
      <c r="A44" s="279"/>
      <c r="B44" s="223" t="s">
        <v>277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612" t="s">
        <v>1094</v>
      </c>
      <c r="L44" s="233">
        <v>1</v>
      </c>
      <c r="N44" s="292" t="str">
        <f t="shared" si="1"/>
        <v>4-4. 관계기관 협의</v>
      </c>
      <c r="O44" s="37"/>
      <c r="P44" s="37"/>
      <c r="Q44" s="37"/>
      <c r="R44" s="37"/>
      <c r="S44" s="37"/>
      <c r="T44" s="37"/>
      <c r="U44" s="227"/>
      <c r="V44" s="231"/>
      <c r="W44" s="153">
        <f t="array" aca="1" ref="W44" ca="1">SUM((ROUNDDOWN((D75:I75)*단가,0)))</f>
        <v>5425644</v>
      </c>
      <c r="X44" s="154"/>
      <c r="Y44" s="170" t="str">
        <f t="shared" si="2"/>
        <v>제 26 호표</v>
      </c>
      <c r="Z44" s="150"/>
    </row>
    <row r="45" spans="1:26" ht="18" customHeight="1" thickBot="1">
      <c r="A45" s="279"/>
      <c r="B45" s="14" t="s">
        <v>30</v>
      </c>
      <c r="C45" s="16"/>
      <c r="D45" s="14" t="s">
        <v>12</v>
      </c>
      <c r="E45" s="15"/>
      <c r="F45" s="15"/>
      <c r="G45" s="15"/>
      <c r="H45" s="15"/>
      <c r="I45" s="16"/>
      <c r="J45" s="175" t="s">
        <v>31</v>
      </c>
      <c r="N45" s="8"/>
      <c r="P45" s="371"/>
      <c r="R45" s="357"/>
      <c r="S45" s="1"/>
      <c r="T45" s="1"/>
      <c r="U45" s="258"/>
      <c r="V45" s="372"/>
      <c r="W45" s="373"/>
      <c r="X45" s="374"/>
      <c r="Y45" s="375"/>
    </row>
    <row r="46" spans="1:26" ht="18" customHeight="1">
      <c r="A46" s="279"/>
      <c r="B46" s="222" t="s">
        <v>518</v>
      </c>
      <c r="C46" s="47"/>
      <c r="D46" s="48">
        <f t="shared" ref="D46:I46" si="6">SUBTOTAL(9,D47:D52)</f>
        <v>6.4980000000000011</v>
      </c>
      <c r="E46" s="49">
        <f t="shared" si="6"/>
        <v>13</v>
      </c>
      <c r="F46" s="49">
        <f t="shared" si="6"/>
        <v>32.823000000000008</v>
      </c>
      <c r="G46" s="49">
        <f t="shared" si="6"/>
        <v>91.323000000000008</v>
      </c>
      <c r="H46" s="49">
        <f t="shared" si="6"/>
        <v>119.43599999999999</v>
      </c>
      <c r="I46" s="50">
        <f t="shared" si="6"/>
        <v>143</v>
      </c>
      <c r="J46" s="74"/>
      <c r="N46" s="290" t="s">
        <v>10</v>
      </c>
      <c r="O46" s="129"/>
      <c r="P46" s="130"/>
      <c r="Q46" s="124"/>
      <c r="R46" s="131"/>
      <c r="S46" s="124"/>
      <c r="T46" s="124"/>
      <c r="U46" s="181"/>
      <c r="V46" s="181"/>
      <c r="W46" s="159">
        <f>SUBTOTAL(9,W47:W49)</f>
        <v>8000000</v>
      </c>
      <c r="X46" s="160"/>
      <c r="Y46" s="124"/>
      <c r="Z46" s="124"/>
    </row>
    <row r="47" spans="1:26" ht="18" customHeight="1">
      <c r="A47" s="278">
        <v>1</v>
      </c>
      <c r="B47" s="223" t="s">
        <v>1995</v>
      </c>
      <c r="C47" s="23"/>
      <c r="D47" s="197">
        <f t="array" ref="D47:I52">ROUNDDOWN(D16:I21*L16:L21*E5,3)</f>
        <v>0.81200000000000006</v>
      </c>
      <c r="E47" s="198">
        <v>1.625</v>
      </c>
      <c r="F47" s="198">
        <v>4.0620000000000003</v>
      </c>
      <c r="G47" s="198">
        <v>10.237</v>
      </c>
      <c r="H47" s="198">
        <v>16.736999999999998</v>
      </c>
      <c r="I47" s="199">
        <v>16.574999999999999</v>
      </c>
      <c r="J47" s="74"/>
      <c r="N47" s="128" t="str">
        <f>"여비("&amp;TEXT(R47,"#인 ×")&amp;TEXT(S47,"#일 ×")&amp;TEXT(T47,"###,###원)")</f>
        <v>여비(3인 ×10일 ×100,000원)</v>
      </c>
      <c r="O47" s="78"/>
      <c r="P47" s="52"/>
      <c r="Q47" s="51"/>
      <c r="R47" s="146">
        <v>3</v>
      </c>
      <c r="S47" s="146">
        <v>10</v>
      </c>
      <c r="T47" s="147">
        <v>100000</v>
      </c>
      <c r="U47" s="182"/>
      <c r="V47" s="182"/>
      <c r="W47" s="161">
        <f>R47*S47*T47</f>
        <v>3000000</v>
      </c>
      <c r="X47" s="162"/>
      <c r="Y47" s="51"/>
      <c r="Z47" s="51"/>
    </row>
    <row r="48" spans="1:26" ht="18" customHeight="1">
      <c r="A48" s="278">
        <v>2</v>
      </c>
      <c r="B48" s="223" t="s">
        <v>1996</v>
      </c>
      <c r="C48" s="23"/>
      <c r="D48" s="197">
        <v>3.25</v>
      </c>
      <c r="E48" s="198">
        <v>6.5</v>
      </c>
      <c r="F48" s="198">
        <v>14.462</v>
      </c>
      <c r="G48" s="198">
        <v>39.325000000000003</v>
      </c>
      <c r="H48" s="198">
        <v>45.012</v>
      </c>
      <c r="I48" s="199">
        <v>53.625</v>
      </c>
      <c r="J48" s="74"/>
      <c r="N48" s="79" t="s">
        <v>46</v>
      </c>
      <c r="O48" s="79"/>
      <c r="P48" s="39"/>
      <c r="Q48" s="37"/>
      <c r="R48" s="117"/>
      <c r="S48" s="37"/>
      <c r="T48" s="37"/>
      <c r="U48" s="180"/>
      <c r="V48" s="180"/>
      <c r="W48" s="157">
        <v>3000000</v>
      </c>
      <c r="X48" s="158"/>
      <c r="Y48" s="37"/>
      <c r="Z48" s="37"/>
    </row>
    <row r="49" spans="1:26" ht="18" customHeight="1">
      <c r="A49" s="278">
        <v>3</v>
      </c>
      <c r="B49" s="223" t="s">
        <v>1997</v>
      </c>
      <c r="C49" s="23"/>
      <c r="D49" s="197">
        <v>0.81200000000000006</v>
      </c>
      <c r="E49" s="198">
        <v>1.625</v>
      </c>
      <c r="F49" s="198">
        <v>2.1120000000000001</v>
      </c>
      <c r="G49" s="198">
        <v>6.5</v>
      </c>
      <c r="H49" s="198">
        <v>8.4499999999999993</v>
      </c>
      <c r="I49" s="199">
        <v>14.625</v>
      </c>
      <c r="J49" s="74"/>
      <c r="N49" s="132" t="s">
        <v>13</v>
      </c>
      <c r="O49" s="132"/>
      <c r="P49" s="38"/>
      <c r="Q49" s="38"/>
      <c r="R49" s="116"/>
      <c r="S49" s="38"/>
      <c r="T49" s="38"/>
      <c r="U49" s="183"/>
      <c r="V49" s="183"/>
      <c r="W49" s="155">
        <v>2000000</v>
      </c>
      <c r="X49" s="156"/>
      <c r="Y49" s="38"/>
      <c r="Z49" s="38"/>
    </row>
    <row r="50" spans="1:26" ht="18" customHeight="1">
      <c r="A50" s="278">
        <v>4</v>
      </c>
      <c r="B50" s="223" t="s">
        <v>1998</v>
      </c>
      <c r="C50" s="23"/>
      <c r="D50" s="197">
        <v>0.81200000000000006</v>
      </c>
      <c r="E50" s="198">
        <v>1.625</v>
      </c>
      <c r="F50" s="198">
        <v>4.2249999999999996</v>
      </c>
      <c r="G50" s="198">
        <v>12.186999999999999</v>
      </c>
      <c r="H50" s="198">
        <v>16.25</v>
      </c>
      <c r="I50" s="199">
        <v>20.8</v>
      </c>
      <c r="J50" s="389"/>
      <c r="N50" s="127" t="s">
        <v>47</v>
      </c>
      <c r="O50" s="123"/>
      <c r="P50" s="123"/>
      <c r="Q50" s="123"/>
      <c r="R50" s="123"/>
      <c r="S50" s="123"/>
      <c r="T50" s="123"/>
      <c r="U50" s="184"/>
      <c r="V50" s="184"/>
      <c r="W50" s="163">
        <f ca="1">SUBTOTAL(9,W51:W52)</f>
        <v>806108979</v>
      </c>
      <c r="X50" s="164"/>
      <c r="Y50" s="123"/>
      <c r="Z50" s="123"/>
    </row>
    <row r="51" spans="1:26" ht="18" customHeight="1">
      <c r="A51" s="278">
        <v>5</v>
      </c>
      <c r="B51" s="223" t="s">
        <v>1999</v>
      </c>
      <c r="C51" s="23"/>
      <c r="D51" s="197">
        <v>0.81200000000000006</v>
      </c>
      <c r="E51" s="198">
        <v>1.625</v>
      </c>
      <c r="F51" s="198">
        <v>4.0620000000000003</v>
      </c>
      <c r="G51" s="198">
        <v>10.237</v>
      </c>
      <c r="H51" s="198">
        <v>16.736999999999998</v>
      </c>
      <c r="I51" s="199">
        <v>16.574999999999999</v>
      </c>
      <c r="J51" s="389"/>
      <c r="N51" s="133" t="s">
        <v>861</v>
      </c>
      <c r="O51" s="124"/>
      <c r="P51" s="134"/>
      <c r="Q51" s="124"/>
      <c r="R51" s="131"/>
      <c r="S51" s="124"/>
      <c r="T51" s="181"/>
      <c r="U51" s="181"/>
      <c r="V51" s="190">
        <v>1.1499999999999999</v>
      </c>
      <c r="W51" s="159">
        <f ca="1">ROUNDDOWN(W14*V51,0)</f>
        <v>516448650</v>
      </c>
      <c r="X51" s="160"/>
      <c r="Y51" s="124"/>
      <c r="Z51" s="124"/>
    </row>
    <row r="52" spans="1:26" ht="18" customHeight="1" thickBot="1">
      <c r="A52" s="278">
        <v>6</v>
      </c>
      <c r="B52" s="223" t="s">
        <v>2000</v>
      </c>
      <c r="C52" s="23"/>
      <c r="D52" s="197">
        <v>0</v>
      </c>
      <c r="E52" s="198">
        <v>0</v>
      </c>
      <c r="F52" s="198">
        <v>3.9</v>
      </c>
      <c r="G52" s="198">
        <v>12.837</v>
      </c>
      <c r="H52" s="198">
        <v>16.25</v>
      </c>
      <c r="I52" s="199">
        <v>20.8</v>
      </c>
      <c r="J52" s="389"/>
      <c r="N52" s="135" t="s">
        <v>862</v>
      </c>
      <c r="O52" s="136"/>
      <c r="P52" s="137"/>
      <c r="Q52" s="136"/>
      <c r="R52" s="138"/>
      <c r="S52" s="136"/>
      <c r="T52" s="185"/>
      <c r="U52" s="185"/>
      <c r="V52" s="191">
        <v>0.3</v>
      </c>
      <c r="W52" s="165">
        <f ca="1">ROUNDDOWN((W14+W51)*V52,0)</f>
        <v>289660329</v>
      </c>
      <c r="X52" s="166"/>
      <c r="Y52" s="136"/>
      <c r="Z52" s="136"/>
    </row>
    <row r="53" spans="1:26" ht="18" customHeight="1">
      <c r="A53" s="278"/>
      <c r="B53" s="222" t="s">
        <v>528</v>
      </c>
      <c r="C53" s="47"/>
      <c r="D53" s="48">
        <f t="shared" ref="D53:I53" si="7">SUBTOTAL(9,D54:D67)</f>
        <v>20.307999999999993</v>
      </c>
      <c r="E53" s="49">
        <f t="shared" si="7"/>
        <v>40.781999999999989</v>
      </c>
      <c r="F53" s="49">
        <f t="shared" si="7"/>
        <v>112.28699999999996</v>
      </c>
      <c r="G53" s="49">
        <f t="shared" si="7"/>
        <v>202.47200000000004</v>
      </c>
      <c r="H53" s="49">
        <f t="shared" si="7"/>
        <v>278.68400000000003</v>
      </c>
      <c r="I53" s="50">
        <f t="shared" si="7"/>
        <v>274.13700000000006</v>
      </c>
      <c r="J53" s="74"/>
    </row>
    <row r="54" spans="1:26" ht="18" customHeight="1">
      <c r="A54" s="278">
        <v>7</v>
      </c>
      <c r="B54" s="223" t="s">
        <v>2002</v>
      </c>
      <c r="C54" s="23"/>
      <c r="D54" s="197">
        <f t="array" ref="D54:I67">ROUNDDOWN(D23:I36*L23:L36*E5,3)</f>
        <v>0.48699999999999999</v>
      </c>
      <c r="E54" s="198">
        <v>0.81200000000000006</v>
      </c>
      <c r="F54" s="198">
        <v>2.6</v>
      </c>
      <c r="G54" s="198">
        <v>4.875</v>
      </c>
      <c r="H54" s="198">
        <v>6.1749999999999998</v>
      </c>
      <c r="I54" s="199">
        <v>5.85</v>
      </c>
      <c r="J54" s="74"/>
      <c r="K54" s="171" t="s">
        <v>14</v>
      </c>
    </row>
    <row r="55" spans="1:26" ht="18" customHeight="1">
      <c r="A55" s="278">
        <v>8</v>
      </c>
      <c r="B55" s="223" t="s">
        <v>2003</v>
      </c>
      <c r="C55" s="23"/>
      <c r="D55" s="197">
        <v>0.48699999999999999</v>
      </c>
      <c r="E55" s="198">
        <v>0.81200000000000006</v>
      </c>
      <c r="F55" s="198">
        <v>2.6</v>
      </c>
      <c r="G55" s="198">
        <v>4.875</v>
      </c>
      <c r="H55" s="198">
        <v>6.1749999999999998</v>
      </c>
      <c r="I55" s="199">
        <v>5.85</v>
      </c>
      <c r="J55" s="74"/>
      <c r="K55" s="171" t="s">
        <v>14</v>
      </c>
    </row>
    <row r="56" spans="1:26" ht="18" customHeight="1">
      <c r="A56" s="278">
        <v>9</v>
      </c>
      <c r="B56" s="223" t="s">
        <v>2004</v>
      </c>
      <c r="C56" s="23"/>
      <c r="D56" s="197">
        <v>3.7370000000000001</v>
      </c>
      <c r="E56" s="198">
        <v>7.4749999999999996</v>
      </c>
      <c r="F56" s="198">
        <v>18.524999999999999</v>
      </c>
      <c r="G56" s="198">
        <v>37.212000000000003</v>
      </c>
      <c r="H56" s="198">
        <v>56.061999999999998</v>
      </c>
      <c r="I56" s="199">
        <v>55.9</v>
      </c>
      <c r="J56" s="74"/>
      <c r="K56" s="171" t="s">
        <v>14</v>
      </c>
    </row>
    <row r="57" spans="1:26" ht="18" customHeight="1">
      <c r="A57" s="278">
        <v>10</v>
      </c>
      <c r="B57" s="223" t="s">
        <v>2005</v>
      </c>
      <c r="C57" s="23"/>
      <c r="D57" s="197">
        <v>3.7370000000000001</v>
      </c>
      <c r="E57" s="198">
        <v>7.4749999999999996</v>
      </c>
      <c r="F57" s="198">
        <v>18.524999999999999</v>
      </c>
      <c r="G57" s="198">
        <v>37.212000000000003</v>
      </c>
      <c r="H57" s="198">
        <v>56.061999999999998</v>
      </c>
      <c r="I57" s="199">
        <v>55.9</v>
      </c>
      <c r="J57" s="389"/>
      <c r="K57" s="171" t="s">
        <v>14</v>
      </c>
      <c r="L57" s="171"/>
    </row>
    <row r="58" spans="1:26" ht="18" customHeight="1">
      <c r="A58" s="278">
        <v>11</v>
      </c>
      <c r="B58" s="223" t="s">
        <v>2006</v>
      </c>
      <c r="C58" s="23"/>
      <c r="D58" s="197">
        <v>1.7869999999999999</v>
      </c>
      <c r="E58" s="198">
        <v>3.7370000000000001</v>
      </c>
      <c r="F58" s="198">
        <v>13.975</v>
      </c>
      <c r="G58" s="198">
        <v>23.074999999999999</v>
      </c>
      <c r="H58" s="198">
        <v>27.786999999999999</v>
      </c>
      <c r="I58" s="199">
        <v>27.625</v>
      </c>
      <c r="J58" s="389"/>
      <c r="K58" s="171"/>
      <c r="L58" s="171"/>
      <c r="R58" s="1"/>
      <c r="S58" s="1"/>
      <c r="T58" s="1"/>
      <c r="U58" s="1"/>
      <c r="V58" s="1"/>
      <c r="W58" s="1"/>
      <c r="X58" s="1"/>
      <c r="Y58" s="1"/>
    </row>
    <row r="59" spans="1:26" ht="18" customHeight="1">
      <c r="A59" s="278">
        <v>12</v>
      </c>
      <c r="B59" s="223" t="s">
        <v>2007</v>
      </c>
      <c r="C59" s="23"/>
      <c r="D59" s="197">
        <v>0.48699999999999999</v>
      </c>
      <c r="E59" s="198">
        <v>0.97499999999999998</v>
      </c>
      <c r="F59" s="198">
        <v>3.25</v>
      </c>
      <c r="G59" s="198">
        <v>4.875</v>
      </c>
      <c r="H59" s="198">
        <v>6.1749999999999998</v>
      </c>
      <c r="I59" s="199">
        <v>5.85</v>
      </c>
      <c r="J59" s="389"/>
      <c r="K59" s="171" t="s">
        <v>14</v>
      </c>
      <c r="L59" s="171"/>
      <c r="R59" s="1"/>
      <c r="S59" s="1"/>
      <c r="T59" s="1"/>
      <c r="U59" s="1"/>
      <c r="V59" s="1"/>
      <c r="W59" s="1"/>
      <c r="X59" s="1"/>
      <c r="Y59" s="1"/>
    </row>
    <row r="60" spans="1:26" ht="18" customHeight="1">
      <c r="A60" s="278">
        <v>13</v>
      </c>
      <c r="B60" s="223" t="s">
        <v>2008</v>
      </c>
      <c r="C60" s="23"/>
      <c r="D60" s="197">
        <v>4.7119999999999997</v>
      </c>
      <c r="E60" s="198">
        <v>9.2620000000000005</v>
      </c>
      <c r="F60" s="198">
        <v>23.236999999999998</v>
      </c>
      <c r="G60" s="198">
        <v>40.462000000000003</v>
      </c>
      <c r="H60" s="198">
        <v>55.9</v>
      </c>
      <c r="I60" s="199">
        <v>54.436999999999998</v>
      </c>
      <c r="J60" s="74"/>
      <c r="K60" s="171" t="s">
        <v>14</v>
      </c>
      <c r="L60" s="171"/>
      <c r="R60" s="1"/>
      <c r="S60" s="1"/>
      <c r="T60" s="1"/>
      <c r="U60" s="1"/>
      <c r="V60" s="1"/>
      <c r="W60" s="1"/>
      <c r="X60" s="1"/>
      <c r="Y60" s="1"/>
    </row>
    <row r="61" spans="1:26" ht="18" customHeight="1" thickBot="1">
      <c r="A61" s="278">
        <v>14</v>
      </c>
      <c r="B61" s="223" t="s">
        <v>2009</v>
      </c>
      <c r="C61" s="23"/>
      <c r="D61" s="197">
        <v>2.762</v>
      </c>
      <c r="E61" s="198">
        <v>5.3620000000000001</v>
      </c>
      <c r="F61" s="198">
        <v>13.975</v>
      </c>
      <c r="G61" s="198">
        <v>23.074999999999999</v>
      </c>
      <c r="H61" s="198">
        <v>27.786999999999999</v>
      </c>
      <c r="I61" s="199">
        <v>27.625</v>
      </c>
      <c r="J61" s="389"/>
      <c r="K61" s="171" t="s">
        <v>14</v>
      </c>
      <c r="L61" s="171"/>
      <c r="N61" s="66" t="s">
        <v>18</v>
      </c>
      <c r="O61" s="2"/>
      <c r="P61" s="2"/>
      <c r="Q61" s="2"/>
      <c r="R61" s="3"/>
      <c r="S61" s="4"/>
      <c r="T61" s="3"/>
      <c r="U61" s="4"/>
      <c r="V61" s="3"/>
      <c r="W61" s="4"/>
      <c r="X61" s="3"/>
      <c r="Y61" s="4"/>
      <c r="Z61" s="2"/>
    </row>
    <row r="62" spans="1:26" ht="18" customHeight="1">
      <c r="A62" s="278">
        <v>15</v>
      </c>
      <c r="B62" s="223" t="s">
        <v>2010</v>
      </c>
      <c r="C62" s="23"/>
      <c r="D62" s="197">
        <v>0.48699999999999999</v>
      </c>
      <c r="E62" s="198">
        <v>0.81200000000000006</v>
      </c>
      <c r="F62" s="198">
        <v>2.6</v>
      </c>
      <c r="G62" s="198">
        <v>4.875</v>
      </c>
      <c r="H62" s="198">
        <v>6.1749999999999998</v>
      </c>
      <c r="I62" s="199">
        <v>5.85</v>
      </c>
      <c r="J62" s="74"/>
      <c r="K62" s="171" t="s">
        <v>14</v>
      </c>
      <c r="L62" s="171"/>
      <c r="N62" s="765" t="s">
        <v>19</v>
      </c>
      <c r="O62" s="755" t="s">
        <v>20</v>
      </c>
      <c r="P62" s="755" t="s">
        <v>21</v>
      </c>
      <c r="Q62" s="755" t="s">
        <v>16</v>
      </c>
      <c r="R62" s="5" t="s">
        <v>22</v>
      </c>
      <c r="S62" s="5"/>
      <c r="T62" s="5" t="s">
        <v>23</v>
      </c>
      <c r="U62" s="5"/>
      <c r="V62" s="5" t="s">
        <v>24</v>
      </c>
      <c r="W62" s="5"/>
      <c r="X62" s="5" t="s">
        <v>25</v>
      </c>
      <c r="Y62" s="5"/>
      <c r="Z62" s="755" t="s">
        <v>26</v>
      </c>
    </row>
    <row r="63" spans="1:26" ht="18" customHeight="1" thickBot="1">
      <c r="A63" s="278">
        <v>16</v>
      </c>
      <c r="B63" s="223" t="s">
        <v>2011</v>
      </c>
      <c r="C63" s="23"/>
      <c r="D63" s="197">
        <v>0.32500000000000001</v>
      </c>
      <c r="E63" s="198">
        <v>0.81200000000000006</v>
      </c>
      <c r="F63" s="198">
        <v>2.6</v>
      </c>
      <c r="G63" s="198">
        <v>4.875</v>
      </c>
      <c r="H63" s="198">
        <v>6.1749999999999998</v>
      </c>
      <c r="I63" s="199">
        <v>5.85</v>
      </c>
      <c r="J63" s="389"/>
      <c r="K63" s="171" t="s">
        <v>14</v>
      </c>
      <c r="L63" s="171"/>
      <c r="N63" s="766"/>
      <c r="O63" s="756"/>
      <c r="P63" s="756"/>
      <c r="Q63" s="756"/>
      <c r="R63" s="67" t="s">
        <v>27</v>
      </c>
      <c r="S63" s="67" t="s">
        <v>28</v>
      </c>
      <c r="T63" s="67" t="s">
        <v>27</v>
      </c>
      <c r="U63" s="67" t="s">
        <v>28</v>
      </c>
      <c r="V63" s="67" t="s">
        <v>27</v>
      </c>
      <c r="W63" s="67" t="s">
        <v>28</v>
      </c>
      <c r="X63" s="67" t="s">
        <v>27</v>
      </c>
      <c r="Y63" s="67" t="s">
        <v>28</v>
      </c>
      <c r="Z63" s="756"/>
    </row>
    <row r="64" spans="1:26" ht="18" customHeight="1" thickTop="1">
      <c r="A64" s="278">
        <v>17</v>
      </c>
      <c r="B64" s="223" t="s">
        <v>2012</v>
      </c>
      <c r="C64" s="23"/>
      <c r="D64" s="197">
        <v>0.32500000000000001</v>
      </c>
      <c r="E64" s="198">
        <v>0.81200000000000006</v>
      </c>
      <c r="F64" s="198">
        <v>2.6</v>
      </c>
      <c r="G64" s="198">
        <v>4.875</v>
      </c>
      <c r="H64" s="198">
        <v>6.1749999999999998</v>
      </c>
      <c r="I64" s="199">
        <v>5.85</v>
      </c>
      <c r="J64" s="389"/>
      <c r="K64" s="171" t="s">
        <v>14</v>
      </c>
      <c r="L64" s="171"/>
      <c r="N64" s="318" t="str">
        <f ca="1">"제 " &amp; Z64 &amp; " 호표  "&amp; OFFSET($A$1,MATCH(Z64,$A:$A,0)-1,1)</f>
        <v>제 1 호표  1.1. 주민·산업의 현황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v>1</v>
      </c>
    </row>
    <row r="65" spans="1:26" ht="18" customHeight="1">
      <c r="A65" s="278">
        <v>18</v>
      </c>
      <c r="B65" s="223" t="s">
        <v>2013</v>
      </c>
      <c r="C65" s="23"/>
      <c r="D65" s="197">
        <v>0.32500000000000001</v>
      </c>
      <c r="E65" s="198">
        <v>0.81200000000000006</v>
      </c>
      <c r="F65" s="198">
        <v>2.6</v>
      </c>
      <c r="G65" s="198">
        <v>4.0620000000000003</v>
      </c>
      <c r="H65" s="198">
        <v>6.0119999999999996</v>
      </c>
      <c r="I65" s="199">
        <v>5.85</v>
      </c>
      <c r="J65" s="389"/>
      <c r="K65" s="171" t="s">
        <v>14</v>
      </c>
      <c r="L65" s="171"/>
      <c r="N65" s="140" t="s">
        <v>43</v>
      </c>
      <c r="O65" s="172">
        <v>3</v>
      </c>
      <c r="P65" s="219">
        <f ca="1">OFFSET($A$1,MATCH(Z64,$A:$A,0)-1,O65)</f>
        <v>0.81200000000000006</v>
      </c>
      <c r="Q65" s="141" t="s">
        <v>29</v>
      </c>
      <c r="R65" s="142">
        <f t="shared" ref="R65:S70" ca="1" si="8">T65</f>
        <v>467217</v>
      </c>
      <c r="S65" s="142">
        <f t="shared" ca="1" si="8"/>
        <v>379380</v>
      </c>
      <c r="T65" s="142">
        <f ca="1">기술사</f>
        <v>467217</v>
      </c>
      <c r="U65" s="142">
        <f t="shared" ref="U65:U70" ca="1" si="9">ROUNDDOWN(P65*R65,0)</f>
        <v>379380</v>
      </c>
      <c r="V65" s="142"/>
      <c r="W65" s="142"/>
      <c r="X65" s="142"/>
      <c r="Y65" s="142"/>
      <c r="Z65" s="114"/>
    </row>
    <row r="66" spans="1:26" ht="18" customHeight="1">
      <c r="A66" s="278">
        <v>19</v>
      </c>
      <c r="B66" s="223" t="s">
        <v>2014</v>
      </c>
      <c r="C66" s="23"/>
      <c r="D66" s="197">
        <v>0.32500000000000001</v>
      </c>
      <c r="E66" s="198">
        <v>0.81200000000000006</v>
      </c>
      <c r="F66" s="198">
        <v>2.6</v>
      </c>
      <c r="G66" s="198">
        <v>4.0620000000000003</v>
      </c>
      <c r="H66" s="198">
        <v>6.0119999999999996</v>
      </c>
      <c r="I66" s="199">
        <v>5.85</v>
      </c>
      <c r="J66" s="74"/>
      <c r="K66" s="171" t="s">
        <v>14</v>
      </c>
      <c r="L66" s="171"/>
      <c r="N66" s="143" t="s">
        <v>32</v>
      </c>
      <c r="O66" s="173">
        <v>4</v>
      </c>
      <c r="P66" s="234">
        <f ca="1">OFFSET($A$1,MATCH(Z64,$A:$A,0)-1,O66)</f>
        <v>1.625</v>
      </c>
      <c r="Q66" s="144" t="s">
        <v>29</v>
      </c>
      <c r="R66" s="118">
        <f t="shared" ca="1" si="8"/>
        <v>373353</v>
      </c>
      <c r="S66" s="118">
        <f t="shared" ca="1" si="8"/>
        <v>606698</v>
      </c>
      <c r="T66" s="118">
        <f ca="1">특급</f>
        <v>373353</v>
      </c>
      <c r="U66" s="118">
        <f t="shared" ca="1" si="9"/>
        <v>606698</v>
      </c>
      <c r="V66" s="118"/>
      <c r="W66" s="118"/>
      <c r="X66" s="118"/>
      <c r="Y66" s="118"/>
      <c r="Z66" s="115"/>
    </row>
    <row r="67" spans="1:26" ht="18" customHeight="1">
      <c r="A67" s="278">
        <v>20</v>
      </c>
      <c r="B67" s="223" t="s">
        <v>2015</v>
      </c>
      <c r="C67" s="23"/>
      <c r="D67" s="197">
        <v>0.32500000000000001</v>
      </c>
      <c r="E67" s="198">
        <v>0.81200000000000006</v>
      </c>
      <c r="F67" s="198">
        <v>2.6</v>
      </c>
      <c r="G67" s="198">
        <v>4.0620000000000003</v>
      </c>
      <c r="H67" s="198">
        <v>6.0119999999999996</v>
      </c>
      <c r="I67" s="199">
        <v>5.85</v>
      </c>
      <c r="J67" s="389"/>
      <c r="K67" s="171" t="s">
        <v>14</v>
      </c>
      <c r="L67" s="171"/>
      <c r="N67" s="145" t="s">
        <v>39</v>
      </c>
      <c r="O67" s="173">
        <v>5</v>
      </c>
      <c r="P67" s="234">
        <f ca="1">OFFSET($A$1,MATCH(Z64,$A:$A,0)-1,O67)</f>
        <v>4.0620000000000003</v>
      </c>
      <c r="Q67" s="144" t="s">
        <v>29</v>
      </c>
      <c r="R67" s="118">
        <f t="shared" ca="1" si="8"/>
        <v>310884</v>
      </c>
      <c r="S67" s="118">
        <f t="shared" ca="1" si="8"/>
        <v>1262810</v>
      </c>
      <c r="T67" s="118">
        <f ca="1">고급</f>
        <v>310884</v>
      </c>
      <c r="U67" s="118">
        <f t="shared" ca="1" si="9"/>
        <v>1262810</v>
      </c>
      <c r="V67" s="118"/>
      <c r="W67" s="118"/>
      <c r="X67" s="118"/>
      <c r="Y67" s="118"/>
      <c r="Z67" s="115"/>
    </row>
    <row r="68" spans="1:26" ht="18" customHeight="1">
      <c r="A68" s="278"/>
      <c r="B68" s="222" t="s">
        <v>51</v>
      </c>
      <c r="C68" s="47"/>
      <c r="D68" s="48">
        <f t="shared" ref="D68:I68" si="10">SUBTOTAL(9,D69:D70)</f>
        <v>6.0120000000000005</v>
      </c>
      <c r="E68" s="49">
        <f t="shared" si="10"/>
        <v>12.024000000000001</v>
      </c>
      <c r="F68" s="49">
        <f t="shared" si="10"/>
        <v>27.299999999999997</v>
      </c>
      <c r="G68" s="49">
        <f t="shared" si="10"/>
        <v>50.375</v>
      </c>
      <c r="H68" s="49">
        <f t="shared" si="10"/>
        <v>70.524000000000001</v>
      </c>
      <c r="I68" s="50">
        <f t="shared" si="10"/>
        <v>70.524000000000001</v>
      </c>
      <c r="J68" s="74"/>
      <c r="K68" s="171" t="s">
        <v>14</v>
      </c>
      <c r="L68" s="171"/>
      <c r="N68" s="145" t="s">
        <v>40</v>
      </c>
      <c r="O68" s="173">
        <v>6</v>
      </c>
      <c r="P68" s="234">
        <f ca="1">OFFSET($A$1,MATCH(Z64,$A:$A,0)-1,O68)</f>
        <v>10.237</v>
      </c>
      <c r="Q68" s="144" t="s">
        <v>29</v>
      </c>
      <c r="R68" s="118">
        <f t="shared" ca="1" si="8"/>
        <v>295138</v>
      </c>
      <c r="S68" s="118">
        <f t="shared" ca="1" si="8"/>
        <v>3021327</v>
      </c>
      <c r="T68" s="118">
        <f ca="1">중급</f>
        <v>295138</v>
      </c>
      <c r="U68" s="118">
        <f t="shared" ca="1" si="9"/>
        <v>3021327</v>
      </c>
      <c r="V68" s="118"/>
      <c r="W68" s="118"/>
      <c r="X68" s="118"/>
      <c r="Y68" s="118"/>
      <c r="Z68" s="115"/>
    </row>
    <row r="69" spans="1:26" ht="18" customHeight="1">
      <c r="A69" s="278">
        <v>21</v>
      </c>
      <c r="B69" s="223" t="s">
        <v>2016</v>
      </c>
      <c r="C69" s="23"/>
      <c r="D69" s="197">
        <f t="array" ref="D69:I70">ROUNDDOWN(D38:I39*L38:L39*E5,3)</f>
        <v>4.0620000000000003</v>
      </c>
      <c r="E69" s="198">
        <v>7.9619999999999997</v>
      </c>
      <c r="F69" s="198">
        <v>18.2</v>
      </c>
      <c r="G69" s="198">
        <v>30.225000000000001</v>
      </c>
      <c r="H69" s="198">
        <v>30.387</v>
      </c>
      <c r="I69" s="199">
        <v>20.312000000000001</v>
      </c>
      <c r="J69" s="74"/>
      <c r="K69" s="171" t="s">
        <v>14</v>
      </c>
      <c r="L69" s="171"/>
      <c r="N69" s="145" t="s">
        <v>41</v>
      </c>
      <c r="O69" s="173">
        <v>7</v>
      </c>
      <c r="P69" s="234">
        <f ca="1">OFFSET($A$1,MATCH(Z64,$A:$A,0)-1,O69)</f>
        <v>16.736999999999998</v>
      </c>
      <c r="Q69" s="144" t="s">
        <v>29</v>
      </c>
      <c r="R69" s="118">
        <f t="shared" ca="1" si="8"/>
        <v>235459</v>
      </c>
      <c r="S69" s="118">
        <f t="shared" ca="1" si="8"/>
        <v>3940877</v>
      </c>
      <c r="T69" s="118">
        <f ca="1">초급</f>
        <v>235459</v>
      </c>
      <c r="U69" s="118">
        <f t="shared" ca="1" si="9"/>
        <v>3940877</v>
      </c>
      <c r="V69" s="118"/>
      <c r="W69" s="118"/>
      <c r="X69" s="118"/>
      <c r="Y69" s="118"/>
      <c r="Z69" s="115"/>
    </row>
    <row r="70" spans="1:26" ht="18" customHeight="1">
      <c r="A70" s="278">
        <v>22</v>
      </c>
      <c r="B70" s="223" t="s">
        <v>1860</v>
      </c>
      <c r="C70" s="43"/>
      <c r="D70" s="206">
        <v>1.95</v>
      </c>
      <c r="E70" s="207">
        <v>4.0620000000000003</v>
      </c>
      <c r="F70" s="207">
        <v>9.1</v>
      </c>
      <c r="G70" s="207">
        <v>20.149999999999999</v>
      </c>
      <c r="H70" s="207">
        <v>40.137</v>
      </c>
      <c r="I70" s="208">
        <v>50.212000000000003</v>
      </c>
      <c r="J70" s="74"/>
      <c r="K70" s="171" t="s">
        <v>14</v>
      </c>
      <c r="L70" s="171"/>
      <c r="N70" s="319" t="s">
        <v>42</v>
      </c>
      <c r="O70" s="174">
        <v>8</v>
      </c>
      <c r="P70" s="235">
        <f ca="1">OFFSET($A$1,MATCH(Z64,$A:$A,0)-1,O70)</f>
        <v>16.574999999999999</v>
      </c>
      <c r="Q70" s="322" t="s">
        <v>29</v>
      </c>
      <c r="R70" s="323">
        <f t="shared" ca="1" si="8"/>
        <v>250087</v>
      </c>
      <c r="S70" s="323">
        <f t="shared" ca="1" si="8"/>
        <v>4145192</v>
      </c>
      <c r="T70" s="323">
        <f ca="1">보조원</f>
        <v>250087</v>
      </c>
      <c r="U70" s="323">
        <f t="shared" ca="1" si="9"/>
        <v>4145192</v>
      </c>
      <c r="V70" s="323"/>
      <c r="W70" s="323"/>
      <c r="X70" s="323"/>
      <c r="Y70" s="323"/>
      <c r="Z70" s="324"/>
    </row>
    <row r="71" spans="1:26" ht="18" customHeight="1">
      <c r="A71" s="278"/>
      <c r="B71" s="222" t="s">
        <v>269</v>
      </c>
      <c r="C71" s="47"/>
      <c r="D71" s="48">
        <f t="shared" ref="D71:I71" si="11">SUBTOTAL(9,D72:D75)</f>
        <v>8</v>
      </c>
      <c r="E71" s="49">
        <f t="shared" si="11"/>
        <v>8</v>
      </c>
      <c r="F71" s="49">
        <f t="shared" si="11"/>
        <v>8</v>
      </c>
      <c r="G71" s="49">
        <f t="shared" si="11"/>
        <v>16</v>
      </c>
      <c r="H71" s="49">
        <f t="shared" si="11"/>
        <v>16</v>
      </c>
      <c r="I71" s="50">
        <f t="shared" si="11"/>
        <v>16</v>
      </c>
      <c r="J71" s="74"/>
      <c r="K71" s="171" t="s">
        <v>14</v>
      </c>
      <c r="L71" s="171"/>
      <c r="N71" s="139" t="s">
        <v>17</v>
      </c>
      <c r="O71" s="68"/>
      <c r="P71" s="69"/>
      <c r="Q71" s="70"/>
      <c r="R71" s="71"/>
      <c r="S71" s="71">
        <f ca="1">SUBTOTAL(9,S65:S70)</f>
        <v>13356284</v>
      </c>
      <c r="T71" s="71"/>
      <c r="U71" s="71">
        <f ca="1">SUBTOTAL(9,U65:U70)</f>
        <v>13356284</v>
      </c>
      <c r="V71" s="71"/>
      <c r="W71" s="71"/>
      <c r="X71" s="71"/>
      <c r="Y71" s="71"/>
      <c r="Z71" s="68"/>
    </row>
    <row r="72" spans="1:26" ht="18" customHeight="1">
      <c r="A72" s="278">
        <v>23</v>
      </c>
      <c r="B72" s="223" t="s">
        <v>271</v>
      </c>
      <c r="C72" s="23"/>
      <c r="D72" s="197">
        <f t="array" ref="D72:I75">ROUNDDOWN(D41:I44*L41:L44*I5,3)</f>
        <v>2</v>
      </c>
      <c r="E72" s="198">
        <v>2</v>
      </c>
      <c r="F72" s="198">
        <v>2</v>
      </c>
      <c r="G72" s="198">
        <v>4</v>
      </c>
      <c r="H72" s="198">
        <v>4</v>
      </c>
      <c r="I72" s="199">
        <v>4</v>
      </c>
      <c r="J72" s="74"/>
      <c r="K72" s="171" t="s">
        <v>14</v>
      </c>
      <c r="L72" s="171"/>
      <c r="N72" s="318" t="str">
        <f ca="1">"제 " &amp; Z72 &amp; " 호표  "&amp; OFFSET($A$1,MATCH(Z72,$A:$A,0)-1,1)</f>
        <v>제 2 호표  1.2. 토지·건축물의 이용·소유현황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2</v>
      </c>
    </row>
    <row r="73" spans="1:26" ht="18" customHeight="1">
      <c r="A73" s="278">
        <v>24</v>
      </c>
      <c r="B73" s="223" t="s">
        <v>273</v>
      </c>
      <c r="C73" s="23"/>
      <c r="D73" s="197">
        <v>2</v>
      </c>
      <c r="E73" s="198">
        <v>2</v>
      </c>
      <c r="F73" s="198">
        <v>2</v>
      </c>
      <c r="G73" s="198">
        <v>4</v>
      </c>
      <c r="H73" s="198">
        <v>4</v>
      </c>
      <c r="I73" s="199">
        <v>4</v>
      </c>
      <c r="J73" s="74"/>
      <c r="K73" s="171" t="s">
        <v>14</v>
      </c>
      <c r="L73" s="171"/>
      <c r="N73" s="140" t="s">
        <v>43</v>
      </c>
      <c r="O73" s="172">
        <v>3</v>
      </c>
      <c r="P73" s="219">
        <f ca="1">OFFSET($A$1,MATCH(Z72,$A:$A,0)-1,O73)</f>
        <v>3.25</v>
      </c>
      <c r="Q73" s="141" t="s">
        <v>29</v>
      </c>
      <c r="R73" s="142">
        <f t="shared" ref="R73:S78" ca="1" si="12">T73</f>
        <v>467217</v>
      </c>
      <c r="S73" s="142">
        <f t="shared" ca="1" si="12"/>
        <v>1518455</v>
      </c>
      <c r="T73" s="142">
        <f ca="1">기술사</f>
        <v>467217</v>
      </c>
      <c r="U73" s="142">
        <f t="shared" ref="U73:U78" ca="1" si="13">ROUNDDOWN(P73*R73,0)</f>
        <v>1518455</v>
      </c>
      <c r="V73" s="142"/>
      <c r="W73" s="142"/>
      <c r="X73" s="142"/>
      <c r="Y73" s="142"/>
      <c r="Z73" s="114"/>
    </row>
    <row r="74" spans="1:26" ht="18" customHeight="1">
      <c r="A74" s="278">
        <v>25</v>
      </c>
      <c r="B74" s="223" t="s">
        <v>275</v>
      </c>
      <c r="C74" s="23"/>
      <c r="D74" s="197">
        <v>2</v>
      </c>
      <c r="E74" s="198">
        <v>2</v>
      </c>
      <c r="F74" s="198">
        <v>2</v>
      </c>
      <c r="G74" s="198">
        <v>4</v>
      </c>
      <c r="H74" s="198">
        <v>4</v>
      </c>
      <c r="I74" s="199">
        <v>4</v>
      </c>
      <c r="J74" s="74"/>
      <c r="K74" s="171" t="s">
        <v>14</v>
      </c>
      <c r="L74" s="171"/>
      <c r="N74" s="143" t="s">
        <v>32</v>
      </c>
      <c r="O74" s="173">
        <v>4</v>
      </c>
      <c r="P74" s="234">
        <f ca="1">OFFSET($A$1,MATCH(Z72,$A:$A,0)-1,O74)</f>
        <v>6.5</v>
      </c>
      <c r="Q74" s="144" t="s">
        <v>29</v>
      </c>
      <c r="R74" s="118">
        <f t="shared" ca="1" si="12"/>
        <v>373353</v>
      </c>
      <c r="S74" s="118">
        <f t="shared" ca="1" si="12"/>
        <v>2426794</v>
      </c>
      <c r="T74" s="118">
        <f ca="1">특급</f>
        <v>373353</v>
      </c>
      <c r="U74" s="118">
        <f t="shared" ca="1" si="13"/>
        <v>2426794</v>
      </c>
      <c r="V74" s="118"/>
      <c r="W74" s="118"/>
      <c r="X74" s="118"/>
      <c r="Y74" s="118"/>
      <c r="Z74" s="115"/>
    </row>
    <row r="75" spans="1:26" ht="18" customHeight="1" thickBot="1">
      <c r="A75" s="278">
        <v>26</v>
      </c>
      <c r="B75" s="388" t="s">
        <v>277</v>
      </c>
      <c r="C75" s="342"/>
      <c r="D75" s="343">
        <v>2</v>
      </c>
      <c r="E75" s="344">
        <v>2</v>
      </c>
      <c r="F75" s="344">
        <v>2</v>
      </c>
      <c r="G75" s="344">
        <v>4</v>
      </c>
      <c r="H75" s="344">
        <v>4</v>
      </c>
      <c r="I75" s="345">
        <v>4</v>
      </c>
      <c r="J75" s="176"/>
      <c r="K75" s="171" t="s">
        <v>14</v>
      </c>
      <c r="L75" s="171"/>
      <c r="N75" s="145" t="s">
        <v>39</v>
      </c>
      <c r="O75" s="173">
        <v>5</v>
      </c>
      <c r="P75" s="234">
        <f ca="1">OFFSET($A$1,MATCH(Z72,$A:$A,0)-1,O75)</f>
        <v>14.462</v>
      </c>
      <c r="Q75" s="144" t="s">
        <v>29</v>
      </c>
      <c r="R75" s="118">
        <f t="shared" ca="1" si="12"/>
        <v>310884</v>
      </c>
      <c r="S75" s="118">
        <f t="shared" ca="1" si="12"/>
        <v>4496004</v>
      </c>
      <c r="T75" s="118">
        <f ca="1">고급</f>
        <v>310884</v>
      </c>
      <c r="U75" s="118">
        <f t="shared" ca="1" si="13"/>
        <v>4496004</v>
      </c>
      <c r="V75" s="118"/>
      <c r="W75" s="118"/>
      <c r="X75" s="118"/>
      <c r="Y75" s="118"/>
      <c r="Z75" s="115"/>
    </row>
    <row r="76" spans="1:26" ht="18" customHeight="1">
      <c r="A76" s="278"/>
      <c r="B76" s="80" t="s">
        <v>15</v>
      </c>
      <c r="C76" s="1" t="s">
        <v>2018</v>
      </c>
      <c r="E76" s="8"/>
      <c r="F76" s="8"/>
      <c r="G76" s="8"/>
      <c r="H76" s="8"/>
      <c r="I76" s="8"/>
      <c r="J76" s="10"/>
      <c r="K76" s="171" t="s">
        <v>14</v>
      </c>
      <c r="L76" s="171"/>
      <c r="N76" s="145" t="s">
        <v>40</v>
      </c>
      <c r="O76" s="173">
        <v>6</v>
      </c>
      <c r="P76" s="234">
        <f ca="1">OFFSET($A$1,MATCH(Z72,$A:$A,0)-1,O76)</f>
        <v>39.325000000000003</v>
      </c>
      <c r="Q76" s="144" t="s">
        <v>29</v>
      </c>
      <c r="R76" s="118">
        <f t="shared" ca="1" si="12"/>
        <v>295138</v>
      </c>
      <c r="S76" s="118">
        <f t="shared" ca="1" si="12"/>
        <v>11606301</v>
      </c>
      <c r="T76" s="118">
        <f ca="1">중급</f>
        <v>295138</v>
      </c>
      <c r="U76" s="118">
        <f t="shared" ca="1" si="13"/>
        <v>11606301</v>
      </c>
      <c r="V76" s="118"/>
      <c r="W76" s="118"/>
      <c r="X76" s="118"/>
      <c r="Y76" s="118"/>
      <c r="Z76" s="115"/>
    </row>
    <row r="77" spans="1:26" ht="18" customHeight="1">
      <c r="A77" s="278"/>
      <c r="B77" s="80"/>
      <c r="C77" s="9" t="s">
        <v>2019</v>
      </c>
      <c r="J77" s="8"/>
      <c r="K77" s="171" t="s">
        <v>14</v>
      </c>
      <c r="L77" s="171"/>
      <c r="N77" s="145" t="s">
        <v>41</v>
      </c>
      <c r="O77" s="173">
        <v>7</v>
      </c>
      <c r="P77" s="234">
        <f ca="1">OFFSET($A$1,MATCH(Z72,$A:$A,0)-1,O77)</f>
        <v>45.012</v>
      </c>
      <c r="Q77" s="144" t="s">
        <v>29</v>
      </c>
      <c r="R77" s="118">
        <f t="shared" ca="1" si="12"/>
        <v>235459</v>
      </c>
      <c r="S77" s="118">
        <f t="shared" ca="1" si="12"/>
        <v>10598480</v>
      </c>
      <c r="T77" s="118">
        <f ca="1">초급</f>
        <v>235459</v>
      </c>
      <c r="U77" s="118">
        <f t="shared" ca="1" si="13"/>
        <v>10598480</v>
      </c>
      <c r="V77" s="118"/>
      <c r="W77" s="118"/>
      <c r="X77" s="118"/>
      <c r="Y77" s="118"/>
      <c r="Z77" s="115"/>
    </row>
    <row r="78" spans="1:26" ht="18" customHeight="1">
      <c r="A78" s="278"/>
      <c r="C78" s="435"/>
      <c r="J78" s="8"/>
      <c r="K78" s="171" t="s">
        <v>14</v>
      </c>
      <c r="L78" s="171"/>
      <c r="N78" s="319" t="s">
        <v>42</v>
      </c>
      <c r="O78" s="174">
        <v>8</v>
      </c>
      <c r="P78" s="235">
        <f ca="1">OFFSET($A$1,MATCH(Z72,$A:$A,0)-1,O78)</f>
        <v>53.625</v>
      </c>
      <c r="Q78" s="322" t="s">
        <v>29</v>
      </c>
      <c r="R78" s="323">
        <f t="shared" ca="1" si="12"/>
        <v>250087</v>
      </c>
      <c r="S78" s="323">
        <f t="shared" ca="1" si="12"/>
        <v>13410915</v>
      </c>
      <c r="T78" s="323">
        <f ca="1">보조원</f>
        <v>250087</v>
      </c>
      <c r="U78" s="323">
        <f t="shared" ca="1" si="13"/>
        <v>13410915</v>
      </c>
      <c r="V78" s="323"/>
      <c r="W78" s="323"/>
      <c r="X78" s="323"/>
      <c r="Y78" s="323"/>
      <c r="Z78" s="324"/>
    </row>
    <row r="79" spans="1:26" ht="18" customHeight="1">
      <c r="J79" s="8"/>
      <c r="K79" s="171" t="s">
        <v>14</v>
      </c>
      <c r="L79" s="171"/>
      <c r="N79" s="139" t="s">
        <v>17</v>
      </c>
      <c r="O79" s="68"/>
      <c r="P79" s="69"/>
      <c r="Q79" s="70"/>
      <c r="R79" s="71"/>
      <c r="S79" s="71">
        <f ca="1">SUBTOTAL(9,S73:S78)</f>
        <v>44056949</v>
      </c>
      <c r="T79" s="71"/>
      <c r="U79" s="71">
        <f ca="1">SUBTOTAL(9,U73:U78)</f>
        <v>44056949</v>
      </c>
      <c r="V79" s="71"/>
      <c r="W79" s="71"/>
      <c r="X79" s="71"/>
      <c r="Y79" s="71"/>
      <c r="Z79" s="68"/>
    </row>
    <row r="80" spans="1:26" ht="18" customHeight="1">
      <c r="A80" s="278"/>
      <c r="K80" s="171" t="s">
        <v>14</v>
      </c>
      <c r="L80" s="171"/>
      <c r="N80" s="318" t="str">
        <f ca="1">"제 " &amp; Z80 &amp; " 호표  "&amp; OFFSET($A$1,MATCH(Z80,$A:$A,0)-1,1)</f>
        <v>제 3 호표  1.3. 정비기반시설의 설치현황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3</v>
      </c>
    </row>
    <row r="81" spans="1:26" ht="18" customHeight="1">
      <c r="A81" s="278"/>
      <c r="C81" s="9"/>
      <c r="K81" s="171" t="s">
        <v>14</v>
      </c>
      <c r="L81" s="171"/>
      <c r="N81" s="140" t="s">
        <v>43</v>
      </c>
      <c r="O81" s="172">
        <v>3</v>
      </c>
      <c r="P81" s="219">
        <f ca="1">OFFSET($A$1,MATCH(Z80,$A:$A,0)-1,O81)</f>
        <v>0.81200000000000006</v>
      </c>
      <c r="Q81" s="141" t="s">
        <v>29</v>
      </c>
      <c r="R81" s="142">
        <f t="shared" ref="R81:S86" ca="1" si="14">T81</f>
        <v>467217</v>
      </c>
      <c r="S81" s="142">
        <f t="shared" ca="1" si="14"/>
        <v>379380</v>
      </c>
      <c r="T81" s="142">
        <f ca="1">기술사</f>
        <v>467217</v>
      </c>
      <c r="U81" s="142">
        <f t="shared" ref="U81:U86" ca="1" si="15">ROUNDDOWN(P81*R81,0)</f>
        <v>379380</v>
      </c>
      <c r="V81" s="142"/>
      <c r="W81" s="142"/>
      <c r="X81" s="142"/>
      <c r="Y81" s="142"/>
      <c r="Z81" s="114"/>
    </row>
    <row r="82" spans="1:26" ht="18" customHeight="1">
      <c r="A82" s="278"/>
      <c r="C82" s="9"/>
      <c r="K82" s="171" t="s">
        <v>14</v>
      </c>
      <c r="L82" s="171"/>
      <c r="N82" s="143" t="s">
        <v>32</v>
      </c>
      <c r="O82" s="173">
        <v>4</v>
      </c>
      <c r="P82" s="234">
        <f ca="1">OFFSET($A$1,MATCH(Z80,$A:$A,0)-1,O82)</f>
        <v>1.625</v>
      </c>
      <c r="Q82" s="144" t="s">
        <v>29</v>
      </c>
      <c r="R82" s="118">
        <f t="shared" ca="1" si="14"/>
        <v>373353</v>
      </c>
      <c r="S82" s="118">
        <f t="shared" ca="1" si="14"/>
        <v>606698</v>
      </c>
      <c r="T82" s="118">
        <f ca="1">특급</f>
        <v>373353</v>
      </c>
      <c r="U82" s="118">
        <f t="shared" ca="1" si="15"/>
        <v>606698</v>
      </c>
      <c r="V82" s="118"/>
      <c r="W82" s="118"/>
      <c r="X82" s="118"/>
      <c r="Y82" s="118"/>
      <c r="Z82" s="115"/>
    </row>
    <row r="83" spans="1:26" ht="18" customHeight="1">
      <c r="A83" s="278"/>
      <c r="C83" s="9"/>
      <c r="K83" s="171" t="s">
        <v>14</v>
      </c>
      <c r="L83" s="171"/>
      <c r="N83" s="145" t="s">
        <v>39</v>
      </c>
      <c r="O83" s="173">
        <v>5</v>
      </c>
      <c r="P83" s="234">
        <f ca="1">OFFSET($A$1,MATCH(Z80,$A:$A,0)-1,O83)</f>
        <v>2.1120000000000001</v>
      </c>
      <c r="Q83" s="144" t="s">
        <v>29</v>
      </c>
      <c r="R83" s="118">
        <f t="shared" ca="1" si="14"/>
        <v>310884</v>
      </c>
      <c r="S83" s="118">
        <f t="shared" ca="1" si="14"/>
        <v>656587</v>
      </c>
      <c r="T83" s="118">
        <f ca="1">고급</f>
        <v>310884</v>
      </c>
      <c r="U83" s="118">
        <f t="shared" ca="1" si="15"/>
        <v>656587</v>
      </c>
      <c r="V83" s="118"/>
      <c r="W83" s="118"/>
      <c r="X83" s="118"/>
      <c r="Y83" s="118"/>
      <c r="Z83" s="115"/>
    </row>
    <row r="84" spans="1:26" ht="18" customHeight="1">
      <c r="K84" s="171" t="s">
        <v>14</v>
      </c>
      <c r="L84" s="171"/>
      <c r="N84" s="145" t="s">
        <v>40</v>
      </c>
      <c r="O84" s="173">
        <v>6</v>
      </c>
      <c r="P84" s="234">
        <f ca="1">OFFSET($A$1,MATCH(Z80,$A:$A,0)-1,O84)</f>
        <v>6.5</v>
      </c>
      <c r="Q84" s="144" t="s">
        <v>29</v>
      </c>
      <c r="R84" s="118">
        <f t="shared" ca="1" si="14"/>
        <v>295138</v>
      </c>
      <c r="S84" s="118">
        <f t="shared" ca="1" si="14"/>
        <v>1918397</v>
      </c>
      <c r="T84" s="118">
        <f ca="1">중급</f>
        <v>295138</v>
      </c>
      <c r="U84" s="118">
        <f t="shared" ca="1" si="15"/>
        <v>1918397</v>
      </c>
      <c r="V84" s="118"/>
      <c r="W84" s="118"/>
      <c r="X84" s="118"/>
      <c r="Y84" s="118"/>
      <c r="Z84" s="115"/>
    </row>
    <row r="85" spans="1:26" ht="18" customHeight="1">
      <c r="B85" s="9"/>
      <c r="C85" s="9"/>
      <c r="K85" s="171" t="s">
        <v>14</v>
      </c>
      <c r="L85" s="171"/>
      <c r="N85" s="145" t="s">
        <v>41</v>
      </c>
      <c r="O85" s="173">
        <v>7</v>
      </c>
      <c r="P85" s="234">
        <f ca="1">OFFSET($A$1,MATCH(Z80,$A:$A,0)-1,O85)</f>
        <v>8.4499999999999993</v>
      </c>
      <c r="Q85" s="144" t="s">
        <v>29</v>
      </c>
      <c r="R85" s="118">
        <f t="shared" ca="1" si="14"/>
        <v>235459</v>
      </c>
      <c r="S85" s="118">
        <f t="shared" ca="1" si="14"/>
        <v>1989628</v>
      </c>
      <c r="T85" s="118">
        <f ca="1">초급</f>
        <v>235459</v>
      </c>
      <c r="U85" s="118">
        <f t="shared" ca="1" si="15"/>
        <v>1989628</v>
      </c>
      <c r="V85" s="118"/>
      <c r="W85" s="118"/>
      <c r="X85" s="118"/>
      <c r="Y85" s="118"/>
      <c r="Z85" s="115"/>
    </row>
    <row r="86" spans="1:26" ht="18" customHeight="1">
      <c r="B86" s="9"/>
      <c r="K86" s="171" t="s">
        <v>14</v>
      </c>
      <c r="L86" s="171"/>
      <c r="N86" s="319" t="s">
        <v>42</v>
      </c>
      <c r="O86" s="174">
        <v>8</v>
      </c>
      <c r="P86" s="235">
        <f ca="1">OFFSET($A$1,MATCH(Z80,$A:$A,0)-1,O86)</f>
        <v>14.625</v>
      </c>
      <c r="Q86" s="322" t="s">
        <v>29</v>
      </c>
      <c r="R86" s="323">
        <f t="shared" ca="1" si="14"/>
        <v>250087</v>
      </c>
      <c r="S86" s="323">
        <f t="shared" ca="1" si="14"/>
        <v>3657522</v>
      </c>
      <c r="T86" s="323">
        <f ca="1">보조원</f>
        <v>250087</v>
      </c>
      <c r="U86" s="323">
        <f t="shared" ca="1" si="15"/>
        <v>3657522</v>
      </c>
      <c r="V86" s="323"/>
      <c r="W86" s="323"/>
      <c r="X86" s="323"/>
      <c r="Y86" s="323"/>
      <c r="Z86" s="324"/>
    </row>
    <row r="87" spans="1:26" ht="18" customHeight="1">
      <c r="B87" s="9"/>
      <c r="K87" s="171" t="s">
        <v>14</v>
      </c>
      <c r="L87" s="171"/>
      <c r="N87" s="139" t="s">
        <v>17</v>
      </c>
      <c r="O87" s="68"/>
      <c r="P87" s="69"/>
      <c r="Q87" s="70"/>
      <c r="R87" s="71"/>
      <c r="S87" s="71">
        <f ca="1">SUBTOTAL(9,S81:S86)</f>
        <v>9208212</v>
      </c>
      <c r="T87" s="71"/>
      <c r="U87" s="71">
        <f ca="1">SUBTOTAL(9,U81:U86)</f>
        <v>9208212</v>
      </c>
      <c r="V87" s="71"/>
      <c r="W87" s="71"/>
      <c r="X87" s="71"/>
      <c r="Y87" s="71"/>
      <c r="Z87" s="68"/>
    </row>
    <row r="88" spans="1:26" ht="18" customHeight="1">
      <c r="B88" s="9"/>
      <c r="K88" s="171" t="s">
        <v>14</v>
      </c>
      <c r="L88" s="171"/>
      <c r="N88" s="318" t="str">
        <f ca="1">"제 " &amp; Z88 &amp; " 호표  "&amp; OFFSET($A$1,MATCH(Z88,$A:$A,0)-1,1)</f>
        <v>제 4 호표  1.4. 정비구역·주변지역의 교통상황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4</v>
      </c>
    </row>
    <row r="89" spans="1:26" ht="18" customHeight="1">
      <c r="B89" s="9"/>
      <c r="K89" s="171" t="s">
        <v>14</v>
      </c>
      <c r="L89" s="171"/>
      <c r="N89" s="140" t="s">
        <v>43</v>
      </c>
      <c r="O89" s="172">
        <v>3</v>
      </c>
      <c r="P89" s="219">
        <f ca="1">OFFSET($A$1,MATCH(Z88,$A:$A,0)-1,O89)</f>
        <v>0.81200000000000006</v>
      </c>
      <c r="Q89" s="141" t="s">
        <v>29</v>
      </c>
      <c r="R89" s="142">
        <f t="shared" ref="R89:S94" ca="1" si="16">T89</f>
        <v>467217</v>
      </c>
      <c r="S89" s="142">
        <f t="shared" ca="1" si="16"/>
        <v>379380</v>
      </c>
      <c r="T89" s="142">
        <f ca="1">기술사</f>
        <v>467217</v>
      </c>
      <c r="U89" s="142">
        <f t="shared" ref="U89:U94" ca="1" si="17">ROUNDDOWN(P89*R89,0)</f>
        <v>379380</v>
      </c>
      <c r="V89" s="142"/>
      <c r="W89" s="142"/>
      <c r="X89" s="142"/>
      <c r="Y89" s="142"/>
      <c r="Z89" s="114"/>
    </row>
    <row r="90" spans="1:26" ht="18" customHeight="1">
      <c r="B90" s="9"/>
      <c r="K90" s="171" t="s">
        <v>14</v>
      </c>
      <c r="L90" s="171"/>
      <c r="N90" s="143" t="s">
        <v>32</v>
      </c>
      <c r="O90" s="173">
        <v>4</v>
      </c>
      <c r="P90" s="234">
        <f ca="1">OFFSET($A$1,MATCH(Z88,$A:$A,0)-1,O90)</f>
        <v>1.625</v>
      </c>
      <c r="Q90" s="144" t="s">
        <v>29</v>
      </c>
      <c r="R90" s="118">
        <f t="shared" ca="1" si="16"/>
        <v>373353</v>
      </c>
      <c r="S90" s="118">
        <f t="shared" ca="1" si="16"/>
        <v>606698</v>
      </c>
      <c r="T90" s="118">
        <f ca="1">특급</f>
        <v>373353</v>
      </c>
      <c r="U90" s="118">
        <f t="shared" ca="1" si="17"/>
        <v>606698</v>
      </c>
      <c r="V90" s="118"/>
      <c r="W90" s="118"/>
      <c r="X90" s="118"/>
      <c r="Y90" s="118"/>
      <c r="Z90" s="115"/>
    </row>
    <row r="91" spans="1:26" ht="18" customHeight="1">
      <c r="B91" s="9"/>
      <c r="K91" s="171" t="s">
        <v>14</v>
      </c>
      <c r="L91" s="171"/>
      <c r="N91" s="145" t="s">
        <v>39</v>
      </c>
      <c r="O91" s="173">
        <v>5</v>
      </c>
      <c r="P91" s="234">
        <f ca="1">OFFSET($A$1,MATCH(Z88,$A:$A,0)-1,O91)</f>
        <v>4.2249999999999996</v>
      </c>
      <c r="Q91" s="144" t="s">
        <v>29</v>
      </c>
      <c r="R91" s="118">
        <f t="shared" ca="1" si="16"/>
        <v>310884</v>
      </c>
      <c r="S91" s="118">
        <f t="shared" ca="1" si="16"/>
        <v>1313484</v>
      </c>
      <c r="T91" s="118">
        <f ca="1">고급</f>
        <v>310884</v>
      </c>
      <c r="U91" s="118">
        <f t="shared" ca="1" si="17"/>
        <v>1313484</v>
      </c>
      <c r="V91" s="118"/>
      <c r="W91" s="118"/>
      <c r="X91" s="118"/>
      <c r="Y91" s="118"/>
      <c r="Z91" s="115"/>
    </row>
    <row r="92" spans="1:26" ht="18" customHeight="1">
      <c r="K92" s="171" t="s">
        <v>14</v>
      </c>
      <c r="L92" s="171"/>
      <c r="N92" s="145" t="s">
        <v>40</v>
      </c>
      <c r="O92" s="173">
        <v>6</v>
      </c>
      <c r="P92" s="234">
        <f ca="1">OFFSET($A$1,MATCH(Z88,$A:$A,0)-1,O92)</f>
        <v>12.186999999999999</v>
      </c>
      <c r="Q92" s="144" t="s">
        <v>29</v>
      </c>
      <c r="R92" s="118">
        <f t="shared" ca="1" si="16"/>
        <v>295138</v>
      </c>
      <c r="S92" s="118">
        <f t="shared" ca="1" si="16"/>
        <v>3596846</v>
      </c>
      <c r="T92" s="118">
        <f ca="1">중급</f>
        <v>295138</v>
      </c>
      <c r="U92" s="118">
        <f t="shared" ca="1" si="17"/>
        <v>3596846</v>
      </c>
      <c r="V92" s="118"/>
      <c r="W92" s="118"/>
      <c r="X92" s="118"/>
      <c r="Y92" s="118"/>
      <c r="Z92" s="115"/>
    </row>
    <row r="93" spans="1:26" ht="18" customHeight="1">
      <c r="K93" s="171" t="s">
        <v>14</v>
      </c>
      <c r="L93" s="171"/>
      <c r="N93" s="145" t="s">
        <v>41</v>
      </c>
      <c r="O93" s="173">
        <v>7</v>
      </c>
      <c r="P93" s="234">
        <f ca="1">OFFSET($A$1,MATCH(Z88,$A:$A,0)-1,O93)</f>
        <v>16.25</v>
      </c>
      <c r="Q93" s="144" t="s">
        <v>29</v>
      </c>
      <c r="R93" s="118">
        <f t="shared" ca="1" si="16"/>
        <v>235459</v>
      </c>
      <c r="S93" s="118">
        <f t="shared" ca="1" si="16"/>
        <v>3826208</v>
      </c>
      <c r="T93" s="118">
        <f ca="1">초급</f>
        <v>235459</v>
      </c>
      <c r="U93" s="118">
        <f t="shared" ca="1" si="17"/>
        <v>3826208</v>
      </c>
      <c r="V93" s="118"/>
      <c r="W93" s="118"/>
      <c r="X93" s="118"/>
      <c r="Y93" s="118"/>
      <c r="Z93" s="115"/>
    </row>
    <row r="94" spans="1:26" ht="18" customHeight="1">
      <c r="K94" s="171" t="s">
        <v>14</v>
      </c>
      <c r="L94" s="171"/>
      <c r="N94" s="319" t="s">
        <v>42</v>
      </c>
      <c r="O94" s="174">
        <v>8</v>
      </c>
      <c r="P94" s="235">
        <f ca="1">OFFSET($A$1,MATCH(Z88,$A:$A,0)-1,O94)</f>
        <v>20.8</v>
      </c>
      <c r="Q94" s="322" t="s">
        <v>29</v>
      </c>
      <c r="R94" s="323">
        <f t="shared" ca="1" si="16"/>
        <v>250087</v>
      </c>
      <c r="S94" s="323">
        <f t="shared" ca="1" si="16"/>
        <v>5201809</v>
      </c>
      <c r="T94" s="323">
        <f ca="1">보조원</f>
        <v>250087</v>
      </c>
      <c r="U94" s="323">
        <f t="shared" ca="1" si="17"/>
        <v>5201809</v>
      </c>
      <c r="V94" s="323"/>
      <c r="W94" s="323"/>
      <c r="X94" s="323"/>
      <c r="Y94" s="323"/>
      <c r="Z94" s="324"/>
    </row>
    <row r="95" spans="1:26" ht="18" customHeight="1">
      <c r="K95" s="171" t="s">
        <v>14</v>
      </c>
      <c r="L95" s="171"/>
      <c r="N95" s="139" t="s">
        <v>17</v>
      </c>
      <c r="O95" s="68"/>
      <c r="P95" s="69"/>
      <c r="Q95" s="70"/>
      <c r="R95" s="71"/>
      <c r="S95" s="71">
        <f ca="1">SUBTOTAL(9,S89:S94)</f>
        <v>14924425</v>
      </c>
      <c r="T95" s="71"/>
      <c r="U95" s="71">
        <f ca="1">SUBTOTAL(9,U89:U94)</f>
        <v>14924425</v>
      </c>
      <c r="V95" s="71"/>
      <c r="W95" s="71"/>
      <c r="X95" s="71"/>
      <c r="Y95" s="71"/>
      <c r="Z95" s="68"/>
    </row>
    <row r="96" spans="1:26" ht="18" customHeight="1">
      <c r="K96" s="171" t="s">
        <v>14</v>
      </c>
      <c r="L96" s="171"/>
      <c r="N96" s="318" t="str">
        <f ca="1">"제 " &amp; Z96 &amp; " 호표  "&amp; OFFSET($A$1,MATCH(Z96,$A:$A,0)-1,1)</f>
        <v>제 5 호표  1.5. 토지·건축물의 가격·임대차 현황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5</v>
      </c>
    </row>
    <row r="97" spans="11:26" ht="18" customHeight="1">
      <c r="K97" s="171" t="s">
        <v>14</v>
      </c>
      <c r="L97" s="171"/>
      <c r="N97" s="140" t="s">
        <v>43</v>
      </c>
      <c r="O97" s="172">
        <v>3</v>
      </c>
      <c r="P97" s="219">
        <f ca="1">OFFSET($A$1,MATCH(Z96,$A:$A,0)-1,O97)</f>
        <v>0.81200000000000006</v>
      </c>
      <c r="Q97" s="141" t="s">
        <v>29</v>
      </c>
      <c r="R97" s="142">
        <f t="shared" ref="R97:S102" ca="1" si="18">T97</f>
        <v>467217</v>
      </c>
      <c r="S97" s="142">
        <f t="shared" ca="1" si="18"/>
        <v>379380</v>
      </c>
      <c r="T97" s="142">
        <f ca="1">기술사</f>
        <v>467217</v>
      </c>
      <c r="U97" s="142">
        <f t="shared" ref="U97:U102" ca="1" si="19">ROUNDDOWN(P97*R97,0)</f>
        <v>379380</v>
      </c>
      <c r="V97" s="142"/>
      <c r="W97" s="142"/>
      <c r="X97" s="142"/>
      <c r="Y97" s="142"/>
      <c r="Z97" s="114"/>
    </row>
    <row r="98" spans="11:26" ht="18" customHeight="1">
      <c r="K98" s="171" t="s">
        <v>14</v>
      </c>
      <c r="L98" s="171"/>
      <c r="N98" s="143" t="s">
        <v>32</v>
      </c>
      <c r="O98" s="173">
        <v>4</v>
      </c>
      <c r="P98" s="234">
        <f ca="1">OFFSET($A$1,MATCH(Z96,$A:$A,0)-1,O98)</f>
        <v>1.625</v>
      </c>
      <c r="Q98" s="144" t="s">
        <v>29</v>
      </c>
      <c r="R98" s="118">
        <f t="shared" ca="1" si="18"/>
        <v>373353</v>
      </c>
      <c r="S98" s="118">
        <f t="shared" ca="1" si="18"/>
        <v>606698</v>
      </c>
      <c r="T98" s="118">
        <f ca="1">특급</f>
        <v>373353</v>
      </c>
      <c r="U98" s="118">
        <f t="shared" ca="1" si="19"/>
        <v>606698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39</v>
      </c>
      <c r="O99" s="173">
        <v>5</v>
      </c>
      <c r="P99" s="234">
        <f ca="1">OFFSET($A$1,MATCH(Z96,$A:$A,0)-1,O99)</f>
        <v>4.0620000000000003</v>
      </c>
      <c r="Q99" s="144" t="s">
        <v>29</v>
      </c>
      <c r="R99" s="118">
        <f t="shared" ca="1" si="18"/>
        <v>310884</v>
      </c>
      <c r="S99" s="118">
        <f t="shared" ca="1" si="18"/>
        <v>1262810</v>
      </c>
      <c r="T99" s="118">
        <f ca="1">고급</f>
        <v>310884</v>
      </c>
      <c r="U99" s="118">
        <f t="shared" ca="1" si="19"/>
        <v>1262810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40</v>
      </c>
      <c r="O100" s="173">
        <v>6</v>
      </c>
      <c r="P100" s="234">
        <f ca="1">OFFSET($A$1,MATCH(Z96,$A:$A,0)-1,O100)</f>
        <v>10.237</v>
      </c>
      <c r="Q100" s="144" t="s">
        <v>29</v>
      </c>
      <c r="R100" s="118">
        <f t="shared" ca="1" si="18"/>
        <v>295138</v>
      </c>
      <c r="S100" s="118">
        <f t="shared" ca="1" si="18"/>
        <v>3021327</v>
      </c>
      <c r="T100" s="118">
        <f ca="1">중급</f>
        <v>295138</v>
      </c>
      <c r="U100" s="118">
        <f t="shared" ca="1" si="19"/>
        <v>3021327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145" t="s">
        <v>41</v>
      </c>
      <c r="O101" s="173">
        <v>7</v>
      </c>
      <c r="P101" s="234">
        <f ca="1">OFFSET($A$1,MATCH(Z96,$A:$A,0)-1,O101)</f>
        <v>16.736999999999998</v>
      </c>
      <c r="Q101" s="144" t="s">
        <v>29</v>
      </c>
      <c r="R101" s="118">
        <f t="shared" ca="1" si="18"/>
        <v>235459</v>
      </c>
      <c r="S101" s="118">
        <f t="shared" ca="1" si="18"/>
        <v>3940877</v>
      </c>
      <c r="T101" s="118">
        <f ca="1">초급</f>
        <v>235459</v>
      </c>
      <c r="U101" s="118">
        <f t="shared" ca="1" si="19"/>
        <v>3940877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319" t="s">
        <v>42</v>
      </c>
      <c r="O102" s="174">
        <v>8</v>
      </c>
      <c r="P102" s="235">
        <f ca="1">OFFSET($A$1,MATCH(Z96,$A:$A,0)-1,O102)</f>
        <v>16.574999999999999</v>
      </c>
      <c r="Q102" s="322" t="s">
        <v>29</v>
      </c>
      <c r="R102" s="323">
        <f t="shared" ca="1" si="18"/>
        <v>250087</v>
      </c>
      <c r="S102" s="323">
        <f t="shared" ca="1" si="18"/>
        <v>4145192</v>
      </c>
      <c r="T102" s="323">
        <f ca="1">보조원</f>
        <v>250087</v>
      </c>
      <c r="U102" s="323">
        <f t="shared" ca="1" si="19"/>
        <v>4145192</v>
      </c>
      <c r="V102" s="323"/>
      <c r="W102" s="323"/>
      <c r="X102" s="323"/>
      <c r="Y102" s="323"/>
      <c r="Z102" s="324"/>
    </row>
    <row r="103" spans="11:26" ht="18" customHeight="1">
      <c r="K103" s="171" t="s">
        <v>14</v>
      </c>
      <c r="L103" s="171"/>
      <c r="N103" s="139" t="s">
        <v>17</v>
      </c>
      <c r="O103" s="68"/>
      <c r="P103" s="69"/>
      <c r="Q103" s="70"/>
      <c r="R103" s="71"/>
      <c r="S103" s="71">
        <f ca="1">SUBTOTAL(9,S97:S102)</f>
        <v>13356284</v>
      </c>
      <c r="T103" s="71"/>
      <c r="U103" s="71">
        <f ca="1">SUBTOTAL(9,U97:U102)</f>
        <v>13356284</v>
      </c>
      <c r="V103" s="71"/>
      <c r="W103" s="71"/>
      <c r="X103" s="71"/>
      <c r="Y103" s="71"/>
      <c r="Z103" s="68"/>
    </row>
    <row r="104" spans="11:26" ht="18" customHeight="1">
      <c r="K104" s="171" t="s">
        <v>14</v>
      </c>
      <c r="L104" s="171"/>
      <c r="N104" s="318" t="str">
        <f ca="1">"제 " &amp; Z104 &amp; " 호표  "&amp; OFFSET($A$1,MATCH(Z104,$A:$A,0)-1,1)</f>
        <v>제 6 호표  1.6. 정비사업에 대한 주민의 의견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6</v>
      </c>
    </row>
    <row r="105" spans="11:26" ht="18" customHeight="1">
      <c r="K105" s="171" t="s">
        <v>14</v>
      </c>
      <c r="L105" s="171"/>
      <c r="N105" s="140" t="s">
        <v>43</v>
      </c>
      <c r="O105" s="172">
        <v>3</v>
      </c>
      <c r="P105" s="219">
        <f ca="1">OFFSET($A$1,MATCH(Z104,$A:$A,0)-1,O105)</f>
        <v>0</v>
      </c>
      <c r="Q105" s="141" t="s">
        <v>29</v>
      </c>
      <c r="R105" s="142">
        <f t="shared" ref="R105:S110" ca="1" si="20">T105</f>
        <v>467217</v>
      </c>
      <c r="S105" s="142">
        <f t="shared" ca="1" si="20"/>
        <v>0</v>
      </c>
      <c r="T105" s="142">
        <f ca="1">기술사</f>
        <v>467217</v>
      </c>
      <c r="U105" s="142">
        <f t="shared" ref="U105:U110" ca="1" si="21">ROUNDDOWN(P105*R105,0)</f>
        <v>0</v>
      </c>
      <c r="V105" s="142"/>
      <c r="W105" s="142"/>
      <c r="X105" s="142"/>
      <c r="Y105" s="142"/>
      <c r="Z105" s="114"/>
    </row>
    <row r="106" spans="11:26" ht="18" customHeight="1">
      <c r="K106" s="171" t="s">
        <v>14</v>
      </c>
      <c r="L106" s="171"/>
      <c r="N106" s="143" t="s">
        <v>32</v>
      </c>
      <c r="O106" s="173">
        <v>4</v>
      </c>
      <c r="P106" s="234">
        <f ca="1">OFFSET($A$1,MATCH(Z104,$A:$A,0)-1,O106)</f>
        <v>0</v>
      </c>
      <c r="Q106" s="144" t="s">
        <v>29</v>
      </c>
      <c r="R106" s="118">
        <f t="shared" ca="1" si="20"/>
        <v>373353</v>
      </c>
      <c r="S106" s="118">
        <f t="shared" ca="1" si="20"/>
        <v>0</v>
      </c>
      <c r="T106" s="118">
        <f ca="1">특급</f>
        <v>373353</v>
      </c>
      <c r="U106" s="118">
        <f t="shared" ca="1" si="21"/>
        <v>0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39</v>
      </c>
      <c r="O107" s="173">
        <v>5</v>
      </c>
      <c r="P107" s="234">
        <f ca="1">OFFSET($A$1,MATCH(Z104,$A:$A,0)-1,O107)</f>
        <v>3.9</v>
      </c>
      <c r="Q107" s="144" t="s">
        <v>29</v>
      </c>
      <c r="R107" s="118">
        <f t="shared" ca="1" si="20"/>
        <v>310884</v>
      </c>
      <c r="S107" s="118">
        <f t="shared" ca="1" si="20"/>
        <v>1212447</v>
      </c>
      <c r="T107" s="118">
        <f ca="1">고급</f>
        <v>310884</v>
      </c>
      <c r="U107" s="118">
        <f t="shared" ca="1" si="21"/>
        <v>1212447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40</v>
      </c>
      <c r="O108" s="173">
        <v>6</v>
      </c>
      <c r="P108" s="234">
        <f ca="1">OFFSET($A$1,MATCH(Z104,$A:$A,0)-1,O108)</f>
        <v>12.837</v>
      </c>
      <c r="Q108" s="144" t="s">
        <v>29</v>
      </c>
      <c r="R108" s="118">
        <f t="shared" ca="1" si="20"/>
        <v>295138</v>
      </c>
      <c r="S108" s="118">
        <f t="shared" ca="1" si="20"/>
        <v>3788686</v>
      </c>
      <c r="T108" s="118">
        <f ca="1">중급</f>
        <v>295138</v>
      </c>
      <c r="U108" s="118">
        <f t="shared" ca="1" si="21"/>
        <v>3788686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145" t="s">
        <v>41</v>
      </c>
      <c r="O109" s="173">
        <v>7</v>
      </c>
      <c r="P109" s="234">
        <f ca="1">OFFSET($A$1,MATCH(Z104,$A:$A,0)-1,O109)</f>
        <v>16.25</v>
      </c>
      <c r="Q109" s="144" t="s">
        <v>29</v>
      </c>
      <c r="R109" s="118">
        <f t="shared" ca="1" si="20"/>
        <v>235459</v>
      </c>
      <c r="S109" s="118">
        <f t="shared" ca="1" si="20"/>
        <v>3826208</v>
      </c>
      <c r="T109" s="118">
        <f ca="1">초급</f>
        <v>235459</v>
      </c>
      <c r="U109" s="118">
        <f t="shared" ca="1" si="21"/>
        <v>3826208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319" t="s">
        <v>42</v>
      </c>
      <c r="O110" s="174">
        <v>8</v>
      </c>
      <c r="P110" s="235">
        <f ca="1">OFFSET($A$1,MATCH(Z104,$A:$A,0)-1,O110)</f>
        <v>20.8</v>
      </c>
      <c r="Q110" s="322" t="s">
        <v>29</v>
      </c>
      <c r="R110" s="323">
        <f t="shared" ca="1" si="20"/>
        <v>250087</v>
      </c>
      <c r="S110" s="323">
        <f t="shared" ca="1" si="20"/>
        <v>5201809</v>
      </c>
      <c r="T110" s="323">
        <f ca="1">보조원</f>
        <v>250087</v>
      </c>
      <c r="U110" s="323">
        <f t="shared" ca="1" si="21"/>
        <v>5201809</v>
      </c>
      <c r="V110" s="323"/>
      <c r="W110" s="323"/>
      <c r="X110" s="323"/>
      <c r="Y110" s="323"/>
      <c r="Z110" s="324"/>
    </row>
    <row r="111" spans="11:26" ht="18" customHeight="1">
      <c r="K111" s="171" t="s">
        <v>14</v>
      </c>
      <c r="L111" s="171"/>
      <c r="N111" s="139" t="s">
        <v>17</v>
      </c>
      <c r="O111" s="68"/>
      <c r="P111" s="69"/>
      <c r="Q111" s="70"/>
      <c r="R111" s="71"/>
      <c r="S111" s="71">
        <f ca="1">SUBTOTAL(9,S105:S110)</f>
        <v>14029150</v>
      </c>
      <c r="T111" s="71"/>
      <c r="U111" s="71">
        <f ca="1">SUBTOTAL(9,U105:U110)</f>
        <v>14029150</v>
      </c>
      <c r="V111" s="71"/>
      <c r="W111" s="71"/>
      <c r="X111" s="71"/>
      <c r="Y111" s="71"/>
      <c r="Z111" s="68"/>
    </row>
    <row r="112" spans="11:26" ht="18" customHeight="1">
      <c r="K112" s="171" t="s">
        <v>14</v>
      </c>
      <c r="L112" s="171"/>
      <c r="N112" s="318" t="str">
        <f ca="1">"제 " &amp; Z112 &amp; " 호표  "&amp; OFFSET($A$1,MATCH(Z112,$A:$A,0)-1,1)</f>
        <v>제 7 호표  2.1. 계획의 수립방향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7</v>
      </c>
    </row>
    <row r="113" spans="11:26" ht="18" customHeight="1">
      <c r="K113" s="171" t="s">
        <v>14</v>
      </c>
      <c r="L113" s="171"/>
      <c r="N113" s="140" t="s">
        <v>43</v>
      </c>
      <c r="O113" s="172">
        <v>3</v>
      </c>
      <c r="P113" s="219">
        <f ca="1">OFFSET($A$1,MATCH(Z112,$A:$A,0)-1,O113)</f>
        <v>0.48699999999999999</v>
      </c>
      <c r="Q113" s="141" t="s">
        <v>29</v>
      </c>
      <c r="R113" s="142">
        <f t="shared" ref="R113:S118" ca="1" si="22">T113</f>
        <v>467217</v>
      </c>
      <c r="S113" s="142">
        <f t="shared" ca="1" si="22"/>
        <v>227534</v>
      </c>
      <c r="T113" s="142">
        <f ca="1">기술사</f>
        <v>467217</v>
      </c>
      <c r="U113" s="142">
        <f t="shared" ref="U113:U118" ca="1" si="23">ROUNDDOWN(P113*R113,0)</f>
        <v>227534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N114" s="143" t="s">
        <v>32</v>
      </c>
      <c r="O114" s="173">
        <v>4</v>
      </c>
      <c r="P114" s="234">
        <f ca="1">OFFSET($A$1,MATCH(Z112,$A:$A,0)-1,O114)</f>
        <v>0.81200000000000006</v>
      </c>
      <c r="Q114" s="144" t="s">
        <v>29</v>
      </c>
      <c r="R114" s="118">
        <f t="shared" ca="1" si="22"/>
        <v>373353</v>
      </c>
      <c r="S114" s="118">
        <f t="shared" ca="1" si="22"/>
        <v>303162</v>
      </c>
      <c r="T114" s="118">
        <f ca="1">특급</f>
        <v>373353</v>
      </c>
      <c r="U114" s="118">
        <f t="shared" ca="1" si="23"/>
        <v>303162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39</v>
      </c>
      <c r="O115" s="173">
        <v>5</v>
      </c>
      <c r="P115" s="234">
        <f ca="1">OFFSET($A$1,MATCH(Z112,$A:$A,0)-1,O115)</f>
        <v>2.6</v>
      </c>
      <c r="Q115" s="144" t="s">
        <v>29</v>
      </c>
      <c r="R115" s="118">
        <f t="shared" ca="1" si="22"/>
        <v>310884</v>
      </c>
      <c r="S115" s="118">
        <f t="shared" ca="1" si="22"/>
        <v>808298</v>
      </c>
      <c r="T115" s="118">
        <f ca="1">고급</f>
        <v>310884</v>
      </c>
      <c r="U115" s="118">
        <f t="shared" ca="1" si="23"/>
        <v>808298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40</v>
      </c>
      <c r="O116" s="173">
        <v>6</v>
      </c>
      <c r="P116" s="234">
        <f ca="1">OFFSET($A$1,MATCH(Z112,$A:$A,0)-1,O116)</f>
        <v>4.875</v>
      </c>
      <c r="Q116" s="144" t="s">
        <v>29</v>
      </c>
      <c r="R116" s="118">
        <f t="shared" ca="1" si="22"/>
        <v>295138</v>
      </c>
      <c r="S116" s="118">
        <f t="shared" ca="1" si="22"/>
        <v>1438797</v>
      </c>
      <c r="T116" s="118">
        <f ca="1">중급</f>
        <v>295138</v>
      </c>
      <c r="U116" s="118">
        <f t="shared" ca="1" si="23"/>
        <v>1438797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41</v>
      </c>
      <c r="O117" s="173">
        <v>7</v>
      </c>
      <c r="P117" s="234">
        <f ca="1">OFFSET($A$1,MATCH(Z112,$A:$A,0)-1,O117)</f>
        <v>6.1749999999999998</v>
      </c>
      <c r="Q117" s="144" t="s">
        <v>29</v>
      </c>
      <c r="R117" s="118">
        <f t="shared" ca="1" si="22"/>
        <v>235459</v>
      </c>
      <c r="S117" s="118">
        <f t="shared" ca="1" si="22"/>
        <v>1453959</v>
      </c>
      <c r="T117" s="118">
        <f ca="1">초급</f>
        <v>235459</v>
      </c>
      <c r="U117" s="118">
        <f t="shared" ca="1" si="23"/>
        <v>1453959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319" t="s">
        <v>42</v>
      </c>
      <c r="O118" s="174">
        <v>8</v>
      </c>
      <c r="P118" s="235">
        <f ca="1">OFFSET($A$1,MATCH(Z112,$A:$A,0)-1,O118)</f>
        <v>5.85</v>
      </c>
      <c r="Q118" s="322" t="s">
        <v>29</v>
      </c>
      <c r="R118" s="323">
        <f t="shared" ca="1" si="22"/>
        <v>250087</v>
      </c>
      <c r="S118" s="323">
        <f t="shared" ca="1" si="22"/>
        <v>1463008</v>
      </c>
      <c r="T118" s="323">
        <f ca="1">보조원</f>
        <v>250087</v>
      </c>
      <c r="U118" s="323">
        <f t="shared" ca="1" si="23"/>
        <v>1463008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N119" s="139" t="s">
        <v>17</v>
      </c>
      <c r="O119" s="68"/>
      <c r="P119" s="69"/>
      <c r="Q119" s="70"/>
      <c r="R119" s="71"/>
      <c r="S119" s="71">
        <f ca="1">SUBTOTAL(9,S113:S118)</f>
        <v>5694758</v>
      </c>
      <c r="T119" s="71"/>
      <c r="U119" s="71">
        <f ca="1">SUBTOTAL(9,U113:U118)</f>
        <v>5694758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N120" s="318" t="str">
        <f ca="1">"제 " &amp; Z120 &amp; " 호표  "&amp; OFFSET($A$1,MATCH(Z120,$A:$A,0)-1,1)</f>
        <v>제 8 호표  2.2. 정비사업의 시행 계획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8</v>
      </c>
    </row>
    <row r="121" spans="11:26" ht="18" customHeight="1">
      <c r="K121" s="171" t="s">
        <v>14</v>
      </c>
      <c r="L121" s="171"/>
      <c r="N121" s="140" t="s">
        <v>43</v>
      </c>
      <c r="O121" s="172">
        <v>3</v>
      </c>
      <c r="P121" s="219">
        <f ca="1">OFFSET($A$1,MATCH(Z120,$A:$A,0)-1,O121)</f>
        <v>0.48699999999999999</v>
      </c>
      <c r="Q121" s="141" t="s">
        <v>29</v>
      </c>
      <c r="R121" s="142">
        <f t="shared" ref="R121:S126" ca="1" si="24">T121</f>
        <v>467217</v>
      </c>
      <c r="S121" s="142">
        <f t="shared" ca="1" si="24"/>
        <v>227534</v>
      </c>
      <c r="T121" s="142">
        <f ca="1">기술사</f>
        <v>467217</v>
      </c>
      <c r="U121" s="142">
        <f t="shared" ref="U121:U126" ca="1" si="25">ROUNDDOWN(P121*R121,0)</f>
        <v>227534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N122" s="143" t="s">
        <v>32</v>
      </c>
      <c r="O122" s="173">
        <v>4</v>
      </c>
      <c r="P122" s="234">
        <f ca="1">OFFSET($A$1,MATCH(Z120,$A:$A,0)-1,O122)</f>
        <v>0.81200000000000006</v>
      </c>
      <c r="Q122" s="144" t="s">
        <v>29</v>
      </c>
      <c r="R122" s="118">
        <f t="shared" ca="1" si="24"/>
        <v>373353</v>
      </c>
      <c r="S122" s="118">
        <f t="shared" ca="1" si="24"/>
        <v>303162</v>
      </c>
      <c r="T122" s="118">
        <f ca="1">특급</f>
        <v>373353</v>
      </c>
      <c r="U122" s="118">
        <f t="shared" ca="1" si="25"/>
        <v>303162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39</v>
      </c>
      <c r="O123" s="173">
        <v>5</v>
      </c>
      <c r="P123" s="234">
        <f ca="1">OFFSET($A$1,MATCH(Z120,$A:$A,0)-1,O123)</f>
        <v>2.6</v>
      </c>
      <c r="Q123" s="144" t="s">
        <v>29</v>
      </c>
      <c r="R123" s="118">
        <f t="shared" ca="1" si="24"/>
        <v>310884</v>
      </c>
      <c r="S123" s="118">
        <f t="shared" ca="1" si="24"/>
        <v>808298</v>
      </c>
      <c r="T123" s="118">
        <f ca="1">고급</f>
        <v>310884</v>
      </c>
      <c r="U123" s="118">
        <f t="shared" ca="1" si="25"/>
        <v>808298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145" t="s">
        <v>40</v>
      </c>
      <c r="O124" s="173">
        <v>6</v>
      </c>
      <c r="P124" s="234">
        <f ca="1">OFFSET($A$1,MATCH(Z120,$A:$A,0)-1,O124)</f>
        <v>4.875</v>
      </c>
      <c r="Q124" s="144" t="s">
        <v>29</v>
      </c>
      <c r="R124" s="118">
        <f t="shared" ca="1" si="24"/>
        <v>295138</v>
      </c>
      <c r="S124" s="118">
        <f t="shared" ca="1" si="24"/>
        <v>1438797</v>
      </c>
      <c r="T124" s="118">
        <f ca="1">중급</f>
        <v>295138</v>
      </c>
      <c r="U124" s="118">
        <f t="shared" ca="1" si="25"/>
        <v>1438797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N125" s="145" t="s">
        <v>41</v>
      </c>
      <c r="O125" s="173">
        <v>7</v>
      </c>
      <c r="P125" s="234">
        <f ca="1">OFFSET($A$1,MATCH(Z120,$A:$A,0)-1,O125)</f>
        <v>6.1749999999999998</v>
      </c>
      <c r="Q125" s="144" t="s">
        <v>29</v>
      </c>
      <c r="R125" s="118">
        <f t="shared" ca="1" si="24"/>
        <v>235459</v>
      </c>
      <c r="S125" s="118">
        <f t="shared" ca="1" si="24"/>
        <v>1453959</v>
      </c>
      <c r="T125" s="118">
        <f ca="1">초급</f>
        <v>235459</v>
      </c>
      <c r="U125" s="118">
        <f t="shared" ca="1" si="25"/>
        <v>1453959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319" t="s">
        <v>42</v>
      </c>
      <c r="O126" s="174">
        <v>8</v>
      </c>
      <c r="P126" s="235">
        <f ca="1">OFFSET($A$1,MATCH(Z120,$A:$A,0)-1,O126)</f>
        <v>5.85</v>
      </c>
      <c r="Q126" s="322" t="s">
        <v>29</v>
      </c>
      <c r="R126" s="323">
        <f t="shared" ca="1" si="24"/>
        <v>250087</v>
      </c>
      <c r="S126" s="323">
        <f t="shared" ca="1" si="24"/>
        <v>1463008</v>
      </c>
      <c r="T126" s="323">
        <f ca="1">보조원</f>
        <v>250087</v>
      </c>
      <c r="U126" s="323">
        <f t="shared" ca="1" si="25"/>
        <v>1463008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N127" s="139" t="s">
        <v>17</v>
      </c>
      <c r="O127" s="68"/>
      <c r="P127" s="69"/>
      <c r="Q127" s="70"/>
      <c r="R127" s="71"/>
      <c r="S127" s="71">
        <f ca="1">SUBTOTAL(9,S121:S126)</f>
        <v>5694758</v>
      </c>
      <c r="T127" s="71"/>
      <c r="U127" s="71">
        <f ca="1">SUBTOTAL(9,U121:U126)</f>
        <v>5694758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N128" s="318" t="str">
        <f ca="1">"제 " &amp; Z128 &amp; " 호표  "&amp; OFFSET($A$1,MATCH(Z128,$A:$A,0)-1,1)</f>
        <v>제 9 호표  2.3. 토지이용계획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9</v>
      </c>
    </row>
    <row r="129" spans="11:26" ht="18" customHeight="1">
      <c r="K129" s="171" t="s">
        <v>14</v>
      </c>
      <c r="L129" s="171"/>
      <c r="N129" s="140" t="s">
        <v>43</v>
      </c>
      <c r="O129" s="172">
        <v>3</v>
      </c>
      <c r="P129" s="219">
        <f ca="1">OFFSET($A$1,MATCH(Z128,$A:$A,0)-1,O129)</f>
        <v>3.7370000000000001</v>
      </c>
      <c r="Q129" s="141" t="s">
        <v>29</v>
      </c>
      <c r="R129" s="142">
        <f t="shared" ref="R129:S134" ca="1" si="26">T129</f>
        <v>467217</v>
      </c>
      <c r="S129" s="142">
        <f t="shared" ca="1" si="26"/>
        <v>1745989</v>
      </c>
      <c r="T129" s="142">
        <f ca="1">기술사</f>
        <v>467217</v>
      </c>
      <c r="U129" s="142">
        <f t="shared" ref="U129:U134" ca="1" si="27">ROUNDDOWN(P129*R129,0)</f>
        <v>1745989</v>
      </c>
      <c r="V129" s="142"/>
      <c r="W129" s="142"/>
      <c r="X129" s="142"/>
      <c r="Y129" s="142"/>
      <c r="Z129" s="114"/>
    </row>
    <row r="130" spans="11:26" ht="18" customHeight="1">
      <c r="K130" s="171" t="s">
        <v>14</v>
      </c>
      <c r="L130" s="171"/>
      <c r="N130" s="143" t="s">
        <v>32</v>
      </c>
      <c r="O130" s="173">
        <v>4</v>
      </c>
      <c r="P130" s="234">
        <f ca="1">OFFSET($A$1,MATCH(Z128,$A:$A,0)-1,O130)</f>
        <v>7.4749999999999996</v>
      </c>
      <c r="Q130" s="144" t="s">
        <v>29</v>
      </c>
      <c r="R130" s="118">
        <f t="shared" ca="1" si="26"/>
        <v>373353</v>
      </c>
      <c r="S130" s="118">
        <f t="shared" ca="1" si="26"/>
        <v>2790813</v>
      </c>
      <c r="T130" s="118">
        <f ca="1">특급</f>
        <v>373353</v>
      </c>
      <c r="U130" s="118">
        <f t="shared" ca="1" si="27"/>
        <v>2790813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145" t="s">
        <v>39</v>
      </c>
      <c r="O131" s="173">
        <v>5</v>
      </c>
      <c r="P131" s="234">
        <f ca="1">OFFSET($A$1,MATCH(Z128,$A:$A,0)-1,O131)</f>
        <v>18.524999999999999</v>
      </c>
      <c r="Q131" s="144" t="s">
        <v>29</v>
      </c>
      <c r="R131" s="118">
        <f t="shared" ca="1" si="26"/>
        <v>310884</v>
      </c>
      <c r="S131" s="118">
        <f t="shared" ca="1" si="26"/>
        <v>5759126</v>
      </c>
      <c r="T131" s="118">
        <f ca="1">고급</f>
        <v>310884</v>
      </c>
      <c r="U131" s="118">
        <f t="shared" ca="1" si="27"/>
        <v>5759126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N132" s="145" t="s">
        <v>40</v>
      </c>
      <c r="O132" s="173">
        <v>6</v>
      </c>
      <c r="P132" s="234">
        <f ca="1">OFFSET($A$1,MATCH(Z128,$A:$A,0)-1,O132)</f>
        <v>37.212000000000003</v>
      </c>
      <c r="Q132" s="144" t="s">
        <v>29</v>
      </c>
      <c r="R132" s="118">
        <f t="shared" ca="1" si="26"/>
        <v>295138</v>
      </c>
      <c r="S132" s="118">
        <f t="shared" ca="1" si="26"/>
        <v>10982675</v>
      </c>
      <c r="T132" s="118">
        <f ca="1">중급</f>
        <v>295138</v>
      </c>
      <c r="U132" s="118">
        <f t="shared" ca="1" si="27"/>
        <v>10982675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N133" s="145" t="s">
        <v>41</v>
      </c>
      <c r="O133" s="173">
        <v>7</v>
      </c>
      <c r="P133" s="234">
        <f ca="1">OFFSET($A$1,MATCH(Z128,$A:$A,0)-1,O133)</f>
        <v>56.061999999999998</v>
      </c>
      <c r="Q133" s="144" t="s">
        <v>29</v>
      </c>
      <c r="R133" s="118">
        <f t="shared" ca="1" si="26"/>
        <v>235459</v>
      </c>
      <c r="S133" s="118">
        <f t="shared" ca="1" si="26"/>
        <v>13200302</v>
      </c>
      <c r="T133" s="118">
        <f ca="1">초급</f>
        <v>235459</v>
      </c>
      <c r="U133" s="118">
        <f t="shared" ca="1" si="27"/>
        <v>13200302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N134" s="319" t="s">
        <v>42</v>
      </c>
      <c r="O134" s="174">
        <v>8</v>
      </c>
      <c r="P134" s="235">
        <f ca="1">OFFSET($A$1,MATCH(Z128,$A:$A,0)-1,O134)</f>
        <v>55.9</v>
      </c>
      <c r="Q134" s="322" t="s">
        <v>29</v>
      </c>
      <c r="R134" s="323">
        <f t="shared" ca="1" si="26"/>
        <v>250087</v>
      </c>
      <c r="S134" s="323">
        <f t="shared" ca="1" si="26"/>
        <v>13979863</v>
      </c>
      <c r="T134" s="323">
        <f ca="1">보조원</f>
        <v>250087</v>
      </c>
      <c r="U134" s="323">
        <f t="shared" ca="1" si="27"/>
        <v>13979863</v>
      </c>
      <c r="V134" s="323"/>
      <c r="W134" s="323"/>
      <c r="X134" s="323"/>
      <c r="Y134" s="323"/>
      <c r="Z134" s="324"/>
    </row>
    <row r="135" spans="11:26" ht="18" customHeight="1">
      <c r="K135" s="171" t="s">
        <v>14</v>
      </c>
      <c r="L135" s="171"/>
      <c r="M135" s="171"/>
      <c r="N135" s="139" t="s">
        <v>17</v>
      </c>
      <c r="O135" s="68"/>
      <c r="P135" s="69"/>
      <c r="Q135" s="70"/>
      <c r="R135" s="71"/>
      <c r="S135" s="71">
        <f ca="1">SUBTOTAL(9,S129:S134)</f>
        <v>48458768</v>
      </c>
      <c r="T135" s="71"/>
      <c r="U135" s="71">
        <f ca="1">SUBTOTAL(9,U129:U134)</f>
        <v>48458768</v>
      </c>
      <c r="V135" s="71"/>
      <c r="W135" s="71"/>
      <c r="X135" s="71"/>
      <c r="Y135" s="71"/>
      <c r="Z135" s="68"/>
    </row>
    <row r="136" spans="11:26" ht="18" customHeight="1">
      <c r="K136" s="171" t="s">
        <v>14</v>
      </c>
      <c r="L136" s="171"/>
      <c r="M136" s="171"/>
      <c r="N136" s="318" t="str">
        <f ca="1">"제 " &amp; Z136 &amp; " 호표  "&amp; OFFSET($A$1,MATCH(Z136,$A:$A,0)-1,1)</f>
        <v>제 10 호표  2.4. 정비기반시설의 설치 계획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10</v>
      </c>
    </row>
    <row r="137" spans="11:26" ht="18" customHeight="1">
      <c r="K137" s="171" t="s">
        <v>14</v>
      </c>
      <c r="L137" s="171"/>
      <c r="M137" s="171"/>
      <c r="N137" s="140" t="s">
        <v>43</v>
      </c>
      <c r="O137" s="172">
        <v>3</v>
      </c>
      <c r="P137" s="219">
        <f ca="1">OFFSET($A$1,MATCH(Z136,$A:$A,0)-1,O137)</f>
        <v>3.7370000000000001</v>
      </c>
      <c r="Q137" s="141" t="s">
        <v>29</v>
      </c>
      <c r="R137" s="142">
        <f t="shared" ref="R137:S142" ca="1" si="28">T137</f>
        <v>467217</v>
      </c>
      <c r="S137" s="142">
        <f t="shared" ca="1" si="28"/>
        <v>1745989</v>
      </c>
      <c r="T137" s="142">
        <f ca="1">기술사</f>
        <v>467217</v>
      </c>
      <c r="U137" s="142">
        <f t="shared" ref="U137:U142" ca="1" si="29">ROUNDDOWN(P137*R137,0)</f>
        <v>1745989</v>
      </c>
      <c r="V137" s="142"/>
      <c r="W137" s="142"/>
      <c r="X137" s="142"/>
      <c r="Y137" s="142"/>
      <c r="Z137" s="114"/>
    </row>
    <row r="138" spans="11:26" ht="18" customHeight="1">
      <c r="K138" s="171" t="s">
        <v>14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7.4749999999999996</v>
      </c>
      <c r="Q138" s="144" t="s">
        <v>29</v>
      </c>
      <c r="R138" s="118">
        <f t="shared" ca="1" si="28"/>
        <v>373353</v>
      </c>
      <c r="S138" s="118">
        <f t="shared" ca="1" si="28"/>
        <v>2790813</v>
      </c>
      <c r="T138" s="118">
        <f ca="1">특급</f>
        <v>373353</v>
      </c>
      <c r="U138" s="118">
        <f t="shared" ca="1" si="29"/>
        <v>2790813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18.524999999999999</v>
      </c>
      <c r="Q139" s="144" t="s">
        <v>29</v>
      </c>
      <c r="R139" s="118">
        <f t="shared" ca="1" si="28"/>
        <v>310884</v>
      </c>
      <c r="S139" s="118">
        <f t="shared" ca="1" si="28"/>
        <v>5759126</v>
      </c>
      <c r="T139" s="118">
        <f ca="1">고급</f>
        <v>310884</v>
      </c>
      <c r="U139" s="118">
        <f t="shared" ca="1" si="29"/>
        <v>5759126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37.212000000000003</v>
      </c>
      <c r="Q140" s="144" t="s">
        <v>29</v>
      </c>
      <c r="R140" s="118">
        <f t="shared" ca="1" si="28"/>
        <v>295138</v>
      </c>
      <c r="S140" s="118">
        <f t="shared" ca="1" si="28"/>
        <v>10982675</v>
      </c>
      <c r="T140" s="118">
        <f ca="1">중급</f>
        <v>295138</v>
      </c>
      <c r="U140" s="118">
        <f t="shared" ca="1" si="29"/>
        <v>10982675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56.061999999999998</v>
      </c>
      <c r="Q141" s="144" t="s">
        <v>29</v>
      </c>
      <c r="R141" s="118">
        <f t="shared" ca="1" si="28"/>
        <v>235459</v>
      </c>
      <c r="S141" s="118">
        <f t="shared" ca="1" si="28"/>
        <v>13200302</v>
      </c>
      <c r="T141" s="118">
        <f ca="1">초급</f>
        <v>235459</v>
      </c>
      <c r="U141" s="118">
        <f t="shared" ca="1" si="29"/>
        <v>13200302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55.9</v>
      </c>
      <c r="Q142" s="322" t="s">
        <v>29</v>
      </c>
      <c r="R142" s="323">
        <f t="shared" ca="1" si="28"/>
        <v>250087</v>
      </c>
      <c r="S142" s="323">
        <f t="shared" ca="1" si="28"/>
        <v>13979863</v>
      </c>
      <c r="T142" s="323">
        <f ca="1">보조원</f>
        <v>250087</v>
      </c>
      <c r="U142" s="323">
        <f t="shared" ca="1" si="29"/>
        <v>13979863</v>
      </c>
      <c r="V142" s="323"/>
      <c r="W142" s="323"/>
      <c r="X142" s="323"/>
      <c r="Y142" s="323"/>
      <c r="Z142" s="324"/>
    </row>
    <row r="143" spans="11:26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48458768</v>
      </c>
      <c r="T143" s="71"/>
      <c r="U143" s="71">
        <f ca="1">SUBTOTAL(9,U137:U142)</f>
        <v>48458768</v>
      </c>
      <c r="V143" s="71"/>
      <c r="W143" s="71"/>
      <c r="X143" s="71"/>
      <c r="Y143" s="71"/>
      <c r="Z143" s="68"/>
    </row>
    <row r="144" spans="11:26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11 호표  2.5. 공동이용시설 설치계획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11</v>
      </c>
    </row>
    <row r="145" spans="11:26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1.7869999999999999</v>
      </c>
      <c r="Q145" s="141" t="s">
        <v>29</v>
      </c>
      <c r="R145" s="142">
        <f t="shared" ref="R145:S150" ca="1" si="30">T145</f>
        <v>467217</v>
      </c>
      <c r="S145" s="142">
        <f t="shared" ca="1" si="30"/>
        <v>834916</v>
      </c>
      <c r="T145" s="142">
        <f ca="1">기술사</f>
        <v>467217</v>
      </c>
      <c r="U145" s="142">
        <f t="shared" ref="U145:U150" ca="1" si="31">ROUNDDOWN(P145*R145,0)</f>
        <v>834916</v>
      </c>
      <c r="V145" s="142"/>
      <c r="W145" s="142"/>
      <c r="X145" s="142"/>
      <c r="Y145" s="142"/>
      <c r="Z145" s="114"/>
    </row>
    <row r="146" spans="11:26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3.7370000000000001</v>
      </c>
      <c r="Q146" s="144" t="s">
        <v>29</v>
      </c>
      <c r="R146" s="118">
        <f t="shared" ca="1" si="30"/>
        <v>373353</v>
      </c>
      <c r="S146" s="118">
        <f t="shared" ca="1" si="30"/>
        <v>1395220</v>
      </c>
      <c r="T146" s="118">
        <f ca="1">특급</f>
        <v>373353</v>
      </c>
      <c r="U146" s="118">
        <f t="shared" ca="1" si="31"/>
        <v>1395220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13.975</v>
      </c>
      <c r="Q147" s="144" t="s">
        <v>29</v>
      </c>
      <c r="R147" s="118">
        <f t="shared" ca="1" si="30"/>
        <v>310884</v>
      </c>
      <c r="S147" s="118">
        <f t="shared" ca="1" si="30"/>
        <v>4344603</v>
      </c>
      <c r="T147" s="118">
        <f ca="1">고급</f>
        <v>310884</v>
      </c>
      <c r="U147" s="118">
        <f t="shared" ca="1" si="31"/>
        <v>4344603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23.074999999999999</v>
      </c>
      <c r="Q148" s="144" t="s">
        <v>29</v>
      </c>
      <c r="R148" s="118">
        <f t="shared" ca="1" si="30"/>
        <v>295138</v>
      </c>
      <c r="S148" s="118">
        <f t="shared" ca="1" si="30"/>
        <v>6810309</v>
      </c>
      <c r="T148" s="118">
        <f ca="1">중급</f>
        <v>295138</v>
      </c>
      <c r="U148" s="118">
        <f t="shared" ca="1" si="31"/>
        <v>6810309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27.786999999999999</v>
      </c>
      <c r="Q149" s="144" t="s">
        <v>29</v>
      </c>
      <c r="R149" s="118">
        <f t="shared" ca="1" si="30"/>
        <v>235459</v>
      </c>
      <c r="S149" s="118">
        <f t="shared" ca="1" si="30"/>
        <v>6542699</v>
      </c>
      <c r="T149" s="118">
        <f ca="1">초급</f>
        <v>235459</v>
      </c>
      <c r="U149" s="118">
        <f t="shared" ca="1" si="31"/>
        <v>6542699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27.625</v>
      </c>
      <c r="Q150" s="322" t="s">
        <v>29</v>
      </c>
      <c r="R150" s="323">
        <f t="shared" ca="1" si="30"/>
        <v>250087</v>
      </c>
      <c r="S150" s="323">
        <f t="shared" ca="1" si="30"/>
        <v>6908653</v>
      </c>
      <c r="T150" s="323">
        <f ca="1">보조원</f>
        <v>250087</v>
      </c>
      <c r="U150" s="323">
        <f t="shared" ca="1" si="31"/>
        <v>6908653</v>
      </c>
      <c r="V150" s="323"/>
      <c r="W150" s="323"/>
      <c r="X150" s="323"/>
      <c r="Y150" s="323"/>
      <c r="Z150" s="324"/>
    </row>
    <row r="151" spans="11:26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26836400</v>
      </c>
      <c r="T151" s="71"/>
      <c r="U151" s="71">
        <f ca="1">SUBTOTAL(9,U145:U150)</f>
        <v>26836400</v>
      </c>
      <c r="V151" s="71"/>
      <c r="W151" s="71"/>
      <c r="X151" s="71"/>
      <c r="Y151" s="71"/>
      <c r="Z151" s="68"/>
    </row>
    <row r="152" spans="11:26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12 호표  2.6. 기존 건축물의 정비·개량 계획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12</v>
      </c>
    </row>
    <row r="153" spans="11:26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0.48699999999999999</v>
      </c>
      <c r="Q153" s="141" t="s">
        <v>29</v>
      </c>
      <c r="R153" s="142">
        <f t="shared" ref="R153:S158" ca="1" si="32">T153</f>
        <v>467217</v>
      </c>
      <c r="S153" s="142">
        <f t="shared" ca="1" si="32"/>
        <v>227534</v>
      </c>
      <c r="T153" s="142">
        <f ca="1">기술사</f>
        <v>467217</v>
      </c>
      <c r="U153" s="142">
        <f t="shared" ref="U153:U158" ca="1" si="33">ROUNDDOWN(P153*R153,0)</f>
        <v>227534</v>
      </c>
      <c r="V153" s="142"/>
      <c r="W153" s="142"/>
      <c r="X153" s="142"/>
      <c r="Y153" s="142"/>
      <c r="Z153" s="114"/>
    </row>
    <row r="154" spans="11:26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0.97499999999999998</v>
      </c>
      <c r="Q154" s="144" t="s">
        <v>29</v>
      </c>
      <c r="R154" s="118">
        <f t="shared" ca="1" si="32"/>
        <v>373353</v>
      </c>
      <c r="S154" s="118">
        <f t="shared" ca="1" si="32"/>
        <v>364019</v>
      </c>
      <c r="T154" s="118">
        <f ca="1">특급</f>
        <v>373353</v>
      </c>
      <c r="U154" s="118">
        <f t="shared" ca="1" si="33"/>
        <v>364019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3.25</v>
      </c>
      <c r="Q155" s="144" t="s">
        <v>29</v>
      </c>
      <c r="R155" s="118">
        <f t="shared" ca="1" si="32"/>
        <v>310884</v>
      </c>
      <c r="S155" s="118">
        <f t="shared" ca="1" si="32"/>
        <v>1010373</v>
      </c>
      <c r="T155" s="118">
        <f ca="1">고급</f>
        <v>310884</v>
      </c>
      <c r="U155" s="118">
        <f t="shared" ca="1" si="33"/>
        <v>1010373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4.875</v>
      </c>
      <c r="Q156" s="144" t="s">
        <v>29</v>
      </c>
      <c r="R156" s="118">
        <f t="shared" ca="1" si="32"/>
        <v>295138</v>
      </c>
      <c r="S156" s="118">
        <f t="shared" ca="1" si="32"/>
        <v>1438797</v>
      </c>
      <c r="T156" s="118">
        <f ca="1">중급</f>
        <v>295138</v>
      </c>
      <c r="U156" s="118">
        <f t="shared" ca="1" si="33"/>
        <v>1438797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6.1749999999999998</v>
      </c>
      <c r="Q157" s="144" t="s">
        <v>29</v>
      </c>
      <c r="R157" s="118">
        <f t="shared" ca="1" si="32"/>
        <v>235459</v>
      </c>
      <c r="S157" s="118">
        <f t="shared" ca="1" si="32"/>
        <v>1453959</v>
      </c>
      <c r="T157" s="118">
        <f ca="1">초급</f>
        <v>235459</v>
      </c>
      <c r="U157" s="118">
        <f t="shared" ca="1" si="33"/>
        <v>1453959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5.85</v>
      </c>
      <c r="Q158" s="322" t="s">
        <v>29</v>
      </c>
      <c r="R158" s="323">
        <f t="shared" ca="1" si="32"/>
        <v>250087</v>
      </c>
      <c r="S158" s="323">
        <f t="shared" ca="1" si="32"/>
        <v>1463008</v>
      </c>
      <c r="T158" s="323">
        <f ca="1">보조원</f>
        <v>250087</v>
      </c>
      <c r="U158" s="323">
        <f t="shared" ca="1" si="33"/>
        <v>1463008</v>
      </c>
      <c r="V158" s="323"/>
      <c r="W158" s="323"/>
      <c r="X158" s="323"/>
      <c r="Y158" s="323"/>
      <c r="Z158" s="324"/>
    </row>
    <row r="159" spans="11:26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5957690</v>
      </c>
      <c r="T159" s="71"/>
      <c r="U159" s="71">
        <f ca="1">SUBTOTAL(9,U153:U158)</f>
        <v>5957690</v>
      </c>
      <c r="V159" s="71"/>
      <c r="W159" s="71"/>
      <c r="X159" s="71"/>
      <c r="Y159" s="71"/>
      <c r="Z159" s="68"/>
    </row>
    <row r="160" spans="11:26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13 호표  2.7. 건축물 계획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13</v>
      </c>
    </row>
    <row r="161" spans="11:26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4.7119999999999997</v>
      </c>
      <c r="Q161" s="141" t="s">
        <v>29</v>
      </c>
      <c r="R161" s="142">
        <f t="shared" ref="R161:S166" ca="1" si="34">T161</f>
        <v>467217</v>
      </c>
      <c r="S161" s="142">
        <f t="shared" ca="1" si="34"/>
        <v>2201526</v>
      </c>
      <c r="T161" s="142">
        <f ca="1">기술사</f>
        <v>467217</v>
      </c>
      <c r="U161" s="142">
        <f t="shared" ref="U161:U166" ca="1" si="35">ROUNDDOWN(P161*R161,0)</f>
        <v>2201526</v>
      </c>
      <c r="V161" s="142"/>
      <c r="W161" s="142"/>
      <c r="X161" s="142"/>
      <c r="Y161" s="142"/>
      <c r="Z161" s="114"/>
    </row>
    <row r="162" spans="11:26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9.2620000000000005</v>
      </c>
      <c r="Q162" s="144" t="s">
        <v>29</v>
      </c>
      <c r="R162" s="118">
        <f t="shared" ca="1" si="34"/>
        <v>373353</v>
      </c>
      <c r="S162" s="118">
        <f t="shared" ca="1" si="34"/>
        <v>3457995</v>
      </c>
      <c r="T162" s="118">
        <f ca="1">특급</f>
        <v>373353</v>
      </c>
      <c r="U162" s="118">
        <f t="shared" ca="1" si="35"/>
        <v>3457995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23.236999999999998</v>
      </c>
      <c r="Q163" s="144" t="s">
        <v>29</v>
      </c>
      <c r="R163" s="118">
        <f t="shared" ca="1" si="34"/>
        <v>310884</v>
      </c>
      <c r="S163" s="118">
        <f t="shared" ca="1" si="34"/>
        <v>7224011</v>
      </c>
      <c r="T163" s="118">
        <f ca="1">고급</f>
        <v>310884</v>
      </c>
      <c r="U163" s="118">
        <f t="shared" ca="1" si="35"/>
        <v>7224011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40.462000000000003</v>
      </c>
      <c r="Q164" s="144" t="s">
        <v>29</v>
      </c>
      <c r="R164" s="118">
        <f t="shared" ca="1" si="34"/>
        <v>295138</v>
      </c>
      <c r="S164" s="118">
        <f t="shared" ca="1" si="34"/>
        <v>11941873</v>
      </c>
      <c r="T164" s="118">
        <f ca="1">중급</f>
        <v>295138</v>
      </c>
      <c r="U164" s="118">
        <f t="shared" ca="1" si="35"/>
        <v>11941873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55.9</v>
      </c>
      <c r="Q165" s="144" t="s">
        <v>29</v>
      </c>
      <c r="R165" s="118">
        <f t="shared" ca="1" si="34"/>
        <v>235459</v>
      </c>
      <c r="S165" s="118">
        <f t="shared" ca="1" si="34"/>
        <v>13162158</v>
      </c>
      <c r="T165" s="118">
        <f ca="1">초급</f>
        <v>235459</v>
      </c>
      <c r="U165" s="118">
        <f t="shared" ca="1" si="35"/>
        <v>13162158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54.436999999999998</v>
      </c>
      <c r="Q166" s="322" t="s">
        <v>29</v>
      </c>
      <c r="R166" s="323">
        <f t="shared" ca="1" si="34"/>
        <v>250087</v>
      </c>
      <c r="S166" s="323">
        <f t="shared" ca="1" si="34"/>
        <v>13613986</v>
      </c>
      <c r="T166" s="323">
        <f ca="1">보조원</f>
        <v>250087</v>
      </c>
      <c r="U166" s="323">
        <f t="shared" ca="1" si="35"/>
        <v>13613986</v>
      </c>
      <c r="V166" s="323"/>
      <c r="W166" s="323"/>
      <c r="X166" s="323"/>
      <c r="Y166" s="323"/>
      <c r="Z166" s="324"/>
    </row>
    <row r="167" spans="11:26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51601549</v>
      </c>
      <c r="T167" s="71"/>
      <c r="U167" s="71">
        <f ca="1">SUBTOTAL(9,U161:U166)</f>
        <v>51601549</v>
      </c>
      <c r="V167" s="71"/>
      <c r="W167" s="71"/>
      <c r="X167" s="71"/>
      <c r="Y167" s="71"/>
      <c r="Z167" s="68"/>
    </row>
    <row r="168" spans="11:26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14 호표  2.8. 교통·동선처리계획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14</v>
      </c>
    </row>
    <row r="169" spans="11:26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2.762</v>
      </c>
      <c r="Q169" s="141" t="s">
        <v>29</v>
      </c>
      <c r="R169" s="142">
        <f t="shared" ref="R169:S174" ca="1" si="36">T169</f>
        <v>467217</v>
      </c>
      <c r="S169" s="142">
        <f t="shared" ca="1" si="36"/>
        <v>1290453</v>
      </c>
      <c r="T169" s="142">
        <f ca="1">기술사</f>
        <v>467217</v>
      </c>
      <c r="U169" s="142">
        <f t="shared" ref="U169:U174" ca="1" si="37">ROUNDDOWN(P169*R169,0)</f>
        <v>1290453</v>
      </c>
      <c r="V169" s="142"/>
      <c r="W169" s="142"/>
      <c r="X169" s="142"/>
      <c r="Y169" s="142"/>
      <c r="Z169" s="114"/>
    </row>
    <row r="170" spans="11:26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5.3620000000000001</v>
      </c>
      <c r="Q170" s="144" t="s">
        <v>29</v>
      </c>
      <c r="R170" s="118">
        <f t="shared" ca="1" si="36"/>
        <v>373353</v>
      </c>
      <c r="S170" s="118">
        <f t="shared" ca="1" si="36"/>
        <v>2001918</v>
      </c>
      <c r="T170" s="118">
        <f ca="1">특급</f>
        <v>373353</v>
      </c>
      <c r="U170" s="118">
        <f t="shared" ca="1" si="37"/>
        <v>2001918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13.975</v>
      </c>
      <c r="Q171" s="144" t="s">
        <v>29</v>
      </c>
      <c r="R171" s="118">
        <f t="shared" ca="1" si="36"/>
        <v>310884</v>
      </c>
      <c r="S171" s="118">
        <f t="shared" ca="1" si="36"/>
        <v>4344603</v>
      </c>
      <c r="T171" s="118">
        <f ca="1">고급</f>
        <v>310884</v>
      </c>
      <c r="U171" s="118">
        <f t="shared" ca="1" si="37"/>
        <v>4344603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23.074999999999999</v>
      </c>
      <c r="Q172" s="144" t="s">
        <v>29</v>
      </c>
      <c r="R172" s="118">
        <f t="shared" ca="1" si="36"/>
        <v>295138</v>
      </c>
      <c r="S172" s="118">
        <f t="shared" ca="1" si="36"/>
        <v>6810309</v>
      </c>
      <c r="T172" s="118">
        <f ca="1">중급</f>
        <v>295138</v>
      </c>
      <c r="U172" s="118">
        <f t="shared" ca="1" si="37"/>
        <v>6810309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27.786999999999999</v>
      </c>
      <c r="Q173" s="144" t="s">
        <v>29</v>
      </c>
      <c r="R173" s="118">
        <f t="shared" ca="1" si="36"/>
        <v>235459</v>
      </c>
      <c r="S173" s="118">
        <f t="shared" ca="1" si="36"/>
        <v>6542699</v>
      </c>
      <c r="T173" s="118">
        <f ca="1">초급</f>
        <v>235459</v>
      </c>
      <c r="U173" s="118">
        <f t="shared" ca="1" si="37"/>
        <v>6542699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27.625</v>
      </c>
      <c r="Q174" s="322" t="s">
        <v>29</v>
      </c>
      <c r="R174" s="323">
        <f t="shared" ca="1" si="36"/>
        <v>250087</v>
      </c>
      <c r="S174" s="323">
        <f t="shared" ca="1" si="36"/>
        <v>6908653</v>
      </c>
      <c r="T174" s="323">
        <f ca="1">보조원</f>
        <v>250087</v>
      </c>
      <c r="U174" s="323">
        <f t="shared" ca="1" si="37"/>
        <v>6908653</v>
      </c>
      <c r="V174" s="323"/>
      <c r="W174" s="323"/>
      <c r="X174" s="323"/>
      <c r="Y174" s="323"/>
      <c r="Z174" s="324"/>
    </row>
    <row r="175" spans="11:26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27898635</v>
      </c>
      <c r="T175" s="71"/>
      <c r="U175" s="71">
        <f ca="1">SUBTOTAL(9,U169:U174)</f>
        <v>27898635</v>
      </c>
      <c r="V175" s="71"/>
      <c r="W175" s="71"/>
      <c r="X175" s="71"/>
      <c r="Y175" s="71"/>
      <c r="Z175" s="68"/>
    </row>
    <row r="176" spans="11:26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15 호표  2.9. 환경보전·재난방지 계획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15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0.48699999999999999</v>
      </c>
      <c r="Q177" s="141" t="s">
        <v>29</v>
      </c>
      <c r="R177" s="142">
        <f t="shared" ref="R177:S182" ca="1" si="38">T177</f>
        <v>467217</v>
      </c>
      <c r="S177" s="142">
        <f t="shared" ca="1" si="38"/>
        <v>227534</v>
      </c>
      <c r="T177" s="142">
        <f ca="1">기술사</f>
        <v>467217</v>
      </c>
      <c r="U177" s="142">
        <f t="shared" ref="U177:U182" ca="1" si="39">ROUNDDOWN(P177*R177,0)</f>
        <v>227534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0.81200000000000006</v>
      </c>
      <c r="Q178" s="144" t="s">
        <v>29</v>
      </c>
      <c r="R178" s="118">
        <f t="shared" ca="1" si="38"/>
        <v>373353</v>
      </c>
      <c r="S178" s="118">
        <f t="shared" ca="1" si="38"/>
        <v>303162</v>
      </c>
      <c r="T178" s="118">
        <f ca="1">특급</f>
        <v>373353</v>
      </c>
      <c r="U178" s="118">
        <f t="shared" ca="1" si="39"/>
        <v>303162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2.6</v>
      </c>
      <c r="Q179" s="144" t="s">
        <v>29</v>
      </c>
      <c r="R179" s="118">
        <f t="shared" ca="1" si="38"/>
        <v>310884</v>
      </c>
      <c r="S179" s="118">
        <f t="shared" ca="1" si="38"/>
        <v>808298</v>
      </c>
      <c r="T179" s="118">
        <f ca="1">고급</f>
        <v>310884</v>
      </c>
      <c r="U179" s="118">
        <f t="shared" ca="1" si="39"/>
        <v>808298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4.875</v>
      </c>
      <c r="Q180" s="144" t="s">
        <v>29</v>
      </c>
      <c r="R180" s="118">
        <f t="shared" ca="1" si="38"/>
        <v>295138</v>
      </c>
      <c r="S180" s="118">
        <f t="shared" ca="1" si="38"/>
        <v>1438797</v>
      </c>
      <c r="T180" s="118">
        <f ca="1">중급</f>
        <v>295138</v>
      </c>
      <c r="U180" s="118">
        <f t="shared" ca="1" si="39"/>
        <v>1438797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6.1749999999999998</v>
      </c>
      <c r="Q181" s="144" t="s">
        <v>29</v>
      </c>
      <c r="R181" s="118">
        <f t="shared" ca="1" si="38"/>
        <v>235459</v>
      </c>
      <c r="S181" s="118">
        <f t="shared" ca="1" si="38"/>
        <v>1453959</v>
      </c>
      <c r="T181" s="118">
        <f ca="1">초급</f>
        <v>235459</v>
      </c>
      <c r="U181" s="118">
        <f t="shared" ca="1" si="39"/>
        <v>1453959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5.85</v>
      </c>
      <c r="Q182" s="322" t="s">
        <v>29</v>
      </c>
      <c r="R182" s="323">
        <f t="shared" ca="1" si="38"/>
        <v>250087</v>
      </c>
      <c r="S182" s="323">
        <f t="shared" ca="1" si="38"/>
        <v>1463008</v>
      </c>
      <c r="T182" s="323">
        <f ca="1">보조원</f>
        <v>250087</v>
      </c>
      <c r="U182" s="323">
        <f t="shared" ca="1" si="39"/>
        <v>1463008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5694758</v>
      </c>
      <c r="T183" s="71"/>
      <c r="U183" s="71">
        <f ca="1">SUBTOTAL(9,U177:U182)</f>
        <v>5694758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16 호표  2.10. 구역 주변의 교육환경 보호 계획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16</v>
      </c>
    </row>
    <row r="185" spans="11:26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0.32500000000000001</v>
      </c>
      <c r="Q185" s="141" t="s">
        <v>29</v>
      </c>
      <c r="R185" s="142">
        <f t="shared" ref="R185:S190" ca="1" si="40">T185</f>
        <v>467217</v>
      </c>
      <c r="S185" s="142">
        <f t="shared" ca="1" si="40"/>
        <v>151845</v>
      </c>
      <c r="T185" s="142">
        <f ca="1">기술사</f>
        <v>467217</v>
      </c>
      <c r="U185" s="142">
        <f t="shared" ref="U185:U190" ca="1" si="41">ROUNDDOWN(P185*R185,0)</f>
        <v>151845</v>
      </c>
      <c r="V185" s="142"/>
      <c r="W185" s="142"/>
      <c r="X185" s="142"/>
      <c r="Y185" s="142"/>
      <c r="Z185" s="114"/>
    </row>
    <row r="186" spans="11:26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0.81200000000000006</v>
      </c>
      <c r="Q186" s="144" t="s">
        <v>29</v>
      </c>
      <c r="R186" s="118">
        <f t="shared" ca="1" si="40"/>
        <v>373353</v>
      </c>
      <c r="S186" s="118">
        <f t="shared" ca="1" si="40"/>
        <v>303162</v>
      </c>
      <c r="T186" s="118">
        <f ca="1">특급</f>
        <v>373353</v>
      </c>
      <c r="U186" s="118">
        <f t="shared" ca="1" si="41"/>
        <v>303162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2.6</v>
      </c>
      <c r="Q187" s="144" t="s">
        <v>29</v>
      </c>
      <c r="R187" s="118">
        <f t="shared" ca="1" si="40"/>
        <v>310884</v>
      </c>
      <c r="S187" s="118">
        <f t="shared" ca="1" si="40"/>
        <v>808298</v>
      </c>
      <c r="T187" s="118">
        <f ca="1">고급</f>
        <v>310884</v>
      </c>
      <c r="U187" s="118">
        <f t="shared" ca="1" si="41"/>
        <v>808298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4.875</v>
      </c>
      <c r="Q188" s="144" t="s">
        <v>29</v>
      </c>
      <c r="R188" s="118">
        <f t="shared" ca="1" si="40"/>
        <v>295138</v>
      </c>
      <c r="S188" s="118">
        <f t="shared" ca="1" si="40"/>
        <v>1438797</v>
      </c>
      <c r="T188" s="118">
        <f ca="1">중급</f>
        <v>295138</v>
      </c>
      <c r="U188" s="118">
        <f t="shared" ca="1" si="41"/>
        <v>1438797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6.1749999999999998</v>
      </c>
      <c r="Q189" s="144" t="s">
        <v>29</v>
      </c>
      <c r="R189" s="118">
        <f t="shared" ca="1" si="40"/>
        <v>235459</v>
      </c>
      <c r="S189" s="118">
        <f t="shared" ca="1" si="40"/>
        <v>1453959</v>
      </c>
      <c r="T189" s="118">
        <f ca="1">초급</f>
        <v>235459</v>
      </c>
      <c r="U189" s="118">
        <f t="shared" ca="1" si="41"/>
        <v>1453959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5.85</v>
      </c>
      <c r="Q190" s="322" t="s">
        <v>29</v>
      </c>
      <c r="R190" s="323">
        <f t="shared" ca="1" si="40"/>
        <v>250087</v>
      </c>
      <c r="S190" s="323">
        <f t="shared" ca="1" si="40"/>
        <v>1463008</v>
      </c>
      <c r="T190" s="323">
        <f ca="1">보조원</f>
        <v>250087</v>
      </c>
      <c r="U190" s="323">
        <f t="shared" ca="1" si="41"/>
        <v>1463008</v>
      </c>
      <c r="V190" s="323"/>
      <c r="W190" s="323"/>
      <c r="X190" s="323"/>
      <c r="Y190" s="323"/>
      <c r="Z190" s="324"/>
    </row>
    <row r="191" spans="11:26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5619069</v>
      </c>
      <c r="T191" s="71"/>
      <c r="U191" s="71">
        <f ca="1">SUBTOTAL(9,U185:U190)</f>
        <v>5619069</v>
      </c>
      <c r="V191" s="71"/>
      <c r="W191" s="71"/>
      <c r="X191" s="71"/>
      <c r="Y191" s="71"/>
      <c r="Z191" s="68"/>
    </row>
    <row r="192" spans="11:26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17 호표  2.11. 구역의 분할·결합에 관한 계획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17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0.32500000000000001</v>
      </c>
      <c r="Q193" s="141" t="s">
        <v>29</v>
      </c>
      <c r="R193" s="142">
        <f t="shared" ref="R193:S198" ca="1" si="42">T193</f>
        <v>467217</v>
      </c>
      <c r="S193" s="142">
        <f t="shared" ca="1" si="42"/>
        <v>151845</v>
      </c>
      <c r="T193" s="142">
        <f ca="1">기술사</f>
        <v>467217</v>
      </c>
      <c r="U193" s="142">
        <f t="shared" ref="U193:U198" ca="1" si="43">ROUNDDOWN(P193*R193,0)</f>
        <v>151845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0.81200000000000006</v>
      </c>
      <c r="Q194" s="144" t="s">
        <v>29</v>
      </c>
      <c r="R194" s="118">
        <f t="shared" ca="1" si="42"/>
        <v>373353</v>
      </c>
      <c r="S194" s="118">
        <f t="shared" ca="1" si="42"/>
        <v>303162</v>
      </c>
      <c r="T194" s="118">
        <f ca="1">특급</f>
        <v>373353</v>
      </c>
      <c r="U194" s="118">
        <f t="shared" ca="1" si="43"/>
        <v>303162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2.6</v>
      </c>
      <c r="Q195" s="144" t="s">
        <v>29</v>
      </c>
      <c r="R195" s="118">
        <f t="shared" ca="1" si="42"/>
        <v>310884</v>
      </c>
      <c r="S195" s="118">
        <f t="shared" ca="1" si="42"/>
        <v>808298</v>
      </c>
      <c r="T195" s="118">
        <f ca="1">고급</f>
        <v>310884</v>
      </c>
      <c r="U195" s="118">
        <f t="shared" ca="1" si="43"/>
        <v>808298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4.875</v>
      </c>
      <c r="Q196" s="144" t="s">
        <v>29</v>
      </c>
      <c r="R196" s="118">
        <f t="shared" ca="1" si="42"/>
        <v>295138</v>
      </c>
      <c r="S196" s="118">
        <f t="shared" ca="1" si="42"/>
        <v>1438797</v>
      </c>
      <c r="T196" s="118">
        <f ca="1">중급</f>
        <v>295138</v>
      </c>
      <c r="U196" s="118">
        <f t="shared" ca="1" si="43"/>
        <v>1438797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6.1749999999999998</v>
      </c>
      <c r="Q197" s="144" t="s">
        <v>29</v>
      </c>
      <c r="R197" s="118">
        <f t="shared" ca="1" si="42"/>
        <v>235459</v>
      </c>
      <c r="S197" s="118">
        <f t="shared" ca="1" si="42"/>
        <v>1453959</v>
      </c>
      <c r="T197" s="118">
        <f ca="1">초급</f>
        <v>235459</v>
      </c>
      <c r="U197" s="118">
        <f t="shared" ca="1" si="43"/>
        <v>1453959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5.85</v>
      </c>
      <c r="Q198" s="322" t="s">
        <v>29</v>
      </c>
      <c r="R198" s="323">
        <f t="shared" ca="1" si="42"/>
        <v>250087</v>
      </c>
      <c r="S198" s="323">
        <f t="shared" ca="1" si="42"/>
        <v>1463008</v>
      </c>
      <c r="T198" s="323">
        <f ca="1">보조원</f>
        <v>250087</v>
      </c>
      <c r="U198" s="323">
        <f t="shared" ca="1" si="43"/>
        <v>1463008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5619069</v>
      </c>
      <c r="T199" s="71"/>
      <c r="U199" s="71">
        <f ca="1">SUBTOTAL(9,U193:U198)</f>
        <v>5619069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18 호표  2.12. 주택수급에 관한 사항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18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0.32500000000000001</v>
      </c>
      <c r="Q201" s="141" t="s">
        <v>29</v>
      </c>
      <c r="R201" s="142">
        <f t="shared" ref="R201:S206" ca="1" si="44">T201</f>
        <v>467217</v>
      </c>
      <c r="S201" s="142">
        <f t="shared" ca="1" si="44"/>
        <v>151845</v>
      </c>
      <c r="T201" s="142">
        <f ca="1">기술사</f>
        <v>467217</v>
      </c>
      <c r="U201" s="142">
        <f t="shared" ref="U201:U206" ca="1" si="45">ROUNDDOWN(P201*R201,0)</f>
        <v>151845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0.81200000000000006</v>
      </c>
      <c r="Q202" s="144" t="s">
        <v>29</v>
      </c>
      <c r="R202" s="118">
        <f t="shared" ca="1" si="44"/>
        <v>373353</v>
      </c>
      <c r="S202" s="118">
        <f t="shared" ca="1" si="44"/>
        <v>303162</v>
      </c>
      <c r="T202" s="118">
        <f ca="1">특급</f>
        <v>373353</v>
      </c>
      <c r="U202" s="118">
        <f t="shared" ca="1" si="45"/>
        <v>303162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2.6</v>
      </c>
      <c r="Q203" s="144" t="s">
        <v>29</v>
      </c>
      <c r="R203" s="118">
        <f t="shared" ca="1" si="44"/>
        <v>310884</v>
      </c>
      <c r="S203" s="118">
        <f t="shared" ca="1" si="44"/>
        <v>808298</v>
      </c>
      <c r="T203" s="118">
        <f ca="1">고급</f>
        <v>310884</v>
      </c>
      <c r="U203" s="118">
        <f t="shared" ca="1" si="45"/>
        <v>808298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4.0620000000000003</v>
      </c>
      <c r="Q204" s="144" t="s">
        <v>29</v>
      </c>
      <c r="R204" s="118">
        <f t="shared" ca="1" si="44"/>
        <v>295138</v>
      </c>
      <c r="S204" s="118">
        <f t="shared" ca="1" si="44"/>
        <v>1198850</v>
      </c>
      <c r="T204" s="118">
        <f ca="1">중급</f>
        <v>295138</v>
      </c>
      <c r="U204" s="118">
        <f t="shared" ca="1" si="45"/>
        <v>1198850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6.0119999999999996</v>
      </c>
      <c r="Q205" s="144" t="s">
        <v>29</v>
      </c>
      <c r="R205" s="118">
        <f t="shared" ca="1" si="44"/>
        <v>235459</v>
      </c>
      <c r="S205" s="118">
        <f t="shared" ca="1" si="44"/>
        <v>1415579</v>
      </c>
      <c r="T205" s="118">
        <f ca="1">초급</f>
        <v>235459</v>
      </c>
      <c r="U205" s="118">
        <f t="shared" ca="1" si="45"/>
        <v>1415579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5.85</v>
      </c>
      <c r="Q206" s="322" t="s">
        <v>29</v>
      </c>
      <c r="R206" s="323">
        <f t="shared" ca="1" si="44"/>
        <v>250087</v>
      </c>
      <c r="S206" s="323">
        <f t="shared" ca="1" si="44"/>
        <v>1463008</v>
      </c>
      <c r="T206" s="323">
        <f ca="1">보조원</f>
        <v>250087</v>
      </c>
      <c r="U206" s="323">
        <f t="shared" ca="1" si="45"/>
        <v>1463008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5340742</v>
      </c>
      <c r="T207" s="71"/>
      <c r="U207" s="71">
        <f ca="1">SUBTOTAL(9,U201:U206)</f>
        <v>5340742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19 호표  2.13. 세입자 주거대책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19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0.32500000000000001</v>
      </c>
      <c r="Q209" s="141" t="s">
        <v>29</v>
      </c>
      <c r="R209" s="142">
        <f t="shared" ref="R209:S214" ca="1" si="46">T209</f>
        <v>467217</v>
      </c>
      <c r="S209" s="142">
        <f t="shared" ca="1" si="46"/>
        <v>151845</v>
      </c>
      <c r="T209" s="142">
        <f ca="1">기술사</f>
        <v>467217</v>
      </c>
      <c r="U209" s="142">
        <f t="shared" ref="U209:U214" ca="1" si="47">ROUNDDOWN(P209*R209,0)</f>
        <v>151845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0.81200000000000006</v>
      </c>
      <c r="Q210" s="144" t="s">
        <v>29</v>
      </c>
      <c r="R210" s="118">
        <f t="shared" ca="1" si="46"/>
        <v>373353</v>
      </c>
      <c r="S210" s="118">
        <f t="shared" ca="1" si="46"/>
        <v>303162</v>
      </c>
      <c r="T210" s="118">
        <f ca="1">특급</f>
        <v>373353</v>
      </c>
      <c r="U210" s="118">
        <f t="shared" ca="1" si="47"/>
        <v>303162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2.6</v>
      </c>
      <c r="Q211" s="144" t="s">
        <v>29</v>
      </c>
      <c r="R211" s="118">
        <f t="shared" ca="1" si="46"/>
        <v>310884</v>
      </c>
      <c r="S211" s="118">
        <f t="shared" ca="1" si="46"/>
        <v>808298</v>
      </c>
      <c r="T211" s="118">
        <f ca="1">고급</f>
        <v>310884</v>
      </c>
      <c r="U211" s="118">
        <f t="shared" ca="1" si="47"/>
        <v>808298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4.0620000000000003</v>
      </c>
      <c r="Q212" s="144" t="s">
        <v>29</v>
      </c>
      <c r="R212" s="118">
        <f t="shared" ca="1" si="46"/>
        <v>295138</v>
      </c>
      <c r="S212" s="118">
        <f t="shared" ca="1" si="46"/>
        <v>1198850</v>
      </c>
      <c r="T212" s="118">
        <f ca="1">중급</f>
        <v>295138</v>
      </c>
      <c r="U212" s="118">
        <f t="shared" ca="1" si="47"/>
        <v>1198850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6.0119999999999996</v>
      </c>
      <c r="Q213" s="144" t="s">
        <v>29</v>
      </c>
      <c r="R213" s="118">
        <f t="shared" ca="1" si="46"/>
        <v>235459</v>
      </c>
      <c r="S213" s="118">
        <f t="shared" ca="1" si="46"/>
        <v>1415579</v>
      </c>
      <c r="T213" s="118">
        <f ca="1">초급</f>
        <v>235459</v>
      </c>
      <c r="U213" s="118">
        <f t="shared" ca="1" si="47"/>
        <v>1415579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5.85</v>
      </c>
      <c r="Q214" s="322" t="s">
        <v>29</v>
      </c>
      <c r="R214" s="323">
        <f t="shared" ca="1" si="46"/>
        <v>250087</v>
      </c>
      <c r="S214" s="323">
        <f t="shared" ca="1" si="46"/>
        <v>1463008</v>
      </c>
      <c r="T214" s="323">
        <f ca="1">보조원</f>
        <v>250087</v>
      </c>
      <c r="U214" s="323">
        <f t="shared" ca="1" si="47"/>
        <v>1463008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5340742</v>
      </c>
      <c r="T215" s="71"/>
      <c r="U215" s="71">
        <f ca="1">SUBTOTAL(9,U209:U214)</f>
        <v>5340742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20 호표  2.14. 안전·범죄예방 사항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20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0.32500000000000001</v>
      </c>
      <c r="Q217" s="141" t="s">
        <v>29</v>
      </c>
      <c r="R217" s="142">
        <f t="shared" ref="R217:S222" ca="1" si="48">T217</f>
        <v>467217</v>
      </c>
      <c r="S217" s="142">
        <f t="shared" ca="1" si="48"/>
        <v>151845</v>
      </c>
      <c r="T217" s="142">
        <f ca="1">기술사</f>
        <v>467217</v>
      </c>
      <c r="U217" s="142">
        <f t="shared" ref="U217:U222" ca="1" si="49">ROUNDDOWN(P217*R217,0)</f>
        <v>151845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0.81200000000000006</v>
      </c>
      <c r="Q218" s="144" t="s">
        <v>29</v>
      </c>
      <c r="R218" s="118">
        <f t="shared" ca="1" si="48"/>
        <v>373353</v>
      </c>
      <c r="S218" s="118">
        <f t="shared" ca="1" si="48"/>
        <v>303162</v>
      </c>
      <c r="T218" s="118">
        <f ca="1">특급</f>
        <v>373353</v>
      </c>
      <c r="U218" s="118">
        <f t="shared" ca="1" si="49"/>
        <v>303162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2.6</v>
      </c>
      <c r="Q219" s="144" t="s">
        <v>29</v>
      </c>
      <c r="R219" s="118">
        <f t="shared" ca="1" si="48"/>
        <v>310884</v>
      </c>
      <c r="S219" s="118">
        <f t="shared" ca="1" si="48"/>
        <v>808298</v>
      </c>
      <c r="T219" s="118">
        <f ca="1">고급</f>
        <v>310884</v>
      </c>
      <c r="U219" s="118">
        <f t="shared" ca="1" si="49"/>
        <v>808298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4.0620000000000003</v>
      </c>
      <c r="Q220" s="144" t="s">
        <v>29</v>
      </c>
      <c r="R220" s="118">
        <f t="shared" ca="1" si="48"/>
        <v>295138</v>
      </c>
      <c r="S220" s="118">
        <f t="shared" ca="1" si="48"/>
        <v>1198850</v>
      </c>
      <c r="T220" s="118">
        <f ca="1">중급</f>
        <v>295138</v>
      </c>
      <c r="U220" s="118">
        <f t="shared" ca="1" si="49"/>
        <v>1198850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6.0119999999999996</v>
      </c>
      <c r="Q221" s="144" t="s">
        <v>29</v>
      </c>
      <c r="R221" s="118">
        <f t="shared" ca="1" si="48"/>
        <v>235459</v>
      </c>
      <c r="S221" s="118">
        <f t="shared" ca="1" si="48"/>
        <v>1415579</v>
      </c>
      <c r="T221" s="118">
        <f ca="1">초급</f>
        <v>235459</v>
      </c>
      <c r="U221" s="118">
        <f t="shared" ca="1" si="49"/>
        <v>1415579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5.85</v>
      </c>
      <c r="Q222" s="322" t="s">
        <v>29</v>
      </c>
      <c r="R222" s="323">
        <f t="shared" ca="1" si="48"/>
        <v>250087</v>
      </c>
      <c r="S222" s="323">
        <f t="shared" ca="1" si="48"/>
        <v>1463008</v>
      </c>
      <c r="T222" s="323">
        <f ca="1">보조원</f>
        <v>250087</v>
      </c>
      <c r="U222" s="323">
        <f t="shared" ca="1" si="49"/>
        <v>1463008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5340742</v>
      </c>
      <c r="T223" s="71"/>
      <c r="U223" s="71">
        <f ca="1">SUBTOTAL(9,U217:U222)</f>
        <v>5340742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  <c r="N224" s="318" t="str">
        <f ca="1">"제 " &amp; Z224 &amp; " 호표  "&amp; OFFSET($A$1,MATCH(Z224,$A:$A,0)-1,1)</f>
        <v>제 21 호표  3.1. 보고서작성 및 편집</v>
      </c>
      <c r="O224" s="221"/>
      <c r="P224" s="148"/>
      <c r="Q224" s="148"/>
      <c r="R224" s="149"/>
      <c r="S224" s="149"/>
      <c r="T224" s="149"/>
      <c r="U224" s="149"/>
      <c r="V224" s="149"/>
      <c r="W224" s="149"/>
      <c r="X224" s="149"/>
      <c r="Y224" s="149"/>
      <c r="Z224" s="325">
        <f>Z216+1</f>
        <v>21</v>
      </c>
    </row>
    <row r="225" spans="11:26" ht="18" customHeight="1">
      <c r="K225" s="171" t="s">
        <v>14</v>
      </c>
      <c r="L225" s="171"/>
      <c r="M225" s="171"/>
      <c r="N225" s="140" t="s">
        <v>43</v>
      </c>
      <c r="O225" s="172">
        <v>3</v>
      </c>
      <c r="P225" s="219">
        <f ca="1">OFFSET($A$1,MATCH(Z224,$A:$A,0)-1,O225)</f>
        <v>4.0620000000000003</v>
      </c>
      <c r="Q225" s="141" t="s">
        <v>29</v>
      </c>
      <c r="R225" s="142">
        <f t="shared" ref="R225:S230" ca="1" si="50">T225</f>
        <v>467217</v>
      </c>
      <c r="S225" s="142">
        <f t="shared" ca="1" si="50"/>
        <v>1897835</v>
      </c>
      <c r="T225" s="142">
        <f ca="1">기술사</f>
        <v>467217</v>
      </c>
      <c r="U225" s="142">
        <f t="shared" ref="U225:U230" ca="1" si="51">ROUNDDOWN(P225*R225,0)</f>
        <v>1897835</v>
      </c>
      <c r="V225" s="142"/>
      <c r="W225" s="142"/>
      <c r="X225" s="142"/>
      <c r="Y225" s="142"/>
      <c r="Z225" s="114"/>
    </row>
    <row r="226" spans="11:26" ht="18" customHeight="1">
      <c r="K226" s="171" t="s">
        <v>14</v>
      </c>
      <c r="L226" s="171"/>
      <c r="M226" s="171"/>
      <c r="N226" s="143" t="s">
        <v>32</v>
      </c>
      <c r="O226" s="173">
        <v>4</v>
      </c>
      <c r="P226" s="234">
        <f ca="1">OFFSET($A$1,MATCH(Z224,$A:$A,0)-1,O226)</f>
        <v>7.9619999999999997</v>
      </c>
      <c r="Q226" s="144" t="s">
        <v>29</v>
      </c>
      <c r="R226" s="118">
        <f t="shared" ca="1" si="50"/>
        <v>373353</v>
      </c>
      <c r="S226" s="118">
        <f t="shared" ca="1" si="50"/>
        <v>2972636</v>
      </c>
      <c r="T226" s="118">
        <f ca="1">특급</f>
        <v>373353</v>
      </c>
      <c r="U226" s="118">
        <f t="shared" ca="1" si="51"/>
        <v>2972636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39</v>
      </c>
      <c r="O227" s="173">
        <v>5</v>
      </c>
      <c r="P227" s="234">
        <f ca="1">OFFSET($A$1,MATCH(Z224,$A:$A,0)-1,O227)</f>
        <v>18.2</v>
      </c>
      <c r="Q227" s="144" t="s">
        <v>29</v>
      </c>
      <c r="R227" s="118">
        <f t="shared" ca="1" si="50"/>
        <v>310884</v>
      </c>
      <c r="S227" s="118">
        <f t="shared" ca="1" si="50"/>
        <v>5658088</v>
      </c>
      <c r="T227" s="118">
        <f ca="1">고급</f>
        <v>310884</v>
      </c>
      <c r="U227" s="118">
        <f t="shared" ca="1" si="51"/>
        <v>5658088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40</v>
      </c>
      <c r="O228" s="173">
        <v>6</v>
      </c>
      <c r="P228" s="234">
        <f ca="1">OFFSET($A$1,MATCH(Z224,$A:$A,0)-1,O228)</f>
        <v>30.225000000000001</v>
      </c>
      <c r="Q228" s="144" t="s">
        <v>29</v>
      </c>
      <c r="R228" s="118">
        <f t="shared" ca="1" si="50"/>
        <v>295138</v>
      </c>
      <c r="S228" s="118">
        <f t="shared" ca="1" si="50"/>
        <v>8920546</v>
      </c>
      <c r="T228" s="118">
        <f ca="1">중급</f>
        <v>295138</v>
      </c>
      <c r="U228" s="118">
        <f t="shared" ca="1" si="51"/>
        <v>8920546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41</v>
      </c>
      <c r="O229" s="173">
        <v>7</v>
      </c>
      <c r="P229" s="234">
        <f ca="1">OFFSET($A$1,MATCH(Z224,$A:$A,0)-1,O229)</f>
        <v>30.387</v>
      </c>
      <c r="Q229" s="144" t="s">
        <v>29</v>
      </c>
      <c r="R229" s="118">
        <f t="shared" ca="1" si="50"/>
        <v>235459</v>
      </c>
      <c r="S229" s="118">
        <f t="shared" ca="1" si="50"/>
        <v>7154892</v>
      </c>
      <c r="T229" s="118">
        <f ca="1">초급</f>
        <v>235459</v>
      </c>
      <c r="U229" s="118">
        <f t="shared" ca="1" si="51"/>
        <v>7154892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319" t="s">
        <v>42</v>
      </c>
      <c r="O230" s="174">
        <v>8</v>
      </c>
      <c r="P230" s="235">
        <f ca="1">OFFSET($A$1,MATCH(Z224,$A:$A,0)-1,O230)</f>
        <v>20.312000000000001</v>
      </c>
      <c r="Q230" s="322" t="s">
        <v>29</v>
      </c>
      <c r="R230" s="323">
        <f t="shared" ca="1" si="50"/>
        <v>250087</v>
      </c>
      <c r="S230" s="323">
        <f t="shared" ca="1" si="50"/>
        <v>5079767</v>
      </c>
      <c r="T230" s="323">
        <f ca="1">보조원</f>
        <v>250087</v>
      </c>
      <c r="U230" s="323">
        <f t="shared" ca="1" si="51"/>
        <v>5079767</v>
      </c>
      <c r="V230" s="323"/>
      <c r="W230" s="323"/>
      <c r="X230" s="323"/>
      <c r="Y230" s="323"/>
      <c r="Z230" s="324"/>
    </row>
    <row r="231" spans="11:26" ht="18" customHeight="1">
      <c r="K231" s="171" t="s">
        <v>14</v>
      </c>
      <c r="L231" s="171"/>
      <c r="M231" s="171"/>
      <c r="N231" s="139" t="s">
        <v>17</v>
      </c>
      <c r="O231" s="68"/>
      <c r="P231" s="69"/>
      <c r="Q231" s="70"/>
      <c r="R231" s="71"/>
      <c r="S231" s="71">
        <f ca="1">SUBTOTAL(9,S225:S230)</f>
        <v>31683764</v>
      </c>
      <c r="T231" s="71"/>
      <c r="U231" s="71">
        <f ca="1">SUBTOTAL(9,U225:U230)</f>
        <v>31683764</v>
      </c>
      <c r="V231" s="71"/>
      <c r="W231" s="71"/>
      <c r="X231" s="71"/>
      <c r="Y231" s="71"/>
      <c r="Z231" s="68"/>
    </row>
    <row r="232" spans="11:26" ht="18" customHeight="1">
      <c r="K232" s="171" t="s">
        <v>14</v>
      </c>
      <c r="L232" s="171"/>
      <c r="M232" s="171"/>
      <c r="N232" s="318" t="str">
        <f ca="1">"제 " &amp; Z232 &amp; " 호표  "&amp; OFFSET($A$1,MATCH(Z232,$A:$A,0)-1,1)</f>
        <v>제 22 호표  3.2. 관련도서작성</v>
      </c>
      <c r="O232" s="221"/>
      <c r="P232" s="148"/>
      <c r="Q232" s="148"/>
      <c r="R232" s="149"/>
      <c r="S232" s="149"/>
      <c r="T232" s="149"/>
      <c r="U232" s="149"/>
      <c r="V232" s="149"/>
      <c r="W232" s="149"/>
      <c r="X232" s="149"/>
      <c r="Y232" s="149"/>
      <c r="Z232" s="325">
        <f>Z224+1</f>
        <v>22</v>
      </c>
    </row>
    <row r="233" spans="11:26" ht="18" customHeight="1">
      <c r="K233" s="171" t="s">
        <v>14</v>
      </c>
      <c r="L233" s="171"/>
      <c r="M233" s="171"/>
      <c r="N233" s="140" t="s">
        <v>43</v>
      </c>
      <c r="O233" s="172">
        <v>3</v>
      </c>
      <c r="P233" s="219">
        <f ca="1">OFFSET($A$1,MATCH(Z232,$A:$A,0)-1,O233)</f>
        <v>1.95</v>
      </c>
      <c r="Q233" s="141" t="s">
        <v>29</v>
      </c>
      <c r="R233" s="142">
        <f t="shared" ref="R233:S238" ca="1" si="52">T233</f>
        <v>467217</v>
      </c>
      <c r="S233" s="142">
        <f t="shared" ca="1" si="52"/>
        <v>911073</v>
      </c>
      <c r="T233" s="142">
        <f ca="1">기술사</f>
        <v>467217</v>
      </c>
      <c r="U233" s="142">
        <f t="shared" ref="U233:U238" ca="1" si="53">ROUNDDOWN(P233*R233,0)</f>
        <v>911073</v>
      </c>
      <c r="V233" s="142"/>
      <c r="W233" s="142"/>
      <c r="X233" s="142"/>
      <c r="Y233" s="142"/>
      <c r="Z233" s="114"/>
    </row>
    <row r="234" spans="11:26" ht="18" customHeight="1">
      <c r="K234" s="171" t="s">
        <v>14</v>
      </c>
      <c r="L234" s="171"/>
      <c r="M234" s="171"/>
      <c r="N234" s="143" t="s">
        <v>32</v>
      </c>
      <c r="O234" s="173">
        <v>4</v>
      </c>
      <c r="P234" s="234">
        <f ca="1">OFFSET($A$1,MATCH(Z232,$A:$A,0)-1,O234)</f>
        <v>4.0620000000000003</v>
      </c>
      <c r="Q234" s="144" t="s">
        <v>29</v>
      </c>
      <c r="R234" s="118">
        <f t="shared" ca="1" si="52"/>
        <v>373353</v>
      </c>
      <c r="S234" s="118">
        <f t="shared" ca="1" si="52"/>
        <v>1516559</v>
      </c>
      <c r="T234" s="118">
        <f ca="1">특급</f>
        <v>373353</v>
      </c>
      <c r="U234" s="118">
        <f t="shared" ca="1" si="53"/>
        <v>1516559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39</v>
      </c>
      <c r="O235" s="173">
        <v>5</v>
      </c>
      <c r="P235" s="234">
        <f ca="1">OFFSET($A$1,MATCH(Z232,$A:$A,0)-1,O235)</f>
        <v>9.1</v>
      </c>
      <c r="Q235" s="144" t="s">
        <v>29</v>
      </c>
      <c r="R235" s="118">
        <f t="shared" ca="1" si="52"/>
        <v>310884</v>
      </c>
      <c r="S235" s="118">
        <f t="shared" ca="1" si="52"/>
        <v>2829044</v>
      </c>
      <c r="T235" s="118">
        <f ca="1">고급</f>
        <v>310884</v>
      </c>
      <c r="U235" s="118">
        <f t="shared" ca="1" si="53"/>
        <v>2829044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40</v>
      </c>
      <c r="O236" s="173">
        <v>6</v>
      </c>
      <c r="P236" s="234">
        <f ca="1">OFFSET($A$1,MATCH(Z232,$A:$A,0)-1,O236)</f>
        <v>20.149999999999999</v>
      </c>
      <c r="Q236" s="144" t="s">
        <v>29</v>
      </c>
      <c r="R236" s="118">
        <f t="shared" ca="1" si="52"/>
        <v>295138</v>
      </c>
      <c r="S236" s="118">
        <f t="shared" ca="1" si="52"/>
        <v>5947030</v>
      </c>
      <c r="T236" s="118">
        <f ca="1">중급</f>
        <v>295138</v>
      </c>
      <c r="U236" s="118">
        <f t="shared" ca="1" si="53"/>
        <v>5947030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41</v>
      </c>
      <c r="O237" s="173">
        <v>7</v>
      </c>
      <c r="P237" s="234">
        <f ca="1">OFFSET($A$1,MATCH(Z232,$A:$A,0)-1,O237)</f>
        <v>40.137</v>
      </c>
      <c r="Q237" s="144" t="s">
        <v>29</v>
      </c>
      <c r="R237" s="118">
        <f t="shared" ca="1" si="52"/>
        <v>235459</v>
      </c>
      <c r="S237" s="118">
        <f t="shared" ca="1" si="52"/>
        <v>9450617</v>
      </c>
      <c r="T237" s="118">
        <f ca="1">초급</f>
        <v>235459</v>
      </c>
      <c r="U237" s="118">
        <f t="shared" ca="1" si="53"/>
        <v>9450617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319" t="s">
        <v>42</v>
      </c>
      <c r="O238" s="174">
        <v>8</v>
      </c>
      <c r="P238" s="235">
        <f ca="1">OFFSET($A$1,MATCH(Z232,$A:$A,0)-1,O238)</f>
        <v>50.212000000000003</v>
      </c>
      <c r="Q238" s="322" t="s">
        <v>29</v>
      </c>
      <c r="R238" s="323">
        <f t="shared" ca="1" si="52"/>
        <v>250087</v>
      </c>
      <c r="S238" s="323">
        <f t="shared" ca="1" si="52"/>
        <v>12557368</v>
      </c>
      <c r="T238" s="323">
        <f ca="1">보조원</f>
        <v>250087</v>
      </c>
      <c r="U238" s="323">
        <f t="shared" ca="1" si="53"/>
        <v>12557368</v>
      </c>
      <c r="V238" s="323"/>
      <c r="W238" s="323"/>
      <c r="X238" s="323"/>
      <c r="Y238" s="323"/>
      <c r="Z238" s="324"/>
    </row>
    <row r="239" spans="11:26" ht="18" customHeight="1">
      <c r="K239" s="171" t="s">
        <v>14</v>
      </c>
      <c r="L239" s="171"/>
      <c r="M239" s="171"/>
      <c r="N239" s="139" t="s">
        <v>17</v>
      </c>
      <c r="O239" s="68"/>
      <c r="P239" s="69"/>
      <c r="Q239" s="70"/>
      <c r="R239" s="71"/>
      <c r="S239" s="71">
        <f ca="1">SUBTOTAL(9,S233:S238)</f>
        <v>33211691</v>
      </c>
      <c r="T239" s="71"/>
      <c r="U239" s="71">
        <f ca="1">SUBTOTAL(9,U233:U238)</f>
        <v>33211691</v>
      </c>
      <c r="V239" s="71"/>
      <c r="W239" s="71"/>
      <c r="X239" s="71"/>
      <c r="Y239" s="71"/>
      <c r="Z239" s="68"/>
    </row>
    <row r="240" spans="11:26" ht="18" customHeight="1">
      <c r="K240" s="171" t="s">
        <v>14</v>
      </c>
      <c r="L240" s="171"/>
      <c r="M240" s="171"/>
      <c r="N240" s="318" t="str">
        <f ca="1">"제 " &amp; Z240 &amp; " 호표  "&amp; OFFSET($A$1,MATCH(Z240,$A:$A,0)-1,1)</f>
        <v>제 23 호표  4-1. 공청회/주민설명회</v>
      </c>
      <c r="O240" s="221"/>
      <c r="P240" s="148"/>
      <c r="Q240" s="148"/>
      <c r="R240" s="149"/>
      <c r="S240" s="149"/>
      <c r="T240" s="149"/>
      <c r="U240" s="149"/>
      <c r="V240" s="149"/>
      <c r="W240" s="149"/>
      <c r="X240" s="149"/>
      <c r="Y240" s="149"/>
      <c r="Z240" s="325">
        <f>Z232+1</f>
        <v>23</v>
      </c>
    </row>
    <row r="241" spans="11:26" ht="18" customHeight="1">
      <c r="K241" s="171" t="s">
        <v>14</v>
      </c>
      <c r="L241" s="171"/>
      <c r="M241" s="171"/>
      <c r="N241" s="140" t="s">
        <v>43</v>
      </c>
      <c r="O241" s="172">
        <v>3</v>
      </c>
      <c r="P241" s="219">
        <f ca="1">OFFSET($A$1,MATCH(Z240,$A:$A,0)-1,O241)</f>
        <v>2</v>
      </c>
      <c r="Q241" s="141" t="s">
        <v>29</v>
      </c>
      <c r="R241" s="142">
        <f t="shared" ref="R241:S246" ca="1" si="54">T241</f>
        <v>467217</v>
      </c>
      <c r="S241" s="142">
        <f t="shared" ca="1" si="54"/>
        <v>934434</v>
      </c>
      <c r="T241" s="142">
        <f ca="1">기술사</f>
        <v>467217</v>
      </c>
      <c r="U241" s="142">
        <f t="shared" ref="U241:U246" ca="1" si="55">ROUNDDOWN(P241*R241,0)</f>
        <v>934434</v>
      </c>
      <c r="V241" s="142"/>
      <c r="W241" s="142"/>
      <c r="X241" s="142"/>
      <c r="Y241" s="142"/>
      <c r="Z241" s="114"/>
    </row>
    <row r="242" spans="11:26" ht="18" customHeight="1">
      <c r="K242" s="171" t="s">
        <v>14</v>
      </c>
      <c r="L242" s="171"/>
      <c r="M242" s="171"/>
      <c r="N242" s="143" t="s">
        <v>32</v>
      </c>
      <c r="O242" s="173">
        <v>4</v>
      </c>
      <c r="P242" s="234">
        <f ca="1">OFFSET($A$1,MATCH(Z240,$A:$A,0)-1,O242)</f>
        <v>2</v>
      </c>
      <c r="Q242" s="144" t="s">
        <v>29</v>
      </c>
      <c r="R242" s="118">
        <f t="shared" ca="1" si="54"/>
        <v>373353</v>
      </c>
      <c r="S242" s="118">
        <f t="shared" ca="1" si="54"/>
        <v>746706</v>
      </c>
      <c r="T242" s="118">
        <f ca="1">특급</f>
        <v>373353</v>
      </c>
      <c r="U242" s="118">
        <f t="shared" ca="1" si="55"/>
        <v>746706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145" t="s">
        <v>39</v>
      </c>
      <c r="O243" s="173">
        <v>5</v>
      </c>
      <c r="P243" s="234">
        <f ca="1">OFFSET($A$1,MATCH(Z240,$A:$A,0)-1,O243)</f>
        <v>2</v>
      </c>
      <c r="Q243" s="144" t="s">
        <v>29</v>
      </c>
      <c r="R243" s="118">
        <f t="shared" ca="1" si="54"/>
        <v>310884</v>
      </c>
      <c r="S243" s="118">
        <f t="shared" ca="1" si="54"/>
        <v>621768</v>
      </c>
      <c r="T243" s="118">
        <f ca="1">고급</f>
        <v>310884</v>
      </c>
      <c r="U243" s="118">
        <f t="shared" ca="1" si="55"/>
        <v>621768</v>
      </c>
      <c r="V243" s="118"/>
      <c r="W243" s="118"/>
      <c r="X243" s="118"/>
      <c r="Y243" s="118"/>
      <c r="Z243" s="115"/>
    </row>
    <row r="244" spans="11:26" ht="18" customHeight="1">
      <c r="K244" s="171" t="s">
        <v>14</v>
      </c>
      <c r="L244" s="171"/>
      <c r="M244" s="171"/>
      <c r="N244" s="145" t="s">
        <v>40</v>
      </c>
      <c r="O244" s="173">
        <v>6</v>
      </c>
      <c r="P244" s="234">
        <f ca="1">OFFSET($A$1,MATCH(Z240,$A:$A,0)-1,O244)</f>
        <v>4</v>
      </c>
      <c r="Q244" s="144" t="s">
        <v>29</v>
      </c>
      <c r="R244" s="118">
        <f t="shared" ca="1" si="54"/>
        <v>295138</v>
      </c>
      <c r="S244" s="118">
        <f t="shared" ca="1" si="54"/>
        <v>1180552</v>
      </c>
      <c r="T244" s="118">
        <f ca="1">중급</f>
        <v>295138</v>
      </c>
      <c r="U244" s="118">
        <f t="shared" ca="1" si="55"/>
        <v>1180552</v>
      </c>
      <c r="V244" s="118"/>
      <c r="W244" s="118"/>
      <c r="X244" s="118"/>
      <c r="Y244" s="118"/>
      <c r="Z244" s="115"/>
    </row>
    <row r="245" spans="11:26" ht="18" customHeight="1">
      <c r="K245" s="171" t="s">
        <v>14</v>
      </c>
      <c r="L245" s="171"/>
      <c r="M245" s="171"/>
      <c r="N245" s="145" t="s">
        <v>41</v>
      </c>
      <c r="O245" s="173">
        <v>7</v>
      </c>
      <c r="P245" s="234">
        <f ca="1">OFFSET($A$1,MATCH(Z240,$A:$A,0)-1,O245)</f>
        <v>4</v>
      </c>
      <c r="Q245" s="144" t="s">
        <v>29</v>
      </c>
      <c r="R245" s="118">
        <f t="shared" ca="1" si="54"/>
        <v>235459</v>
      </c>
      <c r="S245" s="118">
        <f t="shared" ca="1" si="54"/>
        <v>941836</v>
      </c>
      <c r="T245" s="118">
        <f ca="1">초급</f>
        <v>235459</v>
      </c>
      <c r="U245" s="118">
        <f t="shared" ca="1" si="55"/>
        <v>941836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319" t="s">
        <v>42</v>
      </c>
      <c r="O246" s="174">
        <v>8</v>
      </c>
      <c r="P246" s="235">
        <f ca="1">OFFSET($A$1,MATCH(Z240,$A:$A,0)-1,O246)</f>
        <v>4</v>
      </c>
      <c r="Q246" s="322" t="s">
        <v>29</v>
      </c>
      <c r="R246" s="323">
        <f t="shared" ca="1" si="54"/>
        <v>250087</v>
      </c>
      <c r="S246" s="323">
        <f t="shared" ca="1" si="54"/>
        <v>1000348</v>
      </c>
      <c r="T246" s="323">
        <f ca="1">보조원</f>
        <v>250087</v>
      </c>
      <c r="U246" s="323">
        <f t="shared" ca="1" si="55"/>
        <v>1000348</v>
      </c>
      <c r="V246" s="323"/>
      <c r="W246" s="323"/>
      <c r="X246" s="323"/>
      <c r="Y246" s="323"/>
      <c r="Z246" s="324"/>
    </row>
    <row r="247" spans="11:26" ht="18" customHeight="1">
      <c r="K247" s="171" t="s">
        <v>14</v>
      </c>
      <c r="L247" s="171"/>
      <c r="M247" s="171"/>
      <c r="N247" s="139" t="s">
        <v>17</v>
      </c>
      <c r="O247" s="68"/>
      <c r="P247" s="69"/>
      <c r="Q247" s="70"/>
      <c r="R247" s="71"/>
      <c r="S247" s="71">
        <f ca="1">SUBTOTAL(9,S241:S246)</f>
        <v>5425644</v>
      </c>
      <c r="T247" s="71"/>
      <c r="U247" s="71">
        <f ca="1">SUBTOTAL(9,U241:U246)</f>
        <v>5425644</v>
      </c>
      <c r="V247" s="71"/>
      <c r="W247" s="71"/>
      <c r="X247" s="71"/>
      <c r="Y247" s="71"/>
      <c r="Z247" s="68"/>
    </row>
    <row r="248" spans="11:26" ht="18" customHeight="1">
      <c r="K248" s="171" t="s">
        <v>14</v>
      </c>
      <c r="L248" s="171"/>
      <c r="M248" s="171"/>
      <c r="N248" s="318" t="str">
        <f ca="1">"제 " &amp; Z248 &amp; " 호표  "&amp; OFFSET($A$1,MATCH(Z248,$A:$A,0)-1,1)</f>
        <v>제 24 호표  4-2. 주민간담회/시민계획단</v>
      </c>
      <c r="O248" s="221"/>
      <c r="P248" s="148"/>
      <c r="Q248" s="148"/>
      <c r="R248" s="149"/>
      <c r="S248" s="149"/>
      <c r="T248" s="149"/>
      <c r="U248" s="149"/>
      <c r="V248" s="149"/>
      <c r="W248" s="149"/>
      <c r="X248" s="149"/>
      <c r="Y248" s="149"/>
      <c r="Z248" s="325">
        <f>Z240+1</f>
        <v>24</v>
      </c>
    </row>
    <row r="249" spans="11:26" ht="18" customHeight="1">
      <c r="K249" s="171" t="s">
        <v>14</v>
      </c>
      <c r="L249" s="171"/>
      <c r="M249" s="171"/>
      <c r="N249" s="140" t="s">
        <v>43</v>
      </c>
      <c r="O249" s="172">
        <v>3</v>
      </c>
      <c r="P249" s="219">
        <f ca="1">OFFSET($A$1,MATCH(Z248,$A:$A,0)-1,O249)</f>
        <v>2</v>
      </c>
      <c r="Q249" s="141" t="s">
        <v>29</v>
      </c>
      <c r="R249" s="142">
        <f t="shared" ref="R249:S254" ca="1" si="56">T249</f>
        <v>467217</v>
      </c>
      <c r="S249" s="142">
        <f t="shared" ca="1" si="56"/>
        <v>934434</v>
      </c>
      <c r="T249" s="142">
        <f ca="1">기술사</f>
        <v>467217</v>
      </c>
      <c r="U249" s="142">
        <f t="shared" ref="U249:U254" ca="1" si="57">ROUNDDOWN(P249*R249,0)</f>
        <v>934434</v>
      </c>
      <c r="V249" s="142"/>
      <c r="W249" s="142"/>
      <c r="X249" s="142"/>
      <c r="Y249" s="142"/>
      <c r="Z249" s="114"/>
    </row>
    <row r="250" spans="11:26" ht="18" customHeight="1">
      <c r="K250" s="171" t="s">
        <v>14</v>
      </c>
      <c r="L250" s="171"/>
      <c r="M250" s="171"/>
      <c r="N250" s="143" t="s">
        <v>32</v>
      </c>
      <c r="O250" s="173">
        <v>4</v>
      </c>
      <c r="P250" s="234">
        <f ca="1">OFFSET($A$1,MATCH(Z248,$A:$A,0)-1,O250)</f>
        <v>2</v>
      </c>
      <c r="Q250" s="144" t="s">
        <v>29</v>
      </c>
      <c r="R250" s="118">
        <f t="shared" ca="1" si="56"/>
        <v>373353</v>
      </c>
      <c r="S250" s="118">
        <f t="shared" ca="1" si="56"/>
        <v>746706</v>
      </c>
      <c r="T250" s="118">
        <f ca="1">특급</f>
        <v>373353</v>
      </c>
      <c r="U250" s="118">
        <f t="shared" ca="1" si="57"/>
        <v>746706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145" t="s">
        <v>39</v>
      </c>
      <c r="O251" s="173">
        <v>5</v>
      </c>
      <c r="P251" s="234">
        <f ca="1">OFFSET($A$1,MATCH(Z248,$A:$A,0)-1,O251)</f>
        <v>2</v>
      </c>
      <c r="Q251" s="144" t="s">
        <v>29</v>
      </c>
      <c r="R251" s="118">
        <f t="shared" ca="1" si="56"/>
        <v>310884</v>
      </c>
      <c r="S251" s="118">
        <f t="shared" ca="1" si="56"/>
        <v>621768</v>
      </c>
      <c r="T251" s="118">
        <f ca="1">고급</f>
        <v>310884</v>
      </c>
      <c r="U251" s="118">
        <f t="shared" ca="1" si="57"/>
        <v>621768</v>
      </c>
      <c r="V251" s="118"/>
      <c r="W251" s="118"/>
      <c r="X251" s="118"/>
      <c r="Y251" s="118"/>
      <c r="Z251" s="115"/>
    </row>
    <row r="252" spans="11:26" ht="18" customHeight="1">
      <c r="K252" s="171" t="s">
        <v>14</v>
      </c>
      <c r="L252" s="171"/>
      <c r="M252" s="171"/>
      <c r="N252" s="145" t="s">
        <v>40</v>
      </c>
      <c r="O252" s="173">
        <v>6</v>
      </c>
      <c r="P252" s="234">
        <f ca="1">OFFSET($A$1,MATCH(Z248,$A:$A,0)-1,O252)</f>
        <v>4</v>
      </c>
      <c r="Q252" s="144" t="s">
        <v>29</v>
      </c>
      <c r="R252" s="118">
        <f t="shared" ca="1" si="56"/>
        <v>295138</v>
      </c>
      <c r="S252" s="118">
        <f t="shared" ca="1" si="56"/>
        <v>1180552</v>
      </c>
      <c r="T252" s="118">
        <f ca="1">중급</f>
        <v>295138</v>
      </c>
      <c r="U252" s="118">
        <f t="shared" ca="1" si="57"/>
        <v>1180552</v>
      </c>
      <c r="V252" s="118"/>
      <c r="W252" s="118"/>
      <c r="X252" s="118"/>
      <c r="Y252" s="118"/>
      <c r="Z252" s="115"/>
    </row>
    <row r="253" spans="11:26" ht="18" customHeight="1">
      <c r="K253" s="171" t="s">
        <v>14</v>
      </c>
      <c r="L253" s="171"/>
      <c r="M253" s="171"/>
      <c r="N253" s="145" t="s">
        <v>41</v>
      </c>
      <c r="O253" s="173">
        <v>7</v>
      </c>
      <c r="P253" s="234">
        <f ca="1">OFFSET($A$1,MATCH(Z248,$A:$A,0)-1,O253)</f>
        <v>4</v>
      </c>
      <c r="Q253" s="144" t="s">
        <v>29</v>
      </c>
      <c r="R253" s="118">
        <f t="shared" ca="1" si="56"/>
        <v>235459</v>
      </c>
      <c r="S253" s="118">
        <f t="shared" ca="1" si="56"/>
        <v>941836</v>
      </c>
      <c r="T253" s="118">
        <f ca="1">초급</f>
        <v>235459</v>
      </c>
      <c r="U253" s="118">
        <f t="shared" ca="1" si="57"/>
        <v>941836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319" t="s">
        <v>42</v>
      </c>
      <c r="O254" s="174">
        <v>8</v>
      </c>
      <c r="P254" s="235">
        <f ca="1">OFFSET($A$1,MATCH(Z248,$A:$A,0)-1,O254)</f>
        <v>4</v>
      </c>
      <c r="Q254" s="322" t="s">
        <v>29</v>
      </c>
      <c r="R254" s="323">
        <f t="shared" ca="1" si="56"/>
        <v>250087</v>
      </c>
      <c r="S254" s="323">
        <f t="shared" ca="1" si="56"/>
        <v>1000348</v>
      </c>
      <c r="T254" s="323">
        <f ca="1">보조원</f>
        <v>250087</v>
      </c>
      <c r="U254" s="323">
        <f t="shared" ca="1" si="57"/>
        <v>1000348</v>
      </c>
      <c r="V254" s="323"/>
      <c r="W254" s="323"/>
      <c r="X254" s="323"/>
      <c r="Y254" s="323"/>
      <c r="Z254" s="324"/>
    </row>
    <row r="255" spans="11:26" ht="18" customHeight="1">
      <c r="K255" s="171" t="s">
        <v>14</v>
      </c>
      <c r="L255" s="171"/>
      <c r="M255" s="171"/>
      <c r="N255" s="139" t="s">
        <v>17</v>
      </c>
      <c r="O255" s="68"/>
      <c r="P255" s="69"/>
      <c r="Q255" s="70"/>
      <c r="R255" s="71"/>
      <c r="S255" s="71">
        <f ca="1">SUBTOTAL(9,S249:S254)</f>
        <v>5425644</v>
      </c>
      <c r="T255" s="71"/>
      <c r="U255" s="71">
        <f ca="1">SUBTOTAL(9,U249:U254)</f>
        <v>5425644</v>
      </c>
      <c r="V255" s="71"/>
      <c r="W255" s="71"/>
      <c r="X255" s="71"/>
      <c r="Y255" s="71"/>
      <c r="Z255" s="68"/>
    </row>
    <row r="256" spans="11:26" ht="18" customHeight="1">
      <c r="K256" s="171" t="s">
        <v>14</v>
      </c>
      <c r="L256" s="171"/>
      <c r="M256" s="171"/>
      <c r="N256" s="318" t="str">
        <f ca="1">"제 " &amp; Z256 &amp; " 호표  "&amp; OFFSET($A$1,MATCH(Z256,$A:$A,0)-1,1)</f>
        <v>제 25 호표  4-3. 위원회심의 지원</v>
      </c>
      <c r="O256" s="221"/>
      <c r="P256" s="148"/>
      <c r="Q256" s="148"/>
      <c r="R256" s="149"/>
      <c r="S256" s="149"/>
      <c r="T256" s="149"/>
      <c r="U256" s="149"/>
      <c r="V256" s="149"/>
      <c r="W256" s="149"/>
      <c r="X256" s="149"/>
      <c r="Y256" s="149"/>
      <c r="Z256" s="325">
        <f>Z248+1</f>
        <v>25</v>
      </c>
    </row>
    <row r="257" spans="11:26" ht="18" customHeight="1">
      <c r="K257" s="171" t="s">
        <v>14</v>
      </c>
      <c r="L257" s="171"/>
      <c r="M257" s="171"/>
      <c r="N257" s="140" t="s">
        <v>43</v>
      </c>
      <c r="O257" s="172">
        <v>3</v>
      </c>
      <c r="P257" s="219">
        <f ca="1">OFFSET($A$1,MATCH(Z256,$A:$A,0)-1,O257)</f>
        <v>2</v>
      </c>
      <c r="Q257" s="141" t="s">
        <v>29</v>
      </c>
      <c r="R257" s="142">
        <f t="shared" ref="R257:S262" ca="1" si="58">T257</f>
        <v>467217</v>
      </c>
      <c r="S257" s="142">
        <f t="shared" ca="1" si="58"/>
        <v>934434</v>
      </c>
      <c r="T257" s="142">
        <f ca="1">기술사</f>
        <v>467217</v>
      </c>
      <c r="U257" s="142">
        <f t="shared" ref="U257:U262" ca="1" si="59">ROUNDDOWN(P257*R257,0)</f>
        <v>934434</v>
      </c>
      <c r="V257" s="142"/>
      <c r="W257" s="142"/>
      <c r="X257" s="142"/>
      <c r="Y257" s="142"/>
      <c r="Z257" s="114"/>
    </row>
    <row r="258" spans="11:26" ht="18" customHeight="1">
      <c r="K258" s="171" t="s">
        <v>14</v>
      </c>
      <c r="L258" s="171"/>
      <c r="M258" s="171"/>
      <c r="N258" s="143" t="s">
        <v>32</v>
      </c>
      <c r="O258" s="173">
        <v>4</v>
      </c>
      <c r="P258" s="234">
        <f ca="1">OFFSET($A$1,MATCH(Z256,$A:$A,0)-1,O258)</f>
        <v>2</v>
      </c>
      <c r="Q258" s="144" t="s">
        <v>29</v>
      </c>
      <c r="R258" s="118">
        <f t="shared" ca="1" si="58"/>
        <v>373353</v>
      </c>
      <c r="S258" s="118">
        <f t="shared" ca="1" si="58"/>
        <v>746706</v>
      </c>
      <c r="T258" s="118">
        <f ca="1">특급</f>
        <v>373353</v>
      </c>
      <c r="U258" s="118">
        <f t="shared" ca="1" si="59"/>
        <v>746706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145" t="s">
        <v>39</v>
      </c>
      <c r="O259" s="173">
        <v>5</v>
      </c>
      <c r="P259" s="234">
        <f ca="1">OFFSET($A$1,MATCH(Z256,$A:$A,0)-1,O259)</f>
        <v>2</v>
      </c>
      <c r="Q259" s="144" t="s">
        <v>29</v>
      </c>
      <c r="R259" s="118">
        <f t="shared" ca="1" si="58"/>
        <v>310884</v>
      </c>
      <c r="S259" s="118">
        <f t="shared" ca="1" si="58"/>
        <v>621768</v>
      </c>
      <c r="T259" s="118">
        <f ca="1">고급</f>
        <v>310884</v>
      </c>
      <c r="U259" s="118">
        <f t="shared" ca="1" si="59"/>
        <v>621768</v>
      </c>
      <c r="V259" s="118"/>
      <c r="W259" s="118"/>
      <c r="X259" s="118"/>
      <c r="Y259" s="118"/>
      <c r="Z259" s="115"/>
    </row>
    <row r="260" spans="11:26" ht="18" customHeight="1">
      <c r="K260" s="171" t="s">
        <v>14</v>
      </c>
      <c r="L260" s="171"/>
      <c r="M260" s="171"/>
      <c r="N260" s="145" t="s">
        <v>40</v>
      </c>
      <c r="O260" s="173">
        <v>6</v>
      </c>
      <c r="P260" s="234">
        <f ca="1">OFFSET($A$1,MATCH(Z256,$A:$A,0)-1,O260)</f>
        <v>4</v>
      </c>
      <c r="Q260" s="144" t="s">
        <v>29</v>
      </c>
      <c r="R260" s="118">
        <f t="shared" ca="1" si="58"/>
        <v>295138</v>
      </c>
      <c r="S260" s="118">
        <f t="shared" ca="1" si="58"/>
        <v>1180552</v>
      </c>
      <c r="T260" s="118">
        <f ca="1">중급</f>
        <v>295138</v>
      </c>
      <c r="U260" s="118">
        <f t="shared" ca="1" si="59"/>
        <v>1180552</v>
      </c>
      <c r="V260" s="118"/>
      <c r="W260" s="118"/>
      <c r="X260" s="118"/>
      <c r="Y260" s="118"/>
      <c r="Z260" s="115"/>
    </row>
    <row r="261" spans="11:26" ht="18" customHeight="1">
      <c r="K261" s="171" t="s">
        <v>14</v>
      </c>
      <c r="L261" s="171"/>
      <c r="M261" s="171"/>
      <c r="N261" s="145" t="s">
        <v>41</v>
      </c>
      <c r="O261" s="173">
        <v>7</v>
      </c>
      <c r="P261" s="234">
        <f ca="1">OFFSET($A$1,MATCH(Z256,$A:$A,0)-1,O261)</f>
        <v>4</v>
      </c>
      <c r="Q261" s="144" t="s">
        <v>29</v>
      </c>
      <c r="R261" s="118">
        <f t="shared" ca="1" si="58"/>
        <v>235459</v>
      </c>
      <c r="S261" s="118">
        <f t="shared" ca="1" si="58"/>
        <v>941836</v>
      </c>
      <c r="T261" s="118">
        <f ca="1">초급</f>
        <v>235459</v>
      </c>
      <c r="U261" s="118">
        <f t="shared" ca="1" si="59"/>
        <v>941836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319" t="s">
        <v>42</v>
      </c>
      <c r="O262" s="174">
        <v>8</v>
      </c>
      <c r="P262" s="235">
        <f ca="1">OFFSET($A$1,MATCH(Z256,$A:$A,0)-1,O262)</f>
        <v>4</v>
      </c>
      <c r="Q262" s="322" t="s">
        <v>29</v>
      </c>
      <c r="R262" s="323">
        <f t="shared" ca="1" si="58"/>
        <v>250087</v>
      </c>
      <c r="S262" s="323">
        <f t="shared" ca="1" si="58"/>
        <v>1000348</v>
      </c>
      <c r="T262" s="323">
        <f ca="1">보조원</f>
        <v>250087</v>
      </c>
      <c r="U262" s="323">
        <f t="shared" ca="1" si="59"/>
        <v>1000348</v>
      </c>
      <c r="V262" s="323"/>
      <c r="W262" s="323"/>
      <c r="X262" s="323"/>
      <c r="Y262" s="323"/>
      <c r="Z262" s="324"/>
    </row>
    <row r="263" spans="11:26" ht="18" customHeight="1">
      <c r="K263" s="171" t="s">
        <v>14</v>
      </c>
      <c r="L263" s="171"/>
      <c r="M263" s="171"/>
      <c r="N263" s="139" t="s">
        <v>17</v>
      </c>
      <c r="O263" s="68"/>
      <c r="P263" s="69"/>
      <c r="Q263" s="70"/>
      <c r="R263" s="71"/>
      <c r="S263" s="71">
        <f ca="1">SUBTOTAL(9,S257:S262)</f>
        <v>5425644</v>
      </c>
      <c r="T263" s="71"/>
      <c r="U263" s="71">
        <f ca="1">SUBTOTAL(9,U257:U262)</f>
        <v>5425644</v>
      </c>
      <c r="V263" s="71"/>
      <c r="W263" s="71"/>
      <c r="X263" s="71"/>
      <c r="Y263" s="71"/>
      <c r="Z263" s="68"/>
    </row>
    <row r="264" spans="11:26" ht="18" customHeight="1">
      <c r="K264" s="171" t="s">
        <v>14</v>
      </c>
      <c r="L264" s="171"/>
      <c r="M264" s="171"/>
      <c r="N264" s="318" t="str">
        <f ca="1">"제 " &amp; Z264 &amp; " 호표  "&amp; OFFSET($A$1,MATCH(Z264,$A:$A,0)-1,1)</f>
        <v>제 26 호표  4-4. 관계기관 협의</v>
      </c>
      <c r="O264" s="221"/>
      <c r="P264" s="148"/>
      <c r="Q264" s="148"/>
      <c r="R264" s="149"/>
      <c r="S264" s="149"/>
      <c r="T264" s="149"/>
      <c r="U264" s="149"/>
      <c r="V264" s="149"/>
      <c r="W264" s="149"/>
      <c r="X264" s="149"/>
      <c r="Y264" s="149"/>
      <c r="Z264" s="325">
        <f>Z256+1</f>
        <v>26</v>
      </c>
    </row>
    <row r="265" spans="11:26" ht="18" customHeight="1">
      <c r="K265" s="171" t="s">
        <v>14</v>
      </c>
      <c r="L265" s="171"/>
      <c r="M265" s="171"/>
      <c r="N265" s="140" t="s">
        <v>43</v>
      </c>
      <c r="O265" s="172">
        <v>3</v>
      </c>
      <c r="P265" s="219">
        <f ca="1">OFFSET($A$1,MATCH(Z264,$A:$A,0)-1,O265)</f>
        <v>2</v>
      </c>
      <c r="Q265" s="141" t="s">
        <v>29</v>
      </c>
      <c r="R265" s="142">
        <f t="shared" ref="R265:S270" ca="1" si="60">T265</f>
        <v>467217</v>
      </c>
      <c r="S265" s="142">
        <f t="shared" ca="1" si="60"/>
        <v>934434</v>
      </c>
      <c r="T265" s="142">
        <f ca="1">기술사</f>
        <v>467217</v>
      </c>
      <c r="U265" s="142">
        <f t="shared" ref="U265:U270" ca="1" si="61">ROUNDDOWN(P265*R265,0)</f>
        <v>934434</v>
      </c>
      <c r="V265" s="142"/>
      <c r="W265" s="142"/>
      <c r="X265" s="142"/>
      <c r="Y265" s="142"/>
      <c r="Z265" s="114"/>
    </row>
    <row r="266" spans="11:26" ht="18" customHeight="1">
      <c r="K266" s="171" t="s">
        <v>14</v>
      </c>
      <c r="L266" s="171"/>
      <c r="M266" s="171"/>
      <c r="N266" s="143" t="s">
        <v>32</v>
      </c>
      <c r="O266" s="173">
        <v>4</v>
      </c>
      <c r="P266" s="234">
        <f ca="1">OFFSET($A$1,MATCH(Z264,$A:$A,0)-1,O266)</f>
        <v>2</v>
      </c>
      <c r="Q266" s="144" t="s">
        <v>29</v>
      </c>
      <c r="R266" s="118">
        <f t="shared" ca="1" si="60"/>
        <v>373353</v>
      </c>
      <c r="S266" s="118">
        <f t="shared" ca="1" si="60"/>
        <v>746706</v>
      </c>
      <c r="T266" s="118">
        <f ca="1">특급</f>
        <v>373353</v>
      </c>
      <c r="U266" s="118">
        <f t="shared" ca="1" si="61"/>
        <v>746706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145" t="s">
        <v>39</v>
      </c>
      <c r="O267" s="173">
        <v>5</v>
      </c>
      <c r="P267" s="234">
        <f ca="1">OFFSET($A$1,MATCH(Z264,$A:$A,0)-1,O267)</f>
        <v>2</v>
      </c>
      <c r="Q267" s="144" t="s">
        <v>29</v>
      </c>
      <c r="R267" s="118">
        <f t="shared" ca="1" si="60"/>
        <v>310884</v>
      </c>
      <c r="S267" s="118">
        <f t="shared" ca="1" si="60"/>
        <v>621768</v>
      </c>
      <c r="T267" s="118">
        <f ca="1">고급</f>
        <v>310884</v>
      </c>
      <c r="U267" s="118">
        <f t="shared" ca="1" si="61"/>
        <v>621768</v>
      </c>
      <c r="V267" s="118"/>
      <c r="W267" s="118"/>
      <c r="X267" s="118"/>
      <c r="Y267" s="118"/>
      <c r="Z267" s="115"/>
    </row>
    <row r="268" spans="11:26" ht="18" customHeight="1">
      <c r="K268" s="171" t="s">
        <v>14</v>
      </c>
      <c r="L268" s="171"/>
      <c r="M268" s="171"/>
      <c r="N268" s="145" t="s">
        <v>40</v>
      </c>
      <c r="O268" s="173">
        <v>6</v>
      </c>
      <c r="P268" s="234">
        <f ca="1">OFFSET($A$1,MATCH(Z264,$A:$A,0)-1,O268)</f>
        <v>4</v>
      </c>
      <c r="Q268" s="144" t="s">
        <v>29</v>
      </c>
      <c r="R268" s="118">
        <f t="shared" ca="1" si="60"/>
        <v>295138</v>
      </c>
      <c r="S268" s="118">
        <f t="shared" ca="1" si="60"/>
        <v>1180552</v>
      </c>
      <c r="T268" s="118">
        <f ca="1">중급</f>
        <v>295138</v>
      </c>
      <c r="U268" s="118">
        <f t="shared" ca="1" si="61"/>
        <v>1180552</v>
      </c>
      <c r="V268" s="118"/>
      <c r="W268" s="118"/>
      <c r="X268" s="118"/>
      <c r="Y268" s="118"/>
      <c r="Z268" s="115"/>
    </row>
    <row r="269" spans="11:26" ht="18" customHeight="1">
      <c r="K269" s="171" t="s">
        <v>14</v>
      </c>
      <c r="L269" s="171"/>
      <c r="M269" s="171"/>
      <c r="N269" s="145" t="s">
        <v>41</v>
      </c>
      <c r="O269" s="173">
        <v>7</v>
      </c>
      <c r="P269" s="234">
        <f ca="1">OFFSET($A$1,MATCH(Z264,$A:$A,0)-1,O269)</f>
        <v>4</v>
      </c>
      <c r="Q269" s="144" t="s">
        <v>29</v>
      </c>
      <c r="R269" s="118">
        <f t="shared" ca="1" si="60"/>
        <v>235459</v>
      </c>
      <c r="S269" s="118">
        <f t="shared" ca="1" si="60"/>
        <v>941836</v>
      </c>
      <c r="T269" s="118">
        <f ca="1">초급</f>
        <v>235459</v>
      </c>
      <c r="U269" s="118">
        <f t="shared" ca="1" si="61"/>
        <v>941836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319" t="s">
        <v>42</v>
      </c>
      <c r="O270" s="174">
        <v>8</v>
      </c>
      <c r="P270" s="235">
        <f ca="1">OFFSET($A$1,MATCH(Z264,$A:$A,0)-1,O270)</f>
        <v>4</v>
      </c>
      <c r="Q270" s="322" t="s">
        <v>29</v>
      </c>
      <c r="R270" s="323">
        <f t="shared" ca="1" si="60"/>
        <v>250087</v>
      </c>
      <c r="S270" s="323">
        <f t="shared" ca="1" si="60"/>
        <v>1000348</v>
      </c>
      <c r="T270" s="323">
        <f ca="1">보조원</f>
        <v>250087</v>
      </c>
      <c r="U270" s="323">
        <f t="shared" ca="1" si="61"/>
        <v>1000348</v>
      </c>
      <c r="V270" s="323"/>
      <c r="W270" s="323"/>
      <c r="X270" s="323"/>
      <c r="Y270" s="323"/>
      <c r="Z270" s="324"/>
    </row>
    <row r="271" spans="11:26" ht="18" customHeight="1">
      <c r="K271" s="171" t="s">
        <v>14</v>
      </c>
      <c r="L271" s="171"/>
      <c r="M271" s="171"/>
      <c r="N271" s="139" t="s">
        <v>17</v>
      </c>
      <c r="O271" s="68"/>
      <c r="P271" s="69"/>
      <c r="Q271" s="70"/>
      <c r="R271" s="71"/>
      <c r="S271" s="71">
        <f ca="1">SUBTOTAL(9,S265:S270)</f>
        <v>5425644</v>
      </c>
      <c r="T271" s="71"/>
      <c r="U271" s="71">
        <f ca="1">SUBTOTAL(9,U265:U270)</f>
        <v>5425644</v>
      </c>
      <c r="V271" s="71"/>
      <c r="W271" s="71"/>
      <c r="X271" s="71"/>
      <c r="Y271" s="71"/>
      <c r="Z271" s="68"/>
    </row>
    <row r="272" spans="11:26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</row>
    <row r="825" spans="11:13" ht="18" customHeight="1">
      <c r="K825" s="171" t="s">
        <v>14</v>
      </c>
      <c r="L825" s="171"/>
    </row>
    <row r="826" spans="11:13" ht="18" customHeight="1">
      <c r="K826" s="171" t="s">
        <v>14</v>
      </c>
      <c r="L826" s="171"/>
    </row>
    <row r="827" spans="11:13" ht="18" customHeight="1">
      <c r="K827" s="171" t="s">
        <v>14</v>
      </c>
      <c r="L827" s="171"/>
    </row>
    <row r="828" spans="11:13" ht="18" customHeight="1">
      <c r="K828" s="171" t="s">
        <v>14</v>
      </c>
      <c r="L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L836" s="171"/>
    </row>
    <row r="837" spans="11:12" ht="18" customHeight="1">
      <c r="L837" s="171"/>
    </row>
    <row r="838" spans="11:12" ht="18" customHeight="1">
      <c r="L838" s="171"/>
    </row>
  </sheetData>
  <mergeCells count="14">
    <mergeCell ref="B3:C3"/>
    <mergeCell ref="B4:C4"/>
    <mergeCell ref="B5:C5"/>
    <mergeCell ref="Z62:Z63"/>
    <mergeCell ref="B13:C14"/>
    <mergeCell ref="J13:J14"/>
    <mergeCell ref="L13:L14"/>
    <mergeCell ref="N62:N63"/>
    <mergeCell ref="O62:O63"/>
    <mergeCell ref="G3:H3"/>
    <mergeCell ref="G4:H4"/>
    <mergeCell ref="G5:H5"/>
    <mergeCell ref="P62:P63"/>
    <mergeCell ref="Q62:Q63"/>
  </mergeCells>
  <phoneticPr fontId="14" type="noConversion"/>
  <conditionalFormatting sqref="V15:V45">
    <cfRule type="cellIs" dxfId="4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0" min="13" max="28" man="1"/>
    <brk id="81" min="13" max="28" man="1"/>
  </row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74">
    <tabColor rgb="FF00B0F0"/>
    <pageSetUpPr fitToPage="1"/>
  </sheetPr>
  <dimension ref="A1:Z843"/>
  <sheetViews>
    <sheetView showGridLines="0" topLeftCell="A40" zoomScale="85" zoomScaleNormal="85" zoomScaleSheetLayoutView="75" workbookViewId="0">
      <selection activeCell="D71" sqref="D71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855</v>
      </c>
    </row>
    <row r="2" spans="1:26" ht="19.5" thickBot="1">
      <c r="B2" s="66" t="s">
        <v>1</v>
      </c>
    </row>
    <row r="3" spans="1:26" ht="19.5" customHeight="1">
      <c r="A3" s="327"/>
      <c r="B3" s="773" t="s">
        <v>48</v>
      </c>
      <c r="C3" s="774"/>
      <c r="D3" s="716"/>
      <c r="E3" s="717">
        <v>5</v>
      </c>
      <c r="F3" s="44" t="s">
        <v>393</v>
      </c>
      <c r="G3" s="838" t="s">
        <v>1104</v>
      </c>
      <c r="H3" s="839"/>
      <c r="I3" s="656">
        <v>2</v>
      </c>
      <c r="J3" s="669" t="s">
        <v>794</v>
      </c>
      <c r="K3" s="6"/>
      <c r="L3" s="6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A4" s="327"/>
      <c r="B4" s="777" t="s">
        <v>1329</v>
      </c>
      <c r="C4" s="778"/>
      <c r="D4" s="718"/>
      <c r="E4" s="719">
        <v>10</v>
      </c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M4" s="6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A5" s="327"/>
      <c r="B5" s="781" t="s">
        <v>2020</v>
      </c>
      <c r="C5" s="782"/>
      <c r="D5" s="720"/>
      <c r="E5" s="721">
        <f>ROUND((IF(E4&lt;=5,3,E4)/E3)^0.7,3)</f>
        <v>1.625</v>
      </c>
      <c r="F5" s="681"/>
      <c r="G5" s="817" t="s">
        <v>1102</v>
      </c>
      <c r="H5" s="818"/>
      <c r="I5" s="646">
        <f>ROUND(I4/I3,3)</f>
        <v>1</v>
      </c>
      <c r="J5" s="671"/>
      <c r="K5" s="6"/>
      <c r="L5" s="6"/>
      <c r="M5" s="6"/>
      <c r="N5" s="6"/>
      <c r="O5" s="6"/>
      <c r="P5" s="6"/>
      <c r="Q5" s="6"/>
      <c r="R5" s="1"/>
      <c r="S5" s="1"/>
      <c r="T5" s="1"/>
      <c r="U5" s="1"/>
      <c r="V5" s="1"/>
      <c r="W5" s="1"/>
      <c r="X5" s="1"/>
      <c r="Y5" s="1"/>
    </row>
    <row r="6" spans="1:26" ht="23.25" customHeight="1">
      <c r="A6" s="327"/>
      <c r="B6" s="9" t="s">
        <v>2021</v>
      </c>
      <c r="C6" s="9"/>
      <c r="D6" s="64"/>
      <c r="E6" s="64"/>
      <c r="G6" s="9" t="s">
        <v>1107</v>
      </c>
      <c r="J6" s="36"/>
      <c r="K6" s="6"/>
      <c r="L6" s="6"/>
      <c r="M6" s="6"/>
      <c r="N6" s="6"/>
      <c r="O6" s="6"/>
      <c r="P6" s="6"/>
      <c r="Q6" s="6"/>
      <c r="R6" s="1"/>
      <c r="S6" s="1"/>
      <c r="T6" s="1"/>
      <c r="U6" s="1"/>
      <c r="V6" s="1"/>
      <c r="W6" s="1"/>
      <c r="X6" s="1"/>
      <c r="Y6" s="1"/>
    </row>
    <row r="7" spans="1:26" ht="23.25" customHeight="1">
      <c r="A7" s="428"/>
      <c r="B7" s="429"/>
      <c r="J7" s="6"/>
      <c r="K7" s="6"/>
      <c r="L7" s="6"/>
      <c r="M7" s="6"/>
      <c r="N7" s="6"/>
      <c r="O7" s="6"/>
      <c r="P7" s="6"/>
      <c r="Q7" s="6"/>
      <c r="R7" s="1"/>
      <c r="S7" s="1"/>
      <c r="T7" s="1"/>
      <c r="U7" s="1"/>
      <c r="V7" s="1"/>
      <c r="W7" s="1"/>
      <c r="X7" s="1"/>
      <c r="Y7" s="1"/>
    </row>
    <row r="8" spans="1:26" ht="18" customHeight="1">
      <c r="B8" s="9"/>
      <c r="C8" s="9"/>
      <c r="D8" s="64"/>
      <c r="E8" s="64"/>
      <c r="R8" s="1"/>
      <c r="S8" s="1"/>
      <c r="T8" s="1"/>
    </row>
    <row r="9" spans="1:26" ht="18" customHeight="1">
      <c r="G9" s="36"/>
      <c r="W9" s="188" t="s">
        <v>3</v>
      </c>
      <c r="X9" s="189"/>
    </row>
    <row r="10" spans="1:26" ht="18" customHeight="1" thickBot="1">
      <c r="B10" s="66" t="s">
        <v>4</v>
      </c>
      <c r="C10" s="9"/>
      <c r="D10" s="64"/>
      <c r="E10" s="64"/>
      <c r="G10" s="36"/>
      <c r="N10" s="66" t="s">
        <v>5</v>
      </c>
    </row>
    <row r="11" spans="1:26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121"/>
      <c r="V11" s="121"/>
      <c r="W11" s="186">
        <f ca="1">SUBTOTAL(9,W12:W57)</f>
        <v>1366919725</v>
      </c>
      <c r="X11" s="187"/>
      <c r="Y11" s="177"/>
      <c r="Z11" s="167"/>
    </row>
    <row r="12" spans="1:26" ht="18" customHeight="1">
      <c r="A12" s="278"/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N12" s="127" t="s">
        <v>8</v>
      </c>
      <c r="O12" s="122"/>
      <c r="P12" s="122"/>
      <c r="Q12" s="123"/>
      <c r="R12" s="123"/>
      <c r="S12" s="123"/>
      <c r="T12" s="123"/>
      <c r="U12" s="184"/>
      <c r="V12" s="184"/>
      <c r="W12" s="163">
        <f ca="1">SUBTOTAL(9,W13:W54)</f>
        <v>494196682</v>
      </c>
      <c r="X12" s="164"/>
      <c r="Y12" s="178" t="s">
        <v>9</v>
      </c>
      <c r="Z12" s="179"/>
    </row>
    <row r="13" spans="1:26" ht="18" customHeight="1" thickBot="1">
      <c r="A13" s="278"/>
      <c r="B13" s="820"/>
      <c r="C13" s="821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218"/>
      <c r="V13" s="218"/>
      <c r="W13" s="255">
        <f ca="1">SUBTOTAL(9,W14:W49)</f>
        <v>486196682</v>
      </c>
      <c r="X13" s="256"/>
      <c r="Y13" s="220"/>
      <c r="Z13" s="220"/>
    </row>
    <row r="14" spans="1:26" ht="18" customHeight="1">
      <c r="A14" s="279"/>
      <c r="B14" s="222" t="s">
        <v>529</v>
      </c>
      <c r="C14" s="47"/>
      <c r="D14" s="48">
        <f t="shared" ref="D14:I14" si="0">SUBTOTAL(9,D15:D23)</f>
        <v>2.9000000000000004</v>
      </c>
      <c r="E14" s="49">
        <f t="shared" si="0"/>
        <v>6.1000000000000005</v>
      </c>
      <c r="F14" s="49">
        <f t="shared" si="0"/>
        <v>19.3</v>
      </c>
      <c r="G14" s="49">
        <f t="shared" si="0"/>
        <v>53.6</v>
      </c>
      <c r="H14" s="49">
        <f t="shared" si="0"/>
        <v>73.500000000000014</v>
      </c>
      <c r="I14" s="50">
        <f t="shared" si="0"/>
        <v>87.999999999999986</v>
      </c>
      <c r="J14" s="389"/>
      <c r="L14" s="232"/>
      <c r="N14" s="354" t="str">
        <f>B14</f>
        <v>1. 현황조사</v>
      </c>
      <c r="O14" s="169"/>
      <c r="P14" s="169"/>
      <c r="Q14" s="169"/>
      <c r="R14" s="169"/>
      <c r="S14" s="169"/>
      <c r="T14" s="169"/>
      <c r="U14" s="226"/>
      <c r="V14" s="248"/>
      <c r="W14" s="193">
        <f ca="1">SUBTOTAL(9,W15:W23)</f>
        <v>105240380</v>
      </c>
      <c r="X14" s="194"/>
      <c r="Y14" s="170" t="str">
        <f>IF(A51&gt;0, "제 " &amp;A51&amp; " 호표","")</f>
        <v/>
      </c>
      <c r="Z14" s="170"/>
    </row>
    <row r="15" spans="1:26" ht="18" customHeight="1">
      <c r="A15" s="279"/>
      <c r="B15" s="223" t="s">
        <v>2022</v>
      </c>
      <c r="C15" s="23"/>
      <c r="D15" s="197">
        <v>0.2</v>
      </c>
      <c r="E15" s="198">
        <v>0.4</v>
      </c>
      <c r="F15" s="198">
        <v>1.3</v>
      </c>
      <c r="G15" s="198">
        <v>4.0999999999999996</v>
      </c>
      <c r="H15" s="198">
        <v>5.5</v>
      </c>
      <c r="I15" s="199">
        <v>6.6</v>
      </c>
      <c r="J15" s="389" t="s">
        <v>2050</v>
      </c>
      <c r="L15" s="233">
        <v>1</v>
      </c>
      <c r="N15" s="292" t="str">
        <f t="shared" ref="N15:N49" si="1">B15</f>
        <v>1.1. 도시계획현황 및 지형현황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SUM((ROUNDDOWN((D52:I52)*단가,0)))</f>
        <v>7803800</v>
      </c>
      <c r="X15" s="154"/>
      <c r="Y15" s="170" t="str">
        <f>IF(A52&gt;0, "제 " &amp;A52&amp; " 호표","")</f>
        <v>제 1 호표</v>
      </c>
      <c r="Z15" s="150"/>
    </row>
    <row r="16" spans="1:26" ht="18" customHeight="1">
      <c r="A16" s="279"/>
      <c r="B16" s="223" t="s">
        <v>2023</v>
      </c>
      <c r="C16" s="23"/>
      <c r="D16" s="197">
        <v>0.5</v>
      </c>
      <c r="E16" s="198">
        <v>1</v>
      </c>
      <c r="F16" s="198">
        <v>4.5</v>
      </c>
      <c r="G16" s="198">
        <v>11.4</v>
      </c>
      <c r="H16" s="198">
        <v>15.2</v>
      </c>
      <c r="I16" s="199">
        <v>17.8</v>
      </c>
      <c r="J16" s="389" t="s">
        <v>1090</v>
      </c>
      <c r="L16" s="233">
        <v>1</v>
      </c>
      <c r="N16" s="292" t="str">
        <f t="shared" si="1"/>
        <v>1.2. 토지이용현황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SUM((ROUNDDOWN((D53:I53)*단가,0)))</f>
        <v>21776295</v>
      </c>
      <c r="X16" s="154"/>
      <c r="Y16" s="170" t="str">
        <f t="shared" ref="Y16:Y49" si="2">IF(A53&gt;0, "제 " &amp;A53&amp; " 호표","")</f>
        <v>제 2 호표</v>
      </c>
      <c r="Z16" s="150"/>
    </row>
    <row r="17" spans="1:26" ht="18" customHeight="1">
      <c r="A17" s="279"/>
      <c r="B17" s="223" t="s">
        <v>2024</v>
      </c>
      <c r="C17" s="23"/>
      <c r="D17" s="197">
        <v>0.5</v>
      </c>
      <c r="E17" s="198">
        <v>1.1000000000000001</v>
      </c>
      <c r="F17" s="198">
        <v>4.5999999999999996</v>
      </c>
      <c r="G17" s="198">
        <v>11.4</v>
      </c>
      <c r="H17" s="198">
        <v>15.2</v>
      </c>
      <c r="I17" s="199">
        <v>17.8</v>
      </c>
      <c r="J17" s="389" t="s">
        <v>1090</v>
      </c>
      <c r="L17" s="233">
        <v>1</v>
      </c>
      <c r="N17" s="292" t="str">
        <f t="shared" si="1"/>
        <v>1.3. 건축물현황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SUM((ROUNDDOWN((D54:I54)*단가,0)))</f>
        <v>21887452</v>
      </c>
      <c r="X17" s="154"/>
      <c r="Y17" s="170" t="str">
        <f t="shared" si="2"/>
        <v>제 3 호표</v>
      </c>
      <c r="Z17" s="150"/>
    </row>
    <row r="18" spans="1:26" ht="18" customHeight="1">
      <c r="A18" s="279"/>
      <c r="B18" s="223" t="s">
        <v>2025</v>
      </c>
      <c r="C18" s="23"/>
      <c r="D18" s="197">
        <v>0.5</v>
      </c>
      <c r="E18" s="198">
        <v>1</v>
      </c>
      <c r="F18" s="198">
        <v>2.5</v>
      </c>
      <c r="G18" s="198">
        <v>6.3</v>
      </c>
      <c r="H18" s="198">
        <v>10.3</v>
      </c>
      <c r="I18" s="199">
        <v>10.199999999999999</v>
      </c>
      <c r="J18" s="389" t="s">
        <v>1090</v>
      </c>
      <c r="L18" s="233">
        <v>1</v>
      </c>
      <c r="N18" s="292" t="str">
        <f t="shared" si="1"/>
        <v>1.4. 인구 및 산업현황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SUM((ROUNDDOWN((D55:I55)*단가,0)))</f>
        <v>13356284</v>
      </c>
      <c r="X18" s="154"/>
      <c r="Y18" s="170" t="str">
        <f t="shared" si="2"/>
        <v>제 4 호표</v>
      </c>
      <c r="Z18" s="150"/>
    </row>
    <row r="19" spans="1:26" ht="18" customHeight="1">
      <c r="A19" s="279"/>
      <c r="B19" s="223" t="s">
        <v>2026</v>
      </c>
      <c r="C19" s="23"/>
      <c r="D19" s="197">
        <v>0.1</v>
      </c>
      <c r="E19" s="198">
        <v>0.4</v>
      </c>
      <c r="F19" s="198">
        <v>1.2</v>
      </c>
      <c r="G19" s="198">
        <v>4.0999999999999996</v>
      </c>
      <c r="H19" s="198">
        <v>5.6</v>
      </c>
      <c r="I19" s="199">
        <v>6.8</v>
      </c>
      <c r="J19" s="389" t="s">
        <v>1090</v>
      </c>
      <c r="L19" s="233">
        <v>1</v>
      </c>
      <c r="N19" s="292" t="str">
        <f t="shared" si="1"/>
        <v>1.5. 정비사업에 대한 주민의 의견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SUM((ROUNDDOWN((D56:I56)*단가,0)))</f>
        <v>7796937</v>
      </c>
      <c r="X19" s="154"/>
      <c r="Y19" s="170" t="str">
        <f t="shared" si="2"/>
        <v>제 5 호표</v>
      </c>
      <c r="Z19" s="150"/>
    </row>
    <row r="20" spans="1:26" ht="18" customHeight="1">
      <c r="A20" s="279"/>
      <c r="B20" s="223" t="s">
        <v>2027</v>
      </c>
      <c r="C20" s="23"/>
      <c r="D20" s="197">
        <v>0.2</v>
      </c>
      <c r="E20" s="198">
        <v>0.4</v>
      </c>
      <c r="F20" s="198">
        <v>1.3</v>
      </c>
      <c r="G20" s="198">
        <v>4.0999999999999996</v>
      </c>
      <c r="H20" s="198">
        <v>5.5</v>
      </c>
      <c r="I20" s="199">
        <v>6.6</v>
      </c>
      <c r="J20" s="389" t="s">
        <v>1090</v>
      </c>
      <c r="L20" s="233">
        <v>1</v>
      </c>
      <c r="N20" s="292" t="str">
        <f t="shared" si="1"/>
        <v>1.6. 가로시설물 및 조경환경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SUM((ROUNDDOWN((D57:I57)*단가,0)))</f>
        <v>7803800</v>
      </c>
      <c r="X20" s="154"/>
      <c r="Y20" s="170" t="str">
        <f t="shared" si="2"/>
        <v>제 6 호표</v>
      </c>
      <c r="Z20" s="150"/>
    </row>
    <row r="21" spans="1:26" ht="18" customHeight="1">
      <c r="A21" s="279"/>
      <c r="B21" s="223" t="s">
        <v>2028</v>
      </c>
      <c r="C21" s="23"/>
      <c r="D21" s="197">
        <v>0.2</v>
      </c>
      <c r="E21" s="198">
        <v>0.4</v>
      </c>
      <c r="F21" s="198">
        <v>1.3</v>
      </c>
      <c r="G21" s="198">
        <v>4.0999999999999996</v>
      </c>
      <c r="H21" s="198">
        <v>5.5</v>
      </c>
      <c r="I21" s="199">
        <v>6.6</v>
      </c>
      <c r="J21" s="389" t="s">
        <v>1090</v>
      </c>
      <c r="L21" s="233">
        <v>1</v>
      </c>
      <c r="N21" s="292" t="str">
        <f t="shared" si="1"/>
        <v>1.7. 자연환경 및 생활환경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SUM((ROUNDDOWN((D58:I58)*단가,0)))</f>
        <v>7803800</v>
      </c>
      <c r="X21" s="154"/>
      <c r="Y21" s="170" t="str">
        <f t="shared" si="2"/>
        <v>제 7 호표</v>
      </c>
      <c r="Z21" s="150"/>
    </row>
    <row r="22" spans="1:26" ht="18" customHeight="1">
      <c r="A22" s="279"/>
      <c r="B22" s="223" t="s">
        <v>2029</v>
      </c>
      <c r="C22" s="23"/>
      <c r="D22" s="197">
        <v>0.2</v>
      </c>
      <c r="E22" s="198">
        <v>0.4</v>
      </c>
      <c r="F22" s="198">
        <v>1.3</v>
      </c>
      <c r="G22" s="198">
        <v>4.0999999999999996</v>
      </c>
      <c r="H22" s="198">
        <v>5.5</v>
      </c>
      <c r="I22" s="199">
        <v>6.6</v>
      </c>
      <c r="J22" s="389" t="s">
        <v>1090</v>
      </c>
      <c r="L22" s="233">
        <v>1</v>
      </c>
      <c r="N22" s="292" t="str">
        <f t="shared" si="1"/>
        <v>1.8. 교통관련현황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SUM((ROUNDDOWN((D59:I59)*단가,0)))</f>
        <v>7803800</v>
      </c>
      <c r="X22" s="154"/>
      <c r="Y22" s="170" t="str">
        <f t="shared" si="2"/>
        <v>제 8 호표</v>
      </c>
      <c r="Z22" s="150"/>
    </row>
    <row r="23" spans="1:26" ht="18" customHeight="1">
      <c r="A23" s="279"/>
      <c r="B23" s="223" t="s">
        <v>2030</v>
      </c>
      <c r="C23" s="23"/>
      <c r="D23" s="197">
        <v>0.5</v>
      </c>
      <c r="E23" s="198">
        <v>1</v>
      </c>
      <c r="F23" s="198">
        <v>1.3</v>
      </c>
      <c r="G23" s="198">
        <v>4</v>
      </c>
      <c r="H23" s="198">
        <v>5.2</v>
      </c>
      <c r="I23" s="199">
        <v>9</v>
      </c>
      <c r="J23" s="389" t="s">
        <v>1090</v>
      </c>
      <c r="L23" s="233">
        <v>1</v>
      </c>
      <c r="N23" s="292" t="str">
        <f t="shared" si="1"/>
        <v>1.9. 도시시설 설치현황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SUM((ROUNDDOWN((D60:I60)*단가,0)))</f>
        <v>9208212</v>
      </c>
      <c r="X23" s="154"/>
      <c r="Y23" s="170" t="str">
        <f t="shared" si="2"/>
        <v>제 9 호표</v>
      </c>
      <c r="Z23" s="150"/>
    </row>
    <row r="24" spans="1:26" ht="18" customHeight="1">
      <c r="A24" s="279"/>
      <c r="B24" s="222" t="s">
        <v>530</v>
      </c>
      <c r="C24" s="47"/>
      <c r="D24" s="48">
        <f t="shared" ref="D24:I24" si="3">SUBTOTAL(9,D25:D26)</f>
        <v>1.5</v>
      </c>
      <c r="E24" s="49">
        <f t="shared" si="3"/>
        <v>2.7</v>
      </c>
      <c r="F24" s="49">
        <f t="shared" si="3"/>
        <v>3.5999999999999996</v>
      </c>
      <c r="G24" s="49">
        <f t="shared" si="3"/>
        <v>5.2</v>
      </c>
      <c r="H24" s="49">
        <f t="shared" si="3"/>
        <v>6</v>
      </c>
      <c r="I24" s="50">
        <f t="shared" si="3"/>
        <v>8</v>
      </c>
      <c r="J24" s="389"/>
      <c r="L24" s="232"/>
      <c r="N24" s="354" t="str">
        <f t="shared" si="1"/>
        <v>2. 기본구상</v>
      </c>
      <c r="O24" s="169"/>
      <c r="P24" s="169"/>
      <c r="Q24" s="169"/>
      <c r="R24" s="169"/>
      <c r="S24" s="169"/>
      <c r="T24" s="169"/>
      <c r="U24" s="226"/>
      <c r="V24" s="248"/>
      <c r="W24" s="193">
        <f ca="1">SUBTOTAL(9,W25:W26)</f>
        <v>12635104</v>
      </c>
      <c r="X24" s="194"/>
      <c r="Y24" s="170" t="str">
        <f t="shared" si="2"/>
        <v/>
      </c>
      <c r="Z24" s="170"/>
    </row>
    <row r="25" spans="1:26" ht="18" customHeight="1">
      <c r="A25" s="279"/>
      <c r="B25" s="223" t="s">
        <v>2031</v>
      </c>
      <c r="C25" s="23"/>
      <c r="D25" s="197">
        <v>0.7</v>
      </c>
      <c r="E25" s="198">
        <v>1.3</v>
      </c>
      <c r="F25" s="198">
        <v>1.7</v>
      </c>
      <c r="G25" s="198">
        <v>2.5</v>
      </c>
      <c r="H25" s="198">
        <v>2.7</v>
      </c>
      <c r="I25" s="199">
        <v>3.6</v>
      </c>
      <c r="J25" s="389" t="s">
        <v>1090</v>
      </c>
      <c r="L25" s="233">
        <v>1</v>
      </c>
      <c r="N25" s="292" t="str">
        <f t="shared" si="1"/>
        <v>2.1. 정비목표 및 구현전략의 설정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SUM((ROUNDDOWN((D62:I62)*단가,0)))</f>
        <v>5873223</v>
      </c>
      <c r="X25" s="154"/>
      <c r="Y25" s="170" t="str">
        <f t="shared" si="2"/>
        <v>제 10 호표</v>
      </c>
      <c r="Z25" s="150"/>
    </row>
    <row r="26" spans="1:26" ht="18" customHeight="1">
      <c r="A26" s="279"/>
      <c r="B26" s="223" t="s">
        <v>2032</v>
      </c>
      <c r="C26" s="23"/>
      <c r="D26" s="197">
        <v>0.8</v>
      </c>
      <c r="E26" s="198">
        <v>1.4</v>
      </c>
      <c r="F26" s="198">
        <v>1.9</v>
      </c>
      <c r="G26" s="198">
        <v>2.7</v>
      </c>
      <c r="H26" s="198">
        <v>3.3</v>
      </c>
      <c r="I26" s="199">
        <v>4.4000000000000004</v>
      </c>
      <c r="J26" s="389" t="s">
        <v>1090</v>
      </c>
      <c r="L26" s="233">
        <v>1</v>
      </c>
      <c r="N26" s="292" t="str">
        <f t="shared" si="1"/>
        <v>2.2. 기본방향 및 지표설정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SUM((ROUNDDOWN((D63:I63)*단가,0)))</f>
        <v>6761881</v>
      </c>
      <c r="X26" s="154"/>
      <c r="Y26" s="170" t="str">
        <f t="shared" si="2"/>
        <v>제 11 호표</v>
      </c>
      <c r="Z26" s="150"/>
    </row>
    <row r="27" spans="1:26" ht="18" customHeight="1">
      <c r="A27" s="279"/>
      <c r="B27" s="222" t="s">
        <v>533</v>
      </c>
      <c r="C27" s="47"/>
      <c r="D27" s="48">
        <f t="shared" ref="D27:I27" si="4">SUBTOTAL(9,D28:D39)</f>
        <v>10.300000000000006</v>
      </c>
      <c r="E27" s="49">
        <f t="shared" si="4"/>
        <v>20.500000000000004</v>
      </c>
      <c r="F27" s="49">
        <f t="shared" si="4"/>
        <v>56.3</v>
      </c>
      <c r="G27" s="49">
        <f t="shared" si="4"/>
        <v>102.29999999999998</v>
      </c>
      <c r="H27" s="49">
        <f t="shared" si="4"/>
        <v>144.9</v>
      </c>
      <c r="I27" s="50">
        <f t="shared" si="4"/>
        <v>142.70000000000002</v>
      </c>
      <c r="J27" s="389"/>
      <c r="L27" s="232"/>
      <c r="N27" s="354" t="str">
        <f t="shared" si="1"/>
        <v>3. 부문별 계획</v>
      </c>
      <c r="O27" s="169"/>
      <c r="P27" s="169"/>
      <c r="Q27" s="169"/>
      <c r="R27" s="169"/>
      <c r="S27" s="169"/>
      <c r="T27" s="169"/>
      <c r="U27" s="226"/>
      <c r="V27" s="248"/>
      <c r="W27" s="193">
        <f ca="1">SUBTOTAL(9,W28:W39)</f>
        <v>211189795</v>
      </c>
      <c r="X27" s="194"/>
      <c r="Y27" s="170" t="str">
        <f t="shared" si="2"/>
        <v/>
      </c>
      <c r="Z27" s="170"/>
    </row>
    <row r="28" spans="1:26" ht="18" customHeight="1">
      <c r="A28" s="279"/>
      <c r="B28" s="223" t="s">
        <v>2033</v>
      </c>
      <c r="C28" s="23"/>
      <c r="D28" s="197">
        <v>0.4</v>
      </c>
      <c r="E28" s="198">
        <v>1.1000000000000001</v>
      </c>
      <c r="F28" s="198">
        <v>3.4</v>
      </c>
      <c r="G28" s="198">
        <v>7.3</v>
      </c>
      <c r="H28" s="198">
        <v>8.6</v>
      </c>
      <c r="I28" s="199">
        <v>7.4</v>
      </c>
      <c r="J28" s="389" t="s">
        <v>1090</v>
      </c>
      <c r="L28" s="233">
        <v>1</v>
      </c>
      <c r="N28" s="292" t="str">
        <f t="shared" si="1"/>
        <v>3.1. 토지이용계획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SUM((ROUNDDOWN((D65:I65)*단가,0)))</f>
        <v>12487267</v>
      </c>
      <c r="X28" s="154"/>
      <c r="Y28" s="170" t="str">
        <f t="shared" si="2"/>
        <v>제 12 호표</v>
      </c>
      <c r="Z28" s="150"/>
    </row>
    <row r="29" spans="1:26" ht="18" customHeight="1">
      <c r="A29" s="279"/>
      <c r="B29" s="223" t="s">
        <v>2034</v>
      </c>
      <c r="C29" s="23"/>
      <c r="D29" s="197">
        <v>0.3</v>
      </c>
      <c r="E29" s="198">
        <v>1.1000000000000001</v>
      </c>
      <c r="F29" s="198">
        <v>3.4</v>
      </c>
      <c r="G29" s="198">
        <v>7.3</v>
      </c>
      <c r="H29" s="198">
        <v>8.6</v>
      </c>
      <c r="I29" s="199">
        <v>7.4</v>
      </c>
      <c r="J29" s="389" t="s">
        <v>1090</v>
      </c>
      <c r="L29" s="233">
        <v>1</v>
      </c>
      <c r="N29" s="292" t="str">
        <f t="shared" si="1"/>
        <v>3.2. 공동이용시설 설치계획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SUM((ROUNDDOWN((D66:I66)*단가,0)))</f>
        <v>12411110</v>
      </c>
      <c r="X29" s="154"/>
      <c r="Y29" s="170" t="str">
        <f t="shared" si="2"/>
        <v>제 13 호표</v>
      </c>
      <c r="Z29" s="150"/>
    </row>
    <row r="30" spans="1:26" ht="18" customHeight="1">
      <c r="A30" s="279"/>
      <c r="B30" s="223" t="s">
        <v>2035</v>
      </c>
      <c r="C30" s="23"/>
      <c r="D30" s="197">
        <v>6.9</v>
      </c>
      <c r="E30" s="198">
        <v>9.9</v>
      </c>
      <c r="F30" s="198">
        <v>22.7</v>
      </c>
      <c r="G30" s="198">
        <v>30.9</v>
      </c>
      <c r="H30" s="198">
        <v>60.1</v>
      </c>
      <c r="I30" s="199">
        <v>68.7</v>
      </c>
      <c r="J30" s="389" t="s">
        <v>1090</v>
      </c>
      <c r="L30" s="233">
        <v>1</v>
      </c>
      <c r="N30" s="292" t="str">
        <f t="shared" si="1"/>
        <v>3.3. 주민공동체 활성화 방안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SUM((ROUNDDOWN((D67:I67)*단가,0)))</f>
        <v>88445971</v>
      </c>
      <c r="X30" s="154"/>
      <c r="Y30" s="170" t="str">
        <f t="shared" si="2"/>
        <v>제 14 호표</v>
      </c>
      <c r="Z30" s="150"/>
    </row>
    <row r="31" spans="1:26" ht="18" customHeight="1">
      <c r="A31" s="279"/>
      <c r="B31" s="223" t="s">
        <v>2036</v>
      </c>
      <c r="C31" s="23"/>
      <c r="D31" s="197">
        <v>0.3</v>
      </c>
      <c r="E31" s="198">
        <v>1.1000000000000001</v>
      </c>
      <c r="F31" s="198">
        <v>3.4</v>
      </c>
      <c r="G31" s="198">
        <v>7.3</v>
      </c>
      <c r="H31" s="198">
        <v>8.6</v>
      </c>
      <c r="I31" s="199">
        <v>7.4</v>
      </c>
      <c r="J31" s="389" t="s">
        <v>1090</v>
      </c>
      <c r="L31" s="233">
        <v>1</v>
      </c>
      <c r="N31" s="292" t="str">
        <f t="shared" si="1"/>
        <v>3.4. 주거환경관리사업 시행계획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SUM((ROUNDDOWN((D68:I68)*단가,0)))</f>
        <v>12411110</v>
      </c>
      <c r="X31" s="154"/>
      <c r="Y31" s="170" t="str">
        <f t="shared" si="2"/>
        <v>제 15 호표</v>
      </c>
      <c r="Z31" s="150"/>
    </row>
    <row r="32" spans="1:26" ht="18" customHeight="1">
      <c r="A32" s="279"/>
      <c r="B32" s="223" t="s">
        <v>2037</v>
      </c>
      <c r="C32" s="23"/>
      <c r="D32" s="197">
        <v>0.3</v>
      </c>
      <c r="E32" s="198">
        <v>1.1000000000000001</v>
      </c>
      <c r="F32" s="198">
        <v>3.4</v>
      </c>
      <c r="G32" s="198">
        <v>7.3</v>
      </c>
      <c r="H32" s="198">
        <v>8.6</v>
      </c>
      <c r="I32" s="199">
        <v>7.4</v>
      </c>
      <c r="J32" s="389" t="s">
        <v>1090</v>
      </c>
      <c r="L32" s="233">
        <v>1</v>
      </c>
      <c r="N32" s="292" t="str">
        <f t="shared" si="1"/>
        <v>3.5. 건축물의 정비·개량 및 건축시설계획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SUM((ROUNDDOWN((D69:I69)*단가,0)))</f>
        <v>12411110</v>
      </c>
      <c r="X32" s="154"/>
      <c r="Y32" s="170" t="str">
        <f t="shared" si="2"/>
        <v>제 16 호표</v>
      </c>
      <c r="Z32" s="150"/>
    </row>
    <row r="33" spans="1:26" ht="18" customHeight="1">
      <c r="A33" s="279"/>
      <c r="B33" s="223" t="s">
        <v>2038</v>
      </c>
      <c r="C33" s="23"/>
      <c r="D33" s="197">
        <v>0.3</v>
      </c>
      <c r="E33" s="198">
        <v>1.1000000000000001</v>
      </c>
      <c r="F33" s="198">
        <v>3.4</v>
      </c>
      <c r="G33" s="198">
        <v>7.3</v>
      </c>
      <c r="H33" s="198">
        <v>8.6</v>
      </c>
      <c r="I33" s="199">
        <v>7.4</v>
      </c>
      <c r="J33" s="389" t="s">
        <v>1090</v>
      </c>
      <c r="L33" s="233">
        <v>1</v>
      </c>
      <c r="N33" s="292" t="str">
        <f t="shared" si="1"/>
        <v>3.6. 도시경관·환경보전·재난방지 계획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SUM((ROUNDDOWN((D70:I70)*단가,0)))</f>
        <v>12411110</v>
      </c>
      <c r="X33" s="154"/>
      <c r="Y33" s="170" t="str">
        <f t="shared" si="2"/>
        <v>제 17 호표</v>
      </c>
      <c r="Z33" s="150"/>
    </row>
    <row r="34" spans="1:26" ht="18" customHeight="1">
      <c r="A34" s="279"/>
      <c r="B34" s="223" t="s">
        <v>2039</v>
      </c>
      <c r="C34" s="23"/>
      <c r="D34" s="197">
        <v>0.3</v>
      </c>
      <c r="E34" s="198">
        <v>1.1000000000000001</v>
      </c>
      <c r="F34" s="198">
        <v>3.4</v>
      </c>
      <c r="G34" s="198">
        <v>7.3</v>
      </c>
      <c r="H34" s="198">
        <v>8.6</v>
      </c>
      <c r="I34" s="199">
        <v>7.4</v>
      </c>
      <c r="J34" s="389" t="s">
        <v>1090</v>
      </c>
      <c r="L34" s="233">
        <v>1</v>
      </c>
      <c r="N34" s="292" t="str">
        <f t="shared" si="1"/>
        <v>3.7. 구역주변의 교육환경 보호계획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SUM((ROUNDDOWN((D71:I71)*단가,0)))</f>
        <v>12411110</v>
      </c>
      <c r="X34" s="154"/>
      <c r="Y34" s="170" t="str">
        <f t="shared" si="2"/>
        <v>제 18 호표</v>
      </c>
      <c r="Z34" s="150"/>
    </row>
    <row r="35" spans="1:26" ht="18" customHeight="1">
      <c r="A35" s="279"/>
      <c r="B35" s="223" t="s">
        <v>2040</v>
      </c>
      <c r="C35" s="23"/>
      <c r="D35" s="197">
        <v>0.3</v>
      </c>
      <c r="E35" s="198">
        <v>0.8</v>
      </c>
      <c r="F35" s="198">
        <v>3.2</v>
      </c>
      <c r="G35" s="198">
        <v>7</v>
      </c>
      <c r="H35" s="198">
        <v>8.4</v>
      </c>
      <c r="I35" s="199">
        <v>7.6</v>
      </c>
      <c r="J35" s="389" t="s">
        <v>1090</v>
      </c>
      <c r="L35" s="233">
        <v>1</v>
      </c>
      <c r="N35" s="292" t="str">
        <f t="shared" si="1"/>
        <v>3.8. 기존수목의 현황 및 활용계획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SUM((ROUNDDOWN((D72:I72)*단가,0)))</f>
        <v>11989271</v>
      </c>
      <c r="X35" s="154"/>
      <c r="Y35" s="170" t="str">
        <f t="shared" si="2"/>
        <v>제 19 호표</v>
      </c>
      <c r="Z35" s="150"/>
    </row>
    <row r="36" spans="1:26" ht="18" customHeight="1">
      <c r="A36" s="279"/>
      <c r="B36" s="223" t="s">
        <v>2041</v>
      </c>
      <c r="C36" s="23"/>
      <c r="D36" s="197">
        <v>0.3</v>
      </c>
      <c r="E36" s="198">
        <v>1.1000000000000001</v>
      </c>
      <c r="F36" s="198">
        <v>3.4</v>
      </c>
      <c r="G36" s="198">
        <v>7.3</v>
      </c>
      <c r="H36" s="198">
        <v>8.6</v>
      </c>
      <c r="I36" s="199">
        <v>7.4</v>
      </c>
      <c r="J36" s="389" t="s">
        <v>1090</v>
      </c>
      <c r="L36" s="233">
        <v>1</v>
      </c>
      <c r="N36" s="292" t="str">
        <f t="shared" si="1"/>
        <v>3.9. 안전·범죄예방 사항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SUM((ROUNDDOWN((D73:I73)*단가,0)))</f>
        <v>12411110</v>
      </c>
      <c r="X36" s="154"/>
      <c r="Y36" s="170" t="str">
        <f t="shared" si="2"/>
        <v>제 20 호표</v>
      </c>
      <c r="Z36" s="150"/>
    </row>
    <row r="37" spans="1:26" ht="18" customHeight="1">
      <c r="A37" s="279"/>
      <c r="B37" s="223" t="s">
        <v>2042</v>
      </c>
      <c r="C37" s="23"/>
      <c r="D37" s="197">
        <v>0.3</v>
      </c>
      <c r="E37" s="198">
        <v>1.1000000000000001</v>
      </c>
      <c r="F37" s="198">
        <v>3.4</v>
      </c>
      <c r="G37" s="198">
        <v>7.3</v>
      </c>
      <c r="H37" s="198">
        <v>8.6</v>
      </c>
      <c r="I37" s="199">
        <v>7.4</v>
      </c>
      <c r="J37" s="389" t="s">
        <v>1090</v>
      </c>
      <c r="L37" s="233">
        <v>1</v>
      </c>
      <c r="N37" s="292" t="str">
        <f t="shared" si="1"/>
        <v>3.10. 재원조달방안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SUM((ROUNDDOWN((D74:I74)*단가,0)))</f>
        <v>12411110</v>
      </c>
      <c r="X37" s="154"/>
      <c r="Y37" s="170" t="str">
        <f t="shared" si="2"/>
        <v>제 21 호표</v>
      </c>
      <c r="Z37" s="150"/>
    </row>
    <row r="38" spans="1:26" ht="18" customHeight="1">
      <c r="A38" s="279"/>
      <c r="B38" s="223" t="s">
        <v>2043</v>
      </c>
      <c r="C38" s="23"/>
      <c r="D38" s="197">
        <v>0.3</v>
      </c>
      <c r="E38" s="198">
        <v>0.5</v>
      </c>
      <c r="F38" s="198">
        <v>1.6</v>
      </c>
      <c r="G38" s="198">
        <v>3</v>
      </c>
      <c r="H38" s="198">
        <v>3.8</v>
      </c>
      <c r="I38" s="199">
        <v>3.6</v>
      </c>
      <c r="J38" s="389" t="s">
        <v>1090</v>
      </c>
      <c r="L38" s="233">
        <v>1</v>
      </c>
      <c r="N38" s="292" t="str">
        <f t="shared" si="1"/>
        <v>3.11. 환경성검토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SUM((ROUNDDOWN((D75:I75)*단가,0)))</f>
        <v>5694758</v>
      </c>
      <c r="X38" s="154"/>
      <c r="Y38" s="170" t="str">
        <f t="shared" si="2"/>
        <v>제 22 호표</v>
      </c>
      <c r="Z38" s="150"/>
    </row>
    <row r="39" spans="1:26" ht="18" customHeight="1">
      <c r="A39" s="279"/>
      <c r="B39" s="223" t="s">
        <v>2044</v>
      </c>
      <c r="C39" s="23"/>
      <c r="D39" s="197">
        <v>0.3</v>
      </c>
      <c r="E39" s="198">
        <v>0.5</v>
      </c>
      <c r="F39" s="198">
        <v>1.6</v>
      </c>
      <c r="G39" s="198">
        <v>3</v>
      </c>
      <c r="H39" s="198">
        <v>3.8</v>
      </c>
      <c r="I39" s="199">
        <v>3.6</v>
      </c>
      <c r="J39" s="389" t="s">
        <v>1090</v>
      </c>
      <c r="L39" s="233">
        <v>1</v>
      </c>
      <c r="N39" s="292" t="str">
        <f t="shared" si="1"/>
        <v>3.12. 교통성검토</v>
      </c>
      <c r="O39" s="37"/>
      <c r="P39" s="37"/>
      <c r="Q39" s="37"/>
      <c r="R39" s="37"/>
      <c r="S39" s="37"/>
      <c r="T39" s="37"/>
      <c r="U39" s="227"/>
      <c r="V39" s="231"/>
      <c r="W39" s="153">
        <f t="array" aca="1" ref="W39" ca="1">SUM((ROUNDDOWN((D76:I76)*단가,0)))</f>
        <v>5694758</v>
      </c>
      <c r="X39" s="154"/>
      <c r="Y39" s="170" t="str">
        <f t="shared" si="2"/>
        <v>제 23 호표</v>
      </c>
      <c r="Z39" s="150"/>
    </row>
    <row r="40" spans="1:26" ht="18" customHeight="1">
      <c r="A40" s="279"/>
      <c r="B40" s="222" t="s">
        <v>531</v>
      </c>
      <c r="C40" s="47"/>
      <c r="D40" s="48">
        <f t="shared" ref="D40:I40" si="5">SUBTOTAL(9,D41:D42)</f>
        <v>3.7</v>
      </c>
      <c r="E40" s="49">
        <f t="shared" si="5"/>
        <v>7.4</v>
      </c>
      <c r="F40" s="49">
        <f t="shared" si="5"/>
        <v>16.799999999999997</v>
      </c>
      <c r="G40" s="49">
        <f t="shared" si="5"/>
        <v>31</v>
      </c>
      <c r="H40" s="49">
        <f t="shared" si="5"/>
        <v>43.4</v>
      </c>
      <c r="I40" s="50">
        <f t="shared" si="5"/>
        <v>43.4</v>
      </c>
      <c r="J40" s="389"/>
      <c r="L40" s="233"/>
      <c r="N40" s="354" t="str">
        <f t="shared" si="1"/>
        <v>4. 성과품 작성</v>
      </c>
      <c r="O40" s="169"/>
      <c r="P40" s="169"/>
      <c r="Q40" s="169"/>
      <c r="R40" s="169"/>
      <c r="S40" s="169"/>
      <c r="T40" s="169"/>
      <c r="U40" s="226"/>
      <c r="V40" s="248"/>
      <c r="W40" s="193">
        <f ca="1">SUBTOTAL(9,W41:W42)</f>
        <v>64895455</v>
      </c>
      <c r="X40" s="257"/>
      <c r="Y40" s="170" t="str">
        <f t="shared" si="2"/>
        <v/>
      </c>
      <c r="Z40" s="169"/>
    </row>
    <row r="41" spans="1:26" ht="18" customHeight="1">
      <c r="A41" s="279"/>
      <c r="B41" s="223" t="s">
        <v>1538</v>
      </c>
      <c r="C41" s="23"/>
      <c r="D41" s="197">
        <v>2.5</v>
      </c>
      <c r="E41" s="198">
        <v>4.9000000000000004</v>
      </c>
      <c r="F41" s="198">
        <v>11.2</v>
      </c>
      <c r="G41" s="198">
        <v>18.600000000000001</v>
      </c>
      <c r="H41" s="198">
        <v>18.7</v>
      </c>
      <c r="I41" s="199">
        <v>12.5</v>
      </c>
      <c r="J41" s="389" t="s">
        <v>1090</v>
      </c>
      <c r="L41" s="233">
        <v>1</v>
      </c>
      <c r="N41" s="292" t="str">
        <f t="shared" si="1"/>
        <v>4.1. 보고서작성 및 편집</v>
      </c>
      <c r="O41" s="37"/>
      <c r="P41" s="37"/>
      <c r="Q41" s="37"/>
      <c r="R41" s="37"/>
      <c r="S41" s="37"/>
      <c r="T41" s="37"/>
      <c r="U41" s="226"/>
      <c r="V41" s="248"/>
      <c r="W41" s="153">
        <f t="array" aca="1" ref="W41" ca="1">SUM((ROUNDDOWN((D78:I78)*단가,0)))</f>
        <v>31683764</v>
      </c>
      <c r="X41" s="113"/>
      <c r="Y41" s="170" t="str">
        <f t="shared" si="2"/>
        <v>제 24 호표</v>
      </c>
      <c r="Z41" s="37"/>
    </row>
    <row r="42" spans="1:26" ht="18" customHeight="1">
      <c r="A42" s="279"/>
      <c r="B42" s="223" t="s">
        <v>2045</v>
      </c>
      <c r="C42" s="43"/>
      <c r="D42" s="206">
        <v>1.2</v>
      </c>
      <c r="E42" s="207">
        <v>2.5</v>
      </c>
      <c r="F42" s="207">
        <v>5.6</v>
      </c>
      <c r="G42" s="207">
        <v>12.4</v>
      </c>
      <c r="H42" s="207">
        <v>24.7</v>
      </c>
      <c r="I42" s="208">
        <v>30.9</v>
      </c>
      <c r="J42" s="390" t="s">
        <v>1090</v>
      </c>
      <c r="L42" s="233">
        <v>1</v>
      </c>
      <c r="N42" s="292" t="str">
        <f t="shared" si="1"/>
        <v>4.2. 관련도서작성</v>
      </c>
      <c r="O42" s="37"/>
      <c r="P42" s="37"/>
      <c r="Q42" s="37"/>
      <c r="R42" s="37"/>
      <c r="S42" s="37"/>
      <c r="T42" s="37"/>
      <c r="U42" s="353"/>
      <c r="V42" s="248"/>
      <c r="W42" s="153">
        <f t="array" aca="1" ref="W42" ca="1">SUM((ROUNDDOWN((D79:I79)*단가,0)))</f>
        <v>33211691</v>
      </c>
      <c r="X42" s="113"/>
      <c r="Y42" s="170" t="str">
        <f t="shared" si="2"/>
        <v>제 25 호표</v>
      </c>
      <c r="Z42" s="37"/>
    </row>
    <row r="43" spans="1:26" ht="18" customHeight="1">
      <c r="A43" s="279"/>
      <c r="B43" s="222" t="s">
        <v>534</v>
      </c>
      <c r="C43" s="47"/>
      <c r="D43" s="48">
        <f t="shared" ref="D43:I43" si="6">SUBTOTAL(9,D44:D45)</f>
        <v>26</v>
      </c>
      <c r="E43" s="49">
        <f t="shared" si="6"/>
        <v>26</v>
      </c>
      <c r="F43" s="49">
        <f t="shared" si="6"/>
        <v>26</v>
      </c>
      <c r="G43" s="49">
        <f t="shared" si="6"/>
        <v>52</v>
      </c>
      <c r="H43" s="49">
        <f t="shared" si="6"/>
        <v>52</v>
      </c>
      <c r="I43" s="50">
        <f t="shared" si="6"/>
        <v>52</v>
      </c>
      <c r="J43" s="389"/>
      <c r="L43" s="233"/>
      <c r="N43" s="354" t="str">
        <f t="shared" si="1"/>
        <v>5. 주민워크샵</v>
      </c>
      <c r="O43" s="169"/>
      <c r="P43" s="169"/>
      <c r="Q43" s="169"/>
      <c r="R43" s="169"/>
      <c r="S43" s="169"/>
      <c r="T43" s="169"/>
      <c r="U43" s="226"/>
      <c r="V43" s="248"/>
      <c r="W43" s="193">
        <f ca="1">SUBTOTAL(9,W44)</f>
        <v>70533372</v>
      </c>
      <c r="X43" s="257"/>
      <c r="Y43" s="170" t="str">
        <f t="shared" si="2"/>
        <v/>
      </c>
      <c r="Z43" s="169"/>
    </row>
    <row r="44" spans="1:26" ht="18" customHeight="1">
      <c r="A44" s="279"/>
      <c r="B44" s="223" t="s">
        <v>2046</v>
      </c>
      <c r="C44" s="23"/>
      <c r="D44" s="197">
        <v>26</v>
      </c>
      <c r="E44" s="198">
        <v>26</v>
      </c>
      <c r="F44" s="198">
        <v>26</v>
      </c>
      <c r="G44" s="198">
        <v>52</v>
      </c>
      <c r="H44" s="198">
        <v>52</v>
      </c>
      <c r="I44" s="199">
        <v>52</v>
      </c>
      <c r="J44" s="389"/>
      <c r="L44" s="233">
        <v>1</v>
      </c>
      <c r="N44" s="292" t="str">
        <f t="shared" si="1"/>
        <v>5.1. 주민워크샵 등</v>
      </c>
      <c r="O44" s="37"/>
      <c r="P44" s="37"/>
      <c r="Q44" s="37"/>
      <c r="R44" s="37"/>
      <c r="S44" s="37"/>
      <c r="T44" s="37"/>
      <c r="U44" s="226"/>
      <c r="V44" s="248"/>
      <c r="W44" s="153">
        <f t="array" aca="1" ref="W44" ca="1">SUM((ROUNDDOWN((D81:I81)*단가,0)))</f>
        <v>70533372</v>
      </c>
      <c r="X44" s="113"/>
      <c r="Y44" s="170" t="str">
        <f t="shared" si="2"/>
        <v>제 26 호표</v>
      </c>
      <c r="Z44" s="37"/>
    </row>
    <row r="45" spans="1:26" ht="18" customHeight="1">
      <c r="A45" s="279"/>
      <c r="B45" s="222" t="s">
        <v>535</v>
      </c>
      <c r="C45" s="47"/>
      <c r="D45" s="48">
        <f t="shared" ref="D45:I45" si="7">SUBTOTAL(9,D46:D49)</f>
        <v>8</v>
      </c>
      <c r="E45" s="49">
        <f t="shared" si="7"/>
        <v>8</v>
      </c>
      <c r="F45" s="49">
        <f t="shared" si="7"/>
        <v>8</v>
      </c>
      <c r="G45" s="49">
        <f t="shared" si="7"/>
        <v>16</v>
      </c>
      <c r="H45" s="49">
        <f t="shared" si="7"/>
        <v>16</v>
      </c>
      <c r="I45" s="50">
        <f t="shared" si="7"/>
        <v>16</v>
      </c>
      <c r="J45" s="389"/>
      <c r="L45" s="232"/>
      <c r="N45" s="354" t="str">
        <f t="shared" si="1"/>
        <v>6. 기술협의</v>
      </c>
      <c r="O45" s="169"/>
      <c r="P45" s="169"/>
      <c r="Q45" s="169"/>
      <c r="R45" s="169"/>
      <c r="S45" s="169"/>
      <c r="T45" s="169"/>
      <c r="U45" s="226"/>
      <c r="V45" s="248"/>
      <c r="W45" s="193">
        <f ca="1">SUBTOTAL(9,W46:W49)</f>
        <v>21702576</v>
      </c>
      <c r="X45" s="194"/>
      <c r="Y45" s="170" t="str">
        <f t="shared" si="2"/>
        <v/>
      </c>
      <c r="Z45" s="170"/>
    </row>
    <row r="46" spans="1:26" ht="18" customHeight="1">
      <c r="A46" s="279"/>
      <c r="B46" s="223" t="s">
        <v>2047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389" t="s">
        <v>2051</v>
      </c>
      <c r="L46" s="233">
        <v>1</v>
      </c>
      <c r="N46" s="292" t="str">
        <f t="shared" si="1"/>
        <v>6.1. 공청회/주민설명회</v>
      </c>
      <c r="O46" s="37"/>
      <c r="P46" s="37"/>
      <c r="Q46" s="37"/>
      <c r="R46" s="37"/>
      <c r="S46" s="37"/>
      <c r="T46" s="37"/>
      <c r="U46" s="227"/>
      <c r="V46" s="231"/>
      <c r="W46" s="153">
        <f t="array" aca="1" ref="W46" ca="1">SUM((ROUNDDOWN((D83:I83)*단가,0)))</f>
        <v>5425644</v>
      </c>
      <c r="X46" s="154"/>
      <c r="Y46" s="170" t="str">
        <f t="shared" si="2"/>
        <v>제 27 호표</v>
      </c>
      <c r="Z46" s="150"/>
    </row>
    <row r="47" spans="1:26" ht="18" customHeight="1">
      <c r="A47" s="279"/>
      <c r="B47" s="223" t="s">
        <v>1599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389" t="s">
        <v>1094</v>
      </c>
      <c r="L47" s="233">
        <v>1</v>
      </c>
      <c r="N47" s="292" t="str">
        <f t="shared" si="1"/>
        <v>6.2. 주민간담회/시민계획단</v>
      </c>
      <c r="O47" s="37"/>
      <c r="P47" s="37"/>
      <c r="Q47" s="37"/>
      <c r="R47" s="37"/>
      <c r="S47" s="37"/>
      <c r="T47" s="37"/>
      <c r="U47" s="227"/>
      <c r="V47" s="231"/>
      <c r="W47" s="153">
        <f t="array" aca="1" ref="W47" ca="1">SUM((ROUNDDOWN((D84:I84)*단가,0)))</f>
        <v>5425644</v>
      </c>
      <c r="X47" s="154"/>
      <c r="Y47" s="170" t="str">
        <f t="shared" si="2"/>
        <v>제 28 호표</v>
      </c>
      <c r="Z47" s="150"/>
    </row>
    <row r="48" spans="1:26" ht="18" customHeight="1">
      <c r="A48" s="279"/>
      <c r="B48" s="223" t="s">
        <v>2048</v>
      </c>
      <c r="C48" s="23"/>
      <c r="D48" s="197">
        <v>2</v>
      </c>
      <c r="E48" s="198">
        <v>2</v>
      </c>
      <c r="F48" s="198">
        <v>2</v>
      </c>
      <c r="G48" s="198">
        <v>4</v>
      </c>
      <c r="H48" s="198">
        <v>4</v>
      </c>
      <c r="I48" s="199">
        <v>4</v>
      </c>
      <c r="J48" s="389" t="s">
        <v>1094</v>
      </c>
      <c r="L48" s="233">
        <v>1</v>
      </c>
      <c r="N48" s="292" t="str">
        <f t="shared" si="1"/>
        <v>6.3. 위원회심의 지원</v>
      </c>
      <c r="O48" s="37"/>
      <c r="P48" s="37"/>
      <c r="Q48" s="37"/>
      <c r="R48" s="37"/>
      <c r="S48" s="37"/>
      <c r="T48" s="37"/>
      <c r="U48" s="227"/>
      <c r="V48" s="231"/>
      <c r="W48" s="153">
        <f t="array" aca="1" ref="W48" ca="1">SUM((ROUNDDOWN((D85:I85)*단가,0)))</f>
        <v>5425644</v>
      </c>
      <c r="X48" s="154"/>
      <c r="Y48" s="170" t="str">
        <f t="shared" si="2"/>
        <v>제 29 호표</v>
      </c>
      <c r="Z48" s="150"/>
    </row>
    <row r="49" spans="1:26" ht="18" customHeight="1" thickBot="1">
      <c r="A49" s="279"/>
      <c r="B49" s="223" t="s">
        <v>2049</v>
      </c>
      <c r="C49" s="23"/>
      <c r="D49" s="197">
        <v>2</v>
      </c>
      <c r="E49" s="198">
        <v>2</v>
      </c>
      <c r="F49" s="198">
        <v>2</v>
      </c>
      <c r="G49" s="198">
        <v>4</v>
      </c>
      <c r="H49" s="198">
        <v>4</v>
      </c>
      <c r="I49" s="199">
        <v>4</v>
      </c>
      <c r="J49" s="612" t="s">
        <v>1094</v>
      </c>
      <c r="L49" s="233">
        <v>1</v>
      </c>
      <c r="N49" s="292" t="str">
        <f t="shared" si="1"/>
        <v>6.4. 관계기관 협의</v>
      </c>
      <c r="O49" s="37"/>
      <c r="P49" s="37"/>
      <c r="Q49" s="37"/>
      <c r="R49" s="37"/>
      <c r="S49" s="37"/>
      <c r="T49" s="37"/>
      <c r="U49" s="227"/>
      <c r="V49" s="231"/>
      <c r="W49" s="153">
        <f t="array" aca="1" ref="W49" ca="1">SUM((ROUNDDOWN((D86:I86)*단가,0)))</f>
        <v>5425644</v>
      </c>
      <c r="X49" s="154"/>
      <c r="Y49" s="170" t="str">
        <f t="shared" si="2"/>
        <v>제 30 호표</v>
      </c>
      <c r="Z49" s="150"/>
    </row>
    <row r="50" spans="1:26" ht="18" customHeight="1" thickBot="1">
      <c r="A50" s="279"/>
      <c r="B50" s="14" t="s">
        <v>30</v>
      </c>
      <c r="C50" s="16"/>
      <c r="D50" s="14" t="s">
        <v>12</v>
      </c>
      <c r="E50" s="15"/>
      <c r="F50" s="15"/>
      <c r="G50" s="15"/>
      <c r="H50" s="15"/>
      <c r="I50" s="16"/>
      <c r="J50" s="175" t="s">
        <v>31</v>
      </c>
      <c r="N50" s="8"/>
      <c r="P50" s="371"/>
      <c r="R50" s="357"/>
      <c r="S50" s="1"/>
      <c r="T50" s="1"/>
      <c r="U50" s="258"/>
      <c r="V50" s="372"/>
      <c r="W50" s="373"/>
      <c r="X50" s="374"/>
      <c r="Y50" s="375"/>
    </row>
    <row r="51" spans="1:26" ht="18" customHeight="1">
      <c r="A51" s="279"/>
      <c r="B51" s="222" t="s">
        <v>518</v>
      </c>
      <c r="C51" s="47"/>
      <c r="D51" s="48">
        <f t="shared" ref="D51:I51" si="8">SUBTOTAL(9,D52:D60)</f>
        <v>4.7100000000000009</v>
      </c>
      <c r="E51" s="49">
        <f t="shared" si="8"/>
        <v>9.9120000000000008</v>
      </c>
      <c r="F51" s="49">
        <f t="shared" si="8"/>
        <v>31.359000000000009</v>
      </c>
      <c r="G51" s="49">
        <f t="shared" si="8"/>
        <v>87.097000000000008</v>
      </c>
      <c r="H51" s="49">
        <f t="shared" si="8"/>
        <v>119.43499999999999</v>
      </c>
      <c r="I51" s="50">
        <f t="shared" si="8"/>
        <v>143</v>
      </c>
      <c r="J51" s="74"/>
      <c r="N51" s="290" t="s">
        <v>10</v>
      </c>
      <c r="O51" s="129"/>
      <c r="P51" s="130"/>
      <c r="Q51" s="124"/>
      <c r="R51" s="131"/>
      <c r="S51" s="124"/>
      <c r="T51" s="124"/>
      <c r="U51" s="181"/>
      <c r="V51" s="181"/>
      <c r="W51" s="159">
        <f>SUBTOTAL(9,W52:W54)</f>
        <v>8000000</v>
      </c>
      <c r="X51" s="160"/>
      <c r="Y51" s="124"/>
      <c r="Z51" s="124"/>
    </row>
    <row r="52" spans="1:26" ht="18" customHeight="1">
      <c r="A52" s="278">
        <v>1</v>
      </c>
      <c r="B52" s="223" t="s">
        <v>2022</v>
      </c>
      <c r="C52" s="23"/>
      <c r="D52" s="197">
        <f t="array" ref="D52:I60">ROUNDDOWN(D15:I23*L15:L23*E5,3)</f>
        <v>0.32500000000000001</v>
      </c>
      <c r="E52" s="198">
        <v>0.65</v>
      </c>
      <c r="F52" s="198">
        <v>2.1120000000000001</v>
      </c>
      <c r="G52" s="198">
        <v>6.6619999999999999</v>
      </c>
      <c r="H52" s="198">
        <v>8.9369999999999994</v>
      </c>
      <c r="I52" s="199">
        <v>10.725</v>
      </c>
      <c r="J52" s="74"/>
      <c r="N52" s="128" t="str">
        <f>"여비("&amp;TEXT(R52,"#인 ×")&amp;TEXT(S52,"#일 ×")&amp;TEXT(T52,"###,###원)")</f>
        <v>여비(3인 ×10일 ×100,000원)</v>
      </c>
      <c r="O52" s="78"/>
      <c r="P52" s="52"/>
      <c r="Q52" s="51"/>
      <c r="R52" s="146">
        <v>3</v>
      </c>
      <c r="S52" s="146">
        <v>10</v>
      </c>
      <c r="T52" s="147">
        <v>100000</v>
      </c>
      <c r="U52" s="182"/>
      <c r="V52" s="182"/>
      <c r="W52" s="161">
        <f>R52*S52*T52</f>
        <v>3000000</v>
      </c>
      <c r="X52" s="162"/>
      <c r="Y52" s="51"/>
      <c r="Z52" s="51"/>
    </row>
    <row r="53" spans="1:26" ht="18" customHeight="1">
      <c r="A53" s="278">
        <v>2</v>
      </c>
      <c r="B53" s="223" t="s">
        <v>2023</v>
      </c>
      <c r="C53" s="23"/>
      <c r="D53" s="197">
        <v>0.81200000000000006</v>
      </c>
      <c r="E53" s="198">
        <v>1.625</v>
      </c>
      <c r="F53" s="198">
        <v>7.3120000000000003</v>
      </c>
      <c r="G53" s="198">
        <v>18.524999999999999</v>
      </c>
      <c r="H53" s="198">
        <v>24.7</v>
      </c>
      <c r="I53" s="199">
        <v>28.925000000000001</v>
      </c>
      <c r="J53" s="74"/>
      <c r="N53" s="79" t="s">
        <v>46</v>
      </c>
      <c r="O53" s="79"/>
      <c r="P53" s="39"/>
      <c r="Q53" s="37"/>
      <c r="R53" s="117"/>
      <c r="S53" s="37"/>
      <c r="T53" s="37"/>
      <c r="U53" s="180"/>
      <c r="V53" s="180"/>
      <c r="W53" s="157">
        <v>3000000</v>
      </c>
      <c r="X53" s="158"/>
      <c r="Y53" s="37"/>
      <c r="Z53" s="37"/>
    </row>
    <row r="54" spans="1:26" ht="18" customHeight="1">
      <c r="A54" s="278">
        <v>3</v>
      </c>
      <c r="B54" s="223" t="s">
        <v>2024</v>
      </c>
      <c r="C54" s="23"/>
      <c r="D54" s="197">
        <v>0.81200000000000006</v>
      </c>
      <c r="E54" s="198">
        <v>1.7869999999999999</v>
      </c>
      <c r="F54" s="198">
        <v>7.4749999999999996</v>
      </c>
      <c r="G54" s="198">
        <v>18.524999999999999</v>
      </c>
      <c r="H54" s="198">
        <v>24.7</v>
      </c>
      <c r="I54" s="199">
        <v>28.925000000000001</v>
      </c>
      <c r="J54" s="74"/>
      <c r="N54" s="132" t="s">
        <v>13</v>
      </c>
      <c r="O54" s="132"/>
      <c r="P54" s="38"/>
      <c r="Q54" s="38"/>
      <c r="R54" s="116"/>
      <c r="S54" s="38"/>
      <c r="T54" s="38"/>
      <c r="U54" s="183"/>
      <c r="V54" s="183"/>
      <c r="W54" s="155">
        <v>2000000</v>
      </c>
      <c r="X54" s="156"/>
      <c r="Y54" s="38"/>
      <c r="Z54" s="38"/>
    </row>
    <row r="55" spans="1:26" ht="18" customHeight="1">
      <c r="A55" s="278">
        <v>4</v>
      </c>
      <c r="B55" s="223" t="s">
        <v>2025</v>
      </c>
      <c r="C55" s="23"/>
      <c r="D55" s="197">
        <v>0.81200000000000006</v>
      </c>
      <c r="E55" s="198">
        <v>1.625</v>
      </c>
      <c r="F55" s="198">
        <v>4.0620000000000003</v>
      </c>
      <c r="G55" s="198">
        <v>10.237</v>
      </c>
      <c r="H55" s="198">
        <v>16.736999999999998</v>
      </c>
      <c r="I55" s="199">
        <v>16.574999999999999</v>
      </c>
      <c r="J55" s="389"/>
      <c r="N55" s="127" t="s">
        <v>47</v>
      </c>
      <c r="O55" s="123"/>
      <c r="P55" s="123"/>
      <c r="Q55" s="123"/>
      <c r="R55" s="123"/>
      <c r="S55" s="123"/>
      <c r="T55" s="123"/>
      <c r="U55" s="184"/>
      <c r="V55" s="184"/>
      <c r="W55" s="163">
        <f ca="1">SUBTOTAL(9,W56:W57)</f>
        <v>872723043</v>
      </c>
      <c r="X55" s="164"/>
      <c r="Y55" s="123"/>
      <c r="Z55" s="123"/>
    </row>
    <row r="56" spans="1:26" ht="18" customHeight="1">
      <c r="A56" s="278">
        <v>5</v>
      </c>
      <c r="B56" s="223" t="s">
        <v>2026</v>
      </c>
      <c r="C56" s="23"/>
      <c r="D56" s="197">
        <v>0.16200000000000001</v>
      </c>
      <c r="E56" s="198">
        <v>0.65</v>
      </c>
      <c r="F56" s="198">
        <v>1.95</v>
      </c>
      <c r="G56" s="198">
        <v>6.6619999999999999</v>
      </c>
      <c r="H56" s="198">
        <v>9.1</v>
      </c>
      <c r="I56" s="199">
        <v>11.05</v>
      </c>
      <c r="J56" s="389"/>
      <c r="N56" s="133" t="s">
        <v>861</v>
      </c>
      <c r="O56" s="124"/>
      <c r="P56" s="134"/>
      <c r="Q56" s="124"/>
      <c r="R56" s="131"/>
      <c r="S56" s="124"/>
      <c r="T56" s="181"/>
      <c r="U56" s="181"/>
      <c r="V56" s="190">
        <v>1.1499999999999999</v>
      </c>
      <c r="W56" s="159">
        <f ca="1">ROUNDDOWN(W13*V56,0)</f>
        <v>559126184</v>
      </c>
      <c r="X56" s="160"/>
      <c r="Y56" s="124"/>
      <c r="Z56" s="124"/>
    </row>
    <row r="57" spans="1:26" ht="18" customHeight="1" thickBot="1">
      <c r="A57" s="278">
        <v>6</v>
      </c>
      <c r="B57" s="223" t="s">
        <v>2027</v>
      </c>
      <c r="C57" s="23"/>
      <c r="D57" s="197">
        <v>0.32500000000000001</v>
      </c>
      <c r="E57" s="198">
        <v>0.65</v>
      </c>
      <c r="F57" s="198">
        <v>2.1120000000000001</v>
      </c>
      <c r="G57" s="198">
        <v>6.6619999999999999</v>
      </c>
      <c r="H57" s="198">
        <v>8.9369999999999994</v>
      </c>
      <c r="I57" s="199">
        <v>10.725</v>
      </c>
      <c r="J57" s="389"/>
      <c r="N57" s="135" t="s">
        <v>862</v>
      </c>
      <c r="O57" s="136"/>
      <c r="P57" s="137"/>
      <c r="Q57" s="136"/>
      <c r="R57" s="138"/>
      <c r="S57" s="136"/>
      <c r="T57" s="185"/>
      <c r="U57" s="185"/>
      <c r="V57" s="191">
        <v>0.3</v>
      </c>
      <c r="W57" s="165">
        <f ca="1">ROUNDDOWN((W13+W56)*V57,0)</f>
        <v>313596859</v>
      </c>
      <c r="X57" s="166"/>
      <c r="Y57" s="136"/>
      <c r="Z57" s="136"/>
    </row>
    <row r="58" spans="1:26" ht="18" customHeight="1">
      <c r="A58" s="278">
        <v>7</v>
      </c>
      <c r="B58" s="223" t="s">
        <v>2028</v>
      </c>
      <c r="C58" s="23"/>
      <c r="D58" s="197">
        <v>0.32500000000000001</v>
      </c>
      <c r="E58" s="198">
        <v>0.65</v>
      </c>
      <c r="F58" s="198">
        <v>2.1120000000000001</v>
      </c>
      <c r="G58" s="198">
        <v>6.6619999999999999</v>
      </c>
      <c r="H58" s="198">
        <v>8.9369999999999994</v>
      </c>
      <c r="I58" s="199">
        <v>10.725</v>
      </c>
      <c r="J58" s="389"/>
    </row>
    <row r="59" spans="1:26" ht="18" customHeight="1">
      <c r="A59" s="278">
        <v>8</v>
      </c>
      <c r="B59" s="223" t="s">
        <v>2029</v>
      </c>
      <c r="C59" s="23"/>
      <c r="D59" s="197">
        <v>0.32500000000000001</v>
      </c>
      <c r="E59" s="198">
        <v>0.65</v>
      </c>
      <c r="F59" s="198">
        <v>2.1120000000000001</v>
      </c>
      <c r="G59" s="198">
        <v>6.6619999999999999</v>
      </c>
      <c r="H59" s="198">
        <v>8.9369999999999994</v>
      </c>
      <c r="I59" s="199">
        <v>10.725</v>
      </c>
      <c r="J59" s="389"/>
      <c r="K59" s="171" t="s">
        <v>14</v>
      </c>
    </row>
    <row r="60" spans="1:26" ht="18" customHeight="1">
      <c r="A60" s="278">
        <v>9</v>
      </c>
      <c r="B60" s="223" t="s">
        <v>2030</v>
      </c>
      <c r="C60" s="23"/>
      <c r="D60" s="197">
        <v>0.81200000000000006</v>
      </c>
      <c r="E60" s="198">
        <v>1.625</v>
      </c>
      <c r="F60" s="198">
        <v>2.1120000000000001</v>
      </c>
      <c r="G60" s="198">
        <v>6.5</v>
      </c>
      <c r="H60" s="198">
        <v>8.4499999999999993</v>
      </c>
      <c r="I60" s="199">
        <v>14.625</v>
      </c>
      <c r="J60" s="389"/>
      <c r="K60" s="171" t="s">
        <v>14</v>
      </c>
    </row>
    <row r="61" spans="1:26" ht="18" customHeight="1">
      <c r="A61" s="278"/>
      <c r="B61" s="222" t="s">
        <v>52</v>
      </c>
      <c r="C61" s="47"/>
      <c r="D61" s="48">
        <f t="shared" ref="D61:I61" si="9">SUBTOTAL(9,D62:D63)</f>
        <v>2.4370000000000003</v>
      </c>
      <c r="E61" s="49">
        <f t="shared" si="9"/>
        <v>4.3870000000000005</v>
      </c>
      <c r="F61" s="49">
        <f t="shared" si="9"/>
        <v>5.8490000000000002</v>
      </c>
      <c r="G61" s="49">
        <f t="shared" si="9"/>
        <v>8.4489999999999998</v>
      </c>
      <c r="H61" s="49">
        <f t="shared" si="9"/>
        <v>9.7489999999999988</v>
      </c>
      <c r="I61" s="50">
        <f t="shared" si="9"/>
        <v>13</v>
      </c>
      <c r="J61" s="74"/>
      <c r="K61" s="171" t="s">
        <v>14</v>
      </c>
    </row>
    <row r="62" spans="1:26" ht="18" customHeight="1">
      <c r="A62" s="278">
        <v>10</v>
      </c>
      <c r="B62" s="223" t="s">
        <v>2031</v>
      </c>
      <c r="C62" s="23"/>
      <c r="D62" s="197">
        <f t="array" ref="D62:I63">ROUNDDOWN(D25:I26*L25:L26*E5,3)</f>
        <v>1.137</v>
      </c>
      <c r="E62" s="198">
        <v>2.1120000000000001</v>
      </c>
      <c r="F62" s="198">
        <v>2.762</v>
      </c>
      <c r="G62" s="198">
        <v>4.0620000000000003</v>
      </c>
      <c r="H62" s="198">
        <v>4.3869999999999996</v>
      </c>
      <c r="I62" s="199">
        <v>5.85</v>
      </c>
      <c r="J62" s="74"/>
      <c r="K62" s="171" t="s">
        <v>14</v>
      </c>
      <c r="L62" s="171"/>
    </row>
    <row r="63" spans="1:26" ht="18" customHeight="1">
      <c r="A63" s="278">
        <v>11</v>
      </c>
      <c r="B63" s="223" t="s">
        <v>2032</v>
      </c>
      <c r="C63" s="23"/>
      <c r="D63" s="197">
        <v>1.3</v>
      </c>
      <c r="E63" s="198">
        <v>2.2749999999999999</v>
      </c>
      <c r="F63" s="198">
        <v>3.0870000000000002</v>
      </c>
      <c r="G63" s="198">
        <v>4.3869999999999996</v>
      </c>
      <c r="H63" s="198">
        <v>5.3620000000000001</v>
      </c>
      <c r="I63" s="199">
        <v>7.15</v>
      </c>
      <c r="J63" s="74"/>
      <c r="K63" s="171"/>
      <c r="L63" s="171"/>
      <c r="R63" s="1"/>
      <c r="S63" s="1"/>
      <c r="T63" s="1"/>
      <c r="U63" s="1"/>
      <c r="V63" s="1"/>
      <c r="W63" s="1"/>
      <c r="X63" s="1"/>
      <c r="Y63" s="1"/>
    </row>
    <row r="64" spans="1:26" ht="18" customHeight="1">
      <c r="A64" s="278"/>
      <c r="B64" s="222" t="s">
        <v>447</v>
      </c>
      <c r="C64" s="47"/>
      <c r="D64" s="48">
        <f t="shared" ref="D64:I64" si="10">SUBTOTAL(9,D65:D76)</f>
        <v>16.731999999999999</v>
      </c>
      <c r="E64" s="49">
        <f t="shared" si="10"/>
        <v>33.306999999999995</v>
      </c>
      <c r="F64" s="49">
        <f t="shared" si="10"/>
        <v>91.487000000000009</v>
      </c>
      <c r="G64" s="49">
        <f t="shared" si="10"/>
        <v>166.23299999999998</v>
      </c>
      <c r="H64" s="49">
        <f t="shared" si="10"/>
        <v>235.46200000000002</v>
      </c>
      <c r="I64" s="50">
        <f t="shared" si="10"/>
        <v>231.88700000000003</v>
      </c>
      <c r="J64" s="74"/>
      <c r="K64" s="171" t="s">
        <v>14</v>
      </c>
      <c r="L64" s="171"/>
      <c r="R64" s="1"/>
      <c r="S64" s="1"/>
      <c r="T64" s="1"/>
      <c r="U64" s="1"/>
      <c r="V64" s="1"/>
      <c r="W64" s="1"/>
      <c r="X64" s="1"/>
      <c r="Y64" s="1"/>
    </row>
    <row r="65" spans="1:26" ht="18" customHeight="1">
      <c r="A65" s="278">
        <v>12</v>
      </c>
      <c r="B65" s="223" t="s">
        <v>2033</v>
      </c>
      <c r="C65" s="23"/>
      <c r="D65" s="197">
        <f t="array" ref="D65:I76">ROUNDDOWN(D28:I39*L28:L39*E5,3)</f>
        <v>0.65</v>
      </c>
      <c r="E65" s="198">
        <v>1.7869999999999999</v>
      </c>
      <c r="F65" s="198">
        <v>5.5250000000000004</v>
      </c>
      <c r="G65" s="198">
        <v>11.862</v>
      </c>
      <c r="H65" s="198">
        <v>13.975</v>
      </c>
      <c r="I65" s="199">
        <v>12.025</v>
      </c>
      <c r="J65" s="74"/>
      <c r="K65" s="171" t="s">
        <v>14</v>
      </c>
      <c r="L65" s="171"/>
      <c r="R65" s="1"/>
      <c r="S65" s="1"/>
      <c r="T65" s="1"/>
      <c r="U65" s="1"/>
      <c r="V65" s="1"/>
      <c r="W65" s="1"/>
      <c r="X65" s="1"/>
      <c r="Y65" s="1"/>
    </row>
    <row r="66" spans="1:26" ht="18" customHeight="1" thickBot="1">
      <c r="A66" s="278">
        <v>13</v>
      </c>
      <c r="B66" s="223" t="s">
        <v>2034</v>
      </c>
      <c r="C66" s="23"/>
      <c r="D66" s="197">
        <v>0.48699999999999999</v>
      </c>
      <c r="E66" s="198">
        <v>1.7869999999999999</v>
      </c>
      <c r="F66" s="198">
        <v>5.5250000000000004</v>
      </c>
      <c r="G66" s="198">
        <v>11.862</v>
      </c>
      <c r="H66" s="198">
        <v>13.975</v>
      </c>
      <c r="I66" s="199">
        <v>12.025</v>
      </c>
      <c r="J66" s="74"/>
      <c r="K66" s="171" t="s">
        <v>14</v>
      </c>
      <c r="L66" s="171"/>
      <c r="N66" s="66" t="s">
        <v>18</v>
      </c>
      <c r="O66" s="2"/>
      <c r="P66" s="2"/>
      <c r="Q66" s="2"/>
      <c r="R66" s="3"/>
      <c r="S66" s="4"/>
      <c r="T66" s="3"/>
      <c r="U66" s="4"/>
      <c r="V66" s="3"/>
      <c r="W66" s="4"/>
      <c r="X66" s="3"/>
      <c r="Y66" s="4"/>
      <c r="Z66" s="2"/>
    </row>
    <row r="67" spans="1:26" ht="18" customHeight="1">
      <c r="A67" s="278">
        <v>14</v>
      </c>
      <c r="B67" s="223" t="s">
        <v>2035</v>
      </c>
      <c r="C67" s="23"/>
      <c r="D67" s="197">
        <v>11.212</v>
      </c>
      <c r="E67" s="198">
        <v>16.087</v>
      </c>
      <c r="F67" s="198">
        <v>36.887</v>
      </c>
      <c r="G67" s="198">
        <v>50.212000000000003</v>
      </c>
      <c r="H67" s="198">
        <v>97.662000000000006</v>
      </c>
      <c r="I67" s="199">
        <v>111.637</v>
      </c>
      <c r="J67" s="74"/>
      <c r="K67" s="171" t="s">
        <v>14</v>
      </c>
      <c r="L67" s="171"/>
      <c r="N67" s="765" t="s">
        <v>19</v>
      </c>
      <c r="O67" s="755" t="s">
        <v>20</v>
      </c>
      <c r="P67" s="755" t="s">
        <v>21</v>
      </c>
      <c r="Q67" s="755" t="s">
        <v>16</v>
      </c>
      <c r="R67" s="5" t="s">
        <v>22</v>
      </c>
      <c r="S67" s="5"/>
      <c r="T67" s="5" t="s">
        <v>23</v>
      </c>
      <c r="U67" s="5"/>
      <c r="V67" s="5" t="s">
        <v>24</v>
      </c>
      <c r="W67" s="5"/>
      <c r="X67" s="5" t="s">
        <v>25</v>
      </c>
      <c r="Y67" s="5"/>
      <c r="Z67" s="755" t="s">
        <v>26</v>
      </c>
    </row>
    <row r="68" spans="1:26" ht="18" customHeight="1" thickBot="1">
      <c r="A68" s="278">
        <v>15</v>
      </c>
      <c r="B68" s="223" t="s">
        <v>2036</v>
      </c>
      <c r="C68" s="23"/>
      <c r="D68" s="197">
        <v>0.48699999999999999</v>
      </c>
      <c r="E68" s="198">
        <v>1.7869999999999999</v>
      </c>
      <c r="F68" s="198">
        <v>5.5250000000000004</v>
      </c>
      <c r="G68" s="198">
        <v>11.862</v>
      </c>
      <c r="H68" s="198">
        <v>13.975</v>
      </c>
      <c r="I68" s="199">
        <v>12.025</v>
      </c>
      <c r="J68" s="389"/>
      <c r="K68" s="171" t="s">
        <v>14</v>
      </c>
      <c r="L68" s="171"/>
      <c r="N68" s="766"/>
      <c r="O68" s="756"/>
      <c r="P68" s="756"/>
      <c r="Q68" s="756"/>
      <c r="R68" s="67" t="s">
        <v>27</v>
      </c>
      <c r="S68" s="67" t="s">
        <v>28</v>
      </c>
      <c r="T68" s="67" t="s">
        <v>27</v>
      </c>
      <c r="U68" s="67" t="s">
        <v>28</v>
      </c>
      <c r="V68" s="67" t="s">
        <v>27</v>
      </c>
      <c r="W68" s="67" t="s">
        <v>28</v>
      </c>
      <c r="X68" s="67" t="s">
        <v>27</v>
      </c>
      <c r="Y68" s="67" t="s">
        <v>28</v>
      </c>
      <c r="Z68" s="756"/>
    </row>
    <row r="69" spans="1:26" ht="18" customHeight="1" thickTop="1">
      <c r="A69" s="278">
        <v>16</v>
      </c>
      <c r="B69" s="223" t="s">
        <v>2037</v>
      </c>
      <c r="C69" s="23"/>
      <c r="D69" s="197">
        <v>0.48699999999999999</v>
      </c>
      <c r="E69" s="198">
        <v>1.7869999999999999</v>
      </c>
      <c r="F69" s="198">
        <v>5.5250000000000004</v>
      </c>
      <c r="G69" s="198">
        <v>11.862</v>
      </c>
      <c r="H69" s="198">
        <v>13.975</v>
      </c>
      <c r="I69" s="199">
        <v>12.025</v>
      </c>
      <c r="J69" s="389"/>
      <c r="K69" s="171" t="s">
        <v>14</v>
      </c>
      <c r="L69" s="171"/>
      <c r="N69" s="318" t="str">
        <f ca="1">"제 " &amp; Z69 &amp; " 호표  "&amp; OFFSET($A$1,MATCH(Z69,$A:$A,0)-1,1)</f>
        <v>제 1 호표  1.1. 도시계획현황 및 지형현황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v>1</v>
      </c>
    </row>
    <row r="70" spans="1:26" ht="18" customHeight="1">
      <c r="A70" s="278">
        <v>17</v>
      </c>
      <c r="B70" s="223" t="s">
        <v>2038</v>
      </c>
      <c r="C70" s="23"/>
      <c r="D70" s="197">
        <v>0.48699999999999999</v>
      </c>
      <c r="E70" s="198">
        <v>1.7869999999999999</v>
      </c>
      <c r="F70" s="198">
        <v>5.5250000000000004</v>
      </c>
      <c r="G70" s="198">
        <v>11.862</v>
      </c>
      <c r="H70" s="198">
        <v>13.975</v>
      </c>
      <c r="I70" s="199">
        <v>12.025</v>
      </c>
      <c r="J70" s="74"/>
      <c r="K70" s="171" t="s">
        <v>14</v>
      </c>
      <c r="L70" s="171"/>
      <c r="N70" s="140" t="s">
        <v>43</v>
      </c>
      <c r="O70" s="172">
        <v>3</v>
      </c>
      <c r="P70" s="219">
        <f ca="1">OFFSET($A$1,MATCH(Z69,$A:$A,0)-1,O70)</f>
        <v>0.32500000000000001</v>
      </c>
      <c r="Q70" s="141" t="s">
        <v>29</v>
      </c>
      <c r="R70" s="142">
        <f t="shared" ref="R70:S75" ca="1" si="11">T70</f>
        <v>467217</v>
      </c>
      <c r="S70" s="142">
        <f t="shared" ca="1" si="11"/>
        <v>151845</v>
      </c>
      <c r="T70" s="142">
        <f ca="1">기술사</f>
        <v>467217</v>
      </c>
      <c r="U70" s="142">
        <f t="shared" ref="U70:U75" ca="1" si="12">ROUNDDOWN(P70*R70,0)</f>
        <v>151845</v>
      </c>
      <c r="V70" s="142"/>
      <c r="W70" s="142"/>
      <c r="X70" s="142"/>
      <c r="Y70" s="142"/>
      <c r="Z70" s="114"/>
    </row>
    <row r="71" spans="1:26" ht="18" customHeight="1">
      <c r="A71" s="278">
        <v>18</v>
      </c>
      <c r="B71" s="223" t="s">
        <v>2039</v>
      </c>
      <c r="C71" s="23"/>
      <c r="D71" s="197">
        <v>0.48699999999999999</v>
      </c>
      <c r="E71" s="198">
        <v>1.7869999999999999</v>
      </c>
      <c r="F71" s="198">
        <v>5.5250000000000004</v>
      </c>
      <c r="G71" s="198">
        <v>11.862</v>
      </c>
      <c r="H71" s="198">
        <v>13.975</v>
      </c>
      <c r="I71" s="199">
        <v>12.025</v>
      </c>
      <c r="J71" s="74"/>
      <c r="K71" s="171" t="s">
        <v>14</v>
      </c>
      <c r="L71" s="171"/>
      <c r="N71" s="143" t="s">
        <v>32</v>
      </c>
      <c r="O71" s="173">
        <v>4</v>
      </c>
      <c r="P71" s="234">
        <f ca="1">OFFSET($A$1,MATCH(Z69,$A:$A,0)-1,O71)</f>
        <v>0.65</v>
      </c>
      <c r="Q71" s="144" t="s">
        <v>29</v>
      </c>
      <c r="R71" s="118">
        <f t="shared" ca="1" si="11"/>
        <v>373353</v>
      </c>
      <c r="S71" s="118">
        <f t="shared" ca="1" si="11"/>
        <v>242679</v>
      </c>
      <c r="T71" s="118">
        <f ca="1">특급</f>
        <v>373353</v>
      </c>
      <c r="U71" s="118">
        <f t="shared" ca="1" si="12"/>
        <v>242679</v>
      </c>
      <c r="V71" s="118"/>
      <c r="W71" s="118"/>
      <c r="X71" s="118"/>
      <c r="Y71" s="118"/>
      <c r="Z71" s="115"/>
    </row>
    <row r="72" spans="1:26" ht="18" customHeight="1">
      <c r="A72" s="278">
        <v>19</v>
      </c>
      <c r="B72" s="223" t="s">
        <v>2040</v>
      </c>
      <c r="C72" s="23"/>
      <c r="D72" s="197">
        <v>0.48699999999999999</v>
      </c>
      <c r="E72" s="198">
        <v>1.3</v>
      </c>
      <c r="F72" s="198">
        <v>5.2</v>
      </c>
      <c r="G72" s="198">
        <v>11.375</v>
      </c>
      <c r="H72" s="198">
        <v>13.65</v>
      </c>
      <c r="I72" s="199">
        <v>12.35</v>
      </c>
      <c r="J72" s="74"/>
      <c r="K72" s="171" t="s">
        <v>14</v>
      </c>
      <c r="L72" s="171"/>
      <c r="N72" s="145" t="s">
        <v>39</v>
      </c>
      <c r="O72" s="173">
        <v>5</v>
      </c>
      <c r="P72" s="234">
        <f ca="1">OFFSET($A$1,MATCH(Z69,$A:$A,0)-1,O72)</f>
        <v>2.1120000000000001</v>
      </c>
      <c r="Q72" s="144" t="s">
        <v>29</v>
      </c>
      <c r="R72" s="118">
        <f t="shared" ca="1" si="11"/>
        <v>310884</v>
      </c>
      <c r="S72" s="118">
        <f t="shared" ca="1" si="11"/>
        <v>656587</v>
      </c>
      <c r="T72" s="118">
        <f ca="1">고급</f>
        <v>310884</v>
      </c>
      <c r="U72" s="118">
        <f t="shared" ca="1" si="12"/>
        <v>656587</v>
      </c>
      <c r="V72" s="118"/>
      <c r="W72" s="118"/>
      <c r="X72" s="118"/>
      <c r="Y72" s="118"/>
      <c r="Z72" s="115"/>
    </row>
    <row r="73" spans="1:26" ht="18" customHeight="1">
      <c r="A73" s="278">
        <v>20</v>
      </c>
      <c r="B73" s="223" t="s">
        <v>2041</v>
      </c>
      <c r="C73" s="23"/>
      <c r="D73" s="197">
        <v>0.48699999999999999</v>
      </c>
      <c r="E73" s="198">
        <v>1.7869999999999999</v>
      </c>
      <c r="F73" s="198">
        <v>5.5250000000000004</v>
      </c>
      <c r="G73" s="198">
        <v>11.862</v>
      </c>
      <c r="H73" s="198">
        <v>13.975</v>
      </c>
      <c r="I73" s="199">
        <v>12.025</v>
      </c>
      <c r="J73" s="74"/>
      <c r="K73" s="171" t="s">
        <v>14</v>
      </c>
      <c r="L73" s="171"/>
      <c r="N73" s="145" t="s">
        <v>40</v>
      </c>
      <c r="O73" s="173">
        <v>6</v>
      </c>
      <c r="P73" s="234">
        <f ca="1">OFFSET($A$1,MATCH(Z69,$A:$A,0)-1,O73)</f>
        <v>6.6619999999999999</v>
      </c>
      <c r="Q73" s="144" t="s">
        <v>29</v>
      </c>
      <c r="R73" s="118">
        <f t="shared" ca="1" si="11"/>
        <v>295138</v>
      </c>
      <c r="S73" s="118">
        <f t="shared" ca="1" si="11"/>
        <v>1966209</v>
      </c>
      <c r="T73" s="118">
        <f ca="1">중급</f>
        <v>295138</v>
      </c>
      <c r="U73" s="118">
        <f t="shared" ca="1" si="12"/>
        <v>1966209</v>
      </c>
      <c r="V73" s="118"/>
      <c r="W73" s="118"/>
      <c r="X73" s="118"/>
      <c r="Y73" s="118"/>
      <c r="Z73" s="115"/>
    </row>
    <row r="74" spans="1:26" ht="18" customHeight="1">
      <c r="A74" s="278">
        <v>21</v>
      </c>
      <c r="B74" s="223" t="s">
        <v>2042</v>
      </c>
      <c r="C74" s="23"/>
      <c r="D74" s="197">
        <v>0.48699999999999999</v>
      </c>
      <c r="E74" s="198">
        <v>1.7869999999999999</v>
      </c>
      <c r="F74" s="198">
        <v>5.5250000000000004</v>
      </c>
      <c r="G74" s="198">
        <v>11.862</v>
      </c>
      <c r="H74" s="198">
        <v>13.975</v>
      </c>
      <c r="I74" s="199">
        <v>12.025</v>
      </c>
      <c r="J74" s="389"/>
      <c r="K74" s="171" t="s">
        <v>14</v>
      </c>
      <c r="L74" s="171"/>
      <c r="N74" s="145" t="s">
        <v>41</v>
      </c>
      <c r="O74" s="173">
        <v>7</v>
      </c>
      <c r="P74" s="234">
        <f ca="1">OFFSET($A$1,MATCH(Z69,$A:$A,0)-1,O74)</f>
        <v>8.9369999999999994</v>
      </c>
      <c r="Q74" s="144" t="s">
        <v>29</v>
      </c>
      <c r="R74" s="118">
        <f t="shared" ca="1" si="11"/>
        <v>235459</v>
      </c>
      <c r="S74" s="118">
        <f t="shared" ca="1" si="11"/>
        <v>2104297</v>
      </c>
      <c r="T74" s="118">
        <f ca="1">초급</f>
        <v>235459</v>
      </c>
      <c r="U74" s="118">
        <f t="shared" ca="1" si="12"/>
        <v>2104297</v>
      </c>
      <c r="V74" s="118"/>
      <c r="W74" s="118"/>
      <c r="X74" s="118"/>
      <c r="Y74" s="118"/>
      <c r="Z74" s="115"/>
    </row>
    <row r="75" spans="1:26" ht="18" customHeight="1">
      <c r="A75" s="278">
        <v>22</v>
      </c>
      <c r="B75" s="223" t="s">
        <v>2043</v>
      </c>
      <c r="C75" s="23"/>
      <c r="D75" s="197">
        <v>0.48699999999999999</v>
      </c>
      <c r="E75" s="198">
        <v>0.81200000000000006</v>
      </c>
      <c r="F75" s="198">
        <v>2.6</v>
      </c>
      <c r="G75" s="198">
        <v>4.875</v>
      </c>
      <c r="H75" s="198">
        <v>6.1749999999999998</v>
      </c>
      <c r="I75" s="199">
        <v>5.85</v>
      </c>
      <c r="J75" s="389"/>
      <c r="K75" s="171" t="s">
        <v>14</v>
      </c>
      <c r="L75" s="171"/>
      <c r="N75" s="319" t="s">
        <v>42</v>
      </c>
      <c r="O75" s="174">
        <v>8</v>
      </c>
      <c r="P75" s="235">
        <f ca="1">OFFSET($A$1,MATCH(Z69,$A:$A,0)-1,O75)</f>
        <v>10.725</v>
      </c>
      <c r="Q75" s="322" t="s">
        <v>29</v>
      </c>
      <c r="R75" s="323">
        <f t="shared" ca="1" si="11"/>
        <v>250087</v>
      </c>
      <c r="S75" s="323">
        <f t="shared" ca="1" si="11"/>
        <v>2682183</v>
      </c>
      <c r="T75" s="323">
        <f ca="1">보조원</f>
        <v>250087</v>
      </c>
      <c r="U75" s="323">
        <f t="shared" ca="1" si="12"/>
        <v>2682183</v>
      </c>
      <c r="V75" s="323"/>
      <c r="W75" s="323"/>
      <c r="X75" s="323"/>
      <c r="Y75" s="323"/>
      <c r="Z75" s="324"/>
    </row>
    <row r="76" spans="1:26" ht="18" customHeight="1">
      <c r="A76" s="278">
        <v>23</v>
      </c>
      <c r="B76" s="223" t="s">
        <v>2044</v>
      </c>
      <c r="C76" s="23"/>
      <c r="D76" s="197">
        <v>0.48699999999999999</v>
      </c>
      <c r="E76" s="198">
        <v>0.81200000000000006</v>
      </c>
      <c r="F76" s="198">
        <v>2.6</v>
      </c>
      <c r="G76" s="198">
        <v>4.875</v>
      </c>
      <c r="H76" s="198">
        <v>6.1749999999999998</v>
      </c>
      <c r="I76" s="199">
        <v>5.85</v>
      </c>
      <c r="J76" s="389"/>
      <c r="K76" s="171" t="s">
        <v>14</v>
      </c>
      <c r="L76" s="171"/>
      <c r="N76" s="139" t="s">
        <v>17</v>
      </c>
      <c r="O76" s="68"/>
      <c r="P76" s="69"/>
      <c r="Q76" s="70"/>
      <c r="R76" s="71"/>
      <c r="S76" s="71">
        <f ca="1">SUBTOTAL(9,S70:S75)</f>
        <v>7803800</v>
      </c>
      <c r="T76" s="71"/>
      <c r="U76" s="71">
        <f ca="1">SUBTOTAL(9,U70:U75)</f>
        <v>7803800</v>
      </c>
      <c r="V76" s="71"/>
      <c r="W76" s="71"/>
      <c r="X76" s="71"/>
      <c r="Y76" s="71"/>
      <c r="Z76" s="68"/>
    </row>
    <row r="77" spans="1:26" ht="18" customHeight="1">
      <c r="A77" s="278"/>
      <c r="B77" s="222" t="s">
        <v>105</v>
      </c>
      <c r="C77" s="47"/>
      <c r="D77" s="48">
        <f t="shared" ref="D77:I77" si="13">SUBTOTAL(9,D78:D79)</f>
        <v>6.0120000000000005</v>
      </c>
      <c r="E77" s="49">
        <f t="shared" si="13"/>
        <v>12.024000000000001</v>
      </c>
      <c r="F77" s="49">
        <f t="shared" si="13"/>
        <v>27.299999999999997</v>
      </c>
      <c r="G77" s="49">
        <f t="shared" si="13"/>
        <v>50.375</v>
      </c>
      <c r="H77" s="49">
        <f t="shared" si="13"/>
        <v>70.524000000000001</v>
      </c>
      <c r="I77" s="50">
        <f t="shared" si="13"/>
        <v>70.524000000000001</v>
      </c>
      <c r="J77" s="74"/>
      <c r="K77" s="171" t="s">
        <v>14</v>
      </c>
      <c r="L77" s="171"/>
      <c r="N77" s="318" t="str">
        <f ca="1">"제 " &amp; Z77 &amp; " 호표  "&amp; OFFSET($A$1,MATCH(Z77,$A:$A,0)-1,1)</f>
        <v>제 2 호표  1.2. 토지이용현황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2</v>
      </c>
    </row>
    <row r="78" spans="1:26" ht="18" customHeight="1">
      <c r="A78" s="278">
        <v>24</v>
      </c>
      <c r="B78" s="223" t="s">
        <v>1538</v>
      </c>
      <c r="C78" s="23"/>
      <c r="D78" s="197">
        <f t="array" ref="D78:I79">ROUNDDOWN(D41:I42*L41:L42*E5,3)</f>
        <v>4.0620000000000003</v>
      </c>
      <c r="E78" s="198">
        <v>7.9619999999999997</v>
      </c>
      <c r="F78" s="198">
        <v>18.2</v>
      </c>
      <c r="G78" s="198">
        <v>30.225000000000001</v>
      </c>
      <c r="H78" s="198">
        <v>30.387</v>
      </c>
      <c r="I78" s="199">
        <v>20.312000000000001</v>
      </c>
      <c r="J78" s="74"/>
      <c r="K78" s="171" t="s">
        <v>14</v>
      </c>
      <c r="L78" s="171"/>
      <c r="N78" s="140" t="s">
        <v>43</v>
      </c>
      <c r="O78" s="172">
        <v>3</v>
      </c>
      <c r="P78" s="219">
        <f ca="1">OFFSET($A$1,MATCH(Z77,$A:$A,0)-1,O78)</f>
        <v>0.81200000000000006</v>
      </c>
      <c r="Q78" s="141" t="s">
        <v>29</v>
      </c>
      <c r="R78" s="142">
        <f t="shared" ref="R78:S83" ca="1" si="14">T78</f>
        <v>467217</v>
      </c>
      <c r="S78" s="142">
        <f t="shared" ca="1" si="14"/>
        <v>379380</v>
      </c>
      <c r="T78" s="142">
        <f ca="1">기술사</f>
        <v>467217</v>
      </c>
      <c r="U78" s="142">
        <f t="shared" ref="U78:U83" ca="1" si="15">ROUNDDOWN(P78*R78,0)</f>
        <v>379380</v>
      </c>
      <c r="V78" s="142"/>
      <c r="W78" s="142"/>
      <c r="X78" s="142"/>
      <c r="Y78" s="142"/>
      <c r="Z78" s="114"/>
    </row>
    <row r="79" spans="1:26" ht="18" customHeight="1">
      <c r="A79" s="278">
        <v>25</v>
      </c>
      <c r="B79" s="223" t="s">
        <v>2045</v>
      </c>
      <c r="C79" s="43"/>
      <c r="D79" s="206">
        <v>1.95</v>
      </c>
      <c r="E79" s="207">
        <v>4.0620000000000003</v>
      </c>
      <c r="F79" s="207">
        <v>9.1</v>
      </c>
      <c r="G79" s="207">
        <v>20.149999999999999</v>
      </c>
      <c r="H79" s="207">
        <v>40.137</v>
      </c>
      <c r="I79" s="208">
        <v>50.212000000000003</v>
      </c>
      <c r="J79" s="239"/>
      <c r="K79" s="171" t="s">
        <v>14</v>
      </c>
      <c r="L79" s="171"/>
      <c r="N79" s="143" t="s">
        <v>32</v>
      </c>
      <c r="O79" s="173">
        <v>4</v>
      </c>
      <c r="P79" s="234">
        <f ca="1">OFFSET($A$1,MATCH(Z77,$A:$A,0)-1,O79)</f>
        <v>1.625</v>
      </c>
      <c r="Q79" s="144" t="s">
        <v>29</v>
      </c>
      <c r="R79" s="118">
        <f t="shared" ca="1" si="14"/>
        <v>373353</v>
      </c>
      <c r="S79" s="118">
        <f t="shared" ca="1" si="14"/>
        <v>606698</v>
      </c>
      <c r="T79" s="118">
        <f ca="1">특급</f>
        <v>373353</v>
      </c>
      <c r="U79" s="118">
        <f t="shared" ca="1" si="15"/>
        <v>606698</v>
      </c>
      <c r="V79" s="118"/>
      <c r="W79" s="118"/>
      <c r="X79" s="118"/>
      <c r="Y79" s="118"/>
      <c r="Z79" s="115"/>
    </row>
    <row r="80" spans="1:26" ht="18" customHeight="1">
      <c r="A80" s="278"/>
      <c r="B80" s="222" t="s">
        <v>534</v>
      </c>
      <c r="C80" s="47"/>
      <c r="D80" s="48">
        <f t="shared" ref="D80:I80" si="16">SUBTOTAL(9,D81:D82)</f>
        <v>26</v>
      </c>
      <c r="E80" s="49">
        <f t="shared" si="16"/>
        <v>26</v>
      </c>
      <c r="F80" s="49">
        <f t="shared" si="16"/>
        <v>26</v>
      </c>
      <c r="G80" s="49">
        <f t="shared" si="16"/>
        <v>52</v>
      </c>
      <c r="H80" s="49">
        <f t="shared" si="16"/>
        <v>52</v>
      </c>
      <c r="I80" s="50">
        <f t="shared" si="16"/>
        <v>52</v>
      </c>
      <c r="J80" s="74"/>
      <c r="K80" s="171" t="s">
        <v>14</v>
      </c>
      <c r="L80" s="171"/>
      <c r="N80" s="145" t="s">
        <v>39</v>
      </c>
      <c r="O80" s="173">
        <v>5</v>
      </c>
      <c r="P80" s="234">
        <f ca="1">OFFSET($A$1,MATCH(Z77,$A:$A,0)-1,O80)</f>
        <v>7.3120000000000003</v>
      </c>
      <c r="Q80" s="144" t="s">
        <v>29</v>
      </c>
      <c r="R80" s="118">
        <f t="shared" ca="1" si="14"/>
        <v>310884</v>
      </c>
      <c r="S80" s="118">
        <f t="shared" ca="1" si="14"/>
        <v>2273183</v>
      </c>
      <c r="T80" s="118">
        <f ca="1">고급</f>
        <v>310884</v>
      </c>
      <c r="U80" s="118">
        <f t="shared" ca="1" si="15"/>
        <v>2273183</v>
      </c>
      <c r="V80" s="118"/>
      <c r="W80" s="118"/>
      <c r="X80" s="118"/>
      <c r="Y80" s="118"/>
      <c r="Z80" s="115"/>
    </row>
    <row r="81" spans="1:26" ht="18" customHeight="1">
      <c r="A81" s="278">
        <v>26</v>
      </c>
      <c r="B81" s="223" t="s">
        <v>2046</v>
      </c>
      <c r="C81" s="23"/>
      <c r="D81" s="197">
        <f t="array" ref="D81:I81">ROUNDDOWN(D44:I44*L44,3)</f>
        <v>26</v>
      </c>
      <c r="E81" s="198">
        <v>26</v>
      </c>
      <c r="F81" s="198">
        <v>26</v>
      </c>
      <c r="G81" s="198">
        <v>52</v>
      </c>
      <c r="H81" s="198">
        <v>52</v>
      </c>
      <c r="I81" s="199">
        <v>52</v>
      </c>
      <c r="J81" s="389"/>
      <c r="K81" s="171" t="s">
        <v>14</v>
      </c>
      <c r="L81" s="171"/>
      <c r="N81" s="145" t="s">
        <v>40</v>
      </c>
      <c r="O81" s="173">
        <v>6</v>
      </c>
      <c r="P81" s="234">
        <f ca="1">OFFSET($A$1,MATCH(Z77,$A:$A,0)-1,O81)</f>
        <v>18.524999999999999</v>
      </c>
      <c r="Q81" s="144" t="s">
        <v>29</v>
      </c>
      <c r="R81" s="118">
        <f t="shared" ca="1" si="14"/>
        <v>295138</v>
      </c>
      <c r="S81" s="118">
        <f t="shared" ca="1" si="14"/>
        <v>5467431</v>
      </c>
      <c r="T81" s="118">
        <f ca="1">중급</f>
        <v>295138</v>
      </c>
      <c r="U81" s="118">
        <f t="shared" ca="1" si="15"/>
        <v>5467431</v>
      </c>
      <c r="V81" s="118"/>
      <c r="W81" s="118"/>
      <c r="X81" s="118"/>
      <c r="Y81" s="118"/>
      <c r="Z81" s="115"/>
    </row>
    <row r="82" spans="1:26" ht="18" customHeight="1">
      <c r="A82" s="278"/>
      <c r="B82" s="222" t="s">
        <v>426</v>
      </c>
      <c r="C82" s="47"/>
      <c r="D82" s="48">
        <f t="shared" ref="D82:I82" si="17">SUBTOTAL(9,D83:D86)</f>
        <v>8</v>
      </c>
      <c r="E82" s="49">
        <f t="shared" si="17"/>
        <v>8</v>
      </c>
      <c r="F82" s="49">
        <f t="shared" si="17"/>
        <v>8</v>
      </c>
      <c r="G82" s="49">
        <f t="shared" si="17"/>
        <v>16</v>
      </c>
      <c r="H82" s="49">
        <f t="shared" si="17"/>
        <v>16</v>
      </c>
      <c r="I82" s="50">
        <f t="shared" si="17"/>
        <v>16</v>
      </c>
      <c r="J82" s="74"/>
      <c r="K82" s="171" t="s">
        <v>14</v>
      </c>
      <c r="L82" s="171"/>
      <c r="N82" s="145" t="s">
        <v>41</v>
      </c>
      <c r="O82" s="173">
        <v>7</v>
      </c>
      <c r="P82" s="234">
        <f ca="1">OFFSET($A$1,MATCH(Z77,$A:$A,0)-1,O82)</f>
        <v>24.7</v>
      </c>
      <c r="Q82" s="144" t="s">
        <v>29</v>
      </c>
      <c r="R82" s="118">
        <f t="shared" ca="1" si="14"/>
        <v>235459</v>
      </c>
      <c r="S82" s="118">
        <f t="shared" ca="1" si="14"/>
        <v>5815837</v>
      </c>
      <c r="T82" s="118">
        <f ca="1">초급</f>
        <v>235459</v>
      </c>
      <c r="U82" s="118">
        <f t="shared" ca="1" si="15"/>
        <v>5815837</v>
      </c>
      <c r="V82" s="118"/>
      <c r="W82" s="118"/>
      <c r="X82" s="118"/>
      <c r="Y82" s="118"/>
      <c r="Z82" s="115"/>
    </row>
    <row r="83" spans="1:26" ht="18" customHeight="1">
      <c r="A83" s="278">
        <v>27</v>
      </c>
      <c r="B83" s="223" t="s">
        <v>2047</v>
      </c>
      <c r="C83" s="23"/>
      <c r="D83" s="197">
        <f t="array" ref="D83:I86">ROUNDDOWN(D46:I49*L46:L49*I5,3)</f>
        <v>2</v>
      </c>
      <c r="E83" s="198">
        <v>2</v>
      </c>
      <c r="F83" s="198">
        <v>2</v>
      </c>
      <c r="G83" s="198">
        <v>4</v>
      </c>
      <c r="H83" s="198">
        <v>4</v>
      </c>
      <c r="I83" s="199">
        <v>4</v>
      </c>
      <c r="J83" s="74"/>
      <c r="K83" s="171" t="s">
        <v>14</v>
      </c>
      <c r="L83" s="171"/>
      <c r="N83" s="319" t="s">
        <v>42</v>
      </c>
      <c r="O83" s="174">
        <v>8</v>
      </c>
      <c r="P83" s="235">
        <f ca="1">OFFSET($A$1,MATCH(Z77,$A:$A,0)-1,O83)</f>
        <v>28.925000000000001</v>
      </c>
      <c r="Q83" s="322" t="s">
        <v>29</v>
      </c>
      <c r="R83" s="323">
        <f t="shared" ca="1" si="14"/>
        <v>250087</v>
      </c>
      <c r="S83" s="323">
        <f t="shared" ca="1" si="14"/>
        <v>7233766</v>
      </c>
      <c r="T83" s="323">
        <f ca="1">보조원</f>
        <v>250087</v>
      </c>
      <c r="U83" s="323">
        <f t="shared" ca="1" si="15"/>
        <v>7233766</v>
      </c>
      <c r="V83" s="323"/>
      <c r="W83" s="323"/>
      <c r="X83" s="323"/>
      <c r="Y83" s="323"/>
      <c r="Z83" s="324"/>
    </row>
    <row r="84" spans="1:26" ht="18" customHeight="1">
      <c r="A84" s="278">
        <v>28</v>
      </c>
      <c r="B84" s="223" t="s">
        <v>1599</v>
      </c>
      <c r="C84" s="23"/>
      <c r="D84" s="197">
        <v>2</v>
      </c>
      <c r="E84" s="198">
        <v>2</v>
      </c>
      <c r="F84" s="198">
        <v>2</v>
      </c>
      <c r="G84" s="198">
        <v>4</v>
      </c>
      <c r="H84" s="198">
        <v>4</v>
      </c>
      <c r="I84" s="199">
        <v>4</v>
      </c>
      <c r="J84" s="74"/>
      <c r="K84" s="171" t="s">
        <v>14</v>
      </c>
      <c r="L84" s="171"/>
      <c r="N84" s="139" t="s">
        <v>17</v>
      </c>
      <c r="O84" s="68"/>
      <c r="P84" s="69"/>
      <c r="Q84" s="70"/>
      <c r="R84" s="71"/>
      <c r="S84" s="71">
        <f ca="1">SUBTOTAL(9,S78:S83)</f>
        <v>21776295</v>
      </c>
      <c r="T84" s="71"/>
      <c r="U84" s="71">
        <f ca="1">SUBTOTAL(9,U78:U83)</f>
        <v>21776295</v>
      </c>
      <c r="V84" s="71"/>
      <c r="W84" s="71"/>
      <c r="X84" s="71"/>
      <c r="Y84" s="71"/>
      <c r="Z84" s="68"/>
    </row>
    <row r="85" spans="1:26" ht="18" customHeight="1">
      <c r="A85" s="278">
        <v>29</v>
      </c>
      <c r="B85" s="223" t="s">
        <v>2048</v>
      </c>
      <c r="C85" s="23"/>
      <c r="D85" s="197">
        <v>2</v>
      </c>
      <c r="E85" s="198">
        <v>2</v>
      </c>
      <c r="F85" s="198">
        <v>2</v>
      </c>
      <c r="G85" s="198">
        <v>4</v>
      </c>
      <c r="H85" s="198">
        <v>4</v>
      </c>
      <c r="I85" s="199">
        <v>4</v>
      </c>
      <c r="J85" s="74"/>
      <c r="K85" s="171" t="s">
        <v>14</v>
      </c>
      <c r="L85" s="171"/>
      <c r="N85" s="318" t="str">
        <f ca="1">"제 " &amp; Z85 &amp; " 호표  "&amp; OFFSET($A$1,MATCH(Z85,$A:$A,0)-1,1)</f>
        <v>제 3 호표  1.3. 건축물현황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3</v>
      </c>
    </row>
    <row r="86" spans="1:26" ht="18" customHeight="1" thickBot="1">
      <c r="A86" s="278">
        <v>30</v>
      </c>
      <c r="B86" s="388" t="s">
        <v>2049</v>
      </c>
      <c r="C86" s="342"/>
      <c r="D86" s="343">
        <v>2</v>
      </c>
      <c r="E86" s="344">
        <v>2</v>
      </c>
      <c r="F86" s="344">
        <v>2</v>
      </c>
      <c r="G86" s="344">
        <v>4</v>
      </c>
      <c r="H86" s="344">
        <v>4</v>
      </c>
      <c r="I86" s="345">
        <v>4</v>
      </c>
      <c r="J86" s="176"/>
      <c r="K86" s="171" t="s">
        <v>14</v>
      </c>
      <c r="L86" s="171"/>
      <c r="N86" s="140" t="s">
        <v>43</v>
      </c>
      <c r="O86" s="172">
        <v>3</v>
      </c>
      <c r="P86" s="219">
        <f ca="1">OFFSET($A$1,MATCH(Z85,$A:$A,0)-1,O86)</f>
        <v>0.81200000000000006</v>
      </c>
      <c r="Q86" s="141" t="s">
        <v>29</v>
      </c>
      <c r="R86" s="142">
        <f t="shared" ref="R86:S91" ca="1" si="18">T86</f>
        <v>467217</v>
      </c>
      <c r="S86" s="142">
        <f t="shared" ca="1" si="18"/>
        <v>379380</v>
      </c>
      <c r="T86" s="142">
        <f ca="1">기술사</f>
        <v>467217</v>
      </c>
      <c r="U86" s="142">
        <f t="shared" ref="U86:U91" ca="1" si="19">ROUNDDOWN(P86*R86,0)</f>
        <v>379380</v>
      </c>
      <c r="V86" s="142"/>
      <c r="W86" s="142"/>
      <c r="X86" s="142"/>
      <c r="Y86" s="142"/>
      <c r="Z86" s="114"/>
    </row>
    <row r="87" spans="1:26" ht="18" customHeight="1">
      <c r="A87" s="278"/>
      <c r="B87" s="80" t="s">
        <v>15</v>
      </c>
      <c r="C87" s="1" t="s">
        <v>536</v>
      </c>
      <c r="E87" s="8"/>
      <c r="F87" s="8"/>
      <c r="G87" s="8"/>
      <c r="H87" s="8"/>
      <c r="I87" s="8"/>
      <c r="J87" s="10"/>
      <c r="K87" s="171" t="s">
        <v>14</v>
      </c>
      <c r="L87" s="171"/>
      <c r="N87" s="143" t="s">
        <v>32</v>
      </c>
      <c r="O87" s="173">
        <v>4</v>
      </c>
      <c r="P87" s="234">
        <f ca="1">OFFSET($A$1,MATCH(Z85,$A:$A,0)-1,O87)</f>
        <v>1.7869999999999999</v>
      </c>
      <c r="Q87" s="144" t="s">
        <v>29</v>
      </c>
      <c r="R87" s="118">
        <f t="shared" ca="1" si="18"/>
        <v>373353</v>
      </c>
      <c r="S87" s="118">
        <f t="shared" ca="1" si="18"/>
        <v>667181</v>
      </c>
      <c r="T87" s="118">
        <f ca="1">특급</f>
        <v>373353</v>
      </c>
      <c r="U87" s="118">
        <f t="shared" ca="1" si="19"/>
        <v>667181</v>
      </c>
      <c r="V87" s="118"/>
      <c r="W87" s="118"/>
      <c r="X87" s="118"/>
      <c r="Y87" s="118"/>
      <c r="Z87" s="115"/>
    </row>
    <row r="88" spans="1:26" ht="18" customHeight="1">
      <c r="A88" s="278"/>
      <c r="B88" s="80"/>
      <c r="C88" s="9" t="s">
        <v>537</v>
      </c>
      <c r="J88" s="8"/>
      <c r="K88" s="171" t="s">
        <v>14</v>
      </c>
      <c r="L88" s="171"/>
      <c r="N88" s="145" t="s">
        <v>39</v>
      </c>
      <c r="O88" s="173">
        <v>5</v>
      </c>
      <c r="P88" s="234">
        <f ca="1">OFFSET($A$1,MATCH(Z85,$A:$A,0)-1,O88)</f>
        <v>7.4749999999999996</v>
      </c>
      <c r="Q88" s="144" t="s">
        <v>29</v>
      </c>
      <c r="R88" s="118">
        <f t="shared" ca="1" si="18"/>
        <v>310884</v>
      </c>
      <c r="S88" s="118">
        <f t="shared" ca="1" si="18"/>
        <v>2323857</v>
      </c>
      <c r="T88" s="118">
        <f ca="1">고급</f>
        <v>310884</v>
      </c>
      <c r="U88" s="118">
        <f t="shared" ca="1" si="19"/>
        <v>2323857</v>
      </c>
      <c r="V88" s="118"/>
      <c r="W88" s="118"/>
      <c r="X88" s="118"/>
      <c r="Y88" s="118"/>
      <c r="Z88" s="115"/>
    </row>
    <row r="89" spans="1:26" ht="18" customHeight="1">
      <c r="C89" s="1" t="s">
        <v>538</v>
      </c>
      <c r="J89" s="8"/>
      <c r="K89" s="171" t="s">
        <v>14</v>
      </c>
      <c r="L89" s="171"/>
      <c r="N89" s="145" t="s">
        <v>40</v>
      </c>
      <c r="O89" s="173">
        <v>6</v>
      </c>
      <c r="P89" s="234">
        <f ca="1">OFFSET($A$1,MATCH(Z85,$A:$A,0)-1,O89)</f>
        <v>18.524999999999999</v>
      </c>
      <c r="Q89" s="144" t="s">
        <v>29</v>
      </c>
      <c r="R89" s="118">
        <f t="shared" ca="1" si="18"/>
        <v>295138</v>
      </c>
      <c r="S89" s="118">
        <f t="shared" ca="1" si="18"/>
        <v>5467431</v>
      </c>
      <c r="T89" s="118">
        <f ca="1">중급</f>
        <v>295138</v>
      </c>
      <c r="U89" s="118">
        <f t="shared" ca="1" si="19"/>
        <v>5467431</v>
      </c>
      <c r="V89" s="118"/>
      <c r="W89" s="118"/>
      <c r="X89" s="118"/>
      <c r="Y89" s="118"/>
      <c r="Z89" s="115"/>
    </row>
    <row r="90" spans="1:26" ht="18" customHeight="1">
      <c r="C90" s="1" t="s">
        <v>539</v>
      </c>
      <c r="J90" s="8"/>
      <c r="K90" s="171" t="s">
        <v>14</v>
      </c>
      <c r="L90" s="171"/>
      <c r="N90" s="145" t="s">
        <v>41</v>
      </c>
      <c r="O90" s="173">
        <v>7</v>
      </c>
      <c r="P90" s="234">
        <f ca="1">OFFSET($A$1,MATCH(Z85,$A:$A,0)-1,O90)</f>
        <v>24.7</v>
      </c>
      <c r="Q90" s="144" t="s">
        <v>29</v>
      </c>
      <c r="R90" s="118">
        <f t="shared" ca="1" si="18"/>
        <v>235459</v>
      </c>
      <c r="S90" s="118">
        <f t="shared" ca="1" si="18"/>
        <v>5815837</v>
      </c>
      <c r="T90" s="118">
        <f ca="1">초급</f>
        <v>235459</v>
      </c>
      <c r="U90" s="118">
        <f t="shared" ca="1" si="19"/>
        <v>5815837</v>
      </c>
      <c r="V90" s="118"/>
      <c r="W90" s="118"/>
      <c r="X90" s="118"/>
      <c r="Y90" s="118"/>
      <c r="Z90" s="115"/>
    </row>
    <row r="91" spans="1:26" ht="18" customHeight="1">
      <c r="C91" s="9" t="s">
        <v>230</v>
      </c>
      <c r="K91" s="171" t="s">
        <v>14</v>
      </c>
      <c r="L91" s="171"/>
      <c r="N91" s="319" t="s">
        <v>42</v>
      </c>
      <c r="O91" s="174">
        <v>8</v>
      </c>
      <c r="P91" s="235">
        <f ca="1">OFFSET($A$1,MATCH(Z85,$A:$A,0)-1,O91)</f>
        <v>28.925000000000001</v>
      </c>
      <c r="Q91" s="322" t="s">
        <v>29</v>
      </c>
      <c r="R91" s="323">
        <f t="shared" ca="1" si="18"/>
        <v>250087</v>
      </c>
      <c r="S91" s="323">
        <f t="shared" ca="1" si="18"/>
        <v>7233766</v>
      </c>
      <c r="T91" s="323">
        <f ca="1">보조원</f>
        <v>250087</v>
      </c>
      <c r="U91" s="323">
        <f t="shared" ca="1" si="19"/>
        <v>7233766</v>
      </c>
      <c r="V91" s="323"/>
      <c r="W91" s="323"/>
      <c r="X91" s="323"/>
      <c r="Y91" s="323"/>
      <c r="Z91" s="324"/>
    </row>
    <row r="92" spans="1:26" ht="18" customHeight="1">
      <c r="C92" s="9"/>
      <c r="K92" s="171" t="s">
        <v>14</v>
      </c>
      <c r="L92" s="171"/>
      <c r="N92" s="139" t="s">
        <v>17</v>
      </c>
      <c r="O92" s="68"/>
      <c r="P92" s="69"/>
      <c r="Q92" s="70"/>
      <c r="R92" s="71"/>
      <c r="S92" s="71">
        <f ca="1">SUBTOTAL(9,S86:S91)</f>
        <v>21887452</v>
      </c>
      <c r="T92" s="71"/>
      <c r="U92" s="71">
        <f ca="1">SUBTOTAL(9,U86:U91)</f>
        <v>21887452</v>
      </c>
      <c r="V92" s="71"/>
      <c r="W92" s="71"/>
      <c r="X92" s="71"/>
      <c r="Y92" s="71"/>
      <c r="Z92" s="68"/>
    </row>
    <row r="93" spans="1:26" ht="18" customHeight="1">
      <c r="C93" s="9"/>
      <c r="K93" s="171" t="s">
        <v>14</v>
      </c>
      <c r="L93" s="171"/>
      <c r="N93" s="318" t="str">
        <f ca="1">"제 " &amp; Z93 &amp; " 호표  "&amp; OFFSET($A$1,MATCH(Z93,$A:$A,0)-1,1)</f>
        <v>제 4 호표  1.4. 인구 및 산업현황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4</v>
      </c>
    </row>
    <row r="94" spans="1:26" ht="18" customHeight="1">
      <c r="C94" s="9"/>
      <c r="K94" s="171" t="s">
        <v>14</v>
      </c>
      <c r="L94" s="171"/>
      <c r="N94" s="140" t="s">
        <v>43</v>
      </c>
      <c r="O94" s="172">
        <v>3</v>
      </c>
      <c r="P94" s="219">
        <f ca="1">OFFSET($A$1,MATCH(Z93,$A:$A,0)-1,O94)</f>
        <v>0.81200000000000006</v>
      </c>
      <c r="Q94" s="141" t="s">
        <v>29</v>
      </c>
      <c r="R94" s="142">
        <f t="shared" ref="R94:S99" ca="1" si="20">T94</f>
        <v>467217</v>
      </c>
      <c r="S94" s="142">
        <f t="shared" ca="1" si="20"/>
        <v>379380</v>
      </c>
      <c r="T94" s="142">
        <f ca="1">기술사</f>
        <v>467217</v>
      </c>
      <c r="U94" s="142">
        <f t="shared" ref="U94:U99" ca="1" si="21">ROUNDDOWN(P94*R94,0)</f>
        <v>379380</v>
      </c>
      <c r="V94" s="142"/>
      <c r="W94" s="142"/>
      <c r="X94" s="142"/>
      <c r="Y94" s="142"/>
      <c r="Z94" s="114"/>
    </row>
    <row r="95" spans="1:26" ht="18" customHeight="1">
      <c r="K95" s="171" t="s">
        <v>14</v>
      </c>
      <c r="L95" s="171"/>
      <c r="N95" s="143" t="s">
        <v>32</v>
      </c>
      <c r="O95" s="173">
        <v>4</v>
      </c>
      <c r="P95" s="234">
        <f ca="1">OFFSET($A$1,MATCH(Z93,$A:$A,0)-1,O95)</f>
        <v>1.625</v>
      </c>
      <c r="Q95" s="144" t="s">
        <v>29</v>
      </c>
      <c r="R95" s="118">
        <f t="shared" ca="1" si="20"/>
        <v>373353</v>
      </c>
      <c r="S95" s="118">
        <f t="shared" ca="1" si="20"/>
        <v>606698</v>
      </c>
      <c r="T95" s="118">
        <f ca="1">특급</f>
        <v>373353</v>
      </c>
      <c r="U95" s="118">
        <f t="shared" ca="1" si="21"/>
        <v>606698</v>
      </c>
      <c r="V95" s="118"/>
      <c r="W95" s="118"/>
      <c r="X95" s="118"/>
      <c r="Y95" s="118"/>
      <c r="Z95" s="115"/>
    </row>
    <row r="96" spans="1:26" ht="18" customHeight="1">
      <c r="B96" s="9"/>
      <c r="C96" s="9"/>
      <c r="K96" s="171" t="s">
        <v>14</v>
      </c>
      <c r="L96" s="171"/>
      <c r="N96" s="145" t="s">
        <v>39</v>
      </c>
      <c r="O96" s="173">
        <v>5</v>
      </c>
      <c r="P96" s="234">
        <f ca="1">OFFSET($A$1,MATCH(Z93,$A:$A,0)-1,O96)</f>
        <v>4.0620000000000003</v>
      </c>
      <c r="Q96" s="144" t="s">
        <v>29</v>
      </c>
      <c r="R96" s="118">
        <f t="shared" ca="1" si="20"/>
        <v>310884</v>
      </c>
      <c r="S96" s="118">
        <f t="shared" ca="1" si="20"/>
        <v>1262810</v>
      </c>
      <c r="T96" s="118">
        <f ca="1">고급</f>
        <v>310884</v>
      </c>
      <c r="U96" s="118">
        <f t="shared" ca="1" si="21"/>
        <v>1262810</v>
      </c>
      <c r="V96" s="118"/>
      <c r="W96" s="118"/>
      <c r="X96" s="118"/>
      <c r="Y96" s="118"/>
      <c r="Z96" s="115"/>
    </row>
    <row r="97" spans="2:26" ht="18" customHeight="1">
      <c r="B97" s="9"/>
      <c r="K97" s="171" t="s">
        <v>14</v>
      </c>
      <c r="L97" s="171"/>
      <c r="N97" s="145" t="s">
        <v>40</v>
      </c>
      <c r="O97" s="173">
        <v>6</v>
      </c>
      <c r="P97" s="234">
        <f ca="1">OFFSET($A$1,MATCH(Z93,$A:$A,0)-1,O97)</f>
        <v>10.237</v>
      </c>
      <c r="Q97" s="144" t="s">
        <v>29</v>
      </c>
      <c r="R97" s="118">
        <f t="shared" ca="1" si="20"/>
        <v>295138</v>
      </c>
      <c r="S97" s="118">
        <f t="shared" ca="1" si="20"/>
        <v>3021327</v>
      </c>
      <c r="T97" s="118">
        <f ca="1">중급</f>
        <v>295138</v>
      </c>
      <c r="U97" s="118">
        <f t="shared" ca="1" si="21"/>
        <v>3021327</v>
      </c>
      <c r="V97" s="118"/>
      <c r="W97" s="118"/>
      <c r="X97" s="118"/>
      <c r="Y97" s="118"/>
      <c r="Z97" s="115"/>
    </row>
    <row r="98" spans="2:26" ht="18" customHeight="1">
      <c r="B98" s="9"/>
      <c r="K98" s="171" t="s">
        <v>14</v>
      </c>
      <c r="L98" s="171"/>
      <c r="N98" s="145" t="s">
        <v>41</v>
      </c>
      <c r="O98" s="173">
        <v>7</v>
      </c>
      <c r="P98" s="234">
        <f ca="1">OFFSET($A$1,MATCH(Z93,$A:$A,0)-1,O98)</f>
        <v>16.736999999999998</v>
      </c>
      <c r="Q98" s="144" t="s">
        <v>29</v>
      </c>
      <c r="R98" s="118">
        <f t="shared" ca="1" si="20"/>
        <v>235459</v>
      </c>
      <c r="S98" s="118">
        <f t="shared" ca="1" si="20"/>
        <v>3940877</v>
      </c>
      <c r="T98" s="118">
        <f ca="1">초급</f>
        <v>235459</v>
      </c>
      <c r="U98" s="118">
        <f t="shared" ca="1" si="21"/>
        <v>3940877</v>
      </c>
      <c r="V98" s="118"/>
      <c r="W98" s="118"/>
      <c r="X98" s="118"/>
      <c r="Y98" s="118"/>
      <c r="Z98" s="115"/>
    </row>
    <row r="99" spans="2:26" ht="18" customHeight="1">
      <c r="B99" s="9"/>
      <c r="K99" s="171" t="s">
        <v>14</v>
      </c>
      <c r="L99" s="171"/>
      <c r="N99" s="319" t="s">
        <v>42</v>
      </c>
      <c r="O99" s="174">
        <v>8</v>
      </c>
      <c r="P99" s="235">
        <f ca="1">OFFSET($A$1,MATCH(Z93,$A:$A,0)-1,O99)</f>
        <v>16.574999999999999</v>
      </c>
      <c r="Q99" s="322" t="s">
        <v>29</v>
      </c>
      <c r="R99" s="323">
        <f t="shared" ca="1" si="20"/>
        <v>250087</v>
      </c>
      <c r="S99" s="323">
        <f t="shared" ca="1" si="20"/>
        <v>4145192</v>
      </c>
      <c r="T99" s="323">
        <f ca="1">보조원</f>
        <v>250087</v>
      </c>
      <c r="U99" s="323">
        <f t="shared" ca="1" si="21"/>
        <v>4145192</v>
      </c>
      <c r="V99" s="323"/>
      <c r="W99" s="323"/>
      <c r="X99" s="323"/>
      <c r="Y99" s="323"/>
      <c r="Z99" s="324"/>
    </row>
    <row r="100" spans="2:26" ht="18" customHeight="1">
      <c r="B100" s="9"/>
      <c r="K100" s="171" t="s">
        <v>14</v>
      </c>
      <c r="L100" s="171"/>
      <c r="N100" s="139" t="s">
        <v>17</v>
      </c>
      <c r="O100" s="68"/>
      <c r="P100" s="69"/>
      <c r="Q100" s="70"/>
      <c r="R100" s="71"/>
      <c r="S100" s="71">
        <f ca="1">SUBTOTAL(9,S94:S99)</f>
        <v>13356284</v>
      </c>
      <c r="T100" s="71"/>
      <c r="U100" s="71">
        <f ca="1">SUBTOTAL(9,U94:U99)</f>
        <v>13356284</v>
      </c>
      <c r="V100" s="71"/>
      <c r="W100" s="71"/>
      <c r="X100" s="71"/>
      <c r="Y100" s="71"/>
      <c r="Z100" s="68"/>
    </row>
    <row r="101" spans="2:26" ht="18" customHeight="1">
      <c r="B101" s="9"/>
      <c r="K101" s="171" t="s">
        <v>14</v>
      </c>
      <c r="L101" s="171"/>
      <c r="N101" s="318" t="str">
        <f ca="1">"제 " &amp; Z101 &amp; " 호표  "&amp; OFFSET($A$1,MATCH(Z101,$A:$A,0)-1,1)</f>
        <v>제 5 호표  1.5. 정비사업에 대한 주민의 의견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5</v>
      </c>
    </row>
    <row r="102" spans="2:26" ht="18" customHeight="1">
      <c r="B102" s="9"/>
      <c r="K102" s="171" t="s">
        <v>14</v>
      </c>
      <c r="L102" s="171"/>
      <c r="N102" s="140" t="s">
        <v>43</v>
      </c>
      <c r="O102" s="172">
        <v>3</v>
      </c>
      <c r="P102" s="219">
        <f ca="1">OFFSET($A$1,MATCH(Z101,$A:$A,0)-1,O102)</f>
        <v>0.16200000000000001</v>
      </c>
      <c r="Q102" s="141" t="s">
        <v>29</v>
      </c>
      <c r="R102" s="142">
        <f t="shared" ref="R102:S107" ca="1" si="22">T102</f>
        <v>467217</v>
      </c>
      <c r="S102" s="142">
        <f t="shared" ca="1" si="22"/>
        <v>75689</v>
      </c>
      <c r="T102" s="142">
        <f ca="1">기술사</f>
        <v>467217</v>
      </c>
      <c r="U102" s="142">
        <f t="shared" ref="U102:U107" ca="1" si="23">ROUNDDOWN(P102*R102,0)</f>
        <v>75689</v>
      </c>
      <c r="V102" s="142"/>
      <c r="W102" s="142"/>
      <c r="X102" s="142"/>
      <c r="Y102" s="142"/>
      <c r="Z102" s="114"/>
    </row>
    <row r="103" spans="2:26" ht="18" customHeight="1">
      <c r="K103" s="171" t="s">
        <v>14</v>
      </c>
      <c r="L103" s="171"/>
      <c r="N103" s="143" t="s">
        <v>32</v>
      </c>
      <c r="O103" s="173">
        <v>4</v>
      </c>
      <c r="P103" s="234">
        <f ca="1">OFFSET($A$1,MATCH(Z101,$A:$A,0)-1,O103)</f>
        <v>0.65</v>
      </c>
      <c r="Q103" s="144" t="s">
        <v>29</v>
      </c>
      <c r="R103" s="118">
        <f t="shared" ca="1" si="22"/>
        <v>373353</v>
      </c>
      <c r="S103" s="118">
        <f t="shared" ca="1" si="22"/>
        <v>242679</v>
      </c>
      <c r="T103" s="118">
        <f ca="1">특급</f>
        <v>373353</v>
      </c>
      <c r="U103" s="118">
        <f t="shared" ca="1" si="23"/>
        <v>242679</v>
      </c>
      <c r="V103" s="118"/>
      <c r="W103" s="118"/>
      <c r="X103" s="118"/>
      <c r="Y103" s="118"/>
      <c r="Z103" s="115"/>
    </row>
    <row r="104" spans="2:26" ht="18" customHeight="1">
      <c r="K104" s="171" t="s">
        <v>14</v>
      </c>
      <c r="L104" s="171"/>
      <c r="N104" s="145" t="s">
        <v>39</v>
      </c>
      <c r="O104" s="173">
        <v>5</v>
      </c>
      <c r="P104" s="234">
        <f ca="1">OFFSET($A$1,MATCH(Z101,$A:$A,0)-1,O104)</f>
        <v>1.95</v>
      </c>
      <c r="Q104" s="144" t="s">
        <v>29</v>
      </c>
      <c r="R104" s="118">
        <f t="shared" ca="1" si="22"/>
        <v>310884</v>
      </c>
      <c r="S104" s="118">
        <f t="shared" ca="1" si="22"/>
        <v>606223</v>
      </c>
      <c r="T104" s="118">
        <f ca="1">고급</f>
        <v>310884</v>
      </c>
      <c r="U104" s="118">
        <f t="shared" ca="1" si="23"/>
        <v>606223</v>
      </c>
      <c r="V104" s="118"/>
      <c r="W104" s="118"/>
      <c r="X104" s="118"/>
      <c r="Y104" s="118"/>
      <c r="Z104" s="115"/>
    </row>
    <row r="105" spans="2:26" ht="18" customHeight="1">
      <c r="K105" s="171" t="s">
        <v>14</v>
      </c>
      <c r="L105" s="171"/>
      <c r="N105" s="145" t="s">
        <v>40</v>
      </c>
      <c r="O105" s="173">
        <v>6</v>
      </c>
      <c r="P105" s="234">
        <f ca="1">OFFSET($A$1,MATCH(Z101,$A:$A,0)-1,O105)</f>
        <v>6.6619999999999999</v>
      </c>
      <c r="Q105" s="144" t="s">
        <v>29</v>
      </c>
      <c r="R105" s="118">
        <f t="shared" ca="1" si="22"/>
        <v>295138</v>
      </c>
      <c r="S105" s="118">
        <f t="shared" ca="1" si="22"/>
        <v>1966209</v>
      </c>
      <c r="T105" s="118">
        <f ca="1">중급</f>
        <v>295138</v>
      </c>
      <c r="U105" s="118">
        <f t="shared" ca="1" si="23"/>
        <v>1966209</v>
      </c>
      <c r="V105" s="118"/>
      <c r="W105" s="118"/>
      <c r="X105" s="118"/>
      <c r="Y105" s="118"/>
      <c r="Z105" s="115"/>
    </row>
    <row r="106" spans="2:26" ht="18" customHeight="1">
      <c r="K106" s="171" t="s">
        <v>14</v>
      </c>
      <c r="L106" s="171"/>
      <c r="N106" s="145" t="s">
        <v>41</v>
      </c>
      <c r="O106" s="173">
        <v>7</v>
      </c>
      <c r="P106" s="234">
        <f ca="1">OFFSET($A$1,MATCH(Z101,$A:$A,0)-1,O106)</f>
        <v>9.1</v>
      </c>
      <c r="Q106" s="144" t="s">
        <v>29</v>
      </c>
      <c r="R106" s="118">
        <f t="shared" ca="1" si="22"/>
        <v>235459</v>
      </c>
      <c r="S106" s="118">
        <f t="shared" ca="1" si="22"/>
        <v>2142676</v>
      </c>
      <c r="T106" s="118">
        <f ca="1">초급</f>
        <v>235459</v>
      </c>
      <c r="U106" s="118">
        <f t="shared" ca="1" si="23"/>
        <v>2142676</v>
      </c>
      <c r="V106" s="118"/>
      <c r="W106" s="118"/>
      <c r="X106" s="118"/>
      <c r="Y106" s="118"/>
      <c r="Z106" s="115"/>
    </row>
    <row r="107" spans="2:26" ht="18" customHeight="1">
      <c r="K107" s="171" t="s">
        <v>14</v>
      </c>
      <c r="L107" s="171"/>
      <c r="N107" s="319" t="s">
        <v>42</v>
      </c>
      <c r="O107" s="174">
        <v>8</v>
      </c>
      <c r="P107" s="235">
        <f ca="1">OFFSET($A$1,MATCH(Z101,$A:$A,0)-1,O107)</f>
        <v>11.05</v>
      </c>
      <c r="Q107" s="322" t="s">
        <v>29</v>
      </c>
      <c r="R107" s="323">
        <f t="shared" ca="1" si="22"/>
        <v>250087</v>
      </c>
      <c r="S107" s="323">
        <f t="shared" ca="1" si="22"/>
        <v>2763461</v>
      </c>
      <c r="T107" s="323">
        <f ca="1">보조원</f>
        <v>250087</v>
      </c>
      <c r="U107" s="323">
        <f t="shared" ca="1" si="23"/>
        <v>2763461</v>
      </c>
      <c r="V107" s="323"/>
      <c r="W107" s="323"/>
      <c r="X107" s="323"/>
      <c r="Y107" s="323"/>
      <c r="Z107" s="324"/>
    </row>
    <row r="108" spans="2:26" ht="18" customHeight="1">
      <c r="K108" s="171" t="s">
        <v>14</v>
      </c>
      <c r="L108" s="171"/>
      <c r="N108" s="139" t="s">
        <v>17</v>
      </c>
      <c r="O108" s="68"/>
      <c r="P108" s="69"/>
      <c r="Q108" s="70"/>
      <c r="R108" s="71"/>
      <c r="S108" s="71">
        <f ca="1">SUBTOTAL(9,S102:S107)</f>
        <v>7796937</v>
      </c>
      <c r="T108" s="71"/>
      <c r="U108" s="71">
        <f ca="1">SUBTOTAL(9,U102:U107)</f>
        <v>7796937</v>
      </c>
      <c r="V108" s="71"/>
      <c r="W108" s="71"/>
      <c r="X108" s="71"/>
      <c r="Y108" s="71"/>
      <c r="Z108" s="68"/>
    </row>
    <row r="109" spans="2:26" ht="18" customHeight="1">
      <c r="K109" s="171" t="s">
        <v>14</v>
      </c>
      <c r="L109" s="171"/>
      <c r="N109" s="318" t="str">
        <f ca="1">"제 " &amp; Z109 &amp; " 호표  "&amp; OFFSET($A$1,MATCH(Z109,$A:$A,0)-1,1)</f>
        <v>제 6 호표  1.6. 가로시설물 및 조경환경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6</v>
      </c>
    </row>
    <row r="110" spans="2:26" ht="18" customHeight="1">
      <c r="K110" s="171" t="s">
        <v>14</v>
      </c>
      <c r="L110" s="171"/>
      <c r="N110" s="140" t="s">
        <v>43</v>
      </c>
      <c r="O110" s="172">
        <v>3</v>
      </c>
      <c r="P110" s="219">
        <f ca="1">OFFSET($A$1,MATCH(Z109,$A:$A,0)-1,O110)</f>
        <v>0.32500000000000001</v>
      </c>
      <c r="Q110" s="141" t="s">
        <v>29</v>
      </c>
      <c r="R110" s="142">
        <f t="shared" ref="R110:S115" ca="1" si="24">T110</f>
        <v>467217</v>
      </c>
      <c r="S110" s="142">
        <f t="shared" ca="1" si="24"/>
        <v>151845</v>
      </c>
      <c r="T110" s="142">
        <f ca="1">기술사</f>
        <v>467217</v>
      </c>
      <c r="U110" s="142">
        <f t="shared" ref="U110:U115" ca="1" si="25">ROUNDDOWN(P110*R110,0)</f>
        <v>151845</v>
      </c>
      <c r="V110" s="142"/>
      <c r="W110" s="142"/>
      <c r="X110" s="142"/>
      <c r="Y110" s="142"/>
      <c r="Z110" s="114"/>
    </row>
    <row r="111" spans="2:26" ht="18" customHeight="1">
      <c r="K111" s="171" t="s">
        <v>14</v>
      </c>
      <c r="L111" s="171"/>
      <c r="N111" s="143" t="s">
        <v>32</v>
      </c>
      <c r="O111" s="173">
        <v>4</v>
      </c>
      <c r="P111" s="234">
        <f ca="1">OFFSET($A$1,MATCH(Z109,$A:$A,0)-1,O111)</f>
        <v>0.65</v>
      </c>
      <c r="Q111" s="144" t="s">
        <v>29</v>
      </c>
      <c r="R111" s="118">
        <f t="shared" ca="1" si="24"/>
        <v>373353</v>
      </c>
      <c r="S111" s="118">
        <f t="shared" ca="1" si="24"/>
        <v>242679</v>
      </c>
      <c r="T111" s="118">
        <f ca="1">특급</f>
        <v>373353</v>
      </c>
      <c r="U111" s="118">
        <f t="shared" ca="1" si="25"/>
        <v>242679</v>
      </c>
      <c r="V111" s="118"/>
      <c r="W111" s="118"/>
      <c r="X111" s="118"/>
      <c r="Y111" s="118"/>
      <c r="Z111" s="115"/>
    </row>
    <row r="112" spans="2:26" ht="18" customHeight="1">
      <c r="K112" s="171" t="s">
        <v>14</v>
      </c>
      <c r="L112" s="171"/>
      <c r="N112" s="145" t="s">
        <v>39</v>
      </c>
      <c r="O112" s="173">
        <v>5</v>
      </c>
      <c r="P112" s="234">
        <f ca="1">OFFSET($A$1,MATCH(Z109,$A:$A,0)-1,O112)</f>
        <v>2.1120000000000001</v>
      </c>
      <c r="Q112" s="144" t="s">
        <v>29</v>
      </c>
      <c r="R112" s="118">
        <f t="shared" ca="1" si="24"/>
        <v>310884</v>
      </c>
      <c r="S112" s="118">
        <f t="shared" ca="1" si="24"/>
        <v>656587</v>
      </c>
      <c r="T112" s="118">
        <f ca="1">고급</f>
        <v>310884</v>
      </c>
      <c r="U112" s="118">
        <f t="shared" ca="1" si="25"/>
        <v>656587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40</v>
      </c>
      <c r="O113" s="173">
        <v>6</v>
      </c>
      <c r="P113" s="234">
        <f ca="1">OFFSET($A$1,MATCH(Z109,$A:$A,0)-1,O113)</f>
        <v>6.6619999999999999</v>
      </c>
      <c r="Q113" s="144" t="s">
        <v>29</v>
      </c>
      <c r="R113" s="118">
        <f t="shared" ca="1" si="24"/>
        <v>295138</v>
      </c>
      <c r="S113" s="118">
        <f t="shared" ca="1" si="24"/>
        <v>1966209</v>
      </c>
      <c r="T113" s="118">
        <f ca="1">중급</f>
        <v>295138</v>
      </c>
      <c r="U113" s="118">
        <f t="shared" ca="1" si="25"/>
        <v>1966209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41</v>
      </c>
      <c r="O114" s="173">
        <v>7</v>
      </c>
      <c r="P114" s="234">
        <f ca="1">OFFSET($A$1,MATCH(Z109,$A:$A,0)-1,O114)</f>
        <v>8.9369999999999994</v>
      </c>
      <c r="Q114" s="144" t="s">
        <v>29</v>
      </c>
      <c r="R114" s="118">
        <f t="shared" ca="1" si="24"/>
        <v>235459</v>
      </c>
      <c r="S114" s="118">
        <f t="shared" ca="1" si="24"/>
        <v>2104297</v>
      </c>
      <c r="T114" s="118">
        <f ca="1">초급</f>
        <v>235459</v>
      </c>
      <c r="U114" s="118">
        <f t="shared" ca="1" si="25"/>
        <v>2104297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319" t="s">
        <v>42</v>
      </c>
      <c r="O115" s="174">
        <v>8</v>
      </c>
      <c r="P115" s="235">
        <f ca="1">OFFSET($A$1,MATCH(Z109,$A:$A,0)-1,O115)</f>
        <v>10.725</v>
      </c>
      <c r="Q115" s="322" t="s">
        <v>29</v>
      </c>
      <c r="R115" s="323">
        <f t="shared" ca="1" si="24"/>
        <v>250087</v>
      </c>
      <c r="S115" s="323">
        <f t="shared" ca="1" si="24"/>
        <v>2682183</v>
      </c>
      <c r="T115" s="323">
        <f ca="1">보조원</f>
        <v>250087</v>
      </c>
      <c r="U115" s="323">
        <f t="shared" ca="1" si="25"/>
        <v>2682183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N116" s="139" t="s">
        <v>17</v>
      </c>
      <c r="O116" s="68"/>
      <c r="P116" s="69"/>
      <c r="Q116" s="70"/>
      <c r="R116" s="71"/>
      <c r="S116" s="71">
        <f ca="1">SUBTOTAL(9,S110:S115)</f>
        <v>7803800</v>
      </c>
      <c r="T116" s="71"/>
      <c r="U116" s="71">
        <f ca="1">SUBTOTAL(9,U110:U115)</f>
        <v>7803800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N117" s="318" t="str">
        <f ca="1">"제 " &amp; Z117 &amp; " 호표  "&amp; OFFSET($A$1,MATCH(Z117,$A:$A,0)-1,1)</f>
        <v>제 7 호표  1.7. 자연환경 및 생활환경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7</v>
      </c>
    </row>
    <row r="118" spans="11:26" ht="18" customHeight="1">
      <c r="K118" s="171" t="s">
        <v>14</v>
      </c>
      <c r="L118" s="171"/>
      <c r="N118" s="140" t="s">
        <v>43</v>
      </c>
      <c r="O118" s="172">
        <v>3</v>
      </c>
      <c r="P118" s="219">
        <f ca="1">OFFSET($A$1,MATCH(Z117,$A:$A,0)-1,O118)</f>
        <v>0.32500000000000001</v>
      </c>
      <c r="Q118" s="141" t="s">
        <v>29</v>
      </c>
      <c r="R118" s="142">
        <f t="shared" ref="R118:S123" ca="1" si="26">T118</f>
        <v>467217</v>
      </c>
      <c r="S118" s="142">
        <f t="shared" ca="1" si="26"/>
        <v>151845</v>
      </c>
      <c r="T118" s="142">
        <f ca="1">기술사</f>
        <v>467217</v>
      </c>
      <c r="U118" s="142">
        <f t="shared" ref="U118:U123" ca="1" si="27">ROUNDDOWN(P118*R118,0)</f>
        <v>151845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N119" s="143" t="s">
        <v>32</v>
      </c>
      <c r="O119" s="173">
        <v>4</v>
      </c>
      <c r="P119" s="234">
        <f ca="1">OFFSET($A$1,MATCH(Z117,$A:$A,0)-1,O119)</f>
        <v>0.65</v>
      </c>
      <c r="Q119" s="144" t="s">
        <v>29</v>
      </c>
      <c r="R119" s="118">
        <f t="shared" ca="1" si="26"/>
        <v>373353</v>
      </c>
      <c r="S119" s="118">
        <f t="shared" ca="1" si="26"/>
        <v>242679</v>
      </c>
      <c r="T119" s="118">
        <f ca="1">특급</f>
        <v>373353</v>
      </c>
      <c r="U119" s="118">
        <f t="shared" ca="1" si="27"/>
        <v>242679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39</v>
      </c>
      <c r="O120" s="173">
        <v>5</v>
      </c>
      <c r="P120" s="234">
        <f ca="1">OFFSET($A$1,MATCH(Z117,$A:$A,0)-1,O120)</f>
        <v>2.1120000000000001</v>
      </c>
      <c r="Q120" s="144" t="s">
        <v>29</v>
      </c>
      <c r="R120" s="118">
        <f t="shared" ca="1" si="26"/>
        <v>310884</v>
      </c>
      <c r="S120" s="118">
        <f t="shared" ca="1" si="26"/>
        <v>656587</v>
      </c>
      <c r="T120" s="118">
        <f ca="1">고급</f>
        <v>310884</v>
      </c>
      <c r="U120" s="118">
        <f t="shared" ca="1" si="27"/>
        <v>656587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40</v>
      </c>
      <c r="O121" s="173">
        <v>6</v>
      </c>
      <c r="P121" s="234">
        <f ca="1">OFFSET($A$1,MATCH(Z117,$A:$A,0)-1,O121)</f>
        <v>6.6619999999999999</v>
      </c>
      <c r="Q121" s="144" t="s">
        <v>29</v>
      </c>
      <c r="R121" s="118">
        <f t="shared" ca="1" si="26"/>
        <v>295138</v>
      </c>
      <c r="S121" s="118">
        <f t="shared" ca="1" si="26"/>
        <v>1966209</v>
      </c>
      <c r="T121" s="118">
        <f ca="1">중급</f>
        <v>295138</v>
      </c>
      <c r="U121" s="118">
        <f t="shared" ca="1" si="27"/>
        <v>1966209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41</v>
      </c>
      <c r="O122" s="173">
        <v>7</v>
      </c>
      <c r="P122" s="234">
        <f ca="1">OFFSET($A$1,MATCH(Z117,$A:$A,0)-1,O122)</f>
        <v>8.9369999999999994</v>
      </c>
      <c r="Q122" s="144" t="s">
        <v>29</v>
      </c>
      <c r="R122" s="118">
        <f t="shared" ca="1" si="26"/>
        <v>235459</v>
      </c>
      <c r="S122" s="118">
        <f t="shared" ca="1" si="26"/>
        <v>2104297</v>
      </c>
      <c r="T122" s="118">
        <f ca="1">초급</f>
        <v>235459</v>
      </c>
      <c r="U122" s="118">
        <f t="shared" ca="1" si="27"/>
        <v>2104297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319" t="s">
        <v>42</v>
      </c>
      <c r="O123" s="174">
        <v>8</v>
      </c>
      <c r="P123" s="235">
        <f ca="1">OFFSET($A$1,MATCH(Z117,$A:$A,0)-1,O123)</f>
        <v>10.725</v>
      </c>
      <c r="Q123" s="322" t="s">
        <v>29</v>
      </c>
      <c r="R123" s="323">
        <f t="shared" ca="1" si="26"/>
        <v>250087</v>
      </c>
      <c r="S123" s="323">
        <f t="shared" ca="1" si="26"/>
        <v>2682183</v>
      </c>
      <c r="T123" s="323">
        <f ca="1">보조원</f>
        <v>250087</v>
      </c>
      <c r="U123" s="323">
        <f t="shared" ca="1" si="27"/>
        <v>2682183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N124" s="139" t="s">
        <v>17</v>
      </c>
      <c r="O124" s="68"/>
      <c r="P124" s="69"/>
      <c r="Q124" s="70"/>
      <c r="R124" s="71"/>
      <c r="S124" s="71">
        <f ca="1">SUBTOTAL(9,S118:S123)</f>
        <v>7803800</v>
      </c>
      <c r="T124" s="71"/>
      <c r="U124" s="71">
        <f ca="1">SUBTOTAL(9,U118:U123)</f>
        <v>7803800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N125" s="318" t="str">
        <f ca="1">"제 " &amp; Z125 &amp; " 호표  "&amp; OFFSET($A$1,MATCH(Z125,$A:$A,0)-1,1)</f>
        <v>제 8 호표  1.8. 교통관련현황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8</v>
      </c>
    </row>
    <row r="126" spans="11:26" ht="18" customHeight="1">
      <c r="K126" s="171" t="s">
        <v>14</v>
      </c>
      <c r="L126" s="171"/>
      <c r="N126" s="140" t="s">
        <v>43</v>
      </c>
      <c r="O126" s="172">
        <v>3</v>
      </c>
      <c r="P126" s="219">
        <f ca="1">OFFSET($A$1,MATCH(Z125,$A:$A,0)-1,O126)</f>
        <v>0.32500000000000001</v>
      </c>
      <c r="Q126" s="141" t="s">
        <v>29</v>
      </c>
      <c r="R126" s="142">
        <f t="shared" ref="R126:S131" ca="1" si="28">T126</f>
        <v>467217</v>
      </c>
      <c r="S126" s="142">
        <f t="shared" ca="1" si="28"/>
        <v>151845</v>
      </c>
      <c r="T126" s="142">
        <f ca="1">기술사</f>
        <v>467217</v>
      </c>
      <c r="U126" s="142">
        <f t="shared" ref="U126:U131" ca="1" si="29">ROUNDDOWN(P126*R126,0)</f>
        <v>151845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N127" s="143" t="s">
        <v>32</v>
      </c>
      <c r="O127" s="173">
        <v>4</v>
      </c>
      <c r="P127" s="234">
        <f ca="1">OFFSET($A$1,MATCH(Z125,$A:$A,0)-1,O127)</f>
        <v>0.65</v>
      </c>
      <c r="Q127" s="144" t="s">
        <v>29</v>
      </c>
      <c r="R127" s="118">
        <f t="shared" ca="1" si="28"/>
        <v>373353</v>
      </c>
      <c r="S127" s="118">
        <f t="shared" ca="1" si="28"/>
        <v>242679</v>
      </c>
      <c r="T127" s="118">
        <f ca="1">특급</f>
        <v>373353</v>
      </c>
      <c r="U127" s="118">
        <f t="shared" ca="1" si="29"/>
        <v>242679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N128" s="145" t="s">
        <v>39</v>
      </c>
      <c r="O128" s="173">
        <v>5</v>
      </c>
      <c r="P128" s="234">
        <f ca="1">OFFSET($A$1,MATCH(Z125,$A:$A,0)-1,O128)</f>
        <v>2.1120000000000001</v>
      </c>
      <c r="Q128" s="144" t="s">
        <v>29</v>
      </c>
      <c r="R128" s="118">
        <f t="shared" ca="1" si="28"/>
        <v>310884</v>
      </c>
      <c r="S128" s="118">
        <f t="shared" ca="1" si="28"/>
        <v>656587</v>
      </c>
      <c r="T128" s="118">
        <f ca="1">고급</f>
        <v>310884</v>
      </c>
      <c r="U128" s="118">
        <f t="shared" ca="1" si="29"/>
        <v>656587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40</v>
      </c>
      <c r="O129" s="173">
        <v>6</v>
      </c>
      <c r="P129" s="234">
        <f ca="1">OFFSET($A$1,MATCH(Z125,$A:$A,0)-1,O129)</f>
        <v>6.6619999999999999</v>
      </c>
      <c r="Q129" s="144" t="s">
        <v>29</v>
      </c>
      <c r="R129" s="118">
        <f t="shared" ca="1" si="28"/>
        <v>295138</v>
      </c>
      <c r="S129" s="118">
        <f t="shared" ca="1" si="28"/>
        <v>1966209</v>
      </c>
      <c r="T129" s="118">
        <f ca="1">중급</f>
        <v>295138</v>
      </c>
      <c r="U129" s="118">
        <f t="shared" ca="1" si="29"/>
        <v>1966209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145" t="s">
        <v>41</v>
      </c>
      <c r="O130" s="173">
        <v>7</v>
      </c>
      <c r="P130" s="234">
        <f ca="1">OFFSET($A$1,MATCH(Z125,$A:$A,0)-1,O130)</f>
        <v>8.9369999999999994</v>
      </c>
      <c r="Q130" s="144" t="s">
        <v>29</v>
      </c>
      <c r="R130" s="118">
        <f t="shared" ca="1" si="28"/>
        <v>235459</v>
      </c>
      <c r="S130" s="118">
        <f t="shared" ca="1" si="28"/>
        <v>2104297</v>
      </c>
      <c r="T130" s="118">
        <f ca="1">초급</f>
        <v>235459</v>
      </c>
      <c r="U130" s="118">
        <f t="shared" ca="1" si="29"/>
        <v>2104297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319" t="s">
        <v>42</v>
      </c>
      <c r="O131" s="174">
        <v>8</v>
      </c>
      <c r="P131" s="235">
        <f ca="1">OFFSET($A$1,MATCH(Z125,$A:$A,0)-1,O131)</f>
        <v>10.725</v>
      </c>
      <c r="Q131" s="322" t="s">
        <v>29</v>
      </c>
      <c r="R131" s="323">
        <f t="shared" ca="1" si="28"/>
        <v>250087</v>
      </c>
      <c r="S131" s="323">
        <f t="shared" ca="1" si="28"/>
        <v>2682183</v>
      </c>
      <c r="T131" s="323">
        <f ca="1">보조원</f>
        <v>250087</v>
      </c>
      <c r="U131" s="323">
        <f t="shared" ca="1" si="29"/>
        <v>2682183</v>
      </c>
      <c r="V131" s="323"/>
      <c r="W131" s="323"/>
      <c r="X131" s="323"/>
      <c r="Y131" s="323"/>
      <c r="Z131" s="324"/>
    </row>
    <row r="132" spans="11:26" ht="18" customHeight="1">
      <c r="K132" s="171" t="s">
        <v>14</v>
      </c>
      <c r="L132" s="171"/>
      <c r="N132" s="139" t="s">
        <v>17</v>
      </c>
      <c r="O132" s="68"/>
      <c r="P132" s="69"/>
      <c r="Q132" s="70"/>
      <c r="R132" s="71"/>
      <c r="S132" s="71">
        <f ca="1">SUBTOTAL(9,S126:S131)</f>
        <v>7803800</v>
      </c>
      <c r="T132" s="71"/>
      <c r="U132" s="71">
        <f ca="1">SUBTOTAL(9,U126:U131)</f>
        <v>7803800</v>
      </c>
      <c r="V132" s="71"/>
      <c r="W132" s="71"/>
      <c r="X132" s="71"/>
      <c r="Y132" s="71"/>
      <c r="Z132" s="68"/>
    </row>
    <row r="133" spans="11:26" ht="18" customHeight="1">
      <c r="K133" s="171" t="s">
        <v>14</v>
      </c>
      <c r="L133" s="171"/>
      <c r="N133" s="318" t="str">
        <f ca="1">"제 " &amp; Z133 &amp; " 호표  "&amp; OFFSET($A$1,MATCH(Z133,$A:$A,0)-1,1)</f>
        <v>제 9 호표  1.9. 도시시설 설치현황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9</v>
      </c>
    </row>
    <row r="134" spans="11:26" ht="18" customHeight="1">
      <c r="K134" s="171" t="s">
        <v>14</v>
      </c>
      <c r="L134" s="171"/>
      <c r="N134" s="140" t="s">
        <v>43</v>
      </c>
      <c r="O134" s="172">
        <v>3</v>
      </c>
      <c r="P134" s="219">
        <f ca="1">OFFSET($A$1,MATCH(Z133,$A:$A,0)-1,O134)</f>
        <v>0.81200000000000006</v>
      </c>
      <c r="Q134" s="141" t="s">
        <v>29</v>
      </c>
      <c r="R134" s="142">
        <f t="shared" ref="R134:S139" ca="1" si="30">T134</f>
        <v>467217</v>
      </c>
      <c r="S134" s="142">
        <f t="shared" ca="1" si="30"/>
        <v>379380</v>
      </c>
      <c r="T134" s="142">
        <f ca="1">기술사</f>
        <v>467217</v>
      </c>
      <c r="U134" s="142">
        <f t="shared" ref="U134:U139" ca="1" si="31">ROUNDDOWN(P134*R134,0)</f>
        <v>379380</v>
      </c>
      <c r="V134" s="142"/>
      <c r="W134" s="142"/>
      <c r="X134" s="142"/>
      <c r="Y134" s="142"/>
      <c r="Z134" s="114"/>
    </row>
    <row r="135" spans="11:26" ht="18" customHeight="1">
      <c r="K135" s="171" t="s">
        <v>14</v>
      </c>
      <c r="L135" s="171"/>
      <c r="N135" s="143" t="s">
        <v>32</v>
      </c>
      <c r="O135" s="173">
        <v>4</v>
      </c>
      <c r="P135" s="234">
        <f ca="1">OFFSET($A$1,MATCH(Z133,$A:$A,0)-1,O135)</f>
        <v>1.625</v>
      </c>
      <c r="Q135" s="144" t="s">
        <v>29</v>
      </c>
      <c r="R135" s="118">
        <f t="shared" ca="1" si="30"/>
        <v>373353</v>
      </c>
      <c r="S135" s="118">
        <f t="shared" ca="1" si="30"/>
        <v>606698</v>
      </c>
      <c r="T135" s="118">
        <f ca="1">특급</f>
        <v>373353</v>
      </c>
      <c r="U135" s="118">
        <f t="shared" ca="1" si="31"/>
        <v>606698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N136" s="145" t="s">
        <v>39</v>
      </c>
      <c r="O136" s="173">
        <v>5</v>
      </c>
      <c r="P136" s="234">
        <f ca="1">OFFSET($A$1,MATCH(Z133,$A:$A,0)-1,O136)</f>
        <v>2.1120000000000001</v>
      </c>
      <c r="Q136" s="144" t="s">
        <v>29</v>
      </c>
      <c r="R136" s="118">
        <f t="shared" ca="1" si="30"/>
        <v>310884</v>
      </c>
      <c r="S136" s="118">
        <f t="shared" ca="1" si="30"/>
        <v>656587</v>
      </c>
      <c r="T136" s="118">
        <f ca="1">고급</f>
        <v>310884</v>
      </c>
      <c r="U136" s="118">
        <f t="shared" ca="1" si="31"/>
        <v>656587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145" t="s">
        <v>40</v>
      </c>
      <c r="O137" s="173">
        <v>6</v>
      </c>
      <c r="P137" s="234">
        <f ca="1">OFFSET($A$1,MATCH(Z133,$A:$A,0)-1,O137)</f>
        <v>6.5</v>
      </c>
      <c r="Q137" s="144" t="s">
        <v>29</v>
      </c>
      <c r="R137" s="118">
        <f t="shared" ca="1" si="30"/>
        <v>295138</v>
      </c>
      <c r="S137" s="118">
        <f t="shared" ca="1" si="30"/>
        <v>1918397</v>
      </c>
      <c r="T137" s="118">
        <f ca="1">중급</f>
        <v>295138</v>
      </c>
      <c r="U137" s="118">
        <f t="shared" ca="1" si="31"/>
        <v>1918397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N138" s="145" t="s">
        <v>41</v>
      </c>
      <c r="O138" s="173">
        <v>7</v>
      </c>
      <c r="P138" s="234">
        <f ca="1">OFFSET($A$1,MATCH(Z133,$A:$A,0)-1,O138)</f>
        <v>8.4499999999999993</v>
      </c>
      <c r="Q138" s="144" t="s">
        <v>29</v>
      </c>
      <c r="R138" s="118">
        <f t="shared" ca="1" si="30"/>
        <v>235459</v>
      </c>
      <c r="S138" s="118">
        <f t="shared" ca="1" si="30"/>
        <v>1989628</v>
      </c>
      <c r="T138" s="118">
        <f ca="1">초급</f>
        <v>235459</v>
      </c>
      <c r="U138" s="118">
        <f t="shared" ca="1" si="31"/>
        <v>1989628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N139" s="319" t="s">
        <v>42</v>
      </c>
      <c r="O139" s="174">
        <v>8</v>
      </c>
      <c r="P139" s="235">
        <f ca="1">OFFSET($A$1,MATCH(Z133,$A:$A,0)-1,O139)</f>
        <v>14.625</v>
      </c>
      <c r="Q139" s="322" t="s">
        <v>29</v>
      </c>
      <c r="R139" s="323">
        <f t="shared" ca="1" si="30"/>
        <v>250087</v>
      </c>
      <c r="S139" s="323">
        <f t="shared" ca="1" si="30"/>
        <v>3657522</v>
      </c>
      <c r="T139" s="323">
        <f ca="1">보조원</f>
        <v>250087</v>
      </c>
      <c r="U139" s="323">
        <f t="shared" ca="1" si="31"/>
        <v>3657522</v>
      </c>
      <c r="V139" s="323"/>
      <c r="W139" s="323"/>
      <c r="X139" s="323"/>
      <c r="Y139" s="323"/>
      <c r="Z139" s="324"/>
    </row>
    <row r="140" spans="11:26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9208212</v>
      </c>
      <c r="T140" s="71"/>
      <c r="U140" s="71">
        <f ca="1">SUBTOTAL(9,U134:U139)</f>
        <v>9208212</v>
      </c>
      <c r="V140" s="71"/>
      <c r="W140" s="71"/>
      <c r="X140" s="71"/>
      <c r="Y140" s="71"/>
      <c r="Z140" s="68"/>
    </row>
    <row r="141" spans="11:26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10 호표  2.1. 정비목표 및 구현전략의 설정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10</v>
      </c>
    </row>
    <row r="142" spans="11:26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1.137</v>
      </c>
      <c r="Q142" s="141" t="s">
        <v>29</v>
      </c>
      <c r="R142" s="142">
        <f t="shared" ref="R142:S147" ca="1" si="32">T142</f>
        <v>467217</v>
      </c>
      <c r="S142" s="142">
        <f t="shared" ca="1" si="32"/>
        <v>531225</v>
      </c>
      <c r="T142" s="142">
        <f ca="1">기술사</f>
        <v>467217</v>
      </c>
      <c r="U142" s="142">
        <f t="shared" ref="U142:U147" ca="1" si="33">ROUNDDOWN(P142*R142,0)</f>
        <v>531225</v>
      </c>
      <c r="V142" s="142"/>
      <c r="W142" s="142"/>
      <c r="X142" s="142"/>
      <c r="Y142" s="142"/>
      <c r="Z142" s="114"/>
    </row>
    <row r="143" spans="11:26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2.1120000000000001</v>
      </c>
      <c r="Q143" s="144" t="s">
        <v>29</v>
      </c>
      <c r="R143" s="118">
        <f t="shared" ca="1" si="32"/>
        <v>373353</v>
      </c>
      <c r="S143" s="118">
        <f t="shared" ca="1" si="32"/>
        <v>788521</v>
      </c>
      <c r="T143" s="118">
        <f ca="1">특급</f>
        <v>373353</v>
      </c>
      <c r="U143" s="118">
        <f t="shared" ca="1" si="33"/>
        <v>788521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2.762</v>
      </c>
      <c r="Q144" s="144" t="s">
        <v>29</v>
      </c>
      <c r="R144" s="118">
        <f t="shared" ca="1" si="32"/>
        <v>310884</v>
      </c>
      <c r="S144" s="118">
        <f t="shared" ca="1" si="32"/>
        <v>858661</v>
      </c>
      <c r="T144" s="118">
        <f ca="1">고급</f>
        <v>310884</v>
      </c>
      <c r="U144" s="118">
        <f t="shared" ca="1" si="33"/>
        <v>858661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4.0620000000000003</v>
      </c>
      <c r="Q145" s="144" t="s">
        <v>29</v>
      </c>
      <c r="R145" s="118">
        <f t="shared" ca="1" si="32"/>
        <v>295138</v>
      </c>
      <c r="S145" s="118">
        <f t="shared" ca="1" si="32"/>
        <v>1198850</v>
      </c>
      <c r="T145" s="118">
        <f ca="1">중급</f>
        <v>295138</v>
      </c>
      <c r="U145" s="118">
        <f t="shared" ca="1" si="33"/>
        <v>1198850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4.3869999999999996</v>
      </c>
      <c r="Q146" s="144" t="s">
        <v>29</v>
      </c>
      <c r="R146" s="118">
        <f t="shared" ca="1" si="32"/>
        <v>235459</v>
      </c>
      <c r="S146" s="118">
        <f t="shared" ca="1" si="32"/>
        <v>1032958</v>
      </c>
      <c r="T146" s="118">
        <f ca="1">초급</f>
        <v>235459</v>
      </c>
      <c r="U146" s="118">
        <f t="shared" ca="1" si="33"/>
        <v>1032958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5.85</v>
      </c>
      <c r="Q147" s="322" t="s">
        <v>29</v>
      </c>
      <c r="R147" s="323">
        <f t="shared" ca="1" si="32"/>
        <v>250087</v>
      </c>
      <c r="S147" s="323">
        <f t="shared" ca="1" si="32"/>
        <v>1463008</v>
      </c>
      <c r="T147" s="323">
        <f ca="1">보조원</f>
        <v>250087</v>
      </c>
      <c r="U147" s="323">
        <f t="shared" ca="1" si="33"/>
        <v>1463008</v>
      </c>
      <c r="V147" s="323"/>
      <c r="W147" s="323"/>
      <c r="X147" s="323"/>
      <c r="Y147" s="323"/>
      <c r="Z147" s="324"/>
    </row>
    <row r="148" spans="11:26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5873223</v>
      </c>
      <c r="T148" s="71"/>
      <c r="U148" s="71">
        <f ca="1">SUBTOTAL(9,U142:U147)</f>
        <v>5873223</v>
      </c>
      <c r="V148" s="71"/>
      <c r="W148" s="71"/>
      <c r="X148" s="71"/>
      <c r="Y148" s="71"/>
      <c r="Z148" s="68"/>
    </row>
    <row r="149" spans="11:26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11 호표  2.2. 기본방향 및 지표설정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11</v>
      </c>
    </row>
    <row r="150" spans="11:26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1.3</v>
      </c>
      <c r="Q150" s="141" t="s">
        <v>29</v>
      </c>
      <c r="R150" s="142">
        <f t="shared" ref="R150:S155" ca="1" si="34">T150</f>
        <v>467217</v>
      </c>
      <c r="S150" s="142">
        <f t="shared" ca="1" si="34"/>
        <v>607382</v>
      </c>
      <c r="T150" s="142">
        <f ca="1">기술사</f>
        <v>467217</v>
      </c>
      <c r="U150" s="142">
        <f t="shared" ref="U150:U155" ca="1" si="35">ROUNDDOWN(P150*R150,0)</f>
        <v>607382</v>
      </c>
      <c r="V150" s="142"/>
      <c r="W150" s="142"/>
      <c r="X150" s="142"/>
      <c r="Y150" s="142"/>
      <c r="Z150" s="114"/>
    </row>
    <row r="151" spans="11:26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2.2749999999999999</v>
      </c>
      <c r="Q151" s="144" t="s">
        <v>29</v>
      </c>
      <c r="R151" s="118">
        <f t="shared" ca="1" si="34"/>
        <v>373353</v>
      </c>
      <c r="S151" s="118">
        <f t="shared" ca="1" si="34"/>
        <v>849378</v>
      </c>
      <c r="T151" s="118">
        <f ca="1">특급</f>
        <v>373353</v>
      </c>
      <c r="U151" s="118">
        <f t="shared" ca="1" si="35"/>
        <v>849378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3.0870000000000002</v>
      </c>
      <c r="Q152" s="144" t="s">
        <v>29</v>
      </c>
      <c r="R152" s="118">
        <f t="shared" ca="1" si="34"/>
        <v>310884</v>
      </c>
      <c r="S152" s="118">
        <f t="shared" ca="1" si="34"/>
        <v>959698</v>
      </c>
      <c r="T152" s="118">
        <f ca="1">고급</f>
        <v>310884</v>
      </c>
      <c r="U152" s="118">
        <f t="shared" ca="1" si="35"/>
        <v>959698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4.3869999999999996</v>
      </c>
      <c r="Q153" s="144" t="s">
        <v>29</v>
      </c>
      <c r="R153" s="118">
        <f t="shared" ca="1" si="34"/>
        <v>295138</v>
      </c>
      <c r="S153" s="118">
        <f t="shared" ca="1" si="34"/>
        <v>1294770</v>
      </c>
      <c r="T153" s="118">
        <f ca="1">중급</f>
        <v>295138</v>
      </c>
      <c r="U153" s="118">
        <f t="shared" ca="1" si="35"/>
        <v>1294770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5.3620000000000001</v>
      </c>
      <c r="Q154" s="144" t="s">
        <v>29</v>
      </c>
      <c r="R154" s="118">
        <f t="shared" ca="1" si="34"/>
        <v>235459</v>
      </c>
      <c r="S154" s="118">
        <f t="shared" ca="1" si="34"/>
        <v>1262531</v>
      </c>
      <c r="T154" s="118">
        <f ca="1">초급</f>
        <v>235459</v>
      </c>
      <c r="U154" s="118">
        <f t="shared" ca="1" si="35"/>
        <v>1262531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7.15</v>
      </c>
      <c r="Q155" s="322" t="s">
        <v>29</v>
      </c>
      <c r="R155" s="323">
        <f t="shared" ca="1" si="34"/>
        <v>250087</v>
      </c>
      <c r="S155" s="323">
        <f t="shared" ca="1" si="34"/>
        <v>1788122</v>
      </c>
      <c r="T155" s="323">
        <f ca="1">보조원</f>
        <v>250087</v>
      </c>
      <c r="U155" s="323">
        <f t="shared" ca="1" si="35"/>
        <v>1788122</v>
      </c>
      <c r="V155" s="323"/>
      <c r="W155" s="323"/>
      <c r="X155" s="323"/>
      <c r="Y155" s="323"/>
      <c r="Z155" s="324"/>
    </row>
    <row r="156" spans="11:26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6761881</v>
      </c>
      <c r="T156" s="71"/>
      <c r="U156" s="71">
        <f ca="1">SUBTOTAL(9,U150:U155)</f>
        <v>6761881</v>
      </c>
      <c r="V156" s="71"/>
      <c r="W156" s="71"/>
      <c r="X156" s="71"/>
      <c r="Y156" s="71"/>
      <c r="Z156" s="68"/>
    </row>
    <row r="157" spans="11:26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12 호표  3.1. 토지이용계획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12</v>
      </c>
    </row>
    <row r="158" spans="11:26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0.65</v>
      </c>
      <c r="Q158" s="141" t="s">
        <v>29</v>
      </c>
      <c r="R158" s="142">
        <f t="shared" ref="R158:S163" ca="1" si="36">T158</f>
        <v>467217</v>
      </c>
      <c r="S158" s="142">
        <f t="shared" ca="1" si="36"/>
        <v>303691</v>
      </c>
      <c r="T158" s="142">
        <f ca="1">기술사</f>
        <v>467217</v>
      </c>
      <c r="U158" s="142">
        <f t="shared" ref="U158:U163" ca="1" si="37">ROUNDDOWN(P158*R158,0)</f>
        <v>303691</v>
      </c>
      <c r="V158" s="142"/>
      <c r="W158" s="142"/>
      <c r="X158" s="142"/>
      <c r="Y158" s="142"/>
      <c r="Z158" s="114"/>
    </row>
    <row r="159" spans="11:26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1.7869999999999999</v>
      </c>
      <c r="Q159" s="144" t="s">
        <v>29</v>
      </c>
      <c r="R159" s="118">
        <f t="shared" ca="1" si="36"/>
        <v>373353</v>
      </c>
      <c r="S159" s="118">
        <f t="shared" ca="1" si="36"/>
        <v>667181</v>
      </c>
      <c r="T159" s="118">
        <f ca="1">특급</f>
        <v>373353</v>
      </c>
      <c r="U159" s="118">
        <f t="shared" ca="1" si="37"/>
        <v>667181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5.5250000000000004</v>
      </c>
      <c r="Q160" s="144" t="s">
        <v>29</v>
      </c>
      <c r="R160" s="118">
        <f t="shared" ca="1" si="36"/>
        <v>310884</v>
      </c>
      <c r="S160" s="118">
        <f t="shared" ca="1" si="36"/>
        <v>1717634</v>
      </c>
      <c r="T160" s="118">
        <f ca="1">고급</f>
        <v>310884</v>
      </c>
      <c r="U160" s="118">
        <f t="shared" ca="1" si="37"/>
        <v>1717634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11.862</v>
      </c>
      <c r="Q161" s="144" t="s">
        <v>29</v>
      </c>
      <c r="R161" s="118">
        <f t="shared" ca="1" si="36"/>
        <v>295138</v>
      </c>
      <c r="S161" s="118">
        <f t="shared" ca="1" si="36"/>
        <v>3500926</v>
      </c>
      <c r="T161" s="118">
        <f ca="1">중급</f>
        <v>295138</v>
      </c>
      <c r="U161" s="118">
        <f t="shared" ca="1" si="37"/>
        <v>3500926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13.975</v>
      </c>
      <c r="Q162" s="144" t="s">
        <v>29</v>
      </c>
      <c r="R162" s="118">
        <f t="shared" ca="1" si="36"/>
        <v>235459</v>
      </c>
      <c r="S162" s="118">
        <f t="shared" ca="1" si="36"/>
        <v>3290539</v>
      </c>
      <c r="T162" s="118">
        <f ca="1">초급</f>
        <v>235459</v>
      </c>
      <c r="U162" s="118">
        <f t="shared" ca="1" si="37"/>
        <v>3290539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12.025</v>
      </c>
      <c r="Q163" s="322" t="s">
        <v>29</v>
      </c>
      <c r="R163" s="323">
        <f t="shared" ca="1" si="36"/>
        <v>250087</v>
      </c>
      <c r="S163" s="323">
        <f t="shared" ca="1" si="36"/>
        <v>3007296</v>
      </c>
      <c r="T163" s="323">
        <f ca="1">보조원</f>
        <v>250087</v>
      </c>
      <c r="U163" s="323">
        <f t="shared" ca="1" si="37"/>
        <v>3007296</v>
      </c>
      <c r="V163" s="323"/>
      <c r="W163" s="323"/>
      <c r="X163" s="323"/>
      <c r="Y163" s="323"/>
      <c r="Z163" s="324"/>
    </row>
    <row r="164" spans="11:26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12487267</v>
      </c>
      <c r="T164" s="71"/>
      <c r="U164" s="71">
        <f ca="1">SUBTOTAL(9,U158:U163)</f>
        <v>12487267</v>
      </c>
      <c r="V164" s="71"/>
      <c r="W164" s="71"/>
      <c r="X164" s="71"/>
      <c r="Y164" s="71"/>
      <c r="Z164" s="68"/>
    </row>
    <row r="165" spans="11:26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13 호표  3.2. 공동이용시설 설치계획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13</v>
      </c>
    </row>
    <row r="166" spans="11:26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0.48699999999999999</v>
      </c>
      <c r="Q166" s="141" t="s">
        <v>29</v>
      </c>
      <c r="R166" s="142">
        <f t="shared" ref="R166:S171" ca="1" si="38">T166</f>
        <v>467217</v>
      </c>
      <c r="S166" s="142">
        <f t="shared" ca="1" si="38"/>
        <v>227534</v>
      </c>
      <c r="T166" s="142">
        <f ca="1">기술사</f>
        <v>467217</v>
      </c>
      <c r="U166" s="142">
        <f t="shared" ref="U166:U171" ca="1" si="39">ROUNDDOWN(P166*R166,0)</f>
        <v>227534</v>
      </c>
      <c r="V166" s="142"/>
      <c r="W166" s="142"/>
      <c r="X166" s="142"/>
      <c r="Y166" s="142"/>
      <c r="Z166" s="114"/>
    </row>
    <row r="167" spans="11:26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1.7869999999999999</v>
      </c>
      <c r="Q167" s="144" t="s">
        <v>29</v>
      </c>
      <c r="R167" s="118">
        <f t="shared" ca="1" si="38"/>
        <v>373353</v>
      </c>
      <c r="S167" s="118">
        <f t="shared" ca="1" si="38"/>
        <v>667181</v>
      </c>
      <c r="T167" s="118">
        <f ca="1">특급</f>
        <v>373353</v>
      </c>
      <c r="U167" s="118">
        <f t="shared" ca="1" si="39"/>
        <v>667181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5.5250000000000004</v>
      </c>
      <c r="Q168" s="144" t="s">
        <v>29</v>
      </c>
      <c r="R168" s="118">
        <f t="shared" ca="1" si="38"/>
        <v>310884</v>
      </c>
      <c r="S168" s="118">
        <f t="shared" ca="1" si="38"/>
        <v>1717634</v>
      </c>
      <c r="T168" s="118">
        <f ca="1">고급</f>
        <v>310884</v>
      </c>
      <c r="U168" s="118">
        <f t="shared" ca="1" si="39"/>
        <v>1717634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11.862</v>
      </c>
      <c r="Q169" s="144" t="s">
        <v>29</v>
      </c>
      <c r="R169" s="118">
        <f t="shared" ca="1" si="38"/>
        <v>295138</v>
      </c>
      <c r="S169" s="118">
        <f t="shared" ca="1" si="38"/>
        <v>3500926</v>
      </c>
      <c r="T169" s="118">
        <f ca="1">중급</f>
        <v>295138</v>
      </c>
      <c r="U169" s="118">
        <f t="shared" ca="1" si="39"/>
        <v>3500926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13.975</v>
      </c>
      <c r="Q170" s="144" t="s">
        <v>29</v>
      </c>
      <c r="R170" s="118">
        <f t="shared" ca="1" si="38"/>
        <v>235459</v>
      </c>
      <c r="S170" s="118">
        <f t="shared" ca="1" si="38"/>
        <v>3290539</v>
      </c>
      <c r="T170" s="118">
        <f ca="1">초급</f>
        <v>235459</v>
      </c>
      <c r="U170" s="118">
        <f t="shared" ca="1" si="39"/>
        <v>3290539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12.025</v>
      </c>
      <c r="Q171" s="322" t="s">
        <v>29</v>
      </c>
      <c r="R171" s="323">
        <f t="shared" ca="1" si="38"/>
        <v>250087</v>
      </c>
      <c r="S171" s="323">
        <f t="shared" ca="1" si="38"/>
        <v>3007296</v>
      </c>
      <c r="T171" s="323">
        <f ca="1">보조원</f>
        <v>250087</v>
      </c>
      <c r="U171" s="323">
        <f t="shared" ca="1" si="39"/>
        <v>3007296</v>
      </c>
      <c r="V171" s="323"/>
      <c r="W171" s="323"/>
      <c r="X171" s="323"/>
      <c r="Y171" s="323"/>
      <c r="Z171" s="324"/>
    </row>
    <row r="172" spans="11:26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12411110</v>
      </c>
      <c r="T172" s="71"/>
      <c r="U172" s="71">
        <f ca="1">SUBTOTAL(9,U166:U171)</f>
        <v>12411110</v>
      </c>
      <c r="V172" s="71"/>
      <c r="W172" s="71"/>
      <c r="X172" s="71"/>
      <c r="Y172" s="71"/>
      <c r="Z172" s="68"/>
    </row>
    <row r="173" spans="11:26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14 호표  3.3. 주민공동체 활성화 방안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14</v>
      </c>
    </row>
    <row r="174" spans="11:26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11.212</v>
      </c>
      <c r="Q174" s="141" t="s">
        <v>29</v>
      </c>
      <c r="R174" s="142">
        <f t="shared" ref="R174:S179" ca="1" si="40">T174</f>
        <v>467217</v>
      </c>
      <c r="S174" s="142">
        <f t="shared" ca="1" si="40"/>
        <v>5238437</v>
      </c>
      <c r="T174" s="142">
        <f ca="1">기술사</f>
        <v>467217</v>
      </c>
      <c r="U174" s="142">
        <f t="shared" ref="U174:U179" ca="1" si="41">ROUNDDOWN(P174*R174,0)</f>
        <v>5238437</v>
      </c>
      <c r="V174" s="142"/>
      <c r="W174" s="142"/>
      <c r="X174" s="142"/>
      <c r="Y174" s="142"/>
      <c r="Z174" s="114"/>
    </row>
    <row r="175" spans="11:26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16.087</v>
      </c>
      <c r="Q175" s="144" t="s">
        <v>29</v>
      </c>
      <c r="R175" s="118">
        <f t="shared" ca="1" si="40"/>
        <v>373353</v>
      </c>
      <c r="S175" s="118">
        <f t="shared" ca="1" si="40"/>
        <v>6006129</v>
      </c>
      <c r="T175" s="118">
        <f ca="1">특급</f>
        <v>373353</v>
      </c>
      <c r="U175" s="118">
        <f t="shared" ca="1" si="41"/>
        <v>6006129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36.887</v>
      </c>
      <c r="Q176" s="144" t="s">
        <v>29</v>
      </c>
      <c r="R176" s="118">
        <f t="shared" ca="1" si="40"/>
        <v>310884</v>
      </c>
      <c r="S176" s="118">
        <f t="shared" ca="1" si="40"/>
        <v>11467578</v>
      </c>
      <c r="T176" s="118">
        <f ca="1">고급</f>
        <v>310884</v>
      </c>
      <c r="U176" s="118">
        <f t="shared" ca="1" si="41"/>
        <v>11467578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50.212000000000003</v>
      </c>
      <c r="Q177" s="144" t="s">
        <v>29</v>
      </c>
      <c r="R177" s="118">
        <f t="shared" ca="1" si="40"/>
        <v>295138</v>
      </c>
      <c r="S177" s="118">
        <f t="shared" ca="1" si="40"/>
        <v>14819469</v>
      </c>
      <c r="T177" s="118">
        <f ca="1">중급</f>
        <v>295138</v>
      </c>
      <c r="U177" s="118">
        <f t="shared" ca="1" si="41"/>
        <v>14819469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97.662000000000006</v>
      </c>
      <c r="Q178" s="144" t="s">
        <v>29</v>
      </c>
      <c r="R178" s="118">
        <f t="shared" ca="1" si="40"/>
        <v>235459</v>
      </c>
      <c r="S178" s="118">
        <f t="shared" ca="1" si="40"/>
        <v>22995396</v>
      </c>
      <c r="T178" s="118">
        <f ca="1">초급</f>
        <v>235459</v>
      </c>
      <c r="U178" s="118">
        <f t="shared" ca="1" si="41"/>
        <v>22995396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111.637</v>
      </c>
      <c r="Q179" s="322" t="s">
        <v>29</v>
      </c>
      <c r="R179" s="323">
        <f t="shared" ca="1" si="40"/>
        <v>250087</v>
      </c>
      <c r="S179" s="323">
        <f t="shared" ca="1" si="40"/>
        <v>27918962</v>
      </c>
      <c r="T179" s="323">
        <f ca="1">보조원</f>
        <v>250087</v>
      </c>
      <c r="U179" s="323">
        <f t="shared" ca="1" si="41"/>
        <v>27918962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88445971</v>
      </c>
      <c r="T180" s="71"/>
      <c r="U180" s="71">
        <f ca="1">SUBTOTAL(9,U174:U179)</f>
        <v>88445971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15 호표  3.4. 주거환경관리사업 시행계획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15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0.48699999999999999</v>
      </c>
      <c r="Q182" s="141" t="s">
        <v>29</v>
      </c>
      <c r="R182" s="142">
        <f t="shared" ref="R182:S187" ca="1" si="42">T182</f>
        <v>467217</v>
      </c>
      <c r="S182" s="142">
        <f t="shared" ca="1" si="42"/>
        <v>227534</v>
      </c>
      <c r="T182" s="142">
        <f ca="1">기술사</f>
        <v>467217</v>
      </c>
      <c r="U182" s="142">
        <f t="shared" ref="U182:U187" ca="1" si="43">ROUNDDOWN(P182*R182,0)</f>
        <v>227534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1.7869999999999999</v>
      </c>
      <c r="Q183" s="144" t="s">
        <v>29</v>
      </c>
      <c r="R183" s="118">
        <f t="shared" ca="1" si="42"/>
        <v>373353</v>
      </c>
      <c r="S183" s="118">
        <f t="shared" ca="1" si="42"/>
        <v>667181</v>
      </c>
      <c r="T183" s="118">
        <f ca="1">특급</f>
        <v>373353</v>
      </c>
      <c r="U183" s="118">
        <f t="shared" ca="1" si="43"/>
        <v>667181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5.5250000000000004</v>
      </c>
      <c r="Q184" s="144" t="s">
        <v>29</v>
      </c>
      <c r="R184" s="118">
        <f t="shared" ca="1" si="42"/>
        <v>310884</v>
      </c>
      <c r="S184" s="118">
        <f t="shared" ca="1" si="42"/>
        <v>1717634</v>
      </c>
      <c r="T184" s="118">
        <f ca="1">고급</f>
        <v>310884</v>
      </c>
      <c r="U184" s="118">
        <f t="shared" ca="1" si="43"/>
        <v>1717634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11.862</v>
      </c>
      <c r="Q185" s="144" t="s">
        <v>29</v>
      </c>
      <c r="R185" s="118">
        <f t="shared" ca="1" si="42"/>
        <v>295138</v>
      </c>
      <c r="S185" s="118">
        <f t="shared" ca="1" si="42"/>
        <v>3500926</v>
      </c>
      <c r="T185" s="118">
        <f ca="1">중급</f>
        <v>295138</v>
      </c>
      <c r="U185" s="118">
        <f t="shared" ca="1" si="43"/>
        <v>3500926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13.975</v>
      </c>
      <c r="Q186" s="144" t="s">
        <v>29</v>
      </c>
      <c r="R186" s="118">
        <f t="shared" ca="1" si="42"/>
        <v>235459</v>
      </c>
      <c r="S186" s="118">
        <f t="shared" ca="1" si="42"/>
        <v>3290539</v>
      </c>
      <c r="T186" s="118">
        <f ca="1">초급</f>
        <v>235459</v>
      </c>
      <c r="U186" s="118">
        <f t="shared" ca="1" si="43"/>
        <v>3290539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12.025</v>
      </c>
      <c r="Q187" s="322" t="s">
        <v>29</v>
      </c>
      <c r="R187" s="323">
        <f t="shared" ca="1" si="42"/>
        <v>250087</v>
      </c>
      <c r="S187" s="323">
        <f t="shared" ca="1" si="42"/>
        <v>3007296</v>
      </c>
      <c r="T187" s="323">
        <f ca="1">보조원</f>
        <v>250087</v>
      </c>
      <c r="U187" s="323">
        <f t="shared" ca="1" si="43"/>
        <v>3007296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12411110</v>
      </c>
      <c r="T188" s="71"/>
      <c r="U188" s="71">
        <f ca="1">SUBTOTAL(9,U182:U187)</f>
        <v>12411110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16 호표  3.5. 건축물의 정비·개량 및 건축시설계획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16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0.48699999999999999</v>
      </c>
      <c r="Q190" s="141" t="s">
        <v>29</v>
      </c>
      <c r="R190" s="142">
        <f t="shared" ref="R190:S195" ca="1" si="44">T190</f>
        <v>467217</v>
      </c>
      <c r="S190" s="142">
        <f t="shared" ca="1" si="44"/>
        <v>227534</v>
      </c>
      <c r="T190" s="142">
        <f ca="1">기술사</f>
        <v>467217</v>
      </c>
      <c r="U190" s="142">
        <f t="shared" ref="U190:U195" ca="1" si="45">ROUNDDOWN(P190*R190,0)</f>
        <v>227534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1.7869999999999999</v>
      </c>
      <c r="Q191" s="144" t="s">
        <v>29</v>
      </c>
      <c r="R191" s="118">
        <f t="shared" ca="1" si="44"/>
        <v>373353</v>
      </c>
      <c r="S191" s="118">
        <f t="shared" ca="1" si="44"/>
        <v>667181</v>
      </c>
      <c r="T191" s="118">
        <f ca="1">특급</f>
        <v>373353</v>
      </c>
      <c r="U191" s="118">
        <f t="shared" ca="1" si="45"/>
        <v>667181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5.5250000000000004</v>
      </c>
      <c r="Q192" s="144" t="s">
        <v>29</v>
      </c>
      <c r="R192" s="118">
        <f t="shared" ca="1" si="44"/>
        <v>310884</v>
      </c>
      <c r="S192" s="118">
        <f t="shared" ca="1" si="44"/>
        <v>1717634</v>
      </c>
      <c r="T192" s="118">
        <f ca="1">고급</f>
        <v>310884</v>
      </c>
      <c r="U192" s="118">
        <f t="shared" ca="1" si="45"/>
        <v>1717634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11.862</v>
      </c>
      <c r="Q193" s="144" t="s">
        <v>29</v>
      </c>
      <c r="R193" s="118">
        <f t="shared" ca="1" si="44"/>
        <v>295138</v>
      </c>
      <c r="S193" s="118">
        <f t="shared" ca="1" si="44"/>
        <v>3500926</v>
      </c>
      <c r="T193" s="118">
        <f ca="1">중급</f>
        <v>295138</v>
      </c>
      <c r="U193" s="118">
        <f t="shared" ca="1" si="45"/>
        <v>3500926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13.975</v>
      </c>
      <c r="Q194" s="144" t="s">
        <v>29</v>
      </c>
      <c r="R194" s="118">
        <f t="shared" ca="1" si="44"/>
        <v>235459</v>
      </c>
      <c r="S194" s="118">
        <f t="shared" ca="1" si="44"/>
        <v>3290539</v>
      </c>
      <c r="T194" s="118">
        <f ca="1">초급</f>
        <v>235459</v>
      </c>
      <c r="U194" s="118">
        <f t="shared" ca="1" si="45"/>
        <v>3290539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12.025</v>
      </c>
      <c r="Q195" s="322" t="s">
        <v>29</v>
      </c>
      <c r="R195" s="323">
        <f t="shared" ca="1" si="44"/>
        <v>250087</v>
      </c>
      <c r="S195" s="323">
        <f t="shared" ca="1" si="44"/>
        <v>3007296</v>
      </c>
      <c r="T195" s="323">
        <f ca="1">보조원</f>
        <v>250087</v>
      </c>
      <c r="U195" s="323">
        <f t="shared" ca="1" si="45"/>
        <v>3007296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12411110</v>
      </c>
      <c r="T196" s="71"/>
      <c r="U196" s="71">
        <f ca="1">SUBTOTAL(9,U190:U195)</f>
        <v>12411110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OFFSET($A$1,MATCH(Z197,$A:$A,0)-1,1)</f>
        <v>제 17 호표  3.6. 도시경관·환경보전·재난방지 계획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17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0.48699999999999999</v>
      </c>
      <c r="Q198" s="141" t="s">
        <v>29</v>
      </c>
      <c r="R198" s="142">
        <f t="shared" ref="R198:S203" ca="1" si="46">T198</f>
        <v>467217</v>
      </c>
      <c r="S198" s="142">
        <f t="shared" ca="1" si="46"/>
        <v>227534</v>
      </c>
      <c r="T198" s="142">
        <f ca="1">기술사</f>
        <v>467217</v>
      </c>
      <c r="U198" s="142">
        <f t="shared" ref="U198:U203" ca="1" si="47">ROUNDDOWN(P198*R198,0)</f>
        <v>227534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1.7869999999999999</v>
      </c>
      <c r="Q199" s="144" t="s">
        <v>29</v>
      </c>
      <c r="R199" s="118">
        <f t="shared" ca="1" si="46"/>
        <v>373353</v>
      </c>
      <c r="S199" s="118">
        <f t="shared" ca="1" si="46"/>
        <v>667181</v>
      </c>
      <c r="T199" s="118">
        <f ca="1">특급</f>
        <v>373353</v>
      </c>
      <c r="U199" s="118">
        <f t="shared" ca="1" si="47"/>
        <v>667181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5.5250000000000004</v>
      </c>
      <c r="Q200" s="144" t="s">
        <v>29</v>
      </c>
      <c r="R200" s="118">
        <f t="shared" ca="1" si="46"/>
        <v>310884</v>
      </c>
      <c r="S200" s="118">
        <f t="shared" ca="1" si="46"/>
        <v>1717634</v>
      </c>
      <c r="T200" s="118">
        <f ca="1">고급</f>
        <v>310884</v>
      </c>
      <c r="U200" s="118">
        <f t="shared" ca="1" si="47"/>
        <v>1717634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11.862</v>
      </c>
      <c r="Q201" s="144" t="s">
        <v>29</v>
      </c>
      <c r="R201" s="118">
        <f t="shared" ca="1" si="46"/>
        <v>295138</v>
      </c>
      <c r="S201" s="118">
        <f t="shared" ca="1" si="46"/>
        <v>3500926</v>
      </c>
      <c r="T201" s="118">
        <f ca="1">중급</f>
        <v>295138</v>
      </c>
      <c r="U201" s="118">
        <f t="shared" ca="1" si="47"/>
        <v>3500926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13.975</v>
      </c>
      <c r="Q202" s="144" t="s">
        <v>29</v>
      </c>
      <c r="R202" s="118">
        <f t="shared" ca="1" si="46"/>
        <v>235459</v>
      </c>
      <c r="S202" s="118">
        <f t="shared" ca="1" si="46"/>
        <v>3290539</v>
      </c>
      <c r="T202" s="118">
        <f ca="1">초급</f>
        <v>235459</v>
      </c>
      <c r="U202" s="118">
        <f t="shared" ca="1" si="47"/>
        <v>3290539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12.025</v>
      </c>
      <c r="Q203" s="322" t="s">
        <v>29</v>
      </c>
      <c r="R203" s="323">
        <f t="shared" ca="1" si="46"/>
        <v>250087</v>
      </c>
      <c r="S203" s="323">
        <f t="shared" ca="1" si="46"/>
        <v>3007296</v>
      </c>
      <c r="T203" s="323">
        <f ca="1">보조원</f>
        <v>250087</v>
      </c>
      <c r="U203" s="323">
        <f t="shared" ca="1" si="47"/>
        <v>3007296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12411110</v>
      </c>
      <c r="T204" s="71"/>
      <c r="U204" s="71">
        <f ca="1">SUBTOTAL(9,U198:U203)</f>
        <v>12411110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OFFSET($A$1,MATCH(Z205,$A:$A,0)-1,1)</f>
        <v>제 18 호표  3.7. 구역주변의 교육환경 보호계획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18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0.48699999999999999</v>
      </c>
      <c r="Q206" s="141" t="s">
        <v>29</v>
      </c>
      <c r="R206" s="142">
        <f t="shared" ref="R206:S211" ca="1" si="48">T206</f>
        <v>467217</v>
      </c>
      <c r="S206" s="142">
        <f t="shared" ca="1" si="48"/>
        <v>227534</v>
      </c>
      <c r="T206" s="142">
        <f ca="1">기술사</f>
        <v>467217</v>
      </c>
      <c r="U206" s="142">
        <f t="shared" ref="U206:U211" ca="1" si="49">ROUNDDOWN(P206*R206,0)</f>
        <v>227534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1.7869999999999999</v>
      </c>
      <c r="Q207" s="144" t="s">
        <v>29</v>
      </c>
      <c r="R207" s="118">
        <f t="shared" ca="1" si="48"/>
        <v>373353</v>
      </c>
      <c r="S207" s="118">
        <f t="shared" ca="1" si="48"/>
        <v>667181</v>
      </c>
      <c r="T207" s="118">
        <f ca="1">특급</f>
        <v>373353</v>
      </c>
      <c r="U207" s="118">
        <f t="shared" ca="1" si="49"/>
        <v>667181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5.5250000000000004</v>
      </c>
      <c r="Q208" s="144" t="s">
        <v>29</v>
      </c>
      <c r="R208" s="118">
        <f t="shared" ca="1" si="48"/>
        <v>310884</v>
      </c>
      <c r="S208" s="118">
        <f t="shared" ca="1" si="48"/>
        <v>1717634</v>
      </c>
      <c r="T208" s="118">
        <f ca="1">고급</f>
        <v>310884</v>
      </c>
      <c r="U208" s="118">
        <f t="shared" ca="1" si="49"/>
        <v>1717634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11.862</v>
      </c>
      <c r="Q209" s="144" t="s">
        <v>29</v>
      </c>
      <c r="R209" s="118">
        <f t="shared" ca="1" si="48"/>
        <v>295138</v>
      </c>
      <c r="S209" s="118">
        <f t="shared" ca="1" si="48"/>
        <v>3500926</v>
      </c>
      <c r="T209" s="118">
        <f ca="1">중급</f>
        <v>295138</v>
      </c>
      <c r="U209" s="118">
        <f t="shared" ca="1" si="49"/>
        <v>3500926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13.975</v>
      </c>
      <c r="Q210" s="144" t="s">
        <v>29</v>
      </c>
      <c r="R210" s="118">
        <f t="shared" ca="1" si="48"/>
        <v>235459</v>
      </c>
      <c r="S210" s="118">
        <f t="shared" ca="1" si="48"/>
        <v>3290539</v>
      </c>
      <c r="T210" s="118">
        <f ca="1">초급</f>
        <v>235459</v>
      </c>
      <c r="U210" s="118">
        <f t="shared" ca="1" si="49"/>
        <v>3290539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12.025</v>
      </c>
      <c r="Q211" s="322" t="s">
        <v>29</v>
      </c>
      <c r="R211" s="323">
        <f t="shared" ca="1" si="48"/>
        <v>250087</v>
      </c>
      <c r="S211" s="323">
        <f t="shared" ca="1" si="48"/>
        <v>3007296</v>
      </c>
      <c r="T211" s="323">
        <f ca="1">보조원</f>
        <v>250087</v>
      </c>
      <c r="U211" s="323">
        <f t="shared" ca="1" si="49"/>
        <v>3007296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12411110</v>
      </c>
      <c r="T212" s="71"/>
      <c r="U212" s="71">
        <f ca="1">SUBTOTAL(9,U206:U211)</f>
        <v>12411110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318" t="str">
        <f ca="1">"제 " &amp; Z213 &amp; " 호표  "&amp; OFFSET($A$1,MATCH(Z213,$A:$A,0)-1,1)</f>
        <v>제 19 호표  3.8. 기존수목의 현황 및 활용계획</v>
      </c>
      <c r="O213" s="221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19</v>
      </c>
    </row>
    <row r="214" spans="11:26" ht="18" customHeight="1">
      <c r="K214" s="171" t="s">
        <v>14</v>
      </c>
      <c r="L214" s="171"/>
      <c r="M214" s="171"/>
      <c r="N214" s="140" t="s">
        <v>43</v>
      </c>
      <c r="O214" s="172">
        <v>3</v>
      </c>
      <c r="P214" s="219">
        <f ca="1">OFFSET($A$1,MATCH(Z213,$A:$A,0)-1,O214)</f>
        <v>0.48699999999999999</v>
      </c>
      <c r="Q214" s="141" t="s">
        <v>29</v>
      </c>
      <c r="R214" s="142">
        <f t="shared" ref="R214:S219" ca="1" si="50">T214</f>
        <v>467217</v>
      </c>
      <c r="S214" s="142">
        <f t="shared" ca="1" si="50"/>
        <v>227534</v>
      </c>
      <c r="T214" s="142">
        <f ca="1">기술사</f>
        <v>467217</v>
      </c>
      <c r="U214" s="142">
        <f t="shared" ref="U214:U219" ca="1" si="51">ROUNDDOWN(P214*R214,0)</f>
        <v>227534</v>
      </c>
      <c r="V214" s="142"/>
      <c r="W214" s="142"/>
      <c r="X214" s="142"/>
      <c r="Y214" s="142"/>
      <c r="Z214" s="114"/>
    </row>
    <row r="215" spans="11:26" ht="18" customHeight="1">
      <c r="K215" s="171" t="s">
        <v>14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1.3</v>
      </c>
      <c r="Q215" s="144" t="s">
        <v>29</v>
      </c>
      <c r="R215" s="118">
        <f t="shared" ca="1" si="50"/>
        <v>373353</v>
      </c>
      <c r="S215" s="118">
        <f t="shared" ca="1" si="50"/>
        <v>485358</v>
      </c>
      <c r="T215" s="118">
        <f ca="1">특급</f>
        <v>373353</v>
      </c>
      <c r="U215" s="118">
        <f t="shared" ca="1" si="51"/>
        <v>485358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5.2</v>
      </c>
      <c r="Q216" s="144" t="s">
        <v>29</v>
      </c>
      <c r="R216" s="118">
        <f t="shared" ca="1" si="50"/>
        <v>310884</v>
      </c>
      <c r="S216" s="118">
        <f t="shared" ca="1" si="50"/>
        <v>1616596</v>
      </c>
      <c r="T216" s="118">
        <f ca="1">고급</f>
        <v>310884</v>
      </c>
      <c r="U216" s="118">
        <f t="shared" ca="1" si="51"/>
        <v>1616596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11.375</v>
      </c>
      <c r="Q217" s="144" t="s">
        <v>29</v>
      </c>
      <c r="R217" s="118">
        <f t="shared" ca="1" si="50"/>
        <v>295138</v>
      </c>
      <c r="S217" s="118">
        <f t="shared" ca="1" si="50"/>
        <v>3357194</v>
      </c>
      <c r="T217" s="118">
        <f ca="1">중급</f>
        <v>295138</v>
      </c>
      <c r="U217" s="118">
        <f t="shared" ca="1" si="51"/>
        <v>3357194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13.65</v>
      </c>
      <c r="Q218" s="144" t="s">
        <v>29</v>
      </c>
      <c r="R218" s="118">
        <f t="shared" ca="1" si="50"/>
        <v>235459</v>
      </c>
      <c r="S218" s="118">
        <f t="shared" ca="1" si="50"/>
        <v>3214015</v>
      </c>
      <c r="T218" s="118">
        <f ca="1">초급</f>
        <v>235459</v>
      </c>
      <c r="U218" s="118">
        <f t="shared" ca="1" si="51"/>
        <v>3214015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12.35</v>
      </c>
      <c r="Q219" s="322" t="s">
        <v>29</v>
      </c>
      <c r="R219" s="323">
        <f t="shared" ca="1" si="50"/>
        <v>250087</v>
      </c>
      <c r="S219" s="323">
        <f t="shared" ca="1" si="50"/>
        <v>3088574</v>
      </c>
      <c r="T219" s="323">
        <f ca="1">보조원</f>
        <v>250087</v>
      </c>
      <c r="U219" s="323">
        <f t="shared" ca="1" si="51"/>
        <v>3088574</v>
      </c>
      <c r="V219" s="323"/>
      <c r="W219" s="323"/>
      <c r="X219" s="323"/>
      <c r="Y219" s="323"/>
      <c r="Z219" s="324"/>
    </row>
    <row r="220" spans="11:26" ht="18" customHeight="1">
      <c r="K220" s="171" t="s">
        <v>14</v>
      </c>
      <c r="L220" s="171"/>
      <c r="M220" s="171"/>
      <c r="N220" s="139" t="s">
        <v>17</v>
      </c>
      <c r="O220" s="68"/>
      <c r="P220" s="69"/>
      <c r="Q220" s="70"/>
      <c r="R220" s="71"/>
      <c r="S220" s="71">
        <f ca="1">SUBTOTAL(9,S214:S219)</f>
        <v>11989271</v>
      </c>
      <c r="T220" s="71"/>
      <c r="U220" s="71">
        <f ca="1">SUBTOTAL(9,U214:U219)</f>
        <v>11989271</v>
      </c>
      <c r="V220" s="71"/>
      <c r="W220" s="71"/>
      <c r="X220" s="71"/>
      <c r="Y220" s="71"/>
      <c r="Z220" s="68"/>
    </row>
    <row r="221" spans="11:26" ht="18" customHeight="1">
      <c r="K221" s="171" t="s">
        <v>14</v>
      </c>
      <c r="L221" s="171"/>
      <c r="M221" s="171"/>
      <c r="N221" s="318" t="str">
        <f ca="1">"제 " &amp; Z221 &amp; " 호표  "&amp; OFFSET($A$1,MATCH(Z221,$A:$A,0)-1,1)</f>
        <v>제 20 호표  3.9. 안전·범죄예방 사항</v>
      </c>
      <c r="O221" s="221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20</v>
      </c>
    </row>
    <row r="222" spans="11:26" ht="18" customHeight="1">
      <c r="K222" s="171" t="s">
        <v>14</v>
      </c>
      <c r="L222" s="171"/>
      <c r="M222" s="171"/>
      <c r="N222" s="140" t="s">
        <v>43</v>
      </c>
      <c r="O222" s="172">
        <v>3</v>
      </c>
      <c r="P222" s="219">
        <f ca="1">OFFSET($A$1,MATCH(Z221,$A:$A,0)-1,O222)</f>
        <v>0.48699999999999999</v>
      </c>
      <c r="Q222" s="141" t="s">
        <v>29</v>
      </c>
      <c r="R222" s="142">
        <f t="shared" ref="R222:S227" ca="1" si="52">T222</f>
        <v>467217</v>
      </c>
      <c r="S222" s="142">
        <f t="shared" ca="1" si="52"/>
        <v>227534</v>
      </c>
      <c r="T222" s="142">
        <f ca="1">기술사</f>
        <v>467217</v>
      </c>
      <c r="U222" s="142">
        <f t="shared" ref="U222:U227" ca="1" si="53">ROUNDDOWN(P222*R222,0)</f>
        <v>227534</v>
      </c>
      <c r="V222" s="142"/>
      <c r="W222" s="142"/>
      <c r="X222" s="142"/>
      <c r="Y222" s="142"/>
      <c r="Z222" s="114"/>
    </row>
    <row r="223" spans="11:26" ht="18" customHeight="1">
      <c r="K223" s="171" t="s">
        <v>14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1.7869999999999999</v>
      </c>
      <c r="Q223" s="144" t="s">
        <v>29</v>
      </c>
      <c r="R223" s="118">
        <f t="shared" ca="1" si="52"/>
        <v>373353</v>
      </c>
      <c r="S223" s="118">
        <f t="shared" ca="1" si="52"/>
        <v>667181</v>
      </c>
      <c r="T223" s="118">
        <f ca="1">특급</f>
        <v>373353</v>
      </c>
      <c r="U223" s="118">
        <f t="shared" ca="1" si="53"/>
        <v>667181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5.5250000000000004</v>
      </c>
      <c r="Q224" s="144" t="s">
        <v>29</v>
      </c>
      <c r="R224" s="118">
        <f t="shared" ca="1" si="52"/>
        <v>310884</v>
      </c>
      <c r="S224" s="118">
        <f t="shared" ca="1" si="52"/>
        <v>1717634</v>
      </c>
      <c r="T224" s="118">
        <f ca="1">고급</f>
        <v>310884</v>
      </c>
      <c r="U224" s="118">
        <f t="shared" ca="1" si="53"/>
        <v>1717634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11.862</v>
      </c>
      <c r="Q225" s="144" t="s">
        <v>29</v>
      </c>
      <c r="R225" s="118">
        <f t="shared" ca="1" si="52"/>
        <v>295138</v>
      </c>
      <c r="S225" s="118">
        <f t="shared" ca="1" si="52"/>
        <v>3500926</v>
      </c>
      <c r="T225" s="118">
        <f ca="1">중급</f>
        <v>295138</v>
      </c>
      <c r="U225" s="118">
        <f t="shared" ca="1" si="53"/>
        <v>3500926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13.975</v>
      </c>
      <c r="Q226" s="144" t="s">
        <v>29</v>
      </c>
      <c r="R226" s="118">
        <f t="shared" ca="1" si="52"/>
        <v>235459</v>
      </c>
      <c r="S226" s="118">
        <f t="shared" ca="1" si="52"/>
        <v>3290539</v>
      </c>
      <c r="T226" s="118">
        <f ca="1">초급</f>
        <v>235459</v>
      </c>
      <c r="U226" s="118">
        <f t="shared" ca="1" si="53"/>
        <v>3290539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12.025</v>
      </c>
      <c r="Q227" s="322" t="s">
        <v>29</v>
      </c>
      <c r="R227" s="323">
        <f t="shared" ca="1" si="52"/>
        <v>250087</v>
      </c>
      <c r="S227" s="323">
        <f t="shared" ca="1" si="52"/>
        <v>3007296</v>
      </c>
      <c r="T227" s="323">
        <f ca="1">보조원</f>
        <v>250087</v>
      </c>
      <c r="U227" s="323">
        <f t="shared" ca="1" si="53"/>
        <v>3007296</v>
      </c>
      <c r="V227" s="323"/>
      <c r="W227" s="323"/>
      <c r="X227" s="323"/>
      <c r="Y227" s="323"/>
      <c r="Z227" s="324"/>
    </row>
    <row r="228" spans="11:26" ht="18" customHeight="1">
      <c r="K228" s="171" t="s">
        <v>14</v>
      </c>
      <c r="L228" s="171"/>
      <c r="M228" s="171"/>
      <c r="N228" s="139" t="s">
        <v>17</v>
      </c>
      <c r="O228" s="68"/>
      <c r="P228" s="69"/>
      <c r="Q228" s="70"/>
      <c r="R228" s="71"/>
      <c r="S228" s="71">
        <f ca="1">SUBTOTAL(9,S222:S227)</f>
        <v>12411110</v>
      </c>
      <c r="T228" s="71"/>
      <c r="U228" s="71">
        <f ca="1">SUBTOTAL(9,U222:U227)</f>
        <v>12411110</v>
      </c>
      <c r="V228" s="71"/>
      <c r="W228" s="71"/>
      <c r="X228" s="71"/>
      <c r="Y228" s="71"/>
      <c r="Z228" s="68"/>
    </row>
    <row r="229" spans="11:26" ht="18" customHeight="1">
      <c r="K229" s="171" t="s">
        <v>14</v>
      </c>
      <c r="L229" s="171"/>
      <c r="M229" s="171"/>
      <c r="N229" s="318" t="str">
        <f ca="1">"제 " &amp; Z229 &amp; " 호표  "&amp; OFFSET($A$1,MATCH(Z229,$A:$A,0)-1,1)</f>
        <v>제 21 호표  3.10. 재원조달방안</v>
      </c>
      <c r="O229" s="221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21</v>
      </c>
    </row>
    <row r="230" spans="11:26" ht="18" customHeight="1">
      <c r="K230" s="171" t="s">
        <v>14</v>
      </c>
      <c r="L230" s="171"/>
      <c r="M230" s="171"/>
      <c r="N230" s="140" t="s">
        <v>43</v>
      </c>
      <c r="O230" s="172">
        <v>3</v>
      </c>
      <c r="P230" s="219">
        <f ca="1">OFFSET($A$1,MATCH(Z229,$A:$A,0)-1,O230)</f>
        <v>0.48699999999999999</v>
      </c>
      <c r="Q230" s="141" t="s">
        <v>29</v>
      </c>
      <c r="R230" s="142">
        <f t="shared" ref="R230:S235" ca="1" si="54">T230</f>
        <v>467217</v>
      </c>
      <c r="S230" s="142">
        <f t="shared" ca="1" si="54"/>
        <v>227534</v>
      </c>
      <c r="T230" s="142">
        <f ca="1">기술사</f>
        <v>467217</v>
      </c>
      <c r="U230" s="142">
        <f t="shared" ref="U230:U235" ca="1" si="55">ROUNDDOWN(P230*R230,0)</f>
        <v>227534</v>
      </c>
      <c r="V230" s="142"/>
      <c r="W230" s="142"/>
      <c r="X230" s="142"/>
      <c r="Y230" s="142"/>
      <c r="Z230" s="114"/>
    </row>
    <row r="231" spans="11:26" ht="18" customHeight="1">
      <c r="K231" s="171" t="s">
        <v>14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1.7869999999999999</v>
      </c>
      <c r="Q231" s="144" t="s">
        <v>29</v>
      </c>
      <c r="R231" s="118">
        <f t="shared" ca="1" si="54"/>
        <v>373353</v>
      </c>
      <c r="S231" s="118">
        <f t="shared" ca="1" si="54"/>
        <v>667181</v>
      </c>
      <c r="T231" s="118">
        <f ca="1">특급</f>
        <v>373353</v>
      </c>
      <c r="U231" s="118">
        <f t="shared" ca="1" si="55"/>
        <v>667181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5.5250000000000004</v>
      </c>
      <c r="Q232" s="144" t="s">
        <v>29</v>
      </c>
      <c r="R232" s="118">
        <f t="shared" ca="1" si="54"/>
        <v>310884</v>
      </c>
      <c r="S232" s="118">
        <f t="shared" ca="1" si="54"/>
        <v>1717634</v>
      </c>
      <c r="T232" s="118">
        <f ca="1">고급</f>
        <v>310884</v>
      </c>
      <c r="U232" s="118">
        <f t="shared" ca="1" si="55"/>
        <v>1717634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11.862</v>
      </c>
      <c r="Q233" s="144" t="s">
        <v>29</v>
      </c>
      <c r="R233" s="118">
        <f t="shared" ca="1" si="54"/>
        <v>295138</v>
      </c>
      <c r="S233" s="118">
        <f t="shared" ca="1" si="54"/>
        <v>3500926</v>
      </c>
      <c r="T233" s="118">
        <f ca="1">중급</f>
        <v>295138</v>
      </c>
      <c r="U233" s="118">
        <f t="shared" ca="1" si="55"/>
        <v>3500926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13.975</v>
      </c>
      <c r="Q234" s="144" t="s">
        <v>29</v>
      </c>
      <c r="R234" s="118">
        <f t="shared" ca="1" si="54"/>
        <v>235459</v>
      </c>
      <c r="S234" s="118">
        <f t="shared" ca="1" si="54"/>
        <v>3290539</v>
      </c>
      <c r="T234" s="118">
        <f ca="1">초급</f>
        <v>235459</v>
      </c>
      <c r="U234" s="118">
        <f t="shared" ca="1" si="55"/>
        <v>3290539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12.025</v>
      </c>
      <c r="Q235" s="322" t="s">
        <v>29</v>
      </c>
      <c r="R235" s="323">
        <f t="shared" ca="1" si="54"/>
        <v>250087</v>
      </c>
      <c r="S235" s="323">
        <f t="shared" ca="1" si="54"/>
        <v>3007296</v>
      </c>
      <c r="T235" s="323">
        <f ca="1">보조원</f>
        <v>250087</v>
      </c>
      <c r="U235" s="323">
        <f t="shared" ca="1" si="55"/>
        <v>3007296</v>
      </c>
      <c r="V235" s="323"/>
      <c r="W235" s="323"/>
      <c r="X235" s="323"/>
      <c r="Y235" s="323"/>
      <c r="Z235" s="324"/>
    </row>
    <row r="236" spans="11:26" ht="18" customHeight="1">
      <c r="K236" s="171" t="s">
        <v>14</v>
      </c>
      <c r="L236" s="171"/>
      <c r="M236" s="171"/>
      <c r="N236" s="139" t="s">
        <v>17</v>
      </c>
      <c r="O236" s="68"/>
      <c r="P236" s="69"/>
      <c r="Q236" s="70"/>
      <c r="R236" s="71"/>
      <c r="S236" s="71">
        <f ca="1">SUBTOTAL(9,S230:S235)</f>
        <v>12411110</v>
      </c>
      <c r="T236" s="71"/>
      <c r="U236" s="71">
        <f ca="1">SUBTOTAL(9,U230:U235)</f>
        <v>12411110</v>
      </c>
      <c r="V236" s="71"/>
      <c r="W236" s="71"/>
      <c r="X236" s="71"/>
      <c r="Y236" s="71"/>
      <c r="Z236" s="68"/>
    </row>
    <row r="237" spans="11:26" ht="18" customHeight="1">
      <c r="K237" s="171" t="s">
        <v>14</v>
      </c>
      <c r="L237" s="171"/>
      <c r="M237" s="171"/>
      <c r="N237" s="318" t="str">
        <f ca="1">"제 " &amp; Z237 &amp; " 호표  "&amp; OFFSET($A$1,MATCH(Z237,$A:$A,0)-1,1)</f>
        <v>제 22 호표  3.11. 환경성검토</v>
      </c>
      <c r="O237" s="221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22</v>
      </c>
    </row>
    <row r="238" spans="11:26" ht="18" customHeight="1">
      <c r="K238" s="171" t="s">
        <v>14</v>
      </c>
      <c r="L238" s="171"/>
      <c r="M238" s="171"/>
      <c r="N238" s="140" t="s">
        <v>43</v>
      </c>
      <c r="O238" s="172">
        <v>3</v>
      </c>
      <c r="P238" s="219">
        <f ca="1">OFFSET($A$1,MATCH(Z237,$A:$A,0)-1,O238)</f>
        <v>0.48699999999999999</v>
      </c>
      <c r="Q238" s="141" t="s">
        <v>29</v>
      </c>
      <c r="R238" s="142">
        <f t="shared" ref="R238:S243" ca="1" si="56">T238</f>
        <v>467217</v>
      </c>
      <c r="S238" s="142">
        <f t="shared" ca="1" si="56"/>
        <v>227534</v>
      </c>
      <c r="T238" s="142">
        <f ca="1">기술사</f>
        <v>467217</v>
      </c>
      <c r="U238" s="142">
        <f t="shared" ref="U238:U243" ca="1" si="57">ROUNDDOWN(P238*R238,0)</f>
        <v>227534</v>
      </c>
      <c r="V238" s="142"/>
      <c r="W238" s="142"/>
      <c r="X238" s="142"/>
      <c r="Y238" s="142"/>
      <c r="Z238" s="114"/>
    </row>
    <row r="239" spans="11:26" ht="18" customHeight="1">
      <c r="K239" s="171" t="s">
        <v>14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0.81200000000000006</v>
      </c>
      <c r="Q239" s="144" t="s">
        <v>29</v>
      </c>
      <c r="R239" s="118">
        <f t="shared" ca="1" si="56"/>
        <v>373353</v>
      </c>
      <c r="S239" s="118">
        <f t="shared" ca="1" si="56"/>
        <v>303162</v>
      </c>
      <c r="T239" s="118">
        <f ca="1">특급</f>
        <v>373353</v>
      </c>
      <c r="U239" s="118">
        <f t="shared" ca="1" si="57"/>
        <v>303162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2.6</v>
      </c>
      <c r="Q240" s="144" t="s">
        <v>29</v>
      </c>
      <c r="R240" s="118">
        <f t="shared" ca="1" si="56"/>
        <v>310884</v>
      </c>
      <c r="S240" s="118">
        <f t="shared" ca="1" si="56"/>
        <v>808298</v>
      </c>
      <c r="T240" s="118">
        <f ca="1">고급</f>
        <v>310884</v>
      </c>
      <c r="U240" s="118">
        <f t="shared" ca="1" si="57"/>
        <v>808298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4.875</v>
      </c>
      <c r="Q241" s="144" t="s">
        <v>29</v>
      </c>
      <c r="R241" s="118">
        <f t="shared" ca="1" si="56"/>
        <v>295138</v>
      </c>
      <c r="S241" s="118">
        <f t="shared" ca="1" si="56"/>
        <v>1438797</v>
      </c>
      <c r="T241" s="118">
        <f ca="1">중급</f>
        <v>295138</v>
      </c>
      <c r="U241" s="118">
        <f t="shared" ca="1" si="57"/>
        <v>1438797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6.1749999999999998</v>
      </c>
      <c r="Q242" s="144" t="s">
        <v>29</v>
      </c>
      <c r="R242" s="118">
        <f t="shared" ca="1" si="56"/>
        <v>235459</v>
      </c>
      <c r="S242" s="118">
        <f t="shared" ca="1" si="56"/>
        <v>1453959</v>
      </c>
      <c r="T242" s="118">
        <f ca="1">초급</f>
        <v>235459</v>
      </c>
      <c r="U242" s="118">
        <f t="shared" ca="1" si="57"/>
        <v>1453959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5.85</v>
      </c>
      <c r="Q243" s="322" t="s">
        <v>29</v>
      </c>
      <c r="R243" s="323">
        <f t="shared" ca="1" si="56"/>
        <v>250087</v>
      </c>
      <c r="S243" s="323">
        <f t="shared" ca="1" si="56"/>
        <v>1463008</v>
      </c>
      <c r="T243" s="323">
        <f ca="1">보조원</f>
        <v>250087</v>
      </c>
      <c r="U243" s="323">
        <f t="shared" ca="1" si="57"/>
        <v>1463008</v>
      </c>
      <c r="V243" s="323"/>
      <c r="W243" s="323"/>
      <c r="X243" s="323"/>
      <c r="Y243" s="323"/>
      <c r="Z243" s="324"/>
    </row>
    <row r="244" spans="11:26" ht="18" customHeight="1">
      <c r="K244" s="171" t="s">
        <v>14</v>
      </c>
      <c r="L244" s="171"/>
      <c r="M244" s="171"/>
      <c r="N244" s="139" t="s">
        <v>17</v>
      </c>
      <c r="O244" s="68"/>
      <c r="P244" s="69"/>
      <c r="Q244" s="70"/>
      <c r="R244" s="71"/>
      <c r="S244" s="71">
        <f ca="1">SUBTOTAL(9,S238:S243)</f>
        <v>5694758</v>
      </c>
      <c r="T244" s="71"/>
      <c r="U244" s="71">
        <f ca="1">SUBTOTAL(9,U238:U243)</f>
        <v>5694758</v>
      </c>
      <c r="V244" s="71"/>
      <c r="W244" s="71"/>
      <c r="X244" s="71"/>
      <c r="Y244" s="71"/>
      <c r="Z244" s="68"/>
    </row>
    <row r="245" spans="11:26" ht="18" customHeight="1">
      <c r="K245" s="171" t="s">
        <v>14</v>
      </c>
      <c r="L245" s="171"/>
      <c r="M245" s="171"/>
      <c r="N245" s="318" t="str">
        <f ca="1">"제 " &amp; Z245 &amp; " 호표  "&amp; OFFSET($A$1,MATCH(Z245,$A:$A,0)-1,1)</f>
        <v>제 23 호표  3.12. 교통성검토</v>
      </c>
      <c r="O245" s="221"/>
      <c r="P245" s="148"/>
      <c r="Q245" s="148"/>
      <c r="R245" s="149"/>
      <c r="S245" s="149"/>
      <c r="T245" s="149"/>
      <c r="U245" s="149"/>
      <c r="V245" s="149"/>
      <c r="W245" s="149"/>
      <c r="X245" s="149"/>
      <c r="Y245" s="149"/>
      <c r="Z245" s="325">
        <f>Z237+1</f>
        <v>23</v>
      </c>
    </row>
    <row r="246" spans="11:26" ht="18" customHeight="1">
      <c r="K246" s="171" t="s">
        <v>14</v>
      </c>
      <c r="L246" s="171"/>
      <c r="M246" s="171"/>
      <c r="N246" s="140" t="s">
        <v>43</v>
      </c>
      <c r="O246" s="172">
        <v>3</v>
      </c>
      <c r="P246" s="219">
        <f ca="1">OFFSET($A$1,MATCH(Z245,$A:$A,0)-1,O246)</f>
        <v>0.48699999999999999</v>
      </c>
      <c r="Q246" s="141" t="s">
        <v>29</v>
      </c>
      <c r="R246" s="142">
        <f t="shared" ref="R246:S251" ca="1" si="58">T246</f>
        <v>467217</v>
      </c>
      <c r="S246" s="142">
        <f t="shared" ca="1" si="58"/>
        <v>227534</v>
      </c>
      <c r="T246" s="142">
        <f ca="1">기술사</f>
        <v>467217</v>
      </c>
      <c r="U246" s="142">
        <f t="shared" ref="U246:U251" ca="1" si="59">ROUNDDOWN(P246*R246,0)</f>
        <v>227534</v>
      </c>
      <c r="V246" s="142"/>
      <c r="W246" s="142"/>
      <c r="X246" s="142"/>
      <c r="Y246" s="142"/>
      <c r="Z246" s="114"/>
    </row>
    <row r="247" spans="11:26" ht="18" customHeight="1">
      <c r="K247" s="171" t="s">
        <v>14</v>
      </c>
      <c r="L247" s="171"/>
      <c r="M247" s="171"/>
      <c r="N247" s="143" t="s">
        <v>32</v>
      </c>
      <c r="O247" s="173">
        <v>4</v>
      </c>
      <c r="P247" s="234">
        <f ca="1">OFFSET($A$1,MATCH(Z245,$A:$A,0)-1,O247)</f>
        <v>0.81200000000000006</v>
      </c>
      <c r="Q247" s="144" t="s">
        <v>29</v>
      </c>
      <c r="R247" s="118">
        <f t="shared" ca="1" si="58"/>
        <v>373353</v>
      </c>
      <c r="S247" s="118">
        <f t="shared" ca="1" si="58"/>
        <v>303162</v>
      </c>
      <c r="T247" s="118">
        <f ca="1">특급</f>
        <v>373353</v>
      </c>
      <c r="U247" s="118">
        <f t="shared" ca="1" si="59"/>
        <v>303162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39</v>
      </c>
      <c r="O248" s="173">
        <v>5</v>
      </c>
      <c r="P248" s="234">
        <f ca="1">OFFSET($A$1,MATCH(Z245,$A:$A,0)-1,O248)</f>
        <v>2.6</v>
      </c>
      <c r="Q248" s="144" t="s">
        <v>29</v>
      </c>
      <c r="R248" s="118">
        <f t="shared" ca="1" si="58"/>
        <v>310884</v>
      </c>
      <c r="S248" s="118">
        <f t="shared" ca="1" si="58"/>
        <v>808298</v>
      </c>
      <c r="T248" s="118">
        <f ca="1">고급</f>
        <v>310884</v>
      </c>
      <c r="U248" s="118">
        <f t="shared" ca="1" si="59"/>
        <v>808298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145" t="s">
        <v>40</v>
      </c>
      <c r="O249" s="173">
        <v>6</v>
      </c>
      <c r="P249" s="234">
        <f ca="1">OFFSET($A$1,MATCH(Z245,$A:$A,0)-1,O249)</f>
        <v>4.875</v>
      </c>
      <c r="Q249" s="144" t="s">
        <v>29</v>
      </c>
      <c r="R249" s="118">
        <f t="shared" ca="1" si="58"/>
        <v>295138</v>
      </c>
      <c r="S249" s="118">
        <f t="shared" ca="1" si="58"/>
        <v>1438797</v>
      </c>
      <c r="T249" s="118">
        <f ca="1">중급</f>
        <v>295138</v>
      </c>
      <c r="U249" s="118">
        <f t="shared" ca="1" si="59"/>
        <v>1438797</v>
      </c>
      <c r="V249" s="118"/>
      <c r="W249" s="118"/>
      <c r="X249" s="118"/>
      <c r="Y249" s="118"/>
      <c r="Z249" s="115"/>
    </row>
    <row r="250" spans="11:26" ht="18" customHeight="1">
      <c r="K250" s="171" t="s">
        <v>14</v>
      </c>
      <c r="L250" s="171"/>
      <c r="M250" s="171"/>
      <c r="N250" s="145" t="s">
        <v>41</v>
      </c>
      <c r="O250" s="173">
        <v>7</v>
      </c>
      <c r="P250" s="234">
        <f ca="1">OFFSET($A$1,MATCH(Z245,$A:$A,0)-1,O250)</f>
        <v>6.1749999999999998</v>
      </c>
      <c r="Q250" s="144" t="s">
        <v>29</v>
      </c>
      <c r="R250" s="118">
        <f t="shared" ca="1" si="58"/>
        <v>235459</v>
      </c>
      <c r="S250" s="118">
        <f t="shared" ca="1" si="58"/>
        <v>1453959</v>
      </c>
      <c r="T250" s="118">
        <f ca="1">초급</f>
        <v>235459</v>
      </c>
      <c r="U250" s="118">
        <f t="shared" ca="1" si="59"/>
        <v>1453959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319" t="s">
        <v>42</v>
      </c>
      <c r="O251" s="174">
        <v>8</v>
      </c>
      <c r="P251" s="235">
        <f ca="1">OFFSET($A$1,MATCH(Z245,$A:$A,0)-1,O251)</f>
        <v>5.85</v>
      </c>
      <c r="Q251" s="322" t="s">
        <v>29</v>
      </c>
      <c r="R251" s="323">
        <f t="shared" ca="1" si="58"/>
        <v>250087</v>
      </c>
      <c r="S251" s="323">
        <f t="shared" ca="1" si="58"/>
        <v>1463008</v>
      </c>
      <c r="T251" s="323">
        <f ca="1">보조원</f>
        <v>250087</v>
      </c>
      <c r="U251" s="323">
        <f t="shared" ca="1" si="59"/>
        <v>1463008</v>
      </c>
      <c r="V251" s="323"/>
      <c r="W251" s="323"/>
      <c r="X251" s="323"/>
      <c r="Y251" s="323"/>
      <c r="Z251" s="324"/>
    </row>
    <row r="252" spans="11:26" ht="18" customHeight="1">
      <c r="K252" s="171" t="s">
        <v>14</v>
      </c>
      <c r="L252" s="171"/>
      <c r="M252" s="171"/>
      <c r="N252" s="139" t="s">
        <v>17</v>
      </c>
      <c r="O252" s="68"/>
      <c r="P252" s="69"/>
      <c r="Q252" s="70"/>
      <c r="R252" s="71"/>
      <c r="S252" s="71">
        <f ca="1">SUBTOTAL(9,S246:S251)</f>
        <v>5694758</v>
      </c>
      <c r="T252" s="71"/>
      <c r="U252" s="71">
        <f ca="1">SUBTOTAL(9,U246:U251)</f>
        <v>5694758</v>
      </c>
      <c r="V252" s="71"/>
      <c r="W252" s="71"/>
      <c r="X252" s="71"/>
      <c r="Y252" s="71"/>
      <c r="Z252" s="68"/>
    </row>
    <row r="253" spans="11:26" ht="18" customHeight="1">
      <c r="K253" s="171" t="s">
        <v>14</v>
      </c>
      <c r="L253" s="171"/>
      <c r="M253" s="171"/>
      <c r="N253" s="318" t="str">
        <f ca="1">"제 " &amp; Z253 &amp; " 호표  "&amp; OFFSET($A$1,MATCH(Z253,$A:$A,0)-1,1)</f>
        <v>제 24 호표  4.1. 보고서작성 및 편집</v>
      </c>
      <c r="O253" s="221"/>
      <c r="P253" s="148"/>
      <c r="Q253" s="148"/>
      <c r="R253" s="149"/>
      <c r="S253" s="149"/>
      <c r="T253" s="149"/>
      <c r="U253" s="149"/>
      <c r="V253" s="149"/>
      <c r="W253" s="149"/>
      <c r="X253" s="149"/>
      <c r="Y253" s="149"/>
      <c r="Z253" s="325">
        <f>Z245+1</f>
        <v>24</v>
      </c>
    </row>
    <row r="254" spans="11:26" ht="18" customHeight="1">
      <c r="K254" s="171" t="s">
        <v>14</v>
      </c>
      <c r="L254" s="171"/>
      <c r="M254" s="171"/>
      <c r="N254" s="140" t="s">
        <v>43</v>
      </c>
      <c r="O254" s="172">
        <v>3</v>
      </c>
      <c r="P254" s="219">
        <f ca="1">OFFSET($A$1,MATCH(Z253,$A:$A,0)-1,O254)</f>
        <v>4.0620000000000003</v>
      </c>
      <c r="Q254" s="141" t="s">
        <v>29</v>
      </c>
      <c r="R254" s="142">
        <f t="shared" ref="R254:S259" ca="1" si="60">T254</f>
        <v>467217</v>
      </c>
      <c r="S254" s="142">
        <f t="shared" ca="1" si="60"/>
        <v>1897835</v>
      </c>
      <c r="T254" s="142">
        <f ca="1">기술사</f>
        <v>467217</v>
      </c>
      <c r="U254" s="142">
        <f t="shared" ref="U254:U259" ca="1" si="61">ROUNDDOWN(P254*R254,0)</f>
        <v>1897835</v>
      </c>
      <c r="V254" s="142"/>
      <c r="W254" s="142"/>
      <c r="X254" s="142"/>
      <c r="Y254" s="142"/>
      <c r="Z254" s="114"/>
    </row>
    <row r="255" spans="11:26" ht="18" customHeight="1">
      <c r="K255" s="171" t="s">
        <v>14</v>
      </c>
      <c r="L255" s="171"/>
      <c r="M255" s="171"/>
      <c r="N255" s="143" t="s">
        <v>32</v>
      </c>
      <c r="O255" s="173">
        <v>4</v>
      </c>
      <c r="P255" s="234">
        <f ca="1">OFFSET($A$1,MATCH(Z253,$A:$A,0)-1,O255)</f>
        <v>7.9619999999999997</v>
      </c>
      <c r="Q255" s="144" t="s">
        <v>29</v>
      </c>
      <c r="R255" s="118">
        <f t="shared" ca="1" si="60"/>
        <v>373353</v>
      </c>
      <c r="S255" s="118">
        <f t="shared" ca="1" si="60"/>
        <v>2972636</v>
      </c>
      <c r="T255" s="118">
        <f ca="1">특급</f>
        <v>373353</v>
      </c>
      <c r="U255" s="118">
        <f t="shared" ca="1" si="61"/>
        <v>2972636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39</v>
      </c>
      <c r="O256" s="173">
        <v>5</v>
      </c>
      <c r="P256" s="234">
        <f ca="1">OFFSET($A$1,MATCH(Z253,$A:$A,0)-1,O256)</f>
        <v>18.2</v>
      </c>
      <c r="Q256" s="144" t="s">
        <v>29</v>
      </c>
      <c r="R256" s="118">
        <f t="shared" ca="1" si="60"/>
        <v>310884</v>
      </c>
      <c r="S256" s="118">
        <f t="shared" ca="1" si="60"/>
        <v>5658088</v>
      </c>
      <c r="T256" s="118">
        <f ca="1">고급</f>
        <v>310884</v>
      </c>
      <c r="U256" s="118">
        <f t="shared" ca="1" si="61"/>
        <v>5658088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145" t="s">
        <v>40</v>
      </c>
      <c r="O257" s="173">
        <v>6</v>
      </c>
      <c r="P257" s="234">
        <f ca="1">OFFSET($A$1,MATCH(Z253,$A:$A,0)-1,O257)</f>
        <v>30.225000000000001</v>
      </c>
      <c r="Q257" s="144" t="s">
        <v>29</v>
      </c>
      <c r="R257" s="118">
        <f t="shared" ca="1" si="60"/>
        <v>295138</v>
      </c>
      <c r="S257" s="118">
        <f t="shared" ca="1" si="60"/>
        <v>8920546</v>
      </c>
      <c r="T257" s="118">
        <f ca="1">중급</f>
        <v>295138</v>
      </c>
      <c r="U257" s="118">
        <f t="shared" ca="1" si="61"/>
        <v>8920546</v>
      </c>
      <c r="V257" s="118"/>
      <c r="W257" s="118"/>
      <c r="X257" s="118"/>
      <c r="Y257" s="118"/>
      <c r="Z257" s="115"/>
    </row>
    <row r="258" spans="11:26" ht="18" customHeight="1">
      <c r="K258" s="171" t="s">
        <v>14</v>
      </c>
      <c r="L258" s="171"/>
      <c r="M258" s="171"/>
      <c r="N258" s="145" t="s">
        <v>41</v>
      </c>
      <c r="O258" s="173">
        <v>7</v>
      </c>
      <c r="P258" s="234">
        <f ca="1">OFFSET($A$1,MATCH(Z253,$A:$A,0)-1,O258)</f>
        <v>30.387</v>
      </c>
      <c r="Q258" s="144" t="s">
        <v>29</v>
      </c>
      <c r="R258" s="118">
        <f t="shared" ca="1" si="60"/>
        <v>235459</v>
      </c>
      <c r="S258" s="118">
        <f t="shared" ca="1" si="60"/>
        <v>7154892</v>
      </c>
      <c r="T258" s="118">
        <f ca="1">초급</f>
        <v>235459</v>
      </c>
      <c r="U258" s="118">
        <f t="shared" ca="1" si="61"/>
        <v>7154892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319" t="s">
        <v>42</v>
      </c>
      <c r="O259" s="174">
        <v>8</v>
      </c>
      <c r="P259" s="235">
        <f ca="1">OFFSET($A$1,MATCH(Z253,$A:$A,0)-1,O259)</f>
        <v>20.312000000000001</v>
      </c>
      <c r="Q259" s="322" t="s">
        <v>29</v>
      </c>
      <c r="R259" s="323">
        <f t="shared" ca="1" si="60"/>
        <v>250087</v>
      </c>
      <c r="S259" s="323">
        <f t="shared" ca="1" si="60"/>
        <v>5079767</v>
      </c>
      <c r="T259" s="323">
        <f ca="1">보조원</f>
        <v>250087</v>
      </c>
      <c r="U259" s="323">
        <f t="shared" ca="1" si="61"/>
        <v>5079767</v>
      </c>
      <c r="V259" s="323"/>
      <c r="W259" s="323"/>
      <c r="X259" s="323"/>
      <c r="Y259" s="323"/>
      <c r="Z259" s="324"/>
    </row>
    <row r="260" spans="11:26" ht="18" customHeight="1">
      <c r="K260" s="171" t="s">
        <v>14</v>
      </c>
      <c r="L260" s="171"/>
      <c r="M260" s="171"/>
      <c r="N260" s="139" t="s">
        <v>17</v>
      </c>
      <c r="O260" s="68"/>
      <c r="P260" s="69"/>
      <c r="Q260" s="70"/>
      <c r="R260" s="71"/>
      <c r="S260" s="71">
        <f ca="1">SUBTOTAL(9,S254:S259)</f>
        <v>31683764</v>
      </c>
      <c r="T260" s="71"/>
      <c r="U260" s="71">
        <f ca="1">SUBTOTAL(9,U254:U259)</f>
        <v>31683764</v>
      </c>
      <c r="V260" s="71"/>
      <c r="W260" s="71"/>
      <c r="X260" s="71"/>
      <c r="Y260" s="71"/>
      <c r="Z260" s="68"/>
    </row>
    <row r="261" spans="11:26" ht="18" customHeight="1">
      <c r="K261" s="171" t="s">
        <v>14</v>
      </c>
      <c r="L261" s="171"/>
      <c r="M261" s="171"/>
      <c r="N261" s="318" t="str">
        <f ca="1">"제 " &amp; Z261 &amp; " 호표  "&amp; OFFSET($A$1,MATCH(Z261,$A:$A,0)-1,1)</f>
        <v>제 25 호표  4.2. 관련도서작성</v>
      </c>
      <c r="O261" s="221"/>
      <c r="P261" s="148"/>
      <c r="Q261" s="148"/>
      <c r="R261" s="149"/>
      <c r="S261" s="149"/>
      <c r="T261" s="149"/>
      <c r="U261" s="149"/>
      <c r="V261" s="149"/>
      <c r="W261" s="149"/>
      <c r="X261" s="149"/>
      <c r="Y261" s="149"/>
      <c r="Z261" s="325">
        <f>Z253+1</f>
        <v>25</v>
      </c>
    </row>
    <row r="262" spans="11:26" ht="18" customHeight="1">
      <c r="K262" s="171" t="s">
        <v>14</v>
      </c>
      <c r="L262" s="171"/>
      <c r="M262" s="171"/>
      <c r="N262" s="140" t="s">
        <v>43</v>
      </c>
      <c r="O262" s="172">
        <v>3</v>
      </c>
      <c r="P262" s="219">
        <f ca="1">OFFSET($A$1,MATCH(Z261,$A:$A,0)-1,O262)</f>
        <v>1.95</v>
      </c>
      <c r="Q262" s="141" t="s">
        <v>29</v>
      </c>
      <c r="R262" s="142">
        <f t="shared" ref="R262:R267" ca="1" si="62">T262</f>
        <v>467217</v>
      </c>
      <c r="S262" s="142">
        <f t="shared" ref="S262:S267" ca="1" si="63">U262</f>
        <v>911073</v>
      </c>
      <c r="T262" s="142">
        <f ca="1">기술사</f>
        <v>467217</v>
      </c>
      <c r="U262" s="142">
        <f t="shared" ref="U262:U267" ca="1" si="64">ROUNDDOWN(P262*R262,0)</f>
        <v>911073</v>
      </c>
      <c r="V262" s="142"/>
      <c r="W262" s="142"/>
      <c r="X262" s="142"/>
      <c r="Y262" s="142"/>
      <c r="Z262" s="114"/>
    </row>
    <row r="263" spans="11:26" ht="18" customHeight="1">
      <c r="K263" s="171" t="s">
        <v>14</v>
      </c>
      <c r="L263" s="171"/>
      <c r="M263" s="171"/>
      <c r="N263" s="143" t="s">
        <v>32</v>
      </c>
      <c r="O263" s="173">
        <v>4</v>
      </c>
      <c r="P263" s="234">
        <f ca="1">OFFSET($A$1,MATCH(Z261,$A:$A,0)-1,O263)</f>
        <v>4.0620000000000003</v>
      </c>
      <c r="Q263" s="144" t="s">
        <v>29</v>
      </c>
      <c r="R263" s="118">
        <f t="shared" ca="1" si="62"/>
        <v>373353</v>
      </c>
      <c r="S263" s="118">
        <f t="shared" ca="1" si="63"/>
        <v>1516559</v>
      </c>
      <c r="T263" s="118">
        <f ca="1">특급</f>
        <v>373353</v>
      </c>
      <c r="U263" s="118">
        <f t="shared" ca="1" si="64"/>
        <v>1516559</v>
      </c>
      <c r="V263" s="118"/>
      <c r="W263" s="118"/>
      <c r="X263" s="118"/>
      <c r="Y263" s="118"/>
      <c r="Z263" s="115"/>
    </row>
    <row r="264" spans="11:26" ht="18" customHeight="1">
      <c r="K264" s="171" t="s">
        <v>14</v>
      </c>
      <c r="L264" s="171"/>
      <c r="M264" s="171"/>
      <c r="N264" s="145" t="s">
        <v>39</v>
      </c>
      <c r="O264" s="173">
        <v>5</v>
      </c>
      <c r="P264" s="234">
        <f ca="1">OFFSET($A$1,MATCH(Z261,$A:$A,0)-1,O264)</f>
        <v>9.1</v>
      </c>
      <c r="Q264" s="144" t="s">
        <v>29</v>
      </c>
      <c r="R264" s="118">
        <f t="shared" ca="1" si="62"/>
        <v>310884</v>
      </c>
      <c r="S264" s="118">
        <f t="shared" ca="1" si="63"/>
        <v>2829044</v>
      </c>
      <c r="T264" s="118">
        <f ca="1">고급</f>
        <v>310884</v>
      </c>
      <c r="U264" s="118">
        <f t="shared" ca="1" si="64"/>
        <v>2829044</v>
      </c>
      <c r="V264" s="118"/>
      <c r="W264" s="118"/>
      <c r="X264" s="118"/>
      <c r="Y264" s="118"/>
      <c r="Z264" s="115"/>
    </row>
    <row r="265" spans="11:26" ht="18" customHeight="1">
      <c r="K265" s="171" t="s">
        <v>14</v>
      </c>
      <c r="L265" s="171"/>
      <c r="M265" s="171"/>
      <c r="N265" s="145" t="s">
        <v>40</v>
      </c>
      <c r="O265" s="173">
        <v>6</v>
      </c>
      <c r="P265" s="234">
        <f ca="1">OFFSET($A$1,MATCH(Z261,$A:$A,0)-1,O265)</f>
        <v>20.149999999999999</v>
      </c>
      <c r="Q265" s="144" t="s">
        <v>29</v>
      </c>
      <c r="R265" s="118">
        <f t="shared" ca="1" si="62"/>
        <v>295138</v>
      </c>
      <c r="S265" s="118">
        <f t="shared" ca="1" si="63"/>
        <v>5947030</v>
      </c>
      <c r="T265" s="118">
        <f ca="1">중급</f>
        <v>295138</v>
      </c>
      <c r="U265" s="118">
        <f t="shared" ca="1" si="64"/>
        <v>5947030</v>
      </c>
      <c r="V265" s="118"/>
      <c r="W265" s="118"/>
      <c r="X265" s="118"/>
      <c r="Y265" s="118"/>
      <c r="Z265" s="115"/>
    </row>
    <row r="266" spans="11:26" ht="18" customHeight="1">
      <c r="K266" s="171" t="s">
        <v>14</v>
      </c>
      <c r="L266" s="171"/>
      <c r="M266" s="171"/>
      <c r="N266" s="145" t="s">
        <v>41</v>
      </c>
      <c r="O266" s="173">
        <v>7</v>
      </c>
      <c r="P266" s="234">
        <f ca="1">OFFSET($A$1,MATCH(Z261,$A:$A,0)-1,O266)</f>
        <v>40.137</v>
      </c>
      <c r="Q266" s="144" t="s">
        <v>29</v>
      </c>
      <c r="R266" s="118">
        <f t="shared" ca="1" si="62"/>
        <v>235459</v>
      </c>
      <c r="S266" s="118">
        <f t="shared" ca="1" si="63"/>
        <v>9450617</v>
      </c>
      <c r="T266" s="118">
        <f ca="1">초급</f>
        <v>235459</v>
      </c>
      <c r="U266" s="118">
        <f t="shared" ca="1" si="64"/>
        <v>9450617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319" t="s">
        <v>42</v>
      </c>
      <c r="O267" s="174">
        <v>8</v>
      </c>
      <c r="P267" s="235">
        <f ca="1">OFFSET($A$1,MATCH(Z261,$A:$A,0)-1,O267)</f>
        <v>50.212000000000003</v>
      </c>
      <c r="Q267" s="322" t="s">
        <v>29</v>
      </c>
      <c r="R267" s="323">
        <f t="shared" ca="1" si="62"/>
        <v>250087</v>
      </c>
      <c r="S267" s="323">
        <f t="shared" ca="1" si="63"/>
        <v>12557368</v>
      </c>
      <c r="T267" s="323">
        <f ca="1">보조원</f>
        <v>250087</v>
      </c>
      <c r="U267" s="323">
        <f t="shared" ca="1" si="64"/>
        <v>12557368</v>
      </c>
      <c r="V267" s="323"/>
      <c r="W267" s="323"/>
      <c r="X267" s="323"/>
      <c r="Y267" s="323"/>
      <c r="Z267" s="324"/>
    </row>
    <row r="268" spans="11:26" ht="18" customHeight="1">
      <c r="K268" s="171" t="s">
        <v>14</v>
      </c>
      <c r="L268" s="171"/>
      <c r="M268" s="171"/>
      <c r="N268" s="139" t="s">
        <v>17</v>
      </c>
      <c r="O268" s="68"/>
      <c r="P268" s="69"/>
      <c r="Q268" s="70"/>
      <c r="R268" s="71"/>
      <c r="S268" s="71">
        <f ca="1">SUBTOTAL(9,S262:S267)</f>
        <v>33211691</v>
      </c>
      <c r="T268" s="71"/>
      <c r="U268" s="71">
        <f ca="1">SUBTOTAL(9,U262:U267)</f>
        <v>33211691</v>
      </c>
      <c r="V268" s="71"/>
      <c r="W268" s="71"/>
      <c r="X268" s="71"/>
      <c r="Y268" s="71"/>
      <c r="Z268" s="68"/>
    </row>
    <row r="269" spans="11:26" ht="18" customHeight="1">
      <c r="K269" s="171" t="s">
        <v>14</v>
      </c>
      <c r="L269" s="171"/>
      <c r="M269" s="171"/>
      <c r="N269" s="318" t="str">
        <f ca="1">"제 " &amp; Z269 &amp; " 호표  "&amp; OFFSET($A$1,MATCH(Z269,$A:$A,0)-1,1)</f>
        <v>제 26 호표  5.1. 주민워크샵 등</v>
      </c>
      <c r="O269" s="221"/>
      <c r="P269" s="148"/>
      <c r="Q269" s="148"/>
      <c r="R269" s="149"/>
      <c r="S269" s="149"/>
      <c r="T269" s="149"/>
      <c r="U269" s="149"/>
      <c r="V269" s="149"/>
      <c r="W269" s="149"/>
      <c r="X269" s="149"/>
      <c r="Y269" s="149"/>
      <c r="Z269" s="325">
        <f>Z261+1</f>
        <v>26</v>
      </c>
    </row>
    <row r="270" spans="11:26" ht="18" customHeight="1">
      <c r="K270" s="171" t="s">
        <v>14</v>
      </c>
      <c r="L270" s="171"/>
      <c r="M270" s="171"/>
      <c r="N270" s="140" t="s">
        <v>43</v>
      </c>
      <c r="O270" s="172">
        <v>3</v>
      </c>
      <c r="P270" s="219">
        <f ca="1">OFFSET($A$1,MATCH(Z269,$A:$A,0)-1,O270)</f>
        <v>26</v>
      </c>
      <c r="Q270" s="141" t="s">
        <v>29</v>
      </c>
      <c r="R270" s="142">
        <f t="shared" ref="R270:R275" ca="1" si="65">T270</f>
        <v>467217</v>
      </c>
      <c r="S270" s="142">
        <f t="shared" ref="S270:S275" ca="1" si="66">U270</f>
        <v>12147642</v>
      </c>
      <c r="T270" s="142">
        <f ca="1">기술사</f>
        <v>467217</v>
      </c>
      <c r="U270" s="142">
        <f t="shared" ref="U270:U275" ca="1" si="67">ROUNDDOWN(P270*R270,0)</f>
        <v>12147642</v>
      </c>
      <c r="V270" s="142"/>
      <c r="W270" s="142"/>
      <c r="X270" s="142"/>
      <c r="Y270" s="142"/>
      <c r="Z270" s="114"/>
    </row>
    <row r="271" spans="11:26" ht="18" customHeight="1">
      <c r="K271" s="171" t="s">
        <v>14</v>
      </c>
      <c r="L271" s="171"/>
      <c r="M271" s="171"/>
      <c r="N271" s="143" t="s">
        <v>32</v>
      </c>
      <c r="O271" s="173">
        <v>4</v>
      </c>
      <c r="P271" s="234">
        <f ca="1">OFFSET($A$1,MATCH(Z269,$A:$A,0)-1,O271)</f>
        <v>26</v>
      </c>
      <c r="Q271" s="144" t="s">
        <v>29</v>
      </c>
      <c r="R271" s="118">
        <f t="shared" ca="1" si="65"/>
        <v>373353</v>
      </c>
      <c r="S271" s="118">
        <f t="shared" ca="1" si="66"/>
        <v>9707178</v>
      </c>
      <c r="T271" s="118">
        <f ca="1">특급</f>
        <v>373353</v>
      </c>
      <c r="U271" s="118">
        <f t="shared" ca="1" si="67"/>
        <v>9707178</v>
      </c>
      <c r="V271" s="118"/>
      <c r="W271" s="118"/>
      <c r="X271" s="118"/>
      <c r="Y271" s="118"/>
      <c r="Z271" s="115"/>
    </row>
    <row r="272" spans="11:26" ht="18" customHeight="1">
      <c r="K272" s="171" t="s">
        <v>14</v>
      </c>
      <c r="L272" s="171"/>
      <c r="M272" s="171"/>
      <c r="N272" s="145" t="s">
        <v>39</v>
      </c>
      <c r="O272" s="173">
        <v>5</v>
      </c>
      <c r="P272" s="234">
        <f ca="1">OFFSET($A$1,MATCH(Z269,$A:$A,0)-1,O272)</f>
        <v>26</v>
      </c>
      <c r="Q272" s="144" t="s">
        <v>29</v>
      </c>
      <c r="R272" s="118">
        <f t="shared" ca="1" si="65"/>
        <v>310884</v>
      </c>
      <c r="S272" s="118">
        <f t="shared" ca="1" si="66"/>
        <v>8082984</v>
      </c>
      <c r="T272" s="118">
        <f ca="1">고급</f>
        <v>310884</v>
      </c>
      <c r="U272" s="118">
        <f t="shared" ca="1" si="67"/>
        <v>8082984</v>
      </c>
      <c r="V272" s="118"/>
      <c r="W272" s="118"/>
      <c r="X272" s="118"/>
      <c r="Y272" s="118"/>
      <c r="Z272" s="115"/>
    </row>
    <row r="273" spans="11:26" ht="18" customHeight="1">
      <c r="K273" s="171" t="s">
        <v>14</v>
      </c>
      <c r="L273" s="171"/>
      <c r="M273" s="171"/>
      <c r="N273" s="145" t="s">
        <v>40</v>
      </c>
      <c r="O273" s="173">
        <v>6</v>
      </c>
      <c r="P273" s="234">
        <f ca="1">OFFSET($A$1,MATCH(Z269,$A:$A,0)-1,O273)</f>
        <v>52</v>
      </c>
      <c r="Q273" s="144" t="s">
        <v>29</v>
      </c>
      <c r="R273" s="118">
        <f t="shared" ca="1" si="65"/>
        <v>295138</v>
      </c>
      <c r="S273" s="118">
        <f t="shared" ca="1" si="66"/>
        <v>15347176</v>
      </c>
      <c r="T273" s="118">
        <f ca="1">중급</f>
        <v>295138</v>
      </c>
      <c r="U273" s="118">
        <f t="shared" ca="1" si="67"/>
        <v>15347176</v>
      </c>
      <c r="V273" s="118"/>
      <c r="W273" s="118"/>
      <c r="X273" s="118"/>
      <c r="Y273" s="118"/>
      <c r="Z273" s="115"/>
    </row>
    <row r="274" spans="11:26" ht="18" customHeight="1">
      <c r="K274" s="171" t="s">
        <v>14</v>
      </c>
      <c r="L274" s="171"/>
      <c r="M274" s="171"/>
      <c r="N274" s="145" t="s">
        <v>41</v>
      </c>
      <c r="O274" s="173">
        <v>7</v>
      </c>
      <c r="P274" s="234">
        <f ca="1">OFFSET($A$1,MATCH(Z269,$A:$A,0)-1,O274)</f>
        <v>52</v>
      </c>
      <c r="Q274" s="144" t="s">
        <v>29</v>
      </c>
      <c r="R274" s="118">
        <f t="shared" ca="1" si="65"/>
        <v>235459</v>
      </c>
      <c r="S274" s="118">
        <f t="shared" ca="1" si="66"/>
        <v>12243868</v>
      </c>
      <c r="T274" s="118">
        <f ca="1">초급</f>
        <v>235459</v>
      </c>
      <c r="U274" s="118">
        <f t="shared" ca="1" si="67"/>
        <v>12243868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319" t="s">
        <v>42</v>
      </c>
      <c r="O275" s="174">
        <v>8</v>
      </c>
      <c r="P275" s="235">
        <f ca="1">OFFSET($A$1,MATCH(Z269,$A:$A,0)-1,O275)</f>
        <v>52</v>
      </c>
      <c r="Q275" s="322" t="s">
        <v>29</v>
      </c>
      <c r="R275" s="323">
        <f t="shared" ca="1" si="65"/>
        <v>250087</v>
      </c>
      <c r="S275" s="323">
        <f t="shared" ca="1" si="66"/>
        <v>13004524</v>
      </c>
      <c r="T275" s="323">
        <f ca="1">보조원</f>
        <v>250087</v>
      </c>
      <c r="U275" s="323">
        <f t="shared" ca="1" si="67"/>
        <v>13004524</v>
      </c>
      <c r="V275" s="323"/>
      <c r="W275" s="323"/>
      <c r="X275" s="323"/>
      <c r="Y275" s="323"/>
      <c r="Z275" s="324"/>
    </row>
    <row r="276" spans="11:26" ht="18" customHeight="1">
      <c r="K276" s="171" t="s">
        <v>14</v>
      </c>
      <c r="L276" s="171"/>
      <c r="M276" s="171"/>
      <c r="N276" s="139" t="s">
        <v>17</v>
      </c>
      <c r="O276" s="68"/>
      <c r="P276" s="69"/>
      <c r="Q276" s="70"/>
      <c r="R276" s="71"/>
      <c r="S276" s="71">
        <f ca="1">SUBTOTAL(9,S270:S275)</f>
        <v>70533372</v>
      </c>
      <c r="T276" s="71"/>
      <c r="U276" s="71">
        <f ca="1">SUBTOTAL(9,U270:U275)</f>
        <v>70533372</v>
      </c>
      <c r="V276" s="71"/>
      <c r="W276" s="71"/>
      <c r="X276" s="71"/>
      <c r="Y276" s="71"/>
      <c r="Z276" s="68"/>
    </row>
    <row r="277" spans="11:26" ht="18" customHeight="1">
      <c r="K277" s="171" t="s">
        <v>14</v>
      </c>
      <c r="L277" s="171"/>
      <c r="M277" s="171"/>
      <c r="N277" s="318" t="str">
        <f ca="1">"제 " &amp; Z277 &amp; " 호표  "&amp; OFFSET($A$1,MATCH(Z277,$A:$A,0)-1,1)</f>
        <v>제 27 호표  6.1. 공청회/주민설명회</v>
      </c>
      <c r="O277" s="221"/>
      <c r="P277" s="148"/>
      <c r="Q277" s="148"/>
      <c r="R277" s="149"/>
      <c r="S277" s="149"/>
      <c r="T277" s="149"/>
      <c r="U277" s="149"/>
      <c r="V277" s="149"/>
      <c r="W277" s="149"/>
      <c r="X277" s="149"/>
      <c r="Y277" s="149"/>
      <c r="Z277" s="325">
        <f>Z269+1</f>
        <v>27</v>
      </c>
    </row>
    <row r="278" spans="11:26" ht="18" customHeight="1">
      <c r="K278" s="171" t="s">
        <v>14</v>
      </c>
      <c r="L278" s="171"/>
      <c r="M278" s="171"/>
      <c r="N278" s="140" t="s">
        <v>43</v>
      </c>
      <c r="O278" s="172">
        <v>3</v>
      </c>
      <c r="P278" s="219">
        <f ca="1">OFFSET($A$1,MATCH(Z277,$A:$A,0)-1,O278)</f>
        <v>2</v>
      </c>
      <c r="Q278" s="141" t="s">
        <v>29</v>
      </c>
      <c r="R278" s="142">
        <f t="shared" ref="R278:R283" ca="1" si="68">T278</f>
        <v>467217</v>
      </c>
      <c r="S278" s="142">
        <f t="shared" ref="S278:S283" ca="1" si="69">U278</f>
        <v>934434</v>
      </c>
      <c r="T278" s="142">
        <f ca="1">기술사</f>
        <v>467217</v>
      </c>
      <c r="U278" s="142">
        <f t="shared" ref="U278:U283" ca="1" si="70">ROUNDDOWN(P278*R278,0)</f>
        <v>934434</v>
      </c>
      <c r="V278" s="142"/>
      <c r="W278" s="142"/>
      <c r="X278" s="142"/>
      <c r="Y278" s="142"/>
      <c r="Z278" s="114"/>
    </row>
    <row r="279" spans="11:26" ht="18" customHeight="1">
      <c r="K279" s="171" t="s">
        <v>14</v>
      </c>
      <c r="L279" s="171"/>
      <c r="M279" s="171"/>
      <c r="N279" s="143" t="s">
        <v>32</v>
      </c>
      <c r="O279" s="173">
        <v>4</v>
      </c>
      <c r="P279" s="234">
        <f ca="1">OFFSET($A$1,MATCH(Z277,$A:$A,0)-1,O279)</f>
        <v>2</v>
      </c>
      <c r="Q279" s="144" t="s">
        <v>29</v>
      </c>
      <c r="R279" s="118">
        <f t="shared" ca="1" si="68"/>
        <v>373353</v>
      </c>
      <c r="S279" s="118">
        <f t="shared" ca="1" si="69"/>
        <v>746706</v>
      </c>
      <c r="T279" s="118">
        <f ca="1">특급</f>
        <v>373353</v>
      </c>
      <c r="U279" s="118">
        <f t="shared" ca="1" si="70"/>
        <v>746706</v>
      </c>
      <c r="V279" s="118"/>
      <c r="W279" s="118"/>
      <c r="X279" s="118"/>
      <c r="Y279" s="118"/>
      <c r="Z279" s="115"/>
    </row>
    <row r="280" spans="11:26" ht="18" customHeight="1">
      <c r="K280" s="171" t="s">
        <v>14</v>
      </c>
      <c r="L280" s="171"/>
      <c r="M280" s="171"/>
      <c r="N280" s="145" t="s">
        <v>39</v>
      </c>
      <c r="O280" s="173">
        <v>5</v>
      </c>
      <c r="P280" s="234">
        <f ca="1">OFFSET($A$1,MATCH(Z277,$A:$A,0)-1,O280)</f>
        <v>2</v>
      </c>
      <c r="Q280" s="144" t="s">
        <v>29</v>
      </c>
      <c r="R280" s="118">
        <f t="shared" ca="1" si="68"/>
        <v>310884</v>
      </c>
      <c r="S280" s="118">
        <f t="shared" ca="1" si="69"/>
        <v>621768</v>
      </c>
      <c r="T280" s="118">
        <f ca="1">고급</f>
        <v>310884</v>
      </c>
      <c r="U280" s="118">
        <f t="shared" ca="1" si="70"/>
        <v>621768</v>
      </c>
      <c r="V280" s="118"/>
      <c r="W280" s="118"/>
      <c r="X280" s="118"/>
      <c r="Y280" s="118"/>
      <c r="Z280" s="115"/>
    </row>
    <row r="281" spans="11:26" ht="18" customHeight="1">
      <c r="K281" s="171" t="s">
        <v>14</v>
      </c>
      <c r="L281" s="171"/>
      <c r="M281" s="171"/>
      <c r="N281" s="145" t="s">
        <v>40</v>
      </c>
      <c r="O281" s="173">
        <v>6</v>
      </c>
      <c r="P281" s="234">
        <f ca="1">OFFSET($A$1,MATCH(Z277,$A:$A,0)-1,O281)</f>
        <v>4</v>
      </c>
      <c r="Q281" s="144" t="s">
        <v>29</v>
      </c>
      <c r="R281" s="118">
        <f t="shared" ca="1" si="68"/>
        <v>295138</v>
      </c>
      <c r="S281" s="118">
        <f t="shared" ca="1" si="69"/>
        <v>1180552</v>
      </c>
      <c r="T281" s="118">
        <f ca="1">중급</f>
        <v>295138</v>
      </c>
      <c r="U281" s="118">
        <f t="shared" ca="1" si="70"/>
        <v>1180552</v>
      </c>
      <c r="V281" s="118"/>
      <c r="W281" s="118"/>
      <c r="X281" s="118"/>
      <c r="Y281" s="118"/>
      <c r="Z281" s="115"/>
    </row>
    <row r="282" spans="11:26" ht="18" customHeight="1">
      <c r="K282" s="171" t="s">
        <v>14</v>
      </c>
      <c r="L282" s="171"/>
      <c r="M282" s="171"/>
      <c r="N282" s="145" t="s">
        <v>41</v>
      </c>
      <c r="O282" s="173">
        <v>7</v>
      </c>
      <c r="P282" s="234">
        <f ca="1">OFFSET($A$1,MATCH(Z277,$A:$A,0)-1,O282)</f>
        <v>4</v>
      </c>
      <c r="Q282" s="144" t="s">
        <v>29</v>
      </c>
      <c r="R282" s="118">
        <f t="shared" ca="1" si="68"/>
        <v>235459</v>
      </c>
      <c r="S282" s="118">
        <f t="shared" ca="1" si="69"/>
        <v>941836</v>
      </c>
      <c r="T282" s="118">
        <f ca="1">초급</f>
        <v>235459</v>
      </c>
      <c r="U282" s="118">
        <f t="shared" ca="1" si="70"/>
        <v>941836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319" t="s">
        <v>42</v>
      </c>
      <c r="O283" s="174">
        <v>8</v>
      </c>
      <c r="P283" s="235">
        <f ca="1">OFFSET($A$1,MATCH(Z277,$A:$A,0)-1,O283)</f>
        <v>4</v>
      </c>
      <c r="Q283" s="322" t="s">
        <v>29</v>
      </c>
      <c r="R283" s="323">
        <f t="shared" ca="1" si="68"/>
        <v>250087</v>
      </c>
      <c r="S283" s="323">
        <f t="shared" ca="1" si="69"/>
        <v>1000348</v>
      </c>
      <c r="T283" s="323">
        <f ca="1">보조원</f>
        <v>250087</v>
      </c>
      <c r="U283" s="323">
        <f t="shared" ca="1" si="70"/>
        <v>1000348</v>
      </c>
      <c r="V283" s="323"/>
      <c r="W283" s="323"/>
      <c r="X283" s="323"/>
      <c r="Y283" s="323"/>
      <c r="Z283" s="324"/>
    </row>
    <row r="284" spans="11:26" ht="18" customHeight="1">
      <c r="K284" s="171" t="s">
        <v>14</v>
      </c>
      <c r="L284" s="171"/>
      <c r="M284" s="171"/>
      <c r="N284" s="139" t="s">
        <v>17</v>
      </c>
      <c r="O284" s="68"/>
      <c r="P284" s="69"/>
      <c r="Q284" s="70"/>
      <c r="R284" s="71"/>
      <c r="S284" s="71">
        <f ca="1">SUBTOTAL(9,S278:S283)</f>
        <v>5425644</v>
      </c>
      <c r="T284" s="71"/>
      <c r="U284" s="71">
        <f ca="1">SUBTOTAL(9,U278:U283)</f>
        <v>5425644</v>
      </c>
      <c r="V284" s="71"/>
      <c r="W284" s="71"/>
      <c r="X284" s="71"/>
      <c r="Y284" s="71"/>
      <c r="Z284" s="68"/>
    </row>
    <row r="285" spans="11:26" ht="18" customHeight="1">
      <c r="K285" s="171" t="s">
        <v>14</v>
      </c>
      <c r="L285" s="171"/>
      <c r="M285" s="171"/>
      <c r="N285" s="318" t="str">
        <f ca="1">"제 " &amp; Z285 &amp; " 호표  "&amp; OFFSET($A$1,MATCH(Z285,$A:$A,0)-1,1)</f>
        <v>제 28 호표  6.2. 주민간담회/시민계획단</v>
      </c>
      <c r="O285" s="221"/>
      <c r="P285" s="148"/>
      <c r="Q285" s="148"/>
      <c r="R285" s="149"/>
      <c r="S285" s="149"/>
      <c r="T285" s="149"/>
      <c r="U285" s="149"/>
      <c r="V285" s="149"/>
      <c r="W285" s="149"/>
      <c r="X285" s="149"/>
      <c r="Y285" s="149"/>
      <c r="Z285" s="325">
        <f>Z277+1</f>
        <v>28</v>
      </c>
    </row>
    <row r="286" spans="11:26" ht="18" customHeight="1">
      <c r="K286" s="171" t="s">
        <v>14</v>
      </c>
      <c r="L286" s="171"/>
      <c r="M286" s="171"/>
      <c r="N286" s="140" t="s">
        <v>43</v>
      </c>
      <c r="O286" s="172">
        <v>3</v>
      </c>
      <c r="P286" s="219">
        <f ca="1">OFFSET($A$1,MATCH(Z285,$A:$A,0)-1,O286)</f>
        <v>2</v>
      </c>
      <c r="Q286" s="141" t="s">
        <v>29</v>
      </c>
      <c r="R286" s="142">
        <f t="shared" ref="R286:R291" ca="1" si="71">T286</f>
        <v>467217</v>
      </c>
      <c r="S286" s="142">
        <f t="shared" ref="S286:S291" ca="1" si="72">U286</f>
        <v>934434</v>
      </c>
      <c r="T286" s="142">
        <f ca="1">기술사</f>
        <v>467217</v>
      </c>
      <c r="U286" s="142">
        <f t="shared" ref="U286:U291" ca="1" si="73">ROUNDDOWN(P286*R286,0)</f>
        <v>934434</v>
      </c>
      <c r="V286" s="142"/>
      <c r="W286" s="142"/>
      <c r="X286" s="142"/>
      <c r="Y286" s="142"/>
      <c r="Z286" s="114"/>
    </row>
    <row r="287" spans="11:26" ht="18" customHeight="1">
      <c r="K287" s="171" t="s">
        <v>14</v>
      </c>
      <c r="L287" s="171"/>
      <c r="M287" s="171"/>
      <c r="N287" s="143" t="s">
        <v>32</v>
      </c>
      <c r="O287" s="173">
        <v>4</v>
      </c>
      <c r="P287" s="234">
        <f ca="1">OFFSET($A$1,MATCH(Z285,$A:$A,0)-1,O287)</f>
        <v>2</v>
      </c>
      <c r="Q287" s="144" t="s">
        <v>29</v>
      </c>
      <c r="R287" s="118">
        <f t="shared" ca="1" si="71"/>
        <v>373353</v>
      </c>
      <c r="S287" s="118">
        <f t="shared" ca="1" si="72"/>
        <v>746706</v>
      </c>
      <c r="T287" s="118">
        <f ca="1">특급</f>
        <v>373353</v>
      </c>
      <c r="U287" s="118">
        <f t="shared" ca="1" si="73"/>
        <v>746706</v>
      </c>
      <c r="V287" s="118"/>
      <c r="W287" s="118"/>
      <c r="X287" s="118"/>
      <c r="Y287" s="118"/>
      <c r="Z287" s="115"/>
    </row>
    <row r="288" spans="11:26" ht="18" customHeight="1">
      <c r="K288" s="171" t="s">
        <v>14</v>
      </c>
      <c r="L288" s="171"/>
      <c r="M288" s="171"/>
      <c r="N288" s="145" t="s">
        <v>39</v>
      </c>
      <c r="O288" s="173">
        <v>5</v>
      </c>
      <c r="P288" s="234">
        <f ca="1">OFFSET($A$1,MATCH(Z285,$A:$A,0)-1,O288)</f>
        <v>2</v>
      </c>
      <c r="Q288" s="144" t="s">
        <v>29</v>
      </c>
      <c r="R288" s="118">
        <f t="shared" ca="1" si="71"/>
        <v>310884</v>
      </c>
      <c r="S288" s="118">
        <f t="shared" ca="1" si="72"/>
        <v>621768</v>
      </c>
      <c r="T288" s="118">
        <f ca="1">고급</f>
        <v>310884</v>
      </c>
      <c r="U288" s="118">
        <f t="shared" ca="1" si="73"/>
        <v>621768</v>
      </c>
      <c r="V288" s="118"/>
      <c r="W288" s="118"/>
      <c r="X288" s="118"/>
      <c r="Y288" s="118"/>
      <c r="Z288" s="115"/>
    </row>
    <row r="289" spans="11:26" ht="18" customHeight="1">
      <c r="K289" s="171" t="s">
        <v>14</v>
      </c>
      <c r="L289" s="171"/>
      <c r="M289" s="171"/>
      <c r="N289" s="145" t="s">
        <v>40</v>
      </c>
      <c r="O289" s="173">
        <v>6</v>
      </c>
      <c r="P289" s="234">
        <f ca="1">OFFSET($A$1,MATCH(Z285,$A:$A,0)-1,O289)</f>
        <v>4</v>
      </c>
      <c r="Q289" s="144" t="s">
        <v>29</v>
      </c>
      <c r="R289" s="118">
        <f t="shared" ca="1" si="71"/>
        <v>295138</v>
      </c>
      <c r="S289" s="118">
        <f t="shared" ca="1" si="72"/>
        <v>1180552</v>
      </c>
      <c r="T289" s="118">
        <f ca="1">중급</f>
        <v>295138</v>
      </c>
      <c r="U289" s="118">
        <f t="shared" ca="1" si="73"/>
        <v>1180552</v>
      </c>
      <c r="V289" s="118"/>
      <c r="W289" s="118"/>
      <c r="X289" s="118"/>
      <c r="Y289" s="118"/>
      <c r="Z289" s="115"/>
    </row>
    <row r="290" spans="11:26" ht="18" customHeight="1">
      <c r="K290" s="171" t="s">
        <v>14</v>
      </c>
      <c r="L290" s="171"/>
      <c r="M290" s="171"/>
      <c r="N290" s="145" t="s">
        <v>41</v>
      </c>
      <c r="O290" s="173">
        <v>7</v>
      </c>
      <c r="P290" s="234">
        <f ca="1">OFFSET($A$1,MATCH(Z285,$A:$A,0)-1,O290)</f>
        <v>4</v>
      </c>
      <c r="Q290" s="144" t="s">
        <v>29</v>
      </c>
      <c r="R290" s="118">
        <f t="shared" ca="1" si="71"/>
        <v>235459</v>
      </c>
      <c r="S290" s="118">
        <f t="shared" ca="1" si="72"/>
        <v>941836</v>
      </c>
      <c r="T290" s="118">
        <f ca="1">초급</f>
        <v>235459</v>
      </c>
      <c r="U290" s="118">
        <f t="shared" ca="1" si="73"/>
        <v>941836</v>
      </c>
      <c r="V290" s="118"/>
      <c r="W290" s="118"/>
      <c r="X290" s="118"/>
      <c r="Y290" s="118"/>
      <c r="Z290" s="115"/>
    </row>
    <row r="291" spans="11:26" ht="18" customHeight="1">
      <c r="K291" s="171" t="s">
        <v>14</v>
      </c>
      <c r="L291" s="171"/>
      <c r="M291" s="171"/>
      <c r="N291" s="319" t="s">
        <v>42</v>
      </c>
      <c r="O291" s="174">
        <v>8</v>
      </c>
      <c r="P291" s="235">
        <f ca="1">OFFSET($A$1,MATCH(Z285,$A:$A,0)-1,O291)</f>
        <v>4</v>
      </c>
      <c r="Q291" s="322" t="s">
        <v>29</v>
      </c>
      <c r="R291" s="323">
        <f t="shared" ca="1" si="71"/>
        <v>250087</v>
      </c>
      <c r="S291" s="323">
        <f t="shared" ca="1" si="72"/>
        <v>1000348</v>
      </c>
      <c r="T291" s="323">
        <f ca="1">보조원</f>
        <v>250087</v>
      </c>
      <c r="U291" s="323">
        <f t="shared" ca="1" si="73"/>
        <v>1000348</v>
      </c>
      <c r="V291" s="323"/>
      <c r="W291" s="323"/>
      <c r="X291" s="323"/>
      <c r="Y291" s="323"/>
      <c r="Z291" s="324"/>
    </row>
    <row r="292" spans="11:26" ht="18" customHeight="1">
      <c r="K292" s="171" t="s">
        <v>14</v>
      </c>
      <c r="L292" s="171"/>
      <c r="M292" s="171"/>
      <c r="N292" s="139" t="s">
        <v>17</v>
      </c>
      <c r="O292" s="68"/>
      <c r="P292" s="69"/>
      <c r="Q292" s="70"/>
      <c r="R292" s="71"/>
      <c r="S292" s="71">
        <f ca="1">SUBTOTAL(9,S286:S291)</f>
        <v>5425644</v>
      </c>
      <c r="T292" s="71"/>
      <c r="U292" s="71">
        <f ca="1">SUBTOTAL(9,U286:U291)</f>
        <v>5425644</v>
      </c>
      <c r="V292" s="71"/>
      <c r="W292" s="71"/>
      <c r="X292" s="71"/>
      <c r="Y292" s="71"/>
      <c r="Z292" s="68"/>
    </row>
    <row r="293" spans="11:26" ht="18" customHeight="1">
      <c r="K293" s="171" t="s">
        <v>14</v>
      </c>
      <c r="L293" s="171"/>
      <c r="M293" s="171"/>
      <c r="N293" s="318" t="str">
        <f ca="1">"제 " &amp; Z293 &amp; " 호표  "&amp; OFFSET($A$1,MATCH(Z293,$A:$A,0)-1,1)</f>
        <v>제 29 호표  6.3. 위원회심의 지원</v>
      </c>
      <c r="O293" s="221"/>
      <c r="P293" s="148"/>
      <c r="Q293" s="148"/>
      <c r="R293" s="149"/>
      <c r="S293" s="149"/>
      <c r="T293" s="149"/>
      <c r="U293" s="149"/>
      <c r="V293" s="149"/>
      <c r="W293" s="149"/>
      <c r="X293" s="149"/>
      <c r="Y293" s="149"/>
      <c r="Z293" s="325">
        <f>Z285+1</f>
        <v>29</v>
      </c>
    </row>
    <row r="294" spans="11:26" ht="18" customHeight="1">
      <c r="K294" s="171" t="s">
        <v>14</v>
      </c>
      <c r="L294" s="171"/>
      <c r="M294" s="171"/>
      <c r="N294" s="140" t="s">
        <v>43</v>
      </c>
      <c r="O294" s="172">
        <v>3</v>
      </c>
      <c r="P294" s="219">
        <f ca="1">OFFSET($A$1,MATCH(Z293,$A:$A,0)-1,O294)</f>
        <v>2</v>
      </c>
      <c r="Q294" s="141" t="s">
        <v>29</v>
      </c>
      <c r="R294" s="142">
        <f t="shared" ref="R294:R299" ca="1" si="74">T294</f>
        <v>467217</v>
      </c>
      <c r="S294" s="142">
        <f t="shared" ref="S294:S299" ca="1" si="75">U294</f>
        <v>934434</v>
      </c>
      <c r="T294" s="142">
        <f ca="1">기술사</f>
        <v>467217</v>
      </c>
      <c r="U294" s="142">
        <f t="shared" ref="U294:U299" ca="1" si="76">ROUNDDOWN(P294*R294,0)</f>
        <v>934434</v>
      </c>
      <c r="V294" s="142"/>
      <c r="W294" s="142"/>
      <c r="X294" s="142"/>
      <c r="Y294" s="142"/>
      <c r="Z294" s="114"/>
    </row>
    <row r="295" spans="11:26" ht="18" customHeight="1">
      <c r="K295" s="171" t="s">
        <v>14</v>
      </c>
      <c r="L295" s="171"/>
      <c r="M295" s="171"/>
      <c r="N295" s="143" t="s">
        <v>32</v>
      </c>
      <c r="O295" s="173">
        <v>4</v>
      </c>
      <c r="P295" s="234">
        <f ca="1">OFFSET($A$1,MATCH(Z293,$A:$A,0)-1,O295)</f>
        <v>2</v>
      </c>
      <c r="Q295" s="144" t="s">
        <v>29</v>
      </c>
      <c r="R295" s="118">
        <f t="shared" ca="1" si="74"/>
        <v>373353</v>
      </c>
      <c r="S295" s="118">
        <f t="shared" ca="1" si="75"/>
        <v>746706</v>
      </c>
      <c r="T295" s="118">
        <f ca="1">특급</f>
        <v>373353</v>
      </c>
      <c r="U295" s="118">
        <f t="shared" ca="1" si="76"/>
        <v>746706</v>
      </c>
      <c r="V295" s="118"/>
      <c r="W295" s="118"/>
      <c r="X295" s="118"/>
      <c r="Y295" s="118"/>
      <c r="Z295" s="115"/>
    </row>
    <row r="296" spans="11:26" ht="18" customHeight="1">
      <c r="K296" s="171" t="s">
        <v>14</v>
      </c>
      <c r="L296" s="171"/>
      <c r="M296" s="171"/>
      <c r="N296" s="145" t="s">
        <v>39</v>
      </c>
      <c r="O296" s="173">
        <v>5</v>
      </c>
      <c r="P296" s="234">
        <f ca="1">OFFSET($A$1,MATCH(Z293,$A:$A,0)-1,O296)</f>
        <v>2</v>
      </c>
      <c r="Q296" s="144" t="s">
        <v>29</v>
      </c>
      <c r="R296" s="118">
        <f t="shared" ca="1" si="74"/>
        <v>310884</v>
      </c>
      <c r="S296" s="118">
        <f t="shared" ca="1" si="75"/>
        <v>621768</v>
      </c>
      <c r="T296" s="118">
        <f ca="1">고급</f>
        <v>310884</v>
      </c>
      <c r="U296" s="118">
        <f t="shared" ca="1" si="76"/>
        <v>621768</v>
      </c>
      <c r="V296" s="118"/>
      <c r="W296" s="118"/>
      <c r="X296" s="118"/>
      <c r="Y296" s="118"/>
      <c r="Z296" s="115"/>
    </row>
    <row r="297" spans="11:26" ht="18" customHeight="1">
      <c r="K297" s="171" t="s">
        <v>14</v>
      </c>
      <c r="L297" s="171"/>
      <c r="M297" s="171"/>
      <c r="N297" s="145" t="s">
        <v>40</v>
      </c>
      <c r="O297" s="173">
        <v>6</v>
      </c>
      <c r="P297" s="234">
        <f ca="1">OFFSET($A$1,MATCH(Z293,$A:$A,0)-1,O297)</f>
        <v>4</v>
      </c>
      <c r="Q297" s="144" t="s">
        <v>29</v>
      </c>
      <c r="R297" s="118">
        <f t="shared" ca="1" si="74"/>
        <v>295138</v>
      </c>
      <c r="S297" s="118">
        <f t="shared" ca="1" si="75"/>
        <v>1180552</v>
      </c>
      <c r="T297" s="118">
        <f ca="1">중급</f>
        <v>295138</v>
      </c>
      <c r="U297" s="118">
        <f t="shared" ca="1" si="76"/>
        <v>1180552</v>
      </c>
      <c r="V297" s="118"/>
      <c r="W297" s="118"/>
      <c r="X297" s="118"/>
      <c r="Y297" s="118"/>
      <c r="Z297" s="115"/>
    </row>
    <row r="298" spans="11:26" ht="18" customHeight="1">
      <c r="K298" s="171" t="s">
        <v>14</v>
      </c>
      <c r="L298" s="171"/>
      <c r="M298" s="171"/>
      <c r="N298" s="145" t="s">
        <v>41</v>
      </c>
      <c r="O298" s="173">
        <v>7</v>
      </c>
      <c r="P298" s="234">
        <f ca="1">OFFSET($A$1,MATCH(Z293,$A:$A,0)-1,O298)</f>
        <v>4</v>
      </c>
      <c r="Q298" s="144" t="s">
        <v>29</v>
      </c>
      <c r="R298" s="118">
        <f t="shared" ca="1" si="74"/>
        <v>235459</v>
      </c>
      <c r="S298" s="118">
        <f t="shared" ca="1" si="75"/>
        <v>941836</v>
      </c>
      <c r="T298" s="118">
        <f ca="1">초급</f>
        <v>235459</v>
      </c>
      <c r="U298" s="118">
        <f t="shared" ca="1" si="76"/>
        <v>941836</v>
      </c>
      <c r="V298" s="118"/>
      <c r="W298" s="118"/>
      <c r="X298" s="118"/>
      <c r="Y298" s="118"/>
      <c r="Z298" s="115"/>
    </row>
    <row r="299" spans="11:26" ht="18" customHeight="1">
      <c r="K299" s="171" t="s">
        <v>14</v>
      </c>
      <c r="L299" s="171"/>
      <c r="M299" s="171"/>
      <c r="N299" s="319" t="s">
        <v>42</v>
      </c>
      <c r="O299" s="174">
        <v>8</v>
      </c>
      <c r="P299" s="235">
        <f ca="1">OFFSET($A$1,MATCH(Z293,$A:$A,0)-1,O299)</f>
        <v>4</v>
      </c>
      <c r="Q299" s="322" t="s">
        <v>29</v>
      </c>
      <c r="R299" s="323">
        <f t="shared" ca="1" si="74"/>
        <v>250087</v>
      </c>
      <c r="S299" s="323">
        <f t="shared" ca="1" si="75"/>
        <v>1000348</v>
      </c>
      <c r="T299" s="323">
        <f ca="1">보조원</f>
        <v>250087</v>
      </c>
      <c r="U299" s="323">
        <f t="shared" ca="1" si="76"/>
        <v>1000348</v>
      </c>
      <c r="V299" s="323"/>
      <c r="W299" s="323"/>
      <c r="X299" s="323"/>
      <c r="Y299" s="323"/>
      <c r="Z299" s="324"/>
    </row>
    <row r="300" spans="11:26" ht="18" customHeight="1">
      <c r="K300" s="171" t="s">
        <v>14</v>
      </c>
      <c r="L300" s="171"/>
      <c r="M300" s="171"/>
      <c r="N300" s="139" t="s">
        <v>17</v>
      </c>
      <c r="O300" s="68"/>
      <c r="P300" s="69"/>
      <c r="Q300" s="70"/>
      <c r="R300" s="71"/>
      <c r="S300" s="71">
        <f ca="1">SUBTOTAL(9,S294:S299)</f>
        <v>5425644</v>
      </c>
      <c r="T300" s="71"/>
      <c r="U300" s="71">
        <f ca="1">SUBTOTAL(9,U294:U299)</f>
        <v>5425644</v>
      </c>
      <c r="V300" s="71"/>
      <c r="W300" s="71"/>
      <c r="X300" s="71"/>
      <c r="Y300" s="71"/>
      <c r="Z300" s="68"/>
    </row>
    <row r="301" spans="11:26" ht="18" customHeight="1">
      <c r="K301" s="171" t="s">
        <v>14</v>
      </c>
      <c r="L301" s="171"/>
      <c r="M301" s="171"/>
      <c r="N301" s="318" t="str">
        <f ca="1">"제 " &amp; Z301 &amp; " 호표  "&amp; OFFSET($A$1,MATCH(Z301,$A:$A,0)-1,1)</f>
        <v>제 30 호표  6.4. 관계기관 협의</v>
      </c>
      <c r="O301" s="221"/>
      <c r="P301" s="148"/>
      <c r="Q301" s="148"/>
      <c r="R301" s="149"/>
      <c r="S301" s="149"/>
      <c r="T301" s="149"/>
      <c r="U301" s="149"/>
      <c r="V301" s="149"/>
      <c r="W301" s="149"/>
      <c r="X301" s="149"/>
      <c r="Y301" s="149"/>
      <c r="Z301" s="325">
        <f>Z293+1</f>
        <v>30</v>
      </c>
    </row>
    <row r="302" spans="11:26" ht="18" customHeight="1">
      <c r="K302" s="171" t="s">
        <v>14</v>
      </c>
      <c r="L302" s="171"/>
      <c r="M302" s="171"/>
      <c r="N302" s="140" t="s">
        <v>43</v>
      </c>
      <c r="O302" s="172">
        <v>3</v>
      </c>
      <c r="P302" s="219">
        <f ca="1">OFFSET($A$1,MATCH(Z301,$A:$A,0)-1,O302)</f>
        <v>2</v>
      </c>
      <c r="Q302" s="141" t="s">
        <v>29</v>
      </c>
      <c r="R302" s="142">
        <f t="shared" ref="R302:R307" ca="1" si="77">T302</f>
        <v>467217</v>
      </c>
      <c r="S302" s="142">
        <f t="shared" ref="S302:S307" ca="1" si="78">U302</f>
        <v>934434</v>
      </c>
      <c r="T302" s="142">
        <f ca="1">기술사</f>
        <v>467217</v>
      </c>
      <c r="U302" s="142">
        <f t="shared" ref="U302:U307" ca="1" si="79">ROUNDDOWN(P302*R302,0)</f>
        <v>934434</v>
      </c>
      <c r="V302" s="142"/>
      <c r="W302" s="142"/>
      <c r="X302" s="142"/>
      <c r="Y302" s="142"/>
      <c r="Z302" s="114"/>
    </row>
    <row r="303" spans="11:26" ht="18" customHeight="1">
      <c r="K303" s="171" t="s">
        <v>14</v>
      </c>
      <c r="L303" s="171"/>
      <c r="M303" s="171"/>
      <c r="N303" s="143" t="s">
        <v>32</v>
      </c>
      <c r="O303" s="173">
        <v>4</v>
      </c>
      <c r="P303" s="234">
        <f ca="1">OFFSET($A$1,MATCH(Z301,$A:$A,0)-1,O303)</f>
        <v>2</v>
      </c>
      <c r="Q303" s="144" t="s">
        <v>29</v>
      </c>
      <c r="R303" s="118">
        <f t="shared" ca="1" si="77"/>
        <v>373353</v>
      </c>
      <c r="S303" s="118">
        <f t="shared" ca="1" si="78"/>
        <v>746706</v>
      </c>
      <c r="T303" s="118">
        <f ca="1">특급</f>
        <v>373353</v>
      </c>
      <c r="U303" s="118">
        <f t="shared" ca="1" si="79"/>
        <v>746706</v>
      </c>
      <c r="V303" s="118"/>
      <c r="W303" s="118"/>
      <c r="X303" s="118"/>
      <c r="Y303" s="118"/>
      <c r="Z303" s="115"/>
    </row>
    <row r="304" spans="11:26" ht="18" customHeight="1">
      <c r="K304" s="171" t="s">
        <v>14</v>
      </c>
      <c r="L304" s="171"/>
      <c r="M304" s="171"/>
      <c r="N304" s="145" t="s">
        <v>39</v>
      </c>
      <c r="O304" s="173">
        <v>5</v>
      </c>
      <c r="P304" s="234">
        <f ca="1">OFFSET($A$1,MATCH(Z301,$A:$A,0)-1,O304)</f>
        <v>2</v>
      </c>
      <c r="Q304" s="144" t="s">
        <v>29</v>
      </c>
      <c r="R304" s="118">
        <f t="shared" ca="1" si="77"/>
        <v>310884</v>
      </c>
      <c r="S304" s="118">
        <f t="shared" ca="1" si="78"/>
        <v>621768</v>
      </c>
      <c r="T304" s="118">
        <f ca="1">고급</f>
        <v>310884</v>
      </c>
      <c r="U304" s="118">
        <f t="shared" ca="1" si="79"/>
        <v>621768</v>
      </c>
      <c r="V304" s="118"/>
      <c r="W304" s="118"/>
      <c r="X304" s="118"/>
      <c r="Y304" s="118"/>
      <c r="Z304" s="115"/>
    </row>
    <row r="305" spans="11:26" ht="18" customHeight="1">
      <c r="K305" s="171" t="s">
        <v>14</v>
      </c>
      <c r="L305" s="171"/>
      <c r="M305" s="171"/>
      <c r="N305" s="145" t="s">
        <v>40</v>
      </c>
      <c r="O305" s="173">
        <v>6</v>
      </c>
      <c r="P305" s="234">
        <f ca="1">OFFSET($A$1,MATCH(Z301,$A:$A,0)-1,O305)</f>
        <v>4</v>
      </c>
      <c r="Q305" s="144" t="s">
        <v>29</v>
      </c>
      <c r="R305" s="118">
        <f t="shared" ca="1" si="77"/>
        <v>295138</v>
      </c>
      <c r="S305" s="118">
        <f t="shared" ca="1" si="78"/>
        <v>1180552</v>
      </c>
      <c r="T305" s="118">
        <f ca="1">중급</f>
        <v>295138</v>
      </c>
      <c r="U305" s="118">
        <f t="shared" ca="1" si="79"/>
        <v>1180552</v>
      </c>
      <c r="V305" s="118"/>
      <c r="W305" s="118"/>
      <c r="X305" s="118"/>
      <c r="Y305" s="118"/>
      <c r="Z305" s="115"/>
    </row>
    <row r="306" spans="11:26" ht="18" customHeight="1">
      <c r="K306" s="171" t="s">
        <v>14</v>
      </c>
      <c r="L306" s="171"/>
      <c r="M306" s="171"/>
      <c r="N306" s="145" t="s">
        <v>41</v>
      </c>
      <c r="O306" s="173">
        <v>7</v>
      </c>
      <c r="P306" s="234">
        <f ca="1">OFFSET($A$1,MATCH(Z301,$A:$A,0)-1,O306)</f>
        <v>4</v>
      </c>
      <c r="Q306" s="144" t="s">
        <v>29</v>
      </c>
      <c r="R306" s="118">
        <f t="shared" ca="1" si="77"/>
        <v>235459</v>
      </c>
      <c r="S306" s="118">
        <f t="shared" ca="1" si="78"/>
        <v>941836</v>
      </c>
      <c r="T306" s="118">
        <f ca="1">초급</f>
        <v>235459</v>
      </c>
      <c r="U306" s="118">
        <f t="shared" ca="1" si="79"/>
        <v>941836</v>
      </c>
      <c r="V306" s="118"/>
      <c r="W306" s="118"/>
      <c r="X306" s="118"/>
      <c r="Y306" s="118"/>
      <c r="Z306" s="115"/>
    </row>
    <row r="307" spans="11:26" ht="18" customHeight="1">
      <c r="K307" s="171" t="s">
        <v>14</v>
      </c>
      <c r="L307" s="171"/>
      <c r="M307" s="171"/>
      <c r="N307" s="319" t="s">
        <v>42</v>
      </c>
      <c r="O307" s="174">
        <v>8</v>
      </c>
      <c r="P307" s="235">
        <f ca="1">OFFSET($A$1,MATCH(Z301,$A:$A,0)-1,O307)</f>
        <v>4</v>
      </c>
      <c r="Q307" s="322" t="s">
        <v>29</v>
      </c>
      <c r="R307" s="323">
        <f t="shared" ca="1" si="77"/>
        <v>250087</v>
      </c>
      <c r="S307" s="323">
        <f t="shared" ca="1" si="78"/>
        <v>1000348</v>
      </c>
      <c r="T307" s="323">
        <f ca="1">보조원</f>
        <v>250087</v>
      </c>
      <c r="U307" s="323">
        <f t="shared" ca="1" si="79"/>
        <v>1000348</v>
      </c>
      <c r="V307" s="323"/>
      <c r="W307" s="323"/>
      <c r="X307" s="323"/>
      <c r="Y307" s="323"/>
      <c r="Z307" s="324"/>
    </row>
    <row r="308" spans="11:26" ht="18" customHeight="1">
      <c r="K308" s="171" t="s">
        <v>14</v>
      </c>
      <c r="L308" s="171"/>
      <c r="M308" s="171"/>
      <c r="N308" s="139" t="s">
        <v>17</v>
      </c>
      <c r="O308" s="68"/>
      <c r="P308" s="69"/>
      <c r="Q308" s="70"/>
      <c r="R308" s="71"/>
      <c r="S308" s="71">
        <f ca="1">SUBTOTAL(9,S302:S307)</f>
        <v>5425644</v>
      </c>
      <c r="T308" s="71"/>
      <c r="U308" s="71">
        <f ca="1">SUBTOTAL(9,U302:U307)</f>
        <v>5425644</v>
      </c>
      <c r="V308" s="71"/>
      <c r="W308" s="71"/>
      <c r="X308" s="71"/>
      <c r="Y308" s="71"/>
      <c r="Z308" s="68"/>
    </row>
    <row r="309" spans="11:26" ht="18" customHeight="1">
      <c r="K309" s="171" t="s">
        <v>14</v>
      </c>
      <c r="L309" s="171"/>
      <c r="M309" s="171"/>
    </row>
    <row r="310" spans="11:26" ht="18" customHeight="1">
      <c r="K310" s="171" t="s">
        <v>14</v>
      </c>
      <c r="L310" s="171"/>
      <c r="M310" s="171"/>
    </row>
    <row r="311" spans="11:26" ht="18" customHeight="1">
      <c r="K311" s="171" t="s">
        <v>14</v>
      </c>
      <c r="L311" s="171"/>
      <c r="M311" s="171"/>
    </row>
    <row r="312" spans="11:26" ht="18" customHeight="1">
      <c r="K312" s="171" t="s">
        <v>14</v>
      </c>
      <c r="L312" s="171"/>
      <c r="M312" s="171"/>
    </row>
    <row r="313" spans="11:26" ht="18" customHeight="1">
      <c r="K313" s="171" t="s">
        <v>14</v>
      </c>
      <c r="L313" s="171"/>
      <c r="M313" s="171"/>
    </row>
    <row r="314" spans="11:26" ht="18" customHeight="1">
      <c r="K314" s="171" t="s">
        <v>14</v>
      </c>
      <c r="L314" s="171"/>
      <c r="M314" s="171"/>
    </row>
    <row r="315" spans="11:26" ht="18" customHeight="1">
      <c r="K315" s="171" t="s">
        <v>14</v>
      </c>
      <c r="L315" s="171"/>
      <c r="M315" s="171"/>
    </row>
    <row r="316" spans="11:26" ht="18" customHeight="1">
      <c r="K316" s="171" t="s">
        <v>14</v>
      </c>
      <c r="L316" s="171"/>
      <c r="M316" s="171"/>
    </row>
    <row r="317" spans="11:26" ht="18" customHeight="1">
      <c r="K317" s="171" t="s">
        <v>14</v>
      </c>
      <c r="L317" s="171"/>
      <c r="M317" s="171"/>
    </row>
    <row r="318" spans="11:26" ht="18" customHeight="1">
      <c r="K318" s="171" t="s">
        <v>14</v>
      </c>
      <c r="L318" s="171"/>
      <c r="M318" s="171"/>
    </row>
    <row r="319" spans="11:26" ht="18" customHeight="1">
      <c r="K319" s="171" t="s">
        <v>14</v>
      </c>
      <c r="L319" s="171"/>
      <c r="M319" s="171"/>
    </row>
    <row r="320" spans="11:26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  <c r="M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K839" s="171" t="s">
        <v>14</v>
      </c>
      <c r="L839" s="171"/>
    </row>
    <row r="840" spans="11:12" ht="18" customHeight="1">
      <c r="K840" s="171" t="s">
        <v>14</v>
      </c>
      <c r="L840" s="171"/>
    </row>
    <row r="841" spans="11:12" ht="18" customHeight="1">
      <c r="L841" s="171"/>
    </row>
    <row r="842" spans="11:12" ht="18" customHeight="1">
      <c r="L842" s="171"/>
    </row>
    <row r="843" spans="11:12" ht="18" customHeight="1">
      <c r="L843" s="171"/>
    </row>
  </sheetData>
  <mergeCells count="14">
    <mergeCell ref="B3:C3"/>
    <mergeCell ref="B4:C4"/>
    <mergeCell ref="B5:C5"/>
    <mergeCell ref="Z67:Z68"/>
    <mergeCell ref="B12:C13"/>
    <mergeCell ref="J12:J13"/>
    <mergeCell ref="L12:L13"/>
    <mergeCell ref="N67:N68"/>
    <mergeCell ref="O67:O68"/>
    <mergeCell ref="G3:H3"/>
    <mergeCell ref="G4:H4"/>
    <mergeCell ref="G5:H5"/>
    <mergeCell ref="P67:P68"/>
    <mergeCell ref="Q67:Q68"/>
  </mergeCells>
  <phoneticPr fontId="14" type="noConversion"/>
  <conditionalFormatting sqref="V14:V50">
    <cfRule type="cellIs" dxfId="4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75">
    <tabColor rgb="FF00B0F0"/>
    <pageSetUpPr fitToPage="1"/>
  </sheetPr>
  <dimension ref="A1:Z835"/>
  <sheetViews>
    <sheetView showGridLines="0" zoomScale="85" zoomScaleNormal="85" zoomScaleSheetLayoutView="75" workbookViewId="0">
      <selection activeCell="A3" sqref="A3:J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856</v>
      </c>
    </row>
    <row r="2" spans="1:26" ht="19.5" thickBot="1">
      <c r="B2" s="66" t="s">
        <v>1</v>
      </c>
    </row>
    <row r="3" spans="1:26" ht="19.5" customHeight="1">
      <c r="A3" s="327"/>
      <c r="B3" s="773" t="s">
        <v>48</v>
      </c>
      <c r="C3" s="774"/>
      <c r="D3" s="716"/>
      <c r="E3" s="717">
        <v>5</v>
      </c>
      <c r="F3" s="44" t="s">
        <v>393</v>
      </c>
      <c r="G3" s="838" t="s">
        <v>1104</v>
      </c>
      <c r="H3" s="839"/>
      <c r="I3" s="656">
        <v>2</v>
      </c>
      <c r="J3" s="669" t="s">
        <v>794</v>
      </c>
      <c r="K3" s="6"/>
      <c r="L3" s="6"/>
      <c r="M3" s="6"/>
      <c r="N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A4" s="327"/>
      <c r="B4" s="777" t="s">
        <v>1329</v>
      </c>
      <c r="C4" s="778"/>
      <c r="D4" s="718"/>
      <c r="E4" s="719">
        <v>10</v>
      </c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M4" s="6"/>
      <c r="N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A5" s="327"/>
      <c r="B5" s="781" t="s">
        <v>2020</v>
      </c>
      <c r="C5" s="782"/>
      <c r="D5" s="720"/>
      <c r="E5" s="721">
        <f>ROUND((IF(E4&lt;=5,3,E4)/E3)^0.7,3)</f>
        <v>1.625</v>
      </c>
      <c r="F5" s="681"/>
      <c r="G5" s="817" t="s">
        <v>1102</v>
      </c>
      <c r="H5" s="818"/>
      <c r="I5" s="646">
        <f>ROUND(I4/I3,3)</f>
        <v>1</v>
      </c>
      <c r="J5" s="671"/>
      <c r="K5" s="6"/>
      <c r="L5" s="6"/>
      <c r="M5" s="6"/>
      <c r="N5" s="6"/>
      <c r="R5" s="1"/>
      <c r="S5" s="1"/>
      <c r="T5" s="1"/>
      <c r="U5" s="1"/>
      <c r="V5" s="1"/>
      <c r="W5" s="1"/>
      <c r="X5" s="1"/>
      <c r="Y5" s="1"/>
    </row>
    <row r="6" spans="1:26" ht="23.25" customHeight="1">
      <c r="A6" s="327"/>
      <c r="B6" s="9" t="s">
        <v>2021</v>
      </c>
      <c r="C6" s="9"/>
      <c r="D6" s="64"/>
      <c r="E6" s="64"/>
      <c r="G6" s="9" t="s">
        <v>1107</v>
      </c>
      <c r="J6" s="36"/>
      <c r="K6" s="6"/>
      <c r="L6" s="6"/>
      <c r="M6" s="6"/>
      <c r="N6" s="6"/>
      <c r="R6" s="1"/>
      <c r="S6" s="1"/>
      <c r="T6" s="1"/>
      <c r="U6" s="1"/>
      <c r="V6" s="1"/>
      <c r="W6" s="1"/>
      <c r="X6" s="1"/>
      <c r="Y6" s="1"/>
    </row>
    <row r="7" spans="1:26" ht="23.25" customHeight="1">
      <c r="F7" s="6"/>
      <c r="G7" s="6"/>
      <c r="H7" s="6"/>
      <c r="I7" s="6"/>
      <c r="J7" s="6"/>
      <c r="K7" s="6"/>
      <c r="L7" s="6"/>
      <c r="M7" s="6"/>
      <c r="R7" s="1"/>
      <c r="S7" s="1"/>
      <c r="T7" s="1"/>
      <c r="U7" s="1"/>
      <c r="V7" s="1"/>
      <c r="W7" s="1"/>
      <c r="X7" s="1"/>
      <c r="Y7" s="1"/>
    </row>
    <row r="8" spans="1:26" ht="18" customHeight="1">
      <c r="B8" s="9"/>
      <c r="C8" s="9"/>
      <c r="D8" s="64"/>
      <c r="E8" s="64"/>
      <c r="R8" s="1"/>
      <c r="S8" s="1"/>
      <c r="T8" s="1"/>
    </row>
    <row r="9" spans="1:26" ht="18" customHeight="1">
      <c r="G9" s="36"/>
      <c r="W9" s="188" t="s">
        <v>3</v>
      </c>
      <c r="X9" s="189"/>
    </row>
    <row r="10" spans="1:26" ht="18" customHeight="1" thickBot="1">
      <c r="B10" s="66" t="s">
        <v>4</v>
      </c>
      <c r="C10" s="9"/>
      <c r="D10" s="64"/>
      <c r="E10" s="64"/>
      <c r="G10" s="36"/>
      <c r="N10" s="66" t="s">
        <v>5</v>
      </c>
    </row>
    <row r="11" spans="1:26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121"/>
      <c r="V11" s="121"/>
      <c r="W11" s="186">
        <f ca="1">SUBTOTAL(9,W12:W49)</f>
        <v>901193627</v>
      </c>
      <c r="X11" s="187"/>
      <c r="Y11" s="177"/>
      <c r="Z11" s="167"/>
    </row>
    <row r="12" spans="1:26" ht="18" customHeight="1">
      <c r="A12" s="278"/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N12" s="127" t="s">
        <v>8</v>
      </c>
      <c r="O12" s="122"/>
      <c r="P12" s="122"/>
      <c r="Q12" s="123"/>
      <c r="R12" s="123"/>
      <c r="S12" s="123"/>
      <c r="T12" s="123"/>
      <c r="U12" s="184"/>
      <c r="V12" s="184"/>
      <c r="W12" s="163">
        <f ca="1">SUBTOTAL(9,W13:W46)</f>
        <v>327568382</v>
      </c>
      <c r="X12" s="164"/>
      <c r="Y12" s="178" t="s">
        <v>9</v>
      </c>
      <c r="Z12" s="179"/>
    </row>
    <row r="13" spans="1:26" ht="18" customHeight="1" thickBot="1">
      <c r="A13" s="278"/>
      <c r="B13" s="820"/>
      <c r="C13" s="821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218"/>
      <c r="V13" s="218"/>
      <c r="W13" s="255">
        <f ca="1">SUBTOTAL(9,W14:W41)</f>
        <v>319568382</v>
      </c>
      <c r="X13" s="256"/>
      <c r="Y13" s="220"/>
      <c r="Z13" s="220"/>
    </row>
    <row r="14" spans="1:26" ht="18" customHeight="1">
      <c r="A14" s="279"/>
      <c r="B14" s="222" t="s">
        <v>518</v>
      </c>
      <c r="C14" s="47"/>
      <c r="D14" s="48">
        <f t="shared" ref="D14:I14" si="0">SUBTOTAL(9,D15:D21)</f>
        <v>4.5</v>
      </c>
      <c r="E14" s="49">
        <f t="shared" si="0"/>
        <v>8.8000000000000007</v>
      </c>
      <c r="F14" s="49">
        <f t="shared" si="0"/>
        <v>21.599999999999998</v>
      </c>
      <c r="G14" s="49">
        <f t="shared" si="0"/>
        <v>58.199999999999996</v>
      </c>
      <c r="H14" s="49">
        <f t="shared" si="0"/>
        <v>75.5</v>
      </c>
      <c r="I14" s="50">
        <f t="shared" si="0"/>
        <v>90</v>
      </c>
      <c r="J14" s="389"/>
      <c r="L14" s="232"/>
      <c r="N14" s="354" t="str">
        <f>B14</f>
        <v>1. 현황조사</v>
      </c>
      <c r="O14" s="169"/>
      <c r="P14" s="169"/>
      <c r="Q14" s="169"/>
      <c r="R14" s="169"/>
      <c r="S14" s="169"/>
      <c r="T14" s="169"/>
      <c r="U14" s="226"/>
      <c r="V14" s="248"/>
      <c r="W14" s="193">
        <f ca="1">SUBTOTAL(9,W15:W21)</f>
        <v>113040524</v>
      </c>
      <c r="X14" s="194"/>
      <c r="Y14" s="170" t="str">
        <f>IF(A43&gt;0, "제 " &amp;A43&amp; " 호표","")</f>
        <v/>
      </c>
      <c r="Z14" s="170"/>
    </row>
    <row r="15" spans="1:26" ht="18" customHeight="1">
      <c r="A15" s="279"/>
      <c r="B15" s="223" t="s">
        <v>1995</v>
      </c>
      <c r="C15" s="23"/>
      <c r="D15" s="197">
        <v>0.5</v>
      </c>
      <c r="E15" s="198">
        <v>1</v>
      </c>
      <c r="F15" s="198">
        <v>2.5</v>
      </c>
      <c r="G15" s="198">
        <v>6.3</v>
      </c>
      <c r="H15" s="198">
        <v>10.3</v>
      </c>
      <c r="I15" s="199">
        <v>10.199999999999999</v>
      </c>
      <c r="J15" s="389" t="s">
        <v>2073</v>
      </c>
      <c r="L15" s="233">
        <v>1</v>
      </c>
      <c r="N15" s="292" t="str">
        <f t="shared" ref="N15:N41" si="1">B15</f>
        <v>1.1. 주민·산업의 현황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SUM((ROUNDDOWN((D44:I44)*단가,0)))</f>
        <v>13356284</v>
      </c>
      <c r="X15" s="154"/>
      <c r="Y15" s="170" t="str">
        <f>IF(A44&gt;0, "제 " &amp;A44&amp; " 호표","")</f>
        <v>제 1 호표</v>
      </c>
      <c r="Z15" s="150"/>
    </row>
    <row r="16" spans="1:26" ht="18" customHeight="1">
      <c r="A16" s="279"/>
      <c r="B16" s="223" t="s">
        <v>2052</v>
      </c>
      <c r="C16" s="23"/>
      <c r="D16" s="197">
        <v>2</v>
      </c>
      <c r="E16" s="198">
        <v>4</v>
      </c>
      <c r="F16" s="198">
        <v>8.9</v>
      </c>
      <c r="G16" s="198">
        <v>24.2</v>
      </c>
      <c r="H16" s="198">
        <v>27.7</v>
      </c>
      <c r="I16" s="199">
        <v>33</v>
      </c>
      <c r="J16" s="389" t="s">
        <v>1090</v>
      </c>
      <c r="L16" s="233">
        <v>1</v>
      </c>
      <c r="N16" s="292" t="str">
        <f t="shared" si="1"/>
        <v>1.2. 토지·건축물의 이용·소유현황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SUM((ROUNDDOWN((D45:I45)*단가,0)))</f>
        <v>44056949</v>
      </c>
      <c r="X16" s="154"/>
      <c r="Y16" s="170" t="str">
        <f t="shared" ref="Y16:Y41" si="2">IF(A45&gt;0, "제 " &amp;A45&amp; " 호표","")</f>
        <v>제 2 호표</v>
      </c>
      <c r="Z16" s="150"/>
    </row>
    <row r="17" spans="1:26" ht="18" customHeight="1">
      <c r="A17" s="279"/>
      <c r="B17" s="223" t="s">
        <v>2053</v>
      </c>
      <c r="C17" s="23"/>
      <c r="D17" s="197">
        <v>0.5</v>
      </c>
      <c r="E17" s="198">
        <v>1</v>
      </c>
      <c r="F17" s="198">
        <v>1.3</v>
      </c>
      <c r="G17" s="198">
        <v>4</v>
      </c>
      <c r="H17" s="198">
        <v>5.2</v>
      </c>
      <c r="I17" s="199">
        <v>9</v>
      </c>
      <c r="J17" s="389" t="s">
        <v>1090</v>
      </c>
      <c r="L17" s="233">
        <v>1</v>
      </c>
      <c r="N17" s="292" t="str">
        <f t="shared" si="1"/>
        <v>1.3. 정비기반시설의 설치현황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SUM((ROUNDDOWN((D46:I46)*단가,0)))</f>
        <v>9208212</v>
      </c>
      <c r="X17" s="154"/>
      <c r="Y17" s="170" t="str">
        <f t="shared" si="2"/>
        <v>제 3 호표</v>
      </c>
      <c r="Z17" s="150"/>
    </row>
    <row r="18" spans="1:26" ht="18" customHeight="1">
      <c r="A18" s="279"/>
      <c r="B18" s="223" t="s">
        <v>2054</v>
      </c>
      <c r="C18" s="23"/>
      <c r="D18" s="197">
        <v>0.5</v>
      </c>
      <c r="E18" s="198">
        <v>1</v>
      </c>
      <c r="F18" s="198">
        <v>2.6</v>
      </c>
      <c r="G18" s="198">
        <v>7.5</v>
      </c>
      <c r="H18" s="198">
        <v>10</v>
      </c>
      <c r="I18" s="199">
        <v>12.8</v>
      </c>
      <c r="J18" s="389" t="s">
        <v>1090</v>
      </c>
      <c r="L18" s="233">
        <v>1</v>
      </c>
      <c r="N18" s="292" t="str">
        <f t="shared" si="1"/>
        <v>1.4. 정비구역·주변지역의 교통상홍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SUM((ROUNDDOWN((D47:I47)*단가,0)))</f>
        <v>14924425</v>
      </c>
      <c r="X18" s="154"/>
      <c r="Y18" s="170" t="str">
        <f t="shared" si="2"/>
        <v>제 4 호표</v>
      </c>
      <c r="Z18" s="150"/>
    </row>
    <row r="19" spans="1:26" ht="18" customHeight="1">
      <c r="A19" s="279"/>
      <c r="B19" s="223" t="s">
        <v>2055</v>
      </c>
      <c r="C19" s="23"/>
      <c r="D19" s="197">
        <v>0.5</v>
      </c>
      <c r="E19" s="198">
        <v>1</v>
      </c>
      <c r="F19" s="198">
        <v>2.5</v>
      </c>
      <c r="G19" s="198">
        <v>6.3</v>
      </c>
      <c r="H19" s="198">
        <v>10.3</v>
      </c>
      <c r="I19" s="199">
        <v>10.199999999999999</v>
      </c>
      <c r="J19" s="389" t="s">
        <v>1090</v>
      </c>
      <c r="L19" s="233">
        <v>1</v>
      </c>
      <c r="N19" s="292" t="str">
        <f t="shared" si="1"/>
        <v>1.5. 토지·건축물의 가격·임대차 현황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SUM((ROUNDDOWN((D48:I48)*단가,0)))</f>
        <v>13356284</v>
      </c>
      <c r="X19" s="154"/>
      <c r="Y19" s="170" t="str">
        <f t="shared" si="2"/>
        <v>제 5 호표</v>
      </c>
      <c r="Z19" s="150"/>
    </row>
    <row r="20" spans="1:26" ht="18" customHeight="1">
      <c r="A20" s="279"/>
      <c r="B20" s="223" t="s">
        <v>2056</v>
      </c>
      <c r="C20" s="23"/>
      <c r="D20" s="197">
        <v>0.5</v>
      </c>
      <c r="E20" s="198">
        <v>0.8</v>
      </c>
      <c r="F20" s="198">
        <v>1.4</v>
      </c>
      <c r="G20" s="198">
        <v>2</v>
      </c>
      <c r="H20" s="198">
        <v>2</v>
      </c>
      <c r="I20" s="199">
        <v>2</v>
      </c>
      <c r="J20" s="389" t="s">
        <v>1090</v>
      </c>
      <c r="L20" s="233">
        <v>1</v>
      </c>
      <c r="N20" s="292" t="str">
        <f t="shared" si="1"/>
        <v>1.6. 개략 사업성 분석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SUM((ROUNDDOWN((D49:I49)*단가,0)))</f>
        <v>4109220</v>
      </c>
      <c r="X20" s="154"/>
      <c r="Y20" s="170" t="str">
        <f t="shared" si="2"/>
        <v>제 6 호표</v>
      </c>
      <c r="Z20" s="150"/>
    </row>
    <row r="21" spans="1:26" ht="18" customHeight="1">
      <c r="A21" s="279"/>
      <c r="B21" s="223" t="s">
        <v>2057</v>
      </c>
      <c r="C21" s="23"/>
      <c r="D21" s="197">
        <v>0</v>
      </c>
      <c r="E21" s="198">
        <v>0</v>
      </c>
      <c r="F21" s="198">
        <v>2.4</v>
      </c>
      <c r="G21" s="198">
        <v>7.9</v>
      </c>
      <c r="H21" s="198">
        <v>10</v>
      </c>
      <c r="I21" s="199">
        <v>12.8</v>
      </c>
      <c r="J21" s="389" t="s">
        <v>1090</v>
      </c>
      <c r="L21" s="233">
        <v>1</v>
      </c>
      <c r="N21" s="292" t="str">
        <f t="shared" si="1"/>
        <v>1.7. 정비사업에 대한 주민의 의견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SUM((ROUNDDOWN((D50:I50)*단가,0)))</f>
        <v>14029150</v>
      </c>
      <c r="X21" s="154"/>
      <c r="Y21" s="170" t="str">
        <f t="shared" si="2"/>
        <v>제 7 호표</v>
      </c>
      <c r="Z21" s="150"/>
    </row>
    <row r="22" spans="1:26" ht="18" customHeight="1">
      <c r="A22" s="279"/>
      <c r="B22" s="222" t="s">
        <v>540</v>
      </c>
      <c r="C22" s="47"/>
      <c r="D22" s="48">
        <f t="shared" ref="D22:I22" si="3">SUBTOTAL(9,D23:D25)</f>
        <v>0.60000000000000009</v>
      </c>
      <c r="E22" s="49">
        <f t="shared" si="3"/>
        <v>1.3</v>
      </c>
      <c r="F22" s="49">
        <f t="shared" si="3"/>
        <v>3</v>
      </c>
      <c r="G22" s="49">
        <f t="shared" si="3"/>
        <v>6</v>
      </c>
      <c r="H22" s="49">
        <f t="shared" si="3"/>
        <v>8.6999999999999993</v>
      </c>
      <c r="I22" s="50">
        <f t="shared" si="3"/>
        <v>8.5</v>
      </c>
      <c r="J22" s="389"/>
      <c r="L22" s="232"/>
      <c r="N22" s="354" t="str">
        <f t="shared" si="1"/>
        <v>2. 구역해제에 따른 문제점분석</v>
      </c>
      <c r="O22" s="169"/>
      <c r="P22" s="169"/>
      <c r="Q22" s="169"/>
      <c r="R22" s="169"/>
      <c r="S22" s="169"/>
      <c r="T22" s="169"/>
      <c r="U22" s="226"/>
      <c r="V22" s="248"/>
      <c r="W22" s="193">
        <f ca="1">SUBTOTAL(9,W23:W25)</f>
        <v>12418873</v>
      </c>
      <c r="X22" s="194"/>
      <c r="Y22" s="170" t="str">
        <f t="shared" si="2"/>
        <v/>
      </c>
      <c r="Z22" s="170"/>
    </row>
    <row r="23" spans="1:26" ht="18" customHeight="1">
      <c r="A23" s="279"/>
      <c r="B23" s="223" t="s">
        <v>2058</v>
      </c>
      <c r="C23" s="23"/>
      <c r="D23" s="197">
        <v>0.2</v>
      </c>
      <c r="E23" s="198">
        <v>0.5</v>
      </c>
      <c r="F23" s="198">
        <v>1.1000000000000001</v>
      </c>
      <c r="G23" s="198">
        <v>2.2999999999999998</v>
      </c>
      <c r="H23" s="198">
        <v>3.5</v>
      </c>
      <c r="I23" s="199">
        <v>3.4</v>
      </c>
      <c r="J23" s="389" t="s">
        <v>1090</v>
      </c>
      <c r="L23" s="233">
        <v>1</v>
      </c>
      <c r="N23" s="292" t="str">
        <f t="shared" si="1"/>
        <v>2.1. 토지이용계획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SUM((ROUNDDOWN((D52:I52)*단가,0)))</f>
        <v>4834271</v>
      </c>
      <c r="X23" s="154"/>
      <c r="Y23" s="170" t="str">
        <f t="shared" si="2"/>
        <v>제 8 호표</v>
      </c>
      <c r="Z23" s="150"/>
    </row>
    <row r="24" spans="1:26" ht="18" customHeight="1">
      <c r="A24" s="279"/>
      <c r="B24" s="223" t="s">
        <v>2059</v>
      </c>
      <c r="C24" s="23"/>
      <c r="D24" s="197">
        <v>0.2</v>
      </c>
      <c r="E24" s="198">
        <v>0.5</v>
      </c>
      <c r="F24" s="198">
        <v>1.1000000000000001</v>
      </c>
      <c r="G24" s="198">
        <v>2.2999999999999998</v>
      </c>
      <c r="H24" s="198">
        <v>3.5</v>
      </c>
      <c r="I24" s="199">
        <v>3.4</v>
      </c>
      <c r="J24" s="389" t="s">
        <v>1090</v>
      </c>
      <c r="L24" s="233">
        <v>1</v>
      </c>
      <c r="N24" s="292" t="str">
        <f t="shared" si="1"/>
        <v>2.2. 기반시설 및 공공용지 분담계획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SUM((ROUNDDOWN((D53:I53)*단가,0)))</f>
        <v>4834271</v>
      </c>
      <c r="X24" s="154"/>
      <c r="Y24" s="170" t="str">
        <f t="shared" si="2"/>
        <v>제 9 호표</v>
      </c>
      <c r="Z24" s="150"/>
    </row>
    <row r="25" spans="1:26" ht="18" customHeight="1">
      <c r="A25" s="279"/>
      <c r="B25" s="223" t="s">
        <v>2060</v>
      </c>
      <c r="C25" s="23"/>
      <c r="D25" s="197">
        <v>0.2</v>
      </c>
      <c r="E25" s="198">
        <v>0.3</v>
      </c>
      <c r="F25" s="198">
        <v>0.8</v>
      </c>
      <c r="G25" s="198">
        <v>1.4</v>
      </c>
      <c r="H25" s="198">
        <v>1.7</v>
      </c>
      <c r="I25" s="199">
        <v>1.7</v>
      </c>
      <c r="J25" s="389" t="s">
        <v>1090</v>
      </c>
      <c r="L25" s="233">
        <v>1</v>
      </c>
      <c r="N25" s="292" t="str">
        <f t="shared" si="1"/>
        <v>2.3. 교통처리 계획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SUM((ROUNDDOWN((D54:I54)*단가,0)))</f>
        <v>2750331</v>
      </c>
      <c r="X25" s="154"/>
      <c r="Y25" s="170" t="str">
        <f t="shared" si="2"/>
        <v>제 10 호표</v>
      </c>
      <c r="Z25" s="150"/>
    </row>
    <row r="26" spans="1:26" ht="18" customHeight="1">
      <c r="A26" s="279"/>
      <c r="B26" s="222" t="s">
        <v>541</v>
      </c>
      <c r="C26" s="47"/>
      <c r="D26" s="48">
        <f t="shared" ref="D26:I26" si="4">SUBTOTAL(9,D27:D33)</f>
        <v>5.3</v>
      </c>
      <c r="E26" s="49">
        <f t="shared" si="4"/>
        <v>9.7999999999999989</v>
      </c>
      <c r="F26" s="49">
        <f t="shared" si="4"/>
        <v>28.6</v>
      </c>
      <c r="G26" s="49">
        <f t="shared" si="4"/>
        <v>54.7</v>
      </c>
      <c r="H26" s="49">
        <f t="shared" si="4"/>
        <v>73.199999999999989</v>
      </c>
      <c r="I26" s="50">
        <f t="shared" si="4"/>
        <v>71</v>
      </c>
      <c r="J26" s="389"/>
      <c r="L26" s="232"/>
      <c r="N26" s="354" t="str">
        <f t="shared" si="1"/>
        <v>3. 구역해제에 따른 대책검토</v>
      </c>
      <c r="O26" s="169"/>
      <c r="P26" s="169"/>
      <c r="Q26" s="169"/>
      <c r="R26" s="169"/>
      <c r="S26" s="169"/>
      <c r="T26" s="169"/>
      <c r="U26" s="226"/>
      <c r="V26" s="248"/>
      <c r="W26" s="193">
        <f ca="1">SUBTOTAL(9,W27:W33)</f>
        <v>107510954</v>
      </c>
      <c r="X26" s="194"/>
      <c r="Y26" s="170" t="str">
        <f t="shared" si="2"/>
        <v/>
      </c>
      <c r="Z26" s="170"/>
    </row>
    <row r="27" spans="1:26" ht="18" customHeight="1">
      <c r="A27" s="279"/>
      <c r="B27" s="223" t="s">
        <v>2061</v>
      </c>
      <c r="C27" s="23"/>
      <c r="D27" s="197">
        <v>0.3</v>
      </c>
      <c r="E27" s="198">
        <v>0.5</v>
      </c>
      <c r="F27" s="198">
        <v>1.6</v>
      </c>
      <c r="G27" s="198">
        <v>3</v>
      </c>
      <c r="H27" s="198">
        <v>3.8</v>
      </c>
      <c r="I27" s="199">
        <v>3.6</v>
      </c>
      <c r="J27" s="389" t="s">
        <v>1090</v>
      </c>
      <c r="L27" s="233">
        <v>1</v>
      </c>
      <c r="N27" s="292" t="str">
        <f t="shared" si="1"/>
        <v>3.1. 상위·주변지역 계획과 정합성 유지방안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SUM((ROUNDDOWN((D56:I56)*단가,0)))</f>
        <v>5694758</v>
      </c>
      <c r="X27" s="154"/>
      <c r="Y27" s="170" t="str">
        <f t="shared" si="2"/>
        <v>제 11 호표</v>
      </c>
      <c r="Z27" s="150"/>
    </row>
    <row r="28" spans="1:26" ht="18" customHeight="1">
      <c r="A28" s="279"/>
      <c r="B28" s="223" t="s">
        <v>2062</v>
      </c>
      <c r="C28" s="23"/>
      <c r="D28" s="197">
        <v>2.2999999999999998</v>
      </c>
      <c r="E28" s="198">
        <v>4.5999999999999996</v>
      </c>
      <c r="F28" s="198">
        <v>11.4</v>
      </c>
      <c r="G28" s="198">
        <v>22.9</v>
      </c>
      <c r="H28" s="198">
        <v>34.5</v>
      </c>
      <c r="I28" s="199">
        <v>34.4</v>
      </c>
      <c r="J28" s="389" t="s">
        <v>1090</v>
      </c>
      <c r="L28" s="233">
        <v>1</v>
      </c>
      <c r="N28" s="292" t="str">
        <f t="shared" si="1"/>
        <v>3.2. 정비기반시설의 조정방안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SUM((ROUNDDOWN((D57:I57)*단가,0)))</f>
        <v>48458768</v>
      </c>
      <c r="X28" s="154"/>
      <c r="Y28" s="170" t="str">
        <f t="shared" si="2"/>
        <v>제 12 호표</v>
      </c>
      <c r="Z28" s="150"/>
    </row>
    <row r="29" spans="1:26" ht="18" customHeight="1">
      <c r="A29" s="279"/>
      <c r="B29" s="223" t="s">
        <v>2063</v>
      </c>
      <c r="C29" s="23"/>
      <c r="D29" s="197">
        <v>0.3</v>
      </c>
      <c r="E29" s="198">
        <v>0.6</v>
      </c>
      <c r="F29" s="198">
        <v>2</v>
      </c>
      <c r="G29" s="198">
        <v>3</v>
      </c>
      <c r="H29" s="198">
        <v>3.8</v>
      </c>
      <c r="I29" s="199">
        <v>3.6</v>
      </c>
      <c r="J29" s="389" t="s">
        <v>1090</v>
      </c>
      <c r="L29" s="233">
        <v>1</v>
      </c>
      <c r="N29" s="292" t="str">
        <f t="shared" si="1"/>
        <v>3.3. 기존 건축물의 정비·개량 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SUM((ROUNDDOWN((D58:I58)*단가,0)))</f>
        <v>5957690</v>
      </c>
      <c r="X29" s="154"/>
      <c r="Y29" s="170" t="str">
        <f t="shared" si="2"/>
        <v>제 13 호표</v>
      </c>
      <c r="Z29" s="150"/>
    </row>
    <row r="30" spans="1:26" ht="18" customHeight="1">
      <c r="A30" s="279"/>
      <c r="B30" s="223" t="s">
        <v>2064</v>
      </c>
      <c r="C30" s="23"/>
      <c r="D30" s="197">
        <v>0.3</v>
      </c>
      <c r="E30" s="198">
        <v>0.5</v>
      </c>
      <c r="F30" s="198">
        <v>1.6</v>
      </c>
      <c r="G30" s="198">
        <v>3</v>
      </c>
      <c r="H30" s="198">
        <v>3.8</v>
      </c>
      <c r="I30" s="199">
        <v>3.6</v>
      </c>
      <c r="J30" s="389" t="s">
        <v>1090</v>
      </c>
      <c r="L30" s="233">
        <v>1</v>
      </c>
      <c r="N30" s="292" t="str">
        <f t="shared" si="1"/>
        <v>3.4. 환경보전·재난방지 계획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SUM((ROUNDDOWN((D59:I59)*단가,0)))</f>
        <v>5694758</v>
      </c>
      <c r="X30" s="154"/>
      <c r="Y30" s="170" t="str">
        <f t="shared" si="2"/>
        <v>제 14 호표</v>
      </c>
      <c r="Z30" s="150"/>
    </row>
    <row r="31" spans="1:26" ht="18" customHeight="1">
      <c r="A31" s="279"/>
      <c r="B31" s="223" t="s">
        <v>2065</v>
      </c>
      <c r="C31" s="23"/>
      <c r="D31" s="197">
        <v>0.7</v>
      </c>
      <c r="E31" s="198">
        <v>1.2</v>
      </c>
      <c r="F31" s="198">
        <v>4</v>
      </c>
      <c r="G31" s="198">
        <v>7.6</v>
      </c>
      <c r="H31" s="198">
        <v>9.1</v>
      </c>
      <c r="I31" s="199">
        <v>8.6</v>
      </c>
      <c r="J31" s="389" t="s">
        <v>1090</v>
      </c>
      <c r="L31" s="233">
        <v>1</v>
      </c>
      <c r="N31" s="292" t="str">
        <f t="shared" si="1"/>
        <v>3.5. 대책 반영에 따른 소요비용 비교 검토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SUM((ROUNDDOWN((D60:I60)*단가,0)))</f>
        <v>13901660</v>
      </c>
      <c r="X31" s="154"/>
      <c r="Y31" s="170" t="str">
        <f t="shared" si="2"/>
        <v>제 15 호표</v>
      </c>
      <c r="Z31" s="150"/>
    </row>
    <row r="32" spans="1:26" ht="18" customHeight="1">
      <c r="A32" s="279"/>
      <c r="B32" s="223" t="s">
        <v>2066</v>
      </c>
      <c r="C32" s="23"/>
      <c r="D32" s="197">
        <v>0.7</v>
      </c>
      <c r="E32" s="198">
        <v>1.2</v>
      </c>
      <c r="F32" s="198">
        <v>4</v>
      </c>
      <c r="G32" s="198">
        <v>7.6</v>
      </c>
      <c r="H32" s="198">
        <v>9.1</v>
      </c>
      <c r="I32" s="199">
        <v>8.6</v>
      </c>
      <c r="J32" s="389" t="s">
        <v>1090</v>
      </c>
      <c r="L32" s="233">
        <v>1</v>
      </c>
      <c r="N32" s="292" t="str">
        <f t="shared" si="1"/>
        <v>3.6. 공공 지원 대책 검토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SUM((ROUNDDOWN((D61:I61)*단가,0)))</f>
        <v>13901660</v>
      </c>
      <c r="X32" s="154"/>
      <c r="Y32" s="170" t="str">
        <f t="shared" si="2"/>
        <v>제 16 호표</v>
      </c>
      <c r="Z32" s="150"/>
    </row>
    <row r="33" spans="1:26" ht="18" customHeight="1">
      <c r="A33" s="279"/>
      <c r="B33" s="223" t="s">
        <v>2067</v>
      </c>
      <c r="C33" s="23"/>
      <c r="D33" s="197">
        <v>0.7</v>
      </c>
      <c r="E33" s="198">
        <v>1.2</v>
      </c>
      <c r="F33" s="198">
        <v>4</v>
      </c>
      <c r="G33" s="198">
        <v>7.6</v>
      </c>
      <c r="H33" s="198">
        <v>9.1</v>
      </c>
      <c r="I33" s="199">
        <v>8.6</v>
      </c>
      <c r="J33" s="389" t="s">
        <v>1090</v>
      </c>
      <c r="L33" s="233">
        <v>1</v>
      </c>
      <c r="N33" s="292" t="str">
        <f t="shared" si="1"/>
        <v>3.7. 관계법령에 따른 후속 추진사항 검토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SUM((ROUNDDOWN((D62:I62)*단가,0)))</f>
        <v>13901660</v>
      </c>
      <c r="X33" s="154"/>
      <c r="Y33" s="170" t="str">
        <f t="shared" si="2"/>
        <v>제 17 호표</v>
      </c>
      <c r="Z33" s="150"/>
    </row>
    <row r="34" spans="1:26" ht="18" customHeight="1">
      <c r="A34" s="279"/>
      <c r="B34" s="222" t="s">
        <v>542</v>
      </c>
      <c r="C34" s="47"/>
      <c r="D34" s="48">
        <f t="shared" ref="D34:I34" si="5">SUBTOTAL(9,D35:D36)</f>
        <v>3.7</v>
      </c>
      <c r="E34" s="49">
        <f t="shared" si="5"/>
        <v>7.4</v>
      </c>
      <c r="F34" s="49">
        <f t="shared" si="5"/>
        <v>16.799999999999997</v>
      </c>
      <c r="G34" s="49">
        <f t="shared" si="5"/>
        <v>31</v>
      </c>
      <c r="H34" s="49">
        <f t="shared" si="5"/>
        <v>43.4</v>
      </c>
      <c r="I34" s="50">
        <f t="shared" si="5"/>
        <v>43.4</v>
      </c>
      <c r="J34" s="389"/>
      <c r="L34" s="233"/>
      <c r="N34" s="354" t="str">
        <f t="shared" si="1"/>
        <v>4. 성과품작성</v>
      </c>
      <c r="O34" s="169"/>
      <c r="P34" s="169"/>
      <c r="Q34" s="169"/>
      <c r="R34" s="169"/>
      <c r="S34" s="169"/>
      <c r="T34" s="169"/>
      <c r="U34" s="226"/>
      <c r="V34" s="248"/>
      <c r="W34" s="193">
        <f ca="1">SUBTOTAL(9,W35:W36)</f>
        <v>64895455</v>
      </c>
      <c r="X34" s="257"/>
      <c r="Y34" s="170" t="str">
        <f t="shared" si="2"/>
        <v/>
      </c>
      <c r="Z34" s="169"/>
    </row>
    <row r="35" spans="1:26" ht="18" customHeight="1">
      <c r="A35" s="279"/>
      <c r="B35" s="223" t="s">
        <v>2068</v>
      </c>
      <c r="C35" s="23"/>
      <c r="D35" s="197">
        <v>2.5</v>
      </c>
      <c r="E35" s="198">
        <v>4.9000000000000004</v>
      </c>
      <c r="F35" s="198">
        <v>11.2</v>
      </c>
      <c r="G35" s="198">
        <v>18.600000000000001</v>
      </c>
      <c r="H35" s="198">
        <v>18.7</v>
      </c>
      <c r="I35" s="199">
        <v>12.5</v>
      </c>
      <c r="J35" s="389" t="s">
        <v>1090</v>
      </c>
      <c r="L35" s="233">
        <v>1</v>
      </c>
      <c r="N35" s="292" t="str">
        <f t="shared" si="1"/>
        <v>4.1. 보고서작성 및 편집</v>
      </c>
      <c r="O35" s="37"/>
      <c r="P35" s="37"/>
      <c r="Q35" s="37"/>
      <c r="R35" s="37"/>
      <c r="S35" s="37"/>
      <c r="T35" s="37"/>
      <c r="U35" s="226"/>
      <c r="V35" s="248"/>
      <c r="W35" s="153">
        <f t="array" aca="1" ref="W35" ca="1">SUM((ROUNDDOWN((D64:I64)*단가,0)))</f>
        <v>31683764</v>
      </c>
      <c r="X35" s="113"/>
      <c r="Y35" s="170" t="str">
        <f t="shared" si="2"/>
        <v>제 18 호표</v>
      </c>
      <c r="Z35" s="37"/>
    </row>
    <row r="36" spans="1:26" ht="18" customHeight="1">
      <c r="A36" s="279"/>
      <c r="B36" s="223" t="s">
        <v>2069</v>
      </c>
      <c r="C36" s="43"/>
      <c r="D36" s="206">
        <v>1.2</v>
      </c>
      <c r="E36" s="207">
        <v>2.5</v>
      </c>
      <c r="F36" s="207">
        <v>5.6</v>
      </c>
      <c r="G36" s="207">
        <v>12.4</v>
      </c>
      <c r="H36" s="207">
        <v>24.7</v>
      </c>
      <c r="I36" s="208">
        <v>30.9</v>
      </c>
      <c r="J36" s="390" t="s">
        <v>1090</v>
      </c>
      <c r="L36" s="233">
        <v>1</v>
      </c>
      <c r="N36" s="292" t="str">
        <f t="shared" si="1"/>
        <v>4.2. 관련도서작성</v>
      </c>
      <c r="O36" s="37"/>
      <c r="P36" s="37"/>
      <c r="Q36" s="37"/>
      <c r="R36" s="37"/>
      <c r="S36" s="37"/>
      <c r="T36" s="37"/>
      <c r="U36" s="353"/>
      <c r="V36" s="248"/>
      <c r="W36" s="153">
        <f t="array" aca="1" ref="W36" ca="1">SUM((ROUNDDOWN((D65:I65)*단가,0)))</f>
        <v>33211691</v>
      </c>
      <c r="X36" s="113"/>
      <c r="Y36" s="170" t="str">
        <f t="shared" si="2"/>
        <v>제 19 호표</v>
      </c>
      <c r="Z36" s="37"/>
    </row>
    <row r="37" spans="1:26" ht="18" customHeight="1">
      <c r="A37" s="279"/>
      <c r="B37" s="222" t="s">
        <v>532</v>
      </c>
      <c r="C37" s="47"/>
      <c r="D37" s="48">
        <f t="shared" ref="D37:I37" si="6">SUBTOTAL(9,D38:D41)</f>
        <v>8</v>
      </c>
      <c r="E37" s="49">
        <f t="shared" si="6"/>
        <v>8</v>
      </c>
      <c r="F37" s="49">
        <f t="shared" si="6"/>
        <v>8</v>
      </c>
      <c r="G37" s="49">
        <f t="shared" si="6"/>
        <v>16</v>
      </c>
      <c r="H37" s="49">
        <f t="shared" si="6"/>
        <v>16</v>
      </c>
      <c r="I37" s="50">
        <f t="shared" si="6"/>
        <v>16</v>
      </c>
      <c r="J37" s="389"/>
      <c r="L37" s="232"/>
      <c r="N37" s="354" t="str">
        <f t="shared" si="1"/>
        <v>5. 기술협의</v>
      </c>
      <c r="O37" s="169"/>
      <c r="P37" s="169"/>
      <c r="Q37" s="169"/>
      <c r="R37" s="169"/>
      <c r="S37" s="169"/>
      <c r="T37" s="169"/>
      <c r="U37" s="226"/>
      <c r="V37" s="248"/>
      <c r="W37" s="193">
        <f ca="1">SUBTOTAL(9,W38:W41)</f>
        <v>21702576</v>
      </c>
      <c r="X37" s="194"/>
      <c r="Y37" s="170" t="str">
        <f t="shared" si="2"/>
        <v/>
      </c>
      <c r="Z37" s="170"/>
    </row>
    <row r="38" spans="1:26" ht="18" customHeight="1">
      <c r="A38" s="279"/>
      <c r="B38" s="223" t="s">
        <v>2070</v>
      </c>
      <c r="C38" s="23"/>
      <c r="D38" s="197"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389" t="s">
        <v>2074</v>
      </c>
      <c r="L38" s="233">
        <v>1</v>
      </c>
      <c r="N38" s="292" t="str">
        <f t="shared" si="1"/>
        <v>5.1. 공청회/주민설명회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SUM((ROUNDDOWN((D67:I67)*단가,0)))</f>
        <v>5425644</v>
      </c>
      <c r="X38" s="154"/>
      <c r="Y38" s="170" t="str">
        <f t="shared" si="2"/>
        <v>제 20 호표</v>
      </c>
      <c r="Z38" s="150"/>
    </row>
    <row r="39" spans="1:26" ht="18" customHeight="1">
      <c r="A39" s="279"/>
      <c r="B39" s="223" t="s">
        <v>2071</v>
      </c>
      <c r="C39" s="23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389" t="s">
        <v>1094</v>
      </c>
      <c r="L39" s="233">
        <v>1</v>
      </c>
      <c r="N39" s="292" t="str">
        <f t="shared" si="1"/>
        <v>5.2. 주민간담회/시민계획단</v>
      </c>
      <c r="O39" s="37"/>
      <c r="P39" s="37"/>
      <c r="Q39" s="37"/>
      <c r="R39" s="37"/>
      <c r="S39" s="37"/>
      <c r="T39" s="37"/>
      <c r="U39" s="227"/>
      <c r="V39" s="231"/>
      <c r="W39" s="153">
        <f t="array" aca="1" ref="W39" ca="1">SUM((ROUNDDOWN((D68:I68)*단가,0)))</f>
        <v>5425644</v>
      </c>
      <c r="X39" s="154"/>
      <c r="Y39" s="170" t="str">
        <f t="shared" si="2"/>
        <v>제 21 호표</v>
      </c>
      <c r="Z39" s="150"/>
    </row>
    <row r="40" spans="1:26" ht="18" customHeight="1">
      <c r="A40" s="279"/>
      <c r="B40" s="223" t="s">
        <v>1542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389" t="s">
        <v>1094</v>
      </c>
      <c r="L40" s="233">
        <v>1</v>
      </c>
      <c r="N40" s="292" t="str">
        <f t="shared" si="1"/>
        <v>5.3. 위원회심의 지원</v>
      </c>
      <c r="O40" s="37"/>
      <c r="P40" s="37"/>
      <c r="Q40" s="37"/>
      <c r="R40" s="37"/>
      <c r="S40" s="37"/>
      <c r="T40" s="37"/>
      <c r="U40" s="227"/>
      <c r="V40" s="231"/>
      <c r="W40" s="153">
        <f t="array" aca="1" ref="W40" ca="1">SUM((ROUNDDOWN((D69:I69)*단가,0)))</f>
        <v>5425644</v>
      </c>
      <c r="X40" s="154"/>
      <c r="Y40" s="170" t="str">
        <f t="shared" si="2"/>
        <v>제 22 호표</v>
      </c>
      <c r="Z40" s="150"/>
    </row>
    <row r="41" spans="1:26" ht="18" customHeight="1" thickBot="1">
      <c r="A41" s="279"/>
      <c r="B41" s="223" t="s">
        <v>1543</v>
      </c>
      <c r="C41" s="23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612" t="s">
        <v>1094</v>
      </c>
      <c r="L41" s="233">
        <v>1</v>
      </c>
      <c r="N41" s="292" t="str">
        <f t="shared" si="1"/>
        <v>5.4. 관계기관 협의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SUM((ROUNDDOWN((D70:I70)*단가,0)))</f>
        <v>5425644</v>
      </c>
      <c r="X41" s="154"/>
      <c r="Y41" s="170" t="str">
        <f t="shared" si="2"/>
        <v>제 23 호표</v>
      </c>
      <c r="Z41" s="150"/>
    </row>
    <row r="42" spans="1:26" ht="18" customHeight="1" thickBot="1">
      <c r="A42" s="279"/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8"/>
      <c r="P42" s="371"/>
      <c r="R42" s="357"/>
      <c r="S42" s="1"/>
      <c r="T42" s="1"/>
      <c r="U42" s="258"/>
      <c r="V42" s="372"/>
      <c r="W42" s="373"/>
      <c r="X42" s="374"/>
      <c r="Y42" s="375"/>
    </row>
    <row r="43" spans="1:26" ht="18" customHeight="1">
      <c r="A43" s="279"/>
      <c r="B43" s="222" t="s">
        <v>518</v>
      </c>
      <c r="C43" s="47"/>
      <c r="D43" s="48">
        <f t="shared" ref="D43:I43" si="7">SUBTOTAL(9,D44:D50)</f>
        <v>7.3100000000000014</v>
      </c>
      <c r="E43" s="49">
        <f t="shared" si="7"/>
        <v>14.3</v>
      </c>
      <c r="F43" s="49">
        <f t="shared" si="7"/>
        <v>35.098000000000006</v>
      </c>
      <c r="G43" s="49">
        <f t="shared" si="7"/>
        <v>94.573000000000008</v>
      </c>
      <c r="H43" s="49">
        <f t="shared" si="7"/>
        <v>122.68599999999999</v>
      </c>
      <c r="I43" s="50">
        <f t="shared" si="7"/>
        <v>146.25</v>
      </c>
      <c r="J43" s="74"/>
      <c r="N43" s="290" t="s">
        <v>10</v>
      </c>
      <c r="O43" s="129"/>
      <c r="P43" s="130"/>
      <c r="Q43" s="124"/>
      <c r="R43" s="131"/>
      <c r="S43" s="124"/>
      <c r="T43" s="124"/>
      <c r="U43" s="181"/>
      <c r="V43" s="181"/>
      <c r="W43" s="159">
        <f>SUBTOTAL(9,W44:W46)</f>
        <v>8000000</v>
      </c>
      <c r="X43" s="160"/>
      <c r="Y43" s="124"/>
      <c r="Z43" s="124"/>
    </row>
    <row r="44" spans="1:26" ht="18" customHeight="1">
      <c r="A44" s="278">
        <v>1</v>
      </c>
      <c r="B44" s="223" t="s">
        <v>1995</v>
      </c>
      <c r="C44" s="23"/>
      <c r="D44" s="197">
        <f t="array" ref="D44:I50">ROUNDDOWN(D15:I21*L15:L21*E5,3)</f>
        <v>0.81200000000000006</v>
      </c>
      <c r="E44" s="198">
        <v>1.625</v>
      </c>
      <c r="F44" s="198">
        <v>4.0620000000000003</v>
      </c>
      <c r="G44" s="198">
        <v>10.237</v>
      </c>
      <c r="H44" s="198">
        <v>16.736999999999998</v>
      </c>
      <c r="I44" s="199">
        <v>16.574999999999999</v>
      </c>
      <c r="J44" s="74"/>
      <c r="N44" s="128" t="str">
        <f>"여비("&amp;TEXT(R44,"#인 ×")&amp;TEXT(S44,"#일 ×")&amp;TEXT(T44,"###,###원)")</f>
        <v>여비(3인 ×10일 ×100,000원)</v>
      </c>
      <c r="O44" s="78"/>
      <c r="P44" s="52"/>
      <c r="Q44" s="51"/>
      <c r="R44" s="146">
        <v>3</v>
      </c>
      <c r="S44" s="146">
        <v>10</v>
      </c>
      <c r="T44" s="147">
        <v>100000</v>
      </c>
      <c r="U44" s="182"/>
      <c r="V44" s="182"/>
      <c r="W44" s="161">
        <f>R44*S44*T44</f>
        <v>3000000</v>
      </c>
      <c r="X44" s="162"/>
      <c r="Y44" s="51"/>
      <c r="Z44" s="51"/>
    </row>
    <row r="45" spans="1:26" ht="18" customHeight="1">
      <c r="A45" s="278">
        <v>2</v>
      </c>
      <c r="B45" s="223" t="s">
        <v>2052</v>
      </c>
      <c r="C45" s="23"/>
      <c r="D45" s="197">
        <v>3.25</v>
      </c>
      <c r="E45" s="198">
        <v>6.5</v>
      </c>
      <c r="F45" s="198">
        <v>14.462</v>
      </c>
      <c r="G45" s="198">
        <v>39.325000000000003</v>
      </c>
      <c r="H45" s="198">
        <v>45.012</v>
      </c>
      <c r="I45" s="199">
        <v>53.625</v>
      </c>
      <c r="J45" s="74"/>
      <c r="N45" s="79" t="s">
        <v>46</v>
      </c>
      <c r="O45" s="79"/>
      <c r="P45" s="39"/>
      <c r="Q45" s="37"/>
      <c r="R45" s="117"/>
      <c r="S45" s="37"/>
      <c r="T45" s="37"/>
      <c r="U45" s="180"/>
      <c r="V45" s="180"/>
      <c r="W45" s="157">
        <v>3000000</v>
      </c>
      <c r="X45" s="158"/>
      <c r="Y45" s="37"/>
      <c r="Z45" s="37"/>
    </row>
    <row r="46" spans="1:26" ht="18" customHeight="1">
      <c r="A46" s="278">
        <v>3</v>
      </c>
      <c r="B46" s="223" t="s">
        <v>2053</v>
      </c>
      <c r="C46" s="23"/>
      <c r="D46" s="197">
        <v>0.81200000000000006</v>
      </c>
      <c r="E46" s="198">
        <v>1.625</v>
      </c>
      <c r="F46" s="198">
        <v>2.1120000000000001</v>
      </c>
      <c r="G46" s="198">
        <v>6.5</v>
      </c>
      <c r="H46" s="198">
        <v>8.4499999999999993</v>
      </c>
      <c r="I46" s="199">
        <v>14.625</v>
      </c>
      <c r="J46" s="74"/>
      <c r="N46" s="132" t="s">
        <v>13</v>
      </c>
      <c r="O46" s="132"/>
      <c r="P46" s="38"/>
      <c r="Q46" s="38"/>
      <c r="R46" s="116"/>
      <c r="S46" s="38"/>
      <c r="T46" s="38"/>
      <c r="U46" s="183"/>
      <c r="V46" s="183"/>
      <c r="W46" s="155">
        <v>2000000</v>
      </c>
      <c r="X46" s="156"/>
      <c r="Y46" s="38"/>
      <c r="Z46" s="38"/>
    </row>
    <row r="47" spans="1:26" ht="18" customHeight="1">
      <c r="A47" s="278">
        <v>4</v>
      </c>
      <c r="B47" s="223" t="s">
        <v>2054</v>
      </c>
      <c r="C47" s="23"/>
      <c r="D47" s="197">
        <v>0.81200000000000006</v>
      </c>
      <c r="E47" s="198">
        <v>1.625</v>
      </c>
      <c r="F47" s="198">
        <v>4.2249999999999996</v>
      </c>
      <c r="G47" s="198">
        <v>12.186999999999999</v>
      </c>
      <c r="H47" s="198">
        <v>16.25</v>
      </c>
      <c r="I47" s="199">
        <v>20.8</v>
      </c>
      <c r="J47" s="389"/>
      <c r="N47" s="127" t="s">
        <v>47</v>
      </c>
      <c r="O47" s="123"/>
      <c r="P47" s="123"/>
      <c r="Q47" s="123"/>
      <c r="R47" s="123"/>
      <c r="S47" s="123"/>
      <c r="T47" s="123"/>
      <c r="U47" s="184"/>
      <c r="V47" s="184"/>
      <c r="W47" s="163">
        <f ca="1">SUBTOTAL(9,W48:W49)</f>
        <v>573625245</v>
      </c>
      <c r="X47" s="164"/>
      <c r="Y47" s="123"/>
      <c r="Z47" s="123"/>
    </row>
    <row r="48" spans="1:26" ht="18" customHeight="1">
      <c r="A48" s="278">
        <v>5</v>
      </c>
      <c r="B48" s="223" t="s">
        <v>2055</v>
      </c>
      <c r="C48" s="23"/>
      <c r="D48" s="197">
        <v>0.81200000000000006</v>
      </c>
      <c r="E48" s="198">
        <v>1.625</v>
      </c>
      <c r="F48" s="198">
        <v>4.0620000000000003</v>
      </c>
      <c r="G48" s="198">
        <v>10.237</v>
      </c>
      <c r="H48" s="198">
        <v>16.736999999999998</v>
      </c>
      <c r="I48" s="199">
        <v>16.574999999999999</v>
      </c>
      <c r="J48" s="389"/>
      <c r="N48" s="133" t="s">
        <v>861</v>
      </c>
      <c r="O48" s="124"/>
      <c r="P48" s="134"/>
      <c r="Q48" s="124"/>
      <c r="R48" s="131"/>
      <c r="S48" s="124"/>
      <c r="T48" s="181"/>
      <c r="U48" s="181"/>
      <c r="V48" s="190">
        <v>1.1499999999999999</v>
      </c>
      <c r="W48" s="159">
        <f ca="1">ROUNDDOWN(W13*V48,0)</f>
        <v>367503639</v>
      </c>
      <c r="X48" s="160"/>
      <c r="Y48" s="124"/>
      <c r="Z48" s="124"/>
    </row>
    <row r="49" spans="1:26" ht="18" customHeight="1" thickBot="1">
      <c r="A49" s="278">
        <v>6</v>
      </c>
      <c r="B49" s="223" t="s">
        <v>2056</v>
      </c>
      <c r="C49" s="23"/>
      <c r="D49" s="197">
        <v>0.81200000000000006</v>
      </c>
      <c r="E49" s="198">
        <v>1.3</v>
      </c>
      <c r="F49" s="198">
        <v>2.2749999999999999</v>
      </c>
      <c r="G49" s="198">
        <v>3.25</v>
      </c>
      <c r="H49" s="198">
        <v>3.25</v>
      </c>
      <c r="I49" s="199">
        <v>3.25</v>
      </c>
      <c r="J49" s="389"/>
      <c r="N49" s="135" t="s">
        <v>862</v>
      </c>
      <c r="O49" s="136"/>
      <c r="P49" s="137"/>
      <c r="Q49" s="136"/>
      <c r="R49" s="138"/>
      <c r="S49" s="136"/>
      <c r="T49" s="185"/>
      <c r="U49" s="185"/>
      <c r="V49" s="191">
        <v>0.3</v>
      </c>
      <c r="W49" s="165">
        <f ca="1">ROUNDDOWN((W13+W48)*V49,0)</f>
        <v>206121606</v>
      </c>
      <c r="X49" s="166"/>
      <c r="Y49" s="136"/>
      <c r="Z49" s="136"/>
    </row>
    <row r="50" spans="1:26" ht="18" customHeight="1">
      <c r="A50" s="278">
        <v>7</v>
      </c>
      <c r="B50" s="223" t="s">
        <v>2057</v>
      </c>
      <c r="C50" s="23"/>
      <c r="D50" s="197">
        <v>0</v>
      </c>
      <c r="E50" s="198">
        <v>0</v>
      </c>
      <c r="F50" s="198">
        <v>3.9</v>
      </c>
      <c r="G50" s="198">
        <v>12.837</v>
      </c>
      <c r="H50" s="198">
        <v>16.25</v>
      </c>
      <c r="I50" s="199">
        <v>20.8</v>
      </c>
      <c r="J50" s="389"/>
    </row>
    <row r="51" spans="1:26" ht="18" customHeight="1">
      <c r="A51" s="278"/>
      <c r="B51" s="222" t="s">
        <v>540</v>
      </c>
      <c r="C51" s="47"/>
      <c r="D51" s="48">
        <f t="shared" ref="D51:I51" si="8">SUBTOTAL(9,D52:D54)</f>
        <v>0.97500000000000009</v>
      </c>
      <c r="E51" s="49">
        <f t="shared" si="8"/>
        <v>2.1110000000000002</v>
      </c>
      <c r="F51" s="49">
        <f t="shared" si="8"/>
        <v>4.8739999999999997</v>
      </c>
      <c r="G51" s="49">
        <f t="shared" si="8"/>
        <v>9.7490000000000006</v>
      </c>
      <c r="H51" s="49">
        <f t="shared" si="8"/>
        <v>14.136000000000001</v>
      </c>
      <c r="I51" s="50">
        <f t="shared" si="8"/>
        <v>13.812000000000001</v>
      </c>
      <c r="J51" s="74"/>
      <c r="K51" s="171" t="s">
        <v>14</v>
      </c>
    </row>
    <row r="52" spans="1:26" ht="18" customHeight="1">
      <c r="A52" s="278">
        <v>8</v>
      </c>
      <c r="B52" s="223" t="s">
        <v>2058</v>
      </c>
      <c r="C52" s="23"/>
      <c r="D52" s="197">
        <f t="array" ref="D52:I54">ROUNDDOWN(D23:I25*L23:L25*E5,3)</f>
        <v>0.32500000000000001</v>
      </c>
      <c r="E52" s="198">
        <v>0.81200000000000006</v>
      </c>
      <c r="F52" s="198">
        <v>1.7869999999999999</v>
      </c>
      <c r="G52" s="198">
        <v>3.7370000000000001</v>
      </c>
      <c r="H52" s="198">
        <v>5.6870000000000003</v>
      </c>
      <c r="I52" s="199">
        <v>5.5250000000000004</v>
      </c>
      <c r="J52" s="74"/>
      <c r="K52" s="171" t="s">
        <v>14</v>
      </c>
    </row>
    <row r="53" spans="1:26" ht="18" customHeight="1">
      <c r="A53" s="278">
        <v>9</v>
      </c>
      <c r="B53" s="223" t="s">
        <v>2059</v>
      </c>
      <c r="C53" s="23"/>
      <c r="D53" s="197">
        <v>0.32500000000000001</v>
      </c>
      <c r="E53" s="198">
        <v>0.81200000000000006</v>
      </c>
      <c r="F53" s="198">
        <v>1.7869999999999999</v>
      </c>
      <c r="G53" s="198">
        <v>3.7370000000000001</v>
      </c>
      <c r="H53" s="198">
        <v>5.6870000000000003</v>
      </c>
      <c r="I53" s="199">
        <v>5.5250000000000004</v>
      </c>
      <c r="J53" s="74"/>
      <c r="K53" s="171" t="s">
        <v>14</v>
      </c>
    </row>
    <row r="54" spans="1:26" ht="18" customHeight="1">
      <c r="A54" s="278">
        <v>10</v>
      </c>
      <c r="B54" s="223" t="s">
        <v>2060</v>
      </c>
      <c r="C54" s="23"/>
      <c r="D54" s="197">
        <v>0.32500000000000001</v>
      </c>
      <c r="E54" s="198">
        <v>0.48699999999999999</v>
      </c>
      <c r="F54" s="198">
        <v>1.3</v>
      </c>
      <c r="G54" s="198">
        <v>2.2749999999999999</v>
      </c>
      <c r="H54" s="198">
        <v>2.762</v>
      </c>
      <c r="I54" s="199">
        <v>2.762</v>
      </c>
      <c r="J54" s="74"/>
      <c r="K54" s="171" t="s">
        <v>14</v>
      </c>
      <c r="L54" s="171"/>
    </row>
    <row r="55" spans="1:26" ht="18" customHeight="1">
      <c r="A55" s="278"/>
      <c r="B55" s="222" t="s">
        <v>541</v>
      </c>
      <c r="C55" s="47"/>
      <c r="D55" s="48">
        <f t="shared" ref="D55:I55" si="9">SUBTOTAL(9,D56:D62)</f>
        <v>8.6090000000000018</v>
      </c>
      <c r="E55" s="49">
        <f t="shared" si="9"/>
        <v>15.923999999999996</v>
      </c>
      <c r="F55" s="49">
        <f t="shared" si="9"/>
        <v>46.475000000000001</v>
      </c>
      <c r="G55" s="49">
        <f t="shared" si="9"/>
        <v>88.886999999999986</v>
      </c>
      <c r="H55" s="49">
        <f t="shared" si="9"/>
        <v>118.94800000000001</v>
      </c>
      <c r="I55" s="50">
        <f t="shared" si="9"/>
        <v>115.37499999999997</v>
      </c>
      <c r="J55" s="74"/>
      <c r="K55" s="171"/>
      <c r="L55" s="171"/>
      <c r="R55" s="1"/>
      <c r="S55" s="1"/>
      <c r="T55" s="1"/>
      <c r="U55" s="1"/>
      <c r="V55" s="1"/>
      <c r="W55" s="1"/>
      <c r="X55" s="1"/>
      <c r="Y55" s="1"/>
    </row>
    <row r="56" spans="1:26" ht="18" customHeight="1">
      <c r="A56" s="278">
        <v>11</v>
      </c>
      <c r="B56" s="223" t="s">
        <v>2061</v>
      </c>
      <c r="C56" s="23"/>
      <c r="D56" s="197">
        <f t="array" ref="D56:I62">ROUNDDOWN(D27:I33*L27:L33*E5,3)</f>
        <v>0.48699999999999999</v>
      </c>
      <c r="E56" s="198">
        <v>0.81200000000000006</v>
      </c>
      <c r="F56" s="198">
        <v>2.6</v>
      </c>
      <c r="G56" s="198">
        <v>4.875</v>
      </c>
      <c r="H56" s="198">
        <v>6.1749999999999998</v>
      </c>
      <c r="I56" s="199">
        <v>5.85</v>
      </c>
      <c r="J56" s="74"/>
      <c r="K56" s="171" t="s">
        <v>14</v>
      </c>
      <c r="L56" s="171"/>
      <c r="R56" s="1"/>
      <c r="S56" s="1"/>
      <c r="T56" s="1"/>
      <c r="U56" s="1"/>
      <c r="V56" s="1"/>
      <c r="W56" s="1"/>
      <c r="X56" s="1"/>
      <c r="Y56" s="1"/>
    </row>
    <row r="57" spans="1:26" ht="18" customHeight="1">
      <c r="A57" s="278">
        <v>12</v>
      </c>
      <c r="B57" s="223" t="s">
        <v>2062</v>
      </c>
      <c r="C57" s="23"/>
      <c r="D57" s="197">
        <v>3.7370000000000001</v>
      </c>
      <c r="E57" s="198">
        <v>7.4749999999999996</v>
      </c>
      <c r="F57" s="198">
        <v>18.524999999999999</v>
      </c>
      <c r="G57" s="198">
        <v>37.212000000000003</v>
      </c>
      <c r="H57" s="198">
        <v>56.061999999999998</v>
      </c>
      <c r="I57" s="199">
        <v>55.9</v>
      </c>
      <c r="J57" s="74"/>
      <c r="K57" s="171" t="s">
        <v>14</v>
      </c>
      <c r="L57" s="171"/>
      <c r="R57" s="1"/>
      <c r="S57" s="1"/>
      <c r="T57" s="1"/>
      <c r="U57" s="1"/>
      <c r="V57" s="1"/>
      <c r="W57" s="1"/>
      <c r="X57" s="1"/>
      <c r="Y57" s="1"/>
    </row>
    <row r="58" spans="1:26" ht="18" customHeight="1" thickBot="1">
      <c r="A58" s="278">
        <v>13</v>
      </c>
      <c r="B58" s="223" t="s">
        <v>2063</v>
      </c>
      <c r="C58" s="23"/>
      <c r="D58" s="197">
        <v>0.48699999999999999</v>
      </c>
      <c r="E58" s="198">
        <v>0.97499999999999998</v>
      </c>
      <c r="F58" s="198">
        <v>3.25</v>
      </c>
      <c r="G58" s="198">
        <v>4.875</v>
      </c>
      <c r="H58" s="198">
        <v>6.1749999999999998</v>
      </c>
      <c r="I58" s="199">
        <v>5.85</v>
      </c>
      <c r="J58" s="74"/>
      <c r="K58" s="171" t="s">
        <v>14</v>
      </c>
      <c r="L58" s="171"/>
      <c r="N58" s="66" t="s">
        <v>18</v>
      </c>
      <c r="O58" s="2"/>
      <c r="P58" s="2"/>
      <c r="Q58" s="2"/>
      <c r="R58" s="3"/>
      <c r="S58" s="4"/>
      <c r="T58" s="3"/>
      <c r="U58" s="4"/>
      <c r="V58" s="3"/>
      <c r="W58" s="4"/>
      <c r="X58" s="3"/>
      <c r="Y58" s="4"/>
      <c r="Z58" s="2"/>
    </row>
    <row r="59" spans="1:26" ht="18" customHeight="1">
      <c r="A59" s="278">
        <v>14</v>
      </c>
      <c r="B59" s="223" t="s">
        <v>2064</v>
      </c>
      <c r="C59" s="23"/>
      <c r="D59" s="197">
        <v>0.48699999999999999</v>
      </c>
      <c r="E59" s="198">
        <v>0.81200000000000006</v>
      </c>
      <c r="F59" s="198">
        <v>2.6</v>
      </c>
      <c r="G59" s="198">
        <v>4.875</v>
      </c>
      <c r="H59" s="198">
        <v>6.1749999999999998</v>
      </c>
      <c r="I59" s="199">
        <v>5.85</v>
      </c>
      <c r="J59" s="74"/>
      <c r="K59" s="171" t="s">
        <v>14</v>
      </c>
      <c r="L59" s="171"/>
      <c r="N59" s="765" t="s">
        <v>19</v>
      </c>
      <c r="O59" s="755" t="s">
        <v>20</v>
      </c>
      <c r="P59" s="755" t="s">
        <v>21</v>
      </c>
      <c r="Q59" s="755" t="s">
        <v>16</v>
      </c>
      <c r="R59" s="5" t="s">
        <v>22</v>
      </c>
      <c r="S59" s="5"/>
      <c r="T59" s="5" t="s">
        <v>23</v>
      </c>
      <c r="U59" s="5"/>
      <c r="V59" s="5" t="s">
        <v>24</v>
      </c>
      <c r="W59" s="5"/>
      <c r="X59" s="5" t="s">
        <v>25</v>
      </c>
      <c r="Y59" s="5"/>
      <c r="Z59" s="755" t="s">
        <v>26</v>
      </c>
    </row>
    <row r="60" spans="1:26" ht="18" customHeight="1" thickBot="1">
      <c r="A60" s="278">
        <v>15</v>
      </c>
      <c r="B60" s="223" t="s">
        <v>2065</v>
      </c>
      <c r="C60" s="23"/>
      <c r="D60" s="197">
        <v>1.137</v>
      </c>
      <c r="E60" s="198">
        <v>1.95</v>
      </c>
      <c r="F60" s="198">
        <v>6.5</v>
      </c>
      <c r="G60" s="198">
        <v>12.35</v>
      </c>
      <c r="H60" s="198">
        <v>14.787000000000001</v>
      </c>
      <c r="I60" s="199">
        <v>13.975</v>
      </c>
      <c r="J60" s="74"/>
      <c r="K60" s="171" t="s">
        <v>14</v>
      </c>
      <c r="L60" s="171"/>
      <c r="N60" s="766"/>
      <c r="O60" s="756"/>
      <c r="P60" s="756"/>
      <c r="Q60" s="756"/>
      <c r="R60" s="67" t="s">
        <v>27</v>
      </c>
      <c r="S60" s="67" t="s">
        <v>28</v>
      </c>
      <c r="T60" s="67" t="s">
        <v>27</v>
      </c>
      <c r="U60" s="67" t="s">
        <v>28</v>
      </c>
      <c r="V60" s="67" t="s">
        <v>27</v>
      </c>
      <c r="W60" s="67" t="s">
        <v>28</v>
      </c>
      <c r="X60" s="67" t="s">
        <v>27</v>
      </c>
      <c r="Y60" s="67" t="s">
        <v>28</v>
      </c>
      <c r="Z60" s="756"/>
    </row>
    <row r="61" spans="1:26" ht="18" customHeight="1" thickTop="1">
      <c r="A61" s="278">
        <v>16</v>
      </c>
      <c r="B61" s="223" t="s">
        <v>2066</v>
      </c>
      <c r="C61" s="23"/>
      <c r="D61" s="197">
        <v>1.137</v>
      </c>
      <c r="E61" s="198">
        <v>1.95</v>
      </c>
      <c r="F61" s="198">
        <v>6.5</v>
      </c>
      <c r="G61" s="198">
        <v>12.35</v>
      </c>
      <c r="H61" s="198">
        <v>14.787000000000001</v>
      </c>
      <c r="I61" s="199">
        <v>13.975</v>
      </c>
      <c r="J61" s="74"/>
      <c r="K61" s="171" t="s">
        <v>14</v>
      </c>
      <c r="L61" s="171"/>
      <c r="N61" s="318" t="str">
        <f ca="1">"제 " &amp; Z61 &amp; " 호표  "&amp; OFFSET($A$1,MATCH(Z61,$A:$A,0)-1,1)</f>
        <v>제 1 호표  1.1. 주민·산업의 현황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v>1</v>
      </c>
    </row>
    <row r="62" spans="1:26" ht="18" customHeight="1">
      <c r="A62" s="278">
        <v>17</v>
      </c>
      <c r="B62" s="223" t="s">
        <v>2067</v>
      </c>
      <c r="C62" s="23"/>
      <c r="D62" s="197">
        <v>1.137</v>
      </c>
      <c r="E62" s="198">
        <v>1.95</v>
      </c>
      <c r="F62" s="198">
        <v>6.5</v>
      </c>
      <c r="G62" s="198">
        <v>12.35</v>
      </c>
      <c r="H62" s="198">
        <v>14.787000000000001</v>
      </c>
      <c r="I62" s="199">
        <v>13.975</v>
      </c>
      <c r="J62" s="74"/>
      <c r="K62" s="171" t="s">
        <v>14</v>
      </c>
      <c r="L62" s="171"/>
      <c r="N62" s="140" t="s">
        <v>43</v>
      </c>
      <c r="O62" s="172">
        <v>3</v>
      </c>
      <c r="P62" s="219">
        <f ca="1">OFFSET($A$1,MATCH(Z61,$A:$A,0)-1,O62)</f>
        <v>0.81200000000000006</v>
      </c>
      <c r="Q62" s="141" t="s">
        <v>29</v>
      </c>
      <c r="R62" s="142">
        <f t="shared" ref="R62:S67" ca="1" si="10">T62</f>
        <v>467217</v>
      </c>
      <c r="S62" s="142">
        <f t="shared" ca="1" si="10"/>
        <v>379380</v>
      </c>
      <c r="T62" s="142">
        <f ca="1">기술사</f>
        <v>467217</v>
      </c>
      <c r="U62" s="142">
        <f t="shared" ref="U62:U67" ca="1" si="11">ROUNDDOWN(P62*R62,0)</f>
        <v>379380</v>
      </c>
      <c r="V62" s="142"/>
      <c r="W62" s="142"/>
      <c r="X62" s="142"/>
      <c r="Y62" s="142"/>
      <c r="Z62" s="114"/>
    </row>
    <row r="63" spans="1:26" ht="18" customHeight="1">
      <c r="A63" s="278"/>
      <c r="B63" s="222" t="s">
        <v>98</v>
      </c>
      <c r="C63" s="47"/>
      <c r="D63" s="48">
        <f t="shared" ref="D63:I63" si="12">SUBTOTAL(9,D64:D65)</f>
        <v>6.0120000000000005</v>
      </c>
      <c r="E63" s="49">
        <f t="shared" si="12"/>
        <v>12.024000000000001</v>
      </c>
      <c r="F63" s="49">
        <f t="shared" si="12"/>
        <v>27.299999999999997</v>
      </c>
      <c r="G63" s="49">
        <f t="shared" si="12"/>
        <v>50.375</v>
      </c>
      <c r="H63" s="49">
        <f t="shared" si="12"/>
        <v>70.524000000000001</v>
      </c>
      <c r="I63" s="50">
        <f t="shared" si="12"/>
        <v>70.524000000000001</v>
      </c>
      <c r="J63" s="74"/>
      <c r="K63" s="171" t="s">
        <v>14</v>
      </c>
      <c r="L63" s="171"/>
      <c r="N63" s="143" t="s">
        <v>32</v>
      </c>
      <c r="O63" s="173">
        <v>4</v>
      </c>
      <c r="P63" s="234">
        <f ca="1">OFFSET($A$1,MATCH(Z61,$A:$A,0)-1,O63)</f>
        <v>1.625</v>
      </c>
      <c r="Q63" s="144" t="s">
        <v>29</v>
      </c>
      <c r="R63" s="118">
        <f t="shared" ca="1" si="10"/>
        <v>373353</v>
      </c>
      <c r="S63" s="118">
        <f t="shared" ca="1" si="10"/>
        <v>606698</v>
      </c>
      <c r="T63" s="118">
        <f ca="1">특급</f>
        <v>373353</v>
      </c>
      <c r="U63" s="118">
        <f t="shared" ca="1" si="11"/>
        <v>606698</v>
      </c>
      <c r="V63" s="118"/>
      <c r="W63" s="118"/>
      <c r="X63" s="118"/>
      <c r="Y63" s="118"/>
      <c r="Z63" s="115"/>
    </row>
    <row r="64" spans="1:26" ht="18" customHeight="1">
      <c r="A64" s="278">
        <v>18</v>
      </c>
      <c r="B64" s="223" t="s">
        <v>2068</v>
      </c>
      <c r="C64" s="23"/>
      <c r="D64" s="197">
        <f t="array" ref="D64:I65">ROUNDDOWN(D35:I36*L35:L36*E5,3)</f>
        <v>4.0620000000000003</v>
      </c>
      <c r="E64" s="198">
        <v>7.9619999999999997</v>
      </c>
      <c r="F64" s="198">
        <v>18.2</v>
      </c>
      <c r="G64" s="198">
        <v>30.225000000000001</v>
      </c>
      <c r="H64" s="198">
        <v>30.387</v>
      </c>
      <c r="I64" s="199">
        <v>20.312000000000001</v>
      </c>
      <c r="J64" s="74"/>
      <c r="K64" s="171" t="s">
        <v>14</v>
      </c>
      <c r="L64" s="171"/>
      <c r="N64" s="145" t="s">
        <v>39</v>
      </c>
      <c r="O64" s="173">
        <v>5</v>
      </c>
      <c r="P64" s="234">
        <f ca="1">OFFSET($A$1,MATCH(Z61,$A:$A,0)-1,O64)</f>
        <v>4.0620000000000003</v>
      </c>
      <c r="Q64" s="144" t="s">
        <v>29</v>
      </c>
      <c r="R64" s="118">
        <f t="shared" ca="1" si="10"/>
        <v>310884</v>
      </c>
      <c r="S64" s="118">
        <f t="shared" ca="1" si="10"/>
        <v>1262810</v>
      </c>
      <c r="T64" s="118">
        <f ca="1">고급</f>
        <v>310884</v>
      </c>
      <c r="U64" s="118">
        <f t="shared" ca="1" si="11"/>
        <v>1262810</v>
      </c>
      <c r="V64" s="118"/>
      <c r="W64" s="118"/>
      <c r="X64" s="118"/>
      <c r="Y64" s="118"/>
      <c r="Z64" s="115"/>
    </row>
    <row r="65" spans="1:26" ht="18" customHeight="1">
      <c r="A65" s="278">
        <v>19</v>
      </c>
      <c r="B65" s="224" t="s">
        <v>2069</v>
      </c>
      <c r="C65" s="27"/>
      <c r="D65" s="200">
        <v>1.95</v>
      </c>
      <c r="E65" s="201">
        <v>4.0620000000000003</v>
      </c>
      <c r="F65" s="201">
        <v>9.1</v>
      </c>
      <c r="G65" s="201">
        <v>20.149999999999999</v>
      </c>
      <c r="H65" s="201">
        <v>40.137</v>
      </c>
      <c r="I65" s="202">
        <v>50.212000000000003</v>
      </c>
      <c r="J65" s="74"/>
      <c r="K65" s="171" t="s">
        <v>14</v>
      </c>
      <c r="L65" s="171"/>
      <c r="N65" s="145" t="s">
        <v>40</v>
      </c>
      <c r="O65" s="173">
        <v>6</v>
      </c>
      <c r="P65" s="234">
        <f ca="1">OFFSET($A$1,MATCH(Z61,$A:$A,0)-1,O65)</f>
        <v>10.237</v>
      </c>
      <c r="Q65" s="144" t="s">
        <v>29</v>
      </c>
      <c r="R65" s="118">
        <f t="shared" ca="1" si="10"/>
        <v>295138</v>
      </c>
      <c r="S65" s="118">
        <f t="shared" ca="1" si="10"/>
        <v>3021327</v>
      </c>
      <c r="T65" s="118">
        <f ca="1">중급</f>
        <v>295138</v>
      </c>
      <c r="U65" s="118">
        <f t="shared" ca="1" si="11"/>
        <v>3021327</v>
      </c>
      <c r="V65" s="118"/>
      <c r="W65" s="118"/>
      <c r="X65" s="118"/>
      <c r="Y65" s="118"/>
      <c r="Z65" s="115"/>
    </row>
    <row r="66" spans="1:26" ht="18" customHeight="1">
      <c r="A66" s="278"/>
      <c r="B66" s="222" t="s">
        <v>232</v>
      </c>
      <c r="C66" s="47"/>
      <c r="D66" s="48">
        <f t="shared" ref="D66:I66" si="13">SUBTOTAL(9,D67:D70)</f>
        <v>8</v>
      </c>
      <c r="E66" s="49">
        <f t="shared" si="13"/>
        <v>8</v>
      </c>
      <c r="F66" s="49">
        <f t="shared" si="13"/>
        <v>8</v>
      </c>
      <c r="G66" s="49">
        <f t="shared" si="13"/>
        <v>16</v>
      </c>
      <c r="H66" s="49">
        <f t="shared" si="13"/>
        <v>16</v>
      </c>
      <c r="I66" s="50">
        <f t="shared" si="13"/>
        <v>16</v>
      </c>
      <c r="J66" s="74"/>
      <c r="K66" s="171" t="s">
        <v>14</v>
      </c>
      <c r="L66" s="171"/>
      <c r="N66" s="145" t="s">
        <v>41</v>
      </c>
      <c r="O66" s="173">
        <v>7</v>
      </c>
      <c r="P66" s="234">
        <f ca="1">OFFSET($A$1,MATCH(Z61,$A:$A,0)-1,O66)</f>
        <v>16.736999999999998</v>
      </c>
      <c r="Q66" s="144" t="s">
        <v>29</v>
      </c>
      <c r="R66" s="118">
        <f t="shared" ca="1" si="10"/>
        <v>235459</v>
      </c>
      <c r="S66" s="118">
        <f t="shared" ca="1" si="10"/>
        <v>3940877</v>
      </c>
      <c r="T66" s="118">
        <f ca="1">초급</f>
        <v>235459</v>
      </c>
      <c r="U66" s="118">
        <f t="shared" ca="1" si="11"/>
        <v>3940877</v>
      </c>
      <c r="V66" s="118"/>
      <c r="W66" s="118"/>
      <c r="X66" s="118"/>
      <c r="Y66" s="118"/>
      <c r="Z66" s="115"/>
    </row>
    <row r="67" spans="1:26" ht="18" customHeight="1">
      <c r="A67" s="278">
        <v>20</v>
      </c>
      <c r="B67" s="223" t="s">
        <v>2070</v>
      </c>
      <c r="C67" s="23"/>
      <c r="D67" s="197">
        <f t="array" ref="D67:I70">ROUNDDOWN(D38:I41*L38:L41*I5,3)</f>
        <v>2</v>
      </c>
      <c r="E67" s="198">
        <v>2</v>
      </c>
      <c r="F67" s="198">
        <v>2</v>
      </c>
      <c r="G67" s="198">
        <v>4</v>
      </c>
      <c r="H67" s="198">
        <v>4</v>
      </c>
      <c r="I67" s="199">
        <v>4</v>
      </c>
      <c r="J67" s="74"/>
      <c r="K67" s="171" t="s">
        <v>14</v>
      </c>
      <c r="L67" s="171"/>
      <c r="N67" s="319" t="s">
        <v>42</v>
      </c>
      <c r="O67" s="174">
        <v>8</v>
      </c>
      <c r="P67" s="235">
        <f ca="1">OFFSET($A$1,MATCH(Z61,$A:$A,0)-1,O67)</f>
        <v>16.574999999999999</v>
      </c>
      <c r="Q67" s="322" t="s">
        <v>29</v>
      </c>
      <c r="R67" s="323">
        <f t="shared" ca="1" si="10"/>
        <v>250087</v>
      </c>
      <c r="S67" s="323">
        <f t="shared" ca="1" si="10"/>
        <v>4145192</v>
      </c>
      <c r="T67" s="323">
        <f ca="1">보조원</f>
        <v>250087</v>
      </c>
      <c r="U67" s="323">
        <f t="shared" ca="1" si="11"/>
        <v>4145192</v>
      </c>
      <c r="V67" s="323"/>
      <c r="W67" s="323"/>
      <c r="X67" s="323"/>
      <c r="Y67" s="323"/>
      <c r="Z67" s="324"/>
    </row>
    <row r="68" spans="1:26" ht="18" customHeight="1">
      <c r="A68" s="278">
        <v>21</v>
      </c>
      <c r="B68" s="223" t="s">
        <v>2071</v>
      </c>
      <c r="C68" s="23"/>
      <c r="D68" s="197">
        <v>2</v>
      </c>
      <c r="E68" s="198">
        <v>2</v>
      </c>
      <c r="F68" s="198">
        <v>2</v>
      </c>
      <c r="G68" s="198">
        <v>4</v>
      </c>
      <c r="H68" s="198">
        <v>4</v>
      </c>
      <c r="I68" s="199">
        <v>4</v>
      </c>
      <c r="J68" s="74"/>
      <c r="K68" s="171" t="s">
        <v>14</v>
      </c>
      <c r="L68" s="171"/>
      <c r="N68" s="139" t="s">
        <v>17</v>
      </c>
      <c r="O68" s="68"/>
      <c r="P68" s="69"/>
      <c r="Q68" s="70"/>
      <c r="R68" s="71"/>
      <c r="S68" s="71">
        <f ca="1">SUBTOTAL(9,S62:S67)</f>
        <v>13356284</v>
      </c>
      <c r="T68" s="71"/>
      <c r="U68" s="71">
        <f ca="1">SUBTOTAL(9,U62:U67)</f>
        <v>13356284</v>
      </c>
      <c r="V68" s="71"/>
      <c r="W68" s="71"/>
      <c r="X68" s="71"/>
      <c r="Y68" s="71"/>
      <c r="Z68" s="68"/>
    </row>
    <row r="69" spans="1:26" ht="18" customHeight="1">
      <c r="A69" s="278">
        <v>22</v>
      </c>
      <c r="B69" s="223" t="s">
        <v>1542</v>
      </c>
      <c r="C69" s="23"/>
      <c r="D69" s="197">
        <v>2</v>
      </c>
      <c r="E69" s="198">
        <v>2</v>
      </c>
      <c r="F69" s="198">
        <v>2</v>
      </c>
      <c r="G69" s="198">
        <v>4</v>
      </c>
      <c r="H69" s="198">
        <v>4</v>
      </c>
      <c r="I69" s="199">
        <v>4</v>
      </c>
      <c r="J69" s="74"/>
      <c r="K69" s="171" t="s">
        <v>14</v>
      </c>
      <c r="L69" s="171"/>
      <c r="N69" s="318" t="str">
        <f ca="1">"제 " &amp; Z69 &amp; " 호표  "&amp; OFFSET($A$1,MATCH(Z69,$A:$A,0)-1,1)</f>
        <v>제 2 호표  1.2. 토지·건축물의 이용·소유현황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2</v>
      </c>
    </row>
    <row r="70" spans="1:26" ht="18" customHeight="1" thickBot="1">
      <c r="A70" s="278">
        <v>23</v>
      </c>
      <c r="B70" s="388" t="s">
        <v>1543</v>
      </c>
      <c r="C70" s="342"/>
      <c r="D70" s="343">
        <v>2</v>
      </c>
      <c r="E70" s="344">
        <v>2</v>
      </c>
      <c r="F70" s="344">
        <v>2</v>
      </c>
      <c r="G70" s="344">
        <v>4</v>
      </c>
      <c r="H70" s="344">
        <v>4</v>
      </c>
      <c r="I70" s="345">
        <v>4</v>
      </c>
      <c r="J70" s="176"/>
      <c r="K70" s="171" t="s">
        <v>14</v>
      </c>
      <c r="L70" s="171"/>
      <c r="N70" s="140" t="s">
        <v>43</v>
      </c>
      <c r="O70" s="172">
        <v>3</v>
      </c>
      <c r="P70" s="219">
        <f ca="1">OFFSET($A$1,MATCH(Z69,$A:$A,0)-1,O70)</f>
        <v>3.25</v>
      </c>
      <c r="Q70" s="141" t="s">
        <v>29</v>
      </c>
      <c r="R70" s="142">
        <f t="shared" ref="R70:S75" ca="1" si="14">T70</f>
        <v>467217</v>
      </c>
      <c r="S70" s="142">
        <f t="shared" ca="1" si="14"/>
        <v>1518455</v>
      </c>
      <c r="T70" s="142">
        <f ca="1">기술사</f>
        <v>467217</v>
      </c>
      <c r="U70" s="142">
        <f t="shared" ref="U70:U75" ca="1" si="15">ROUNDDOWN(P70*R70,0)</f>
        <v>1518455</v>
      </c>
      <c r="V70" s="142"/>
      <c r="W70" s="142"/>
      <c r="X70" s="142"/>
      <c r="Y70" s="142"/>
      <c r="Z70" s="114"/>
    </row>
    <row r="71" spans="1:26" ht="18" customHeight="1">
      <c r="A71" s="278"/>
      <c r="B71" s="80" t="s">
        <v>15</v>
      </c>
      <c r="C71" s="1" t="s">
        <v>2072</v>
      </c>
      <c r="E71" s="8"/>
      <c r="F71" s="8"/>
      <c r="G71" s="8"/>
      <c r="H71" s="8"/>
      <c r="I71" s="8"/>
      <c r="J71" s="10"/>
      <c r="K71" s="171" t="s">
        <v>14</v>
      </c>
      <c r="L71" s="171"/>
      <c r="N71" s="143" t="s">
        <v>32</v>
      </c>
      <c r="O71" s="173">
        <v>4</v>
      </c>
      <c r="P71" s="234">
        <f ca="1">OFFSET($A$1,MATCH(Z69,$A:$A,0)-1,O71)</f>
        <v>6.5</v>
      </c>
      <c r="Q71" s="144" t="s">
        <v>29</v>
      </c>
      <c r="R71" s="118">
        <f t="shared" ca="1" si="14"/>
        <v>373353</v>
      </c>
      <c r="S71" s="118">
        <f t="shared" ca="1" si="14"/>
        <v>2426794</v>
      </c>
      <c r="T71" s="118">
        <f ca="1">특급</f>
        <v>373353</v>
      </c>
      <c r="U71" s="118">
        <f t="shared" ca="1" si="15"/>
        <v>2426794</v>
      </c>
      <c r="V71" s="118"/>
      <c r="W71" s="118"/>
      <c r="X71" s="118"/>
      <c r="Y71" s="118"/>
      <c r="Z71" s="115"/>
    </row>
    <row r="72" spans="1:26" ht="18" customHeight="1">
      <c r="A72" s="278"/>
      <c r="B72" s="80"/>
      <c r="C72" s="9"/>
      <c r="J72" s="8"/>
      <c r="K72" s="171" t="s">
        <v>14</v>
      </c>
      <c r="L72" s="171"/>
      <c r="N72" s="145" t="s">
        <v>39</v>
      </c>
      <c r="O72" s="173">
        <v>5</v>
      </c>
      <c r="P72" s="234">
        <f ca="1">OFFSET($A$1,MATCH(Z69,$A:$A,0)-1,O72)</f>
        <v>14.462</v>
      </c>
      <c r="Q72" s="144" t="s">
        <v>29</v>
      </c>
      <c r="R72" s="118">
        <f t="shared" ca="1" si="14"/>
        <v>310884</v>
      </c>
      <c r="S72" s="118">
        <f t="shared" ca="1" si="14"/>
        <v>4496004</v>
      </c>
      <c r="T72" s="118">
        <f ca="1">고급</f>
        <v>310884</v>
      </c>
      <c r="U72" s="118">
        <f t="shared" ca="1" si="15"/>
        <v>4496004</v>
      </c>
      <c r="V72" s="118"/>
      <c r="W72" s="118"/>
      <c r="X72" s="118"/>
      <c r="Y72" s="118"/>
      <c r="Z72" s="115"/>
    </row>
    <row r="73" spans="1:26" ht="18" customHeight="1">
      <c r="A73" s="278"/>
      <c r="C73" s="435"/>
      <c r="J73" s="8"/>
      <c r="K73" s="171" t="s">
        <v>14</v>
      </c>
      <c r="L73" s="171"/>
      <c r="N73" s="145" t="s">
        <v>40</v>
      </c>
      <c r="O73" s="173">
        <v>6</v>
      </c>
      <c r="P73" s="234">
        <f ca="1">OFFSET($A$1,MATCH(Z69,$A:$A,0)-1,O73)</f>
        <v>39.325000000000003</v>
      </c>
      <c r="Q73" s="144" t="s">
        <v>29</v>
      </c>
      <c r="R73" s="118">
        <f t="shared" ca="1" si="14"/>
        <v>295138</v>
      </c>
      <c r="S73" s="118">
        <f t="shared" ca="1" si="14"/>
        <v>11606301</v>
      </c>
      <c r="T73" s="118">
        <f ca="1">중급</f>
        <v>295138</v>
      </c>
      <c r="U73" s="118">
        <f t="shared" ca="1" si="15"/>
        <v>11606301</v>
      </c>
      <c r="V73" s="118"/>
      <c r="W73" s="118"/>
      <c r="X73" s="118"/>
      <c r="Y73" s="118"/>
      <c r="Z73" s="115"/>
    </row>
    <row r="74" spans="1:26" ht="18" customHeight="1">
      <c r="A74" s="278"/>
      <c r="J74" s="8"/>
      <c r="K74" s="171" t="s">
        <v>14</v>
      </c>
      <c r="L74" s="171"/>
      <c r="N74" s="145" t="s">
        <v>41</v>
      </c>
      <c r="O74" s="173">
        <v>7</v>
      </c>
      <c r="P74" s="234">
        <f ca="1">OFFSET($A$1,MATCH(Z69,$A:$A,0)-1,O74)</f>
        <v>45.012</v>
      </c>
      <c r="Q74" s="144" t="s">
        <v>29</v>
      </c>
      <c r="R74" s="118">
        <f t="shared" ca="1" si="14"/>
        <v>235459</v>
      </c>
      <c r="S74" s="118">
        <f t="shared" ca="1" si="14"/>
        <v>10598480</v>
      </c>
      <c r="T74" s="118">
        <f ca="1">초급</f>
        <v>235459</v>
      </c>
      <c r="U74" s="118">
        <f t="shared" ca="1" si="15"/>
        <v>10598480</v>
      </c>
      <c r="V74" s="118"/>
      <c r="W74" s="118"/>
      <c r="X74" s="118"/>
      <c r="Y74" s="118"/>
      <c r="Z74" s="115"/>
    </row>
    <row r="75" spans="1:26" ht="18" customHeight="1">
      <c r="A75" s="278"/>
      <c r="K75" s="171" t="s">
        <v>14</v>
      </c>
      <c r="L75" s="171"/>
      <c r="N75" s="319" t="s">
        <v>42</v>
      </c>
      <c r="O75" s="174">
        <v>8</v>
      </c>
      <c r="P75" s="235">
        <f ca="1">OFFSET($A$1,MATCH(Z69,$A:$A,0)-1,O75)</f>
        <v>53.625</v>
      </c>
      <c r="Q75" s="322" t="s">
        <v>29</v>
      </c>
      <c r="R75" s="323">
        <f t="shared" ca="1" si="14"/>
        <v>250087</v>
      </c>
      <c r="S75" s="323">
        <f t="shared" ca="1" si="14"/>
        <v>13410915</v>
      </c>
      <c r="T75" s="323">
        <f ca="1">보조원</f>
        <v>250087</v>
      </c>
      <c r="U75" s="323">
        <f t="shared" ca="1" si="15"/>
        <v>13410915</v>
      </c>
      <c r="V75" s="323"/>
      <c r="W75" s="323"/>
      <c r="X75" s="323"/>
      <c r="Y75" s="323"/>
      <c r="Z75" s="324"/>
    </row>
    <row r="76" spans="1:26" ht="18" customHeight="1">
      <c r="C76" s="9"/>
      <c r="K76" s="171" t="s">
        <v>14</v>
      </c>
      <c r="L76" s="171"/>
      <c r="N76" s="139" t="s">
        <v>17</v>
      </c>
      <c r="O76" s="68"/>
      <c r="P76" s="69"/>
      <c r="Q76" s="70"/>
      <c r="R76" s="71"/>
      <c r="S76" s="71">
        <f ca="1">SUBTOTAL(9,S70:S75)</f>
        <v>44056949</v>
      </c>
      <c r="T76" s="71"/>
      <c r="U76" s="71">
        <f ca="1">SUBTOTAL(9,U70:U75)</f>
        <v>44056949</v>
      </c>
      <c r="V76" s="71"/>
      <c r="W76" s="71"/>
      <c r="X76" s="71"/>
      <c r="Y76" s="71"/>
      <c r="Z76" s="68"/>
    </row>
    <row r="77" spans="1:26" ht="18" customHeight="1">
      <c r="A77" s="278"/>
      <c r="C77" s="9"/>
      <c r="K77" s="171" t="s">
        <v>14</v>
      </c>
      <c r="L77" s="171"/>
      <c r="N77" s="318" t="str">
        <f ca="1">"제 " &amp; Z77 &amp; " 호표  "&amp; OFFSET($A$1,MATCH(Z77,$A:$A,0)-1,1)</f>
        <v>제 3 호표  1.3. 정비기반시설의 설치현황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3</v>
      </c>
    </row>
    <row r="78" spans="1:26" ht="18" customHeight="1">
      <c r="A78" s="278"/>
      <c r="C78" s="9"/>
      <c r="K78" s="171" t="s">
        <v>14</v>
      </c>
      <c r="L78" s="171"/>
      <c r="N78" s="140" t="s">
        <v>43</v>
      </c>
      <c r="O78" s="172">
        <v>3</v>
      </c>
      <c r="P78" s="219">
        <f ca="1">OFFSET($A$1,MATCH(Z77,$A:$A,0)-1,O78)</f>
        <v>0.81200000000000006</v>
      </c>
      <c r="Q78" s="141" t="s">
        <v>29</v>
      </c>
      <c r="R78" s="142">
        <f t="shared" ref="R78:S83" ca="1" si="16">T78</f>
        <v>467217</v>
      </c>
      <c r="S78" s="142">
        <f t="shared" ca="1" si="16"/>
        <v>379380</v>
      </c>
      <c r="T78" s="142">
        <f ca="1">기술사</f>
        <v>467217</v>
      </c>
      <c r="U78" s="142">
        <f t="shared" ref="U78:U83" ca="1" si="17">ROUNDDOWN(P78*R78,0)</f>
        <v>379380</v>
      </c>
      <c r="V78" s="142"/>
      <c r="W78" s="142"/>
      <c r="X78" s="142"/>
      <c r="Y78" s="142"/>
      <c r="Z78" s="114"/>
    </row>
    <row r="79" spans="1:26" ht="18" customHeight="1">
      <c r="A79" s="278"/>
      <c r="K79" s="171" t="s">
        <v>14</v>
      </c>
      <c r="L79" s="171"/>
      <c r="N79" s="143" t="s">
        <v>32</v>
      </c>
      <c r="O79" s="173">
        <v>4</v>
      </c>
      <c r="P79" s="234">
        <f ca="1">OFFSET($A$1,MATCH(Z77,$A:$A,0)-1,O79)</f>
        <v>1.625</v>
      </c>
      <c r="Q79" s="144" t="s">
        <v>29</v>
      </c>
      <c r="R79" s="118">
        <f t="shared" ca="1" si="16"/>
        <v>373353</v>
      </c>
      <c r="S79" s="118">
        <f t="shared" ca="1" si="16"/>
        <v>606698</v>
      </c>
      <c r="T79" s="118">
        <f ca="1">특급</f>
        <v>373353</v>
      </c>
      <c r="U79" s="118">
        <f t="shared" ca="1" si="17"/>
        <v>606698</v>
      </c>
      <c r="V79" s="118"/>
      <c r="W79" s="118"/>
      <c r="X79" s="118"/>
      <c r="Y79" s="118"/>
      <c r="Z79" s="115"/>
    </row>
    <row r="80" spans="1:26" ht="18" customHeight="1">
      <c r="A80" s="278"/>
      <c r="B80" s="9"/>
      <c r="C80" s="9"/>
      <c r="K80" s="171" t="s">
        <v>14</v>
      </c>
      <c r="L80" s="171"/>
      <c r="N80" s="145" t="s">
        <v>39</v>
      </c>
      <c r="O80" s="173">
        <v>5</v>
      </c>
      <c r="P80" s="234">
        <f ca="1">OFFSET($A$1,MATCH(Z77,$A:$A,0)-1,O80)</f>
        <v>2.1120000000000001</v>
      </c>
      <c r="Q80" s="144" t="s">
        <v>29</v>
      </c>
      <c r="R80" s="118">
        <f t="shared" ca="1" si="16"/>
        <v>310884</v>
      </c>
      <c r="S80" s="118">
        <f t="shared" ca="1" si="16"/>
        <v>656587</v>
      </c>
      <c r="T80" s="118">
        <f ca="1">고급</f>
        <v>310884</v>
      </c>
      <c r="U80" s="118">
        <f t="shared" ca="1" si="17"/>
        <v>656587</v>
      </c>
      <c r="V80" s="118"/>
      <c r="W80" s="118"/>
      <c r="X80" s="118"/>
      <c r="Y80" s="118"/>
      <c r="Z80" s="115"/>
    </row>
    <row r="81" spans="2:26" ht="18" customHeight="1">
      <c r="B81" s="9"/>
      <c r="K81" s="171" t="s">
        <v>14</v>
      </c>
      <c r="L81" s="171"/>
      <c r="N81" s="145" t="s">
        <v>40</v>
      </c>
      <c r="O81" s="173">
        <v>6</v>
      </c>
      <c r="P81" s="234">
        <f ca="1">OFFSET($A$1,MATCH(Z77,$A:$A,0)-1,O81)</f>
        <v>6.5</v>
      </c>
      <c r="Q81" s="144" t="s">
        <v>29</v>
      </c>
      <c r="R81" s="118">
        <f t="shared" ca="1" si="16"/>
        <v>295138</v>
      </c>
      <c r="S81" s="118">
        <f t="shared" ca="1" si="16"/>
        <v>1918397</v>
      </c>
      <c r="T81" s="118">
        <f ca="1">중급</f>
        <v>295138</v>
      </c>
      <c r="U81" s="118">
        <f t="shared" ca="1" si="17"/>
        <v>1918397</v>
      </c>
      <c r="V81" s="118"/>
      <c r="W81" s="118"/>
      <c r="X81" s="118"/>
      <c r="Y81" s="118"/>
      <c r="Z81" s="115"/>
    </row>
    <row r="82" spans="2:26" ht="18" customHeight="1">
      <c r="B82" s="9"/>
      <c r="K82" s="171" t="s">
        <v>14</v>
      </c>
      <c r="L82" s="171"/>
      <c r="N82" s="145" t="s">
        <v>41</v>
      </c>
      <c r="O82" s="173">
        <v>7</v>
      </c>
      <c r="P82" s="234">
        <f ca="1">OFFSET($A$1,MATCH(Z77,$A:$A,0)-1,O82)</f>
        <v>8.4499999999999993</v>
      </c>
      <c r="Q82" s="144" t="s">
        <v>29</v>
      </c>
      <c r="R82" s="118">
        <f t="shared" ca="1" si="16"/>
        <v>235459</v>
      </c>
      <c r="S82" s="118">
        <f t="shared" ca="1" si="16"/>
        <v>1989628</v>
      </c>
      <c r="T82" s="118">
        <f ca="1">초급</f>
        <v>235459</v>
      </c>
      <c r="U82" s="118">
        <f t="shared" ca="1" si="17"/>
        <v>1989628</v>
      </c>
      <c r="V82" s="118"/>
      <c r="W82" s="118"/>
      <c r="X82" s="118"/>
      <c r="Y82" s="118"/>
      <c r="Z82" s="115"/>
    </row>
    <row r="83" spans="2:26" ht="18" customHeight="1">
      <c r="B83" s="9"/>
      <c r="K83" s="171" t="s">
        <v>14</v>
      </c>
      <c r="L83" s="171"/>
      <c r="N83" s="319" t="s">
        <v>42</v>
      </c>
      <c r="O83" s="174">
        <v>8</v>
      </c>
      <c r="P83" s="235">
        <f ca="1">OFFSET($A$1,MATCH(Z77,$A:$A,0)-1,O83)</f>
        <v>14.625</v>
      </c>
      <c r="Q83" s="322" t="s">
        <v>29</v>
      </c>
      <c r="R83" s="323">
        <f t="shared" ca="1" si="16"/>
        <v>250087</v>
      </c>
      <c r="S83" s="323">
        <f t="shared" ca="1" si="16"/>
        <v>3657522</v>
      </c>
      <c r="T83" s="323">
        <f ca="1">보조원</f>
        <v>250087</v>
      </c>
      <c r="U83" s="323">
        <f t="shared" ca="1" si="17"/>
        <v>3657522</v>
      </c>
      <c r="V83" s="323"/>
      <c r="W83" s="323"/>
      <c r="X83" s="323"/>
      <c r="Y83" s="323"/>
      <c r="Z83" s="324"/>
    </row>
    <row r="84" spans="2:26" ht="18" customHeight="1">
      <c r="B84" s="9"/>
      <c r="K84" s="171" t="s">
        <v>14</v>
      </c>
      <c r="L84" s="171"/>
      <c r="N84" s="139" t="s">
        <v>17</v>
      </c>
      <c r="O84" s="68"/>
      <c r="P84" s="69"/>
      <c r="Q84" s="70"/>
      <c r="R84" s="71"/>
      <c r="S84" s="71">
        <f ca="1">SUBTOTAL(9,S78:S83)</f>
        <v>9208212</v>
      </c>
      <c r="T84" s="71"/>
      <c r="U84" s="71">
        <f ca="1">SUBTOTAL(9,U78:U83)</f>
        <v>9208212</v>
      </c>
      <c r="V84" s="71"/>
      <c r="W84" s="71"/>
      <c r="X84" s="71"/>
      <c r="Y84" s="71"/>
      <c r="Z84" s="68"/>
    </row>
    <row r="85" spans="2:26" ht="18" customHeight="1">
      <c r="B85" s="9"/>
      <c r="K85" s="171" t="s">
        <v>14</v>
      </c>
      <c r="L85" s="171"/>
      <c r="N85" s="318" t="str">
        <f ca="1">"제 " &amp; Z85 &amp; " 호표  "&amp; OFFSET($A$1,MATCH(Z85,$A:$A,0)-1,1)</f>
        <v>제 4 호표  1.4. 정비구역·주변지역의 교통상홍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4</v>
      </c>
    </row>
    <row r="86" spans="2:26" ht="18" customHeight="1">
      <c r="B86" s="9"/>
      <c r="K86" s="171" t="s">
        <v>14</v>
      </c>
      <c r="L86" s="171"/>
      <c r="N86" s="140" t="s">
        <v>43</v>
      </c>
      <c r="O86" s="172">
        <v>3</v>
      </c>
      <c r="P86" s="219">
        <f ca="1">OFFSET($A$1,MATCH(Z85,$A:$A,0)-1,O86)</f>
        <v>0.81200000000000006</v>
      </c>
      <c r="Q86" s="141" t="s">
        <v>29</v>
      </c>
      <c r="R86" s="142">
        <f t="shared" ref="R86:S91" ca="1" si="18">T86</f>
        <v>467217</v>
      </c>
      <c r="S86" s="142">
        <f t="shared" ca="1" si="18"/>
        <v>379380</v>
      </c>
      <c r="T86" s="142">
        <f ca="1">기술사</f>
        <v>467217</v>
      </c>
      <c r="U86" s="142">
        <f t="shared" ref="U86:U91" ca="1" si="19">ROUNDDOWN(P86*R86,0)</f>
        <v>379380</v>
      </c>
      <c r="V86" s="142"/>
      <c r="W86" s="142"/>
      <c r="X86" s="142"/>
      <c r="Y86" s="142"/>
      <c r="Z86" s="114"/>
    </row>
    <row r="87" spans="2:26" ht="18" customHeight="1">
      <c r="K87" s="171" t="s">
        <v>14</v>
      </c>
      <c r="L87" s="171"/>
      <c r="N87" s="143" t="s">
        <v>32</v>
      </c>
      <c r="O87" s="173">
        <v>4</v>
      </c>
      <c r="P87" s="234">
        <f ca="1">OFFSET($A$1,MATCH(Z85,$A:$A,0)-1,O87)</f>
        <v>1.625</v>
      </c>
      <c r="Q87" s="144" t="s">
        <v>29</v>
      </c>
      <c r="R87" s="118">
        <f t="shared" ca="1" si="18"/>
        <v>373353</v>
      </c>
      <c r="S87" s="118">
        <f t="shared" ca="1" si="18"/>
        <v>606698</v>
      </c>
      <c r="T87" s="118">
        <f ca="1">특급</f>
        <v>373353</v>
      </c>
      <c r="U87" s="118">
        <f t="shared" ca="1" si="19"/>
        <v>606698</v>
      </c>
      <c r="V87" s="118"/>
      <c r="W87" s="118"/>
      <c r="X87" s="118"/>
      <c r="Y87" s="118"/>
      <c r="Z87" s="115"/>
    </row>
    <row r="88" spans="2:26" ht="18" customHeight="1">
      <c r="K88" s="171" t="s">
        <v>14</v>
      </c>
      <c r="L88" s="171"/>
      <c r="N88" s="145" t="s">
        <v>39</v>
      </c>
      <c r="O88" s="173">
        <v>5</v>
      </c>
      <c r="P88" s="234">
        <f ca="1">OFFSET($A$1,MATCH(Z85,$A:$A,0)-1,O88)</f>
        <v>4.2249999999999996</v>
      </c>
      <c r="Q88" s="144" t="s">
        <v>29</v>
      </c>
      <c r="R88" s="118">
        <f t="shared" ca="1" si="18"/>
        <v>310884</v>
      </c>
      <c r="S88" s="118">
        <f t="shared" ca="1" si="18"/>
        <v>1313484</v>
      </c>
      <c r="T88" s="118">
        <f ca="1">고급</f>
        <v>310884</v>
      </c>
      <c r="U88" s="118">
        <f t="shared" ca="1" si="19"/>
        <v>1313484</v>
      </c>
      <c r="V88" s="118"/>
      <c r="W88" s="118"/>
      <c r="X88" s="118"/>
      <c r="Y88" s="118"/>
      <c r="Z88" s="115"/>
    </row>
    <row r="89" spans="2:26" ht="18" customHeight="1">
      <c r="K89" s="171" t="s">
        <v>14</v>
      </c>
      <c r="L89" s="171"/>
      <c r="N89" s="145" t="s">
        <v>40</v>
      </c>
      <c r="O89" s="173">
        <v>6</v>
      </c>
      <c r="P89" s="234">
        <f ca="1">OFFSET($A$1,MATCH(Z85,$A:$A,0)-1,O89)</f>
        <v>12.186999999999999</v>
      </c>
      <c r="Q89" s="144" t="s">
        <v>29</v>
      </c>
      <c r="R89" s="118">
        <f t="shared" ca="1" si="18"/>
        <v>295138</v>
      </c>
      <c r="S89" s="118">
        <f t="shared" ca="1" si="18"/>
        <v>3596846</v>
      </c>
      <c r="T89" s="118">
        <f ca="1">중급</f>
        <v>295138</v>
      </c>
      <c r="U89" s="118">
        <f t="shared" ca="1" si="19"/>
        <v>3596846</v>
      </c>
      <c r="V89" s="118"/>
      <c r="W89" s="118"/>
      <c r="X89" s="118"/>
      <c r="Y89" s="118"/>
      <c r="Z89" s="115"/>
    </row>
    <row r="90" spans="2:26" ht="18" customHeight="1">
      <c r="K90" s="171" t="s">
        <v>14</v>
      </c>
      <c r="L90" s="171"/>
      <c r="N90" s="145" t="s">
        <v>41</v>
      </c>
      <c r="O90" s="173">
        <v>7</v>
      </c>
      <c r="P90" s="234">
        <f ca="1">OFFSET($A$1,MATCH(Z85,$A:$A,0)-1,O90)</f>
        <v>16.25</v>
      </c>
      <c r="Q90" s="144" t="s">
        <v>29</v>
      </c>
      <c r="R90" s="118">
        <f t="shared" ca="1" si="18"/>
        <v>235459</v>
      </c>
      <c r="S90" s="118">
        <f t="shared" ca="1" si="18"/>
        <v>3826208</v>
      </c>
      <c r="T90" s="118">
        <f ca="1">초급</f>
        <v>235459</v>
      </c>
      <c r="U90" s="118">
        <f t="shared" ca="1" si="19"/>
        <v>3826208</v>
      </c>
      <c r="V90" s="118"/>
      <c r="W90" s="118"/>
      <c r="X90" s="118"/>
      <c r="Y90" s="118"/>
      <c r="Z90" s="115"/>
    </row>
    <row r="91" spans="2:26" ht="18" customHeight="1">
      <c r="K91" s="171" t="s">
        <v>14</v>
      </c>
      <c r="L91" s="171"/>
      <c r="N91" s="319" t="s">
        <v>42</v>
      </c>
      <c r="O91" s="174">
        <v>8</v>
      </c>
      <c r="P91" s="235">
        <f ca="1">OFFSET($A$1,MATCH(Z85,$A:$A,0)-1,O91)</f>
        <v>20.8</v>
      </c>
      <c r="Q91" s="322" t="s">
        <v>29</v>
      </c>
      <c r="R91" s="323">
        <f t="shared" ca="1" si="18"/>
        <v>250087</v>
      </c>
      <c r="S91" s="323">
        <f t="shared" ca="1" si="18"/>
        <v>5201809</v>
      </c>
      <c r="T91" s="323">
        <f ca="1">보조원</f>
        <v>250087</v>
      </c>
      <c r="U91" s="323">
        <f t="shared" ca="1" si="19"/>
        <v>5201809</v>
      </c>
      <c r="V91" s="323"/>
      <c r="W91" s="323"/>
      <c r="X91" s="323"/>
      <c r="Y91" s="323"/>
      <c r="Z91" s="324"/>
    </row>
    <row r="92" spans="2:26" ht="18" customHeight="1">
      <c r="K92" s="171" t="s">
        <v>14</v>
      </c>
      <c r="L92" s="171"/>
      <c r="N92" s="139" t="s">
        <v>17</v>
      </c>
      <c r="O92" s="68"/>
      <c r="P92" s="69"/>
      <c r="Q92" s="70"/>
      <c r="R92" s="71"/>
      <c r="S92" s="71">
        <f ca="1">SUBTOTAL(9,S86:S91)</f>
        <v>14924425</v>
      </c>
      <c r="T92" s="71"/>
      <c r="U92" s="71">
        <f ca="1">SUBTOTAL(9,U86:U91)</f>
        <v>14924425</v>
      </c>
      <c r="V92" s="71"/>
      <c r="W92" s="71"/>
      <c r="X92" s="71"/>
      <c r="Y92" s="71"/>
      <c r="Z92" s="68"/>
    </row>
    <row r="93" spans="2:26" ht="18" customHeight="1">
      <c r="K93" s="171" t="s">
        <v>14</v>
      </c>
      <c r="L93" s="171"/>
      <c r="N93" s="318" t="str">
        <f ca="1">"제 " &amp; Z93 &amp; " 호표  "&amp; OFFSET($A$1,MATCH(Z93,$A:$A,0)-1,1)</f>
        <v>제 5 호표  1.5. 토지·건축물의 가격·임대차 현황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5</v>
      </c>
    </row>
    <row r="94" spans="2:26" ht="18" customHeight="1">
      <c r="K94" s="171" t="s">
        <v>14</v>
      </c>
      <c r="L94" s="171"/>
      <c r="N94" s="140" t="s">
        <v>43</v>
      </c>
      <c r="O94" s="172">
        <v>3</v>
      </c>
      <c r="P94" s="219">
        <f ca="1">OFFSET($A$1,MATCH(Z93,$A:$A,0)-1,O94)</f>
        <v>0.81200000000000006</v>
      </c>
      <c r="Q94" s="141" t="s">
        <v>29</v>
      </c>
      <c r="R94" s="142">
        <f t="shared" ref="R94:S99" ca="1" si="20">T94</f>
        <v>467217</v>
      </c>
      <c r="S94" s="142">
        <f t="shared" ca="1" si="20"/>
        <v>379380</v>
      </c>
      <c r="T94" s="142">
        <f ca="1">기술사</f>
        <v>467217</v>
      </c>
      <c r="U94" s="142">
        <f t="shared" ref="U94:U99" ca="1" si="21">ROUNDDOWN(P94*R94,0)</f>
        <v>379380</v>
      </c>
      <c r="V94" s="142"/>
      <c r="W94" s="142"/>
      <c r="X94" s="142"/>
      <c r="Y94" s="142"/>
      <c r="Z94" s="114"/>
    </row>
    <row r="95" spans="2:26" ht="18" customHeight="1">
      <c r="K95" s="171" t="s">
        <v>14</v>
      </c>
      <c r="L95" s="171"/>
      <c r="N95" s="143" t="s">
        <v>32</v>
      </c>
      <c r="O95" s="173">
        <v>4</v>
      </c>
      <c r="P95" s="234">
        <f ca="1">OFFSET($A$1,MATCH(Z93,$A:$A,0)-1,O95)</f>
        <v>1.625</v>
      </c>
      <c r="Q95" s="144" t="s">
        <v>29</v>
      </c>
      <c r="R95" s="118">
        <f t="shared" ca="1" si="20"/>
        <v>373353</v>
      </c>
      <c r="S95" s="118">
        <f t="shared" ca="1" si="20"/>
        <v>606698</v>
      </c>
      <c r="T95" s="118">
        <f ca="1">특급</f>
        <v>373353</v>
      </c>
      <c r="U95" s="118">
        <f t="shared" ca="1" si="21"/>
        <v>606698</v>
      </c>
      <c r="V95" s="118"/>
      <c r="W95" s="118"/>
      <c r="X95" s="118"/>
      <c r="Y95" s="118"/>
      <c r="Z95" s="115"/>
    </row>
    <row r="96" spans="2:26" ht="18" customHeight="1">
      <c r="K96" s="171" t="s">
        <v>14</v>
      </c>
      <c r="L96" s="171"/>
      <c r="N96" s="145" t="s">
        <v>39</v>
      </c>
      <c r="O96" s="173">
        <v>5</v>
      </c>
      <c r="P96" s="234">
        <f ca="1">OFFSET($A$1,MATCH(Z93,$A:$A,0)-1,O96)</f>
        <v>4.0620000000000003</v>
      </c>
      <c r="Q96" s="144" t="s">
        <v>29</v>
      </c>
      <c r="R96" s="118">
        <f t="shared" ca="1" si="20"/>
        <v>310884</v>
      </c>
      <c r="S96" s="118">
        <f t="shared" ca="1" si="20"/>
        <v>1262810</v>
      </c>
      <c r="T96" s="118">
        <f ca="1">고급</f>
        <v>310884</v>
      </c>
      <c r="U96" s="118">
        <f t="shared" ca="1" si="21"/>
        <v>1262810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40</v>
      </c>
      <c r="O97" s="173">
        <v>6</v>
      </c>
      <c r="P97" s="234">
        <f ca="1">OFFSET($A$1,MATCH(Z93,$A:$A,0)-1,O97)</f>
        <v>10.237</v>
      </c>
      <c r="Q97" s="144" t="s">
        <v>29</v>
      </c>
      <c r="R97" s="118">
        <f t="shared" ca="1" si="20"/>
        <v>295138</v>
      </c>
      <c r="S97" s="118">
        <f t="shared" ca="1" si="20"/>
        <v>3021327</v>
      </c>
      <c r="T97" s="118">
        <f ca="1">중급</f>
        <v>295138</v>
      </c>
      <c r="U97" s="118">
        <f t="shared" ca="1" si="21"/>
        <v>3021327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41</v>
      </c>
      <c r="O98" s="173">
        <v>7</v>
      </c>
      <c r="P98" s="234">
        <f ca="1">OFFSET($A$1,MATCH(Z93,$A:$A,0)-1,O98)</f>
        <v>16.736999999999998</v>
      </c>
      <c r="Q98" s="144" t="s">
        <v>29</v>
      </c>
      <c r="R98" s="118">
        <f t="shared" ca="1" si="20"/>
        <v>235459</v>
      </c>
      <c r="S98" s="118">
        <f t="shared" ca="1" si="20"/>
        <v>3940877</v>
      </c>
      <c r="T98" s="118">
        <f ca="1">초급</f>
        <v>235459</v>
      </c>
      <c r="U98" s="118">
        <f t="shared" ca="1" si="21"/>
        <v>3940877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319" t="s">
        <v>42</v>
      </c>
      <c r="O99" s="174">
        <v>8</v>
      </c>
      <c r="P99" s="235">
        <f ca="1">OFFSET($A$1,MATCH(Z93,$A:$A,0)-1,O99)</f>
        <v>16.574999999999999</v>
      </c>
      <c r="Q99" s="322" t="s">
        <v>29</v>
      </c>
      <c r="R99" s="323">
        <f t="shared" ca="1" si="20"/>
        <v>250087</v>
      </c>
      <c r="S99" s="323">
        <f t="shared" ca="1" si="20"/>
        <v>4145192</v>
      </c>
      <c r="T99" s="323">
        <f ca="1">보조원</f>
        <v>250087</v>
      </c>
      <c r="U99" s="323">
        <f t="shared" ca="1" si="21"/>
        <v>4145192</v>
      </c>
      <c r="V99" s="323"/>
      <c r="W99" s="323"/>
      <c r="X99" s="323"/>
      <c r="Y99" s="323"/>
      <c r="Z99" s="324"/>
    </row>
    <row r="100" spans="11:26" ht="18" customHeight="1">
      <c r="K100" s="171" t="s">
        <v>14</v>
      </c>
      <c r="L100" s="171"/>
      <c r="N100" s="139" t="s">
        <v>17</v>
      </c>
      <c r="O100" s="68"/>
      <c r="P100" s="69"/>
      <c r="Q100" s="70"/>
      <c r="R100" s="71"/>
      <c r="S100" s="71">
        <f ca="1">SUBTOTAL(9,S94:S99)</f>
        <v>13356284</v>
      </c>
      <c r="T100" s="71"/>
      <c r="U100" s="71">
        <f ca="1">SUBTOTAL(9,U94:U99)</f>
        <v>13356284</v>
      </c>
      <c r="V100" s="71"/>
      <c r="W100" s="71"/>
      <c r="X100" s="71"/>
      <c r="Y100" s="71"/>
      <c r="Z100" s="68"/>
    </row>
    <row r="101" spans="11:26" ht="18" customHeight="1">
      <c r="K101" s="171" t="s">
        <v>14</v>
      </c>
      <c r="L101" s="171"/>
      <c r="N101" s="318" t="str">
        <f ca="1">"제 " &amp; Z101 &amp; " 호표  "&amp; OFFSET($A$1,MATCH(Z101,$A:$A,0)-1,1)</f>
        <v>제 6 호표  1.6. 개략 사업성 분석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6</v>
      </c>
    </row>
    <row r="102" spans="11:26" ht="18" customHeight="1">
      <c r="K102" s="171" t="s">
        <v>14</v>
      </c>
      <c r="L102" s="171"/>
      <c r="N102" s="140" t="s">
        <v>43</v>
      </c>
      <c r="O102" s="172">
        <v>3</v>
      </c>
      <c r="P102" s="219">
        <f ca="1">OFFSET($A$1,MATCH(Z101,$A:$A,0)-1,O102)</f>
        <v>0.81200000000000006</v>
      </c>
      <c r="Q102" s="141" t="s">
        <v>29</v>
      </c>
      <c r="R102" s="142">
        <f t="shared" ref="R102:S107" ca="1" si="22">T102</f>
        <v>467217</v>
      </c>
      <c r="S102" s="142">
        <f t="shared" ca="1" si="22"/>
        <v>379380</v>
      </c>
      <c r="T102" s="142">
        <f ca="1">기술사</f>
        <v>467217</v>
      </c>
      <c r="U102" s="142">
        <f t="shared" ref="U102:U107" ca="1" si="23">ROUNDDOWN(P102*R102,0)</f>
        <v>379380</v>
      </c>
      <c r="V102" s="142"/>
      <c r="W102" s="142"/>
      <c r="X102" s="142"/>
      <c r="Y102" s="142"/>
      <c r="Z102" s="114"/>
    </row>
    <row r="103" spans="11:26" ht="18" customHeight="1">
      <c r="K103" s="171" t="s">
        <v>14</v>
      </c>
      <c r="L103" s="171"/>
      <c r="N103" s="143" t="s">
        <v>32</v>
      </c>
      <c r="O103" s="173">
        <v>4</v>
      </c>
      <c r="P103" s="234">
        <f ca="1">OFFSET($A$1,MATCH(Z101,$A:$A,0)-1,O103)</f>
        <v>1.3</v>
      </c>
      <c r="Q103" s="144" t="s">
        <v>29</v>
      </c>
      <c r="R103" s="118">
        <f t="shared" ca="1" si="22"/>
        <v>373353</v>
      </c>
      <c r="S103" s="118">
        <f t="shared" ca="1" si="22"/>
        <v>485358</v>
      </c>
      <c r="T103" s="118">
        <f ca="1">특급</f>
        <v>373353</v>
      </c>
      <c r="U103" s="118">
        <f t="shared" ca="1" si="23"/>
        <v>485358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N104" s="145" t="s">
        <v>39</v>
      </c>
      <c r="O104" s="173">
        <v>5</v>
      </c>
      <c r="P104" s="234">
        <f ca="1">OFFSET($A$1,MATCH(Z101,$A:$A,0)-1,O104)</f>
        <v>2.2749999999999999</v>
      </c>
      <c r="Q104" s="144" t="s">
        <v>29</v>
      </c>
      <c r="R104" s="118">
        <f t="shared" ca="1" si="22"/>
        <v>310884</v>
      </c>
      <c r="S104" s="118">
        <f t="shared" ca="1" si="22"/>
        <v>707261</v>
      </c>
      <c r="T104" s="118">
        <f ca="1">고급</f>
        <v>310884</v>
      </c>
      <c r="U104" s="118">
        <f t="shared" ca="1" si="23"/>
        <v>707261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40</v>
      </c>
      <c r="O105" s="173">
        <v>6</v>
      </c>
      <c r="P105" s="234">
        <f ca="1">OFFSET($A$1,MATCH(Z101,$A:$A,0)-1,O105)</f>
        <v>3.25</v>
      </c>
      <c r="Q105" s="144" t="s">
        <v>29</v>
      </c>
      <c r="R105" s="118">
        <f t="shared" ca="1" si="22"/>
        <v>295138</v>
      </c>
      <c r="S105" s="118">
        <f t="shared" ca="1" si="22"/>
        <v>959198</v>
      </c>
      <c r="T105" s="118">
        <f ca="1">중급</f>
        <v>295138</v>
      </c>
      <c r="U105" s="118">
        <f t="shared" ca="1" si="23"/>
        <v>959198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41</v>
      </c>
      <c r="O106" s="173">
        <v>7</v>
      </c>
      <c r="P106" s="234">
        <f ca="1">OFFSET($A$1,MATCH(Z101,$A:$A,0)-1,O106)</f>
        <v>3.25</v>
      </c>
      <c r="Q106" s="144" t="s">
        <v>29</v>
      </c>
      <c r="R106" s="118">
        <f t="shared" ca="1" si="22"/>
        <v>235459</v>
      </c>
      <c r="S106" s="118">
        <f t="shared" ca="1" si="22"/>
        <v>765241</v>
      </c>
      <c r="T106" s="118">
        <f ca="1">초급</f>
        <v>235459</v>
      </c>
      <c r="U106" s="118">
        <f t="shared" ca="1" si="23"/>
        <v>765241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319" t="s">
        <v>42</v>
      </c>
      <c r="O107" s="174">
        <v>8</v>
      </c>
      <c r="P107" s="235">
        <f ca="1">OFFSET($A$1,MATCH(Z101,$A:$A,0)-1,O107)</f>
        <v>3.25</v>
      </c>
      <c r="Q107" s="322" t="s">
        <v>29</v>
      </c>
      <c r="R107" s="323">
        <f t="shared" ca="1" si="22"/>
        <v>250087</v>
      </c>
      <c r="S107" s="323">
        <f t="shared" ca="1" si="22"/>
        <v>812782</v>
      </c>
      <c r="T107" s="323">
        <f ca="1">보조원</f>
        <v>250087</v>
      </c>
      <c r="U107" s="323">
        <f t="shared" ca="1" si="23"/>
        <v>812782</v>
      </c>
      <c r="V107" s="323"/>
      <c r="W107" s="323"/>
      <c r="X107" s="323"/>
      <c r="Y107" s="323"/>
      <c r="Z107" s="324"/>
    </row>
    <row r="108" spans="11:26" ht="18" customHeight="1">
      <c r="K108" s="171" t="s">
        <v>14</v>
      </c>
      <c r="L108" s="171"/>
      <c r="N108" s="139" t="s">
        <v>17</v>
      </c>
      <c r="O108" s="68"/>
      <c r="P108" s="69"/>
      <c r="Q108" s="70"/>
      <c r="R108" s="71"/>
      <c r="S108" s="71">
        <f ca="1">SUBTOTAL(9,S102:S107)</f>
        <v>4109220</v>
      </c>
      <c r="T108" s="71"/>
      <c r="U108" s="71">
        <f ca="1">SUBTOTAL(9,U102:U107)</f>
        <v>4109220</v>
      </c>
      <c r="V108" s="71"/>
      <c r="W108" s="71"/>
      <c r="X108" s="71"/>
      <c r="Y108" s="71"/>
      <c r="Z108" s="68"/>
    </row>
    <row r="109" spans="11:26" ht="18" customHeight="1">
      <c r="K109" s="171" t="s">
        <v>14</v>
      </c>
      <c r="L109" s="171"/>
      <c r="N109" s="318" t="str">
        <f ca="1">"제 " &amp; Z109 &amp; " 호표  "&amp; OFFSET($A$1,MATCH(Z109,$A:$A,0)-1,1)</f>
        <v>제 7 호표  1.7. 정비사업에 대한 주민의 의견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7</v>
      </c>
    </row>
    <row r="110" spans="11:26" ht="18" customHeight="1">
      <c r="K110" s="171" t="s">
        <v>14</v>
      </c>
      <c r="L110" s="171"/>
      <c r="N110" s="140" t="s">
        <v>43</v>
      </c>
      <c r="O110" s="172">
        <v>3</v>
      </c>
      <c r="P110" s="219">
        <f ca="1">OFFSET($A$1,MATCH(Z109,$A:$A,0)-1,O110)</f>
        <v>0</v>
      </c>
      <c r="Q110" s="141" t="s">
        <v>29</v>
      </c>
      <c r="R110" s="142">
        <f t="shared" ref="R110:S115" ca="1" si="24">T110</f>
        <v>467217</v>
      </c>
      <c r="S110" s="142">
        <f t="shared" ca="1" si="24"/>
        <v>0</v>
      </c>
      <c r="T110" s="142">
        <f ca="1">기술사</f>
        <v>467217</v>
      </c>
      <c r="U110" s="142">
        <f t="shared" ref="U110:U115" ca="1" si="25">ROUNDDOWN(P110*R110,0)</f>
        <v>0</v>
      </c>
      <c r="V110" s="142"/>
      <c r="W110" s="142"/>
      <c r="X110" s="142"/>
      <c r="Y110" s="142"/>
      <c r="Z110" s="114"/>
    </row>
    <row r="111" spans="11:26" ht="18" customHeight="1">
      <c r="K111" s="171" t="s">
        <v>14</v>
      </c>
      <c r="L111" s="171"/>
      <c r="N111" s="143" t="s">
        <v>32</v>
      </c>
      <c r="O111" s="173">
        <v>4</v>
      </c>
      <c r="P111" s="234">
        <f ca="1">OFFSET($A$1,MATCH(Z109,$A:$A,0)-1,O111)</f>
        <v>0</v>
      </c>
      <c r="Q111" s="144" t="s">
        <v>29</v>
      </c>
      <c r="R111" s="118">
        <f t="shared" ca="1" si="24"/>
        <v>373353</v>
      </c>
      <c r="S111" s="118">
        <f t="shared" ca="1" si="24"/>
        <v>0</v>
      </c>
      <c r="T111" s="118">
        <f ca="1">특급</f>
        <v>373353</v>
      </c>
      <c r="U111" s="118">
        <f t="shared" ca="1" si="25"/>
        <v>0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N112" s="145" t="s">
        <v>39</v>
      </c>
      <c r="O112" s="173">
        <v>5</v>
      </c>
      <c r="P112" s="234">
        <f ca="1">OFFSET($A$1,MATCH(Z109,$A:$A,0)-1,O112)</f>
        <v>3.9</v>
      </c>
      <c r="Q112" s="144" t="s">
        <v>29</v>
      </c>
      <c r="R112" s="118">
        <f t="shared" ca="1" si="24"/>
        <v>310884</v>
      </c>
      <c r="S112" s="118">
        <f t="shared" ca="1" si="24"/>
        <v>1212447</v>
      </c>
      <c r="T112" s="118">
        <f ca="1">고급</f>
        <v>310884</v>
      </c>
      <c r="U112" s="118">
        <f t="shared" ca="1" si="25"/>
        <v>1212447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40</v>
      </c>
      <c r="O113" s="173">
        <v>6</v>
      </c>
      <c r="P113" s="234">
        <f ca="1">OFFSET($A$1,MATCH(Z109,$A:$A,0)-1,O113)</f>
        <v>12.837</v>
      </c>
      <c r="Q113" s="144" t="s">
        <v>29</v>
      </c>
      <c r="R113" s="118">
        <f t="shared" ca="1" si="24"/>
        <v>295138</v>
      </c>
      <c r="S113" s="118">
        <f t="shared" ca="1" si="24"/>
        <v>3788686</v>
      </c>
      <c r="T113" s="118">
        <f ca="1">중급</f>
        <v>295138</v>
      </c>
      <c r="U113" s="118">
        <f t="shared" ca="1" si="25"/>
        <v>3788686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41</v>
      </c>
      <c r="O114" s="173">
        <v>7</v>
      </c>
      <c r="P114" s="234">
        <f ca="1">OFFSET($A$1,MATCH(Z109,$A:$A,0)-1,O114)</f>
        <v>16.25</v>
      </c>
      <c r="Q114" s="144" t="s">
        <v>29</v>
      </c>
      <c r="R114" s="118">
        <f t="shared" ca="1" si="24"/>
        <v>235459</v>
      </c>
      <c r="S114" s="118">
        <f t="shared" ca="1" si="24"/>
        <v>3826208</v>
      </c>
      <c r="T114" s="118">
        <f ca="1">초급</f>
        <v>235459</v>
      </c>
      <c r="U114" s="118">
        <f t="shared" ca="1" si="25"/>
        <v>3826208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319" t="s">
        <v>42</v>
      </c>
      <c r="O115" s="174">
        <v>8</v>
      </c>
      <c r="P115" s="235">
        <f ca="1">OFFSET($A$1,MATCH(Z109,$A:$A,0)-1,O115)</f>
        <v>20.8</v>
      </c>
      <c r="Q115" s="322" t="s">
        <v>29</v>
      </c>
      <c r="R115" s="323">
        <f t="shared" ca="1" si="24"/>
        <v>250087</v>
      </c>
      <c r="S115" s="323">
        <f t="shared" ca="1" si="24"/>
        <v>5201809</v>
      </c>
      <c r="T115" s="323">
        <f ca="1">보조원</f>
        <v>250087</v>
      </c>
      <c r="U115" s="323">
        <f t="shared" ca="1" si="25"/>
        <v>5201809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N116" s="139" t="s">
        <v>17</v>
      </c>
      <c r="O116" s="68"/>
      <c r="P116" s="69"/>
      <c r="Q116" s="70"/>
      <c r="R116" s="71"/>
      <c r="S116" s="71">
        <f ca="1">SUBTOTAL(9,S110:S115)</f>
        <v>14029150</v>
      </c>
      <c r="T116" s="71"/>
      <c r="U116" s="71">
        <f ca="1">SUBTOTAL(9,U110:U115)</f>
        <v>14029150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N117" s="318" t="str">
        <f ca="1">"제 " &amp; Z117 &amp; " 호표  "&amp; OFFSET($A$1,MATCH(Z117,$A:$A,0)-1,1)</f>
        <v>제 8 호표  2.1. 토지이용계획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8</v>
      </c>
    </row>
    <row r="118" spans="11:26" ht="18" customHeight="1">
      <c r="K118" s="171" t="s">
        <v>14</v>
      </c>
      <c r="L118" s="171"/>
      <c r="N118" s="140" t="s">
        <v>43</v>
      </c>
      <c r="O118" s="172">
        <v>3</v>
      </c>
      <c r="P118" s="219">
        <f ca="1">OFFSET($A$1,MATCH(Z117,$A:$A,0)-1,O118)</f>
        <v>0.32500000000000001</v>
      </c>
      <c r="Q118" s="141" t="s">
        <v>29</v>
      </c>
      <c r="R118" s="142">
        <f t="shared" ref="R118:S123" ca="1" si="26">T118</f>
        <v>467217</v>
      </c>
      <c r="S118" s="142">
        <f t="shared" ca="1" si="26"/>
        <v>151845</v>
      </c>
      <c r="T118" s="142">
        <f ca="1">기술사</f>
        <v>467217</v>
      </c>
      <c r="U118" s="142">
        <f t="shared" ref="U118:U123" ca="1" si="27">ROUNDDOWN(P118*R118,0)</f>
        <v>151845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N119" s="143" t="s">
        <v>32</v>
      </c>
      <c r="O119" s="173">
        <v>4</v>
      </c>
      <c r="P119" s="234">
        <f ca="1">OFFSET($A$1,MATCH(Z117,$A:$A,0)-1,O119)</f>
        <v>0.81200000000000006</v>
      </c>
      <c r="Q119" s="144" t="s">
        <v>29</v>
      </c>
      <c r="R119" s="118">
        <f t="shared" ca="1" si="26"/>
        <v>373353</v>
      </c>
      <c r="S119" s="118">
        <f t="shared" ca="1" si="26"/>
        <v>303162</v>
      </c>
      <c r="T119" s="118">
        <f ca="1">특급</f>
        <v>373353</v>
      </c>
      <c r="U119" s="118">
        <f t="shared" ca="1" si="27"/>
        <v>303162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39</v>
      </c>
      <c r="O120" s="173">
        <v>5</v>
      </c>
      <c r="P120" s="234">
        <f ca="1">OFFSET($A$1,MATCH(Z117,$A:$A,0)-1,O120)</f>
        <v>1.7869999999999999</v>
      </c>
      <c r="Q120" s="144" t="s">
        <v>29</v>
      </c>
      <c r="R120" s="118">
        <f t="shared" ca="1" si="26"/>
        <v>310884</v>
      </c>
      <c r="S120" s="118">
        <f t="shared" ca="1" si="26"/>
        <v>555549</v>
      </c>
      <c r="T120" s="118">
        <f ca="1">고급</f>
        <v>310884</v>
      </c>
      <c r="U120" s="118">
        <f t="shared" ca="1" si="27"/>
        <v>555549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40</v>
      </c>
      <c r="O121" s="173">
        <v>6</v>
      </c>
      <c r="P121" s="234">
        <f ca="1">OFFSET($A$1,MATCH(Z117,$A:$A,0)-1,O121)</f>
        <v>3.7370000000000001</v>
      </c>
      <c r="Q121" s="144" t="s">
        <v>29</v>
      </c>
      <c r="R121" s="118">
        <f t="shared" ca="1" si="26"/>
        <v>295138</v>
      </c>
      <c r="S121" s="118">
        <f t="shared" ca="1" si="26"/>
        <v>1102930</v>
      </c>
      <c r="T121" s="118">
        <f ca="1">중급</f>
        <v>295138</v>
      </c>
      <c r="U121" s="118">
        <f t="shared" ca="1" si="27"/>
        <v>1102930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41</v>
      </c>
      <c r="O122" s="173">
        <v>7</v>
      </c>
      <c r="P122" s="234">
        <f ca="1">OFFSET($A$1,MATCH(Z117,$A:$A,0)-1,O122)</f>
        <v>5.6870000000000003</v>
      </c>
      <c r="Q122" s="144" t="s">
        <v>29</v>
      </c>
      <c r="R122" s="118">
        <f t="shared" ca="1" si="26"/>
        <v>235459</v>
      </c>
      <c r="S122" s="118">
        <f t="shared" ca="1" si="26"/>
        <v>1339055</v>
      </c>
      <c r="T122" s="118">
        <f ca="1">초급</f>
        <v>235459</v>
      </c>
      <c r="U122" s="118">
        <f t="shared" ca="1" si="27"/>
        <v>1339055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319" t="s">
        <v>42</v>
      </c>
      <c r="O123" s="174">
        <v>8</v>
      </c>
      <c r="P123" s="235">
        <f ca="1">OFFSET($A$1,MATCH(Z117,$A:$A,0)-1,O123)</f>
        <v>5.5250000000000004</v>
      </c>
      <c r="Q123" s="322" t="s">
        <v>29</v>
      </c>
      <c r="R123" s="323">
        <f t="shared" ca="1" si="26"/>
        <v>250087</v>
      </c>
      <c r="S123" s="323">
        <f t="shared" ca="1" si="26"/>
        <v>1381730</v>
      </c>
      <c r="T123" s="323">
        <f ca="1">보조원</f>
        <v>250087</v>
      </c>
      <c r="U123" s="323">
        <f t="shared" ca="1" si="27"/>
        <v>1381730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N124" s="139" t="s">
        <v>17</v>
      </c>
      <c r="O124" s="68"/>
      <c r="P124" s="69"/>
      <c r="Q124" s="70"/>
      <c r="R124" s="71"/>
      <c r="S124" s="71">
        <f ca="1">SUBTOTAL(9,S118:S123)</f>
        <v>4834271</v>
      </c>
      <c r="T124" s="71"/>
      <c r="U124" s="71">
        <f ca="1">SUBTOTAL(9,U118:U123)</f>
        <v>4834271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N125" s="318" t="str">
        <f ca="1">"제 " &amp; Z125 &amp; " 호표  "&amp; OFFSET($A$1,MATCH(Z125,$A:$A,0)-1,1)</f>
        <v>제 9 호표  2.2. 기반시설 및 공공용지 분담계획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9</v>
      </c>
    </row>
    <row r="126" spans="11:26" ht="18" customHeight="1">
      <c r="K126" s="171" t="s">
        <v>14</v>
      </c>
      <c r="L126" s="171"/>
      <c r="N126" s="140" t="s">
        <v>43</v>
      </c>
      <c r="O126" s="172">
        <v>3</v>
      </c>
      <c r="P126" s="219">
        <f ca="1">OFFSET($A$1,MATCH(Z125,$A:$A,0)-1,O126)</f>
        <v>0.32500000000000001</v>
      </c>
      <c r="Q126" s="141" t="s">
        <v>29</v>
      </c>
      <c r="R126" s="142">
        <f t="shared" ref="R126:S131" ca="1" si="28">T126</f>
        <v>467217</v>
      </c>
      <c r="S126" s="142">
        <f t="shared" ca="1" si="28"/>
        <v>151845</v>
      </c>
      <c r="T126" s="142">
        <f ca="1">기술사</f>
        <v>467217</v>
      </c>
      <c r="U126" s="142">
        <f t="shared" ref="U126:U131" ca="1" si="29">ROUNDDOWN(P126*R126,0)</f>
        <v>151845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N127" s="143" t="s">
        <v>32</v>
      </c>
      <c r="O127" s="173">
        <v>4</v>
      </c>
      <c r="P127" s="234">
        <f ca="1">OFFSET($A$1,MATCH(Z125,$A:$A,0)-1,O127)</f>
        <v>0.81200000000000006</v>
      </c>
      <c r="Q127" s="144" t="s">
        <v>29</v>
      </c>
      <c r="R127" s="118">
        <f t="shared" ca="1" si="28"/>
        <v>373353</v>
      </c>
      <c r="S127" s="118">
        <f t="shared" ca="1" si="28"/>
        <v>303162</v>
      </c>
      <c r="T127" s="118">
        <f ca="1">특급</f>
        <v>373353</v>
      </c>
      <c r="U127" s="118">
        <f t="shared" ca="1" si="29"/>
        <v>303162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N128" s="145" t="s">
        <v>39</v>
      </c>
      <c r="O128" s="173">
        <v>5</v>
      </c>
      <c r="P128" s="234">
        <f ca="1">OFFSET($A$1,MATCH(Z125,$A:$A,0)-1,O128)</f>
        <v>1.7869999999999999</v>
      </c>
      <c r="Q128" s="144" t="s">
        <v>29</v>
      </c>
      <c r="R128" s="118">
        <f t="shared" ca="1" si="28"/>
        <v>310884</v>
      </c>
      <c r="S128" s="118">
        <f t="shared" ca="1" si="28"/>
        <v>555549</v>
      </c>
      <c r="T128" s="118">
        <f ca="1">고급</f>
        <v>310884</v>
      </c>
      <c r="U128" s="118">
        <f t="shared" ca="1" si="29"/>
        <v>555549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40</v>
      </c>
      <c r="O129" s="173">
        <v>6</v>
      </c>
      <c r="P129" s="234">
        <f ca="1">OFFSET($A$1,MATCH(Z125,$A:$A,0)-1,O129)</f>
        <v>3.7370000000000001</v>
      </c>
      <c r="Q129" s="144" t="s">
        <v>29</v>
      </c>
      <c r="R129" s="118">
        <f t="shared" ca="1" si="28"/>
        <v>295138</v>
      </c>
      <c r="S129" s="118">
        <f t="shared" ca="1" si="28"/>
        <v>1102930</v>
      </c>
      <c r="T129" s="118">
        <f ca="1">중급</f>
        <v>295138</v>
      </c>
      <c r="U129" s="118">
        <f t="shared" ca="1" si="29"/>
        <v>1102930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145" t="s">
        <v>41</v>
      </c>
      <c r="O130" s="173">
        <v>7</v>
      </c>
      <c r="P130" s="234">
        <f ca="1">OFFSET($A$1,MATCH(Z125,$A:$A,0)-1,O130)</f>
        <v>5.6870000000000003</v>
      </c>
      <c r="Q130" s="144" t="s">
        <v>29</v>
      </c>
      <c r="R130" s="118">
        <f t="shared" ca="1" si="28"/>
        <v>235459</v>
      </c>
      <c r="S130" s="118">
        <f t="shared" ca="1" si="28"/>
        <v>1339055</v>
      </c>
      <c r="T130" s="118">
        <f ca="1">초급</f>
        <v>235459</v>
      </c>
      <c r="U130" s="118">
        <f t="shared" ca="1" si="29"/>
        <v>1339055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319" t="s">
        <v>42</v>
      </c>
      <c r="O131" s="174">
        <v>8</v>
      </c>
      <c r="P131" s="235">
        <f ca="1">OFFSET($A$1,MATCH(Z125,$A:$A,0)-1,O131)</f>
        <v>5.5250000000000004</v>
      </c>
      <c r="Q131" s="322" t="s">
        <v>29</v>
      </c>
      <c r="R131" s="323">
        <f t="shared" ca="1" si="28"/>
        <v>250087</v>
      </c>
      <c r="S131" s="323">
        <f t="shared" ca="1" si="28"/>
        <v>1381730</v>
      </c>
      <c r="T131" s="323">
        <f ca="1">보조원</f>
        <v>250087</v>
      </c>
      <c r="U131" s="323">
        <f t="shared" ca="1" si="29"/>
        <v>1381730</v>
      </c>
      <c r="V131" s="323"/>
      <c r="W131" s="323"/>
      <c r="X131" s="323"/>
      <c r="Y131" s="323"/>
      <c r="Z131" s="324"/>
    </row>
    <row r="132" spans="11:26" ht="18" customHeight="1">
      <c r="K132" s="171" t="s">
        <v>14</v>
      </c>
      <c r="L132" s="171"/>
      <c r="M132" s="171"/>
      <c r="N132" s="139" t="s">
        <v>17</v>
      </c>
      <c r="O132" s="68"/>
      <c r="P132" s="69"/>
      <c r="Q132" s="70"/>
      <c r="R132" s="71"/>
      <c r="S132" s="71">
        <f ca="1">SUBTOTAL(9,S126:S131)</f>
        <v>4834271</v>
      </c>
      <c r="T132" s="71"/>
      <c r="U132" s="71">
        <f ca="1">SUBTOTAL(9,U126:U131)</f>
        <v>4834271</v>
      </c>
      <c r="V132" s="71"/>
      <c r="W132" s="71"/>
      <c r="X132" s="71"/>
      <c r="Y132" s="71"/>
      <c r="Z132" s="68"/>
    </row>
    <row r="133" spans="11:26" ht="18" customHeight="1">
      <c r="K133" s="171" t="s">
        <v>14</v>
      </c>
      <c r="L133" s="171"/>
      <c r="M133" s="171"/>
      <c r="N133" s="318" t="str">
        <f ca="1">"제 " &amp; Z133 &amp; " 호표  "&amp; OFFSET($A$1,MATCH(Z133,$A:$A,0)-1,1)</f>
        <v>제 10 호표  2.3. 교통처리 계획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10</v>
      </c>
    </row>
    <row r="134" spans="11:26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219">
        <f ca="1">OFFSET($A$1,MATCH(Z133,$A:$A,0)-1,O134)</f>
        <v>0.32500000000000001</v>
      </c>
      <c r="Q134" s="141" t="s">
        <v>29</v>
      </c>
      <c r="R134" s="142">
        <f t="shared" ref="R134:S139" ca="1" si="30">T134</f>
        <v>467217</v>
      </c>
      <c r="S134" s="142">
        <f t="shared" ca="1" si="30"/>
        <v>151845</v>
      </c>
      <c r="T134" s="142">
        <f ca="1">기술사</f>
        <v>467217</v>
      </c>
      <c r="U134" s="142">
        <f t="shared" ref="U134:U139" ca="1" si="31">ROUNDDOWN(P134*R134,0)</f>
        <v>151845</v>
      </c>
      <c r="V134" s="142"/>
      <c r="W134" s="142"/>
      <c r="X134" s="142"/>
      <c r="Y134" s="142"/>
      <c r="Z134" s="114"/>
    </row>
    <row r="135" spans="11:26" ht="18" customHeight="1">
      <c r="K135" s="171" t="s">
        <v>14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0.48699999999999999</v>
      </c>
      <c r="Q135" s="144" t="s">
        <v>29</v>
      </c>
      <c r="R135" s="118">
        <f t="shared" ca="1" si="30"/>
        <v>373353</v>
      </c>
      <c r="S135" s="118">
        <f t="shared" ca="1" si="30"/>
        <v>181822</v>
      </c>
      <c r="T135" s="118">
        <f ca="1">특급</f>
        <v>373353</v>
      </c>
      <c r="U135" s="118">
        <f t="shared" ca="1" si="31"/>
        <v>181822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1.3</v>
      </c>
      <c r="Q136" s="144" t="s">
        <v>29</v>
      </c>
      <c r="R136" s="118">
        <f t="shared" ca="1" si="30"/>
        <v>310884</v>
      </c>
      <c r="S136" s="118">
        <f t="shared" ca="1" si="30"/>
        <v>404149</v>
      </c>
      <c r="T136" s="118">
        <f ca="1">고급</f>
        <v>310884</v>
      </c>
      <c r="U136" s="118">
        <f t="shared" ca="1" si="31"/>
        <v>404149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2.2749999999999999</v>
      </c>
      <c r="Q137" s="144" t="s">
        <v>29</v>
      </c>
      <c r="R137" s="118">
        <f t="shared" ca="1" si="30"/>
        <v>295138</v>
      </c>
      <c r="S137" s="118">
        <f t="shared" ca="1" si="30"/>
        <v>671438</v>
      </c>
      <c r="T137" s="118">
        <f ca="1">중급</f>
        <v>295138</v>
      </c>
      <c r="U137" s="118">
        <f t="shared" ca="1" si="31"/>
        <v>671438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2.762</v>
      </c>
      <c r="Q138" s="144" t="s">
        <v>29</v>
      </c>
      <c r="R138" s="118">
        <f t="shared" ca="1" si="30"/>
        <v>235459</v>
      </c>
      <c r="S138" s="118">
        <f t="shared" ca="1" si="30"/>
        <v>650337</v>
      </c>
      <c r="T138" s="118">
        <f ca="1">초급</f>
        <v>235459</v>
      </c>
      <c r="U138" s="118">
        <f t="shared" ca="1" si="31"/>
        <v>650337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2.762</v>
      </c>
      <c r="Q139" s="322" t="s">
        <v>29</v>
      </c>
      <c r="R139" s="323">
        <f t="shared" ca="1" si="30"/>
        <v>250087</v>
      </c>
      <c r="S139" s="323">
        <f t="shared" ca="1" si="30"/>
        <v>690740</v>
      </c>
      <c r="T139" s="323">
        <f ca="1">보조원</f>
        <v>250087</v>
      </c>
      <c r="U139" s="323">
        <f t="shared" ca="1" si="31"/>
        <v>690740</v>
      </c>
      <c r="V139" s="323"/>
      <c r="W139" s="323"/>
      <c r="X139" s="323"/>
      <c r="Y139" s="323"/>
      <c r="Z139" s="324"/>
    </row>
    <row r="140" spans="11:26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2750331</v>
      </c>
      <c r="T140" s="71"/>
      <c r="U140" s="71">
        <f ca="1">SUBTOTAL(9,U134:U139)</f>
        <v>2750331</v>
      </c>
      <c r="V140" s="71"/>
      <c r="W140" s="71"/>
      <c r="X140" s="71"/>
      <c r="Y140" s="71"/>
      <c r="Z140" s="68"/>
    </row>
    <row r="141" spans="11:26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11 호표  3.1. 상위·주변지역 계획과 정합성 유지방안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11</v>
      </c>
    </row>
    <row r="142" spans="11:26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0.48699999999999999</v>
      </c>
      <c r="Q142" s="141" t="s">
        <v>29</v>
      </c>
      <c r="R142" s="142">
        <f t="shared" ref="R142:S147" ca="1" si="32">T142</f>
        <v>467217</v>
      </c>
      <c r="S142" s="142">
        <f t="shared" ca="1" si="32"/>
        <v>227534</v>
      </c>
      <c r="T142" s="142">
        <f ca="1">기술사</f>
        <v>467217</v>
      </c>
      <c r="U142" s="142">
        <f t="shared" ref="U142:U147" ca="1" si="33">ROUNDDOWN(P142*R142,0)</f>
        <v>227534</v>
      </c>
      <c r="V142" s="142"/>
      <c r="W142" s="142"/>
      <c r="X142" s="142"/>
      <c r="Y142" s="142"/>
      <c r="Z142" s="114"/>
    </row>
    <row r="143" spans="11:26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0.81200000000000006</v>
      </c>
      <c r="Q143" s="144" t="s">
        <v>29</v>
      </c>
      <c r="R143" s="118">
        <f t="shared" ca="1" si="32"/>
        <v>373353</v>
      </c>
      <c r="S143" s="118">
        <f t="shared" ca="1" si="32"/>
        <v>303162</v>
      </c>
      <c r="T143" s="118">
        <f ca="1">특급</f>
        <v>373353</v>
      </c>
      <c r="U143" s="118">
        <f t="shared" ca="1" si="33"/>
        <v>303162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2.6</v>
      </c>
      <c r="Q144" s="144" t="s">
        <v>29</v>
      </c>
      <c r="R144" s="118">
        <f t="shared" ca="1" si="32"/>
        <v>310884</v>
      </c>
      <c r="S144" s="118">
        <f t="shared" ca="1" si="32"/>
        <v>808298</v>
      </c>
      <c r="T144" s="118">
        <f ca="1">고급</f>
        <v>310884</v>
      </c>
      <c r="U144" s="118">
        <f t="shared" ca="1" si="33"/>
        <v>808298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4.875</v>
      </c>
      <c r="Q145" s="144" t="s">
        <v>29</v>
      </c>
      <c r="R145" s="118">
        <f t="shared" ca="1" si="32"/>
        <v>295138</v>
      </c>
      <c r="S145" s="118">
        <f t="shared" ca="1" si="32"/>
        <v>1438797</v>
      </c>
      <c r="T145" s="118">
        <f ca="1">중급</f>
        <v>295138</v>
      </c>
      <c r="U145" s="118">
        <f t="shared" ca="1" si="33"/>
        <v>1438797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6.1749999999999998</v>
      </c>
      <c r="Q146" s="144" t="s">
        <v>29</v>
      </c>
      <c r="R146" s="118">
        <f t="shared" ca="1" si="32"/>
        <v>235459</v>
      </c>
      <c r="S146" s="118">
        <f t="shared" ca="1" si="32"/>
        <v>1453959</v>
      </c>
      <c r="T146" s="118">
        <f ca="1">초급</f>
        <v>235459</v>
      </c>
      <c r="U146" s="118">
        <f t="shared" ca="1" si="33"/>
        <v>1453959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5.85</v>
      </c>
      <c r="Q147" s="322" t="s">
        <v>29</v>
      </c>
      <c r="R147" s="323">
        <f t="shared" ca="1" si="32"/>
        <v>250087</v>
      </c>
      <c r="S147" s="323">
        <f t="shared" ca="1" si="32"/>
        <v>1463008</v>
      </c>
      <c r="T147" s="323">
        <f ca="1">보조원</f>
        <v>250087</v>
      </c>
      <c r="U147" s="323">
        <f t="shared" ca="1" si="33"/>
        <v>1463008</v>
      </c>
      <c r="V147" s="323"/>
      <c r="W147" s="323"/>
      <c r="X147" s="323"/>
      <c r="Y147" s="323"/>
      <c r="Z147" s="324"/>
    </row>
    <row r="148" spans="11:26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5694758</v>
      </c>
      <c r="T148" s="71"/>
      <c r="U148" s="71">
        <f ca="1">SUBTOTAL(9,U142:U147)</f>
        <v>5694758</v>
      </c>
      <c r="V148" s="71"/>
      <c r="W148" s="71"/>
      <c r="X148" s="71"/>
      <c r="Y148" s="71"/>
      <c r="Z148" s="68"/>
    </row>
    <row r="149" spans="11:26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12 호표  3.2. 정비기반시설의 조정방안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12</v>
      </c>
    </row>
    <row r="150" spans="11:26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3.7370000000000001</v>
      </c>
      <c r="Q150" s="141" t="s">
        <v>29</v>
      </c>
      <c r="R150" s="142">
        <f t="shared" ref="R150:S155" ca="1" si="34">T150</f>
        <v>467217</v>
      </c>
      <c r="S150" s="142">
        <f t="shared" ca="1" si="34"/>
        <v>1745989</v>
      </c>
      <c r="T150" s="142">
        <f ca="1">기술사</f>
        <v>467217</v>
      </c>
      <c r="U150" s="142">
        <f t="shared" ref="U150:U155" ca="1" si="35">ROUNDDOWN(P150*R150,0)</f>
        <v>1745989</v>
      </c>
      <c r="V150" s="142"/>
      <c r="W150" s="142"/>
      <c r="X150" s="142"/>
      <c r="Y150" s="142"/>
      <c r="Z150" s="114"/>
    </row>
    <row r="151" spans="11:26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7.4749999999999996</v>
      </c>
      <c r="Q151" s="144" t="s">
        <v>29</v>
      </c>
      <c r="R151" s="118">
        <f t="shared" ca="1" si="34"/>
        <v>373353</v>
      </c>
      <c r="S151" s="118">
        <f t="shared" ca="1" si="34"/>
        <v>2790813</v>
      </c>
      <c r="T151" s="118">
        <f ca="1">특급</f>
        <v>373353</v>
      </c>
      <c r="U151" s="118">
        <f t="shared" ca="1" si="35"/>
        <v>2790813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18.524999999999999</v>
      </c>
      <c r="Q152" s="144" t="s">
        <v>29</v>
      </c>
      <c r="R152" s="118">
        <f t="shared" ca="1" si="34"/>
        <v>310884</v>
      </c>
      <c r="S152" s="118">
        <f t="shared" ca="1" si="34"/>
        <v>5759126</v>
      </c>
      <c r="T152" s="118">
        <f ca="1">고급</f>
        <v>310884</v>
      </c>
      <c r="U152" s="118">
        <f t="shared" ca="1" si="35"/>
        <v>5759126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37.212000000000003</v>
      </c>
      <c r="Q153" s="144" t="s">
        <v>29</v>
      </c>
      <c r="R153" s="118">
        <f t="shared" ca="1" si="34"/>
        <v>295138</v>
      </c>
      <c r="S153" s="118">
        <f t="shared" ca="1" si="34"/>
        <v>10982675</v>
      </c>
      <c r="T153" s="118">
        <f ca="1">중급</f>
        <v>295138</v>
      </c>
      <c r="U153" s="118">
        <f t="shared" ca="1" si="35"/>
        <v>10982675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56.061999999999998</v>
      </c>
      <c r="Q154" s="144" t="s">
        <v>29</v>
      </c>
      <c r="R154" s="118">
        <f t="shared" ca="1" si="34"/>
        <v>235459</v>
      </c>
      <c r="S154" s="118">
        <f t="shared" ca="1" si="34"/>
        <v>13200302</v>
      </c>
      <c r="T154" s="118">
        <f ca="1">초급</f>
        <v>235459</v>
      </c>
      <c r="U154" s="118">
        <f t="shared" ca="1" si="35"/>
        <v>13200302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55.9</v>
      </c>
      <c r="Q155" s="322" t="s">
        <v>29</v>
      </c>
      <c r="R155" s="323">
        <f t="shared" ca="1" si="34"/>
        <v>250087</v>
      </c>
      <c r="S155" s="323">
        <f t="shared" ca="1" si="34"/>
        <v>13979863</v>
      </c>
      <c r="T155" s="323">
        <f ca="1">보조원</f>
        <v>250087</v>
      </c>
      <c r="U155" s="323">
        <f t="shared" ca="1" si="35"/>
        <v>13979863</v>
      </c>
      <c r="V155" s="323"/>
      <c r="W155" s="323"/>
      <c r="X155" s="323"/>
      <c r="Y155" s="323"/>
      <c r="Z155" s="324"/>
    </row>
    <row r="156" spans="11:26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48458768</v>
      </c>
      <c r="T156" s="71"/>
      <c r="U156" s="71">
        <f ca="1">SUBTOTAL(9,U150:U155)</f>
        <v>48458768</v>
      </c>
      <c r="V156" s="71"/>
      <c r="W156" s="71"/>
      <c r="X156" s="71"/>
      <c r="Y156" s="71"/>
      <c r="Z156" s="68"/>
    </row>
    <row r="157" spans="11:26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13 호표  3.3. 기존 건축물의 정비·개량 계획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13</v>
      </c>
    </row>
    <row r="158" spans="11:26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0.48699999999999999</v>
      </c>
      <c r="Q158" s="141" t="s">
        <v>29</v>
      </c>
      <c r="R158" s="142">
        <f t="shared" ref="R158:S163" ca="1" si="36">T158</f>
        <v>467217</v>
      </c>
      <c r="S158" s="142">
        <f t="shared" ca="1" si="36"/>
        <v>227534</v>
      </c>
      <c r="T158" s="142">
        <f ca="1">기술사</f>
        <v>467217</v>
      </c>
      <c r="U158" s="142">
        <f t="shared" ref="U158:U163" ca="1" si="37">ROUNDDOWN(P158*R158,0)</f>
        <v>227534</v>
      </c>
      <c r="V158" s="142"/>
      <c r="W158" s="142"/>
      <c r="X158" s="142"/>
      <c r="Y158" s="142"/>
      <c r="Z158" s="114"/>
    </row>
    <row r="159" spans="11:26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0.97499999999999998</v>
      </c>
      <c r="Q159" s="144" t="s">
        <v>29</v>
      </c>
      <c r="R159" s="118">
        <f t="shared" ca="1" si="36"/>
        <v>373353</v>
      </c>
      <c r="S159" s="118">
        <f t="shared" ca="1" si="36"/>
        <v>364019</v>
      </c>
      <c r="T159" s="118">
        <f ca="1">특급</f>
        <v>373353</v>
      </c>
      <c r="U159" s="118">
        <f t="shared" ca="1" si="37"/>
        <v>364019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3.25</v>
      </c>
      <c r="Q160" s="144" t="s">
        <v>29</v>
      </c>
      <c r="R160" s="118">
        <f t="shared" ca="1" si="36"/>
        <v>310884</v>
      </c>
      <c r="S160" s="118">
        <f t="shared" ca="1" si="36"/>
        <v>1010373</v>
      </c>
      <c r="T160" s="118">
        <f ca="1">고급</f>
        <v>310884</v>
      </c>
      <c r="U160" s="118">
        <f t="shared" ca="1" si="37"/>
        <v>1010373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4.875</v>
      </c>
      <c r="Q161" s="144" t="s">
        <v>29</v>
      </c>
      <c r="R161" s="118">
        <f t="shared" ca="1" si="36"/>
        <v>295138</v>
      </c>
      <c r="S161" s="118">
        <f t="shared" ca="1" si="36"/>
        <v>1438797</v>
      </c>
      <c r="T161" s="118">
        <f ca="1">중급</f>
        <v>295138</v>
      </c>
      <c r="U161" s="118">
        <f t="shared" ca="1" si="37"/>
        <v>1438797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6.1749999999999998</v>
      </c>
      <c r="Q162" s="144" t="s">
        <v>29</v>
      </c>
      <c r="R162" s="118">
        <f t="shared" ca="1" si="36"/>
        <v>235459</v>
      </c>
      <c r="S162" s="118">
        <f t="shared" ca="1" si="36"/>
        <v>1453959</v>
      </c>
      <c r="T162" s="118">
        <f ca="1">초급</f>
        <v>235459</v>
      </c>
      <c r="U162" s="118">
        <f t="shared" ca="1" si="37"/>
        <v>1453959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5.85</v>
      </c>
      <c r="Q163" s="322" t="s">
        <v>29</v>
      </c>
      <c r="R163" s="323">
        <f t="shared" ca="1" si="36"/>
        <v>250087</v>
      </c>
      <c r="S163" s="323">
        <f t="shared" ca="1" si="36"/>
        <v>1463008</v>
      </c>
      <c r="T163" s="323">
        <f ca="1">보조원</f>
        <v>250087</v>
      </c>
      <c r="U163" s="323">
        <f t="shared" ca="1" si="37"/>
        <v>1463008</v>
      </c>
      <c r="V163" s="323"/>
      <c r="W163" s="323"/>
      <c r="X163" s="323"/>
      <c r="Y163" s="323"/>
      <c r="Z163" s="324"/>
    </row>
    <row r="164" spans="11:26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5957690</v>
      </c>
      <c r="T164" s="71"/>
      <c r="U164" s="71">
        <f ca="1">SUBTOTAL(9,U158:U163)</f>
        <v>5957690</v>
      </c>
      <c r="V164" s="71"/>
      <c r="W164" s="71"/>
      <c r="X164" s="71"/>
      <c r="Y164" s="71"/>
      <c r="Z164" s="68"/>
    </row>
    <row r="165" spans="11:26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14 호표  3.4. 환경보전·재난방지 계획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14</v>
      </c>
    </row>
    <row r="166" spans="11:26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0.48699999999999999</v>
      </c>
      <c r="Q166" s="141" t="s">
        <v>29</v>
      </c>
      <c r="R166" s="142">
        <f t="shared" ref="R166:S171" ca="1" si="38">T166</f>
        <v>467217</v>
      </c>
      <c r="S166" s="142">
        <f t="shared" ca="1" si="38"/>
        <v>227534</v>
      </c>
      <c r="T166" s="142">
        <f ca="1">기술사</f>
        <v>467217</v>
      </c>
      <c r="U166" s="142">
        <f t="shared" ref="U166:U171" ca="1" si="39">ROUNDDOWN(P166*R166,0)</f>
        <v>227534</v>
      </c>
      <c r="V166" s="142"/>
      <c r="W166" s="142"/>
      <c r="X166" s="142"/>
      <c r="Y166" s="142"/>
      <c r="Z166" s="114"/>
    </row>
    <row r="167" spans="11:26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0.81200000000000006</v>
      </c>
      <c r="Q167" s="144" t="s">
        <v>29</v>
      </c>
      <c r="R167" s="118">
        <f t="shared" ca="1" si="38"/>
        <v>373353</v>
      </c>
      <c r="S167" s="118">
        <f t="shared" ca="1" si="38"/>
        <v>303162</v>
      </c>
      <c r="T167" s="118">
        <f ca="1">특급</f>
        <v>373353</v>
      </c>
      <c r="U167" s="118">
        <f t="shared" ca="1" si="39"/>
        <v>303162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2.6</v>
      </c>
      <c r="Q168" s="144" t="s">
        <v>29</v>
      </c>
      <c r="R168" s="118">
        <f t="shared" ca="1" si="38"/>
        <v>310884</v>
      </c>
      <c r="S168" s="118">
        <f t="shared" ca="1" si="38"/>
        <v>808298</v>
      </c>
      <c r="T168" s="118">
        <f ca="1">고급</f>
        <v>310884</v>
      </c>
      <c r="U168" s="118">
        <f t="shared" ca="1" si="39"/>
        <v>808298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4.875</v>
      </c>
      <c r="Q169" s="144" t="s">
        <v>29</v>
      </c>
      <c r="R169" s="118">
        <f t="shared" ca="1" si="38"/>
        <v>295138</v>
      </c>
      <c r="S169" s="118">
        <f t="shared" ca="1" si="38"/>
        <v>1438797</v>
      </c>
      <c r="T169" s="118">
        <f ca="1">중급</f>
        <v>295138</v>
      </c>
      <c r="U169" s="118">
        <f t="shared" ca="1" si="39"/>
        <v>1438797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6.1749999999999998</v>
      </c>
      <c r="Q170" s="144" t="s">
        <v>29</v>
      </c>
      <c r="R170" s="118">
        <f t="shared" ca="1" si="38"/>
        <v>235459</v>
      </c>
      <c r="S170" s="118">
        <f t="shared" ca="1" si="38"/>
        <v>1453959</v>
      </c>
      <c r="T170" s="118">
        <f ca="1">초급</f>
        <v>235459</v>
      </c>
      <c r="U170" s="118">
        <f t="shared" ca="1" si="39"/>
        <v>1453959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5.85</v>
      </c>
      <c r="Q171" s="322" t="s">
        <v>29</v>
      </c>
      <c r="R171" s="323">
        <f t="shared" ca="1" si="38"/>
        <v>250087</v>
      </c>
      <c r="S171" s="323">
        <f t="shared" ca="1" si="38"/>
        <v>1463008</v>
      </c>
      <c r="T171" s="323">
        <f ca="1">보조원</f>
        <v>250087</v>
      </c>
      <c r="U171" s="323">
        <f t="shared" ca="1" si="39"/>
        <v>1463008</v>
      </c>
      <c r="V171" s="323"/>
      <c r="W171" s="323"/>
      <c r="X171" s="323"/>
      <c r="Y171" s="323"/>
      <c r="Z171" s="324"/>
    </row>
    <row r="172" spans="11:26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5694758</v>
      </c>
      <c r="T172" s="71"/>
      <c r="U172" s="71">
        <f ca="1">SUBTOTAL(9,U166:U171)</f>
        <v>5694758</v>
      </c>
      <c r="V172" s="71"/>
      <c r="W172" s="71"/>
      <c r="X172" s="71"/>
      <c r="Y172" s="71"/>
      <c r="Z172" s="68"/>
    </row>
    <row r="173" spans="11:26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15 호표  3.5. 대책 반영에 따른 소요비용 비교 검토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15</v>
      </c>
    </row>
    <row r="174" spans="11:26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1.137</v>
      </c>
      <c r="Q174" s="141" t="s">
        <v>29</v>
      </c>
      <c r="R174" s="142">
        <f t="shared" ref="R174:S179" ca="1" si="40">T174</f>
        <v>467217</v>
      </c>
      <c r="S174" s="142">
        <f t="shared" ca="1" si="40"/>
        <v>531225</v>
      </c>
      <c r="T174" s="142">
        <f ca="1">기술사</f>
        <v>467217</v>
      </c>
      <c r="U174" s="142">
        <f t="shared" ref="U174:U179" ca="1" si="41">ROUNDDOWN(P174*R174,0)</f>
        <v>531225</v>
      </c>
      <c r="V174" s="142"/>
      <c r="W174" s="142"/>
      <c r="X174" s="142"/>
      <c r="Y174" s="142"/>
      <c r="Z174" s="114"/>
    </row>
    <row r="175" spans="11:26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1.95</v>
      </c>
      <c r="Q175" s="144" t="s">
        <v>29</v>
      </c>
      <c r="R175" s="118">
        <f t="shared" ca="1" si="40"/>
        <v>373353</v>
      </c>
      <c r="S175" s="118">
        <f t="shared" ca="1" si="40"/>
        <v>728038</v>
      </c>
      <c r="T175" s="118">
        <f ca="1">특급</f>
        <v>373353</v>
      </c>
      <c r="U175" s="118">
        <f t="shared" ca="1" si="41"/>
        <v>728038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6.5</v>
      </c>
      <c r="Q176" s="144" t="s">
        <v>29</v>
      </c>
      <c r="R176" s="118">
        <f t="shared" ca="1" si="40"/>
        <v>310884</v>
      </c>
      <c r="S176" s="118">
        <f t="shared" ca="1" si="40"/>
        <v>2020746</v>
      </c>
      <c r="T176" s="118">
        <f ca="1">고급</f>
        <v>310884</v>
      </c>
      <c r="U176" s="118">
        <f t="shared" ca="1" si="41"/>
        <v>2020746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12.35</v>
      </c>
      <c r="Q177" s="144" t="s">
        <v>29</v>
      </c>
      <c r="R177" s="118">
        <f t="shared" ca="1" si="40"/>
        <v>295138</v>
      </c>
      <c r="S177" s="118">
        <f t="shared" ca="1" si="40"/>
        <v>3644954</v>
      </c>
      <c r="T177" s="118">
        <f ca="1">중급</f>
        <v>295138</v>
      </c>
      <c r="U177" s="118">
        <f t="shared" ca="1" si="41"/>
        <v>3644954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14.787000000000001</v>
      </c>
      <c r="Q178" s="144" t="s">
        <v>29</v>
      </c>
      <c r="R178" s="118">
        <f t="shared" ca="1" si="40"/>
        <v>235459</v>
      </c>
      <c r="S178" s="118">
        <f t="shared" ca="1" si="40"/>
        <v>3481732</v>
      </c>
      <c r="T178" s="118">
        <f ca="1">초급</f>
        <v>235459</v>
      </c>
      <c r="U178" s="118">
        <f t="shared" ca="1" si="41"/>
        <v>3481732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13.975</v>
      </c>
      <c r="Q179" s="322" t="s">
        <v>29</v>
      </c>
      <c r="R179" s="323">
        <f t="shared" ca="1" si="40"/>
        <v>250087</v>
      </c>
      <c r="S179" s="323">
        <f t="shared" ca="1" si="40"/>
        <v>3494965</v>
      </c>
      <c r="T179" s="323">
        <f ca="1">보조원</f>
        <v>250087</v>
      </c>
      <c r="U179" s="323">
        <f t="shared" ca="1" si="41"/>
        <v>3494965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13901660</v>
      </c>
      <c r="T180" s="71"/>
      <c r="U180" s="71">
        <f ca="1">SUBTOTAL(9,U174:U179)</f>
        <v>13901660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16 호표  3.6. 공공 지원 대책 검토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16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1.137</v>
      </c>
      <c r="Q182" s="141" t="s">
        <v>29</v>
      </c>
      <c r="R182" s="142">
        <f t="shared" ref="R182:S187" ca="1" si="42">T182</f>
        <v>467217</v>
      </c>
      <c r="S182" s="142">
        <f t="shared" ca="1" si="42"/>
        <v>531225</v>
      </c>
      <c r="T182" s="142">
        <f ca="1">기술사</f>
        <v>467217</v>
      </c>
      <c r="U182" s="142">
        <f t="shared" ref="U182:U187" ca="1" si="43">ROUNDDOWN(P182*R182,0)</f>
        <v>531225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1.95</v>
      </c>
      <c r="Q183" s="144" t="s">
        <v>29</v>
      </c>
      <c r="R183" s="118">
        <f t="shared" ca="1" si="42"/>
        <v>373353</v>
      </c>
      <c r="S183" s="118">
        <f t="shared" ca="1" si="42"/>
        <v>728038</v>
      </c>
      <c r="T183" s="118">
        <f ca="1">특급</f>
        <v>373353</v>
      </c>
      <c r="U183" s="118">
        <f t="shared" ca="1" si="43"/>
        <v>728038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6.5</v>
      </c>
      <c r="Q184" s="144" t="s">
        <v>29</v>
      </c>
      <c r="R184" s="118">
        <f t="shared" ca="1" si="42"/>
        <v>310884</v>
      </c>
      <c r="S184" s="118">
        <f t="shared" ca="1" si="42"/>
        <v>2020746</v>
      </c>
      <c r="T184" s="118">
        <f ca="1">고급</f>
        <v>310884</v>
      </c>
      <c r="U184" s="118">
        <f t="shared" ca="1" si="43"/>
        <v>2020746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12.35</v>
      </c>
      <c r="Q185" s="144" t="s">
        <v>29</v>
      </c>
      <c r="R185" s="118">
        <f t="shared" ca="1" si="42"/>
        <v>295138</v>
      </c>
      <c r="S185" s="118">
        <f t="shared" ca="1" si="42"/>
        <v>3644954</v>
      </c>
      <c r="T185" s="118">
        <f ca="1">중급</f>
        <v>295138</v>
      </c>
      <c r="U185" s="118">
        <f t="shared" ca="1" si="43"/>
        <v>3644954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14.787000000000001</v>
      </c>
      <c r="Q186" s="144" t="s">
        <v>29</v>
      </c>
      <c r="R186" s="118">
        <f t="shared" ca="1" si="42"/>
        <v>235459</v>
      </c>
      <c r="S186" s="118">
        <f t="shared" ca="1" si="42"/>
        <v>3481732</v>
      </c>
      <c r="T186" s="118">
        <f ca="1">초급</f>
        <v>235459</v>
      </c>
      <c r="U186" s="118">
        <f t="shared" ca="1" si="43"/>
        <v>3481732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13.975</v>
      </c>
      <c r="Q187" s="322" t="s">
        <v>29</v>
      </c>
      <c r="R187" s="323">
        <f t="shared" ca="1" si="42"/>
        <v>250087</v>
      </c>
      <c r="S187" s="323">
        <f t="shared" ca="1" si="42"/>
        <v>3494965</v>
      </c>
      <c r="T187" s="323">
        <f ca="1">보조원</f>
        <v>250087</v>
      </c>
      <c r="U187" s="323">
        <f t="shared" ca="1" si="43"/>
        <v>3494965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13901660</v>
      </c>
      <c r="T188" s="71"/>
      <c r="U188" s="71">
        <f ca="1">SUBTOTAL(9,U182:U187)</f>
        <v>13901660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17 호표  3.7. 관계법령에 따른 후속 추진사항 검토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17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1.137</v>
      </c>
      <c r="Q190" s="141" t="s">
        <v>29</v>
      </c>
      <c r="R190" s="142">
        <f t="shared" ref="R190:S195" ca="1" si="44">T190</f>
        <v>467217</v>
      </c>
      <c r="S190" s="142">
        <f t="shared" ca="1" si="44"/>
        <v>531225</v>
      </c>
      <c r="T190" s="142">
        <f ca="1">기술사</f>
        <v>467217</v>
      </c>
      <c r="U190" s="142">
        <f t="shared" ref="U190:U195" ca="1" si="45">ROUNDDOWN(P190*R190,0)</f>
        <v>531225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1.95</v>
      </c>
      <c r="Q191" s="144" t="s">
        <v>29</v>
      </c>
      <c r="R191" s="118">
        <f t="shared" ca="1" si="44"/>
        <v>373353</v>
      </c>
      <c r="S191" s="118">
        <f t="shared" ca="1" si="44"/>
        <v>728038</v>
      </c>
      <c r="T191" s="118">
        <f ca="1">특급</f>
        <v>373353</v>
      </c>
      <c r="U191" s="118">
        <f t="shared" ca="1" si="45"/>
        <v>728038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6.5</v>
      </c>
      <c r="Q192" s="144" t="s">
        <v>29</v>
      </c>
      <c r="R192" s="118">
        <f t="shared" ca="1" si="44"/>
        <v>310884</v>
      </c>
      <c r="S192" s="118">
        <f t="shared" ca="1" si="44"/>
        <v>2020746</v>
      </c>
      <c r="T192" s="118">
        <f ca="1">고급</f>
        <v>310884</v>
      </c>
      <c r="U192" s="118">
        <f t="shared" ca="1" si="45"/>
        <v>2020746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12.35</v>
      </c>
      <c r="Q193" s="144" t="s">
        <v>29</v>
      </c>
      <c r="R193" s="118">
        <f t="shared" ca="1" si="44"/>
        <v>295138</v>
      </c>
      <c r="S193" s="118">
        <f t="shared" ca="1" si="44"/>
        <v>3644954</v>
      </c>
      <c r="T193" s="118">
        <f ca="1">중급</f>
        <v>295138</v>
      </c>
      <c r="U193" s="118">
        <f t="shared" ca="1" si="45"/>
        <v>3644954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14.787000000000001</v>
      </c>
      <c r="Q194" s="144" t="s">
        <v>29</v>
      </c>
      <c r="R194" s="118">
        <f t="shared" ca="1" si="44"/>
        <v>235459</v>
      </c>
      <c r="S194" s="118">
        <f t="shared" ca="1" si="44"/>
        <v>3481732</v>
      </c>
      <c r="T194" s="118">
        <f ca="1">초급</f>
        <v>235459</v>
      </c>
      <c r="U194" s="118">
        <f t="shared" ca="1" si="45"/>
        <v>3481732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13.975</v>
      </c>
      <c r="Q195" s="322" t="s">
        <v>29</v>
      </c>
      <c r="R195" s="323">
        <f t="shared" ca="1" si="44"/>
        <v>250087</v>
      </c>
      <c r="S195" s="323">
        <f t="shared" ca="1" si="44"/>
        <v>3494965</v>
      </c>
      <c r="T195" s="323">
        <f ca="1">보조원</f>
        <v>250087</v>
      </c>
      <c r="U195" s="323">
        <f t="shared" ca="1" si="45"/>
        <v>3494965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13901660</v>
      </c>
      <c r="T196" s="71"/>
      <c r="U196" s="71">
        <f ca="1">SUBTOTAL(9,U190:U195)</f>
        <v>13901660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OFFSET($A$1,MATCH(Z197,$A:$A,0)-1,1)</f>
        <v>제 18 호표  4.1. 보고서작성 및 편집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18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4.0620000000000003</v>
      </c>
      <c r="Q198" s="141" t="s">
        <v>29</v>
      </c>
      <c r="R198" s="142">
        <f t="shared" ref="R198:S203" ca="1" si="46">T198</f>
        <v>467217</v>
      </c>
      <c r="S198" s="142">
        <f t="shared" ca="1" si="46"/>
        <v>1897835</v>
      </c>
      <c r="T198" s="142">
        <f ca="1">기술사</f>
        <v>467217</v>
      </c>
      <c r="U198" s="142">
        <f t="shared" ref="U198:U203" ca="1" si="47">ROUNDDOWN(P198*R198,0)</f>
        <v>1897835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7.9619999999999997</v>
      </c>
      <c r="Q199" s="144" t="s">
        <v>29</v>
      </c>
      <c r="R199" s="118">
        <f t="shared" ca="1" si="46"/>
        <v>373353</v>
      </c>
      <c r="S199" s="118">
        <f t="shared" ca="1" si="46"/>
        <v>2972636</v>
      </c>
      <c r="T199" s="118">
        <f ca="1">특급</f>
        <v>373353</v>
      </c>
      <c r="U199" s="118">
        <f t="shared" ca="1" si="47"/>
        <v>2972636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18.2</v>
      </c>
      <c r="Q200" s="144" t="s">
        <v>29</v>
      </c>
      <c r="R200" s="118">
        <f t="shared" ca="1" si="46"/>
        <v>310884</v>
      </c>
      <c r="S200" s="118">
        <f t="shared" ca="1" si="46"/>
        <v>5658088</v>
      </c>
      <c r="T200" s="118">
        <f ca="1">고급</f>
        <v>310884</v>
      </c>
      <c r="U200" s="118">
        <f t="shared" ca="1" si="47"/>
        <v>5658088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30.225000000000001</v>
      </c>
      <c r="Q201" s="144" t="s">
        <v>29</v>
      </c>
      <c r="R201" s="118">
        <f t="shared" ca="1" si="46"/>
        <v>295138</v>
      </c>
      <c r="S201" s="118">
        <f t="shared" ca="1" si="46"/>
        <v>8920546</v>
      </c>
      <c r="T201" s="118">
        <f ca="1">중급</f>
        <v>295138</v>
      </c>
      <c r="U201" s="118">
        <f t="shared" ca="1" si="47"/>
        <v>8920546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30.387</v>
      </c>
      <c r="Q202" s="144" t="s">
        <v>29</v>
      </c>
      <c r="R202" s="118">
        <f t="shared" ca="1" si="46"/>
        <v>235459</v>
      </c>
      <c r="S202" s="118">
        <f t="shared" ca="1" si="46"/>
        <v>7154892</v>
      </c>
      <c r="T202" s="118">
        <f ca="1">초급</f>
        <v>235459</v>
      </c>
      <c r="U202" s="118">
        <f t="shared" ca="1" si="47"/>
        <v>7154892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20.312000000000001</v>
      </c>
      <c r="Q203" s="322" t="s">
        <v>29</v>
      </c>
      <c r="R203" s="323">
        <f t="shared" ca="1" si="46"/>
        <v>250087</v>
      </c>
      <c r="S203" s="323">
        <f t="shared" ca="1" si="46"/>
        <v>5079767</v>
      </c>
      <c r="T203" s="323">
        <f ca="1">보조원</f>
        <v>250087</v>
      </c>
      <c r="U203" s="323">
        <f t="shared" ca="1" si="47"/>
        <v>5079767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31683764</v>
      </c>
      <c r="T204" s="71"/>
      <c r="U204" s="71">
        <f ca="1">SUBTOTAL(9,U198:U203)</f>
        <v>31683764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OFFSET($A$1,MATCH(Z205,$A:$A,0)-1,1)</f>
        <v>제 19 호표  4.2. 관련도서작성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19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1.95</v>
      </c>
      <c r="Q206" s="141" t="s">
        <v>29</v>
      </c>
      <c r="R206" s="142">
        <f t="shared" ref="R206:S211" ca="1" si="48">T206</f>
        <v>467217</v>
      </c>
      <c r="S206" s="142">
        <f t="shared" ca="1" si="48"/>
        <v>911073</v>
      </c>
      <c r="T206" s="142">
        <f ca="1">기술사</f>
        <v>467217</v>
      </c>
      <c r="U206" s="142">
        <f t="shared" ref="U206:U211" ca="1" si="49">ROUNDDOWN(P206*R206,0)</f>
        <v>911073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4.0620000000000003</v>
      </c>
      <c r="Q207" s="144" t="s">
        <v>29</v>
      </c>
      <c r="R207" s="118">
        <f t="shared" ca="1" si="48"/>
        <v>373353</v>
      </c>
      <c r="S207" s="118">
        <f t="shared" ca="1" si="48"/>
        <v>1516559</v>
      </c>
      <c r="T207" s="118">
        <f ca="1">특급</f>
        <v>373353</v>
      </c>
      <c r="U207" s="118">
        <f t="shared" ca="1" si="49"/>
        <v>1516559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9.1</v>
      </c>
      <c r="Q208" s="144" t="s">
        <v>29</v>
      </c>
      <c r="R208" s="118">
        <f t="shared" ca="1" si="48"/>
        <v>310884</v>
      </c>
      <c r="S208" s="118">
        <f t="shared" ca="1" si="48"/>
        <v>2829044</v>
      </c>
      <c r="T208" s="118">
        <f ca="1">고급</f>
        <v>310884</v>
      </c>
      <c r="U208" s="118">
        <f t="shared" ca="1" si="49"/>
        <v>2829044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20.149999999999999</v>
      </c>
      <c r="Q209" s="144" t="s">
        <v>29</v>
      </c>
      <c r="R209" s="118">
        <f t="shared" ca="1" si="48"/>
        <v>295138</v>
      </c>
      <c r="S209" s="118">
        <f t="shared" ca="1" si="48"/>
        <v>5947030</v>
      </c>
      <c r="T209" s="118">
        <f ca="1">중급</f>
        <v>295138</v>
      </c>
      <c r="U209" s="118">
        <f t="shared" ca="1" si="49"/>
        <v>5947030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40.137</v>
      </c>
      <c r="Q210" s="144" t="s">
        <v>29</v>
      </c>
      <c r="R210" s="118">
        <f t="shared" ca="1" si="48"/>
        <v>235459</v>
      </c>
      <c r="S210" s="118">
        <f t="shared" ca="1" si="48"/>
        <v>9450617</v>
      </c>
      <c r="T210" s="118">
        <f ca="1">초급</f>
        <v>235459</v>
      </c>
      <c r="U210" s="118">
        <f t="shared" ca="1" si="49"/>
        <v>9450617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50.212000000000003</v>
      </c>
      <c r="Q211" s="322" t="s">
        <v>29</v>
      </c>
      <c r="R211" s="323">
        <f t="shared" ca="1" si="48"/>
        <v>250087</v>
      </c>
      <c r="S211" s="323">
        <f t="shared" ca="1" si="48"/>
        <v>12557368</v>
      </c>
      <c r="T211" s="323">
        <f ca="1">보조원</f>
        <v>250087</v>
      </c>
      <c r="U211" s="323">
        <f t="shared" ca="1" si="49"/>
        <v>12557368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33211691</v>
      </c>
      <c r="T212" s="71"/>
      <c r="U212" s="71">
        <f ca="1">SUBTOTAL(9,U206:U211)</f>
        <v>33211691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318" t="str">
        <f ca="1">"제 " &amp; Z213 &amp; " 호표  "&amp; OFFSET($A$1,MATCH(Z213,$A:$A,0)-1,1)</f>
        <v>제 20 호표  5.1. 공청회/주민설명회</v>
      </c>
      <c r="O213" s="221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20</v>
      </c>
    </row>
    <row r="214" spans="11:26" ht="18" customHeight="1">
      <c r="K214" s="171" t="s">
        <v>14</v>
      </c>
      <c r="L214" s="171"/>
      <c r="M214" s="171"/>
      <c r="N214" s="140" t="s">
        <v>43</v>
      </c>
      <c r="O214" s="172">
        <v>3</v>
      </c>
      <c r="P214" s="219">
        <f ca="1">OFFSET($A$1,MATCH(Z213,$A:$A,0)-1,O214)</f>
        <v>2</v>
      </c>
      <c r="Q214" s="141" t="s">
        <v>29</v>
      </c>
      <c r="R214" s="142">
        <f t="shared" ref="R214:S219" ca="1" si="50">T214</f>
        <v>467217</v>
      </c>
      <c r="S214" s="142">
        <f t="shared" ca="1" si="50"/>
        <v>934434</v>
      </c>
      <c r="T214" s="142">
        <f ca="1">기술사</f>
        <v>467217</v>
      </c>
      <c r="U214" s="142">
        <f t="shared" ref="U214:U219" ca="1" si="51">ROUNDDOWN(P214*R214,0)</f>
        <v>934434</v>
      </c>
      <c r="V214" s="142"/>
      <c r="W214" s="142"/>
      <c r="X214" s="142"/>
      <c r="Y214" s="142"/>
      <c r="Z214" s="114"/>
    </row>
    <row r="215" spans="11:26" ht="18" customHeight="1">
      <c r="K215" s="171" t="s">
        <v>14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2</v>
      </c>
      <c r="Q215" s="144" t="s">
        <v>29</v>
      </c>
      <c r="R215" s="118">
        <f t="shared" ca="1" si="50"/>
        <v>373353</v>
      </c>
      <c r="S215" s="118">
        <f t="shared" ca="1" si="50"/>
        <v>746706</v>
      </c>
      <c r="T215" s="118">
        <f ca="1">특급</f>
        <v>373353</v>
      </c>
      <c r="U215" s="118">
        <f t="shared" ca="1" si="51"/>
        <v>746706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2</v>
      </c>
      <c r="Q216" s="144" t="s">
        <v>29</v>
      </c>
      <c r="R216" s="118">
        <f t="shared" ca="1" si="50"/>
        <v>310884</v>
      </c>
      <c r="S216" s="118">
        <f t="shared" ca="1" si="50"/>
        <v>621768</v>
      </c>
      <c r="T216" s="118">
        <f ca="1">고급</f>
        <v>310884</v>
      </c>
      <c r="U216" s="118">
        <f t="shared" ca="1" si="51"/>
        <v>621768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4</v>
      </c>
      <c r="Q217" s="144" t="s">
        <v>29</v>
      </c>
      <c r="R217" s="118">
        <f t="shared" ca="1" si="50"/>
        <v>295138</v>
      </c>
      <c r="S217" s="118">
        <f t="shared" ca="1" si="50"/>
        <v>1180552</v>
      </c>
      <c r="T217" s="118">
        <f ca="1">중급</f>
        <v>295138</v>
      </c>
      <c r="U217" s="118">
        <f t="shared" ca="1" si="51"/>
        <v>1180552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4</v>
      </c>
      <c r="Q218" s="144" t="s">
        <v>29</v>
      </c>
      <c r="R218" s="118">
        <f t="shared" ca="1" si="50"/>
        <v>235459</v>
      </c>
      <c r="S218" s="118">
        <f t="shared" ca="1" si="50"/>
        <v>941836</v>
      </c>
      <c r="T218" s="118">
        <f ca="1">초급</f>
        <v>235459</v>
      </c>
      <c r="U218" s="118">
        <f t="shared" ca="1" si="51"/>
        <v>941836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4</v>
      </c>
      <c r="Q219" s="322" t="s">
        <v>29</v>
      </c>
      <c r="R219" s="323">
        <f t="shared" ca="1" si="50"/>
        <v>250087</v>
      </c>
      <c r="S219" s="323">
        <f t="shared" ca="1" si="50"/>
        <v>1000348</v>
      </c>
      <c r="T219" s="323">
        <f ca="1">보조원</f>
        <v>250087</v>
      </c>
      <c r="U219" s="323">
        <f t="shared" ca="1" si="51"/>
        <v>1000348</v>
      </c>
      <c r="V219" s="323"/>
      <c r="W219" s="323"/>
      <c r="X219" s="323"/>
      <c r="Y219" s="323"/>
      <c r="Z219" s="324"/>
    </row>
    <row r="220" spans="11:26" ht="18" customHeight="1">
      <c r="K220" s="171" t="s">
        <v>14</v>
      </c>
      <c r="L220" s="171"/>
      <c r="M220" s="171"/>
      <c r="N220" s="139" t="s">
        <v>17</v>
      </c>
      <c r="O220" s="68"/>
      <c r="P220" s="69"/>
      <c r="Q220" s="70"/>
      <c r="R220" s="71"/>
      <c r="S220" s="71">
        <f ca="1">SUBTOTAL(9,S214:S219)</f>
        <v>5425644</v>
      </c>
      <c r="T220" s="71"/>
      <c r="U220" s="71">
        <f ca="1">SUBTOTAL(9,U214:U219)</f>
        <v>5425644</v>
      </c>
      <c r="V220" s="71"/>
      <c r="W220" s="71"/>
      <c r="X220" s="71"/>
      <c r="Y220" s="71"/>
      <c r="Z220" s="68"/>
    </row>
    <row r="221" spans="11:26" ht="18" customHeight="1">
      <c r="K221" s="171" t="s">
        <v>14</v>
      </c>
      <c r="L221" s="171"/>
      <c r="M221" s="171"/>
      <c r="N221" s="318" t="str">
        <f ca="1">"제 " &amp; Z221 &amp; " 호표  "&amp; OFFSET($A$1,MATCH(Z221,$A:$A,0)-1,1)</f>
        <v>제 21 호표  5.2. 주민간담회/시민계획단</v>
      </c>
      <c r="O221" s="221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21</v>
      </c>
    </row>
    <row r="222" spans="11:26" ht="18" customHeight="1">
      <c r="K222" s="171" t="s">
        <v>14</v>
      </c>
      <c r="L222" s="171"/>
      <c r="M222" s="171"/>
      <c r="N222" s="140" t="s">
        <v>43</v>
      </c>
      <c r="O222" s="172">
        <v>3</v>
      </c>
      <c r="P222" s="219">
        <f ca="1">OFFSET($A$1,MATCH(Z221,$A:$A,0)-1,O222)</f>
        <v>2</v>
      </c>
      <c r="Q222" s="141" t="s">
        <v>29</v>
      </c>
      <c r="R222" s="142">
        <f t="shared" ref="R222:S227" ca="1" si="52">T222</f>
        <v>467217</v>
      </c>
      <c r="S222" s="142">
        <f t="shared" ca="1" si="52"/>
        <v>934434</v>
      </c>
      <c r="T222" s="142">
        <f ca="1">기술사</f>
        <v>467217</v>
      </c>
      <c r="U222" s="142">
        <f t="shared" ref="U222:U227" ca="1" si="53">ROUNDDOWN(P222*R222,0)</f>
        <v>934434</v>
      </c>
      <c r="V222" s="142"/>
      <c r="W222" s="142"/>
      <c r="X222" s="142"/>
      <c r="Y222" s="142"/>
      <c r="Z222" s="114"/>
    </row>
    <row r="223" spans="11:26" ht="18" customHeight="1">
      <c r="K223" s="171" t="s">
        <v>14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2</v>
      </c>
      <c r="Q223" s="144" t="s">
        <v>29</v>
      </c>
      <c r="R223" s="118">
        <f t="shared" ca="1" si="52"/>
        <v>373353</v>
      </c>
      <c r="S223" s="118">
        <f t="shared" ca="1" si="52"/>
        <v>746706</v>
      </c>
      <c r="T223" s="118">
        <f ca="1">특급</f>
        <v>373353</v>
      </c>
      <c r="U223" s="118">
        <f t="shared" ca="1" si="53"/>
        <v>746706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2</v>
      </c>
      <c r="Q224" s="144" t="s">
        <v>29</v>
      </c>
      <c r="R224" s="118">
        <f t="shared" ca="1" si="52"/>
        <v>310884</v>
      </c>
      <c r="S224" s="118">
        <f t="shared" ca="1" si="52"/>
        <v>621768</v>
      </c>
      <c r="T224" s="118">
        <f ca="1">고급</f>
        <v>310884</v>
      </c>
      <c r="U224" s="118">
        <f t="shared" ca="1" si="53"/>
        <v>621768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4</v>
      </c>
      <c r="Q225" s="144" t="s">
        <v>29</v>
      </c>
      <c r="R225" s="118">
        <f t="shared" ca="1" si="52"/>
        <v>295138</v>
      </c>
      <c r="S225" s="118">
        <f t="shared" ca="1" si="52"/>
        <v>1180552</v>
      </c>
      <c r="T225" s="118">
        <f ca="1">중급</f>
        <v>295138</v>
      </c>
      <c r="U225" s="118">
        <f t="shared" ca="1" si="53"/>
        <v>1180552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4</v>
      </c>
      <c r="Q226" s="144" t="s">
        <v>29</v>
      </c>
      <c r="R226" s="118">
        <f t="shared" ca="1" si="52"/>
        <v>235459</v>
      </c>
      <c r="S226" s="118">
        <f t="shared" ca="1" si="52"/>
        <v>941836</v>
      </c>
      <c r="T226" s="118">
        <f ca="1">초급</f>
        <v>235459</v>
      </c>
      <c r="U226" s="118">
        <f t="shared" ca="1" si="53"/>
        <v>941836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4</v>
      </c>
      <c r="Q227" s="322" t="s">
        <v>29</v>
      </c>
      <c r="R227" s="323">
        <f t="shared" ca="1" si="52"/>
        <v>250087</v>
      </c>
      <c r="S227" s="323">
        <f t="shared" ca="1" si="52"/>
        <v>1000348</v>
      </c>
      <c r="T227" s="323">
        <f ca="1">보조원</f>
        <v>250087</v>
      </c>
      <c r="U227" s="323">
        <f t="shared" ca="1" si="53"/>
        <v>1000348</v>
      </c>
      <c r="V227" s="323"/>
      <c r="W227" s="323"/>
      <c r="X227" s="323"/>
      <c r="Y227" s="323"/>
      <c r="Z227" s="324"/>
    </row>
    <row r="228" spans="11:26" ht="18" customHeight="1">
      <c r="K228" s="171" t="s">
        <v>14</v>
      </c>
      <c r="L228" s="171"/>
      <c r="M228" s="171"/>
      <c r="N228" s="139" t="s">
        <v>17</v>
      </c>
      <c r="O228" s="68"/>
      <c r="P228" s="69"/>
      <c r="Q228" s="70"/>
      <c r="R228" s="71"/>
      <c r="S228" s="71">
        <f ca="1">SUBTOTAL(9,S222:S227)</f>
        <v>5425644</v>
      </c>
      <c r="T228" s="71"/>
      <c r="U228" s="71">
        <f ca="1">SUBTOTAL(9,U222:U227)</f>
        <v>5425644</v>
      </c>
      <c r="V228" s="71"/>
      <c r="W228" s="71"/>
      <c r="X228" s="71"/>
      <c r="Y228" s="71"/>
      <c r="Z228" s="68"/>
    </row>
    <row r="229" spans="11:26" ht="18" customHeight="1">
      <c r="K229" s="171" t="s">
        <v>14</v>
      </c>
      <c r="L229" s="171"/>
      <c r="M229" s="171"/>
      <c r="N229" s="318" t="str">
        <f ca="1">"제 " &amp; Z229 &amp; " 호표  "&amp; OFFSET($A$1,MATCH(Z229,$A:$A,0)-1,1)</f>
        <v>제 22 호표  5.3. 위원회심의 지원</v>
      </c>
      <c r="O229" s="221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22</v>
      </c>
    </row>
    <row r="230" spans="11:26" ht="18" customHeight="1">
      <c r="K230" s="171" t="s">
        <v>14</v>
      </c>
      <c r="L230" s="171"/>
      <c r="M230" s="171"/>
      <c r="N230" s="140" t="s">
        <v>43</v>
      </c>
      <c r="O230" s="172">
        <v>3</v>
      </c>
      <c r="P230" s="219">
        <f ca="1">OFFSET($A$1,MATCH(Z229,$A:$A,0)-1,O230)</f>
        <v>2</v>
      </c>
      <c r="Q230" s="141" t="s">
        <v>29</v>
      </c>
      <c r="R230" s="142">
        <f t="shared" ref="R230:S235" ca="1" si="54">T230</f>
        <v>467217</v>
      </c>
      <c r="S230" s="142">
        <f t="shared" ca="1" si="54"/>
        <v>934434</v>
      </c>
      <c r="T230" s="142">
        <f ca="1">기술사</f>
        <v>467217</v>
      </c>
      <c r="U230" s="142">
        <f t="shared" ref="U230:U235" ca="1" si="55">ROUNDDOWN(P230*R230,0)</f>
        <v>934434</v>
      </c>
      <c r="V230" s="142"/>
      <c r="W230" s="142"/>
      <c r="X230" s="142"/>
      <c r="Y230" s="142"/>
      <c r="Z230" s="114"/>
    </row>
    <row r="231" spans="11:26" ht="18" customHeight="1">
      <c r="K231" s="171" t="s">
        <v>14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2</v>
      </c>
      <c r="Q231" s="144" t="s">
        <v>29</v>
      </c>
      <c r="R231" s="118">
        <f t="shared" ca="1" si="54"/>
        <v>373353</v>
      </c>
      <c r="S231" s="118">
        <f t="shared" ca="1" si="54"/>
        <v>746706</v>
      </c>
      <c r="T231" s="118">
        <f ca="1">특급</f>
        <v>373353</v>
      </c>
      <c r="U231" s="118">
        <f t="shared" ca="1" si="55"/>
        <v>746706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2</v>
      </c>
      <c r="Q232" s="144" t="s">
        <v>29</v>
      </c>
      <c r="R232" s="118">
        <f t="shared" ca="1" si="54"/>
        <v>310884</v>
      </c>
      <c r="S232" s="118">
        <f t="shared" ca="1" si="54"/>
        <v>621768</v>
      </c>
      <c r="T232" s="118">
        <f ca="1">고급</f>
        <v>310884</v>
      </c>
      <c r="U232" s="118">
        <f t="shared" ca="1" si="55"/>
        <v>621768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4</v>
      </c>
      <c r="Q233" s="144" t="s">
        <v>29</v>
      </c>
      <c r="R233" s="118">
        <f t="shared" ca="1" si="54"/>
        <v>295138</v>
      </c>
      <c r="S233" s="118">
        <f t="shared" ca="1" si="54"/>
        <v>1180552</v>
      </c>
      <c r="T233" s="118">
        <f ca="1">중급</f>
        <v>295138</v>
      </c>
      <c r="U233" s="118">
        <f t="shared" ca="1" si="55"/>
        <v>1180552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4</v>
      </c>
      <c r="Q234" s="144" t="s">
        <v>29</v>
      </c>
      <c r="R234" s="118">
        <f t="shared" ca="1" si="54"/>
        <v>235459</v>
      </c>
      <c r="S234" s="118">
        <f t="shared" ca="1" si="54"/>
        <v>941836</v>
      </c>
      <c r="T234" s="118">
        <f ca="1">초급</f>
        <v>235459</v>
      </c>
      <c r="U234" s="118">
        <f t="shared" ca="1" si="55"/>
        <v>941836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4</v>
      </c>
      <c r="Q235" s="322" t="s">
        <v>29</v>
      </c>
      <c r="R235" s="323">
        <f t="shared" ca="1" si="54"/>
        <v>250087</v>
      </c>
      <c r="S235" s="323">
        <f t="shared" ca="1" si="54"/>
        <v>1000348</v>
      </c>
      <c r="T235" s="323">
        <f ca="1">보조원</f>
        <v>250087</v>
      </c>
      <c r="U235" s="323">
        <f t="shared" ca="1" si="55"/>
        <v>1000348</v>
      </c>
      <c r="V235" s="323"/>
      <c r="W235" s="323"/>
      <c r="X235" s="323"/>
      <c r="Y235" s="323"/>
      <c r="Z235" s="324"/>
    </row>
    <row r="236" spans="11:26" ht="18" customHeight="1">
      <c r="K236" s="171" t="s">
        <v>14</v>
      </c>
      <c r="L236" s="171"/>
      <c r="M236" s="171"/>
      <c r="N236" s="139" t="s">
        <v>17</v>
      </c>
      <c r="O236" s="68"/>
      <c r="P236" s="69"/>
      <c r="Q236" s="70"/>
      <c r="R236" s="71"/>
      <c r="S236" s="71">
        <f ca="1">SUBTOTAL(9,S230:S235)</f>
        <v>5425644</v>
      </c>
      <c r="T236" s="71"/>
      <c r="U236" s="71">
        <f ca="1">SUBTOTAL(9,U230:U235)</f>
        <v>5425644</v>
      </c>
      <c r="V236" s="71"/>
      <c r="W236" s="71"/>
      <c r="X236" s="71"/>
      <c r="Y236" s="71"/>
      <c r="Z236" s="68"/>
    </row>
    <row r="237" spans="11:26" ht="18" customHeight="1">
      <c r="K237" s="171" t="s">
        <v>14</v>
      </c>
      <c r="L237" s="171"/>
      <c r="M237" s="171"/>
      <c r="N237" s="318" t="str">
        <f ca="1">"제 " &amp; Z237 &amp; " 호표  "&amp; OFFSET($A$1,MATCH(Z237,$A:$A,0)-1,1)</f>
        <v>제 23 호표  5.4. 관계기관 협의</v>
      </c>
      <c r="O237" s="221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23</v>
      </c>
    </row>
    <row r="238" spans="11:26" ht="18" customHeight="1">
      <c r="K238" s="171" t="s">
        <v>14</v>
      </c>
      <c r="L238" s="171"/>
      <c r="M238" s="171"/>
      <c r="N238" s="140" t="s">
        <v>43</v>
      </c>
      <c r="O238" s="172">
        <v>3</v>
      </c>
      <c r="P238" s="219">
        <f ca="1">OFFSET($A$1,MATCH(Z237,$A:$A,0)-1,O238)</f>
        <v>2</v>
      </c>
      <c r="Q238" s="141" t="s">
        <v>29</v>
      </c>
      <c r="R238" s="142">
        <f t="shared" ref="R238:S243" ca="1" si="56">T238</f>
        <v>467217</v>
      </c>
      <c r="S238" s="142">
        <f t="shared" ca="1" si="56"/>
        <v>934434</v>
      </c>
      <c r="T238" s="142">
        <f ca="1">기술사</f>
        <v>467217</v>
      </c>
      <c r="U238" s="142">
        <f t="shared" ref="U238:U243" ca="1" si="57">ROUNDDOWN(P238*R238,0)</f>
        <v>934434</v>
      </c>
      <c r="V238" s="142"/>
      <c r="W238" s="142"/>
      <c r="X238" s="142"/>
      <c r="Y238" s="142"/>
      <c r="Z238" s="114"/>
    </row>
    <row r="239" spans="11:26" ht="18" customHeight="1">
      <c r="K239" s="171" t="s">
        <v>14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2</v>
      </c>
      <c r="Q239" s="144" t="s">
        <v>29</v>
      </c>
      <c r="R239" s="118">
        <f t="shared" ca="1" si="56"/>
        <v>373353</v>
      </c>
      <c r="S239" s="118">
        <f t="shared" ca="1" si="56"/>
        <v>746706</v>
      </c>
      <c r="T239" s="118">
        <f ca="1">특급</f>
        <v>373353</v>
      </c>
      <c r="U239" s="118">
        <f t="shared" ca="1" si="57"/>
        <v>746706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2</v>
      </c>
      <c r="Q240" s="144" t="s">
        <v>29</v>
      </c>
      <c r="R240" s="118">
        <f t="shared" ca="1" si="56"/>
        <v>310884</v>
      </c>
      <c r="S240" s="118">
        <f t="shared" ca="1" si="56"/>
        <v>621768</v>
      </c>
      <c r="T240" s="118">
        <f ca="1">고급</f>
        <v>310884</v>
      </c>
      <c r="U240" s="118">
        <f t="shared" ca="1" si="57"/>
        <v>621768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4</v>
      </c>
      <c r="Q241" s="144" t="s">
        <v>29</v>
      </c>
      <c r="R241" s="118">
        <f t="shared" ca="1" si="56"/>
        <v>295138</v>
      </c>
      <c r="S241" s="118">
        <f t="shared" ca="1" si="56"/>
        <v>1180552</v>
      </c>
      <c r="T241" s="118">
        <f ca="1">중급</f>
        <v>295138</v>
      </c>
      <c r="U241" s="118">
        <f t="shared" ca="1" si="57"/>
        <v>1180552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4</v>
      </c>
      <c r="Q242" s="144" t="s">
        <v>29</v>
      </c>
      <c r="R242" s="118">
        <f t="shared" ca="1" si="56"/>
        <v>235459</v>
      </c>
      <c r="S242" s="118">
        <f t="shared" ca="1" si="56"/>
        <v>941836</v>
      </c>
      <c r="T242" s="118">
        <f ca="1">초급</f>
        <v>235459</v>
      </c>
      <c r="U242" s="118">
        <f t="shared" ca="1" si="57"/>
        <v>941836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4</v>
      </c>
      <c r="Q243" s="322" t="s">
        <v>29</v>
      </c>
      <c r="R243" s="323">
        <f t="shared" ca="1" si="56"/>
        <v>250087</v>
      </c>
      <c r="S243" s="323">
        <f t="shared" ca="1" si="56"/>
        <v>1000348</v>
      </c>
      <c r="T243" s="323">
        <f ca="1">보조원</f>
        <v>250087</v>
      </c>
      <c r="U243" s="323">
        <f t="shared" ca="1" si="57"/>
        <v>1000348</v>
      </c>
      <c r="V243" s="323"/>
      <c r="W243" s="323"/>
      <c r="X243" s="323"/>
      <c r="Y243" s="323"/>
      <c r="Z243" s="324"/>
    </row>
    <row r="244" spans="11:26" ht="18" customHeight="1">
      <c r="K244" s="171" t="s">
        <v>14</v>
      </c>
      <c r="L244" s="171"/>
      <c r="M244" s="171"/>
      <c r="N244" s="139" t="s">
        <v>17</v>
      </c>
      <c r="O244" s="68"/>
      <c r="P244" s="69"/>
      <c r="Q244" s="70"/>
      <c r="R244" s="71"/>
      <c r="S244" s="71">
        <f ca="1">SUBTOTAL(9,S238:S243)</f>
        <v>5425644</v>
      </c>
      <c r="T244" s="71"/>
      <c r="U244" s="71">
        <f ca="1">SUBTOTAL(9,U238:U243)</f>
        <v>5425644</v>
      </c>
      <c r="V244" s="71"/>
      <c r="W244" s="71"/>
      <c r="X244" s="71"/>
      <c r="Y244" s="71"/>
      <c r="Z244" s="68"/>
    </row>
    <row r="245" spans="11:26" ht="18" customHeight="1">
      <c r="K245" s="171" t="s">
        <v>14</v>
      </c>
      <c r="L245" s="171"/>
      <c r="M245" s="171"/>
    </row>
    <row r="246" spans="11:26" ht="18" customHeight="1">
      <c r="K246" s="171" t="s">
        <v>14</v>
      </c>
      <c r="L246" s="171"/>
      <c r="M246" s="171"/>
    </row>
    <row r="247" spans="11:26" ht="18" customHeight="1">
      <c r="K247" s="171" t="s">
        <v>14</v>
      </c>
      <c r="L247" s="171"/>
      <c r="M247" s="171"/>
    </row>
    <row r="248" spans="11:26" ht="18" customHeight="1">
      <c r="K248" s="171" t="s">
        <v>14</v>
      </c>
      <c r="L248" s="171"/>
      <c r="M248" s="171"/>
    </row>
    <row r="249" spans="11:26" ht="18" customHeight="1">
      <c r="K249" s="171" t="s">
        <v>14</v>
      </c>
      <c r="L249" s="171"/>
      <c r="M249" s="171"/>
    </row>
    <row r="250" spans="11:26" ht="18" customHeight="1">
      <c r="K250" s="171" t="s">
        <v>14</v>
      </c>
      <c r="L250" s="171"/>
      <c r="M250" s="171"/>
    </row>
    <row r="251" spans="11:26" ht="18" customHeight="1">
      <c r="K251" s="171" t="s">
        <v>14</v>
      </c>
      <c r="L251" s="171"/>
      <c r="M251" s="171"/>
    </row>
    <row r="252" spans="11:26" ht="18" customHeight="1">
      <c r="K252" s="171" t="s">
        <v>14</v>
      </c>
      <c r="L252" s="171"/>
      <c r="M252" s="171"/>
    </row>
    <row r="253" spans="11:26" ht="18" customHeight="1">
      <c r="K253" s="171" t="s">
        <v>14</v>
      </c>
      <c r="L253" s="171"/>
      <c r="M253" s="171"/>
    </row>
    <row r="254" spans="11:26" ht="18" customHeight="1">
      <c r="K254" s="171" t="s">
        <v>14</v>
      </c>
      <c r="L254" s="171"/>
      <c r="M254" s="171"/>
    </row>
    <row r="255" spans="11:26" ht="18" customHeight="1">
      <c r="K255" s="171" t="s">
        <v>14</v>
      </c>
      <c r="L255" s="171"/>
      <c r="M255" s="171"/>
    </row>
    <row r="256" spans="11:26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</row>
    <row r="822" spans="11:13" ht="18" customHeight="1">
      <c r="K822" s="171" t="s">
        <v>14</v>
      </c>
      <c r="L822" s="171"/>
    </row>
    <row r="823" spans="11:13" ht="18" customHeight="1">
      <c r="K823" s="171" t="s">
        <v>14</v>
      </c>
      <c r="L823" s="171"/>
    </row>
    <row r="824" spans="11:13" ht="18" customHeight="1">
      <c r="K824" s="171" t="s">
        <v>14</v>
      </c>
      <c r="L824" s="171"/>
    </row>
    <row r="825" spans="11:13" ht="18" customHeight="1">
      <c r="K825" s="171" t="s">
        <v>14</v>
      </c>
      <c r="L825" s="171"/>
    </row>
    <row r="826" spans="11:13" ht="18" customHeight="1">
      <c r="K826" s="171" t="s">
        <v>14</v>
      </c>
      <c r="L826" s="171"/>
    </row>
    <row r="827" spans="11:13" ht="18" customHeight="1">
      <c r="K827" s="171" t="s">
        <v>14</v>
      </c>
      <c r="L827" s="171"/>
    </row>
    <row r="828" spans="11:13" ht="18" customHeight="1">
      <c r="K828" s="171" t="s">
        <v>14</v>
      </c>
      <c r="L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2:12" ht="18" customHeight="1">
      <c r="L833" s="171"/>
    </row>
    <row r="834" spans="12:12" ht="18" customHeight="1">
      <c r="L834" s="171"/>
    </row>
    <row r="835" spans="12:12" ht="18" customHeight="1">
      <c r="L835" s="171"/>
    </row>
  </sheetData>
  <mergeCells count="14">
    <mergeCell ref="B3:C3"/>
    <mergeCell ref="B4:C4"/>
    <mergeCell ref="B5:C5"/>
    <mergeCell ref="Z59:Z60"/>
    <mergeCell ref="B12:C13"/>
    <mergeCell ref="J12:J13"/>
    <mergeCell ref="L12:L13"/>
    <mergeCell ref="N59:N60"/>
    <mergeCell ref="O59:O60"/>
    <mergeCell ref="G3:H3"/>
    <mergeCell ref="G4:H4"/>
    <mergeCell ref="G5:H5"/>
    <mergeCell ref="P59:P60"/>
    <mergeCell ref="Q59:Q60"/>
  </mergeCells>
  <phoneticPr fontId="14" type="noConversion"/>
  <conditionalFormatting sqref="V14:V42">
    <cfRule type="cellIs" dxfId="4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7" min="13" max="28" man="1"/>
    <brk id="78" min="13" max="28" man="1"/>
  </row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76">
    <tabColor rgb="FF00B0F0"/>
    <pageSetUpPr fitToPage="1"/>
  </sheetPr>
  <dimension ref="A1:Z828"/>
  <sheetViews>
    <sheetView showGridLines="0" zoomScale="85" zoomScaleNormal="85" zoomScaleSheetLayoutView="75" workbookViewId="0">
      <selection activeCell="G3" sqref="G3:K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2075</v>
      </c>
    </row>
    <row r="2" spans="1:26" ht="19.5" thickBot="1">
      <c r="B2" s="66" t="s">
        <v>1</v>
      </c>
    </row>
    <row r="3" spans="1:26" ht="19.5" customHeight="1">
      <c r="A3" s="327"/>
      <c r="B3" s="773" t="s">
        <v>48</v>
      </c>
      <c r="C3" s="774"/>
      <c r="D3" s="716"/>
      <c r="E3" s="717">
        <v>1</v>
      </c>
      <c r="F3" s="44" t="s">
        <v>393</v>
      </c>
      <c r="G3" s="838" t="s">
        <v>1104</v>
      </c>
      <c r="H3" s="839"/>
      <c r="I3" s="656">
        <v>2</v>
      </c>
      <c r="J3" s="669" t="s">
        <v>794</v>
      </c>
      <c r="K3" s="6"/>
      <c r="L3" s="6"/>
      <c r="M3" s="6"/>
      <c r="N3" s="6"/>
      <c r="O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A4" s="327"/>
      <c r="B4" s="777" t="s">
        <v>1329</v>
      </c>
      <c r="C4" s="778"/>
      <c r="D4" s="718"/>
      <c r="E4" s="719">
        <v>1</v>
      </c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M4" s="6"/>
      <c r="N4" s="6"/>
      <c r="O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A5" s="327"/>
      <c r="B5" s="781" t="s">
        <v>2091</v>
      </c>
      <c r="C5" s="782"/>
      <c r="D5" s="720"/>
      <c r="E5" s="721">
        <f>ROUND((IF(E4&lt;=0.5,0.5,E4)/E3)^0.6,3)</f>
        <v>1</v>
      </c>
      <c r="F5" s="681"/>
      <c r="G5" s="817" t="s">
        <v>1102</v>
      </c>
      <c r="H5" s="818"/>
      <c r="I5" s="646">
        <f>ROUND(I4/I3,3)</f>
        <v>1</v>
      </c>
      <c r="J5" s="671"/>
      <c r="K5" s="6"/>
      <c r="L5" s="6"/>
      <c r="M5" s="6"/>
      <c r="N5" s="6"/>
      <c r="O5" s="6"/>
      <c r="R5" s="1"/>
      <c r="S5" s="1"/>
      <c r="T5" s="1"/>
      <c r="U5" s="1"/>
      <c r="V5" s="1"/>
      <c r="W5" s="1"/>
      <c r="X5" s="1"/>
      <c r="Y5" s="1"/>
    </row>
    <row r="6" spans="1:26" ht="23.25" customHeight="1">
      <c r="A6" s="327"/>
      <c r="B6" s="9" t="s">
        <v>2092</v>
      </c>
      <c r="C6" s="9"/>
      <c r="D6" s="64"/>
      <c r="E6" s="64"/>
      <c r="G6" s="9" t="s">
        <v>1107</v>
      </c>
      <c r="J6" s="36"/>
      <c r="K6" s="6"/>
      <c r="L6" s="6"/>
      <c r="M6" s="6"/>
      <c r="N6" s="6"/>
      <c r="O6" s="6"/>
      <c r="R6" s="1"/>
      <c r="S6" s="1"/>
      <c r="T6" s="1"/>
      <c r="U6" s="1"/>
      <c r="V6" s="1"/>
      <c r="W6" s="1"/>
      <c r="X6" s="1"/>
      <c r="Y6" s="1"/>
    </row>
    <row r="7" spans="1:26" ht="23.25" customHeight="1">
      <c r="H7" s="6"/>
      <c r="I7" s="6"/>
      <c r="J7" s="6"/>
      <c r="K7" s="6"/>
      <c r="L7" s="6"/>
      <c r="M7" s="6"/>
      <c r="N7" s="6"/>
      <c r="O7" s="6"/>
      <c r="R7" s="1"/>
      <c r="S7" s="1"/>
      <c r="T7" s="1"/>
      <c r="U7" s="1"/>
      <c r="V7" s="1"/>
      <c r="W7" s="1"/>
      <c r="X7" s="1"/>
      <c r="Y7" s="1"/>
    </row>
    <row r="8" spans="1:26" ht="18" customHeight="1">
      <c r="B8" s="9"/>
      <c r="C8" s="9"/>
      <c r="D8" s="64"/>
      <c r="E8" s="64"/>
      <c r="R8" s="1"/>
      <c r="S8" s="1"/>
      <c r="T8" s="1"/>
    </row>
    <row r="9" spans="1:26" ht="18" customHeight="1">
      <c r="G9" s="36"/>
      <c r="W9" s="188" t="s">
        <v>3</v>
      </c>
      <c r="X9" s="189"/>
    </row>
    <row r="10" spans="1:26" ht="18" customHeight="1" thickBot="1">
      <c r="B10" s="66" t="s">
        <v>4</v>
      </c>
      <c r="C10" s="9"/>
      <c r="D10" s="64"/>
      <c r="E10" s="64"/>
      <c r="G10" s="36"/>
      <c r="N10" s="66" t="s">
        <v>5</v>
      </c>
    </row>
    <row r="11" spans="1:26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121"/>
      <c r="V11" s="121"/>
      <c r="W11" s="186">
        <f ca="1">SUBTOTAL(9,W12:W42)</f>
        <v>199414408</v>
      </c>
      <c r="X11" s="187"/>
      <c r="Y11" s="177"/>
      <c r="Z11" s="167"/>
    </row>
    <row r="12" spans="1:26" ht="18" customHeight="1">
      <c r="A12" s="278"/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N12" s="127" t="s">
        <v>8</v>
      </c>
      <c r="O12" s="122"/>
      <c r="P12" s="122"/>
      <c r="Q12" s="123"/>
      <c r="R12" s="123"/>
      <c r="S12" s="123"/>
      <c r="T12" s="123"/>
      <c r="U12" s="184"/>
      <c r="V12" s="184"/>
      <c r="W12" s="163">
        <f ca="1">SUBTOTAL(9,W13:W39)</f>
        <v>76484583</v>
      </c>
      <c r="X12" s="164"/>
      <c r="Y12" s="178" t="s">
        <v>9</v>
      </c>
      <c r="Z12" s="179"/>
    </row>
    <row r="13" spans="1:26" ht="18" customHeight="1" thickBot="1">
      <c r="A13" s="278"/>
      <c r="B13" s="820"/>
      <c r="C13" s="821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218"/>
      <c r="V13" s="218"/>
      <c r="W13" s="255">
        <f ca="1">SUBTOTAL(9,W14:W34)</f>
        <v>68484583</v>
      </c>
      <c r="X13" s="256"/>
      <c r="Y13" s="220"/>
      <c r="Z13" s="220"/>
    </row>
    <row r="14" spans="1:26" ht="18" customHeight="1">
      <c r="A14" s="279"/>
      <c r="B14" s="222" t="s">
        <v>529</v>
      </c>
      <c r="C14" s="47"/>
      <c r="D14" s="48">
        <f t="shared" ref="D14:I14" si="0">SUBTOTAL(9,D15:D19)</f>
        <v>0.89999999999999991</v>
      </c>
      <c r="E14" s="49">
        <f t="shared" si="0"/>
        <v>1.7999999999999998</v>
      </c>
      <c r="F14" s="49">
        <f t="shared" si="0"/>
        <v>3.7</v>
      </c>
      <c r="G14" s="49">
        <f t="shared" si="0"/>
        <v>11.200000000000001</v>
      </c>
      <c r="H14" s="49">
        <f t="shared" si="0"/>
        <v>14.400000000000002</v>
      </c>
      <c r="I14" s="50">
        <f t="shared" si="0"/>
        <v>17.399999999999999</v>
      </c>
      <c r="J14" s="389"/>
      <c r="L14" s="232"/>
      <c r="N14" s="354" t="str">
        <f>B14</f>
        <v>1. 현황조사</v>
      </c>
      <c r="O14" s="169"/>
      <c r="P14" s="169"/>
      <c r="Q14" s="169"/>
      <c r="R14" s="169"/>
      <c r="S14" s="169"/>
      <c r="T14" s="169"/>
      <c r="U14" s="226"/>
      <c r="V14" s="248"/>
      <c r="W14" s="193">
        <f ca="1">SUBTOTAL(9,W15:W19)</f>
        <v>13290455</v>
      </c>
      <c r="X14" s="194"/>
      <c r="Y14" s="170" t="str">
        <f>IF(A36&gt;0, "제 " &amp;A36&amp; " 호표","")</f>
        <v/>
      </c>
      <c r="Z14" s="170"/>
    </row>
    <row r="15" spans="1:26" ht="18" customHeight="1">
      <c r="A15" s="279"/>
      <c r="B15" s="223" t="s">
        <v>2093</v>
      </c>
      <c r="C15" s="23"/>
      <c r="D15" s="197">
        <v>0.5</v>
      </c>
      <c r="E15" s="198">
        <v>1</v>
      </c>
      <c r="F15" s="198">
        <v>1.3</v>
      </c>
      <c r="G15" s="198">
        <v>4</v>
      </c>
      <c r="H15" s="198">
        <v>5.2</v>
      </c>
      <c r="I15" s="199">
        <v>9</v>
      </c>
      <c r="J15" s="389" t="s">
        <v>2017</v>
      </c>
      <c r="L15" s="233">
        <v>1</v>
      </c>
      <c r="N15" s="292" t="str">
        <f t="shared" ref="N15:N34" si="1">B15</f>
        <v>1.1. 소규모주택정비사업 충족여부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SUM((ROUNDDOWN((D37:I37)*단가,0)))</f>
        <v>5666831</v>
      </c>
      <c r="X15" s="154"/>
      <c r="Y15" s="170" t="str">
        <f>IF(A37&gt;0, "제 " &amp;A37&amp; " 호표","")</f>
        <v>제 1 호표</v>
      </c>
      <c r="Z15" s="150"/>
    </row>
    <row r="16" spans="1:26" ht="18" customHeight="1">
      <c r="A16" s="279"/>
      <c r="B16" s="223" t="s">
        <v>2076</v>
      </c>
      <c r="C16" s="23"/>
      <c r="D16" s="197">
        <v>0.1</v>
      </c>
      <c r="E16" s="198">
        <v>0.2</v>
      </c>
      <c r="F16" s="198">
        <v>0.6</v>
      </c>
      <c r="G16" s="198">
        <v>1.8</v>
      </c>
      <c r="H16" s="198">
        <v>2.2999999999999998</v>
      </c>
      <c r="I16" s="199">
        <v>2.1</v>
      </c>
      <c r="J16" s="389" t="s">
        <v>1090</v>
      </c>
      <c r="L16" s="233">
        <v>1</v>
      </c>
      <c r="N16" s="292" t="str">
        <f t="shared" si="1"/>
        <v>1.2. 도시·군관리계획현황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SUM((ROUNDDOWN((D38:I38)*단가,0)))</f>
        <v>1905906</v>
      </c>
      <c r="X16" s="154"/>
      <c r="Y16" s="170" t="str">
        <f t="shared" ref="Y16:Y34" si="2">IF(A38&gt;0, "제 " &amp;A38&amp; " 호표","")</f>
        <v>제 2 호표</v>
      </c>
      <c r="Z16" s="150"/>
    </row>
    <row r="17" spans="1:26" ht="18" customHeight="1">
      <c r="A17" s="279"/>
      <c r="B17" s="223" t="s">
        <v>2077</v>
      </c>
      <c r="C17" s="23"/>
      <c r="D17" s="197">
        <v>0.1</v>
      </c>
      <c r="E17" s="198">
        <v>0.2</v>
      </c>
      <c r="F17" s="198">
        <v>0.6</v>
      </c>
      <c r="G17" s="198">
        <v>1.8</v>
      </c>
      <c r="H17" s="198">
        <v>2.2999999999999998</v>
      </c>
      <c r="I17" s="199">
        <v>2.1</v>
      </c>
      <c r="J17" s="389" t="s">
        <v>1090</v>
      </c>
      <c r="L17" s="233">
        <v>1</v>
      </c>
      <c r="N17" s="292" t="str">
        <f t="shared" si="1"/>
        <v>1.3. 토지현황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SUM((ROUNDDOWN((D39:I39)*단가,0)))</f>
        <v>1905906</v>
      </c>
      <c r="X17" s="154"/>
      <c r="Y17" s="170" t="str">
        <f t="shared" si="2"/>
        <v>제 3 호표</v>
      </c>
      <c r="Z17" s="150"/>
    </row>
    <row r="18" spans="1:26" ht="18" customHeight="1">
      <c r="A18" s="279"/>
      <c r="B18" s="223" t="s">
        <v>2078</v>
      </c>
      <c r="C18" s="23"/>
      <c r="D18" s="197">
        <v>0.1</v>
      </c>
      <c r="E18" s="198">
        <v>0.2</v>
      </c>
      <c r="F18" s="198">
        <v>0.6</v>
      </c>
      <c r="G18" s="198">
        <v>1.8</v>
      </c>
      <c r="H18" s="198">
        <v>2.2999999999999998</v>
      </c>
      <c r="I18" s="199">
        <v>2.1</v>
      </c>
      <c r="J18" s="389" t="s">
        <v>1090</v>
      </c>
      <c r="L18" s="233">
        <v>1</v>
      </c>
      <c r="N18" s="292" t="str">
        <f t="shared" si="1"/>
        <v>1.4. 건축물현황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SUM((ROUNDDOWN((D40:I40)*단가,0)))</f>
        <v>1905906</v>
      </c>
      <c r="X18" s="154"/>
      <c r="Y18" s="170" t="str">
        <f t="shared" si="2"/>
        <v>제 4 호표</v>
      </c>
      <c r="Z18" s="150"/>
    </row>
    <row r="19" spans="1:26" ht="18" customHeight="1">
      <c r="A19" s="279"/>
      <c r="B19" s="223" t="s">
        <v>2079</v>
      </c>
      <c r="C19" s="23"/>
      <c r="D19" s="197">
        <v>0.1</v>
      </c>
      <c r="E19" s="198">
        <v>0.2</v>
      </c>
      <c r="F19" s="198">
        <v>0.6</v>
      </c>
      <c r="G19" s="198">
        <v>1.8</v>
      </c>
      <c r="H19" s="198">
        <v>2.2999999999999998</v>
      </c>
      <c r="I19" s="199">
        <v>2.1</v>
      </c>
      <c r="J19" s="389" t="s">
        <v>1090</v>
      </c>
      <c r="L19" s="233">
        <v>1</v>
      </c>
      <c r="N19" s="292" t="str">
        <f t="shared" si="1"/>
        <v>1.5. 공시가격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SUM((ROUNDDOWN((D41:I41)*단가,0)))</f>
        <v>1905906</v>
      </c>
      <c r="X19" s="154"/>
      <c r="Y19" s="170" t="str">
        <f t="shared" si="2"/>
        <v>제 5 호표</v>
      </c>
      <c r="Z19" s="150"/>
    </row>
    <row r="20" spans="1:26" ht="18" customHeight="1">
      <c r="A20" s="279"/>
      <c r="B20" s="222" t="s">
        <v>543</v>
      </c>
      <c r="C20" s="47"/>
      <c r="D20" s="48">
        <f t="shared" ref="D20:I20" si="3">SUBTOTAL(9,D21:D26)</f>
        <v>2.1</v>
      </c>
      <c r="E20" s="49">
        <f t="shared" si="3"/>
        <v>5.0999999999999996</v>
      </c>
      <c r="F20" s="49">
        <f t="shared" si="3"/>
        <v>11.799999999999999</v>
      </c>
      <c r="G20" s="49">
        <f t="shared" si="3"/>
        <v>20</v>
      </c>
      <c r="H20" s="49">
        <f t="shared" si="3"/>
        <v>27.4</v>
      </c>
      <c r="I20" s="50">
        <f t="shared" si="3"/>
        <v>26.699999999999996</v>
      </c>
      <c r="J20" s="389"/>
      <c r="L20" s="232"/>
      <c r="N20" s="354" t="str">
        <f t="shared" si="1"/>
        <v>2. 사업계획</v>
      </c>
      <c r="O20" s="169"/>
      <c r="P20" s="169"/>
      <c r="Q20" s="169"/>
      <c r="R20" s="169"/>
      <c r="S20" s="169"/>
      <c r="T20" s="169"/>
      <c r="U20" s="226"/>
      <c r="V20" s="248"/>
      <c r="W20" s="193">
        <f ca="1">SUBTOTAL(9,W21:W26)</f>
        <v>25585334</v>
      </c>
      <c r="X20" s="194"/>
      <c r="Y20" s="170" t="str">
        <f t="shared" si="2"/>
        <v/>
      </c>
      <c r="Z20" s="170"/>
    </row>
    <row r="21" spans="1:26" ht="18" customHeight="1">
      <c r="A21" s="279"/>
      <c r="B21" s="223" t="s">
        <v>2080</v>
      </c>
      <c r="C21" s="23"/>
      <c r="D21" s="197">
        <v>0.6</v>
      </c>
      <c r="E21" s="198">
        <v>1.1000000000000001</v>
      </c>
      <c r="F21" s="198">
        <v>2.8</v>
      </c>
      <c r="G21" s="198">
        <v>5</v>
      </c>
      <c r="H21" s="198">
        <v>6.9</v>
      </c>
      <c r="I21" s="199">
        <v>6.7</v>
      </c>
      <c r="J21" s="389" t="s">
        <v>1090</v>
      </c>
      <c r="L21" s="233">
        <v>1</v>
      </c>
      <c r="N21" s="292" t="str">
        <f t="shared" si="1"/>
        <v>2.1. 주택건설예정 호수·세대수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SUM((ROUNDDOWN((D43:I43)*단가,0)))</f>
        <v>6337432</v>
      </c>
      <c r="X21" s="154"/>
      <c r="Y21" s="170" t="str">
        <f t="shared" si="2"/>
        <v>제 6 호표</v>
      </c>
      <c r="Z21" s="150"/>
    </row>
    <row r="22" spans="1:26" ht="18" customHeight="1">
      <c r="A22" s="279"/>
      <c r="B22" s="223" t="s">
        <v>2081</v>
      </c>
      <c r="C22" s="23"/>
      <c r="D22" s="197">
        <v>0.3</v>
      </c>
      <c r="E22" s="198">
        <v>0.8</v>
      </c>
      <c r="F22" s="198">
        <v>2.2000000000000002</v>
      </c>
      <c r="G22" s="198">
        <v>4</v>
      </c>
      <c r="H22" s="198">
        <v>5.5</v>
      </c>
      <c r="I22" s="199">
        <v>5.4</v>
      </c>
      <c r="J22" s="389" t="s">
        <v>1090</v>
      </c>
      <c r="L22" s="233">
        <v>1</v>
      </c>
      <c r="N22" s="292" t="str">
        <f t="shared" si="1"/>
        <v>2.2. 시행구역 및 범위·지번·지목 및 등기명의자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SUM((ROUNDDOWN((D44:I44)*단가,0)))</f>
        <v>4948836</v>
      </c>
      <c r="X22" s="154"/>
      <c r="Y22" s="170" t="str">
        <f t="shared" si="2"/>
        <v>제 7 호표</v>
      </c>
      <c r="Z22" s="150"/>
    </row>
    <row r="23" spans="1:26" ht="18" customHeight="1">
      <c r="A23" s="279"/>
      <c r="B23" s="223" t="s">
        <v>2082</v>
      </c>
      <c r="C23" s="23"/>
      <c r="D23" s="197">
        <v>0.3</v>
      </c>
      <c r="E23" s="198">
        <v>0.8</v>
      </c>
      <c r="F23" s="198">
        <v>2.2000000000000002</v>
      </c>
      <c r="G23" s="198">
        <v>4</v>
      </c>
      <c r="H23" s="198">
        <v>5.5</v>
      </c>
      <c r="I23" s="199">
        <v>5.4</v>
      </c>
      <c r="J23" s="389" t="s">
        <v>1090</v>
      </c>
      <c r="L23" s="233">
        <v>1</v>
      </c>
      <c r="N23" s="292" t="str">
        <f t="shared" si="1"/>
        <v>2.3. 도시·군관리계획의 용도지역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SUM((ROUNDDOWN((D45:I45)*단가,0)))</f>
        <v>4948836</v>
      </c>
      <c r="X23" s="154"/>
      <c r="Y23" s="170" t="str">
        <f t="shared" si="2"/>
        <v>제 8 호표</v>
      </c>
      <c r="Z23" s="150"/>
    </row>
    <row r="24" spans="1:26" ht="18" customHeight="1">
      <c r="A24" s="279"/>
      <c r="B24" s="223" t="s">
        <v>2083</v>
      </c>
      <c r="C24" s="23"/>
      <c r="D24" s="197">
        <v>0.3</v>
      </c>
      <c r="E24" s="198">
        <v>0.8</v>
      </c>
      <c r="F24" s="198">
        <v>2.2000000000000002</v>
      </c>
      <c r="G24" s="198">
        <v>4</v>
      </c>
      <c r="H24" s="198">
        <v>5.5</v>
      </c>
      <c r="I24" s="199">
        <v>5.4</v>
      </c>
      <c r="J24" s="389" t="s">
        <v>1090</v>
      </c>
      <c r="L24" s="233">
        <v>1</v>
      </c>
      <c r="N24" s="292" t="str">
        <f t="shared" si="1"/>
        <v>2.4. 대지·주변현황 사업계획서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SUM((ROUNDDOWN((D46:I46)*단가,0)))</f>
        <v>4948836</v>
      </c>
      <c r="X24" s="154"/>
      <c r="Y24" s="170" t="str">
        <f t="shared" si="2"/>
        <v>제 9 호표</v>
      </c>
      <c r="Z24" s="150"/>
    </row>
    <row r="25" spans="1:26" ht="18" customHeight="1">
      <c r="A25" s="279"/>
      <c r="B25" s="223" t="s">
        <v>2084</v>
      </c>
      <c r="C25" s="23"/>
      <c r="D25" s="197">
        <v>0.3</v>
      </c>
      <c r="E25" s="198">
        <v>0.8</v>
      </c>
      <c r="F25" s="198">
        <v>1.2</v>
      </c>
      <c r="G25" s="198">
        <v>1.5</v>
      </c>
      <c r="H25" s="198">
        <v>2</v>
      </c>
      <c r="I25" s="199">
        <v>1.9</v>
      </c>
      <c r="J25" s="389" t="s">
        <v>1090</v>
      </c>
      <c r="L25" s="233">
        <v>1</v>
      </c>
      <c r="N25" s="292" t="str">
        <f t="shared" si="1"/>
        <v>2.5. 위치도 및 현황도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SUM((ROUNDDOWN((D47:I47)*단가,0)))</f>
        <v>2200697</v>
      </c>
      <c r="X25" s="154"/>
      <c r="Y25" s="170" t="str">
        <f t="shared" si="2"/>
        <v>제 10 호표</v>
      </c>
      <c r="Z25" s="150"/>
    </row>
    <row r="26" spans="1:26" ht="18" customHeight="1">
      <c r="A26" s="279"/>
      <c r="B26" s="223" t="s">
        <v>2085</v>
      </c>
      <c r="C26" s="23"/>
      <c r="D26" s="197">
        <v>0.3</v>
      </c>
      <c r="E26" s="198">
        <v>0.8</v>
      </c>
      <c r="F26" s="198">
        <v>1.2</v>
      </c>
      <c r="G26" s="198">
        <v>1.5</v>
      </c>
      <c r="H26" s="198">
        <v>2</v>
      </c>
      <c r="I26" s="199">
        <v>1.9</v>
      </c>
      <c r="J26" s="389" t="s">
        <v>1090</v>
      </c>
      <c r="L26" s="233">
        <v>1</v>
      </c>
      <c r="N26" s="292" t="str">
        <f t="shared" si="1"/>
        <v>2.6. 토지·건축물 지적현황도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SUM((ROUNDDOWN((D48:I48)*단가,0)))</f>
        <v>2200697</v>
      </c>
      <c r="X26" s="154"/>
      <c r="Y26" s="170" t="str">
        <f t="shared" si="2"/>
        <v>제 11 호표</v>
      </c>
      <c r="Z26" s="150"/>
    </row>
    <row r="27" spans="1:26" ht="18" customHeight="1">
      <c r="A27" s="279"/>
      <c r="B27" s="222" t="s">
        <v>544</v>
      </c>
      <c r="C27" s="47"/>
      <c r="D27" s="48">
        <f t="shared" ref="D27:I27" si="4">SUBTOTAL(9,D28:D29)</f>
        <v>0.7</v>
      </c>
      <c r="E27" s="49">
        <f t="shared" si="4"/>
        <v>1.4</v>
      </c>
      <c r="F27" s="49">
        <f t="shared" si="4"/>
        <v>3.3000000000000003</v>
      </c>
      <c r="G27" s="49">
        <f t="shared" si="4"/>
        <v>6.2</v>
      </c>
      <c r="H27" s="49">
        <f t="shared" si="4"/>
        <v>8.6000000000000014</v>
      </c>
      <c r="I27" s="50">
        <f t="shared" si="4"/>
        <v>8.6999999999999993</v>
      </c>
      <c r="J27" s="389"/>
      <c r="L27" s="233"/>
      <c r="N27" s="354" t="str">
        <f t="shared" si="1"/>
        <v>3. 성과품 작성</v>
      </c>
      <c r="O27" s="169"/>
      <c r="P27" s="169"/>
      <c r="Q27" s="169"/>
      <c r="R27" s="169"/>
      <c r="S27" s="169"/>
      <c r="T27" s="169"/>
      <c r="U27" s="226"/>
      <c r="V27" s="248"/>
      <c r="W27" s="193">
        <f ca="1">SUBTOTAL(9,W28:W29)</f>
        <v>7906218</v>
      </c>
      <c r="X27" s="257"/>
      <c r="Y27" s="170" t="str">
        <f t="shared" si="2"/>
        <v/>
      </c>
      <c r="Z27" s="169"/>
    </row>
    <row r="28" spans="1:26" ht="18" customHeight="1">
      <c r="A28" s="279"/>
      <c r="B28" s="223" t="s">
        <v>2016</v>
      </c>
      <c r="C28" s="23"/>
      <c r="D28" s="197">
        <v>0.5</v>
      </c>
      <c r="E28" s="198">
        <v>0.9</v>
      </c>
      <c r="F28" s="198">
        <v>2.2000000000000002</v>
      </c>
      <c r="G28" s="198">
        <v>3.7</v>
      </c>
      <c r="H28" s="198">
        <v>3.7</v>
      </c>
      <c r="I28" s="199">
        <v>2.5</v>
      </c>
      <c r="J28" s="389" t="s">
        <v>1090</v>
      </c>
      <c r="L28" s="233">
        <v>1</v>
      </c>
      <c r="N28" s="292" t="str">
        <f t="shared" si="1"/>
        <v>3.1. 보고서작성 및 편집</v>
      </c>
      <c r="O28" s="37"/>
      <c r="P28" s="37"/>
      <c r="Q28" s="37"/>
      <c r="R28" s="37"/>
      <c r="S28" s="37"/>
      <c r="T28" s="37"/>
      <c r="U28" s="226"/>
      <c r="V28" s="248"/>
      <c r="W28" s="153">
        <f t="array" aca="1" ref="W28" ca="1">SUM((ROUNDDOWN((D50:I50)*단가,0)))</f>
        <v>3841994</v>
      </c>
      <c r="X28" s="113"/>
      <c r="Y28" s="170" t="str">
        <f t="shared" si="2"/>
        <v>제 12 호표</v>
      </c>
      <c r="Z28" s="37"/>
    </row>
    <row r="29" spans="1:26" ht="18" customHeight="1">
      <c r="A29" s="279"/>
      <c r="B29" s="223" t="s">
        <v>2086</v>
      </c>
      <c r="C29" s="43"/>
      <c r="D29" s="206">
        <v>0.2</v>
      </c>
      <c r="E29" s="207">
        <v>0.5</v>
      </c>
      <c r="F29" s="207">
        <v>1.1000000000000001</v>
      </c>
      <c r="G29" s="207">
        <v>2.5</v>
      </c>
      <c r="H29" s="207">
        <v>4.9000000000000004</v>
      </c>
      <c r="I29" s="208">
        <v>6.2</v>
      </c>
      <c r="J29" s="390" t="s">
        <v>1090</v>
      </c>
      <c r="L29" s="233">
        <v>1</v>
      </c>
      <c r="N29" s="292" t="str">
        <f t="shared" si="1"/>
        <v>3.2. 관련도서작성</v>
      </c>
      <c r="O29" s="37"/>
      <c r="P29" s="37"/>
      <c r="Q29" s="37"/>
      <c r="R29" s="37"/>
      <c r="S29" s="37"/>
      <c r="T29" s="37"/>
      <c r="U29" s="353"/>
      <c r="V29" s="248"/>
      <c r="W29" s="153">
        <f t="array" aca="1" ref="W29" ca="1">SUM((ROUNDDOWN((D51:I51)*단가,0)))</f>
        <v>4064224</v>
      </c>
      <c r="X29" s="113"/>
      <c r="Y29" s="170" t="str">
        <f t="shared" si="2"/>
        <v>제 13 호표</v>
      </c>
      <c r="Z29" s="37"/>
    </row>
    <row r="30" spans="1:26" ht="18" customHeight="1">
      <c r="A30" s="279"/>
      <c r="B30" s="222" t="s">
        <v>545</v>
      </c>
      <c r="C30" s="47"/>
      <c r="D30" s="48">
        <f t="shared" ref="D30:I30" si="5">SUBTOTAL(9,D31:D34)</f>
        <v>8</v>
      </c>
      <c r="E30" s="49">
        <f t="shared" si="5"/>
        <v>8</v>
      </c>
      <c r="F30" s="49">
        <f t="shared" si="5"/>
        <v>8</v>
      </c>
      <c r="G30" s="49">
        <f t="shared" si="5"/>
        <v>16</v>
      </c>
      <c r="H30" s="49">
        <f t="shared" si="5"/>
        <v>16</v>
      </c>
      <c r="I30" s="50">
        <f t="shared" si="5"/>
        <v>16</v>
      </c>
      <c r="J30" s="389"/>
      <c r="L30" s="232"/>
      <c r="N30" s="354" t="str">
        <f t="shared" si="1"/>
        <v>4. 기술협의</v>
      </c>
      <c r="O30" s="169"/>
      <c r="P30" s="169"/>
      <c r="Q30" s="169"/>
      <c r="R30" s="169"/>
      <c r="S30" s="169"/>
      <c r="T30" s="169"/>
      <c r="U30" s="226"/>
      <c r="V30" s="248"/>
      <c r="W30" s="193">
        <f ca="1">SUBTOTAL(9,W31:W34)</f>
        <v>21702576</v>
      </c>
      <c r="X30" s="257"/>
      <c r="Y30" s="170" t="str">
        <f t="shared" si="2"/>
        <v/>
      </c>
      <c r="Z30" s="169"/>
    </row>
    <row r="31" spans="1:26" ht="18" customHeight="1">
      <c r="A31" s="279"/>
      <c r="B31" s="223" t="s">
        <v>2087</v>
      </c>
      <c r="C31" s="23"/>
      <c r="D31" s="197">
        <v>2</v>
      </c>
      <c r="E31" s="198">
        <v>2</v>
      </c>
      <c r="F31" s="198">
        <v>2</v>
      </c>
      <c r="G31" s="198">
        <v>4</v>
      </c>
      <c r="H31" s="198">
        <v>4</v>
      </c>
      <c r="I31" s="199">
        <v>4</v>
      </c>
      <c r="J31" s="389" t="s">
        <v>2001</v>
      </c>
      <c r="L31" s="233">
        <v>1</v>
      </c>
      <c r="N31" s="292" t="str">
        <f t="shared" si="1"/>
        <v>4.1. 공청회/주민설명회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SUM((ROUNDDOWN((D53:I53)*단가,0)))</f>
        <v>5425644</v>
      </c>
      <c r="X31" s="154"/>
      <c r="Y31" s="170" t="str">
        <f t="shared" si="2"/>
        <v>제 14 호표</v>
      </c>
      <c r="Z31" s="150"/>
    </row>
    <row r="32" spans="1:26" ht="18" customHeight="1">
      <c r="A32" s="279"/>
      <c r="B32" s="223" t="s">
        <v>1627</v>
      </c>
      <c r="C32" s="23"/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389" t="s">
        <v>1094</v>
      </c>
      <c r="L32" s="233">
        <v>1</v>
      </c>
      <c r="N32" s="292" t="str">
        <f t="shared" si="1"/>
        <v>4.2. 주민간담회/시민계획단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SUM((ROUNDDOWN((D54:I54)*단가,0)))</f>
        <v>5425644</v>
      </c>
      <c r="X32" s="154"/>
      <c r="Y32" s="170" t="str">
        <f t="shared" si="2"/>
        <v>제 15 호표</v>
      </c>
      <c r="Z32" s="150"/>
    </row>
    <row r="33" spans="1:26" ht="18" customHeight="1">
      <c r="A33" s="279"/>
      <c r="B33" s="223" t="s">
        <v>2088</v>
      </c>
      <c r="C33" s="23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1094</v>
      </c>
      <c r="L33" s="233">
        <v>1</v>
      </c>
      <c r="N33" s="292" t="str">
        <f t="shared" si="1"/>
        <v>4.3. 위원회심의 지원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SUM((ROUNDDOWN((D55:I55)*단가,0)))</f>
        <v>5425644</v>
      </c>
      <c r="X33" s="154"/>
      <c r="Y33" s="170" t="str">
        <f t="shared" si="2"/>
        <v>제 16 호표</v>
      </c>
      <c r="Z33" s="150"/>
    </row>
    <row r="34" spans="1:26" ht="18" customHeight="1" thickBot="1">
      <c r="A34" s="279"/>
      <c r="B34" s="223" t="s">
        <v>2089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612" t="s">
        <v>1094</v>
      </c>
      <c r="L34" s="233">
        <v>1</v>
      </c>
      <c r="N34" s="292" t="str">
        <f t="shared" si="1"/>
        <v>4.4. 관계기관 협의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SUM((ROUNDDOWN((D56:I56)*단가,0)))</f>
        <v>5425644</v>
      </c>
      <c r="X34" s="154"/>
      <c r="Y34" s="170" t="str">
        <f t="shared" si="2"/>
        <v>제 17 호표</v>
      </c>
      <c r="Z34" s="150"/>
    </row>
    <row r="35" spans="1:26" ht="18" customHeight="1" thickBot="1">
      <c r="A35" s="279"/>
      <c r="B35" s="14" t="s">
        <v>2090</v>
      </c>
      <c r="C35" s="16"/>
      <c r="D35" s="14" t="s">
        <v>12</v>
      </c>
      <c r="E35" s="15"/>
      <c r="F35" s="15"/>
      <c r="G35" s="15"/>
      <c r="H35" s="15"/>
      <c r="I35" s="16"/>
      <c r="J35" s="175" t="s">
        <v>31</v>
      </c>
      <c r="N35" s="8"/>
      <c r="P35" s="371"/>
      <c r="R35" s="357"/>
      <c r="S35" s="1"/>
      <c r="T35" s="1"/>
      <c r="U35" s="258"/>
      <c r="V35" s="372"/>
      <c r="W35" s="373"/>
      <c r="X35" s="374"/>
      <c r="Y35" s="375"/>
    </row>
    <row r="36" spans="1:26" ht="18" customHeight="1">
      <c r="A36" s="279"/>
      <c r="B36" s="222" t="s">
        <v>518</v>
      </c>
      <c r="C36" s="47"/>
      <c r="D36" s="48">
        <f t="shared" ref="D36:I36" si="6">SUBTOTAL(9,D37:D41)</f>
        <v>0.89999999999999991</v>
      </c>
      <c r="E36" s="49">
        <f t="shared" si="6"/>
        <v>1.7999999999999998</v>
      </c>
      <c r="F36" s="49">
        <f t="shared" si="6"/>
        <v>3.7</v>
      </c>
      <c r="G36" s="49">
        <f t="shared" si="6"/>
        <v>11.200000000000001</v>
      </c>
      <c r="H36" s="49">
        <f t="shared" si="6"/>
        <v>14.400000000000002</v>
      </c>
      <c r="I36" s="50">
        <f t="shared" si="6"/>
        <v>17.399999999999999</v>
      </c>
      <c r="J36" s="74"/>
      <c r="N36" s="290" t="s">
        <v>10</v>
      </c>
      <c r="O36" s="129"/>
      <c r="P36" s="130"/>
      <c r="Q36" s="124"/>
      <c r="R36" s="131"/>
      <c r="S36" s="124"/>
      <c r="T36" s="124"/>
      <c r="U36" s="181"/>
      <c r="V36" s="181"/>
      <c r="W36" s="159">
        <f>SUBTOTAL(9,W37:W39)</f>
        <v>8000000</v>
      </c>
      <c r="X36" s="160"/>
      <c r="Y36" s="124"/>
      <c r="Z36" s="124"/>
    </row>
    <row r="37" spans="1:26" ht="18" customHeight="1">
      <c r="A37" s="278">
        <v>1</v>
      </c>
      <c r="B37" s="223" t="s">
        <v>2093</v>
      </c>
      <c r="C37" s="23"/>
      <c r="D37" s="197">
        <f t="array" ref="D37:I41">ROUNDDOWN(D15:I19*L15:L19*E5,3)</f>
        <v>0.5</v>
      </c>
      <c r="E37" s="198">
        <v>1</v>
      </c>
      <c r="F37" s="198">
        <v>1.3</v>
      </c>
      <c r="G37" s="198">
        <v>4</v>
      </c>
      <c r="H37" s="198">
        <v>5.2</v>
      </c>
      <c r="I37" s="199">
        <v>9</v>
      </c>
      <c r="J37" s="74"/>
      <c r="N37" s="128" t="str">
        <f>"여비("&amp;TEXT(R37,"#인 ×")&amp;TEXT(S37,"#일 ×")&amp;TEXT(T37,"###,###원)")</f>
        <v>여비(3인 ×10일 ×100,000원)</v>
      </c>
      <c r="O37" s="78"/>
      <c r="P37" s="52"/>
      <c r="Q37" s="51"/>
      <c r="R37" s="146">
        <v>3</v>
      </c>
      <c r="S37" s="146">
        <v>10</v>
      </c>
      <c r="T37" s="147">
        <v>100000</v>
      </c>
      <c r="U37" s="182"/>
      <c r="V37" s="182"/>
      <c r="W37" s="161">
        <f>R37*S37*T37</f>
        <v>3000000</v>
      </c>
      <c r="X37" s="162"/>
      <c r="Y37" s="51"/>
      <c r="Z37" s="51"/>
    </row>
    <row r="38" spans="1:26" ht="18" customHeight="1">
      <c r="A38" s="278">
        <v>2</v>
      </c>
      <c r="B38" s="223" t="s">
        <v>2076</v>
      </c>
      <c r="C38" s="23"/>
      <c r="D38" s="197">
        <v>0.1</v>
      </c>
      <c r="E38" s="198">
        <v>0.2</v>
      </c>
      <c r="F38" s="198">
        <v>0.6</v>
      </c>
      <c r="G38" s="198">
        <v>1.8</v>
      </c>
      <c r="H38" s="198">
        <v>2.2999999999999998</v>
      </c>
      <c r="I38" s="199">
        <v>2.1</v>
      </c>
      <c r="J38" s="74"/>
      <c r="N38" s="79" t="s">
        <v>46</v>
      </c>
      <c r="O38" s="79"/>
      <c r="P38" s="39"/>
      <c r="Q38" s="37"/>
      <c r="R38" s="117"/>
      <c r="S38" s="37"/>
      <c r="T38" s="37"/>
      <c r="U38" s="180"/>
      <c r="V38" s="180"/>
      <c r="W38" s="157">
        <v>3000000</v>
      </c>
      <c r="X38" s="158"/>
      <c r="Y38" s="37"/>
      <c r="Z38" s="37"/>
    </row>
    <row r="39" spans="1:26" ht="18" customHeight="1">
      <c r="A39" s="278">
        <v>3</v>
      </c>
      <c r="B39" s="223" t="s">
        <v>2077</v>
      </c>
      <c r="C39" s="23"/>
      <c r="D39" s="197">
        <v>0.1</v>
      </c>
      <c r="E39" s="198">
        <v>0.2</v>
      </c>
      <c r="F39" s="198">
        <v>0.6</v>
      </c>
      <c r="G39" s="198">
        <v>1.8</v>
      </c>
      <c r="H39" s="198">
        <v>2.2999999999999998</v>
      </c>
      <c r="I39" s="199">
        <v>2.1</v>
      </c>
      <c r="J39" s="74"/>
      <c r="N39" s="132" t="s">
        <v>13</v>
      </c>
      <c r="O39" s="132"/>
      <c r="P39" s="38"/>
      <c r="Q39" s="38"/>
      <c r="R39" s="116"/>
      <c r="S39" s="38"/>
      <c r="T39" s="38"/>
      <c r="U39" s="183"/>
      <c r="V39" s="183"/>
      <c r="W39" s="155">
        <v>2000000</v>
      </c>
      <c r="X39" s="156"/>
      <c r="Y39" s="38"/>
      <c r="Z39" s="38"/>
    </row>
    <row r="40" spans="1:26" ht="18" customHeight="1">
      <c r="A40" s="278">
        <v>4</v>
      </c>
      <c r="B40" s="223" t="s">
        <v>2078</v>
      </c>
      <c r="C40" s="23"/>
      <c r="D40" s="197">
        <v>0.1</v>
      </c>
      <c r="E40" s="198">
        <v>0.2</v>
      </c>
      <c r="F40" s="198">
        <v>0.6</v>
      </c>
      <c r="G40" s="198">
        <v>1.8</v>
      </c>
      <c r="H40" s="198">
        <v>2.2999999999999998</v>
      </c>
      <c r="I40" s="199">
        <v>2.1</v>
      </c>
      <c r="J40" s="389"/>
      <c r="N40" s="127" t="s">
        <v>47</v>
      </c>
      <c r="O40" s="123"/>
      <c r="P40" s="123"/>
      <c r="Q40" s="123"/>
      <c r="R40" s="123"/>
      <c r="S40" s="123"/>
      <c r="T40" s="123"/>
      <c r="U40" s="184"/>
      <c r="V40" s="184"/>
      <c r="W40" s="163">
        <f ca="1">SUBTOTAL(9,W41:W42)</f>
        <v>122929825</v>
      </c>
      <c r="X40" s="164"/>
      <c r="Y40" s="123"/>
      <c r="Z40" s="123"/>
    </row>
    <row r="41" spans="1:26" ht="18" customHeight="1">
      <c r="A41" s="278">
        <v>5</v>
      </c>
      <c r="B41" s="223" t="s">
        <v>2079</v>
      </c>
      <c r="C41" s="23"/>
      <c r="D41" s="197">
        <v>0.1</v>
      </c>
      <c r="E41" s="198">
        <v>0.2</v>
      </c>
      <c r="F41" s="198">
        <v>0.6</v>
      </c>
      <c r="G41" s="198">
        <v>1.8</v>
      </c>
      <c r="H41" s="198">
        <v>2.2999999999999998</v>
      </c>
      <c r="I41" s="199">
        <v>2.1</v>
      </c>
      <c r="J41" s="389"/>
      <c r="N41" s="133" t="s">
        <v>861</v>
      </c>
      <c r="O41" s="124"/>
      <c r="P41" s="134"/>
      <c r="Q41" s="124"/>
      <c r="R41" s="131"/>
      <c r="S41" s="124"/>
      <c r="T41" s="181"/>
      <c r="U41" s="181"/>
      <c r="V41" s="190">
        <v>1.1499999999999999</v>
      </c>
      <c r="W41" s="159">
        <f ca="1">ROUNDDOWN(W13*V41,0)</f>
        <v>78757270</v>
      </c>
      <c r="X41" s="160"/>
      <c r="Y41" s="124"/>
      <c r="Z41" s="124"/>
    </row>
    <row r="42" spans="1:26" ht="18" customHeight="1" thickBot="1">
      <c r="A42" s="278"/>
      <c r="B42" s="222" t="s">
        <v>543</v>
      </c>
      <c r="C42" s="47"/>
      <c r="D42" s="48">
        <f t="shared" ref="D42:I42" si="7">SUBTOTAL(9,D43:D48)</f>
        <v>2.1</v>
      </c>
      <c r="E42" s="49">
        <f t="shared" si="7"/>
        <v>5.0999999999999996</v>
      </c>
      <c r="F42" s="49">
        <f t="shared" si="7"/>
        <v>11.799999999999999</v>
      </c>
      <c r="G42" s="49">
        <f t="shared" si="7"/>
        <v>20</v>
      </c>
      <c r="H42" s="49">
        <f t="shared" si="7"/>
        <v>27.4</v>
      </c>
      <c r="I42" s="50">
        <f t="shared" si="7"/>
        <v>26.699999999999996</v>
      </c>
      <c r="J42" s="74"/>
      <c r="N42" s="135" t="s">
        <v>862</v>
      </c>
      <c r="O42" s="136"/>
      <c r="P42" s="137"/>
      <c r="Q42" s="136"/>
      <c r="R42" s="138"/>
      <c r="S42" s="136"/>
      <c r="T42" s="185"/>
      <c r="U42" s="185"/>
      <c r="V42" s="191">
        <v>0.3</v>
      </c>
      <c r="W42" s="165">
        <f ca="1">ROUNDDOWN((W13+W41)*V42,0)</f>
        <v>44172555</v>
      </c>
      <c r="X42" s="166"/>
      <c r="Y42" s="136"/>
      <c r="Z42" s="136"/>
    </row>
    <row r="43" spans="1:26" ht="18" customHeight="1">
      <c r="A43" s="278">
        <v>6</v>
      </c>
      <c r="B43" s="223" t="s">
        <v>2080</v>
      </c>
      <c r="C43" s="23"/>
      <c r="D43" s="197">
        <f t="array" ref="D43:I48">ROUNDDOWN(D21:I26*L21:L26*E5,3)</f>
        <v>0.6</v>
      </c>
      <c r="E43" s="198">
        <v>1.1000000000000001</v>
      </c>
      <c r="F43" s="198">
        <v>2.8</v>
      </c>
      <c r="G43" s="198">
        <v>5</v>
      </c>
      <c r="H43" s="198">
        <v>6.9</v>
      </c>
      <c r="I43" s="199">
        <v>6.7</v>
      </c>
      <c r="J43" s="74"/>
    </row>
    <row r="44" spans="1:26" ht="18" customHeight="1">
      <c r="A44" s="278">
        <v>7</v>
      </c>
      <c r="B44" s="223" t="s">
        <v>2081</v>
      </c>
      <c r="C44" s="23"/>
      <c r="D44" s="197">
        <v>0.3</v>
      </c>
      <c r="E44" s="198">
        <v>0.8</v>
      </c>
      <c r="F44" s="198">
        <v>2.2000000000000002</v>
      </c>
      <c r="G44" s="198">
        <v>4</v>
      </c>
      <c r="H44" s="198">
        <v>5.5</v>
      </c>
      <c r="I44" s="199">
        <v>5.4</v>
      </c>
      <c r="J44" s="74"/>
      <c r="K44" s="171" t="s">
        <v>14</v>
      </c>
    </row>
    <row r="45" spans="1:26" ht="18" customHeight="1">
      <c r="A45" s="278">
        <v>8</v>
      </c>
      <c r="B45" s="223" t="s">
        <v>2082</v>
      </c>
      <c r="C45" s="23"/>
      <c r="D45" s="197">
        <v>0.3</v>
      </c>
      <c r="E45" s="198">
        <v>0.8</v>
      </c>
      <c r="F45" s="198">
        <v>2.2000000000000002</v>
      </c>
      <c r="G45" s="198">
        <v>4</v>
      </c>
      <c r="H45" s="198">
        <v>5.5</v>
      </c>
      <c r="I45" s="199">
        <v>5.4</v>
      </c>
      <c r="J45" s="74"/>
      <c r="K45" s="171" t="s">
        <v>14</v>
      </c>
    </row>
    <row r="46" spans="1:26" ht="18" customHeight="1">
      <c r="A46" s="278">
        <v>9</v>
      </c>
      <c r="B46" s="223" t="s">
        <v>2083</v>
      </c>
      <c r="C46" s="23"/>
      <c r="D46" s="197">
        <v>0.3</v>
      </c>
      <c r="E46" s="198">
        <v>0.8</v>
      </c>
      <c r="F46" s="198">
        <v>2.2000000000000002</v>
      </c>
      <c r="G46" s="198">
        <v>4</v>
      </c>
      <c r="H46" s="198">
        <v>5.5</v>
      </c>
      <c r="I46" s="199">
        <v>5.4</v>
      </c>
      <c r="J46" s="74"/>
      <c r="K46" s="171" t="s">
        <v>14</v>
      </c>
    </row>
    <row r="47" spans="1:26" ht="18" customHeight="1">
      <c r="A47" s="278">
        <v>10</v>
      </c>
      <c r="B47" s="223" t="s">
        <v>2084</v>
      </c>
      <c r="C47" s="23"/>
      <c r="D47" s="197">
        <v>0.3</v>
      </c>
      <c r="E47" s="198">
        <v>0.8</v>
      </c>
      <c r="F47" s="198">
        <v>1.2</v>
      </c>
      <c r="G47" s="198">
        <v>1.5</v>
      </c>
      <c r="H47" s="198">
        <v>2</v>
      </c>
      <c r="I47" s="199">
        <v>1.9</v>
      </c>
      <c r="J47" s="74"/>
      <c r="K47" s="171" t="s">
        <v>14</v>
      </c>
      <c r="L47" s="171"/>
    </row>
    <row r="48" spans="1:26" ht="18" customHeight="1">
      <c r="A48" s="278">
        <v>11</v>
      </c>
      <c r="B48" s="223" t="s">
        <v>2085</v>
      </c>
      <c r="C48" s="23"/>
      <c r="D48" s="197">
        <v>0.3</v>
      </c>
      <c r="E48" s="198">
        <v>0.8</v>
      </c>
      <c r="F48" s="198">
        <v>1.2</v>
      </c>
      <c r="G48" s="198">
        <v>1.5</v>
      </c>
      <c r="H48" s="198">
        <v>2</v>
      </c>
      <c r="I48" s="199">
        <v>1.9</v>
      </c>
      <c r="J48" s="74"/>
      <c r="K48" s="171"/>
      <c r="L48" s="171"/>
      <c r="R48" s="1"/>
      <c r="S48" s="1"/>
      <c r="T48" s="1"/>
      <c r="U48" s="1"/>
      <c r="V48" s="1"/>
      <c r="W48" s="1"/>
      <c r="X48" s="1"/>
      <c r="Y48" s="1"/>
    </row>
    <row r="49" spans="1:26" ht="18" customHeight="1">
      <c r="A49" s="278"/>
      <c r="B49" s="222" t="s">
        <v>351</v>
      </c>
      <c r="C49" s="47"/>
      <c r="D49" s="48">
        <f t="shared" ref="D49:I49" si="8">SUBTOTAL(9,D50:D51)</f>
        <v>0.7</v>
      </c>
      <c r="E49" s="49">
        <f t="shared" si="8"/>
        <v>1.4</v>
      </c>
      <c r="F49" s="49">
        <f t="shared" si="8"/>
        <v>3.3000000000000003</v>
      </c>
      <c r="G49" s="49">
        <f t="shared" si="8"/>
        <v>6.2</v>
      </c>
      <c r="H49" s="49">
        <f t="shared" si="8"/>
        <v>8.6000000000000014</v>
      </c>
      <c r="I49" s="50">
        <f t="shared" si="8"/>
        <v>8.6999999999999993</v>
      </c>
      <c r="J49" s="74"/>
      <c r="K49" s="171" t="s">
        <v>14</v>
      </c>
      <c r="L49" s="171"/>
      <c r="R49" s="1"/>
      <c r="S49" s="1"/>
      <c r="T49" s="1"/>
      <c r="U49" s="1"/>
      <c r="V49" s="1"/>
      <c r="W49" s="1"/>
      <c r="X49" s="1"/>
      <c r="Y49" s="1"/>
    </row>
    <row r="50" spans="1:26" ht="18" customHeight="1">
      <c r="A50" s="278">
        <v>12</v>
      </c>
      <c r="B50" s="223" t="s">
        <v>2016</v>
      </c>
      <c r="C50" s="23"/>
      <c r="D50" s="197">
        <f t="array" ref="D50:I51">ROUNDDOWN(D28:I29*L28:L29*E5,3)</f>
        <v>0.5</v>
      </c>
      <c r="E50" s="198">
        <v>0.9</v>
      </c>
      <c r="F50" s="198">
        <v>2.2000000000000002</v>
      </c>
      <c r="G50" s="198">
        <v>3.7</v>
      </c>
      <c r="H50" s="198">
        <v>3.7</v>
      </c>
      <c r="I50" s="199">
        <v>2.5</v>
      </c>
      <c r="J50" s="74"/>
      <c r="K50" s="171" t="s">
        <v>14</v>
      </c>
      <c r="L50" s="171"/>
      <c r="R50" s="1"/>
      <c r="S50" s="1"/>
      <c r="T50" s="1"/>
      <c r="U50" s="1"/>
      <c r="V50" s="1"/>
      <c r="W50" s="1"/>
      <c r="X50" s="1"/>
      <c r="Y50" s="1"/>
    </row>
    <row r="51" spans="1:26" ht="18" customHeight="1" thickBot="1">
      <c r="A51" s="278">
        <v>13</v>
      </c>
      <c r="B51" s="224" t="s">
        <v>2086</v>
      </c>
      <c r="C51" s="27"/>
      <c r="D51" s="200">
        <v>0.2</v>
      </c>
      <c r="E51" s="201">
        <v>0.5</v>
      </c>
      <c r="F51" s="201">
        <v>1.1000000000000001</v>
      </c>
      <c r="G51" s="201">
        <v>2.5</v>
      </c>
      <c r="H51" s="201">
        <v>4.9000000000000004</v>
      </c>
      <c r="I51" s="202">
        <v>6.2</v>
      </c>
      <c r="J51" s="74"/>
      <c r="K51" s="171" t="s">
        <v>14</v>
      </c>
      <c r="L51" s="171"/>
      <c r="N51" s="66" t="s">
        <v>18</v>
      </c>
      <c r="O51" s="2"/>
      <c r="P51" s="2"/>
      <c r="Q51" s="2"/>
      <c r="R51" s="3"/>
      <c r="S51" s="4"/>
      <c r="T51" s="3"/>
      <c r="U51" s="4"/>
      <c r="V51" s="3"/>
      <c r="W51" s="4"/>
      <c r="X51" s="3"/>
      <c r="Y51" s="4"/>
      <c r="Z51" s="2"/>
    </row>
    <row r="52" spans="1:26" ht="18" customHeight="1">
      <c r="A52" s="278"/>
      <c r="B52" s="222" t="s">
        <v>269</v>
      </c>
      <c r="C52" s="47"/>
      <c r="D52" s="48">
        <f t="shared" ref="D52:I52" si="9">SUBTOTAL(9,D53:D56)</f>
        <v>8</v>
      </c>
      <c r="E52" s="49">
        <f t="shared" si="9"/>
        <v>8</v>
      </c>
      <c r="F52" s="49">
        <f t="shared" si="9"/>
        <v>8</v>
      </c>
      <c r="G52" s="49">
        <f t="shared" si="9"/>
        <v>16</v>
      </c>
      <c r="H52" s="49">
        <f t="shared" si="9"/>
        <v>16</v>
      </c>
      <c r="I52" s="50">
        <f t="shared" si="9"/>
        <v>16</v>
      </c>
      <c r="J52" s="74"/>
      <c r="K52" s="171" t="s">
        <v>14</v>
      </c>
      <c r="L52" s="171"/>
      <c r="N52" s="765" t="s">
        <v>19</v>
      </c>
      <c r="O52" s="755" t="s">
        <v>20</v>
      </c>
      <c r="P52" s="755" t="s">
        <v>21</v>
      </c>
      <c r="Q52" s="755" t="s">
        <v>16</v>
      </c>
      <c r="R52" s="5" t="s">
        <v>22</v>
      </c>
      <c r="S52" s="5"/>
      <c r="T52" s="5" t="s">
        <v>23</v>
      </c>
      <c r="U52" s="5"/>
      <c r="V52" s="5" t="s">
        <v>24</v>
      </c>
      <c r="W52" s="5"/>
      <c r="X52" s="5" t="s">
        <v>25</v>
      </c>
      <c r="Y52" s="5"/>
      <c r="Z52" s="755" t="s">
        <v>26</v>
      </c>
    </row>
    <row r="53" spans="1:26" ht="18" customHeight="1" thickBot="1">
      <c r="A53" s="278">
        <v>14</v>
      </c>
      <c r="B53" s="223" t="s">
        <v>2087</v>
      </c>
      <c r="C53" s="23"/>
      <c r="D53" s="197">
        <f t="array" ref="D53:I56">ROUNDDOWN(D31:I34*L31:L34*I5,3)</f>
        <v>2</v>
      </c>
      <c r="E53" s="198">
        <v>2</v>
      </c>
      <c r="F53" s="198">
        <v>2</v>
      </c>
      <c r="G53" s="198">
        <v>4</v>
      </c>
      <c r="H53" s="198">
        <v>4</v>
      </c>
      <c r="I53" s="199">
        <v>4</v>
      </c>
      <c r="J53" s="74"/>
      <c r="K53" s="171" t="s">
        <v>14</v>
      </c>
      <c r="L53" s="171"/>
      <c r="N53" s="766"/>
      <c r="O53" s="756"/>
      <c r="P53" s="756"/>
      <c r="Q53" s="756"/>
      <c r="R53" s="67" t="s">
        <v>27</v>
      </c>
      <c r="S53" s="67" t="s">
        <v>28</v>
      </c>
      <c r="T53" s="67" t="s">
        <v>27</v>
      </c>
      <c r="U53" s="67" t="s">
        <v>28</v>
      </c>
      <c r="V53" s="67" t="s">
        <v>27</v>
      </c>
      <c r="W53" s="67" t="s">
        <v>28</v>
      </c>
      <c r="X53" s="67" t="s">
        <v>27</v>
      </c>
      <c r="Y53" s="67" t="s">
        <v>28</v>
      </c>
      <c r="Z53" s="756"/>
    </row>
    <row r="54" spans="1:26" ht="18" customHeight="1" thickTop="1">
      <c r="A54" s="278">
        <v>15</v>
      </c>
      <c r="B54" s="223" t="s">
        <v>1627</v>
      </c>
      <c r="C54" s="23"/>
      <c r="D54" s="197">
        <v>2</v>
      </c>
      <c r="E54" s="198">
        <v>2</v>
      </c>
      <c r="F54" s="198">
        <v>2</v>
      </c>
      <c r="G54" s="198">
        <v>4</v>
      </c>
      <c r="H54" s="198">
        <v>4</v>
      </c>
      <c r="I54" s="199">
        <v>4</v>
      </c>
      <c r="J54" s="74"/>
      <c r="K54" s="171" t="s">
        <v>14</v>
      </c>
      <c r="L54" s="171"/>
      <c r="N54" s="318" t="str">
        <f ca="1">"제 " &amp; Z54 &amp; " 호표  "&amp; OFFSET($A$1,MATCH(Z54,$A:$A,0)-1,1)</f>
        <v>제 1 호표  1.1. 소규모주택정비사업 충족여부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v>1</v>
      </c>
    </row>
    <row r="55" spans="1:26" ht="18" customHeight="1">
      <c r="A55" s="278">
        <v>16</v>
      </c>
      <c r="B55" s="223" t="s">
        <v>2088</v>
      </c>
      <c r="C55" s="23"/>
      <c r="D55" s="197">
        <v>2</v>
      </c>
      <c r="E55" s="198">
        <v>2</v>
      </c>
      <c r="F55" s="198">
        <v>2</v>
      </c>
      <c r="G55" s="198">
        <v>4</v>
      </c>
      <c r="H55" s="198">
        <v>4</v>
      </c>
      <c r="I55" s="199">
        <v>4</v>
      </c>
      <c r="J55" s="74"/>
      <c r="K55" s="171" t="s">
        <v>14</v>
      </c>
      <c r="L55" s="171"/>
      <c r="N55" s="140" t="s">
        <v>43</v>
      </c>
      <c r="O55" s="172">
        <v>3</v>
      </c>
      <c r="P55" s="219">
        <f ca="1">OFFSET($A$1,MATCH(Z54,$A:$A,0)-1,O55)</f>
        <v>0.5</v>
      </c>
      <c r="Q55" s="141" t="s">
        <v>29</v>
      </c>
      <c r="R55" s="142">
        <f t="shared" ref="R55:S60" ca="1" si="10">T55</f>
        <v>467217</v>
      </c>
      <c r="S55" s="142">
        <f t="shared" ca="1" si="10"/>
        <v>233608</v>
      </c>
      <c r="T55" s="142">
        <f ca="1">기술사</f>
        <v>467217</v>
      </c>
      <c r="U55" s="142">
        <f t="shared" ref="U55:U60" ca="1" si="11">ROUNDDOWN(P55*R55,0)</f>
        <v>233608</v>
      </c>
      <c r="V55" s="142"/>
      <c r="W55" s="142"/>
      <c r="X55" s="142"/>
      <c r="Y55" s="142"/>
      <c r="Z55" s="114"/>
    </row>
    <row r="56" spans="1:26" ht="18" customHeight="1" thickBot="1">
      <c r="A56" s="278">
        <v>17</v>
      </c>
      <c r="B56" s="388" t="s">
        <v>2089</v>
      </c>
      <c r="C56" s="342"/>
      <c r="D56" s="343">
        <v>2</v>
      </c>
      <c r="E56" s="344">
        <v>2</v>
      </c>
      <c r="F56" s="344">
        <v>2</v>
      </c>
      <c r="G56" s="344">
        <v>4</v>
      </c>
      <c r="H56" s="344">
        <v>4</v>
      </c>
      <c r="I56" s="345">
        <v>4</v>
      </c>
      <c r="J56" s="176"/>
      <c r="K56" s="171" t="s">
        <v>14</v>
      </c>
      <c r="L56" s="171"/>
      <c r="N56" s="143" t="s">
        <v>32</v>
      </c>
      <c r="O56" s="173">
        <v>4</v>
      </c>
      <c r="P56" s="234">
        <f ca="1">OFFSET($A$1,MATCH(Z54,$A:$A,0)-1,O56)</f>
        <v>1</v>
      </c>
      <c r="Q56" s="144" t="s">
        <v>29</v>
      </c>
      <c r="R56" s="118">
        <f t="shared" ca="1" si="10"/>
        <v>373353</v>
      </c>
      <c r="S56" s="118">
        <f t="shared" ca="1" si="10"/>
        <v>373353</v>
      </c>
      <c r="T56" s="118">
        <f ca="1">특급</f>
        <v>373353</v>
      </c>
      <c r="U56" s="118">
        <f t="shared" ca="1" si="11"/>
        <v>373353</v>
      </c>
      <c r="V56" s="118"/>
      <c r="W56" s="118"/>
      <c r="X56" s="118"/>
      <c r="Y56" s="118"/>
      <c r="Z56" s="115"/>
    </row>
    <row r="57" spans="1:26" ht="18" customHeight="1">
      <c r="B57" s="80" t="s">
        <v>15</v>
      </c>
      <c r="C57" s="1" t="s">
        <v>2094</v>
      </c>
      <c r="E57" s="8"/>
      <c r="F57" s="8"/>
      <c r="G57" s="8"/>
      <c r="H57" s="8"/>
      <c r="I57" s="8"/>
      <c r="J57" s="10"/>
      <c r="K57" s="171" t="s">
        <v>14</v>
      </c>
      <c r="L57" s="171"/>
      <c r="N57" s="145" t="s">
        <v>39</v>
      </c>
      <c r="O57" s="173">
        <v>5</v>
      </c>
      <c r="P57" s="234">
        <f ca="1">OFFSET($A$1,MATCH(Z54,$A:$A,0)-1,O57)</f>
        <v>1.3</v>
      </c>
      <c r="Q57" s="144" t="s">
        <v>29</v>
      </c>
      <c r="R57" s="118">
        <f t="shared" ca="1" si="10"/>
        <v>310884</v>
      </c>
      <c r="S57" s="118">
        <f t="shared" ca="1" si="10"/>
        <v>404149</v>
      </c>
      <c r="T57" s="118">
        <f ca="1">고급</f>
        <v>310884</v>
      </c>
      <c r="U57" s="118">
        <f t="shared" ca="1" si="11"/>
        <v>404149</v>
      </c>
      <c r="V57" s="118"/>
      <c r="W57" s="118"/>
      <c r="X57" s="118"/>
      <c r="Y57" s="118"/>
      <c r="Z57" s="115"/>
    </row>
    <row r="58" spans="1:26" ht="18" customHeight="1">
      <c r="B58" s="80"/>
      <c r="C58" s="9"/>
      <c r="J58" s="8"/>
      <c r="K58" s="171" t="s">
        <v>14</v>
      </c>
      <c r="L58" s="171"/>
      <c r="N58" s="145" t="s">
        <v>40</v>
      </c>
      <c r="O58" s="173">
        <v>6</v>
      </c>
      <c r="P58" s="234">
        <f ca="1">OFFSET($A$1,MATCH(Z54,$A:$A,0)-1,O58)</f>
        <v>4</v>
      </c>
      <c r="Q58" s="144" t="s">
        <v>29</v>
      </c>
      <c r="R58" s="118">
        <f t="shared" ca="1" si="10"/>
        <v>295138</v>
      </c>
      <c r="S58" s="118">
        <f t="shared" ca="1" si="10"/>
        <v>1180552</v>
      </c>
      <c r="T58" s="118">
        <f ca="1">중급</f>
        <v>295138</v>
      </c>
      <c r="U58" s="118">
        <f t="shared" ca="1" si="11"/>
        <v>1180552</v>
      </c>
      <c r="V58" s="118"/>
      <c r="W58" s="118"/>
      <c r="X58" s="118"/>
      <c r="Y58" s="118"/>
      <c r="Z58" s="115"/>
    </row>
    <row r="59" spans="1:26" ht="18" customHeight="1">
      <c r="J59" s="8"/>
      <c r="K59" s="171" t="s">
        <v>14</v>
      </c>
      <c r="L59" s="171"/>
      <c r="N59" s="145" t="s">
        <v>41</v>
      </c>
      <c r="O59" s="173">
        <v>7</v>
      </c>
      <c r="P59" s="234">
        <f ca="1">OFFSET($A$1,MATCH(Z54,$A:$A,0)-1,O59)</f>
        <v>5.2</v>
      </c>
      <c r="Q59" s="144" t="s">
        <v>29</v>
      </c>
      <c r="R59" s="118">
        <f t="shared" ca="1" si="10"/>
        <v>235459</v>
      </c>
      <c r="S59" s="118">
        <f t="shared" ca="1" si="10"/>
        <v>1224386</v>
      </c>
      <c r="T59" s="118">
        <f ca="1">초급</f>
        <v>235459</v>
      </c>
      <c r="U59" s="118">
        <f t="shared" ca="1" si="11"/>
        <v>1224386</v>
      </c>
      <c r="V59" s="118"/>
      <c r="W59" s="118"/>
      <c r="X59" s="118"/>
      <c r="Y59" s="118"/>
      <c r="Z59" s="115"/>
    </row>
    <row r="60" spans="1:26" ht="18" customHeight="1">
      <c r="J60" s="8"/>
      <c r="K60" s="171" t="s">
        <v>14</v>
      </c>
      <c r="L60" s="171"/>
      <c r="N60" s="319" t="s">
        <v>42</v>
      </c>
      <c r="O60" s="174">
        <v>8</v>
      </c>
      <c r="P60" s="235">
        <f ca="1">OFFSET($A$1,MATCH(Z54,$A:$A,0)-1,O60)</f>
        <v>9</v>
      </c>
      <c r="Q60" s="322" t="s">
        <v>29</v>
      </c>
      <c r="R60" s="323">
        <f t="shared" ca="1" si="10"/>
        <v>250087</v>
      </c>
      <c r="S60" s="323">
        <f t="shared" ca="1" si="10"/>
        <v>2250783</v>
      </c>
      <c r="T60" s="323">
        <f ca="1">보조원</f>
        <v>250087</v>
      </c>
      <c r="U60" s="323">
        <f t="shared" ca="1" si="11"/>
        <v>2250783</v>
      </c>
      <c r="V60" s="323"/>
      <c r="W60" s="323"/>
      <c r="X60" s="323"/>
      <c r="Y60" s="323"/>
      <c r="Z60" s="324"/>
    </row>
    <row r="61" spans="1:26" ht="18" customHeight="1">
      <c r="C61" s="9"/>
      <c r="K61" s="171" t="s">
        <v>14</v>
      </c>
      <c r="L61" s="171"/>
      <c r="N61" s="139" t="s">
        <v>17</v>
      </c>
      <c r="O61" s="68"/>
      <c r="P61" s="69"/>
      <c r="Q61" s="70"/>
      <c r="R61" s="71"/>
      <c r="S61" s="71">
        <f ca="1">SUBTOTAL(9,S55:S60)</f>
        <v>5666831</v>
      </c>
      <c r="T61" s="71"/>
      <c r="U61" s="71">
        <f ca="1">SUBTOTAL(9,U55:U60)</f>
        <v>5666831</v>
      </c>
      <c r="V61" s="71"/>
      <c r="W61" s="71"/>
      <c r="X61" s="71"/>
      <c r="Y61" s="71"/>
      <c r="Z61" s="68"/>
    </row>
    <row r="62" spans="1:26" ht="18" customHeight="1">
      <c r="C62" s="9"/>
      <c r="K62" s="171" t="s">
        <v>14</v>
      </c>
      <c r="L62" s="171"/>
      <c r="N62" s="318" t="str">
        <f ca="1">"제 " &amp; Z62 &amp; " 호표  "&amp; OFFSET($A$1,MATCH(Z62,$A:$A,0)-1,1)</f>
        <v>제 2 호표  1.2. 도시·군관리계획현황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2</v>
      </c>
    </row>
    <row r="63" spans="1:26" ht="18" customHeight="1">
      <c r="C63" s="9"/>
      <c r="K63" s="171" t="s">
        <v>14</v>
      </c>
      <c r="L63" s="171"/>
      <c r="N63" s="140" t="s">
        <v>43</v>
      </c>
      <c r="O63" s="172">
        <v>3</v>
      </c>
      <c r="P63" s="219">
        <f ca="1">OFFSET($A$1,MATCH(Z62,$A:$A,0)-1,O63)</f>
        <v>0.1</v>
      </c>
      <c r="Q63" s="141" t="s">
        <v>29</v>
      </c>
      <c r="R63" s="142">
        <f t="shared" ref="R63:S68" ca="1" si="12">T63</f>
        <v>467217</v>
      </c>
      <c r="S63" s="142">
        <f t="shared" ca="1" si="12"/>
        <v>46721</v>
      </c>
      <c r="T63" s="142">
        <f ca="1">기술사</f>
        <v>467217</v>
      </c>
      <c r="U63" s="142">
        <f t="shared" ref="U63:U68" ca="1" si="13">ROUNDDOWN(P63*R63,0)</f>
        <v>46721</v>
      </c>
      <c r="V63" s="142"/>
      <c r="W63" s="142"/>
      <c r="X63" s="142"/>
      <c r="Y63" s="142"/>
      <c r="Z63" s="114"/>
    </row>
    <row r="64" spans="1:26" ht="18" customHeight="1">
      <c r="C64" s="9"/>
      <c r="K64" s="171" t="s">
        <v>14</v>
      </c>
      <c r="L64" s="171"/>
      <c r="N64" s="143" t="s">
        <v>32</v>
      </c>
      <c r="O64" s="173">
        <v>4</v>
      </c>
      <c r="P64" s="234">
        <f ca="1">OFFSET($A$1,MATCH(Z62,$A:$A,0)-1,O64)</f>
        <v>0.2</v>
      </c>
      <c r="Q64" s="144" t="s">
        <v>29</v>
      </c>
      <c r="R64" s="118">
        <f t="shared" ca="1" si="12"/>
        <v>373353</v>
      </c>
      <c r="S64" s="118">
        <f t="shared" ca="1" si="12"/>
        <v>74670</v>
      </c>
      <c r="T64" s="118">
        <f ca="1">특급</f>
        <v>373353</v>
      </c>
      <c r="U64" s="118">
        <f t="shared" ca="1" si="13"/>
        <v>74670</v>
      </c>
      <c r="V64" s="118"/>
      <c r="W64" s="118"/>
      <c r="X64" s="118"/>
      <c r="Y64" s="118"/>
      <c r="Z64" s="115"/>
    </row>
    <row r="65" spans="2:26" ht="18" customHeight="1">
      <c r="K65" s="171" t="s">
        <v>14</v>
      </c>
      <c r="L65" s="171"/>
      <c r="N65" s="145" t="s">
        <v>39</v>
      </c>
      <c r="O65" s="173">
        <v>5</v>
      </c>
      <c r="P65" s="234">
        <f ca="1">OFFSET($A$1,MATCH(Z62,$A:$A,0)-1,O65)</f>
        <v>0.6</v>
      </c>
      <c r="Q65" s="144" t="s">
        <v>29</v>
      </c>
      <c r="R65" s="118">
        <f t="shared" ca="1" si="12"/>
        <v>310884</v>
      </c>
      <c r="S65" s="118">
        <f t="shared" ca="1" si="12"/>
        <v>186530</v>
      </c>
      <c r="T65" s="118">
        <f ca="1">고급</f>
        <v>310884</v>
      </c>
      <c r="U65" s="118">
        <f t="shared" ca="1" si="13"/>
        <v>186530</v>
      </c>
      <c r="V65" s="118"/>
      <c r="W65" s="118"/>
      <c r="X65" s="118"/>
      <c r="Y65" s="118"/>
      <c r="Z65" s="115"/>
    </row>
    <row r="66" spans="2:26" ht="18" customHeight="1">
      <c r="B66" s="9"/>
      <c r="C66" s="9"/>
      <c r="K66" s="171" t="s">
        <v>14</v>
      </c>
      <c r="L66" s="171"/>
      <c r="N66" s="145" t="s">
        <v>40</v>
      </c>
      <c r="O66" s="173">
        <v>6</v>
      </c>
      <c r="P66" s="234">
        <f ca="1">OFFSET($A$1,MATCH(Z62,$A:$A,0)-1,O66)</f>
        <v>1.8</v>
      </c>
      <c r="Q66" s="144" t="s">
        <v>29</v>
      </c>
      <c r="R66" s="118">
        <f t="shared" ca="1" si="12"/>
        <v>295138</v>
      </c>
      <c r="S66" s="118">
        <f t="shared" ca="1" si="12"/>
        <v>531248</v>
      </c>
      <c r="T66" s="118">
        <f ca="1">중급</f>
        <v>295138</v>
      </c>
      <c r="U66" s="118">
        <f t="shared" ca="1" si="13"/>
        <v>531248</v>
      </c>
      <c r="V66" s="118"/>
      <c r="W66" s="118"/>
      <c r="X66" s="118"/>
      <c r="Y66" s="118"/>
      <c r="Z66" s="115"/>
    </row>
    <row r="67" spans="2:26" ht="18" customHeight="1">
      <c r="B67" s="9"/>
      <c r="K67" s="171" t="s">
        <v>14</v>
      </c>
      <c r="L67" s="171"/>
      <c r="N67" s="145" t="s">
        <v>41</v>
      </c>
      <c r="O67" s="173">
        <v>7</v>
      </c>
      <c r="P67" s="234">
        <f ca="1">OFFSET($A$1,MATCH(Z62,$A:$A,0)-1,O67)</f>
        <v>2.2999999999999998</v>
      </c>
      <c r="Q67" s="144" t="s">
        <v>29</v>
      </c>
      <c r="R67" s="118">
        <f t="shared" ca="1" si="12"/>
        <v>235459</v>
      </c>
      <c r="S67" s="118">
        <f t="shared" ca="1" si="12"/>
        <v>541555</v>
      </c>
      <c r="T67" s="118">
        <f ca="1">초급</f>
        <v>235459</v>
      </c>
      <c r="U67" s="118">
        <f t="shared" ca="1" si="13"/>
        <v>541555</v>
      </c>
      <c r="V67" s="118"/>
      <c r="W67" s="118"/>
      <c r="X67" s="118"/>
      <c r="Y67" s="118"/>
      <c r="Z67" s="115"/>
    </row>
    <row r="68" spans="2:26" ht="18" customHeight="1">
      <c r="B68" s="9"/>
      <c r="K68" s="171" t="s">
        <v>14</v>
      </c>
      <c r="L68" s="171"/>
      <c r="N68" s="319" t="s">
        <v>42</v>
      </c>
      <c r="O68" s="174">
        <v>8</v>
      </c>
      <c r="P68" s="235">
        <f ca="1">OFFSET($A$1,MATCH(Z62,$A:$A,0)-1,O68)</f>
        <v>2.1</v>
      </c>
      <c r="Q68" s="322" t="s">
        <v>29</v>
      </c>
      <c r="R68" s="323">
        <f t="shared" ca="1" si="12"/>
        <v>250087</v>
      </c>
      <c r="S68" s="323">
        <f t="shared" ca="1" si="12"/>
        <v>525182</v>
      </c>
      <c r="T68" s="323">
        <f ca="1">보조원</f>
        <v>250087</v>
      </c>
      <c r="U68" s="323">
        <f t="shared" ca="1" si="13"/>
        <v>525182</v>
      </c>
      <c r="V68" s="323"/>
      <c r="W68" s="323"/>
      <c r="X68" s="323"/>
      <c r="Y68" s="323"/>
      <c r="Z68" s="324"/>
    </row>
    <row r="69" spans="2:26" ht="18" customHeight="1">
      <c r="B69" s="9"/>
      <c r="K69" s="171" t="s">
        <v>14</v>
      </c>
      <c r="L69" s="171"/>
      <c r="N69" s="139" t="s">
        <v>17</v>
      </c>
      <c r="O69" s="68"/>
      <c r="P69" s="69"/>
      <c r="Q69" s="70"/>
      <c r="R69" s="71"/>
      <c r="S69" s="71">
        <f ca="1">SUBTOTAL(9,S63:S68)</f>
        <v>1905906</v>
      </c>
      <c r="T69" s="71"/>
      <c r="U69" s="71">
        <f ca="1">SUBTOTAL(9,U63:U68)</f>
        <v>1905906</v>
      </c>
      <c r="V69" s="71"/>
      <c r="W69" s="71"/>
      <c r="X69" s="71"/>
      <c r="Y69" s="71"/>
      <c r="Z69" s="68"/>
    </row>
    <row r="70" spans="2:26" ht="18" customHeight="1">
      <c r="B70" s="9"/>
      <c r="K70" s="171" t="s">
        <v>14</v>
      </c>
      <c r="L70" s="171"/>
      <c r="N70" s="318" t="str">
        <f ca="1">"제 " &amp; Z70 &amp; " 호표  "&amp; OFFSET($A$1,MATCH(Z70,$A:$A,0)-1,1)</f>
        <v>제 3 호표  1.3. 토지현황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3</v>
      </c>
    </row>
    <row r="71" spans="2:26" ht="18" customHeight="1">
      <c r="B71" s="9"/>
      <c r="K71" s="171" t="s">
        <v>14</v>
      </c>
      <c r="L71" s="171"/>
      <c r="N71" s="140" t="s">
        <v>43</v>
      </c>
      <c r="O71" s="172">
        <v>3</v>
      </c>
      <c r="P71" s="219">
        <f ca="1">OFFSET($A$1,MATCH(Z70,$A:$A,0)-1,O71)</f>
        <v>0.1</v>
      </c>
      <c r="Q71" s="141" t="s">
        <v>29</v>
      </c>
      <c r="R71" s="142">
        <f t="shared" ref="R71:S76" ca="1" si="14">T71</f>
        <v>467217</v>
      </c>
      <c r="S71" s="142">
        <f t="shared" ca="1" si="14"/>
        <v>46721</v>
      </c>
      <c r="T71" s="142">
        <f ca="1">기술사</f>
        <v>467217</v>
      </c>
      <c r="U71" s="142">
        <f t="shared" ref="U71:U76" ca="1" si="15">ROUNDDOWN(P71*R71,0)</f>
        <v>46721</v>
      </c>
      <c r="V71" s="142"/>
      <c r="W71" s="142"/>
      <c r="X71" s="142"/>
      <c r="Y71" s="142"/>
      <c r="Z71" s="114"/>
    </row>
    <row r="72" spans="2:26" ht="18" customHeight="1">
      <c r="B72" s="9"/>
      <c r="K72" s="171" t="s">
        <v>14</v>
      </c>
      <c r="L72" s="171"/>
      <c r="N72" s="143" t="s">
        <v>32</v>
      </c>
      <c r="O72" s="173">
        <v>4</v>
      </c>
      <c r="P72" s="234">
        <f ca="1">OFFSET($A$1,MATCH(Z70,$A:$A,0)-1,O72)</f>
        <v>0.2</v>
      </c>
      <c r="Q72" s="144" t="s">
        <v>29</v>
      </c>
      <c r="R72" s="118">
        <f t="shared" ca="1" si="14"/>
        <v>373353</v>
      </c>
      <c r="S72" s="118">
        <f t="shared" ca="1" si="14"/>
        <v>74670</v>
      </c>
      <c r="T72" s="118">
        <f ca="1">특급</f>
        <v>373353</v>
      </c>
      <c r="U72" s="118">
        <f t="shared" ca="1" si="15"/>
        <v>74670</v>
      </c>
      <c r="V72" s="118"/>
      <c r="W72" s="118"/>
      <c r="X72" s="118"/>
      <c r="Y72" s="118"/>
      <c r="Z72" s="115"/>
    </row>
    <row r="73" spans="2:26" ht="18" customHeight="1">
      <c r="K73" s="171" t="s">
        <v>14</v>
      </c>
      <c r="L73" s="171"/>
      <c r="N73" s="145" t="s">
        <v>39</v>
      </c>
      <c r="O73" s="173">
        <v>5</v>
      </c>
      <c r="P73" s="234">
        <f ca="1">OFFSET($A$1,MATCH(Z70,$A:$A,0)-1,O73)</f>
        <v>0.6</v>
      </c>
      <c r="Q73" s="144" t="s">
        <v>29</v>
      </c>
      <c r="R73" s="118">
        <f t="shared" ca="1" si="14"/>
        <v>310884</v>
      </c>
      <c r="S73" s="118">
        <f t="shared" ca="1" si="14"/>
        <v>186530</v>
      </c>
      <c r="T73" s="118">
        <f ca="1">고급</f>
        <v>310884</v>
      </c>
      <c r="U73" s="118">
        <f t="shared" ca="1" si="15"/>
        <v>186530</v>
      </c>
      <c r="V73" s="118"/>
      <c r="W73" s="118"/>
      <c r="X73" s="118"/>
      <c r="Y73" s="118"/>
      <c r="Z73" s="115"/>
    </row>
    <row r="74" spans="2:26" ht="18" customHeight="1">
      <c r="K74" s="171" t="s">
        <v>14</v>
      </c>
      <c r="L74" s="171"/>
      <c r="N74" s="145" t="s">
        <v>40</v>
      </c>
      <c r="O74" s="173">
        <v>6</v>
      </c>
      <c r="P74" s="234">
        <f ca="1">OFFSET($A$1,MATCH(Z70,$A:$A,0)-1,O74)</f>
        <v>1.8</v>
      </c>
      <c r="Q74" s="144" t="s">
        <v>29</v>
      </c>
      <c r="R74" s="118">
        <f t="shared" ca="1" si="14"/>
        <v>295138</v>
      </c>
      <c r="S74" s="118">
        <f t="shared" ca="1" si="14"/>
        <v>531248</v>
      </c>
      <c r="T74" s="118">
        <f ca="1">중급</f>
        <v>295138</v>
      </c>
      <c r="U74" s="118">
        <f t="shared" ca="1" si="15"/>
        <v>531248</v>
      </c>
      <c r="V74" s="118"/>
      <c r="W74" s="118"/>
      <c r="X74" s="118"/>
      <c r="Y74" s="118"/>
      <c r="Z74" s="115"/>
    </row>
    <row r="75" spans="2:26" ht="18" customHeight="1">
      <c r="K75" s="171" t="s">
        <v>14</v>
      </c>
      <c r="L75" s="171"/>
      <c r="N75" s="145" t="s">
        <v>41</v>
      </c>
      <c r="O75" s="173">
        <v>7</v>
      </c>
      <c r="P75" s="234">
        <f ca="1">OFFSET($A$1,MATCH(Z70,$A:$A,0)-1,O75)</f>
        <v>2.2999999999999998</v>
      </c>
      <c r="Q75" s="144" t="s">
        <v>29</v>
      </c>
      <c r="R75" s="118">
        <f t="shared" ca="1" si="14"/>
        <v>235459</v>
      </c>
      <c r="S75" s="118">
        <f t="shared" ca="1" si="14"/>
        <v>541555</v>
      </c>
      <c r="T75" s="118">
        <f ca="1">초급</f>
        <v>235459</v>
      </c>
      <c r="U75" s="118">
        <f t="shared" ca="1" si="15"/>
        <v>541555</v>
      </c>
      <c r="V75" s="118"/>
      <c r="W75" s="118"/>
      <c r="X75" s="118"/>
      <c r="Y75" s="118"/>
      <c r="Z75" s="115"/>
    </row>
    <row r="76" spans="2:26" ht="18" customHeight="1">
      <c r="K76" s="171" t="s">
        <v>14</v>
      </c>
      <c r="L76" s="171"/>
      <c r="N76" s="319" t="s">
        <v>42</v>
      </c>
      <c r="O76" s="174">
        <v>8</v>
      </c>
      <c r="P76" s="235">
        <f ca="1">OFFSET($A$1,MATCH(Z70,$A:$A,0)-1,O76)</f>
        <v>2.1</v>
      </c>
      <c r="Q76" s="322" t="s">
        <v>29</v>
      </c>
      <c r="R76" s="323">
        <f t="shared" ca="1" si="14"/>
        <v>250087</v>
      </c>
      <c r="S76" s="323">
        <f t="shared" ca="1" si="14"/>
        <v>525182</v>
      </c>
      <c r="T76" s="323">
        <f ca="1">보조원</f>
        <v>250087</v>
      </c>
      <c r="U76" s="323">
        <f t="shared" ca="1" si="15"/>
        <v>525182</v>
      </c>
      <c r="V76" s="323"/>
      <c r="W76" s="323"/>
      <c r="X76" s="323"/>
      <c r="Y76" s="323"/>
      <c r="Z76" s="324"/>
    </row>
    <row r="77" spans="2:26" ht="18" customHeight="1">
      <c r="K77" s="171" t="s">
        <v>14</v>
      </c>
      <c r="L77" s="171"/>
      <c r="N77" s="139" t="s">
        <v>17</v>
      </c>
      <c r="O77" s="68"/>
      <c r="P77" s="69"/>
      <c r="Q77" s="70"/>
      <c r="R77" s="71"/>
      <c r="S77" s="71">
        <f ca="1">SUBTOTAL(9,S71:S76)</f>
        <v>1905906</v>
      </c>
      <c r="T77" s="71"/>
      <c r="U77" s="71">
        <f ca="1">SUBTOTAL(9,U71:U76)</f>
        <v>1905906</v>
      </c>
      <c r="V77" s="71"/>
      <c r="W77" s="71"/>
      <c r="X77" s="71"/>
      <c r="Y77" s="71"/>
      <c r="Z77" s="68"/>
    </row>
    <row r="78" spans="2:26" ht="18" customHeight="1">
      <c r="K78" s="171" t="s">
        <v>14</v>
      </c>
      <c r="L78" s="171"/>
      <c r="N78" s="318" t="str">
        <f ca="1">"제 " &amp; Z78 &amp; " 호표  "&amp; OFFSET($A$1,MATCH(Z78,$A:$A,0)-1,1)</f>
        <v>제 4 호표  1.4. 건축물현황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4</v>
      </c>
    </row>
    <row r="79" spans="2:26" ht="18" customHeight="1">
      <c r="K79" s="171" t="s">
        <v>14</v>
      </c>
      <c r="L79" s="171"/>
      <c r="N79" s="140" t="s">
        <v>43</v>
      </c>
      <c r="O79" s="172">
        <v>3</v>
      </c>
      <c r="P79" s="219">
        <f ca="1">OFFSET($A$1,MATCH(Z78,$A:$A,0)-1,O79)</f>
        <v>0.1</v>
      </c>
      <c r="Q79" s="141" t="s">
        <v>29</v>
      </c>
      <c r="R79" s="142">
        <f t="shared" ref="R79:S84" ca="1" si="16">T79</f>
        <v>467217</v>
      </c>
      <c r="S79" s="142">
        <f t="shared" ca="1" si="16"/>
        <v>46721</v>
      </c>
      <c r="T79" s="142">
        <f ca="1">기술사</f>
        <v>467217</v>
      </c>
      <c r="U79" s="142">
        <f t="shared" ref="U79:U84" ca="1" si="17">ROUNDDOWN(P79*R79,0)</f>
        <v>46721</v>
      </c>
      <c r="V79" s="142"/>
      <c r="W79" s="142"/>
      <c r="X79" s="142"/>
      <c r="Y79" s="142"/>
      <c r="Z79" s="114"/>
    </row>
    <row r="80" spans="2:26" ht="18" customHeight="1">
      <c r="K80" s="171" t="s">
        <v>14</v>
      </c>
      <c r="L80" s="171"/>
      <c r="N80" s="143" t="s">
        <v>32</v>
      </c>
      <c r="O80" s="173">
        <v>4</v>
      </c>
      <c r="P80" s="234">
        <f ca="1">OFFSET($A$1,MATCH(Z78,$A:$A,0)-1,O80)</f>
        <v>0.2</v>
      </c>
      <c r="Q80" s="144" t="s">
        <v>29</v>
      </c>
      <c r="R80" s="118">
        <f t="shared" ca="1" si="16"/>
        <v>373353</v>
      </c>
      <c r="S80" s="118">
        <f t="shared" ca="1" si="16"/>
        <v>74670</v>
      </c>
      <c r="T80" s="118">
        <f ca="1">특급</f>
        <v>373353</v>
      </c>
      <c r="U80" s="118">
        <f t="shared" ca="1" si="17"/>
        <v>74670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N81" s="145" t="s">
        <v>39</v>
      </c>
      <c r="O81" s="173">
        <v>5</v>
      </c>
      <c r="P81" s="234">
        <f ca="1">OFFSET($A$1,MATCH(Z78,$A:$A,0)-1,O81)</f>
        <v>0.6</v>
      </c>
      <c r="Q81" s="144" t="s">
        <v>29</v>
      </c>
      <c r="R81" s="118">
        <f t="shared" ca="1" si="16"/>
        <v>310884</v>
      </c>
      <c r="S81" s="118">
        <f t="shared" ca="1" si="16"/>
        <v>186530</v>
      </c>
      <c r="T81" s="118">
        <f ca="1">고급</f>
        <v>310884</v>
      </c>
      <c r="U81" s="118">
        <f t="shared" ca="1" si="17"/>
        <v>186530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40</v>
      </c>
      <c r="O82" s="173">
        <v>6</v>
      </c>
      <c r="P82" s="234">
        <f ca="1">OFFSET($A$1,MATCH(Z78,$A:$A,0)-1,O82)</f>
        <v>1.8</v>
      </c>
      <c r="Q82" s="144" t="s">
        <v>29</v>
      </c>
      <c r="R82" s="118">
        <f t="shared" ca="1" si="16"/>
        <v>295138</v>
      </c>
      <c r="S82" s="118">
        <f t="shared" ca="1" si="16"/>
        <v>531248</v>
      </c>
      <c r="T82" s="118">
        <f ca="1">중급</f>
        <v>295138</v>
      </c>
      <c r="U82" s="118">
        <f t="shared" ca="1" si="17"/>
        <v>531248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41</v>
      </c>
      <c r="O83" s="173">
        <v>7</v>
      </c>
      <c r="P83" s="234">
        <f ca="1">OFFSET($A$1,MATCH(Z78,$A:$A,0)-1,O83)</f>
        <v>2.2999999999999998</v>
      </c>
      <c r="Q83" s="144" t="s">
        <v>29</v>
      </c>
      <c r="R83" s="118">
        <f t="shared" ca="1" si="16"/>
        <v>235459</v>
      </c>
      <c r="S83" s="118">
        <f t="shared" ca="1" si="16"/>
        <v>541555</v>
      </c>
      <c r="T83" s="118">
        <f ca="1">초급</f>
        <v>235459</v>
      </c>
      <c r="U83" s="118">
        <f t="shared" ca="1" si="17"/>
        <v>541555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319" t="s">
        <v>42</v>
      </c>
      <c r="O84" s="174">
        <v>8</v>
      </c>
      <c r="P84" s="235">
        <f ca="1">OFFSET($A$1,MATCH(Z78,$A:$A,0)-1,O84)</f>
        <v>2.1</v>
      </c>
      <c r="Q84" s="322" t="s">
        <v>29</v>
      </c>
      <c r="R84" s="323">
        <f t="shared" ca="1" si="16"/>
        <v>250087</v>
      </c>
      <c r="S84" s="323">
        <f t="shared" ca="1" si="16"/>
        <v>525182</v>
      </c>
      <c r="T84" s="323">
        <f ca="1">보조원</f>
        <v>250087</v>
      </c>
      <c r="U84" s="323">
        <f t="shared" ca="1" si="17"/>
        <v>525182</v>
      </c>
      <c r="V84" s="323"/>
      <c r="W84" s="323"/>
      <c r="X84" s="323"/>
      <c r="Y84" s="323"/>
      <c r="Z84" s="324"/>
    </row>
    <row r="85" spans="11:26" ht="18" customHeight="1">
      <c r="K85" s="171" t="s">
        <v>14</v>
      </c>
      <c r="L85" s="171"/>
      <c r="N85" s="139" t="s">
        <v>17</v>
      </c>
      <c r="O85" s="68"/>
      <c r="P85" s="69"/>
      <c r="Q85" s="70"/>
      <c r="R85" s="71"/>
      <c r="S85" s="71">
        <f ca="1">SUBTOTAL(9,S79:S84)</f>
        <v>1905906</v>
      </c>
      <c r="T85" s="71"/>
      <c r="U85" s="71">
        <f ca="1">SUBTOTAL(9,U79:U84)</f>
        <v>1905906</v>
      </c>
      <c r="V85" s="71"/>
      <c r="W85" s="71"/>
      <c r="X85" s="71"/>
      <c r="Y85" s="71"/>
      <c r="Z85" s="68"/>
    </row>
    <row r="86" spans="11:26" ht="18" customHeight="1">
      <c r="K86" s="171" t="s">
        <v>14</v>
      </c>
      <c r="L86" s="171"/>
      <c r="N86" s="318" t="str">
        <f ca="1">"제 " &amp; Z86 &amp; " 호표  "&amp; OFFSET($A$1,MATCH(Z86,$A:$A,0)-1,1)</f>
        <v>제 5 호표  1.5. 공시가격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5</v>
      </c>
    </row>
    <row r="87" spans="11:26" ht="18" customHeight="1">
      <c r="K87" s="171" t="s">
        <v>14</v>
      </c>
      <c r="L87" s="171"/>
      <c r="N87" s="140" t="s">
        <v>43</v>
      </c>
      <c r="O87" s="172">
        <v>3</v>
      </c>
      <c r="P87" s="219">
        <f ca="1">OFFSET($A$1,MATCH(Z86,$A:$A,0)-1,O87)</f>
        <v>0.1</v>
      </c>
      <c r="Q87" s="141" t="s">
        <v>29</v>
      </c>
      <c r="R87" s="142">
        <f t="shared" ref="R87:S92" ca="1" si="18">T87</f>
        <v>467217</v>
      </c>
      <c r="S87" s="142">
        <f t="shared" ca="1" si="18"/>
        <v>46721</v>
      </c>
      <c r="T87" s="142">
        <f ca="1">기술사</f>
        <v>467217</v>
      </c>
      <c r="U87" s="142">
        <f t="shared" ref="U87:U92" ca="1" si="19">ROUNDDOWN(P87*R87,0)</f>
        <v>46721</v>
      </c>
      <c r="V87" s="142"/>
      <c r="W87" s="142"/>
      <c r="X87" s="142"/>
      <c r="Y87" s="142"/>
      <c r="Z87" s="114"/>
    </row>
    <row r="88" spans="11:26" ht="18" customHeight="1">
      <c r="K88" s="171" t="s">
        <v>14</v>
      </c>
      <c r="L88" s="171"/>
      <c r="N88" s="143" t="s">
        <v>32</v>
      </c>
      <c r="O88" s="173">
        <v>4</v>
      </c>
      <c r="P88" s="234">
        <f ca="1">OFFSET($A$1,MATCH(Z86,$A:$A,0)-1,O88)</f>
        <v>0.2</v>
      </c>
      <c r="Q88" s="144" t="s">
        <v>29</v>
      </c>
      <c r="R88" s="118">
        <f t="shared" ca="1" si="18"/>
        <v>373353</v>
      </c>
      <c r="S88" s="118">
        <f t="shared" ca="1" si="18"/>
        <v>74670</v>
      </c>
      <c r="T88" s="118">
        <f ca="1">특급</f>
        <v>373353</v>
      </c>
      <c r="U88" s="118">
        <f t="shared" ca="1" si="19"/>
        <v>74670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N89" s="145" t="s">
        <v>39</v>
      </c>
      <c r="O89" s="173">
        <v>5</v>
      </c>
      <c r="P89" s="234">
        <f ca="1">OFFSET($A$1,MATCH(Z86,$A:$A,0)-1,O89)</f>
        <v>0.6</v>
      </c>
      <c r="Q89" s="144" t="s">
        <v>29</v>
      </c>
      <c r="R89" s="118">
        <f t="shared" ca="1" si="18"/>
        <v>310884</v>
      </c>
      <c r="S89" s="118">
        <f t="shared" ca="1" si="18"/>
        <v>186530</v>
      </c>
      <c r="T89" s="118">
        <f ca="1">고급</f>
        <v>310884</v>
      </c>
      <c r="U89" s="118">
        <f t="shared" ca="1" si="19"/>
        <v>186530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40</v>
      </c>
      <c r="O90" s="173">
        <v>6</v>
      </c>
      <c r="P90" s="234">
        <f ca="1">OFFSET($A$1,MATCH(Z86,$A:$A,0)-1,O90)</f>
        <v>1.8</v>
      </c>
      <c r="Q90" s="144" t="s">
        <v>29</v>
      </c>
      <c r="R90" s="118">
        <f t="shared" ca="1" si="18"/>
        <v>295138</v>
      </c>
      <c r="S90" s="118">
        <f t="shared" ca="1" si="18"/>
        <v>531248</v>
      </c>
      <c r="T90" s="118">
        <f ca="1">중급</f>
        <v>295138</v>
      </c>
      <c r="U90" s="118">
        <f t="shared" ca="1" si="19"/>
        <v>531248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41</v>
      </c>
      <c r="O91" s="173">
        <v>7</v>
      </c>
      <c r="P91" s="234">
        <f ca="1">OFFSET($A$1,MATCH(Z86,$A:$A,0)-1,O91)</f>
        <v>2.2999999999999998</v>
      </c>
      <c r="Q91" s="144" t="s">
        <v>29</v>
      </c>
      <c r="R91" s="118">
        <f t="shared" ca="1" si="18"/>
        <v>235459</v>
      </c>
      <c r="S91" s="118">
        <f t="shared" ca="1" si="18"/>
        <v>541555</v>
      </c>
      <c r="T91" s="118">
        <f ca="1">초급</f>
        <v>235459</v>
      </c>
      <c r="U91" s="118">
        <f t="shared" ca="1" si="19"/>
        <v>541555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319" t="s">
        <v>42</v>
      </c>
      <c r="O92" s="174">
        <v>8</v>
      </c>
      <c r="P92" s="235">
        <f ca="1">OFFSET($A$1,MATCH(Z86,$A:$A,0)-1,O92)</f>
        <v>2.1</v>
      </c>
      <c r="Q92" s="322" t="s">
        <v>29</v>
      </c>
      <c r="R92" s="323">
        <f t="shared" ca="1" si="18"/>
        <v>250087</v>
      </c>
      <c r="S92" s="323">
        <f t="shared" ca="1" si="18"/>
        <v>525182</v>
      </c>
      <c r="T92" s="323">
        <f ca="1">보조원</f>
        <v>250087</v>
      </c>
      <c r="U92" s="323">
        <f t="shared" ca="1" si="19"/>
        <v>525182</v>
      </c>
      <c r="V92" s="323"/>
      <c r="W92" s="323"/>
      <c r="X92" s="323"/>
      <c r="Y92" s="323"/>
      <c r="Z92" s="324"/>
    </row>
    <row r="93" spans="11:26" ht="18" customHeight="1">
      <c r="K93" s="171" t="s">
        <v>14</v>
      </c>
      <c r="L93" s="171"/>
      <c r="N93" s="139" t="s">
        <v>17</v>
      </c>
      <c r="O93" s="68"/>
      <c r="P93" s="69"/>
      <c r="Q93" s="70"/>
      <c r="R93" s="71"/>
      <c r="S93" s="71">
        <f ca="1">SUBTOTAL(9,S87:S92)</f>
        <v>1905906</v>
      </c>
      <c r="T93" s="71"/>
      <c r="U93" s="71">
        <f ca="1">SUBTOTAL(9,U87:U92)</f>
        <v>1905906</v>
      </c>
      <c r="V93" s="71"/>
      <c r="W93" s="71"/>
      <c r="X93" s="71"/>
      <c r="Y93" s="71"/>
      <c r="Z93" s="68"/>
    </row>
    <row r="94" spans="11:26" ht="18" customHeight="1">
      <c r="K94" s="171" t="s">
        <v>14</v>
      </c>
      <c r="L94" s="171"/>
      <c r="N94" s="318" t="str">
        <f ca="1">"제 " &amp; Z94 &amp; " 호표  "&amp; OFFSET($A$1,MATCH(Z94,$A:$A,0)-1,1)</f>
        <v>제 6 호표  2.1. 주택건설예정 호수·세대수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6</v>
      </c>
    </row>
    <row r="95" spans="11:26" ht="18" customHeight="1">
      <c r="K95" s="171" t="s">
        <v>14</v>
      </c>
      <c r="L95" s="171"/>
      <c r="N95" s="140" t="s">
        <v>43</v>
      </c>
      <c r="O95" s="172">
        <v>3</v>
      </c>
      <c r="P95" s="219">
        <f ca="1">OFFSET($A$1,MATCH(Z94,$A:$A,0)-1,O95)</f>
        <v>0.6</v>
      </c>
      <c r="Q95" s="141" t="s">
        <v>29</v>
      </c>
      <c r="R95" s="142">
        <f t="shared" ref="R95:S100" ca="1" si="20">T95</f>
        <v>467217</v>
      </c>
      <c r="S95" s="142">
        <f t="shared" ca="1" si="20"/>
        <v>280330</v>
      </c>
      <c r="T95" s="142">
        <f ca="1">기술사</f>
        <v>467217</v>
      </c>
      <c r="U95" s="142">
        <f t="shared" ref="U95:U100" ca="1" si="21">ROUNDDOWN(P95*R95,0)</f>
        <v>280330</v>
      </c>
      <c r="V95" s="142"/>
      <c r="W95" s="142"/>
      <c r="X95" s="142"/>
      <c r="Y95" s="142"/>
      <c r="Z95" s="114"/>
    </row>
    <row r="96" spans="11:26" ht="18" customHeight="1">
      <c r="K96" s="171" t="s">
        <v>14</v>
      </c>
      <c r="L96" s="171"/>
      <c r="N96" s="143" t="s">
        <v>32</v>
      </c>
      <c r="O96" s="173">
        <v>4</v>
      </c>
      <c r="P96" s="234">
        <f ca="1">OFFSET($A$1,MATCH(Z94,$A:$A,0)-1,O96)</f>
        <v>1.1000000000000001</v>
      </c>
      <c r="Q96" s="144" t="s">
        <v>29</v>
      </c>
      <c r="R96" s="118">
        <f t="shared" ca="1" si="20"/>
        <v>373353</v>
      </c>
      <c r="S96" s="118">
        <f t="shared" ca="1" si="20"/>
        <v>410688</v>
      </c>
      <c r="T96" s="118">
        <f ca="1">특급</f>
        <v>373353</v>
      </c>
      <c r="U96" s="118">
        <f t="shared" ca="1" si="21"/>
        <v>410688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39</v>
      </c>
      <c r="O97" s="173">
        <v>5</v>
      </c>
      <c r="P97" s="234">
        <f ca="1">OFFSET($A$1,MATCH(Z94,$A:$A,0)-1,O97)</f>
        <v>2.8</v>
      </c>
      <c r="Q97" s="144" t="s">
        <v>29</v>
      </c>
      <c r="R97" s="118">
        <f t="shared" ca="1" si="20"/>
        <v>310884</v>
      </c>
      <c r="S97" s="118">
        <f t="shared" ca="1" si="20"/>
        <v>870475</v>
      </c>
      <c r="T97" s="118">
        <f ca="1">고급</f>
        <v>310884</v>
      </c>
      <c r="U97" s="118">
        <f t="shared" ca="1" si="21"/>
        <v>870475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40</v>
      </c>
      <c r="O98" s="173">
        <v>6</v>
      </c>
      <c r="P98" s="234">
        <f ca="1">OFFSET($A$1,MATCH(Z94,$A:$A,0)-1,O98)</f>
        <v>5</v>
      </c>
      <c r="Q98" s="144" t="s">
        <v>29</v>
      </c>
      <c r="R98" s="118">
        <f t="shared" ca="1" si="20"/>
        <v>295138</v>
      </c>
      <c r="S98" s="118">
        <f t="shared" ca="1" si="20"/>
        <v>1475690</v>
      </c>
      <c r="T98" s="118">
        <f ca="1">중급</f>
        <v>295138</v>
      </c>
      <c r="U98" s="118">
        <f t="shared" ca="1" si="21"/>
        <v>1475690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41</v>
      </c>
      <c r="O99" s="173">
        <v>7</v>
      </c>
      <c r="P99" s="234">
        <f ca="1">OFFSET($A$1,MATCH(Z94,$A:$A,0)-1,O99)</f>
        <v>6.9</v>
      </c>
      <c r="Q99" s="144" t="s">
        <v>29</v>
      </c>
      <c r="R99" s="118">
        <f t="shared" ca="1" si="20"/>
        <v>235459</v>
      </c>
      <c r="S99" s="118">
        <f t="shared" ca="1" si="20"/>
        <v>1624667</v>
      </c>
      <c r="T99" s="118">
        <f ca="1">초급</f>
        <v>235459</v>
      </c>
      <c r="U99" s="118">
        <f t="shared" ca="1" si="21"/>
        <v>1624667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319" t="s">
        <v>42</v>
      </c>
      <c r="O100" s="174">
        <v>8</v>
      </c>
      <c r="P100" s="235">
        <f ca="1">OFFSET($A$1,MATCH(Z94,$A:$A,0)-1,O100)</f>
        <v>6.7</v>
      </c>
      <c r="Q100" s="322" t="s">
        <v>29</v>
      </c>
      <c r="R100" s="323">
        <f t="shared" ca="1" si="20"/>
        <v>250087</v>
      </c>
      <c r="S100" s="323">
        <f t="shared" ca="1" si="20"/>
        <v>1675582</v>
      </c>
      <c r="T100" s="323">
        <f ca="1">보조원</f>
        <v>250087</v>
      </c>
      <c r="U100" s="323">
        <f t="shared" ca="1" si="21"/>
        <v>1675582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N101" s="139" t="s">
        <v>17</v>
      </c>
      <c r="O101" s="68"/>
      <c r="P101" s="69"/>
      <c r="Q101" s="70"/>
      <c r="R101" s="71"/>
      <c r="S101" s="71">
        <f ca="1">SUBTOTAL(9,S95:S100)</f>
        <v>6337432</v>
      </c>
      <c r="T101" s="71"/>
      <c r="U101" s="71">
        <f ca="1">SUBTOTAL(9,U95:U100)</f>
        <v>6337432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N102" s="318" t="str">
        <f ca="1">"제 " &amp; Z102 &amp; " 호표  "&amp; OFFSET($A$1,MATCH(Z102,$A:$A,0)-1,1)</f>
        <v>제 7 호표  2.2. 시행구역 및 범위·지번·지목 및 등기명의자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7</v>
      </c>
    </row>
    <row r="103" spans="11:26" ht="18" customHeight="1">
      <c r="K103" s="171" t="s">
        <v>14</v>
      </c>
      <c r="L103" s="171"/>
      <c r="N103" s="140" t="s">
        <v>43</v>
      </c>
      <c r="O103" s="172">
        <v>3</v>
      </c>
      <c r="P103" s="219">
        <f ca="1">OFFSET($A$1,MATCH(Z102,$A:$A,0)-1,O103)</f>
        <v>0.3</v>
      </c>
      <c r="Q103" s="141" t="s">
        <v>29</v>
      </c>
      <c r="R103" s="142">
        <f t="shared" ref="R103:S108" ca="1" si="22">T103</f>
        <v>467217</v>
      </c>
      <c r="S103" s="142">
        <f t="shared" ca="1" si="22"/>
        <v>140165</v>
      </c>
      <c r="T103" s="142">
        <f ca="1">기술사</f>
        <v>467217</v>
      </c>
      <c r="U103" s="142">
        <f t="shared" ref="U103:U108" ca="1" si="23">ROUNDDOWN(P103*R103,0)</f>
        <v>140165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N104" s="143" t="s">
        <v>32</v>
      </c>
      <c r="O104" s="173">
        <v>4</v>
      </c>
      <c r="P104" s="234">
        <f ca="1">OFFSET($A$1,MATCH(Z102,$A:$A,0)-1,O104)</f>
        <v>0.8</v>
      </c>
      <c r="Q104" s="144" t="s">
        <v>29</v>
      </c>
      <c r="R104" s="118">
        <f t="shared" ca="1" si="22"/>
        <v>373353</v>
      </c>
      <c r="S104" s="118">
        <f t="shared" ca="1" si="22"/>
        <v>298682</v>
      </c>
      <c r="T104" s="118">
        <f ca="1">특급</f>
        <v>373353</v>
      </c>
      <c r="U104" s="118">
        <f t="shared" ca="1" si="23"/>
        <v>298682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39</v>
      </c>
      <c r="O105" s="173">
        <v>5</v>
      </c>
      <c r="P105" s="234">
        <f ca="1">OFFSET($A$1,MATCH(Z102,$A:$A,0)-1,O105)</f>
        <v>2.2000000000000002</v>
      </c>
      <c r="Q105" s="144" t="s">
        <v>29</v>
      </c>
      <c r="R105" s="118">
        <f t="shared" ca="1" si="22"/>
        <v>310884</v>
      </c>
      <c r="S105" s="118">
        <f t="shared" ca="1" si="22"/>
        <v>683944</v>
      </c>
      <c r="T105" s="118">
        <f ca="1">고급</f>
        <v>310884</v>
      </c>
      <c r="U105" s="118">
        <f t="shared" ca="1" si="23"/>
        <v>683944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40</v>
      </c>
      <c r="O106" s="173">
        <v>6</v>
      </c>
      <c r="P106" s="234">
        <f ca="1">OFFSET($A$1,MATCH(Z102,$A:$A,0)-1,O106)</f>
        <v>4</v>
      </c>
      <c r="Q106" s="144" t="s">
        <v>29</v>
      </c>
      <c r="R106" s="118">
        <f t="shared" ca="1" si="22"/>
        <v>295138</v>
      </c>
      <c r="S106" s="118">
        <f t="shared" ca="1" si="22"/>
        <v>1180552</v>
      </c>
      <c r="T106" s="118">
        <f ca="1">중급</f>
        <v>295138</v>
      </c>
      <c r="U106" s="118">
        <f t="shared" ca="1" si="23"/>
        <v>1180552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41</v>
      </c>
      <c r="O107" s="173">
        <v>7</v>
      </c>
      <c r="P107" s="234">
        <f ca="1">OFFSET($A$1,MATCH(Z102,$A:$A,0)-1,O107)</f>
        <v>5.5</v>
      </c>
      <c r="Q107" s="144" t="s">
        <v>29</v>
      </c>
      <c r="R107" s="118">
        <f t="shared" ca="1" si="22"/>
        <v>235459</v>
      </c>
      <c r="S107" s="118">
        <f t="shared" ca="1" si="22"/>
        <v>1295024</v>
      </c>
      <c r="T107" s="118">
        <f ca="1">초급</f>
        <v>235459</v>
      </c>
      <c r="U107" s="118">
        <f t="shared" ca="1" si="23"/>
        <v>1295024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319" t="s">
        <v>42</v>
      </c>
      <c r="O108" s="174">
        <v>8</v>
      </c>
      <c r="P108" s="235">
        <f ca="1">OFFSET($A$1,MATCH(Z102,$A:$A,0)-1,O108)</f>
        <v>5.4</v>
      </c>
      <c r="Q108" s="322" t="s">
        <v>29</v>
      </c>
      <c r="R108" s="323">
        <f t="shared" ca="1" si="22"/>
        <v>250087</v>
      </c>
      <c r="S108" s="323">
        <f t="shared" ca="1" si="22"/>
        <v>1350469</v>
      </c>
      <c r="T108" s="323">
        <f ca="1">보조원</f>
        <v>250087</v>
      </c>
      <c r="U108" s="323">
        <f t="shared" ca="1" si="23"/>
        <v>1350469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N109" s="139" t="s">
        <v>17</v>
      </c>
      <c r="O109" s="68"/>
      <c r="P109" s="69"/>
      <c r="Q109" s="70"/>
      <c r="R109" s="71"/>
      <c r="S109" s="71">
        <f ca="1">SUBTOTAL(9,S103:S108)</f>
        <v>4948836</v>
      </c>
      <c r="T109" s="71"/>
      <c r="U109" s="71">
        <f ca="1">SUBTOTAL(9,U103:U108)</f>
        <v>4948836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N110" s="318" t="str">
        <f ca="1">"제 " &amp; Z110 &amp; " 호표  "&amp; OFFSET($A$1,MATCH(Z110,$A:$A,0)-1,1)</f>
        <v>제 8 호표  2.3. 도시·군관리계획의 용도지역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8</v>
      </c>
    </row>
    <row r="111" spans="11:26" ht="18" customHeight="1">
      <c r="K111" s="171" t="s">
        <v>14</v>
      </c>
      <c r="L111" s="171"/>
      <c r="N111" s="140" t="s">
        <v>43</v>
      </c>
      <c r="O111" s="172">
        <v>3</v>
      </c>
      <c r="P111" s="219">
        <f ca="1">OFFSET($A$1,MATCH(Z110,$A:$A,0)-1,O111)</f>
        <v>0.3</v>
      </c>
      <c r="Q111" s="141" t="s">
        <v>29</v>
      </c>
      <c r="R111" s="142">
        <f t="shared" ref="R111:S116" ca="1" si="24">T111</f>
        <v>467217</v>
      </c>
      <c r="S111" s="142">
        <f t="shared" ca="1" si="24"/>
        <v>140165</v>
      </c>
      <c r="T111" s="142">
        <f ca="1">기술사</f>
        <v>467217</v>
      </c>
      <c r="U111" s="142">
        <f t="shared" ref="U111:U116" ca="1" si="25">ROUNDDOWN(P111*R111,0)</f>
        <v>140165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N112" s="143" t="s">
        <v>32</v>
      </c>
      <c r="O112" s="173">
        <v>4</v>
      </c>
      <c r="P112" s="234">
        <f ca="1">OFFSET($A$1,MATCH(Z110,$A:$A,0)-1,O112)</f>
        <v>0.8</v>
      </c>
      <c r="Q112" s="144" t="s">
        <v>29</v>
      </c>
      <c r="R112" s="118">
        <f t="shared" ca="1" si="24"/>
        <v>373353</v>
      </c>
      <c r="S112" s="118">
        <f t="shared" ca="1" si="24"/>
        <v>298682</v>
      </c>
      <c r="T112" s="118">
        <f ca="1">특급</f>
        <v>373353</v>
      </c>
      <c r="U112" s="118">
        <f t="shared" ca="1" si="25"/>
        <v>298682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39</v>
      </c>
      <c r="O113" s="173">
        <v>5</v>
      </c>
      <c r="P113" s="234">
        <f ca="1">OFFSET($A$1,MATCH(Z110,$A:$A,0)-1,O113)</f>
        <v>2.2000000000000002</v>
      </c>
      <c r="Q113" s="144" t="s">
        <v>29</v>
      </c>
      <c r="R113" s="118">
        <f t="shared" ca="1" si="24"/>
        <v>310884</v>
      </c>
      <c r="S113" s="118">
        <f t="shared" ca="1" si="24"/>
        <v>683944</v>
      </c>
      <c r="T113" s="118">
        <f ca="1">고급</f>
        <v>310884</v>
      </c>
      <c r="U113" s="118">
        <f t="shared" ca="1" si="25"/>
        <v>683944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40</v>
      </c>
      <c r="O114" s="173">
        <v>6</v>
      </c>
      <c r="P114" s="234">
        <f ca="1">OFFSET($A$1,MATCH(Z110,$A:$A,0)-1,O114)</f>
        <v>4</v>
      </c>
      <c r="Q114" s="144" t="s">
        <v>29</v>
      </c>
      <c r="R114" s="118">
        <f t="shared" ca="1" si="24"/>
        <v>295138</v>
      </c>
      <c r="S114" s="118">
        <f t="shared" ca="1" si="24"/>
        <v>1180552</v>
      </c>
      <c r="T114" s="118">
        <f ca="1">중급</f>
        <v>295138</v>
      </c>
      <c r="U114" s="118">
        <f t="shared" ca="1" si="25"/>
        <v>1180552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41</v>
      </c>
      <c r="O115" s="173">
        <v>7</v>
      </c>
      <c r="P115" s="234">
        <f ca="1">OFFSET($A$1,MATCH(Z110,$A:$A,0)-1,O115)</f>
        <v>5.5</v>
      </c>
      <c r="Q115" s="144" t="s">
        <v>29</v>
      </c>
      <c r="R115" s="118">
        <f t="shared" ca="1" si="24"/>
        <v>235459</v>
      </c>
      <c r="S115" s="118">
        <f t="shared" ca="1" si="24"/>
        <v>1295024</v>
      </c>
      <c r="T115" s="118">
        <f ca="1">초급</f>
        <v>235459</v>
      </c>
      <c r="U115" s="118">
        <f t="shared" ca="1" si="25"/>
        <v>1295024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319" t="s">
        <v>42</v>
      </c>
      <c r="O116" s="174">
        <v>8</v>
      </c>
      <c r="P116" s="235">
        <f ca="1">OFFSET($A$1,MATCH(Z110,$A:$A,0)-1,O116)</f>
        <v>5.4</v>
      </c>
      <c r="Q116" s="322" t="s">
        <v>29</v>
      </c>
      <c r="R116" s="323">
        <f t="shared" ca="1" si="24"/>
        <v>250087</v>
      </c>
      <c r="S116" s="323">
        <f t="shared" ca="1" si="24"/>
        <v>1350469</v>
      </c>
      <c r="T116" s="323">
        <f ca="1">보조원</f>
        <v>250087</v>
      </c>
      <c r="U116" s="323">
        <f t="shared" ca="1" si="25"/>
        <v>1350469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N117" s="139" t="s">
        <v>17</v>
      </c>
      <c r="O117" s="68"/>
      <c r="P117" s="69"/>
      <c r="Q117" s="70"/>
      <c r="R117" s="71"/>
      <c r="S117" s="71">
        <f ca="1">SUBTOTAL(9,S111:S116)</f>
        <v>4948836</v>
      </c>
      <c r="T117" s="71"/>
      <c r="U117" s="71">
        <f ca="1">SUBTOTAL(9,U111:U116)</f>
        <v>4948836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N118" s="318" t="str">
        <f ca="1">"제 " &amp; Z118 &amp; " 호표  "&amp; OFFSET($A$1,MATCH(Z118,$A:$A,0)-1,1)</f>
        <v>제 9 호표  2.4. 대지·주변현황 사업계획서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9</v>
      </c>
    </row>
    <row r="119" spans="11:26" ht="18" customHeight="1">
      <c r="K119" s="171" t="s">
        <v>14</v>
      </c>
      <c r="L119" s="171"/>
      <c r="N119" s="140" t="s">
        <v>43</v>
      </c>
      <c r="O119" s="172">
        <v>3</v>
      </c>
      <c r="P119" s="219">
        <f ca="1">OFFSET($A$1,MATCH(Z118,$A:$A,0)-1,O119)</f>
        <v>0.3</v>
      </c>
      <c r="Q119" s="141" t="s">
        <v>29</v>
      </c>
      <c r="R119" s="142">
        <f t="shared" ref="R119:S124" ca="1" si="26">T119</f>
        <v>467217</v>
      </c>
      <c r="S119" s="142">
        <f t="shared" ca="1" si="26"/>
        <v>140165</v>
      </c>
      <c r="T119" s="142">
        <f ca="1">기술사</f>
        <v>467217</v>
      </c>
      <c r="U119" s="142">
        <f t="shared" ref="U119:U124" ca="1" si="27">ROUNDDOWN(P119*R119,0)</f>
        <v>140165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N120" s="143" t="s">
        <v>32</v>
      </c>
      <c r="O120" s="173">
        <v>4</v>
      </c>
      <c r="P120" s="234">
        <f ca="1">OFFSET($A$1,MATCH(Z118,$A:$A,0)-1,O120)</f>
        <v>0.8</v>
      </c>
      <c r="Q120" s="144" t="s">
        <v>29</v>
      </c>
      <c r="R120" s="118">
        <f t="shared" ca="1" si="26"/>
        <v>373353</v>
      </c>
      <c r="S120" s="118">
        <f t="shared" ca="1" si="26"/>
        <v>298682</v>
      </c>
      <c r="T120" s="118">
        <f ca="1">특급</f>
        <v>373353</v>
      </c>
      <c r="U120" s="118">
        <f t="shared" ca="1" si="27"/>
        <v>298682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39</v>
      </c>
      <c r="O121" s="173">
        <v>5</v>
      </c>
      <c r="P121" s="234">
        <f ca="1">OFFSET($A$1,MATCH(Z118,$A:$A,0)-1,O121)</f>
        <v>2.2000000000000002</v>
      </c>
      <c r="Q121" s="144" t="s">
        <v>29</v>
      </c>
      <c r="R121" s="118">
        <f t="shared" ca="1" si="26"/>
        <v>310884</v>
      </c>
      <c r="S121" s="118">
        <f t="shared" ca="1" si="26"/>
        <v>683944</v>
      </c>
      <c r="T121" s="118">
        <f ca="1">고급</f>
        <v>310884</v>
      </c>
      <c r="U121" s="118">
        <f t="shared" ca="1" si="27"/>
        <v>683944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40</v>
      </c>
      <c r="O122" s="173">
        <v>6</v>
      </c>
      <c r="P122" s="234">
        <f ca="1">OFFSET($A$1,MATCH(Z118,$A:$A,0)-1,O122)</f>
        <v>4</v>
      </c>
      <c r="Q122" s="144" t="s">
        <v>29</v>
      </c>
      <c r="R122" s="118">
        <f t="shared" ca="1" si="26"/>
        <v>295138</v>
      </c>
      <c r="S122" s="118">
        <f t="shared" ca="1" si="26"/>
        <v>1180552</v>
      </c>
      <c r="T122" s="118">
        <f ca="1">중급</f>
        <v>295138</v>
      </c>
      <c r="U122" s="118">
        <f t="shared" ca="1" si="27"/>
        <v>1180552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41</v>
      </c>
      <c r="O123" s="173">
        <v>7</v>
      </c>
      <c r="P123" s="234">
        <f ca="1">OFFSET($A$1,MATCH(Z118,$A:$A,0)-1,O123)</f>
        <v>5.5</v>
      </c>
      <c r="Q123" s="144" t="s">
        <v>29</v>
      </c>
      <c r="R123" s="118">
        <f t="shared" ca="1" si="26"/>
        <v>235459</v>
      </c>
      <c r="S123" s="118">
        <f t="shared" ca="1" si="26"/>
        <v>1295024</v>
      </c>
      <c r="T123" s="118">
        <f ca="1">초급</f>
        <v>235459</v>
      </c>
      <c r="U123" s="118">
        <f t="shared" ca="1" si="27"/>
        <v>1295024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319" t="s">
        <v>42</v>
      </c>
      <c r="O124" s="174">
        <v>8</v>
      </c>
      <c r="P124" s="235">
        <f ca="1">OFFSET($A$1,MATCH(Z118,$A:$A,0)-1,O124)</f>
        <v>5.4</v>
      </c>
      <c r="Q124" s="322" t="s">
        <v>29</v>
      </c>
      <c r="R124" s="323">
        <f t="shared" ca="1" si="26"/>
        <v>250087</v>
      </c>
      <c r="S124" s="323">
        <f t="shared" ca="1" si="26"/>
        <v>1350469</v>
      </c>
      <c r="T124" s="323">
        <f ca="1">보조원</f>
        <v>250087</v>
      </c>
      <c r="U124" s="323">
        <f t="shared" ca="1" si="27"/>
        <v>1350469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M125" s="171"/>
      <c r="N125" s="139" t="s">
        <v>17</v>
      </c>
      <c r="O125" s="68"/>
      <c r="P125" s="69"/>
      <c r="Q125" s="70"/>
      <c r="R125" s="71"/>
      <c r="S125" s="71">
        <f ca="1">SUBTOTAL(9,S119:S124)</f>
        <v>4948836</v>
      </c>
      <c r="T125" s="71"/>
      <c r="U125" s="71">
        <f ca="1">SUBTOTAL(9,U119:U124)</f>
        <v>4948836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M126" s="171"/>
      <c r="N126" s="318" t="str">
        <f ca="1">"제 " &amp; Z126 &amp; " 호표  "&amp; OFFSET($A$1,MATCH(Z126,$A:$A,0)-1,1)</f>
        <v>제 10 호표  2.5. 위치도 및 현황도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10</v>
      </c>
    </row>
    <row r="127" spans="11:26" ht="18" customHeight="1">
      <c r="K127" s="171" t="s">
        <v>14</v>
      </c>
      <c r="L127" s="171"/>
      <c r="M127" s="171"/>
      <c r="N127" s="140" t="s">
        <v>43</v>
      </c>
      <c r="O127" s="172">
        <v>3</v>
      </c>
      <c r="P127" s="219">
        <f ca="1">OFFSET($A$1,MATCH(Z126,$A:$A,0)-1,O127)</f>
        <v>0.3</v>
      </c>
      <c r="Q127" s="141" t="s">
        <v>29</v>
      </c>
      <c r="R127" s="142">
        <f t="shared" ref="R127:S132" ca="1" si="28">T127</f>
        <v>467217</v>
      </c>
      <c r="S127" s="142">
        <f t="shared" ca="1" si="28"/>
        <v>140165</v>
      </c>
      <c r="T127" s="142">
        <f ca="1">기술사</f>
        <v>467217</v>
      </c>
      <c r="U127" s="142">
        <f t="shared" ref="U127:U132" ca="1" si="29">ROUNDDOWN(P127*R127,0)</f>
        <v>140165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M128" s="171"/>
      <c r="N128" s="143" t="s">
        <v>32</v>
      </c>
      <c r="O128" s="173">
        <v>4</v>
      </c>
      <c r="P128" s="234">
        <f ca="1">OFFSET($A$1,MATCH(Z126,$A:$A,0)-1,O128)</f>
        <v>0.8</v>
      </c>
      <c r="Q128" s="144" t="s">
        <v>29</v>
      </c>
      <c r="R128" s="118">
        <f t="shared" ca="1" si="28"/>
        <v>373353</v>
      </c>
      <c r="S128" s="118">
        <f t="shared" ca="1" si="28"/>
        <v>298682</v>
      </c>
      <c r="T128" s="118">
        <f ca="1">특급</f>
        <v>373353</v>
      </c>
      <c r="U128" s="118">
        <f t="shared" ca="1" si="29"/>
        <v>298682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39</v>
      </c>
      <c r="O129" s="173">
        <v>5</v>
      </c>
      <c r="P129" s="234">
        <f ca="1">OFFSET($A$1,MATCH(Z126,$A:$A,0)-1,O129)</f>
        <v>1.2</v>
      </c>
      <c r="Q129" s="144" t="s">
        <v>29</v>
      </c>
      <c r="R129" s="118">
        <f t="shared" ca="1" si="28"/>
        <v>310884</v>
      </c>
      <c r="S129" s="118">
        <f t="shared" ca="1" si="28"/>
        <v>373060</v>
      </c>
      <c r="T129" s="118">
        <f ca="1">고급</f>
        <v>310884</v>
      </c>
      <c r="U129" s="118">
        <f t="shared" ca="1" si="29"/>
        <v>373060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145" t="s">
        <v>40</v>
      </c>
      <c r="O130" s="173">
        <v>6</v>
      </c>
      <c r="P130" s="234">
        <f ca="1">OFFSET($A$1,MATCH(Z126,$A:$A,0)-1,O130)</f>
        <v>1.5</v>
      </c>
      <c r="Q130" s="144" t="s">
        <v>29</v>
      </c>
      <c r="R130" s="118">
        <f t="shared" ca="1" si="28"/>
        <v>295138</v>
      </c>
      <c r="S130" s="118">
        <f t="shared" ca="1" si="28"/>
        <v>442707</v>
      </c>
      <c r="T130" s="118">
        <f ca="1">중급</f>
        <v>295138</v>
      </c>
      <c r="U130" s="118">
        <f t="shared" ca="1" si="29"/>
        <v>442707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145" t="s">
        <v>41</v>
      </c>
      <c r="O131" s="173">
        <v>7</v>
      </c>
      <c r="P131" s="234">
        <f ca="1">OFFSET($A$1,MATCH(Z126,$A:$A,0)-1,O131)</f>
        <v>2</v>
      </c>
      <c r="Q131" s="144" t="s">
        <v>29</v>
      </c>
      <c r="R131" s="118">
        <f t="shared" ca="1" si="28"/>
        <v>235459</v>
      </c>
      <c r="S131" s="118">
        <f t="shared" ca="1" si="28"/>
        <v>470918</v>
      </c>
      <c r="T131" s="118">
        <f ca="1">초급</f>
        <v>235459</v>
      </c>
      <c r="U131" s="118">
        <f t="shared" ca="1" si="29"/>
        <v>470918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319" t="s">
        <v>42</v>
      </c>
      <c r="O132" s="174">
        <v>8</v>
      </c>
      <c r="P132" s="235">
        <f ca="1">OFFSET($A$1,MATCH(Z126,$A:$A,0)-1,O132)</f>
        <v>1.9</v>
      </c>
      <c r="Q132" s="322" t="s">
        <v>29</v>
      </c>
      <c r="R132" s="323">
        <f t="shared" ca="1" si="28"/>
        <v>250087</v>
      </c>
      <c r="S132" s="323">
        <f t="shared" ca="1" si="28"/>
        <v>475165</v>
      </c>
      <c r="T132" s="323">
        <f ca="1">보조원</f>
        <v>250087</v>
      </c>
      <c r="U132" s="323">
        <f t="shared" ca="1" si="29"/>
        <v>475165</v>
      </c>
      <c r="V132" s="323"/>
      <c r="W132" s="323"/>
      <c r="X132" s="323"/>
      <c r="Y132" s="323"/>
      <c r="Z132" s="324"/>
    </row>
    <row r="133" spans="11:26" ht="18" customHeight="1">
      <c r="K133" s="171" t="s">
        <v>14</v>
      </c>
      <c r="L133" s="171"/>
      <c r="M133" s="171"/>
      <c r="N133" s="139" t="s">
        <v>17</v>
      </c>
      <c r="O133" s="68"/>
      <c r="P133" s="69"/>
      <c r="Q133" s="70"/>
      <c r="R133" s="71"/>
      <c r="S133" s="71">
        <f ca="1">SUBTOTAL(9,S127:S132)</f>
        <v>2200697</v>
      </c>
      <c r="T133" s="71"/>
      <c r="U133" s="71">
        <f ca="1">SUBTOTAL(9,U127:U132)</f>
        <v>2200697</v>
      </c>
      <c r="V133" s="71"/>
      <c r="W133" s="71"/>
      <c r="X133" s="71"/>
      <c r="Y133" s="71"/>
      <c r="Z133" s="68"/>
    </row>
    <row r="134" spans="11:26" ht="18" customHeight="1">
      <c r="K134" s="171" t="s">
        <v>14</v>
      </c>
      <c r="L134" s="171"/>
      <c r="M134" s="171"/>
      <c r="N134" s="318" t="str">
        <f ca="1">"제 " &amp; Z134 &amp; " 호표  "&amp; OFFSET($A$1,MATCH(Z134,$A:$A,0)-1,1)</f>
        <v>제 11 호표  2.6. 토지·건축물 지적현황도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11</v>
      </c>
    </row>
    <row r="135" spans="11:26" ht="18" customHeight="1">
      <c r="K135" s="171" t="s">
        <v>14</v>
      </c>
      <c r="L135" s="171"/>
      <c r="M135" s="171"/>
      <c r="N135" s="140" t="s">
        <v>43</v>
      </c>
      <c r="O135" s="172">
        <v>3</v>
      </c>
      <c r="P135" s="219">
        <f ca="1">OFFSET($A$1,MATCH(Z134,$A:$A,0)-1,O135)</f>
        <v>0.3</v>
      </c>
      <c r="Q135" s="141" t="s">
        <v>29</v>
      </c>
      <c r="R135" s="142">
        <f t="shared" ref="R135:S140" ca="1" si="30">T135</f>
        <v>467217</v>
      </c>
      <c r="S135" s="142">
        <f t="shared" ca="1" si="30"/>
        <v>140165</v>
      </c>
      <c r="T135" s="142">
        <f ca="1">기술사</f>
        <v>467217</v>
      </c>
      <c r="U135" s="142">
        <f t="shared" ref="U135:U140" ca="1" si="31">ROUNDDOWN(P135*R135,0)</f>
        <v>140165</v>
      </c>
      <c r="V135" s="142"/>
      <c r="W135" s="142"/>
      <c r="X135" s="142"/>
      <c r="Y135" s="142"/>
      <c r="Z135" s="114"/>
    </row>
    <row r="136" spans="11:26" ht="18" customHeight="1">
      <c r="K136" s="171" t="s">
        <v>14</v>
      </c>
      <c r="L136" s="171"/>
      <c r="M136" s="171"/>
      <c r="N136" s="143" t="s">
        <v>32</v>
      </c>
      <c r="O136" s="173">
        <v>4</v>
      </c>
      <c r="P136" s="234">
        <f ca="1">OFFSET($A$1,MATCH(Z134,$A:$A,0)-1,O136)</f>
        <v>0.8</v>
      </c>
      <c r="Q136" s="144" t="s">
        <v>29</v>
      </c>
      <c r="R136" s="118">
        <f t="shared" ca="1" si="30"/>
        <v>373353</v>
      </c>
      <c r="S136" s="118">
        <f t="shared" ca="1" si="30"/>
        <v>298682</v>
      </c>
      <c r="T136" s="118">
        <f ca="1">특급</f>
        <v>373353</v>
      </c>
      <c r="U136" s="118">
        <f t="shared" ca="1" si="31"/>
        <v>298682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39</v>
      </c>
      <c r="O137" s="173">
        <v>5</v>
      </c>
      <c r="P137" s="234">
        <f ca="1">OFFSET($A$1,MATCH(Z134,$A:$A,0)-1,O137)</f>
        <v>1.2</v>
      </c>
      <c r="Q137" s="144" t="s">
        <v>29</v>
      </c>
      <c r="R137" s="118">
        <f t="shared" ca="1" si="30"/>
        <v>310884</v>
      </c>
      <c r="S137" s="118">
        <f t="shared" ca="1" si="30"/>
        <v>373060</v>
      </c>
      <c r="T137" s="118">
        <f ca="1">고급</f>
        <v>310884</v>
      </c>
      <c r="U137" s="118">
        <f t="shared" ca="1" si="31"/>
        <v>373060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40</v>
      </c>
      <c r="O138" s="173">
        <v>6</v>
      </c>
      <c r="P138" s="234">
        <f ca="1">OFFSET($A$1,MATCH(Z134,$A:$A,0)-1,O138)</f>
        <v>1.5</v>
      </c>
      <c r="Q138" s="144" t="s">
        <v>29</v>
      </c>
      <c r="R138" s="118">
        <f t="shared" ca="1" si="30"/>
        <v>295138</v>
      </c>
      <c r="S138" s="118">
        <f t="shared" ca="1" si="30"/>
        <v>442707</v>
      </c>
      <c r="T138" s="118">
        <f ca="1">중급</f>
        <v>295138</v>
      </c>
      <c r="U138" s="118">
        <f t="shared" ca="1" si="31"/>
        <v>442707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41</v>
      </c>
      <c r="O139" s="173">
        <v>7</v>
      </c>
      <c r="P139" s="234">
        <f ca="1">OFFSET($A$1,MATCH(Z134,$A:$A,0)-1,O139)</f>
        <v>2</v>
      </c>
      <c r="Q139" s="144" t="s">
        <v>29</v>
      </c>
      <c r="R139" s="118">
        <f t="shared" ca="1" si="30"/>
        <v>235459</v>
      </c>
      <c r="S139" s="118">
        <f t="shared" ca="1" si="30"/>
        <v>470918</v>
      </c>
      <c r="T139" s="118">
        <f ca="1">초급</f>
        <v>235459</v>
      </c>
      <c r="U139" s="118">
        <f t="shared" ca="1" si="31"/>
        <v>470918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319" t="s">
        <v>42</v>
      </c>
      <c r="O140" s="174">
        <v>8</v>
      </c>
      <c r="P140" s="235">
        <f ca="1">OFFSET($A$1,MATCH(Z134,$A:$A,0)-1,O140)</f>
        <v>1.9</v>
      </c>
      <c r="Q140" s="322" t="s">
        <v>29</v>
      </c>
      <c r="R140" s="323">
        <f t="shared" ca="1" si="30"/>
        <v>250087</v>
      </c>
      <c r="S140" s="323">
        <f t="shared" ca="1" si="30"/>
        <v>475165</v>
      </c>
      <c r="T140" s="323">
        <f ca="1">보조원</f>
        <v>250087</v>
      </c>
      <c r="U140" s="323">
        <f t="shared" ca="1" si="31"/>
        <v>475165</v>
      </c>
      <c r="V140" s="323"/>
      <c r="W140" s="323"/>
      <c r="X140" s="323"/>
      <c r="Y140" s="323"/>
      <c r="Z140" s="324"/>
    </row>
    <row r="141" spans="11:26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2200697</v>
      </c>
      <c r="T141" s="71"/>
      <c r="U141" s="71">
        <f ca="1">SUBTOTAL(9,U135:U140)</f>
        <v>2200697</v>
      </c>
      <c r="V141" s="71"/>
      <c r="W141" s="71"/>
      <c r="X141" s="71"/>
      <c r="Y141" s="71"/>
      <c r="Z141" s="68"/>
    </row>
    <row r="142" spans="11:26" ht="18" customHeight="1">
      <c r="K142" s="171" t="s">
        <v>14</v>
      </c>
      <c r="L142" s="171"/>
      <c r="M142" s="171"/>
      <c r="N142" s="318" t="str">
        <f ca="1">"제 " &amp; Z142 &amp; " 호표  "&amp; OFFSET($A$1,MATCH(Z142,$A:$A,0)-1,1)</f>
        <v>제 12 호표  3.1. 보고서작성 및 편집</v>
      </c>
      <c r="O142" s="221"/>
      <c r="P142" s="148"/>
      <c r="Q142" s="148"/>
      <c r="R142" s="149"/>
      <c r="S142" s="149"/>
      <c r="T142" s="149"/>
      <c r="U142" s="149"/>
      <c r="V142" s="149"/>
      <c r="W142" s="149"/>
      <c r="X142" s="149"/>
      <c r="Y142" s="149"/>
      <c r="Z142" s="325">
        <f>Z134+1</f>
        <v>12</v>
      </c>
    </row>
    <row r="143" spans="11:26" ht="18" customHeight="1">
      <c r="K143" s="171" t="s">
        <v>14</v>
      </c>
      <c r="L143" s="171"/>
      <c r="M143" s="171"/>
      <c r="N143" s="140" t="s">
        <v>43</v>
      </c>
      <c r="O143" s="172">
        <v>3</v>
      </c>
      <c r="P143" s="219">
        <f ca="1">OFFSET($A$1,MATCH(Z142,$A:$A,0)-1,O143)</f>
        <v>0.5</v>
      </c>
      <c r="Q143" s="141" t="s">
        <v>29</v>
      </c>
      <c r="R143" s="142">
        <f t="shared" ref="R143:S148" ca="1" si="32">T143</f>
        <v>467217</v>
      </c>
      <c r="S143" s="142">
        <f t="shared" ca="1" si="32"/>
        <v>233608</v>
      </c>
      <c r="T143" s="142">
        <f ca="1">기술사</f>
        <v>467217</v>
      </c>
      <c r="U143" s="142">
        <f t="shared" ref="U143:U148" ca="1" si="33">ROUNDDOWN(P143*R143,0)</f>
        <v>233608</v>
      </c>
      <c r="V143" s="142"/>
      <c r="W143" s="142"/>
      <c r="X143" s="142"/>
      <c r="Y143" s="142"/>
      <c r="Z143" s="114"/>
    </row>
    <row r="144" spans="11:26" ht="18" customHeight="1">
      <c r="K144" s="171" t="s">
        <v>14</v>
      </c>
      <c r="L144" s="171"/>
      <c r="M144" s="171"/>
      <c r="N144" s="143" t="s">
        <v>32</v>
      </c>
      <c r="O144" s="173">
        <v>4</v>
      </c>
      <c r="P144" s="234">
        <f ca="1">OFFSET($A$1,MATCH(Z142,$A:$A,0)-1,O144)</f>
        <v>0.9</v>
      </c>
      <c r="Q144" s="144" t="s">
        <v>29</v>
      </c>
      <c r="R144" s="118">
        <f t="shared" ca="1" si="32"/>
        <v>373353</v>
      </c>
      <c r="S144" s="118">
        <f t="shared" ca="1" si="32"/>
        <v>336017</v>
      </c>
      <c r="T144" s="118">
        <f ca="1">특급</f>
        <v>373353</v>
      </c>
      <c r="U144" s="118">
        <f t="shared" ca="1" si="33"/>
        <v>336017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39</v>
      </c>
      <c r="O145" s="173">
        <v>5</v>
      </c>
      <c r="P145" s="234">
        <f ca="1">OFFSET($A$1,MATCH(Z142,$A:$A,0)-1,O145)</f>
        <v>2.2000000000000002</v>
      </c>
      <c r="Q145" s="144" t="s">
        <v>29</v>
      </c>
      <c r="R145" s="118">
        <f t="shared" ca="1" si="32"/>
        <v>310884</v>
      </c>
      <c r="S145" s="118">
        <f t="shared" ca="1" si="32"/>
        <v>683944</v>
      </c>
      <c r="T145" s="118">
        <f ca="1">고급</f>
        <v>310884</v>
      </c>
      <c r="U145" s="118">
        <f t="shared" ca="1" si="33"/>
        <v>683944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145" t="s">
        <v>40</v>
      </c>
      <c r="O146" s="173">
        <v>6</v>
      </c>
      <c r="P146" s="234">
        <f ca="1">OFFSET($A$1,MATCH(Z142,$A:$A,0)-1,O146)</f>
        <v>3.7</v>
      </c>
      <c r="Q146" s="144" t="s">
        <v>29</v>
      </c>
      <c r="R146" s="118">
        <f t="shared" ca="1" si="32"/>
        <v>295138</v>
      </c>
      <c r="S146" s="118">
        <f t="shared" ca="1" si="32"/>
        <v>1092010</v>
      </c>
      <c r="T146" s="118">
        <f ca="1">중급</f>
        <v>295138</v>
      </c>
      <c r="U146" s="118">
        <f t="shared" ca="1" si="33"/>
        <v>1092010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41</v>
      </c>
      <c r="O147" s="173">
        <v>7</v>
      </c>
      <c r="P147" s="234">
        <f ca="1">OFFSET($A$1,MATCH(Z142,$A:$A,0)-1,O147)</f>
        <v>3.7</v>
      </c>
      <c r="Q147" s="144" t="s">
        <v>29</v>
      </c>
      <c r="R147" s="118">
        <f t="shared" ca="1" si="32"/>
        <v>235459</v>
      </c>
      <c r="S147" s="118">
        <f t="shared" ca="1" si="32"/>
        <v>871198</v>
      </c>
      <c r="T147" s="118">
        <f ca="1">초급</f>
        <v>235459</v>
      </c>
      <c r="U147" s="118">
        <f t="shared" ca="1" si="33"/>
        <v>871198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319" t="s">
        <v>42</v>
      </c>
      <c r="O148" s="174">
        <v>8</v>
      </c>
      <c r="P148" s="235">
        <f ca="1">OFFSET($A$1,MATCH(Z142,$A:$A,0)-1,O148)</f>
        <v>2.5</v>
      </c>
      <c r="Q148" s="322" t="s">
        <v>29</v>
      </c>
      <c r="R148" s="323">
        <f t="shared" ca="1" si="32"/>
        <v>250087</v>
      </c>
      <c r="S148" s="323">
        <f t="shared" ca="1" si="32"/>
        <v>625217</v>
      </c>
      <c r="T148" s="323">
        <f ca="1">보조원</f>
        <v>250087</v>
      </c>
      <c r="U148" s="323">
        <f t="shared" ca="1" si="33"/>
        <v>625217</v>
      </c>
      <c r="V148" s="323"/>
      <c r="W148" s="323"/>
      <c r="X148" s="323"/>
      <c r="Y148" s="323"/>
      <c r="Z148" s="324"/>
    </row>
    <row r="149" spans="11:26" ht="18" customHeight="1">
      <c r="K149" s="171" t="s">
        <v>14</v>
      </c>
      <c r="L149" s="171"/>
      <c r="M149" s="171"/>
      <c r="N149" s="139" t="s">
        <v>17</v>
      </c>
      <c r="O149" s="68"/>
      <c r="P149" s="69"/>
      <c r="Q149" s="70"/>
      <c r="R149" s="71"/>
      <c r="S149" s="71">
        <f ca="1">SUBTOTAL(9,S143:S148)</f>
        <v>3841994</v>
      </c>
      <c r="T149" s="71"/>
      <c r="U149" s="71">
        <f ca="1">SUBTOTAL(9,U143:U148)</f>
        <v>3841994</v>
      </c>
      <c r="V149" s="71"/>
      <c r="W149" s="71"/>
      <c r="X149" s="71"/>
      <c r="Y149" s="71"/>
      <c r="Z149" s="68"/>
    </row>
    <row r="150" spans="11:26" ht="18" customHeight="1">
      <c r="K150" s="171" t="s">
        <v>14</v>
      </c>
      <c r="L150" s="171"/>
      <c r="M150" s="171"/>
      <c r="N150" s="318" t="str">
        <f ca="1">"제 " &amp; Z150 &amp; " 호표  "&amp; OFFSET($A$1,MATCH(Z150,$A:$A,0)-1,1)</f>
        <v>제 13 호표  3.2. 관련도서작성</v>
      </c>
      <c r="O150" s="221"/>
      <c r="P150" s="148"/>
      <c r="Q150" s="148"/>
      <c r="R150" s="149"/>
      <c r="S150" s="149"/>
      <c r="T150" s="149"/>
      <c r="U150" s="149"/>
      <c r="V150" s="149"/>
      <c r="W150" s="149"/>
      <c r="X150" s="149"/>
      <c r="Y150" s="149"/>
      <c r="Z150" s="325">
        <f>Z142+1</f>
        <v>13</v>
      </c>
    </row>
    <row r="151" spans="11:26" ht="18" customHeight="1">
      <c r="K151" s="171" t="s">
        <v>14</v>
      </c>
      <c r="L151" s="171"/>
      <c r="M151" s="171"/>
      <c r="N151" s="140" t="s">
        <v>43</v>
      </c>
      <c r="O151" s="172">
        <v>3</v>
      </c>
      <c r="P151" s="219">
        <f ca="1">OFFSET($A$1,MATCH(Z150,$A:$A,0)-1,O151)</f>
        <v>0.2</v>
      </c>
      <c r="Q151" s="141" t="s">
        <v>29</v>
      </c>
      <c r="R151" s="142">
        <f t="shared" ref="R151:S156" ca="1" si="34">T151</f>
        <v>467217</v>
      </c>
      <c r="S151" s="142">
        <f t="shared" ca="1" si="34"/>
        <v>93443</v>
      </c>
      <c r="T151" s="142">
        <f ca="1">기술사</f>
        <v>467217</v>
      </c>
      <c r="U151" s="142">
        <f t="shared" ref="U151:U156" ca="1" si="35">ROUNDDOWN(P151*R151,0)</f>
        <v>93443</v>
      </c>
      <c r="V151" s="142"/>
      <c r="W151" s="142"/>
      <c r="X151" s="142"/>
      <c r="Y151" s="142"/>
      <c r="Z151" s="114"/>
    </row>
    <row r="152" spans="11:26" ht="18" customHeight="1">
      <c r="K152" s="171" t="s">
        <v>14</v>
      </c>
      <c r="L152" s="171"/>
      <c r="M152" s="171"/>
      <c r="N152" s="143" t="s">
        <v>32</v>
      </c>
      <c r="O152" s="173">
        <v>4</v>
      </c>
      <c r="P152" s="234">
        <f ca="1">OFFSET($A$1,MATCH(Z150,$A:$A,0)-1,O152)</f>
        <v>0.5</v>
      </c>
      <c r="Q152" s="144" t="s">
        <v>29</v>
      </c>
      <c r="R152" s="118">
        <f t="shared" ca="1" si="34"/>
        <v>373353</v>
      </c>
      <c r="S152" s="118">
        <f t="shared" ca="1" si="34"/>
        <v>186676</v>
      </c>
      <c r="T152" s="118">
        <f ca="1">특급</f>
        <v>373353</v>
      </c>
      <c r="U152" s="118">
        <f t="shared" ca="1" si="35"/>
        <v>186676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39</v>
      </c>
      <c r="O153" s="173">
        <v>5</v>
      </c>
      <c r="P153" s="234">
        <f ca="1">OFFSET($A$1,MATCH(Z150,$A:$A,0)-1,O153)</f>
        <v>1.1000000000000001</v>
      </c>
      <c r="Q153" s="144" t="s">
        <v>29</v>
      </c>
      <c r="R153" s="118">
        <f t="shared" ca="1" si="34"/>
        <v>310884</v>
      </c>
      <c r="S153" s="118">
        <f t="shared" ca="1" si="34"/>
        <v>341972</v>
      </c>
      <c r="T153" s="118">
        <f ca="1">고급</f>
        <v>310884</v>
      </c>
      <c r="U153" s="118">
        <f t="shared" ca="1" si="35"/>
        <v>341972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40</v>
      </c>
      <c r="O154" s="173">
        <v>6</v>
      </c>
      <c r="P154" s="234">
        <f ca="1">OFFSET($A$1,MATCH(Z150,$A:$A,0)-1,O154)</f>
        <v>2.5</v>
      </c>
      <c r="Q154" s="144" t="s">
        <v>29</v>
      </c>
      <c r="R154" s="118">
        <f t="shared" ca="1" si="34"/>
        <v>295138</v>
      </c>
      <c r="S154" s="118">
        <f t="shared" ca="1" si="34"/>
        <v>737845</v>
      </c>
      <c r="T154" s="118">
        <f ca="1">중급</f>
        <v>295138</v>
      </c>
      <c r="U154" s="118">
        <f t="shared" ca="1" si="35"/>
        <v>737845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41</v>
      </c>
      <c r="O155" s="173">
        <v>7</v>
      </c>
      <c r="P155" s="234">
        <f ca="1">OFFSET($A$1,MATCH(Z150,$A:$A,0)-1,O155)</f>
        <v>4.9000000000000004</v>
      </c>
      <c r="Q155" s="144" t="s">
        <v>29</v>
      </c>
      <c r="R155" s="118">
        <f t="shared" ca="1" si="34"/>
        <v>235459</v>
      </c>
      <c r="S155" s="118">
        <f t="shared" ca="1" si="34"/>
        <v>1153749</v>
      </c>
      <c r="T155" s="118">
        <f ca="1">초급</f>
        <v>235459</v>
      </c>
      <c r="U155" s="118">
        <f t="shared" ca="1" si="35"/>
        <v>1153749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319" t="s">
        <v>42</v>
      </c>
      <c r="O156" s="174">
        <v>8</v>
      </c>
      <c r="P156" s="235">
        <f ca="1">OFFSET($A$1,MATCH(Z150,$A:$A,0)-1,O156)</f>
        <v>6.2</v>
      </c>
      <c r="Q156" s="322" t="s">
        <v>29</v>
      </c>
      <c r="R156" s="323">
        <f t="shared" ca="1" si="34"/>
        <v>250087</v>
      </c>
      <c r="S156" s="323">
        <f t="shared" ca="1" si="34"/>
        <v>1550539</v>
      </c>
      <c r="T156" s="323">
        <f ca="1">보조원</f>
        <v>250087</v>
      </c>
      <c r="U156" s="323">
        <f t="shared" ca="1" si="35"/>
        <v>1550539</v>
      </c>
      <c r="V156" s="323"/>
      <c r="W156" s="323"/>
      <c r="X156" s="323"/>
      <c r="Y156" s="323"/>
      <c r="Z156" s="324"/>
    </row>
    <row r="157" spans="11:26" ht="18" customHeight="1">
      <c r="K157" s="171" t="s">
        <v>14</v>
      </c>
      <c r="L157" s="171"/>
      <c r="M157" s="171"/>
      <c r="N157" s="139" t="s">
        <v>17</v>
      </c>
      <c r="O157" s="68"/>
      <c r="P157" s="69"/>
      <c r="Q157" s="70"/>
      <c r="R157" s="71"/>
      <c r="S157" s="71">
        <f ca="1">SUBTOTAL(9,S151:S156)</f>
        <v>4064224</v>
      </c>
      <c r="T157" s="71"/>
      <c r="U157" s="71">
        <f ca="1">SUBTOTAL(9,U151:U156)</f>
        <v>4064224</v>
      </c>
      <c r="V157" s="71"/>
      <c r="W157" s="71"/>
      <c r="X157" s="71"/>
      <c r="Y157" s="71"/>
      <c r="Z157" s="68"/>
    </row>
    <row r="158" spans="11:26" ht="18" customHeight="1">
      <c r="K158" s="171" t="s">
        <v>14</v>
      </c>
      <c r="L158" s="171"/>
      <c r="M158" s="171"/>
      <c r="N158" s="318" t="str">
        <f ca="1">"제 " &amp; Z158 &amp; " 호표  "&amp; OFFSET($A$1,MATCH(Z158,$A:$A,0)-1,1)</f>
        <v>제 14 호표  4.1. 공청회/주민설명회</v>
      </c>
      <c r="O158" s="221"/>
      <c r="P158" s="148"/>
      <c r="Q158" s="148"/>
      <c r="R158" s="149"/>
      <c r="S158" s="149"/>
      <c r="T158" s="149"/>
      <c r="U158" s="149"/>
      <c r="V158" s="149"/>
      <c r="W158" s="149"/>
      <c r="X158" s="149"/>
      <c r="Y158" s="149"/>
      <c r="Z158" s="325">
        <f>Z150+1</f>
        <v>14</v>
      </c>
    </row>
    <row r="159" spans="11:26" ht="18" customHeight="1">
      <c r="K159" s="171" t="s">
        <v>14</v>
      </c>
      <c r="L159" s="171"/>
      <c r="M159" s="171"/>
      <c r="N159" s="140" t="s">
        <v>43</v>
      </c>
      <c r="O159" s="172">
        <v>3</v>
      </c>
      <c r="P159" s="219">
        <f ca="1">OFFSET($A$1,MATCH(Z158,$A:$A,0)-1,O159)</f>
        <v>2</v>
      </c>
      <c r="Q159" s="141" t="s">
        <v>29</v>
      </c>
      <c r="R159" s="142">
        <f t="shared" ref="R159:S164" ca="1" si="36">T159</f>
        <v>467217</v>
      </c>
      <c r="S159" s="142">
        <f t="shared" ca="1" si="36"/>
        <v>934434</v>
      </c>
      <c r="T159" s="142">
        <f ca="1">기술사</f>
        <v>467217</v>
      </c>
      <c r="U159" s="142">
        <f t="shared" ref="U159:U164" ca="1" si="37">ROUNDDOWN(P159*R159,0)</f>
        <v>934434</v>
      </c>
      <c r="V159" s="142"/>
      <c r="W159" s="142"/>
      <c r="X159" s="142"/>
      <c r="Y159" s="142"/>
      <c r="Z159" s="114"/>
    </row>
    <row r="160" spans="11:26" ht="18" customHeight="1">
      <c r="K160" s="171" t="s">
        <v>14</v>
      </c>
      <c r="L160" s="171"/>
      <c r="M160" s="171"/>
      <c r="N160" s="143" t="s">
        <v>32</v>
      </c>
      <c r="O160" s="173">
        <v>4</v>
      </c>
      <c r="P160" s="234">
        <f ca="1">OFFSET($A$1,MATCH(Z158,$A:$A,0)-1,O160)</f>
        <v>2</v>
      </c>
      <c r="Q160" s="144" t="s">
        <v>29</v>
      </c>
      <c r="R160" s="118">
        <f t="shared" ca="1" si="36"/>
        <v>373353</v>
      </c>
      <c r="S160" s="118">
        <f t="shared" ca="1" si="36"/>
        <v>746706</v>
      </c>
      <c r="T160" s="118">
        <f ca="1">특급</f>
        <v>373353</v>
      </c>
      <c r="U160" s="118">
        <f t="shared" ca="1" si="37"/>
        <v>746706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39</v>
      </c>
      <c r="O161" s="173">
        <v>5</v>
      </c>
      <c r="P161" s="234">
        <f ca="1">OFFSET($A$1,MATCH(Z158,$A:$A,0)-1,O161)</f>
        <v>2</v>
      </c>
      <c r="Q161" s="144" t="s">
        <v>29</v>
      </c>
      <c r="R161" s="118">
        <f t="shared" ca="1" si="36"/>
        <v>310884</v>
      </c>
      <c r="S161" s="118">
        <f t="shared" ca="1" si="36"/>
        <v>621768</v>
      </c>
      <c r="T161" s="118">
        <f ca="1">고급</f>
        <v>310884</v>
      </c>
      <c r="U161" s="118">
        <f t="shared" ca="1" si="37"/>
        <v>621768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40</v>
      </c>
      <c r="O162" s="173">
        <v>6</v>
      </c>
      <c r="P162" s="234">
        <f ca="1">OFFSET($A$1,MATCH(Z158,$A:$A,0)-1,O162)</f>
        <v>4</v>
      </c>
      <c r="Q162" s="144" t="s">
        <v>29</v>
      </c>
      <c r="R162" s="118">
        <f t="shared" ca="1" si="36"/>
        <v>295138</v>
      </c>
      <c r="S162" s="118">
        <f t="shared" ca="1" si="36"/>
        <v>1180552</v>
      </c>
      <c r="T162" s="118">
        <f ca="1">중급</f>
        <v>295138</v>
      </c>
      <c r="U162" s="118">
        <f t="shared" ca="1" si="37"/>
        <v>1180552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41</v>
      </c>
      <c r="O163" s="173">
        <v>7</v>
      </c>
      <c r="P163" s="234">
        <f ca="1">OFFSET($A$1,MATCH(Z158,$A:$A,0)-1,O163)</f>
        <v>4</v>
      </c>
      <c r="Q163" s="144" t="s">
        <v>29</v>
      </c>
      <c r="R163" s="118">
        <f t="shared" ca="1" si="36"/>
        <v>235459</v>
      </c>
      <c r="S163" s="118">
        <f t="shared" ca="1" si="36"/>
        <v>941836</v>
      </c>
      <c r="T163" s="118">
        <f ca="1">초급</f>
        <v>235459</v>
      </c>
      <c r="U163" s="118">
        <f t="shared" ca="1" si="37"/>
        <v>941836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319" t="s">
        <v>42</v>
      </c>
      <c r="O164" s="174">
        <v>8</v>
      </c>
      <c r="P164" s="235">
        <f ca="1">OFFSET($A$1,MATCH(Z158,$A:$A,0)-1,O164)</f>
        <v>4</v>
      </c>
      <c r="Q164" s="322" t="s">
        <v>29</v>
      </c>
      <c r="R164" s="323">
        <f t="shared" ca="1" si="36"/>
        <v>250087</v>
      </c>
      <c r="S164" s="323">
        <f t="shared" ca="1" si="36"/>
        <v>1000348</v>
      </c>
      <c r="T164" s="323">
        <f ca="1">보조원</f>
        <v>250087</v>
      </c>
      <c r="U164" s="323">
        <f t="shared" ca="1" si="37"/>
        <v>1000348</v>
      </c>
      <c r="V164" s="323"/>
      <c r="W164" s="323"/>
      <c r="X164" s="323"/>
      <c r="Y164" s="323"/>
      <c r="Z164" s="324"/>
    </row>
    <row r="165" spans="11:26" ht="18" customHeight="1">
      <c r="K165" s="171" t="s">
        <v>14</v>
      </c>
      <c r="L165" s="171"/>
      <c r="M165" s="171"/>
      <c r="N165" s="139" t="s">
        <v>17</v>
      </c>
      <c r="O165" s="68"/>
      <c r="P165" s="69"/>
      <c r="Q165" s="70"/>
      <c r="R165" s="71"/>
      <c r="S165" s="71">
        <f ca="1">SUBTOTAL(9,S159:S164)</f>
        <v>5425644</v>
      </c>
      <c r="T165" s="71"/>
      <c r="U165" s="71">
        <f ca="1">SUBTOTAL(9,U159:U164)</f>
        <v>5425644</v>
      </c>
      <c r="V165" s="71"/>
      <c r="W165" s="71"/>
      <c r="X165" s="71"/>
      <c r="Y165" s="71"/>
      <c r="Z165" s="68"/>
    </row>
    <row r="166" spans="11:26" ht="18" customHeight="1">
      <c r="K166" s="171" t="s">
        <v>14</v>
      </c>
      <c r="L166" s="171"/>
      <c r="M166" s="171"/>
      <c r="N166" s="318" t="str">
        <f ca="1">"제 " &amp; Z166 &amp; " 호표  "&amp; OFFSET($A$1,MATCH(Z166,$A:$A,0)-1,1)</f>
        <v>제 15 호표  4.2. 주민간담회/시민계획단</v>
      </c>
      <c r="O166" s="221"/>
      <c r="P166" s="148"/>
      <c r="Q166" s="148"/>
      <c r="R166" s="149"/>
      <c r="S166" s="149"/>
      <c r="T166" s="149"/>
      <c r="U166" s="149"/>
      <c r="V166" s="149"/>
      <c r="W166" s="149"/>
      <c r="X166" s="149"/>
      <c r="Y166" s="149"/>
      <c r="Z166" s="325">
        <f>Z158+1</f>
        <v>15</v>
      </c>
    </row>
    <row r="167" spans="11:26" ht="18" customHeight="1">
      <c r="K167" s="171" t="s">
        <v>14</v>
      </c>
      <c r="L167" s="171"/>
      <c r="M167" s="171"/>
      <c r="N167" s="140" t="s">
        <v>43</v>
      </c>
      <c r="O167" s="172">
        <v>3</v>
      </c>
      <c r="P167" s="219">
        <f ca="1">OFFSET($A$1,MATCH(Z166,$A:$A,0)-1,O167)</f>
        <v>2</v>
      </c>
      <c r="Q167" s="141" t="s">
        <v>29</v>
      </c>
      <c r="R167" s="142">
        <f t="shared" ref="R167:S172" ca="1" si="38">T167</f>
        <v>467217</v>
      </c>
      <c r="S167" s="142">
        <f t="shared" ca="1" si="38"/>
        <v>934434</v>
      </c>
      <c r="T167" s="142">
        <f ca="1">기술사</f>
        <v>467217</v>
      </c>
      <c r="U167" s="142">
        <f t="shared" ref="U167:U172" ca="1" si="39">ROUNDDOWN(P167*R167,0)</f>
        <v>934434</v>
      </c>
      <c r="V167" s="142"/>
      <c r="W167" s="142"/>
      <c r="X167" s="142"/>
      <c r="Y167" s="142"/>
      <c r="Z167" s="114"/>
    </row>
    <row r="168" spans="11:26" ht="18" customHeight="1">
      <c r="K168" s="171" t="s">
        <v>14</v>
      </c>
      <c r="L168" s="171"/>
      <c r="M168" s="171"/>
      <c r="N168" s="143" t="s">
        <v>32</v>
      </c>
      <c r="O168" s="173">
        <v>4</v>
      </c>
      <c r="P168" s="234">
        <f ca="1">OFFSET($A$1,MATCH(Z166,$A:$A,0)-1,O168)</f>
        <v>2</v>
      </c>
      <c r="Q168" s="144" t="s">
        <v>29</v>
      </c>
      <c r="R168" s="118">
        <f t="shared" ca="1" si="38"/>
        <v>373353</v>
      </c>
      <c r="S168" s="118">
        <f t="shared" ca="1" si="38"/>
        <v>746706</v>
      </c>
      <c r="T168" s="118">
        <f ca="1">특급</f>
        <v>373353</v>
      </c>
      <c r="U168" s="118">
        <f t="shared" ca="1" si="39"/>
        <v>746706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39</v>
      </c>
      <c r="O169" s="173">
        <v>5</v>
      </c>
      <c r="P169" s="234">
        <f ca="1">OFFSET($A$1,MATCH(Z166,$A:$A,0)-1,O169)</f>
        <v>2</v>
      </c>
      <c r="Q169" s="144" t="s">
        <v>29</v>
      </c>
      <c r="R169" s="118">
        <f t="shared" ca="1" si="38"/>
        <v>310884</v>
      </c>
      <c r="S169" s="118">
        <f t="shared" ca="1" si="38"/>
        <v>621768</v>
      </c>
      <c r="T169" s="118">
        <f ca="1">고급</f>
        <v>310884</v>
      </c>
      <c r="U169" s="118">
        <f t="shared" ca="1" si="39"/>
        <v>621768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40</v>
      </c>
      <c r="O170" s="173">
        <v>6</v>
      </c>
      <c r="P170" s="234">
        <f ca="1">OFFSET($A$1,MATCH(Z166,$A:$A,0)-1,O170)</f>
        <v>4</v>
      </c>
      <c r="Q170" s="144" t="s">
        <v>29</v>
      </c>
      <c r="R170" s="118">
        <f t="shared" ca="1" si="38"/>
        <v>295138</v>
      </c>
      <c r="S170" s="118">
        <f t="shared" ca="1" si="38"/>
        <v>1180552</v>
      </c>
      <c r="T170" s="118">
        <f ca="1">중급</f>
        <v>295138</v>
      </c>
      <c r="U170" s="118">
        <f t="shared" ca="1" si="39"/>
        <v>1180552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41</v>
      </c>
      <c r="O171" s="173">
        <v>7</v>
      </c>
      <c r="P171" s="234">
        <f ca="1">OFFSET($A$1,MATCH(Z166,$A:$A,0)-1,O171)</f>
        <v>4</v>
      </c>
      <c r="Q171" s="144" t="s">
        <v>29</v>
      </c>
      <c r="R171" s="118">
        <f t="shared" ca="1" si="38"/>
        <v>235459</v>
      </c>
      <c r="S171" s="118">
        <f t="shared" ca="1" si="38"/>
        <v>941836</v>
      </c>
      <c r="T171" s="118">
        <f ca="1">초급</f>
        <v>235459</v>
      </c>
      <c r="U171" s="118">
        <f t="shared" ca="1" si="39"/>
        <v>941836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319" t="s">
        <v>42</v>
      </c>
      <c r="O172" s="174">
        <v>8</v>
      </c>
      <c r="P172" s="235">
        <f ca="1">OFFSET($A$1,MATCH(Z166,$A:$A,0)-1,O172)</f>
        <v>4</v>
      </c>
      <c r="Q172" s="322" t="s">
        <v>29</v>
      </c>
      <c r="R172" s="323">
        <f t="shared" ca="1" si="38"/>
        <v>250087</v>
      </c>
      <c r="S172" s="323">
        <f t="shared" ca="1" si="38"/>
        <v>1000348</v>
      </c>
      <c r="T172" s="323">
        <f ca="1">보조원</f>
        <v>250087</v>
      </c>
      <c r="U172" s="323">
        <f t="shared" ca="1" si="39"/>
        <v>1000348</v>
      </c>
      <c r="V172" s="323"/>
      <c r="W172" s="323"/>
      <c r="X172" s="323"/>
      <c r="Y172" s="323"/>
      <c r="Z172" s="324"/>
    </row>
    <row r="173" spans="11:26" ht="18" customHeight="1">
      <c r="K173" s="171" t="s">
        <v>14</v>
      </c>
      <c r="L173" s="171"/>
      <c r="M173" s="171"/>
      <c r="N173" s="139" t="s">
        <v>17</v>
      </c>
      <c r="O173" s="68"/>
      <c r="P173" s="69"/>
      <c r="Q173" s="70"/>
      <c r="R173" s="71"/>
      <c r="S173" s="71">
        <f ca="1">SUBTOTAL(9,S167:S172)</f>
        <v>5425644</v>
      </c>
      <c r="T173" s="71"/>
      <c r="U173" s="71">
        <f ca="1">SUBTOTAL(9,U167:U172)</f>
        <v>5425644</v>
      </c>
      <c r="V173" s="71"/>
      <c r="W173" s="71"/>
      <c r="X173" s="71"/>
      <c r="Y173" s="71"/>
      <c r="Z173" s="68"/>
    </row>
    <row r="174" spans="11:26" ht="18" customHeight="1">
      <c r="K174" s="171" t="s">
        <v>14</v>
      </c>
      <c r="L174" s="171"/>
      <c r="M174" s="171"/>
      <c r="N174" s="318" t="str">
        <f ca="1">"제 " &amp; Z174 &amp; " 호표  "&amp; OFFSET($A$1,MATCH(Z174,$A:$A,0)-1,1)</f>
        <v>제 16 호표  4.3. 위원회심의 지원</v>
      </c>
      <c r="O174" s="221"/>
      <c r="P174" s="148"/>
      <c r="Q174" s="148"/>
      <c r="R174" s="149"/>
      <c r="S174" s="149"/>
      <c r="T174" s="149"/>
      <c r="U174" s="149"/>
      <c r="V174" s="149"/>
      <c r="W174" s="149"/>
      <c r="X174" s="149"/>
      <c r="Y174" s="149"/>
      <c r="Z174" s="325">
        <f>Z166+1</f>
        <v>16</v>
      </c>
    </row>
    <row r="175" spans="11:26" ht="18" customHeight="1">
      <c r="K175" s="171" t="s">
        <v>14</v>
      </c>
      <c r="L175" s="171"/>
      <c r="M175" s="171"/>
      <c r="N175" s="140" t="s">
        <v>43</v>
      </c>
      <c r="O175" s="172">
        <v>3</v>
      </c>
      <c r="P175" s="219">
        <f ca="1">OFFSET($A$1,MATCH(Z174,$A:$A,0)-1,O175)</f>
        <v>2</v>
      </c>
      <c r="Q175" s="141" t="s">
        <v>29</v>
      </c>
      <c r="R175" s="142">
        <f t="shared" ref="R175:S180" ca="1" si="40">T175</f>
        <v>467217</v>
      </c>
      <c r="S175" s="142">
        <f t="shared" ca="1" si="40"/>
        <v>934434</v>
      </c>
      <c r="T175" s="142">
        <f ca="1">기술사</f>
        <v>467217</v>
      </c>
      <c r="U175" s="142">
        <f t="shared" ref="U175:U180" ca="1" si="41">ROUNDDOWN(P175*R175,0)</f>
        <v>934434</v>
      </c>
      <c r="V175" s="142"/>
      <c r="W175" s="142"/>
      <c r="X175" s="142"/>
      <c r="Y175" s="142"/>
      <c r="Z175" s="114"/>
    </row>
    <row r="176" spans="11:26" ht="18" customHeight="1">
      <c r="K176" s="171" t="s">
        <v>14</v>
      </c>
      <c r="L176" s="171"/>
      <c r="M176" s="171"/>
      <c r="N176" s="143" t="s">
        <v>32</v>
      </c>
      <c r="O176" s="173">
        <v>4</v>
      </c>
      <c r="P176" s="234">
        <f ca="1">OFFSET($A$1,MATCH(Z174,$A:$A,0)-1,O176)</f>
        <v>2</v>
      </c>
      <c r="Q176" s="144" t="s">
        <v>29</v>
      </c>
      <c r="R176" s="118">
        <f t="shared" ca="1" si="40"/>
        <v>373353</v>
      </c>
      <c r="S176" s="118">
        <f t="shared" ca="1" si="40"/>
        <v>746706</v>
      </c>
      <c r="T176" s="118">
        <f ca="1">특급</f>
        <v>373353</v>
      </c>
      <c r="U176" s="118">
        <f t="shared" ca="1" si="41"/>
        <v>746706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39</v>
      </c>
      <c r="O177" s="173">
        <v>5</v>
      </c>
      <c r="P177" s="234">
        <f ca="1">OFFSET($A$1,MATCH(Z174,$A:$A,0)-1,O177)</f>
        <v>2</v>
      </c>
      <c r="Q177" s="144" t="s">
        <v>29</v>
      </c>
      <c r="R177" s="118">
        <f t="shared" ca="1" si="40"/>
        <v>310884</v>
      </c>
      <c r="S177" s="118">
        <f t="shared" ca="1" si="40"/>
        <v>621768</v>
      </c>
      <c r="T177" s="118">
        <f ca="1">고급</f>
        <v>310884</v>
      </c>
      <c r="U177" s="118">
        <f t="shared" ca="1" si="41"/>
        <v>621768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40</v>
      </c>
      <c r="O178" s="173">
        <v>6</v>
      </c>
      <c r="P178" s="234">
        <f ca="1">OFFSET($A$1,MATCH(Z174,$A:$A,0)-1,O178)</f>
        <v>4</v>
      </c>
      <c r="Q178" s="144" t="s">
        <v>29</v>
      </c>
      <c r="R178" s="118">
        <f t="shared" ca="1" si="40"/>
        <v>295138</v>
      </c>
      <c r="S178" s="118">
        <f t="shared" ca="1" si="40"/>
        <v>1180552</v>
      </c>
      <c r="T178" s="118">
        <f ca="1">중급</f>
        <v>295138</v>
      </c>
      <c r="U178" s="118">
        <f t="shared" ca="1" si="41"/>
        <v>1180552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41</v>
      </c>
      <c r="O179" s="173">
        <v>7</v>
      </c>
      <c r="P179" s="234">
        <f ca="1">OFFSET($A$1,MATCH(Z174,$A:$A,0)-1,O179)</f>
        <v>4</v>
      </c>
      <c r="Q179" s="144" t="s">
        <v>29</v>
      </c>
      <c r="R179" s="118">
        <f t="shared" ca="1" si="40"/>
        <v>235459</v>
      </c>
      <c r="S179" s="118">
        <f t="shared" ca="1" si="40"/>
        <v>941836</v>
      </c>
      <c r="T179" s="118">
        <f ca="1">초급</f>
        <v>235459</v>
      </c>
      <c r="U179" s="118">
        <f t="shared" ca="1" si="41"/>
        <v>941836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319" t="s">
        <v>42</v>
      </c>
      <c r="O180" s="174">
        <v>8</v>
      </c>
      <c r="P180" s="235">
        <f ca="1">OFFSET($A$1,MATCH(Z174,$A:$A,0)-1,O180)</f>
        <v>4</v>
      </c>
      <c r="Q180" s="322" t="s">
        <v>29</v>
      </c>
      <c r="R180" s="323">
        <f t="shared" ca="1" si="40"/>
        <v>250087</v>
      </c>
      <c r="S180" s="323">
        <f t="shared" ca="1" si="40"/>
        <v>1000348</v>
      </c>
      <c r="T180" s="323">
        <f ca="1">보조원</f>
        <v>250087</v>
      </c>
      <c r="U180" s="323">
        <f t="shared" ca="1" si="41"/>
        <v>1000348</v>
      </c>
      <c r="V180" s="323"/>
      <c r="W180" s="323"/>
      <c r="X180" s="323"/>
      <c r="Y180" s="323"/>
      <c r="Z180" s="324"/>
    </row>
    <row r="181" spans="11:26" ht="18" customHeight="1">
      <c r="K181" s="171" t="s">
        <v>14</v>
      </c>
      <c r="L181" s="171"/>
      <c r="M181" s="171"/>
      <c r="N181" s="139" t="s">
        <v>17</v>
      </c>
      <c r="O181" s="68"/>
      <c r="P181" s="69"/>
      <c r="Q181" s="70"/>
      <c r="R181" s="71"/>
      <c r="S181" s="71">
        <f ca="1">SUBTOTAL(9,S175:S180)</f>
        <v>5425644</v>
      </c>
      <c r="T181" s="71"/>
      <c r="U181" s="71">
        <f ca="1">SUBTOTAL(9,U175:U180)</f>
        <v>5425644</v>
      </c>
      <c r="V181" s="71"/>
      <c r="W181" s="71"/>
      <c r="X181" s="71"/>
      <c r="Y181" s="71"/>
      <c r="Z181" s="68"/>
    </row>
    <row r="182" spans="11:26" ht="18" customHeight="1">
      <c r="K182" s="171" t="s">
        <v>14</v>
      </c>
      <c r="L182" s="171"/>
      <c r="M182" s="171"/>
      <c r="N182" s="318" t="str">
        <f ca="1">"제 " &amp; Z182 &amp; " 호표  "&amp; OFFSET($A$1,MATCH(Z182,$A:$A,0)-1,1)</f>
        <v>제 17 호표  4.4. 관계기관 협의</v>
      </c>
      <c r="O182" s="221"/>
      <c r="P182" s="148"/>
      <c r="Q182" s="148"/>
      <c r="R182" s="149"/>
      <c r="S182" s="149"/>
      <c r="T182" s="149"/>
      <c r="U182" s="149"/>
      <c r="V182" s="149"/>
      <c r="W182" s="149"/>
      <c r="X182" s="149"/>
      <c r="Y182" s="149"/>
      <c r="Z182" s="325">
        <f>Z174+1</f>
        <v>17</v>
      </c>
    </row>
    <row r="183" spans="11:26" ht="18" customHeight="1">
      <c r="K183" s="171" t="s">
        <v>14</v>
      </c>
      <c r="L183" s="171"/>
      <c r="M183" s="171"/>
      <c r="N183" s="140" t="s">
        <v>43</v>
      </c>
      <c r="O183" s="172">
        <v>3</v>
      </c>
      <c r="P183" s="219">
        <f ca="1">OFFSET($A$1,MATCH(Z182,$A:$A,0)-1,O183)</f>
        <v>2</v>
      </c>
      <c r="Q183" s="141" t="s">
        <v>29</v>
      </c>
      <c r="R183" s="142">
        <f t="shared" ref="R183:S188" ca="1" si="42">T183</f>
        <v>467217</v>
      </c>
      <c r="S183" s="142">
        <f t="shared" ca="1" si="42"/>
        <v>934434</v>
      </c>
      <c r="T183" s="142">
        <f ca="1">기술사</f>
        <v>467217</v>
      </c>
      <c r="U183" s="142">
        <f t="shared" ref="U183:U188" ca="1" si="43">ROUNDDOWN(P183*R183,0)</f>
        <v>934434</v>
      </c>
      <c r="V183" s="142"/>
      <c r="W183" s="142"/>
      <c r="X183" s="142"/>
      <c r="Y183" s="142"/>
      <c r="Z183" s="114"/>
    </row>
    <row r="184" spans="11:26" ht="18" customHeight="1">
      <c r="K184" s="171" t="s">
        <v>14</v>
      </c>
      <c r="L184" s="171"/>
      <c r="M184" s="171"/>
      <c r="N184" s="143" t="s">
        <v>32</v>
      </c>
      <c r="O184" s="173">
        <v>4</v>
      </c>
      <c r="P184" s="234">
        <f ca="1">OFFSET($A$1,MATCH(Z182,$A:$A,0)-1,O184)</f>
        <v>2</v>
      </c>
      <c r="Q184" s="144" t="s">
        <v>29</v>
      </c>
      <c r="R184" s="118">
        <f t="shared" ca="1" si="42"/>
        <v>373353</v>
      </c>
      <c r="S184" s="118">
        <f t="shared" ca="1" si="42"/>
        <v>746706</v>
      </c>
      <c r="T184" s="118">
        <f ca="1">특급</f>
        <v>373353</v>
      </c>
      <c r="U184" s="118">
        <f t="shared" ca="1" si="43"/>
        <v>746706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39</v>
      </c>
      <c r="O185" s="173">
        <v>5</v>
      </c>
      <c r="P185" s="234">
        <f ca="1">OFFSET($A$1,MATCH(Z182,$A:$A,0)-1,O185)</f>
        <v>2</v>
      </c>
      <c r="Q185" s="144" t="s">
        <v>29</v>
      </c>
      <c r="R185" s="118">
        <f t="shared" ca="1" si="42"/>
        <v>310884</v>
      </c>
      <c r="S185" s="118">
        <f t="shared" ca="1" si="42"/>
        <v>621768</v>
      </c>
      <c r="T185" s="118">
        <f ca="1">고급</f>
        <v>310884</v>
      </c>
      <c r="U185" s="118">
        <f t="shared" ca="1" si="43"/>
        <v>621768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40</v>
      </c>
      <c r="O186" s="173">
        <v>6</v>
      </c>
      <c r="P186" s="234">
        <f ca="1">OFFSET($A$1,MATCH(Z182,$A:$A,0)-1,O186)</f>
        <v>4</v>
      </c>
      <c r="Q186" s="144" t="s">
        <v>29</v>
      </c>
      <c r="R186" s="118">
        <f t="shared" ca="1" si="42"/>
        <v>295138</v>
      </c>
      <c r="S186" s="118">
        <f t="shared" ca="1" si="42"/>
        <v>1180552</v>
      </c>
      <c r="T186" s="118">
        <f ca="1">중급</f>
        <v>295138</v>
      </c>
      <c r="U186" s="118">
        <f t="shared" ca="1" si="43"/>
        <v>1180552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41</v>
      </c>
      <c r="O187" s="173">
        <v>7</v>
      </c>
      <c r="P187" s="234">
        <f ca="1">OFFSET($A$1,MATCH(Z182,$A:$A,0)-1,O187)</f>
        <v>4</v>
      </c>
      <c r="Q187" s="144" t="s">
        <v>29</v>
      </c>
      <c r="R187" s="118">
        <f t="shared" ca="1" si="42"/>
        <v>235459</v>
      </c>
      <c r="S187" s="118">
        <f t="shared" ca="1" si="42"/>
        <v>941836</v>
      </c>
      <c r="T187" s="118">
        <f ca="1">초급</f>
        <v>235459</v>
      </c>
      <c r="U187" s="118">
        <f t="shared" ca="1" si="43"/>
        <v>941836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319" t="s">
        <v>42</v>
      </c>
      <c r="O188" s="174">
        <v>8</v>
      </c>
      <c r="P188" s="235">
        <f ca="1">OFFSET($A$1,MATCH(Z182,$A:$A,0)-1,O188)</f>
        <v>4</v>
      </c>
      <c r="Q188" s="322" t="s">
        <v>29</v>
      </c>
      <c r="R188" s="323">
        <f t="shared" ca="1" si="42"/>
        <v>250087</v>
      </c>
      <c r="S188" s="323">
        <f t="shared" ca="1" si="42"/>
        <v>1000348</v>
      </c>
      <c r="T188" s="323">
        <f ca="1">보조원</f>
        <v>250087</v>
      </c>
      <c r="U188" s="323">
        <f t="shared" ca="1" si="43"/>
        <v>1000348</v>
      </c>
      <c r="V188" s="323"/>
      <c r="W188" s="323"/>
      <c r="X188" s="323"/>
      <c r="Y188" s="323"/>
      <c r="Z188" s="324"/>
    </row>
    <row r="189" spans="11:26" ht="18" customHeight="1">
      <c r="K189" s="171" t="s">
        <v>14</v>
      </c>
      <c r="L189" s="171"/>
      <c r="M189" s="171"/>
      <c r="N189" s="139" t="s">
        <v>17</v>
      </c>
      <c r="O189" s="68"/>
      <c r="P189" s="69"/>
      <c r="Q189" s="70"/>
      <c r="R189" s="71"/>
      <c r="S189" s="71">
        <f ca="1">SUBTOTAL(9,S183:S188)</f>
        <v>5425644</v>
      </c>
      <c r="T189" s="71"/>
      <c r="U189" s="71">
        <f ca="1">SUBTOTAL(9,U183:U188)</f>
        <v>5425644</v>
      </c>
      <c r="V189" s="71"/>
      <c r="W189" s="71"/>
      <c r="X189" s="71"/>
      <c r="Y189" s="71"/>
      <c r="Z189" s="68"/>
    </row>
    <row r="190" spans="11:26" ht="18" customHeight="1">
      <c r="K190" s="171" t="s">
        <v>14</v>
      </c>
      <c r="L190" s="171"/>
      <c r="M190" s="171"/>
    </row>
    <row r="191" spans="11:26" ht="18" customHeight="1">
      <c r="K191" s="171" t="s">
        <v>14</v>
      </c>
      <c r="L191" s="171"/>
      <c r="M191" s="171"/>
    </row>
    <row r="192" spans="11:26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K823" s="171" t="s">
        <v>14</v>
      </c>
      <c r="L823" s="171"/>
    </row>
    <row r="824" spans="11:12" ht="18" customHeight="1">
      <c r="K824" s="171" t="s">
        <v>14</v>
      </c>
      <c r="L824" s="171"/>
    </row>
    <row r="825" spans="11:12" ht="18" customHeight="1">
      <c r="K825" s="171" t="s">
        <v>14</v>
      </c>
      <c r="L825" s="171"/>
    </row>
    <row r="826" spans="11:12" ht="18" customHeight="1">
      <c r="L826" s="171"/>
    </row>
    <row r="827" spans="11:12" ht="18" customHeight="1">
      <c r="L827" s="171"/>
    </row>
    <row r="828" spans="11:12" ht="18" customHeight="1">
      <c r="L828" s="171"/>
    </row>
  </sheetData>
  <mergeCells count="14">
    <mergeCell ref="B3:C3"/>
    <mergeCell ref="B4:C4"/>
    <mergeCell ref="B5:C5"/>
    <mergeCell ref="Z52:Z53"/>
    <mergeCell ref="B12:C13"/>
    <mergeCell ref="J12:J13"/>
    <mergeCell ref="L12:L13"/>
    <mergeCell ref="N52:N53"/>
    <mergeCell ref="O52:O53"/>
    <mergeCell ref="G3:H3"/>
    <mergeCell ref="G4:H4"/>
    <mergeCell ref="G5:H5"/>
    <mergeCell ref="P52:P53"/>
    <mergeCell ref="Q52:Q53"/>
  </mergeCells>
  <phoneticPr fontId="14" type="noConversion"/>
  <conditionalFormatting sqref="V14:V35">
    <cfRule type="cellIs" dxfId="41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0" min="13" max="28" man="1"/>
    <brk id="71" min="13" max="28" man="1"/>
  </row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77">
    <tabColor rgb="FF00B0F0"/>
    <pageSetUpPr fitToPage="1"/>
  </sheetPr>
  <dimension ref="A1:Z828"/>
  <sheetViews>
    <sheetView showGridLines="0" zoomScale="85" zoomScaleNormal="85" zoomScaleSheetLayoutView="75" workbookViewId="0">
      <selection activeCell="A3" sqref="A3:J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546</v>
      </c>
    </row>
    <row r="2" spans="1:26" ht="19.5" thickBot="1">
      <c r="B2" s="66" t="s">
        <v>1</v>
      </c>
    </row>
    <row r="3" spans="1:26" ht="19.5" customHeight="1">
      <c r="B3" s="773" t="s">
        <v>48</v>
      </c>
      <c r="C3" s="774"/>
      <c r="D3" s="775">
        <v>5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K3" s="6"/>
      <c r="L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B4" s="777" t="s">
        <v>54</v>
      </c>
      <c r="C4" s="778"/>
      <c r="D4" s="779">
        <v>5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B5" s="781" t="s">
        <v>547</v>
      </c>
      <c r="C5" s="782"/>
      <c r="D5" s="783">
        <f>ROUND(IF(D4&lt;=3,3,D4)*0.2,3)</f>
        <v>1</v>
      </c>
      <c r="E5" s="784"/>
      <c r="F5" s="45"/>
      <c r="G5" s="817" t="s">
        <v>1102</v>
      </c>
      <c r="H5" s="818"/>
      <c r="I5" s="646">
        <f>ROUND(I4/I3,3)</f>
        <v>1</v>
      </c>
      <c r="J5" s="671"/>
      <c r="K5" s="6"/>
      <c r="L5" s="6"/>
      <c r="R5" s="1"/>
      <c r="S5" s="1"/>
      <c r="T5" s="1"/>
      <c r="U5" s="1"/>
      <c r="V5" s="1"/>
      <c r="W5" s="1"/>
      <c r="X5" s="1"/>
      <c r="Y5" s="1"/>
    </row>
    <row r="6" spans="1:26" ht="23.25" customHeight="1">
      <c r="B6" s="9" t="s">
        <v>2096</v>
      </c>
      <c r="C6" s="9"/>
      <c r="D6" s="723"/>
      <c r="E6" s="723"/>
      <c r="F6" s="428"/>
      <c r="G6" s="9" t="s">
        <v>1107</v>
      </c>
      <c r="J6" s="36"/>
      <c r="K6" s="6"/>
      <c r="L6" s="6"/>
      <c r="R6" s="1"/>
      <c r="S6" s="1"/>
      <c r="T6" s="1"/>
      <c r="U6" s="1"/>
      <c r="V6" s="1"/>
      <c r="W6" s="1"/>
      <c r="X6" s="1"/>
      <c r="Y6" s="1"/>
    </row>
    <row r="7" spans="1:26" ht="23.25" customHeight="1">
      <c r="B7" s="843"/>
      <c r="C7" s="843"/>
      <c r="D7" s="844"/>
      <c r="E7" s="844"/>
      <c r="F7" s="436"/>
      <c r="G7" s="428"/>
      <c r="H7" s="428"/>
      <c r="I7" s="428"/>
      <c r="J7" s="429"/>
    </row>
    <row r="8" spans="1:26" ht="23.25" customHeight="1">
      <c r="B8" s="434"/>
      <c r="C8" s="9"/>
      <c r="D8" s="64"/>
      <c r="E8" s="64"/>
      <c r="F8" s="171"/>
      <c r="G8" s="428"/>
      <c r="H8" s="428"/>
      <c r="I8" s="428"/>
      <c r="J8" s="429"/>
    </row>
    <row r="9" spans="1:26" ht="18" customHeight="1">
      <c r="B9" s="9"/>
      <c r="C9" s="9"/>
      <c r="D9" s="64"/>
      <c r="E9" s="64"/>
      <c r="R9" s="1"/>
      <c r="S9" s="1"/>
      <c r="T9" s="1"/>
    </row>
    <row r="10" spans="1:26" ht="18" customHeight="1">
      <c r="B10" s="9"/>
      <c r="C10" s="9"/>
      <c r="D10" s="64"/>
      <c r="E10" s="64"/>
      <c r="R10" s="1"/>
      <c r="S10" s="1"/>
      <c r="T10" s="1"/>
    </row>
    <row r="11" spans="1:26" ht="18" customHeight="1">
      <c r="G11" s="36"/>
      <c r="W11" s="188" t="s">
        <v>3</v>
      </c>
      <c r="X11" s="189"/>
    </row>
    <row r="12" spans="1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1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SUBTOTAL(9,W14:W42)</f>
        <v>123009941</v>
      </c>
      <c r="X13" s="187"/>
      <c r="Y13" s="177"/>
      <c r="Z13" s="167"/>
    </row>
    <row r="14" spans="1:26" ht="18" customHeight="1">
      <c r="A14" s="278"/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SUBTOTAL(9,W15:W39)</f>
        <v>49148459</v>
      </c>
      <c r="X14" s="164"/>
      <c r="Y14" s="178" t="s">
        <v>9</v>
      </c>
      <c r="Z14" s="179"/>
    </row>
    <row r="15" spans="1:26" ht="18" customHeight="1" thickBot="1">
      <c r="A15" s="278"/>
      <c r="B15" s="820"/>
      <c r="C15" s="821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218"/>
      <c r="V15" s="218"/>
      <c r="W15" s="255">
        <f ca="1">SUBTOTAL(9,W16:W34)</f>
        <v>41148459</v>
      </c>
      <c r="X15" s="256"/>
      <c r="Y15" s="220"/>
      <c r="Z15" s="220"/>
    </row>
    <row r="16" spans="1:26" ht="18" customHeight="1">
      <c r="A16" s="279"/>
      <c r="B16" s="222" t="s">
        <v>2095</v>
      </c>
      <c r="C16" s="47"/>
      <c r="D16" s="48">
        <f t="shared" ref="D16:I16" si="0">SUBTOTAL(9,D17:D18)</f>
        <v>0.7</v>
      </c>
      <c r="E16" s="49">
        <f t="shared" si="0"/>
        <v>0.8</v>
      </c>
      <c r="F16" s="49">
        <f t="shared" si="0"/>
        <v>5.6</v>
      </c>
      <c r="G16" s="49">
        <f t="shared" si="0"/>
        <v>6.3000000000000007</v>
      </c>
      <c r="H16" s="49">
        <f t="shared" si="0"/>
        <v>12.200000000000001</v>
      </c>
      <c r="I16" s="50">
        <f t="shared" si="0"/>
        <v>13</v>
      </c>
      <c r="J16" s="389"/>
      <c r="L16" s="232"/>
      <c r="N16" s="354" t="str">
        <f>B16</f>
        <v>1. 토지 및 건물권리조사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SUBTOTAL(9,W17:W18)</f>
        <v>10349781</v>
      </c>
      <c r="X16" s="194"/>
      <c r="Y16" s="170" t="str">
        <f>IF(A36&gt;0, "제 " &amp;A36&amp; " 호표","")</f>
        <v/>
      </c>
      <c r="Z16" s="170"/>
    </row>
    <row r="17" spans="1:26" ht="18" customHeight="1">
      <c r="A17" s="279"/>
      <c r="B17" s="223" t="s">
        <v>2097</v>
      </c>
      <c r="C17" s="23"/>
      <c r="D17" s="197">
        <v>0.7</v>
      </c>
      <c r="E17" s="198">
        <v>0.8</v>
      </c>
      <c r="F17" s="198">
        <v>4.3</v>
      </c>
      <c r="G17" s="198">
        <v>5.4</v>
      </c>
      <c r="H17" s="198">
        <v>10.3</v>
      </c>
      <c r="I17" s="199">
        <v>11.1</v>
      </c>
      <c r="J17" s="389" t="s">
        <v>1386</v>
      </c>
      <c r="L17" s="233">
        <v>1</v>
      </c>
      <c r="N17" s="292" t="str">
        <f t="shared" ref="N17:N34" si="1">B17</f>
        <v>1.1. 지적도, 토지 및 건물대장 및 등기부 열람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SUM((ROUNDDOWN((D37:I37)*단가,0)))</f>
        <v>8757471</v>
      </c>
      <c r="X17" s="154"/>
      <c r="Y17" s="170" t="str">
        <f>IF(A37&gt;0, "제 " &amp;A37&amp; " 호표","")</f>
        <v>제 1 호표</v>
      </c>
      <c r="Z17" s="150"/>
    </row>
    <row r="18" spans="1:26" ht="18" customHeight="1">
      <c r="A18" s="279"/>
      <c r="B18" s="223" t="s">
        <v>2098</v>
      </c>
      <c r="C18" s="23"/>
      <c r="D18" s="197">
        <v>0</v>
      </c>
      <c r="E18" s="198">
        <v>0</v>
      </c>
      <c r="F18" s="198">
        <v>1.3</v>
      </c>
      <c r="G18" s="198">
        <v>0.9</v>
      </c>
      <c r="H18" s="198">
        <v>1.9</v>
      </c>
      <c r="I18" s="199">
        <v>1.9</v>
      </c>
      <c r="J18" s="389" t="s">
        <v>1090</v>
      </c>
      <c r="L18" s="233">
        <v>1</v>
      </c>
      <c r="N18" s="292" t="str">
        <f t="shared" si="1"/>
        <v>1.2. 고정자산세, 과세표준액 등 조사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SUM((ROUNDDOWN((D38:I38)*단가,0)))</f>
        <v>1592310</v>
      </c>
      <c r="X18" s="154"/>
      <c r="Y18" s="170" t="str">
        <f t="shared" ref="Y18:Y34" si="2">IF(A38&gt;0, "제 " &amp;A38&amp; " 호표","")</f>
        <v>제 2 호표</v>
      </c>
      <c r="Z18" s="150"/>
    </row>
    <row r="19" spans="1:26" ht="18" customHeight="1">
      <c r="A19" s="279"/>
      <c r="B19" s="222" t="s">
        <v>548</v>
      </c>
      <c r="C19" s="47"/>
      <c r="D19" s="48">
        <f t="shared" ref="D19:I19" si="3">SUBTOTAL(9,D20:D20)</f>
        <v>0</v>
      </c>
      <c r="E19" s="49">
        <f t="shared" si="3"/>
        <v>0</v>
      </c>
      <c r="F19" s="49">
        <f t="shared" si="3"/>
        <v>0</v>
      </c>
      <c r="G19" s="49">
        <f t="shared" si="3"/>
        <v>0</v>
      </c>
      <c r="H19" s="49">
        <f t="shared" si="3"/>
        <v>0</v>
      </c>
      <c r="I19" s="50">
        <f t="shared" si="3"/>
        <v>0</v>
      </c>
      <c r="J19" s="389"/>
      <c r="L19" s="232"/>
      <c r="N19" s="354" t="str">
        <f t="shared" si="1"/>
        <v>2. 기본설계</v>
      </c>
      <c r="O19" s="169"/>
      <c r="P19" s="169"/>
      <c r="Q19" s="169"/>
      <c r="R19" s="169"/>
      <c r="S19" s="169"/>
      <c r="T19" s="169"/>
      <c r="U19" s="226"/>
      <c r="V19" s="248"/>
      <c r="W19" s="193">
        <f ca="1">SUBTOTAL(9,W20:W20)</f>
        <v>0</v>
      </c>
      <c r="X19" s="194"/>
      <c r="Y19" s="170" t="str">
        <f t="shared" si="2"/>
        <v/>
      </c>
      <c r="Z19" s="170"/>
    </row>
    <row r="20" spans="1:26" ht="18" customHeight="1">
      <c r="A20" s="279"/>
      <c r="B20" s="223" t="s">
        <v>2105</v>
      </c>
      <c r="C20" s="23"/>
      <c r="D20" s="197"/>
      <c r="E20" s="198"/>
      <c r="F20" s="198"/>
      <c r="G20" s="198"/>
      <c r="H20" s="198"/>
      <c r="I20" s="199"/>
      <c r="J20" s="389"/>
      <c r="L20" s="233">
        <v>1</v>
      </c>
      <c r="N20" s="292" t="str">
        <f t="shared" si="1"/>
        <v xml:space="preserve"> 별도계상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SUM((ROUNDDOWN((D40:I40)*단가,0)))</f>
        <v>0</v>
      </c>
      <c r="X20" s="154"/>
      <c r="Y20" s="170" t="str">
        <f t="shared" si="2"/>
        <v/>
      </c>
      <c r="Z20" s="150"/>
    </row>
    <row r="21" spans="1:26" ht="18" customHeight="1">
      <c r="A21" s="279"/>
      <c r="B21" s="222" t="s">
        <v>549</v>
      </c>
      <c r="C21" s="47"/>
      <c r="D21" s="48">
        <f t="shared" ref="D21:I21" si="4">SUBTOTAL(9,D22:D23)</f>
        <v>1.1000000000000001</v>
      </c>
      <c r="E21" s="49">
        <f t="shared" si="4"/>
        <v>1.2000000000000002</v>
      </c>
      <c r="F21" s="49">
        <f t="shared" si="4"/>
        <v>5.6999999999999993</v>
      </c>
      <c r="G21" s="49">
        <f t="shared" si="4"/>
        <v>0</v>
      </c>
      <c r="H21" s="49">
        <f t="shared" si="4"/>
        <v>0</v>
      </c>
      <c r="I21" s="50">
        <f t="shared" si="4"/>
        <v>0</v>
      </c>
      <c r="J21" s="389"/>
      <c r="L21" s="233"/>
      <c r="N21" s="354" t="str">
        <f t="shared" si="1"/>
        <v>3. 자금계획</v>
      </c>
      <c r="O21" s="169"/>
      <c r="P21" s="169"/>
      <c r="Q21" s="169"/>
      <c r="R21" s="169"/>
      <c r="S21" s="169"/>
      <c r="T21" s="169"/>
      <c r="U21" s="226"/>
      <c r="V21" s="248"/>
      <c r="W21" s="193">
        <f ca="1">SUBTOTAL(9,W22:W23)</f>
        <v>2733998</v>
      </c>
      <c r="X21" s="257"/>
      <c r="Y21" s="170" t="str">
        <f t="shared" si="2"/>
        <v/>
      </c>
      <c r="Z21" s="169"/>
    </row>
    <row r="22" spans="1:26" ht="18" customHeight="1">
      <c r="A22" s="279"/>
      <c r="B22" s="223" t="s">
        <v>2099</v>
      </c>
      <c r="C22" s="23"/>
      <c r="D22" s="197">
        <v>0.7</v>
      </c>
      <c r="E22" s="198">
        <v>0.8</v>
      </c>
      <c r="F22" s="198">
        <v>3.8</v>
      </c>
      <c r="G22" s="198">
        <v>0</v>
      </c>
      <c r="H22" s="198">
        <v>0</v>
      </c>
      <c r="I22" s="199">
        <v>0</v>
      </c>
      <c r="J22" s="389" t="s">
        <v>1090</v>
      </c>
      <c r="L22" s="233">
        <v>1</v>
      </c>
      <c r="N22" s="292" t="str">
        <f t="shared" si="1"/>
        <v>3.1. 개략사업비 산정</v>
      </c>
      <c r="O22" s="37"/>
      <c r="P22" s="37"/>
      <c r="Q22" s="37"/>
      <c r="R22" s="37"/>
      <c r="S22" s="37"/>
      <c r="T22" s="37"/>
      <c r="U22" s="226"/>
      <c r="V22" s="248"/>
      <c r="W22" s="153">
        <f t="array" aca="1" ref="W22" ca="1">SUM((ROUNDDOWN((D42:I42)*단가,0)))</f>
        <v>1807092</v>
      </c>
      <c r="X22" s="113"/>
      <c r="Y22" s="170" t="str">
        <f t="shared" si="2"/>
        <v>제 3 호표</v>
      </c>
      <c r="Z22" s="37"/>
    </row>
    <row r="23" spans="1:26" ht="18" customHeight="1">
      <c r="A23" s="279"/>
      <c r="B23" s="223" t="s">
        <v>2100</v>
      </c>
      <c r="C23" s="43"/>
      <c r="D23" s="206">
        <v>0.4</v>
      </c>
      <c r="E23" s="207">
        <v>0.4</v>
      </c>
      <c r="F23" s="207">
        <v>1.9</v>
      </c>
      <c r="G23" s="207">
        <v>0</v>
      </c>
      <c r="H23" s="207">
        <v>0</v>
      </c>
      <c r="I23" s="208">
        <v>0</v>
      </c>
      <c r="J23" s="390" t="s">
        <v>1090</v>
      </c>
      <c r="L23" s="233">
        <v>1</v>
      </c>
      <c r="N23" s="292" t="str">
        <f t="shared" si="1"/>
        <v>3.2. 수지계획</v>
      </c>
      <c r="O23" s="37"/>
      <c r="P23" s="37"/>
      <c r="Q23" s="37"/>
      <c r="R23" s="37"/>
      <c r="S23" s="37"/>
      <c r="T23" s="37"/>
      <c r="U23" s="353"/>
      <c r="V23" s="248"/>
      <c r="W23" s="153">
        <f t="array" aca="1" ref="W23" ca="1">SUM((ROUNDDOWN((D43:I43)*단가,0)))</f>
        <v>926906</v>
      </c>
      <c r="X23" s="113"/>
      <c r="Y23" s="170" t="str">
        <f t="shared" si="2"/>
        <v>제 4 호표</v>
      </c>
      <c r="Z23" s="37"/>
    </row>
    <row r="24" spans="1:26" ht="18" customHeight="1">
      <c r="A24" s="279"/>
      <c r="B24" s="222" t="s">
        <v>550</v>
      </c>
      <c r="C24" s="47"/>
      <c r="D24" s="48">
        <f t="shared" ref="D24:I24" si="5">SUBTOTAL(9,D25:D27)</f>
        <v>0.60000000000000009</v>
      </c>
      <c r="E24" s="49">
        <f t="shared" si="5"/>
        <v>0.60000000000000009</v>
      </c>
      <c r="F24" s="49">
        <f t="shared" si="5"/>
        <v>2.9</v>
      </c>
      <c r="G24" s="49">
        <f t="shared" si="5"/>
        <v>5.6999999999999993</v>
      </c>
      <c r="H24" s="49">
        <f t="shared" si="5"/>
        <v>8.7000000000000011</v>
      </c>
      <c r="I24" s="50">
        <f t="shared" si="5"/>
        <v>4.9000000000000004</v>
      </c>
      <c r="J24" s="389"/>
      <c r="L24" s="233"/>
      <c r="N24" s="354" t="str">
        <f t="shared" si="1"/>
        <v>4. 사업시행계획</v>
      </c>
      <c r="O24" s="169"/>
      <c r="P24" s="169"/>
      <c r="Q24" s="169"/>
      <c r="R24" s="169"/>
      <c r="S24" s="169"/>
      <c r="T24" s="169"/>
      <c r="U24" s="226"/>
      <c r="V24" s="248"/>
      <c r="W24" s="193">
        <f ca="1">SUBTOTAL(9,W25:W27)</f>
        <v>6362104</v>
      </c>
      <c r="X24" s="257"/>
      <c r="Y24" s="170" t="str">
        <f t="shared" si="2"/>
        <v/>
      </c>
      <c r="Z24" s="169"/>
    </row>
    <row r="25" spans="1:26" ht="18" customHeight="1">
      <c r="A25" s="279"/>
      <c r="B25" s="223" t="s">
        <v>2101</v>
      </c>
      <c r="C25" s="23"/>
      <c r="D25" s="197">
        <v>0.2</v>
      </c>
      <c r="E25" s="198">
        <v>0.2</v>
      </c>
      <c r="F25" s="198">
        <v>0.8</v>
      </c>
      <c r="G25" s="198">
        <v>1.9</v>
      </c>
      <c r="H25" s="198">
        <v>3.4</v>
      </c>
      <c r="I25" s="199">
        <v>0</v>
      </c>
      <c r="J25" s="389" t="s">
        <v>1090</v>
      </c>
      <c r="L25" s="233">
        <v>1</v>
      </c>
      <c r="N25" s="292" t="str">
        <f t="shared" si="1"/>
        <v>4.1. 사업설명서</v>
      </c>
      <c r="O25" s="37"/>
      <c r="P25" s="37"/>
      <c r="Q25" s="37"/>
      <c r="R25" s="37"/>
      <c r="S25" s="37"/>
      <c r="T25" s="37"/>
      <c r="U25" s="226"/>
      <c r="V25" s="248"/>
      <c r="W25" s="153">
        <f t="array" aca="1" ref="W25" ca="1">SUM((ROUNDDOWN((D45:I45)*단가,0)))</f>
        <v>1778142</v>
      </c>
      <c r="X25" s="113"/>
      <c r="Y25" s="170" t="str">
        <f t="shared" si="2"/>
        <v>제 5 호표</v>
      </c>
      <c r="Z25" s="37"/>
    </row>
    <row r="26" spans="1:26" ht="18" customHeight="1">
      <c r="A26" s="279"/>
      <c r="B26" s="223" t="s">
        <v>2102</v>
      </c>
      <c r="C26" s="23"/>
      <c r="D26" s="197">
        <v>0.2</v>
      </c>
      <c r="E26" s="198">
        <v>0.2</v>
      </c>
      <c r="F26" s="198">
        <v>1.7</v>
      </c>
      <c r="G26" s="198">
        <v>2.2999999999999998</v>
      </c>
      <c r="H26" s="198">
        <v>4.5</v>
      </c>
      <c r="I26" s="199">
        <v>4.5</v>
      </c>
      <c r="J26" s="389" t="s">
        <v>1090</v>
      </c>
      <c r="L26" s="233">
        <v>1</v>
      </c>
      <c r="N26" s="292" t="str">
        <f t="shared" si="1"/>
        <v>4.2. 부속도서</v>
      </c>
      <c r="O26" s="37"/>
      <c r="P26" s="37"/>
      <c r="Q26" s="37"/>
      <c r="R26" s="37"/>
      <c r="S26" s="37"/>
      <c r="T26" s="37"/>
      <c r="U26" s="226"/>
      <c r="V26" s="248"/>
      <c r="W26" s="153">
        <f t="array" aca="1" ref="W26" ca="1">SUM((ROUNDDOWN((D46:I46)*단가,0)))</f>
        <v>3560388</v>
      </c>
      <c r="X26" s="113"/>
      <c r="Y26" s="170" t="str">
        <f t="shared" si="2"/>
        <v>제 6 호표</v>
      </c>
      <c r="Z26" s="37"/>
    </row>
    <row r="27" spans="1:26" ht="18" customHeight="1">
      <c r="A27" s="279"/>
      <c r="B27" s="223" t="s">
        <v>2103</v>
      </c>
      <c r="C27" s="43"/>
      <c r="D27" s="206">
        <v>0.2</v>
      </c>
      <c r="E27" s="207">
        <v>0.2</v>
      </c>
      <c r="F27" s="207">
        <v>0.4</v>
      </c>
      <c r="G27" s="207">
        <v>1.5</v>
      </c>
      <c r="H27" s="207">
        <v>0.8</v>
      </c>
      <c r="I27" s="208">
        <v>0.4</v>
      </c>
      <c r="J27" s="390" t="s">
        <v>1090</v>
      </c>
      <c r="L27" s="233">
        <v>1</v>
      </c>
      <c r="N27" s="292" t="str">
        <f t="shared" si="1"/>
        <v>4.3. 인가신청</v>
      </c>
      <c r="O27" s="37"/>
      <c r="P27" s="37"/>
      <c r="Q27" s="37"/>
      <c r="R27" s="37"/>
      <c r="S27" s="37"/>
      <c r="T27" s="37"/>
      <c r="U27" s="353"/>
      <c r="V27" s="248"/>
      <c r="W27" s="153">
        <f t="array" aca="1" ref="W27" ca="1">SUM((ROUNDDOWN((D47:I47)*단가,0)))</f>
        <v>1023574</v>
      </c>
      <c r="X27" s="113"/>
      <c r="Y27" s="170" t="str">
        <f t="shared" si="2"/>
        <v>제 7 호표</v>
      </c>
      <c r="Z27" s="37"/>
    </row>
    <row r="28" spans="1:26" ht="18" customHeight="1">
      <c r="A28" s="279"/>
      <c r="B28" s="222" t="s">
        <v>551</v>
      </c>
      <c r="C28" s="47"/>
      <c r="D28" s="48">
        <f t="shared" ref="D28:I28" si="6">SUBTOTAL(9,D29:D29)</f>
        <v>0</v>
      </c>
      <c r="E28" s="49">
        <f t="shared" si="6"/>
        <v>0</v>
      </c>
      <c r="F28" s="49">
        <f t="shared" si="6"/>
        <v>0</v>
      </c>
      <c r="G28" s="49">
        <f t="shared" si="6"/>
        <v>0</v>
      </c>
      <c r="H28" s="49">
        <f t="shared" si="6"/>
        <v>0</v>
      </c>
      <c r="I28" s="50">
        <f t="shared" si="6"/>
        <v>0</v>
      </c>
      <c r="J28" s="389"/>
      <c r="L28" s="232"/>
      <c r="N28" s="354" t="str">
        <f t="shared" si="1"/>
        <v>5. 실시설계</v>
      </c>
      <c r="O28" s="169"/>
      <c r="P28" s="169"/>
      <c r="Q28" s="169"/>
      <c r="R28" s="169"/>
      <c r="S28" s="169"/>
      <c r="T28" s="169"/>
      <c r="U28" s="226"/>
      <c r="V28" s="248"/>
      <c r="W28" s="193">
        <f ca="1">SUBTOTAL(9,W29:W29)</f>
        <v>0</v>
      </c>
      <c r="X28" s="194"/>
      <c r="Y28" s="170" t="str">
        <f t="shared" si="2"/>
        <v/>
      </c>
      <c r="Z28" s="170"/>
    </row>
    <row r="29" spans="1:26" ht="18" customHeight="1">
      <c r="A29" s="279"/>
      <c r="B29" s="223" t="s">
        <v>2104</v>
      </c>
      <c r="C29" s="23"/>
      <c r="D29" s="197"/>
      <c r="E29" s="198"/>
      <c r="F29" s="198"/>
      <c r="G29" s="198"/>
      <c r="H29" s="198"/>
      <c r="I29" s="199"/>
      <c r="J29" s="389"/>
      <c r="L29" s="233">
        <v>1</v>
      </c>
      <c r="N29" s="292" t="str">
        <f t="shared" si="1"/>
        <v>별도계상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SUM((ROUNDDOWN((D49:I49)*단가,0)))</f>
        <v>0</v>
      </c>
      <c r="X29" s="154"/>
      <c r="Y29" s="170" t="str">
        <f t="shared" si="2"/>
        <v/>
      </c>
      <c r="Z29" s="150"/>
    </row>
    <row r="30" spans="1:26" ht="18" customHeight="1">
      <c r="A30" s="279"/>
      <c r="B30" s="222" t="s">
        <v>535</v>
      </c>
      <c r="C30" s="47"/>
      <c r="D30" s="48">
        <f t="shared" ref="D30:I30" si="7">SUBTOTAL(9,D31:D34)</f>
        <v>8</v>
      </c>
      <c r="E30" s="49">
        <f t="shared" si="7"/>
        <v>8</v>
      </c>
      <c r="F30" s="49">
        <f t="shared" si="7"/>
        <v>8</v>
      </c>
      <c r="G30" s="49">
        <f t="shared" si="7"/>
        <v>16</v>
      </c>
      <c r="H30" s="49">
        <f t="shared" si="7"/>
        <v>16</v>
      </c>
      <c r="I30" s="50">
        <f t="shared" si="7"/>
        <v>16</v>
      </c>
      <c r="J30" s="389"/>
      <c r="L30" s="232"/>
      <c r="N30" s="354" t="str">
        <f t="shared" si="1"/>
        <v>6. 기술협의</v>
      </c>
      <c r="O30" s="169"/>
      <c r="P30" s="169"/>
      <c r="Q30" s="169"/>
      <c r="R30" s="169"/>
      <c r="S30" s="169"/>
      <c r="T30" s="169"/>
      <c r="U30" s="226"/>
      <c r="V30" s="248"/>
      <c r="W30" s="193">
        <f ca="1">SUBTOTAL(9,W31:W34)</f>
        <v>21702576</v>
      </c>
      <c r="X30" s="257"/>
      <c r="Y30" s="170" t="str">
        <f t="shared" si="2"/>
        <v/>
      </c>
      <c r="Z30" s="169"/>
    </row>
    <row r="31" spans="1:26" ht="18" customHeight="1">
      <c r="A31" s="279"/>
      <c r="B31" s="223" t="s">
        <v>1598</v>
      </c>
      <c r="C31" s="23"/>
      <c r="D31" s="197">
        <v>2</v>
      </c>
      <c r="E31" s="198">
        <v>2</v>
      </c>
      <c r="F31" s="198">
        <v>2</v>
      </c>
      <c r="G31" s="198">
        <v>4</v>
      </c>
      <c r="H31" s="198">
        <v>4</v>
      </c>
      <c r="I31" s="199">
        <v>4</v>
      </c>
      <c r="J31" s="389" t="s">
        <v>2108</v>
      </c>
      <c r="L31" s="233">
        <v>1</v>
      </c>
      <c r="N31" s="292" t="str">
        <f t="shared" si="1"/>
        <v>6.1. 공청회/주민설명회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SUM((ROUNDDOWN((D51:I51)*단가,0)))</f>
        <v>5425644</v>
      </c>
      <c r="X31" s="154"/>
      <c r="Y31" s="170" t="str">
        <f t="shared" si="2"/>
        <v>제 8 호표</v>
      </c>
      <c r="Z31" s="150"/>
    </row>
    <row r="32" spans="1:26" ht="18" customHeight="1">
      <c r="A32" s="279"/>
      <c r="B32" s="223" t="s">
        <v>2106</v>
      </c>
      <c r="C32" s="23"/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389" t="s">
        <v>1094</v>
      </c>
      <c r="L32" s="233">
        <v>1</v>
      </c>
      <c r="N32" s="292" t="str">
        <f t="shared" si="1"/>
        <v>6.2. 주민간담회/시민계획단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SUM((ROUNDDOWN((D52:I52)*단가,0)))</f>
        <v>5425644</v>
      </c>
      <c r="X32" s="154"/>
      <c r="Y32" s="170" t="str">
        <f t="shared" si="2"/>
        <v>제 9 호표</v>
      </c>
      <c r="Z32" s="150"/>
    </row>
    <row r="33" spans="1:26" ht="18" customHeight="1">
      <c r="A33" s="279"/>
      <c r="B33" s="223" t="s">
        <v>1600</v>
      </c>
      <c r="C33" s="23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1094</v>
      </c>
      <c r="L33" s="233">
        <v>1</v>
      </c>
      <c r="N33" s="292" t="str">
        <f t="shared" si="1"/>
        <v>6.3. 위원회심의 지원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SUM((ROUNDDOWN((D53:I53)*단가,0)))</f>
        <v>5425644</v>
      </c>
      <c r="X33" s="154"/>
      <c r="Y33" s="170" t="str">
        <f t="shared" si="2"/>
        <v>제 10 호표</v>
      </c>
      <c r="Z33" s="150"/>
    </row>
    <row r="34" spans="1:26" ht="18" customHeight="1" thickBot="1">
      <c r="A34" s="279"/>
      <c r="B34" s="223" t="s">
        <v>2107</v>
      </c>
      <c r="C34" s="23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612" t="s">
        <v>1094</v>
      </c>
      <c r="L34" s="233">
        <v>1</v>
      </c>
      <c r="N34" s="292" t="str">
        <f t="shared" si="1"/>
        <v>6.4. 관계기관 협의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SUM((ROUNDDOWN((D54:I54)*단가,0)))</f>
        <v>5425644</v>
      </c>
      <c r="X34" s="154"/>
      <c r="Y34" s="170" t="str">
        <f t="shared" si="2"/>
        <v>제 11 호표</v>
      </c>
      <c r="Z34" s="150"/>
    </row>
    <row r="35" spans="1:26" ht="18" customHeight="1" thickBot="1">
      <c r="A35" s="279"/>
      <c r="B35" s="14" t="s">
        <v>30</v>
      </c>
      <c r="C35" s="16"/>
      <c r="D35" s="14" t="s">
        <v>12</v>
      </c>
      <c r="E35" s="15"/>
      <c r="F35" s="15"/>
      <c r="G35" s="15"/>
      <c r="H35" s="15"/>
      <c r="I35" s="16"/>
      <c r="J35" s="175" t="s">
        <v>31</v>
      </c>
      <c r="N35" s="8"/>
      <c r="P35" s="371"/>
      <c r="R35" s="357"/>
      <c r="S35" s="1"/>
      <c r="T35" s="1"/>
      <c r="U35" s="258"/>
      <c r="V35" s="372"/>
      <c r="W35" s="373"/>
      <c r="X35" s="374"/>
      <c r="Y35" s="375"/>
    </row>
    <row r="36" spans="1:26" ht="18" customHeight="1">
      <c r="A36" s="279"/>
      <c r="B36" s="222" t="s">
        <v>2095</v>
      </c>
      <c r="C36" s="47"/>
      <c r="D36" s="48">
        <f t="shared" ref="D36:I36" si="8">SUBTOTAL(9,D37:D38)</f>
        <v>0.7</v>
      </c>
      <c r="E36" s="49">
        <f t="shared" si="8"/>
        <v>0.8</v>
      </c>
      <c r="F36" s="49">
        <f t="shared" si="8"/>
        <v>5.6</v>
      </c>
      <c r="G36" s="49">
        <f t="shared" si="8"/>
        <v>6.3000000000000007</v>
      </c>
      <c r="H36" s="49">
        <f t="shared" si="8"/>
        <v>12.200000000000001</v>
      </c>
      <c r="I36" s="50">
        <f t="shared" si="8"/>
        <v>13</v>
      </c>
      <c r="J36" s="74"/>
      <c r="N36" s="290" t="s">
        <v>10</v>
      </c>
      <c r="O36" s="129"/>
      <c r="P36" s="130"/>
      <c r="Q36" s="124"/>
      <c r="R36" s="131"/>
      <c r="S36" s="124"/>
      <c r="T36" s="124"/>
      <c r="U36" s="181"/>
      <c r="V36" s="181"/>
      <c r="W36" s="159">
        <f>SUBTOTAL(9,W37:W39)</f>
        <v>8000000</v>
      </c>
      <c r="X36" s="160"/>
      <c r="Y36" s="124"/>
      <c r="Z36" s="124"/>
    </row>
    <row r="37" spans="1:26" ht="18" customHeight="1">
      <c r="A37" s="278">
        <v>1</v>
      </c>
      <c r="B37" s="223" t="s">
        <v>2097</v>
      </c>
      <c r="C37" s="23"/>
      <c r="D37" s="197">
        <f t="array" ref="D37:I38">ROUNDDOWN(D17:I18*L17:L18*$D$5,3)</f>
        <v>0.7</v>
      </c>
      <c r="E37" s="198">
        <v>0.8</v>
      </c>
      <c r="F37" s="198">
        <v>4.3</v>
      </c>
      <c r="G37" s="198">
        <v>5.4</v>
      </c>
      <c r="H37" s="198">
        <v>10.3</v>
      </c>
      <c r="I37" s="199">
        <v>11.1</v>
      </c>
      <c r="J37" s="74"/>
      <c r="N37" s="128" t="str">
        <f>"여비("&amp;TEXT(R37,"#인 ×")&amp;TEXT(S37,"#일 ×")&amp;TEXT(T37,"###,###원)")</f>
        <v>여비(3인 ×10일 ×100,000원)</v>
      </c>
      <c r="O37" s="78"/>
      <c r="P37" s="52"/>
      <c r="Q37" s="51"/>
      <c r="R37" s="146">
        <v>3</v>
      </c>
      <c r="S37" s="146">
        <v>10</v>
      </c>
      <c r="T37" s="147">
        <v>100000</v>
      </c>
      <c r="U37" s="182"/>
      <c r="V37" s="182"/>
      <c r="W37" s="161">
        <f>R37*S37*T37</f>
        <v>3000000</v>
      </c>
      <c r="X37" s="162"/>
      <c r="Y37" s="51"/>
      <c r="Z37" s="51"/>
    </row>
    <row r="38" spans="1:26" ht="18" customHeight="1">
      <c r="A38" s="278">
        <v>2</v>
      </c>
      <c r="B38" s="223" t="s">
        <v>2098</v>
      </c>
      <c r="C38" s="23"/>
      <c r="D38" s="197">
        <v>0</v>
      </c>
      <c r="E38" s="198">
        <v>0</v>
      </c>
      <c r="F38" s="198">
        <v>1.3</v>
      </c>
      <c r="G38" s="198">
        <v>0.9</v>
      </c>
      <c r="H38" s="198">
        <v>1.9</v>
      </c>
      <c r="I38" s="199">
        <v>1.9</v>
      </c>
      <c r="J38" s="74"/>
      <c r="N38" s="79" t="s">
        <v>46</v>
      </c>
      <c r="O38" s="79"/>
      <c r="P38" s="39"/>
      <c r="Q38" s="37"/>
      <c r="R38" s="117"/>
      <c r="S38" s="37"/>
      <c r="T38" s="37"/>
      <c r="U38" s="180"/>
      <c r="V38" s="180"/>
      <c r="W38" s="157">
        <v>3000000</v>
      </c>
      <c r="X38" s="158"/>
      <c r="Y38" s="37"/>
      <c r="Z38" s="37"/>
    </row>
    <row r="39" spans="1:26" ht="18" customHeight="1">
      <c r="A39" s="278"/>
      <c r="B39" s="222" t="s">
        <v>548</v>
      </c>
      <c r="C39" s="47"/>
      <c r="D39" s="48">
        <f t="shared" ref="D39:I39" si="9">SUBTOTAL(9,D40:D40)</f>
        <v>0</v>
      </c>
      <c r="E39" s="49">
        <f t="shared" si="9"/>
        <v>0</v>
      </c>
      <c r="F39" s="49">
        <f t="shared" si="9"/>
        <v>0</v>
      </c>
      <c r="G39" s="49">
        <f t="shared" si="9"/>
        <v>0</v>
      </c>
      <c r="H39" s="49">
        <f t="shared" si="9"/>
        <v>0</v>
      </c>
      <c r="I39" s="50">
        <f t="shared" si="9"/>
        <v>0</v>
      </c>
      <c r="J39" s="74"/>
      <c r="N39" s="132" t="s">
        <v>13</v>
      </c>
      <c r="O39" s="132"/>
      <c r="P39" s="38"/>
      <c r="Q39" s="38"/>
      <c r="R39" s="116"/>
      <c r="S39" s="38"/>
      <c r="T39" s="38"/>
      <c r="U39" s="183"/>
      <c r="V39" s="183"/>
      <c r="W39" s="155">
        <v>2000000</v>
      </c>
      <c r="X39" s="156"/>
      <c r="Y39" s="38"/>
      <c r="Z39" s="38"/>
    </row>
    <row r="40" spans="1:26" ht="18" customHeight="1">
      <c r="A40" s="278"/>
      <c r="B40" s="223" t="s">
        <v>2105</v>
      </c>
      <c r="C40" s="23"/>
      <c r="D40" s="197"/>
      <c r="E40" s="198"/>
      <c r="F40" s="198"/>
      <c r="G40" s="198"/>
      <c r="H40" s="198"/>
      <c r="I40" s="199"/>
      <c r="J40" s="74"/>
      <c r="N40" s="127" t="s">
        <v>47</v>
      </c>
      <c r="O40" s="123"/>
      <c r="P40" s="123"/>
      <c r="Q40" s="123"/>
      <c r="R40" s="123"/>
      <c r="S40" s="123"/>
      <c r="T40" s="123"/>
      <c r="U40" s="184"/>
      <c r="V40" s="184"/>
      <c r="W40" s="163">
        <f ca="1">SUBTOTAL(9,W41:W42)</f>
        <v>73861482</v>
      </c>
      <c r="X40" s="164"/>
      <c r="Y40" s="123"/>
      <c r="Z40" s="123"/>
    </row>
    <row r="41" spans="1:26" ht="18" customHeight="1">
      <c r="A41" s="278"/>
      <c r="B41" s="222" t="s">
        <v>549</v>
      </c>
      <c r="C41" s="47"/>
      <c r="D41" s="48">
        <f t="shared" ref="D41:I41" si="10">SUBTOTAL(9,D42:D43)</f>
        <v>1.1000000000000001</v>
      </c>
      <c r="E41" s="49">
        <f t="shared" si="10"/>
        <v>1.2000000000000002</v>
      </c>
      <c r="F41" s="49">
        <f t="shared" si="10"/>
        <v>5.6999999999999993</v>
      </c>
      <c r="G41" s="49">
        <f t="shared" si="10"/>
        <v>0</v>
      </c>
      <c r="H41" s="49">
        <f t="shared" si="10"/>
        <v>0</v>
      </c>
      <c r="I41" s="50">
        <f t="shared" si="10"/>
        <v>0</v>
      </c>
      <c r="J41" s="74"/>
      <c r="N41" s="133" t="s">
        <v>861</v>
      </c>
      <c r="O41" s="124"/>
      <c r="P41" s="134"/>
      <c r="Q41" s="124"/>
      <c r="R41" s="131"/>
      <c r="S41" s="124"/>
      <c r="T41" s="181"/>
      <c r="U41" s="181"/>
      <c r="V41" s="190">
        <v>1.1499999999999999</v>
      </c>
      <c r="W41" s="159">
        <f ca="1">ROUNDDOWN(W15*V41,0)</f>
        <v>47320727</v>
      </c>
      <c r="X41" s="160"/>
      <c r="Y41" s="124"/>
      <c r="Z41" s="124"/>
    </row>
    <row r="42" spans="1:26" ht="18" customHeight="1" thickBot="1">
      <c r="A42" s="278">
        <v>3</v>
      </c>
      <c r="B42" s="223" t="s">
        <v>2099</v>
      </c>
      <c r="C42" s="23"/>
      <c r="D42" s="197">
        <f t="array" ref="D42:I43">ROUNDDOWN(D22:I23*L22:L23*$D$5,3)</f>
        <v>0.7</v>
      </c>
      <c r="E42" s="198">
        <v>0.8</v>
      </c>
      <c r="F42" s="198">
        <v>3.8</v>
      </c>
      <c r="G42" s="198">
        <v>0</v>
      </c>
      <c r="H42" s="198">
        <v>0</v>
      </c>
      <c r="I42" s="199">
        <v>0</v>
      </c>
      <c r="J42" s="74"/>
      <c r="N42" s="135" t="s">
        <v>862</v>
      </c>
      <c r="O42" s="136"/>
      <c r="P42" s="137"/>
      <c r="Q42" s="136"/>
      <c r="R42" s="138"/>
      <c r="S42" s="136"/>
      <c r="T42" s="185"/>
      <c r="U42" s="185"/>
      <c r="V42" s="191">
        <v>0.3</v>
      </c>
      <c r="W42" s="165">
        <f ca="1">ROUNDDOWN((W15+W41)*V42,0)</f>
        <v>26540755</v>
      </c>
      <c r="X42" s="166"/>
      <c r="Y42" s="136"/>
      <c r="Z42" s="136"/>
    </row>
    <row r="43" spans="1:26" ht="18" customHeight="1">
      <c r="A43" s="278">
        <v>4</v>
      </c>
      <c r="B43" s="223" t="s">
        <v>2100</v>
      </c>
      <c r="C43" s="43"/>
      <c r="D43" s="206">
        <v>0.4</v>
      </c>
      <c r="E43" s="207">
        <v>0.4</v>
      </c>
      <c r="F43" s="207">
        <v>1.9</v>
      </c>
      <c r="G43" s="207">
        <v>0</v>
      </c>
      <c r="H43" s="207">
        <v>0</v>
      </c>
      <c r="I43" s="208">
        <v>0</v>
      </c>
      <c r="J43" s="239"/>
    </row>
    <row r="44" spans="1:26" ht="18" customHeight="1">
      <c r="A44" s="278"/>
      <c r="B44" s="222" t="s">
        <v>550</v>
      </c>
      <c r="C44" s="47"/>
      <c r="D44" s="48">
        <f t="shared" ref="D44:I44" si="11">SUBTOTAL(9,D45:D47)</f>
        <v>0.60000000000000009</v>
      </c>
      <c r="E44" s="49">
        <f t="shared" si="11"/>
        <v>0.60000000000000009</v>
      </c>
      <c r="F44" s="49">
        <f t="shared" si="11"/>
        <v>2.9</v>
      </c>
      <c r="G44" s="49">
        <f t="shared" si="11"/>
        <v>5.6999999999999993</v>
      </c>
      <c r="H44" s="49">
        <f t="shared" si="11"/>
        <v>8.7000000000000011</v>
      </c>
      <c r="I44" s="50">
        <f t="shared" si="11"/>
        <v>4.9000000000000004</v>
      </c>
      <c r="J44" s="74"/>
      <c r="K44" s="171" t="s">
        <v>14</v>
      </c>
    </row>
    <row r="45" spans="1:26" ht="18" customHeight="1">
      <c r="A45" s="278">
        <v>5</v>
      </c>
      <c r="B45" s="223" t="s">
        <v>2101</v>
      </c>
      <c r="C45" s="23"/>
      <c r="D45" s="197">
        <f t="array" ref="D45:I47">ROUNDDOWN(D25:I27*L25:L27*$D$5,3)</f>
        <v>0.2</v>
      </c>
      <c r="E45" s="198">
        <v>0.2</v>
      </c>
      <c r="F45" s="198">
        <v>0.8</v>
      </c>
      <c r="G45" s="198">
        <v>1.9</v>
      </c>
      <c r="H45" s="198">
        <v>3.4</v>
      </c>
      <c r="I45" s="199">
        <v>0</v>
      </c>
      <c r="J45" s="74"/>
      <c r="K45" s="171" t="s">
        <v>14</v>
      </c>
    </row>
    <row r="46" spans="1:26" ht="18" customHeight="1">
      <c r="A46" s="278">
        <v>6</v>
      </c>
      <c r="B46" s="223" t="s">
        <v>2102</v>
      </c>
      <c r="C46" s="23"/>
      <c r="D46" s="197">
        <v>0.2</v>
      </c>
      <c r="E46" s="198">
        <v>0.2</v>
      </c>
      <c r="F46" s="198">
        <v>1.7</v>
      </c>
      <c r="G46" s="198">
        <v>2.2999999999999998</v>
      </c>
      <c r="H46" s="198">
        <v>4.5</v>
      </c>
      <c r="I46" s="199">
        <v>4.5</v>
      </c>
      <c r="J46" s="74"/>
      <c r="K46" s="171" t="s">
        <v>14</v>
      </c>
    </row>
    <row r="47" spans="1:26" ht="18" customHeight="1">
      <c r="A47" s="278">
        <v>7</v>
      </c>
      <c r="B47" s="223" t="s">
        <v>2103</v>
      </c>
      <c r="C47" s="43"/>
      <c r="D47" s="206">
        <v>0.2</v>
      </c>
      <c r="E47" s="207">
        <v>0.2</v>
      </c>
      <c r="F47" s="207">
        <v>0.4</v>
      </c>
      <c r="G47" s="207">
        <v>1.5</v>
      </c>
      <c r="H47" s="207">
        <v>0.8</v>
      </c>
      <c r="I47" s="208">
        <v>0.4</v>
      </c>
      <c r="J47" s="239"/>
      <c r="K47" s="171" t="s">
        <v>14</v>
      </c>
      <c r="L47" s="171"/>
    </row>
    <row r="48" spans="1:26" ht="18" customHeight="1">
      <c r="A48" s="278"/>
      <c r="B48" s="222" t="s">
        <v>551</v>
      </c>
      <c r="C48" s="47"/>
      <c r="D48" s="48">
        <f t="shared" ref="D48:I48" si="12">SUBTOTAL(9,D49:D49)</f>
        <v>0</v>
      </c>
      <c r="E48" s="49">
        <f t="shared" si="12"/>
        <v>0</v>
      </c>
      <c r="F48" s="49">
        <f t="shared" si="12"/>
        <v>0</v>
      </c>
      <c r="G48" s="49">
        <f t="shared" si="12"/>
        <v>0</v>
      </c>
      <c r="H48" s="49">
        <f t="shared" si="12"/>
        <v>0</v>
      </c>
      <c r="I48" s="50">
        <f t="shared" si="12"/>
        <v>0</v>
      </c>
      <c r="J48" s="74"/>
      <c r="K48" s="171"/>
      <c r="L48" s="171"/>
      <c r="R48" s="1"/>
      <c r="S48" s="1"/>
      <c r="T48" s="1"/>
      <c r="U48" s="1"/>
      <c r="V48" s="1"/>
      <c r="W48" s="1"/>
      <c r="X48" s="1"/>
      <c r="Y48" s="1"/>
    </row>
    <row r="49" spans="1:26" ht="18" customHeight="1" thickBot="1">
      <c r="A49" s="278"/>
      <c r="B49" s="223" t="s">
        <v>2104</v>
      </c>
      <c r="C49" s="23"/>
      <c r="D49" s="197"/>
      <c r="E49" s="198"/>
      <c r="F49" s="198"/>
      <c r="G49" s="198"/>
      <c r="H49" s="198"/>
      <c r="I49" s="199"/>
      <c r="J49" s="74"/>
      <c r="K49" s="171" t="s">
        <v>14</v>
      </c>
      <c r="L49" s="171"/>
      <c r="R49" s="1"/>
      <c r="S49" s="1"/>
      <c r="T49" s="1"/>
      <c r="U49" s="1"/>
      <c r="V49" s="1"/>
      <c r="W49" s="1"/>
      <c r="X49" s="1"/>
      <c r="Y49" s="1"/>
    </row>
    <row r="50" spans="1:26" ht="18" customHeight="1">
      <c r="A50" s="278"/>
      <c r="B50" s="222" t="s">
        <v>426</v>
      </c>
      <c r="C50" s="72"/>
      <c r="D50" s="402">
        <f t="shared" ref="D50:I50" si="13">SUBTOTAL(9,D51:D54)</f>
        <v>8</v>
      </c>
      <c r="E50" s="403">
        <f t="shared" si="13"/>
        <v>8</v>
      </c>
      <c r="F50" s="403">
        <f t="shared" si="13"/>
        <v>8</v>
      </c>
      <c r="G50" s="403">
        <f t="shared" si="13"/>
        <v>16</v>
      </c>
      <c r="H50" s="403">
        <f t="shared" si="13"/>
        <v>16</v>
      </c>
      <c r="I50" s="404">
        <f t="shared" si="13"/>
        <v>16</v>
      </c>
      <c r="J50" s="73"/>
      <c r="K50" s="171" t="s">
        <v>14</v>
      </c>
      <c r="L50" s="171"/>
      <c r="R50" s="1"/>
      <c r="S50" s="1"/>
      <c r="T50" s="1"/>
      <c r="U50" s="1"/>
      <c r="V50" s="1"/>
      <c r="W50" s="1"/>
      <c r="X50" s="1"/>
      <c r="Y50" s="1"/>
    </row>
    <row r="51" spans="1:26" ht="18" customHeight="1" thickBot="1">
      <c r="A51" s="278">
        <v>8</v>
      </c>
      <c r="B51" s="223" t="s">
        <v>1598</v>
      </c>
      <c r="C51" s="23"/>
      <c r="D51" s="197">
        <f t="array" ref="D51:I54">ROUNDDOWN(D31:I34*L31:L34*I5,3)</f>
        <v>2</v>
      </c>
      <c r="E51" s="198">
        <v>2</v>
      </c>
      <c r="F51" s="198">
        <v>2</v>
      </c>
      <c r="G51" s="198">
        <v>4</v>
      </c>
      <c r="H51" s="198">
        <v>4</v>
      </c>
      <c r="I51" s="199">
        <v>4</v>
      </c>
      <c r="J51" s="74"/>
      <c r="K51" s="171" t="s">
        <v>14</v>
      </c>
      <c r="L51" s="171"/>
      <c r="N51" s="66" t="s">
        <v>18</v>
      </c>
      <c r="O51" s="2"/>
      <c r="P51" s="2"/>
      <c r="Q51" s="2"/>
      <c r="R51" s="3"/>
      <c r="S51" s="4"/>
      <c r="T51" s="3"/>
      <c r="U51" s="4"/>
      <c r="V51" s="3"/>
      <c r="W51" s="4"/>
      <c r="X51" s="3"/>
      <c r="Y51" s="4"/>
      <c r="Z51" s="2"/>
    </row>
    <row r="52" spans="1:26" ht="18" customHeight="1">
      <c r="A52" s="278">
        <v>9</v>
      </c>
      <c r="B52" s="223" t="s">
        <v>2106</v>
      </c>
      <c r="C52" s="23"/>
      <c r="D52" s="197">
        <v>2</v>
      </c>
      <c r="E52" s="198">
        <v>2</v>
      </c>
      <c r="F52" s="198">
        <v>2</v>
      </c>
      <c r="G52" s="198">
        <v>4</v>
      </c>
      <c r="H52" s="198">
        <v>4</v>
      </c>
      <c r="I52" s="199">
        <v>4</v>
      </c>
      <c r="J52" s="74"/>
      <c r="K52" s="171" t="s">
        <v>14</v>
      </c>
      <c r="L52" s="171"/>
      <c r="N52" s="765" t="s">
        <v>19</v>
      </c>
      <c r="O52" s="755" t="s">
        <v>20</v>
      </c>
      <c r="P52" s="755" t="s">
        <v>21</v>
      </c>
      <c r="Q52" s="755" t="s">
        <v>16</v>
      </c>
      <c r="R52" s="5" t="s">
        <v>22</v>
      </c>
      <c r="S52" s="5"/>
      <c r="T52" s="5" t="s">
        <v>23</v>
      </c>
      <c r="U52" s="5"/>
      <c r="V52" s="5" t="s">
        <v>24</v>
      </c>
      <c r="W52" s="5"/>
      <c r="X52" s="5" t="s">
        <v>25</v>
      </c>
      <c r="Y52" s="5"/>
      <c r="Z52" s="755" t="s">
        <v>26</v>
      </c>
    </row>
    <row r="53" spans="1:26" ht="18" customHeight="1" thickBot="1">
      <c r="A53" s="278">
        <v>10</v>
      </c>
      <c r="B53" s="223" t="s">
        <v>1600</v>
      </c>
      <c r="C53" s="23"/>
      <c r="D53" s="197">
        <v>2</v>
      </c>
      <c r="E53" s="198">
        <v>2</v>
      </c>
      <c r="F53" s="198">
        <v>2</v>
      </c>
      <c r="G53" s="198">
        <v>4</v>
      </c>
      <c r="H53" s="198">
        <v>4</v>
      </c>
      <c r="I53" s="199">
        <v>4</v>
      </c>
      <c r="J53" s="74"/>
      <c r="K53" s="171" t="s">
        <v>14</v>
      </c>
      <c r="L53" s="171"/>
      <c r="N53" s="766"/>
      <c r="O53" s="756"/>
      <c r="P53" s="756"/>
      <c r="Q53" s="756"/>
      <c r="R53" s="67" t="s">
        <v>27</v>
      </c>
      <c r="S53" s="67" t="s">
        <v>28</v>
      </c>
      <c r="T53" s="67" t="s">
        <v>27</v>
      </c>
      <c r="U53" s="67" t="s">
        <v>28</v>
      </c>
      <c r="V53" s="67" t="s">
        <v>27</v>
      </c>
      <c r="W53" s="67" t="s">
        <v>28</v>
      </c>
      <c r="X53" s="67" t="s">
        <v>27</v>
      </c>
      <c r="Y53" s="67" t="s">
        <v>28</v>
      </c>
      <c r="Z53" s="756"/>
    </row>
    <row r="54" spans="1:26" ht="18" customHeight="1" thickTop="1" thickBot="1">
      <c r="A54" s="278">
        <v>11</v>
      </c>
      <c r="B54" s="388" t="s">
        <v>2107</v>
      </c>
      <c r="C54" s="342"/>
      <c r="D54" s="343">
        <v>2</v>
      </c>
      <c r="E54" s="344">
        <v>2</v>
      </c>
      <c r="F54" s="344">
        <v>2</v>
      </c>
      <c r="G54" s="344">
        <v>4</v>
      </c>
      <c r="H54" s="344">
        <v>4</v>
      </c>
      <c r="I54" s="345">
        <v>4</v>
      </c>
      <c r="J54" s="176"/>
      <c r="K54" s="171" t="s">
        <v>14</v>
      </c>
      <c r="L54" s="171"/>
      <c r="N54" s="318" t="str">
        <f ca="1">"제 " &amp; Z54 &amp; " 호표  "&amp; OFFSET($A$1,MATCH(Z54,$A:$A,0)-1,1)</f>
        <v>제 1 호표  1.1. 지적도, 토지 및 건물대장 및 등기부 열람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v>1</v>
      </c>
    </row>
    <row r="55" spans="1:26" ht="18" customHeight="1">
      <c r="A55" s="278"/>
      <c r="B55" s="80" t="s">
        <v>15</v>
      </c>
      <c r="C55" s="1" t="s">
        <v>552</v>
      </c>
      <c r="E55" s="8"/>
      <c r="F55" s="8"/>
      <c r="G55" s="8"/>
      <c r="H55" s="8"/>
      <c r="I55" s="8"/>
      <c r="J55" s="10"/>
      <c r="K55" s="171" t="s">
        <v>14</v>
      </c>
      <c r="L55" s="171"/>
      <c r="N55" s="140" t="s">
        <v>43</v>
      </c>
      <c r="O55" s="172">
        <v>3</v>
      </c>
      <c r="P55" s="219">
        <f ca="1">OFFSET($A$1,MATCH(Z54,$A:$A,0)-1,O55)</f>
        <v>0.7</v>
      </c>
      <c r="Q55" s="141" t="s">
        <v>29</v>
      </c>
      <c r="R55" s="142">
        <f t="shared" ref="R55:S60" ca="1" si="14">T55</f>
        <v>467217</v>
      </c>
      <c r="S55" s="142">
        <f t="shared" ca="1" si="14"/>
        <v>327051</v>
      </c>
      <c r="T55" s="142">
        <f ca="1">기술사</f>
        <v>467217</v>
      </c>
      <c r="U55" s="142">
        <f t="shared" ref="U55:U60" ca="1" si="15">ROUNDDOWN(P55*R55,0)</f>
        <v>327051</v>
      </c>
      <c r="V55" s="142"/>
      <c r="W55" s="142"/>
      <c r="X55" s="142"/>
      <c r="Y55" s="142"/>
      <c r="Z55" s="114"/>
    </row>
    <row r="56" spans="1:26" ht="18" customHeight="1">
      <c r="A56" s="278"/>
      <c r="B56" s="80"/>
      <c r="C56" s="1" t="s">
        <v>520</v>
      </c>
      <c r="J56" s="8"/>
      <c r="K56" s="171" t="s">
        <v>14</v>
      </c>
      <c r="L56" s="171"/>
      <c r="N56" s="143" t="s">
        <v>32</v>
      </c>
      <c r="O56" s="173">
        <v>4</v>
      </c>
      <c r="P56" s="234">
        <f ca="1">OFFSET($A$1,MATCH(Z54,$A:$A,0)-1,O56)</f>
        <v>0.8</v>
      </c>
      <c r="Q56" s="144" t="s">
        <v>29</v>
      </c>
      <c r="R56" s="118">
        <f t="shared" ca="1" si="14"/>
        <v>373353</v>
      </c>
      <c r="S56" s="118">
        <f t="shared" ca="1" si="14"/>
        <v>298682</v>
      </c>
      <c r="T56" s="118">
        <f ca="1">특급</f>
        <v>373353</v>
      </c>
      <c r="U56" s="118">
        <f t="shared" ca="1" si="15"/>
        <v>298682</v>
      </c>
      <c r="V56" s="118"/>
      <c r="W56" s="118"/>
      <c r="X56" s="118"/>
      <c r="Y56" s="118"/>
      <c r="Z56" s="115"/>
    </row>
    <row r="57" spans="1:26" ht="18" customHeight="1">
      <c r="C57" s="9" t="s">
        <v>230</v>
      </c>
      <c r="J57" s="8"/>
      <c r="K57" s="171" t="s">
        <v>14</v>
      </c>
      <c r="L57" s="171"/>
      <c r="N57" s="145" t="s">
        <v>39</v>
      </c>
      <c r="O57" s="173">
        <v>5</v>
      </c>
      <c r="P57" s="234">
        <f ca="1">OFFSET($A$1,MATCH(Z54,$A:$A,0)-1,O57)</f>
        <v>4.3</v>
      </c>
      <c r="Q57" s="144" t="s">
        <v>29</v>
      </c>
      <c r="R57" s="118">
        <f t="shared" ca="1" si="14"/>
        <v>310884</v>
      </c>
      <c r="S57" s="118">
        <f t="shared" ca="1" si="14"/>
        <v>1336801</v>
      </c>
      <c r="T57" s="118">
        <f ca="1">고급</f>
        <v>310884</v>
      </c>
      <c r="U57" s="118">
        <f t="shared" ca="1" si="15"/>
        <v>1336801</v>
      </c>
      <c r="V57" s="118"/>
      <c r="W57" s="118"/>
      <c r="X57" s="118"/>
      <c r="Y57" s="118"/>
      <c r="Z57" s="115"/>
    </row>
    <row r="58" spans="1:26" ht="18" customHeight="1">
      <c r="J58" s="8"/>
      <c r="K58" s="171" t="s">
        <v>14</v>
      </c>
      <c r="L58" s="171"/>
      <c r="N58" s="145" t="s">
        <v>40</v>
      </c>
      <c r="O58" s="173">
        <v>6</v>
      </c>
      <c r="P58" s="234">
        <f ca="1">OFFSET($A$1,MATCH(Z54,$A:$A,0)-1,O58)</f>
        <v>5.4</v>
      </c>
      <c r="Q58" s="144" t="s">
        <v>29</v>
      </c>
      <c r="R58" s="118">
        <f t="shared" ca="1" si="14"/>
        <v>295138</v>
      </c>
      <c r="S58" s="118">
        <f t="shared" ca="1" si="14"/>
        <v>1593745</v>
      </c>
      <c r="T58" s="118">
        <f ca="1">중급</f>
        <v>295138</v>
      </c>
      <c r="U58" s="118">
        <f t="shared" ca="1" si="15"/>
        <v>1593745</v>
      </c>
      <c r="V58" s="118"/>
      <c r="W58" s="118"/>
      <c r="X58" s="118"/>
      <c r="Y58" s="118"/>
      <c r="Z58" s="115"/>
    </row>
    <row r="59" spans="1:26" ht="18" customHeight="1">
      <c r="C59" s="9"/>
      <c r="K59" s="171" t="s">
        <v>14</v>
      </c>
      <c r="L59" s="171"/>
      <c r="N59" s="145" t="s">
        <v>41</v>
      </c>
      <c r="O59" s="173">
        <v>7</v>
      </c>
      <c r="P59" s="234">
        <f ca="1">OFFSET($A$1,MATCH(Z54,$A:$A,0)-1,O59)</f>
        <v>10.3</v>
      </c>
      <c r="Q59" s="144" t="s">
        <v>29</v>
      </c>
      <c r="R59" s="118">
        <f t="shared" ca="1" si="14"/>
        <v>235459</v>
      </c>
      <c r="S59" s="118">
        <f t="shared" ca="1" si="14"/>
        <v>2425227</v>
      </c>
      <c r="T59" s="118">
        <f ca="1">초급</f>
        <v>235459</v>
      </c>
      <c r="U59" s="118">
        <f t="shared" ca="1" si="15"/>
        <v>2425227</v>
      </c>
      <c r="V59" s="118"/>
      <c r="W59" s="118"/>
      <c r="X59" s="118"/>
      <c r="Y59" s="118"/>
      <c r="Z59" s="115"/>
    </row>
    <row r="60" spans="1:26" ht="18" customHeight="1">
      <c r="C60" s="9"/>
      <c r="K60" s="171" t="s">
        <v>14</v>
      </c>
      <c r="L60" s="171"/>
      <c r="N60" s="319" t="s">
        <v>42</v>
      </c>
      <c r="O60" s="174">
        <v>8</v>
      </c>
      <c r="P60" s="235">
        <f ca="1">OFFSET($A$1,MATCH(Z54,$A:$A,0)-1,O60)</f>
        <v>11.1</v>
      </c>
      <c r="Q60" s="322" t="s">
        <v>29</v>
      </c>
      <c r="R60" s="323">
        <f t="shared" ca="1" si="14"/>
        <v>250087</v>
      </c>
      <c r="S60" s="323">
        <f t="shared" ca="1" si="14"/>
        <v>2775965</v>
      </c>
      <c r="T60" s="323">
        <f ca="1">보조원</f>
        <v>250087</v>
      </c>
      <c r="U60" s="323">
        <f t="shared" ca="1" si="15"/>
        <v>2775965</v>
      </c>
      <c r="V60" s="323"/>
      <c r="W60" s="323"/>
      <c r="X60" s="323"/>
      <c r="Y60" s="323"/>
      <c r="Z60" s="324"/>
    </row>
    <row r="61" spans="1:26" ht="18" customHeight="1">
      <c r="C61" s="9"/>
      <c r="K61" s="171" t="s">
        <v>14</v>
      </c>
      <c r="L61" s="171"/>
      <c r="N61" s="139" t="s">
        <v>17</v>
      </c>
      <c r="O61" s="68"/>
      <c r="P61" s="69"/>
      <c r="Q61" s="70"/>
      <c r="R61" s="71"/>
      <c r="S61" s="71">
        <f ca="1">SUBTOTAL(9,S55:S60)</f>
        <v>8757471</v>
      </c>
      <c r="T61" s="71"/>
      <c r="U61" s="71">
        <f ca="1">SUBTOTAL(9,U55:U60)</f>
        <v>8757471</v>
      </c>
      <c r="V61" s="71"/>
      <c r="W61" s="71"/>
      <c r="X61" s="71"/>
      <c r="Y61" s="71"/>
      <c r="Z61" s="68"/>
    </row>
    <row r="62" spans="1:26" ht="18" customHeight="1">
      <c r="C62" s="9"/>
      <c r="K62" s="171" t="s">
        <v>14</v>
      </c>
      <c r="L62" s="171"/>
      <c r="N62" s="318" t="str">
        <f ca="1">"제 " &amp; Z62 &amp; " 호표  "&amp; OFFSET($A$1,MATCH(Z62,$A:$A,0)-1,1)</f>
        <v>제 2 호표  1.2. 고정자산세, 과세표준액 등 조사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2</v>
      </c>
    </row>
    <row r="63" spans="1:26" ht="18" customHeight="1">
      <c r="K63" s="171" t="s">
        <v>14</v>
      </c>
      <c r="L63" s="171"/>
      <c r="N63" s="140" t="s">
        <v>43</v>
      </c>
      <c r="O63" s="172">
        <v>3</v>
      </c>
      <c r="P63" s="219">
        <f ca="1">OFFSET($A$1,MATCH(Z62,$A:$A,0)-1,O63)</f>
        <v>0</v>
      </c>
      <c r="Q63" s="141" t="s">
        <v>29</v>
      </c>
      <c r="R63" s="142">
        <f t="shared" ref="R63:S68" ca="1" si="16">T63</f>
        <v>467217</v>
      </c>
      <c r="S63" s="142">
        <f t="shared" ca="1" si="16"/>
        <v>0</v>
      </c>
      <c r="T63" s="142">
        <f ca="1">기술사</f>
        <v>467217</v>
      </c>
      <c r="U63" s="142">
        <f t="shared" ref="U63:U68" ca="1" si="17">ROUNDDOWN(P63*R63,0)</f>
        <v>0</v>
      </c>
      <c r="V63" s="142"/>
      <c r="W63" s="142"/>
      <c r="X63" s="142"/>
      <c r="Y63" s="142"/>
      <c r="Z63" s="114"/>
    </row>
    <row r="64" spans="1:26" ht="18" customHeight="1">
      <c r="B64" s="9"/>
      <c r="C64" s="9"/>
      <c r="K64" s="171" t="s">
        <v>14</v>
      </c>
      <c r="L64" s="171"/>
      <c r="N64" s="143" t="s">
        <v>32</v>
      </c>
      <c r="O64" s="173">
        <v>4</v>
      </c>
      <c r="P64" s="234">
        <f ca="1">OFFSET($A$1,MATCH(Z62,$A:$A,0)-1,O64)</f>
        <v>0</v>
      </c>
      <c r="Q64" s="144" t="s">
        <v>29</v>
      </c>
      <c r="R64" s="118">
        <f t="shared" ca="1" si="16"/>
        <v>373353</v>
      </c>
      <c r="S64" s="118">
        <f t="shared" ca="1" si="16"/>
        <v>0</v>
      </c>
      <c r="T64" s="118">
        <f ca="1">특급</f>
        <v>373353</v>
      </c>
      <c r="U64" s="118">
        <f t="shared" ca="1" si="17"/>
        <v>0</v>
      </c>
      <c r="V64" s="118"/>
      <c r="W64" s="118"/>
      <c r="X64" s="118"/>
      <c r="Y64" s="118"/>
      <c r="Z64" s="115"/>
    </row>
    <row r="65" spans="2:26" ht="18" customHeight="1">
      <c r="B65" s="9"/>
      <c r="K65" s="171" t="s">
        <v>14</v>
      </c>
      <c r="L65" s="171"/>
      <c r="N65" s="145" t="s">
        <v>39</v>
      </c>
      <c r="O65" s="173">
        <v>5</v>
      </c>
      <c r="P65" s="234">
        <f ca="1">OFFSET($A$1,MATCH(Z62,$A:$A,0)-1,O65)</f>
        <v>1.3</v>
      </c>
      <c r="Q65" s="144" t="s">
        <v>29</v>
      </c>
      <c r="R65" s="118">
        <f t="shared" ca="1" si="16"/>
        <v>310884</v>
      </c>
      <c r="S65" s="118">
        <f t="shared" ca="1" si="16"/>
        <v>404149</v>
      </c>
      <c r="T65" s="118">
        <f ca="1">고급</f>
        <v>310884</v>
      </c>
      <c r="U65" s="118">
        <f t="shared" ca="1" si="17"/>
        <v>404149</v>
      </c>
      <c r="V65" s="118"/>
      <c r="W65" s="118"/>
      <c r="X65" s="118"/>
      <c r="Y65" s="118"/>
      <c r="Z65" s="115"/>
    </row>
    <row r="66" spans="2:26" ht="18" customHeight="1">
      <c r="B66" s="9"/>
      <c r="K66" s="171" t="s">
        <v>14</v>
      </c>
      <c r="L66" s="171"/>
      <c r="N66" s="145" t="s">
        <v>40</v>
      </c>
      <c r="O66" s="173">
        <v>6</v>
      </c>
      <c r="P66" s="234">
        <f ca="1">OFFSET($A$1,MATCH(Z62,$A:$A,0)-1,O66)</f>
        <v>0.9</v>
      </c>
      <c r="Q66" s="144" t="s">
        <v>29</v>
      </c>
      <c r="R66" s="118">
        <f t="shared" ca="1" si="16"/>
        <v>295138</v>
      </c>
      <c r="S66" s="118">
        <f t="shared" ca="1" si="16"/>
        <v>265624</v>
      </c>
      <c r="T66" s="118">
        <f ca="1">중급</f>
        <v>295138</v>
      </c>
      <c r="U66" s="118">
        <f t="shared" ca="1" si="17"/>
        <v>265624</v>
      </c>
      <c r="V66" s="118"/>
      <c r="W66" s="118"/>
      <c r="X66" s="118"/>
      <c r="Y66" s="118"/>
      <c r="Z66" s="115"/>
    </row>
    <row r="67" spans="2:26" ht="18" customHeight="1">
      <c r="B67" s="9"/>
      <c r="K67" s="171" t="s">
        <v>14</v>
      </c>
      <c r="L67" s="171"/>
      <c r="N67" s="145" t="s">
        <v>41</v>
      </c>
      <c r="O67" s="173">
        <v>7</v>
      </c>
      <c r="P67" s="234">
        <f ca="1">OFFSET($A$1,MATCH(Z62,$A:$A,0)-1,O67)</f>
        <v>1.9</v>
      </c>
      <c r="Q67" s="144" t="s">
        <v>29</v>
      </c>
      <c r="R67" s="118">
        <f t="shared" ca="1" si="16"/>
        <v>235459</v>
      </c>
      <c r="S67" s="118">
        <f t="shared" ca="1" si="16"/>
        <v>447372</v>
      </c>
      <c r="T67" s="118">
        <f ca="1">초급</f>
        <v>235459</v>
      </c>
      <c r="U67" s="118">
        <f t="shared" ca="1" si="17"/>
        <v>447372</v>
      </c>
      <c r="V67" s="118"/>
      <c r="W67" s="118"/>
      <c r="X67" s="118"/>
      <c r="Y67" s="118"/>
      <c r="Z67" s="115"/>
    </row>
    <row r="68" spans="2:26" ht="18" customHeight="1">
      <c r="B68" s="9"/>
      <c r="K68" s="171" t="s">
        <v>14</v>
      </c>
      <c r="L68" s="171"/>
      <c r="N68" s="319" t="s">
        <v>42</v>
      </c>
      <c r="O68" s="174">
        <v>8</v>
      </c>
      <c r="P68" s="235">
        <f ca="1">OFFSET($A$1,MATCH(Z62,$A:$A,0)-1,O68)</f>
        <v>1.9</v>
      </c>
      <c r="Q68" s="322" t="s">
        <v>29</v>
      </c>
      <c r="R68" s="323">
        <f t="shared" ca="1" si="16"/>
        <v>250087</v>
      </c>
      <c r="S68" s="323">
        <f t="shared" ca="1" si="16"/>
        <v>475165</v>
      </c>
      <c r="T68" s="323">
        <f ca="1">보조원</f>
        <v>250087</v>
      </c>
      <c r="U68" s="323">
        <f t="shared" ca="1" si="17"/>
        <v>475165</v>
      </c>
      <c r="V68" s="323"/>
      <c r="W68" s="323"/>
      <c r="X68" s="323"/>
      <c r="Y68" s="323"/>
      <c r="Z68" s="324"/>
    </row>
    <row r="69" spans="2:26" ht="18" customHeight="1">
      <c r="B69" s="9"/>
      <c r="K69" s="171" t="s">
        <v>14</v>
      </c>
      <c r="L69" s="171"/>
      <c r="N69" s="139" t="s">
        <v>17</v>
      </c>
      <c r="O69" s="68"/>
      <c r="P69" s="69"/>
      <c r="Q69" s="70"/>
      <c r="R69" s="71"/>
      <c r="S69" s="71">
        <f ca="1">SUBTOTAL(9,S63:S68)</f>
        <v>1592310</v>
      </c>
      <c r="T69" s="71"/>
      <c r="U69" s="71">
        <f ca="1">SUBTOTAL(9,U63:U68)</f>
        <v>1592310</v>
      </c>
      <c r="V69" s="71"/>
      <c r="W69" s="71"/>
      <c r="X69" s="71"/>
      <c r="Y69" s="71"/>
      <c r="Z69" s="68"/>
    </row>
    <row r="70" spans="2:26" ht="18" customHeight="1">
      <c r="B70" s="9"/>
      <c r="K70" s="171" t="s">
        <v>14</v>
      </c>
      <c r="L70" s="171"/>
      <c r="N70" s="318" t="str">
        <f ca="1">"제 " &amp; Z70 &amp; " 호표  "&amp; OFFSET($A$1,MATCH(Z70,$A:$A,0)-1,1)</f>
        <v>제 3 호표  3.1. 개략사업비 산정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3</v>
      </c>
    </row>
    <row r="71" spans="2:26" ht="18" customHeight="1">
      <c r="K71" s="171" t="s">
        <v>14</v>
      </c>
      <c r="L71" s="171"/>
      <c r="N71" s="140" t="s">
        <v>43</v>
      </c>
      <c r="O71" s="172">
        <v>3</v>
      </c>
      <c r="P71" s="219">
        <f ca="1">OFFSET($A$1,MATCH(Z70,$A:$A,0)-1,O71)</f>
        <v>0.7</v>
      </c>
      <c r="Q71" s="141" t="s">
        <v>29</v>
      </c>
      <c r="R71" s="142">
        <f t="shared" ref="R71:S76" ca="1" si="18">T71</f>
        <v>467217</v>
      </c>
      <c r="S71" s="142">
        <f t="shared" ca="1" si="18"/>
        <v>327051</v>
      </c>
      <c r="T71" s="142">
        <f ca="1">기술사</f>
        <v>467217</v>
      </c>
      <c r="U71" s="142">
        <f t="shared" ref="U71:U76" ca="1" si="19">ROUNDDOWN(P71*R71,0)</f>
        <v>327051</v>
      </c>
      <c r="V71" s="142"/>
      <c r="W71" s="142"/>
      <c r="X71" s="142"/>
      <c r="Y71" s="142"/>
      <c r="Z71" s="114"/>
    </row>
    <row r="72" spans="2:26" ht="18" customHeight="1">
      <c r="K72" s="171" t="s">
        <v>14</v>
      </c>
      <c r="L72" s="171"/>
      <c r="N72" s="143" t="s">
        <v>32</v>
      </c>
      <c r="O72" s="173">
        <v>4</v>
      </c>
      <c r="P72" s="234">
        <f ca="1">OFFSET($A$1,MATCH(Z70,$A:$A,0)-1,O72)</f>
        <v>0.8</v>
      </c>
      <c r="Q72" s="144" t="s">
        <v>29</v>
      </c>
      <c r="R72" s="118">
        <f t="shared" ca="1" si="18"/>
        <v>373353</v>
      </c>
      <c r="S72" s="118">
        <f t="shared" ca="1" si="18"/>
        <v>298682</v>
      </c>
      <c r="T72" s="118">
        <f ca="1">특급</f>
        <v>373353</v>
      </c>
      <c r="U72" s="118">
        <f t="shared" ca="1" si="19"/>
        <v>298682</v>
      </c>
      <c r="V72" s="118"/>
      <c r="W72" s="118"/>
      <c r="X72" s="118"/>
      <c r="Y72" s="118"/>
      <c r="Z72" s="115"/>
    </row>
    <row r="73" spans="2:26" ht="18" customHeight="1">
      <c r="K73" s="171" t="s">
        <v>14</v>
      </c>
      <c r="L73" s="171"/>
      <c r="N73" s="145" t="s">
        <v>39</v>
      </c>
      <c r="O73" s="173">
        <v>5</v>
      </c>
      <c r="P73" s="234">
        <f ca="1">OFFSET($A$1,MATCH(Z70,$A:$A,0)-1,O73)</f>
        <v>3.8</v>
      </c>
      <c r="Q73" s="144" t="s">
        <v>29</v>
      </c>
      <c r="R73" s="118">
        <f t="shared" ca="1" si="18"/>
        <v>310884</v>
      </c>
      <c r="S73" s="118">
        <f t="shared" ca="1" si="18"/>
        <v>1181359</v>
      </c>
      <c r="T73" s="118">
        <f ca="1">고급</f>
        <v>310884</v>
      </c>
      <c r="U73" s="118">
        <f t="shared" ca="1" si="19"/>
        <v>1181359</v>
      </c>
      <c r="V73" s="118"/>
      <c r="W73" s="118"/>
      <c r="X73" s="118"/>
      <c r="Y73" s="118"/>
      <c r="Z73" s="115"/>
    </row>
    <row r="74" spans="2:26" ht="18" customHeight="1">
      <c r="K74" s="171" t="s">
        <v>14</v>
      </c>
      <c r="L74" s="171"/>
      <c r="N74" s="145" t="s">
        <v>40</v>
      </c>
      <c r="O74" s="173">
        <v>6</v>
      </c>
      <c r="P74" s="234">
        <f ca="1">OFFSET($A$1,MATCH(Z70,$A:$A,0)-1,O74)</f>
        <v>0</v>
      </c>
      <c r="Q74" s="144" t="s">
        <v>29</v>
      </c>
      <c r="R74" s="118">
        <f t="shared" ca="1" si="18"/>
        <v>295138</v>
      </c>
      <c r="S74" s="118">
        <f t="shared" ca="1" si="18"/>
        <v>0</v>
      </c>
      <c r="T74" s="118">
        <f ca="1">중급</f>
        <v>295138</v>
      </c>
      <c r="U74" s="118">
        <f t="shared" ca="1" si="19"/>
        <v>0</v>
      </c>
      <c r="V74" s="118"/>
      <c r="W74" s="118"/>
      <c r="X74" s="118"/>
      <c r="Y74" s="118"/>
      <c r="Z74" s="115"/>
    </row>
    <row r="75" spans="2:26" ht="18" customHeight="1">
      <c r="K75" s="171" t="s">
        <v>14</v>
      </c>
      <c r="L75" s="171"/>
      <c r="N75" s="145" t="s">
        <v>41</v>
      </c>
      <c r="O75" s="173">
        <v>7</v>
      </c>
      <c r="P75" s="234">
        <f ca="1">OFFSET($A$1,MATCH(Z70,$A:$A,0)-1,O75)</f>
        <v>0</v>
      </c>
      <c r="Q75" s="144" t="s">
        <v>29</v>
      </c>
      <c r="R75" s="118">
        <f t="shared" ca="1" si="18"/>
        <v>235459</v>
      </c>
      <c r="S75" s="118">
        <f t="shared" ca="1" si="18"/>
        <v>0</v>
      </c>
      <c r="T75" s="118">
        <f ca="1">초급</f>
        <v>235459</v>
      </c>
      <c r="U75" s="118">
        <f t="shared" ca="1" si="19"/>
        <v>0</v>
      </c>
      <c r="V75" s="118"/>
      <c r="W75" s="118"/>
      <c r="X75" s="118"/>
      <c r="Y75" s="118"/>
      <c r="Z75" s="115"/>
    </row>
    <row r="76" spans="2:26" ht="18" customHeight="1">
      <c r="K76" s="171" t="s">
        <v>14</v>
      </c>
      <c r="L76" s="171"/>
      <c r="N76" s="319" t="s">
        <v>42</v>
      </c>
      <c r="O76" s="174">
        <v>8</v>
      </c>
      <c r="P76" s="235">
        <f ca="1">OFFSET($A$1,MATCH(Z70,$A:$A,0)-1,O76)</f>
        <v>0</v>
      </c>
      <c r="Q76" s="322" t="s">
        <v>29</v>
      </c>
      <c r="R76" s="323">
        <f t="shared" ca="1" si="18"/>
        <v>250087</v>
      </c>
      <c r="S76" s="323">
        <f t="shared" ca="1" si="18"/>
        <v>0</v>
      </c>
      <c r="T76" s="323">
        <f ca="1">보조원</f>
        <v>250087</v>
      </c>
      <c r="U76" s="323">
        <f t="shared" ca="1" si="19"/>
        <v>0</v>
      </c>
      <c r="V76" s="323"/>
      <c r="W76" s="323"/>
      <c r="X76" s="323"/>
      <c r="Y76" s="323"/>
      <c r="Z76" s="324"/>
    </row>
    <row r="77" spans="2:26" ht="18" customHeight="1">
      <c r="K77" s="171" t="s">
        <v>14</v>
      </c>
      <c r="L77" s="171"/>
      <c r="N77" s="139" t="s">
        <v>17</v>
      </c>
      <c r="O77" s="68"/>
      <c r="P77" s="69"/>
      <c r="Q77" s="70"/>
      <c r="R77" s="71"/>
      <c r="S77" s="71">
        <f ca="1">SUBTOTAL(9,S71:S76)</f>
        <v>1807092</v>
      </c>
      <c r="T77" s="71"/>
      <c r="U77" s="71">
        <f ca="1">SUBTOTAL(9,U71:U76)</f>
        <v>1807092</v>
      </c>
      <c r="V77" s="71"/>
      <c r="W77" s="71"/>
      <c r="X77" s="71"/>
      <c r="Y77" s="71"/>
      <c r="Z77" s="68"/>
    </row>
    <row r="78" spans="2:26" ht="18" customHeight="1">
      <c r="K78" s="171" t="s">
        <v>14</v>
      </c>
      <c r="L78" s="171"/>
      <c r="N78" s="318" t="str">
        <f ca="1">"제 " &amp; Z78 &amp; " 호표  "&amp; OFFSET($A$1,MATCH(Z78,$A:$A,0)-1,1)</f>
        <v>제 4 호표  3.2. 수지계획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4</v>
      </c>
    </row>
    <row r="79" spans="2:26" ht="18" customHeight="1">
      <c r="K79" s="171" t="s">
        <v>14</v>
      </c>
      <c r="L79" s="171"/>
      <c r="N79" s="140" t="s">
        <v>43</v>
      </c>
      <c r="O79" s="172">
        <v>3</v>
      </c>
      <c r="P79" s="219">
        <f ca="1">OFFSET($A$1,MATCH(Z78,$A:$A,0)-1,O79)</f>
        <v>0.4</v>
      </c>
      <c r="Q79" s="141" t="s">
        <v>29</v>
      </c>
      <c r="R79" s="142">
        <f t="shared" ref="R79:S84" ca="1" si="20">T79</f>
        <v>467217</v>
      </c>
      <c r="S79" s="142">
        <f t="shared" ca="1" si="20"/>
        <v>186886</v>
      </c>
      <c r="T79" s="142">
        <f ca="1">기술사</f>
        <v>467217</v>
      </c>
      <c r="U79" s="142">
        <f t="shared" ref="U79:U84" ca="1" si="21">ROUNDDOWN(P79*R79,0)</f>
        <v>186886</v>
      </c>
      <c r="V79" s="142"/>
      <c r="W79" s="142"/>
      <c r="X79" s="142"/>
      <c r="Y79" s="142"/>
      <c r="Z79" s="114"/>
    </row>
    <row r="80" spans="2:26" ht="18" customHeight="1">
      <c r="K80" s="171" t="s">
        <v>14</v>
      </c>
      <c r="L80" s="171"/>
      <c r="N80" s="143" t="s">
        <v>32</v>
      </c>
      <c r="O80" s="173">
        <v>4</v>
      </c>
      <c r="P80" s="234">
        <f ca="1">OFFSET($A$1,MATCH(Z78,$A:$A,0)-1,O80)</f>
        <v>0.4</v>
      </c>
      <c r="Q80" s="144" t="s">
        <v>29</v>
      </c>
      <c r="R80" s="118">
        <f t="shared" ca="1" si="20"/>
        <v>373353</v>
      </c>
      <c r="S80" s="118">
        <f t="shared" ca="1" si="20"/>
        <v>149341</v>
      </c>
      <c r="T80" s="118">
        <f ca="1">특급</f>
        <v>373353</v>
      </c>
      <c r="U80" s="118">
        <f t="shared" ca="1" si="21"/>
        <v>149341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N81" s="145" t="s">
        <v>39</v>
      </c>
      <c r="O81" s="173">
        <v>5</v>
      </c>
      <c r="P81" s="234">
        <f ca="1">OFFSET($A$1,MATCH(Z78,$A:$A,0)-1,O81)</f>
        <v>1.9</v>
      </c>
      <c r="Q81" s="144" t="s">
        <v>29</v>
      </c>
      <c r="R81" s="118">
        <f t="shared" ca="1" si="20"/>
        <v>310884</v>
      </c>
      <c r="S81" s="118">
        <f t="shared" ca="1" si="20"/>
        <v>590679</v>
      </c>
      <c r="T81" s="118">
        <f ca="1">고급</f>
        <v>310884</v>
      </c>
      <c r="U81" s="118">
        <f t="shared" ca="1" si="21"/>
        <v>590679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40</v>
      </c>
      <c r="O82" s="173">
        <v>6</v>
      </c>
      <c r="P82" s="234">
        <f ca="1">OFFSET($A$1,MATCH(Z78,$A:$A,0)-1,O82)</f>
        <v>0</v>
      </c>
      <c r="Q82" s="144" t="s">
        <v>29</v>
      </c>
      <c r="R82" s="118">
        <f t="shared" ca="1" si="20"/>
        <v>295138</v>
      </c>
      <c r="S82" s="118">
        <f t="shared" ca="1" si="20"/>
        <v>0</v>
      </c>
      <c r="T82" s="118">
        <f ca="1">중급</f>
        <v>295138</v>
      </c>
      <c r="U82" s="118">
        <f t="shared" ca="1" si="21"/>
        <v>0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41</v>
      </c>
      <c r="O83" s="173">
        <v>7</v>
      </c>
      <c r="P83" s="234">
        <f ca="1">OFFSET($A$1,MATCH(Z78,$A:$A,0)-1,O83)</f>
        <v>0</v>
      </c>
      <c r="Q83" s="144" t="s">
        <v>29</v>
      </c>
      <c r="R83" s="118">
        <f t="shared" ca="1" si="20"/>
        <v>235459</v>
      </c>
      <c r="S83" s="118">
        <f t="shared" ca="1" si="20"/>
        <v>0</v>
      </c>
      <c r="T83" s="118">
        <f ca="1">초급</f>
        <v>235459</v>
      </c>
      <c r="U83" s="118">
        <f t="shared" ca="1" si="21"/>
        <v>0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319" t="s">
        <v>42</v>
      </c>
      <c r="O84" s="174">
        <v>8</v>
      </c>
      <c r="P84" s="235">
        <f ca="1">OFFSET($A$1,MATCH(Z78,$A:$A,0)-1,O84)</f>
        <v>0</v>
      </c>
      <c r="Q84" s="322" t="s">
        <v>29</v>
      </c>
      <c r="R84" s="323">
        <f t="shared" ca="1" si="20"/>
        <v>250087</v>
      </c>
      <c r="S84" s="323">
        <f t="shared" ca="1" si="20"/>
        <v>0</v>
      </c>
      <c r="T84" s="323">
        <f ca="1">보조원</f>
        <v>250087</v>
      </c>
      <c r="U84" s="323">
        <f t="shared" ca="1" si="21"/>
        <v>0</v>
      </c>
      <c r="V84" s="323"/>
      <c r="W84" s="323"/>
      <c r="X84" s="323"/>
      <c r="Y84" s="323"/>
      <c r="Z84" s="324"/>
    </row>
    <row r="85" spans="11:26" ht="18" customHeight="1">
      <c r="K85" s="171" t="s">
        <v>14</v>
      </c>
      <c r="L85" s="171"/>
      <c r="N85" s="139" t="s">
        <v>17</v>
      </c>
      <c r="O85" s="68"/>
      <c r="P85" s="69"/>
      <c r="Q85" s="70"/>
      <c r="R85" s="71"/>
      <c r="S85" s="71">
        <f ca="1">SUBTOTAL(9,S79:S84)</f>
        <v>926906</v>
      </c>
      <c r="T85" s="71"/>
      <c r="U85" s="71">
        <f ca="1">SUBTOTAL(9,U79:U84)</f>
        <v>926906</v>
      </c>
      <c r="V85" s="71"/>
      <c r="W85" s="71"/>
      <c r="X85" s="71"/>
      <c r="Y85" s="71"/>
      <c r="Z85" s="68"/>
    </row>
    <row r="86" spans="11:26" ht="18" customHeight="1">
      <c r="K86" s="171" t="s">
        <v>14</v>
      </c>
      <c r="L86" s="171"/>
      <c r="N86" s="318" t="str">
        <f ca="1">"제 " &amp; Z86 &amp; " 호표  "&amp; OFFSET($A$1,MATCH(Z86,$A:$A,0)-1,1)</f>
        <v>제 5 호표  4.1. 사업설명서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5</v>
      </c>
    </row>
    <row r="87" spans="11:26" ht="18" customHeight="1">
      <c r="K87" s="171" t="s">
        <v>14</v>
      </c>
      <c r="L87" s="171"/>
      <c r="N87" s="140" t="s">
        <v>43</v>
      </c>
      <c r="O87" s="172">
        <v>3</v>
      </c>
      <c r="P87" s="219">
        <f ca="1">OFFSET($A$1,MATCH(Z86,$A:$A,0)-1,O87)</f>
        <v>0.2</v>
      </c>
      <c r="Q87" s="141" t="s">
        <v>29</v>
      </c>
      <c r="R87" s="142">
        <f t="shared" ref="R87:S92" ca="1" si="22">T87</f>
        <v>467217</v>
      </c>
      <c r="S87" s="142">
        <f t="shared" ca="1" si="22"/>
        <v>93443</v>
      </c>
      <c r="T87" s="142">
        <f ca="1">기술사</f>
        <v>467217</v>
      </c>
      <c r="U87" s="142">
        <f t="shared" ref="U87:U92" ca="1" si="23">ROUNDDOWN(P87*R87,0)</f>
        <v>93443</v>
      </c>
      <c r="V87" s="142"/>
      <c r="W87" s="142"/>
      <c r="X87" s="142"/>
      <c r="Y87" s="142"/>
      <c r="Z87" s="114"/>
    </row>
    <row r="88" spans="11:26" ht="18" customHeight="1">
      <c r="K88" s="171" t="s">
        <v>14</v>
      </c>
      <c r="L88" s="171"/>
      <c r="N88" s="143" t="s">
        <v>32</v>
      </c>
      <c r="O88" s="173">
        <v>4</v>
      </c>
      <c r="P88" s="234">
        <f ca="1">OFFSET($A$1,MATCH(Z86,$A:$A,0)-1,O88)</f>
        <v>0.2</v>
      </c>
      <c r="Q88" s="144" t="s">
        <v>29</v>
      </c>
      <c r="R88" s="118">
        <f t="shared" ca="1" si="22"/>
        <v>373353</v>
      </c>
      <c r="S88" s="118">
        <f t="shared" ca="1" si="22"/>
        <v>74670</v>
      </c>
      <c r="T88" s="118">
        <f ca="1">특급</f>
        <v>373353</v>
      </c>
      <c r="U88" s="118">
        <f t="shared" ca="1" si="23"/>
        <v>74670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N89" s="145" t="s">
        <v>39</v>
      </c>
      <c r="O89" s="173">
        <v>5</v>
      </c>
      <c r="P89" s="234">
        <f ca="1">OFFSET($A$1,MATCH(Z86,$A:$A,0)-1,O89)</f>
        <v>0.8</v>
      </c>
      <c r="Q89" s="144" t="s">
        <v>29</v>
      </c>
      <c r="R89" s="118">
        <f t="shared" ca="1" si="22"/>
        <v>310884</v>
      </c>
      <c r="S89" s="118">
        <f t="shared" ca="1" si="22"/>
        <v>248707</v>
      </c>
      <c r="T89" s="118">
        <f ca="1">고급</f>
        <v>310884</v>
      </c>
      <c r="U89" s="118">
        <f t="shared" ca="1" si="23"/>
        <v>248707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40</v>
      </c>
      <c r="O90" s="173">
        <v>6</v>
      </c>
      <c r="P90" s="234">
        <f ca="1">OFFSET($A$1,MATCH(Z86,$A:$A,0)-1,O90)</f>
        <v>1.9</v>
      </c>
      <c r="Q90" s="144" t="s">
        <v>29</v>
      </c>
      <c r="R90" s="118">
        <f t="shared" ca="1" si="22"/>
        <v>295138</v>
      </c>
      <c r="S90" s="118">
        <f t="shared" ca="1" si="22"/>
        <v>560762</v>
      </c>
      <c r="T90" s="118">
        <f ca="1">중급</f>
        <v>295138</v>
      </c>
      <c r="U90" s="118">
        <f t="shared" ca="1" si="23"/>
        <v>560762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41</v>
      </c>
      <c r="O91" s="173">
        <v>7</v>
      </c>
      <c r="P91" s="234">
        <f ca="1">OFFSET($A$1,MATCH(Z86,$A:$A,0)-1,O91)</f>
        <v>3.4</v>
      </c>
      <c r="Q91" s="144" t="s">
        <v>29</v>
      </c>
      <c r="R91" s="118">
        <f t="shared" ca="1" si="22"/>
        <v>235459</v>
      </c>
      <c r="S91" s="118">
        <f t="shared" ca="1" si="22"/>
        <v>800560</v>
      </c>
      <c r="T91" s="118">
        <f ca="1">초급</f>
        <v>235459</v>
      </c>
      <c r="U91" s="118">
        <f t="shared" ca="1" si="23"/>
        <v>800560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319" t="s">
        <v>42</v>
      </c>
      <c r="O92" s="174">
        <v>8</v>
      </c>
      <c r="P92" s="235">
        <f ca="1">OFFSET($A$1,MATCH(Z86,$A:$A,0)-1,O92)</f>
        <v>0</v>
      </c>
      <c r="Q92" s="322" t="s">
        <v>29</v>
      </c>
      <c r="R92" s="323">
        <f t="shared" ca="1" si="22"/>
        <v>250087</v>
      </c>
      <c r="S92" s="323">
        <f t="shared" ca="1" si="22"/>
        <v>0</v>
      </c>
      <c r="T92" s="323">
        <f ca="1">보조원</f>
        <v>250087</v>
      </c>
      <c r="U92" s="323">
        <f t="shared" ca="1" si="23"/>
        <v>0</v>
      </c>
      <c r="V92" s="323"/>
      <c r="W92" s="323"/>
      <c r="X92" s="323"/>
      <c r="Y92" s="323"/>
      <c r="Z92" s="324"/>
    </row>
    <row r="93" spans="11:26" ht="18" customHeight="1">
      <c r="K93" s="171" t="s">
        <v>14</v>
      </c>
      <c r="L93" s="171"/>
      <c r="N93" s="139" t="s">
        <v>17</v>
      </c>
      <c r="O93" s="68"/>
      <c r="P93" s="69"/>
      <c r="Q93" s="70"/>
      <c r="R93" s="71"/>
      <c r="S93" s="71">
        <f ca="1">SUBTOTAL(9,S87:S92)</f>
        <v>1778142</v>
      </c>
      <c r="T93" s="71"/>
      <c r="U93" s="71">
        <f ca="1">SUBTOTAL(9,U87:U92)</f>
        <v>1778142</v>
      </c>
      <c r="V93" s="71"/>
      <c r="W93" s="71"/>
      <c r="X93" s="71"/>
      <c r="Y93" s="71"/>
      <c r="Z93" s="68"/>
    </row>
    <row r="94" spans="11:26" ht="18" customHeight="1">
      <c r="K94" s="171" t="s">
        <v>14</v>
      </c>
      <c r="L94" s="171"/>
      <c r="N94" s="318" t="str">
        <f ca="1">"제 " &amp; Z94 &amp; " 호표  "&amp; OFFSET($A$1,MATCH(Z94,$A:$A,0)-1,1)</f>
        <v>제 6 호표  4.2. 부속도서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6</v>
      </c>
    </row>
    <row r="95" spans="11:26" ht="18" customHeight="1">
      <c r="K95" s="171" t="s">
        <v>14</v>
      </c>
      <c r="L95" s="171"/>
      <c r="N95" s="140" t="s">
        <v>43</v>
      </c>
      <c r="O95" s="172">
        <v>3</v>
      </c>
      <c r="P95" s="219">
        <f ca="1">OFFSET($A$1,MATCH(Z94,$A:$A,0)-1,O95)</f>
        <v>0.2</v>
      </c>
      <c r="Q95" s="141" t="s">
        <v>29</v>
      </c>
      <c r="R95" s="142">
        <f t="shared" ref="R95:S100" ca="1" si="24">T95</f>
        <v>467217</v>
      </c>
      <c r="S95" s="142">
        <f t="shared" ca="1" si="24"/>
        <v>93443</v>
      </c>
      <c r="T95" s="142">
        <f ca="1">기술사</f>
        <v>467217</v>
      </c>
      <c r="U95" s="142">
        <f t="shared" ref="U95:U100" ca="1" si="25">ROUNDDOWN(P95*R95,0)</f>
        <v>93443</v>
      </c>
      <c r="V95" s="142"/>
      <c r="W95" s="142"/>
      <c r="X95" s="142"/>
      <c r="Y95" s="142"/>
      <c r="Z95" s="114"/>
    </row>
    <row r="96" spans="11:26" ht="18" customHeight="1">
      <c r="K96" s="171" t="s">
        <v>14</v>
      </c>
      <c r="L96" s="171"/>
      <c r="N96" s="143" t="s">
        <v>32</v>
      </c>
      <c r="O96" s="173">
        <v>4</v>
      </c>
      <c r="P96" s="234">
        <f ca="1">OFFSET($A$1,MATCH(Z94,$A:$A,0)-1,O96)</f>
        <v>0.2</v>
      </c>
      <c r="Q96" s="144" t="s">
        <v>29</v>
      </c>
      <c r="R96" s="118">
        <f t="shared" ca="1" si="24"/>
        <v>373353</v>
      </c>
      <c r="S96" s="118">
        <f t="shared" ca="1" si="24"/>
        <v>74670</v>
      </c>
      <c r="T96" s="118">
        <f ca="1">특급</f>
        <v>373353</v>
      </c>
      <c r="U96" s="118">
        <f t="shared" ca="1" si="25"/>
        <v>74670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39</v>
      </c>
      <c r="O97" s="173">
        <v>5</v>
      </c>
      <c r="P97" s="234">
        <f ca="1">OFFSET($A$1,MATCH(Z94,$A:$A,0)-1,O97)</f>
        <v>1.7</v>
      </c>
      <c r="Q97" s="144" t="s">
        <v>29</v>
      </c>
      <c r="R97" s="118">
        <f t="shared" ca="1" si="24"/>
        <v>310884</v>
      </c>
      <c r="S97" s="118">
        <f t="shared" ca="1" si="24"/>
        <v>528502</v>
      </c>
      <c r="T97" s="118">
        <f ca="1">고급</f>
        <v>310884</v>
      </c>
      <c r="U97" s="118">
        <f t="shared" ca="1" si="25"/>
        <v>528502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40</v>
      </c>
      <c r="O98" s="173">
        <v>6</v>
      </c>
      <c r="P98" s="234">
        <f ca="1">OFFSET($A$1,MATCH(Z94,$A:$A,0)-1,O98)</f>
        <v>2.2999999999999998</v>
      </c>
      <c r="Q98" s="144" t="s">
        <v>29</v>
      </c>
      <c r="R98" s="118">
        <f t="shared" ca="1" si="24"/>
        <v>295138</v>
      </c>
      <c r="S98" s="118">
        <f t="shared" ca="1" si="24"/>
        <v>678817</v>
      </c>
      <c r="T98" s="118">
        <f ca="1">중급</f>
        <v>295138</v>
      </c>
      <c r="U98" s="118">
        <f t="shared" ca="1" si="25"/>
        <v>678817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41</v>
      </c>
      <c r="O99" s="173">
        <v>7</v>
      </c>
      <c r="P99" s="234">
        <f ca="1">OFFSET($A$1,MATCH(Z94,$A:$A,0)-1,O99)</f>
        <v>4.5</v>
      </c>
      <c r="Q99" s="144" t="s">
        <v>29</v>
      </c>
      <c r="R99" s="118">
        <f t="shared" ca="1" si="24"/>
        <v>235459</v>
      </c>
      <c r="S99" s="118">
        <f t="shared" ca="1" si="24"/>
        <v>1059565</v>
      </c>
      <c r="T99" s="118">
        <f ca="1">초급</f>
        <v>235459</v>
      </c>
      <c r="U99" s="118">
        <f t="shared" ca="1" si="25"/>
        <v>1059565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319" t="s">
        <v>42</v>
      </c>
      <c r="O100" s="174">
        <v>8</v>
      </c>
      <c r="P100" s="235">
        <f ca="1">OFFSET($A$1,MATCH(Z94,$A:$A,0)-1,O100)</f>
        <v>4.5</v>
      </c>
      <c r="Q100" s="322" t="s">
        <v>29</v>
      </c>
      <c r="R100" s="323">
        <f t="shared" ca="1" si="24"/>
        <v>250087</v>
      </c>
      <c r="S100" s="323">
        <f t="shared" ca="1" si="24"/>
        <v>1125391</v>
      </c>
      <c r="T100" s="323">
        <f ca="1">보조원</f>
        <v>250087</v>
      </c>
      <c r="U100" s="323">
        <f t="shared" ca="1" si="25"/>
        <v>1125391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N101" s="139" t="s">
        <v>17</v>
      </c>
      <c r="O101" s="68"/>
      <c r="P101" s="69"/>
      <c r="Q101" s="70"/>
      <c r="R101" s="71"/>
      <c r="S101" s="71">
        <f ca="1">SUBTOTAL(9,S95:S100)</f>
        <v>3560388</v>
      </c>
      <c r="T101" s="71"/>
      <c r="U101" s="71">
        <f ca="1">SUBTOTAL(9,U95:U100)</f>
        <v>3560388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N102" s="318" t="str">
        <f ca="1">"제 " &amp; Z102 &amp; " 호표  "&amp; OFFSET($A$1,MATCH(Z102,$A:$A,0)-1,1)</f>
        <v>제 7 호표  4.3. 인가신청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7</v>
      </c>
    </row>
    <row r="103" spans="11:26" ht="18" customHeight="1">
      <c r="K103" s="171" t="s">
        <v>14</v>
      </c>
      <c r="L103" s="171"/>
      <c r="N103" s="140" t="s">
        <v>43</v>
      </c>
      <c r="O103" s="172">
        <v>3</v>
      </c>
      <c r="P103" s="219">
        <f ca="1">OFFSET($A$1,MATCH(Z102,$A:$A,0)-1,O103)</f>
        <v>0.2</v>
      </c>
      <c r="Q103" s="141" t="s">
        <v>29</v>
      </c>
      <c r="R103" s="142">
        <f t="shared" ref="R103:S108" ca="1" si="26">T103</f>
        <v>467217</v>
      </c>
      <c r="S103" s="142">
        <f t="shared" ca="1" si="26"/>
        <v>93443</v>
      </c>
      <c r="T103" s="142">
        <f ca="1">기술사</f>
        <v>467217</v>
      </c>
      <c r="U103" s="142">
        <f t="shared" ref="U103:U108" ca="1" si="27">ROUNDDOWN(P103*R103,0)</f>
        <v>93443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N104" s="143" t="s">
        <v>32</v>
      </c>
      <c r="O104" s="173">
        <v>4</v>
      </c>
      <c r="P104" s="234">
        <f ca="1">OFFSET($A$1,MATCH(Z102,$A:$A,0)-1,O104)</f>
        <v>0.2</v>
      </c>
      <c r="Q104" s="144" t="s">
        <v>29</v>
      </c>
      <c r="R104" s="118">
        <f t="shared" ca="1" si="26"/>
        <v>373353</v>
      </c>
      <c r="S104" s="118">
        <f t="shared" ca="1" si="26"/>
        <v>74670</v>
      </c>
      <c r="T104" s="118">
        <f ca="1">특급</f>
        <v>373353</v>
      </c>
      <c r="U104" s="118">
        <f t="shared" ca="1" si="27"/>
        <v>74670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39</v>
      </c>
      <c r="O105" s="173">
        <v>5</v>
      </c>
      <c r="P105" s="234">
        <f ca="1">OFFSET($A$1,MATCH(Z102,$A:$A,0)-1,O105)</f>
        <v>0.4</v>
      </c>
      <c r="Q105" s="144" t="s">
        <v>29</v>
      </c>
      <c r="R105" s="118">
        <f t="shared" ca="1" si="26"/>
        <v>310884</v>
      </c>
      <c r="S105" s="118">
        <f t="shared" ca="1" si="26"/>
        <v>124353</v>
      </c>
      <c r="T105" s="118">
        <f ca="1">고급</f>
        <v>310884</v>
      </c>
      <c r="U105" s="118">
        <f t="shared" ca="1" si="27"/>
        <v>124353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40</v>
      </c>
      <c r="O106" s="173">
        <v>6</v>
      </c>
      <c r="P106" s="234">
        <f ca="1">OFFSET($A$1,MATCH(Z102,$A:$A,0)-1,O106)</f>
        <v>1.5</v>
      </c>
      <c r="Q106" s="144" t="s">
        <v>29</v>
      </c>
      <c r="R106" s="118">
        <f t="shared" ca="1" si="26"/>
        <v>295138</v>
      </c>
      <c r="S106" s="118">
        <f t="shared" ca="1" si="26"/>
        <v>442707</v>
      </c>
      <c r="T106" s="118">
        <f ca="1">중급</f>
        <v>295138</v>
      </c>
      <c r="U106" s="118">
        <f t="shared" ca="1" si="27"/>
        <v>442707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41</v>
      </c>
      <c r="O107" s="173">
        <v>7</v>
      </c>
      <c r="P107" s="234">
        <f ca="1">OFFSET($A$1,MATCH(Z102,$A:$A,0)-1,O107)</f>
        <v>0.8</v>
      </c>
      <c r="Q107" s="144" t="s">
        <v>29</v>
      </c>
      <c r="R107" s="118">
        <f t="shared" ca="1" si="26"/>
        <v>235459</v>
      </c>
      <c r="S107" s="118">
        <f t="shared" ca="1" si="26"/>
        <v>188367</v>
      </c>
      <c r="T107" s="118">
        <f ca="1">초급</f>
        <v>235459</v>
      </c>
      <c r="U107" s="118">
        <f t="shared" ca="1" si="27"/>
        <v>188367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319" t="s">
        <v>42</v>
      </c>
      <c r="O108" s="174">
        <v>8</v>
      </c>
      <c r="P108" s="235">
        <f ca="1">OFFSET($A$1,MATCH(Z102,$A:$A,0)-1,O108)</f>
        <v>0.4</v>
      </c>
      <c r="Q108" s="322" t="s">
        <v>29</v>
      </c>
      <c r="R108" s="323">
        <f t="shared" ca="1" si="26"/>
        <v>250087</v>
      </c>
      <c r="S108" s="323">
        <f t="shared" ca="1" si="26"/>
        <v>100034</v>
      </c>
      <c r="T108" s="323">
        <f ca="1">보조원</f>
        <v>250087</v>
      </c>
      <c r="U108" s="323">
        <f t="shared" ca="1" si="27"/>
        <v>100034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N109" s="139" t="s">
        <v>17</v>
      </c>
      <c r="O109" s="68"/>
      <c r="P109" s="69"/>
      <c r="Q109" s="70"/>
      <c r="R109" s="71"/>
      <c r="S109" s="71">
        <f ca="1">SUBTOTAL(9,S103:S108)</f>
        <v>1023574</v>
      </c>
      <c r="T109" s="71"/>
      <c r="U109" s="71">
        <f ca="1">SUBTOTAL(9,U103:U108)</f>
        <v>1023574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N110" s="318" t="str">
        <f ca="1">"제 " &amp; Z110 &amp; " 호표  "&amp; OFFSET($A$1,MATCH(Z110,$A:$A,0)-1,1)</f>
        <v>제 8 호표  6.1. 공청회/주민설명회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8</v>
      </c>
    </row>
    <row r="111" spans="11:26" ht="18" customHeight="1">
      <c r="K111" s="171" t="s">
        <v>14</v>
      </c>
      <c r="L111" s="171"/>
      <c r="N111" s="140" t="s">
        <v>43</v>
      </c>
      <c r="O111" s="172">
        <v>3</v>
      </c>
      <c r="P111" s="219">
        <f ca="1">OFFSET($A$1,MATCH(Z110,$A:$A,0)-1,O111)</f>
        <v>2</v>
      </c>
      <c r="Q111" s="141" t="s">
        <v>29</v>
      </c>
      <c r="R111" s="142">
        <f t="shared" ref="R111:S116" ca="1" si="28">T111</f>
        <v>467217</v>
      </c>
      <c r="S111" s="142">
        <f t="shared" ca="1" si="28"/>
        <v>934434</v>
      </c>
      <c r="T111" s="142">
        <f ca="1">기술사</f>
        <v>467217</v>
      </c>
      <c r="U111" s="142">
        <f t="shared" ref="U111:U116" ca="1" si="29">ROUNDDOWN(P111*R111,0)</f>
        <v>934434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N112" s="143" t="s">
        <v>32</v>
      </c>
      <c r="O112" s="173">
        <v>4</v>
      </c>
      <c r="P112" s="234">
        <f ca="1">OFFSET($A$1,MATCH(Z110,$A:$A,0)-1,O112)</f>
        <v>2</v>
      </c>
      <c r="Q112" s="144" t="s">
        <v>29</v>
      </c>
      <c r="R112" s="118">
        <f t="shared" ca="1" si="28"/>
        <v>373353</v>
      </c>
      <c r="S112" s="118">
        <f t="shared" ca="1" si="28"/>
        <v>746706</v>
      </c>
      <c r="T112" s="118">
        <f ca="1">특급</f>
        <v>373353</v>
      </c>
      <c r="U112" s="118">
        <f t="shared" ca="1" si="29"/>
        <v>746706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39</v>
      </c>
      <c r="O113" s="173">
        <v>5</v>
      </c>
      <c r="P113" s="234">
        <f ca="1">OFFSET($A$1,MATCH(Z110,$A:$A,0)-1,O113)</f>
        <v>2</v>
      </c>
      <c r="Q113" s="144" t="s">
        <v>29</v>
      </c>
      <c r="R113" s="118">
        <f t="shared" ca="1" si="28"/>
        <v>310884</v>
      </c>
      <c r="S113" s="118">
        <f t="shared" ca="1" si="28"/>
        <v>621768</v>
      </c>
      <c r="T113" s="118">
        <f ca="1">고급</f>
        <v>310884</v>
      </c>
      <c r="U113" s="118">
        <f t="shared" ca="1" si="29"/>
        <v>621768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40</v>
      </c>
      <c r="O114" s="173">
        <v>6</v>
      </c>
      <c r="P114" s="234">
        <f ca="1">OFFSET($A$1,MATCH(Z110,$A:$A,0)-1,O114)</f>
        <v>4</v>
      </c>
      <c r="Q114" s="144" t="s">
        <v>29</v>
      </c>
      <c r="R114" s="118">
        <f t="shared" ca="1" si="28"/>
        <v>295138</v>
      </c>
      <c r="S114" s="118">
        <f t="shared" ca="1" si="28"/>
        <v>1180552</v>
      </c>
      <c r="T114" s="118">
        <f ca="1">중급</f>
        <v>295138</v>
      </c>
      <c r="U114" s="118">
        <f t="shared" ca="1" si="29"/>
        <v>1180552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41</v>
      </c>
      <c r="O115" s="173">
        <v>7</v>
      </c>
      <c r="P115" s="234">
        <f ca="1">OFFSET($A$1,MATCH(Z110,$A:$A,0)-1,O115)</f>
        <v>4</v>
      </c>
      <c r="Q115" s="144" t="s">
        <v>29</v>
      </c>
      <c r="R115" s="118">
        <f t="shared" ca="1" si="28"/>
        <v>235459</v>
      </c>
      <c r="S115" s="118">
        <f t="shared" ca="1" si="28"/>
        <v>941836</v>
      </c>
      <c r="T115" s="118">
        <f ca="1">초급</f>
        <v>235459</v>
      </c>
      <c r="U115" s="118">
        <f t="shared" ca="1" si="29"/>
        <v>941836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319" t="s">
        <v>42</v>
      </c>
      <c r="O116" s="174">
        <v>8</v>
      </c>
      <c r="P116" s="235">
        <f ca="1">OFFSET($A$1,MATCH(Z110,$A:$A,0)-1,O116)</f>
        <v>4</v>
      </c>
      <c r="Q116" s="322" t="s">
        <v>29</v>
      </c>
      <c r="R116" s="323">
        <f t="shared" ca="1" si="28"/>
        <v>250087</v>
      </c>
      <c r="S116" s="323">
        <f t="shared" ca="1" si="28"/>
        <v>1000348</v>
      </c>
      <c r="T116" s="323">
        <f ca="1">보조원</f>
        <v>250087</v>
      </c>
      <c r="U116" s="323">
        <f t="shared" ca="1" si="29"/>
        <v>1000348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N117" s="139" t="s">
        <v>17</v>
      </c>
      <c r="O117" s="68"/>
      <c r="P117" s="69"/>
      <c r="Q117" s="70"/>
      <c r="R117" s="71"/>
      <c r="S117" s="71">
        <f ca="1">SUBTOTAL(9,S111:S116)</f>
        <v>5425644</v>
      </c>
      <c r="T117" s="71"/>
      <c r="U117" s="71">
        <f ca="1">SUBTOTAL(9,U111:U116)</f>
        <v>5425644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N118" s="318" t="str">
        <f ca="1">"제 " &amp; Z118 &amp; " 호표  "&amp; OFFSET($A$1,MATCH(Z118,$A:$A,0)-1,1)</f>
        <v>제 9 호표  6.2. 주민간담회/시민계획단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9</v>
      </c>
    </row>
    <row r="119" spans="11:26" ht="18" customHeight="1">
      <c r="K119" s="171" t="s">
        <v>14</v>
      </c>
      <c r="L119" s="171"/>
      <c r="N119" s="140" t="s">
        <v>43</v>
      </c>
      <c r="O119" s="172">
        <v>3</v>
      </c>
      <c r="P119" s="219">
        <f ca="1">OFFSET($A$1,MATCH(Z118,$A:$A,0)-1,O119)</f>
        <v>2</v>
      </c>
      <c r="Q119" s="141" t="s">
        <v>29</v>
      </c>
      <c r="R119" s="142">
        <f t="shared" ref="R119:S124" ca="1" si="30">T119</f>
        <v>467217</v>
      </c>
      <c r="S119" s="142">
        <f t="shared" ca="1" si="30"/>
        <v>934434</v>
      </c>
      <c r="T119" s="142">
        <f ca="1">기술사</f>
        <v>467217</v>
      </c>
      <c r="U119" s="142">
        <f t="shared" ref="U119:U124" ca="1" si="31">ROUNDDOWN(P119*R119,0)</f>
        <v>934434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N120" s="143" t="s">
        <v>32</v>
      </c>
      <c r="O120" s="173">
        <v>4</v>
      </c>
      <c r="P120" s="234">
        <f ca="1">OFFSET($A$1,MATCH(Z118,$A:$A,0)-1,O120)</f>
        <v>2</v>
      </c>
      <c r="Q120" s="144" t="s">
        <v>29</v>
      </c>
      <c r="R120" s="118">
        <f t="shared" ca="1" si="30"/>
        <v>373353</v>
      </c>
      <c r="S120" s="118">
        <f t="shared" ca="1" si="30"/>
        <v>746706</v>
      </c>
      <c r="T120" s="118">
        <f ca="1">특급</f>
        <v>373353</v>
      </c>
      <c r="U120" s="118">
        <f t="shared" ca="1" si="31"/>
        <v>746706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39</v>
      </c>
      <c r="O121" s="173">
        <v>5</v>
      </c>
      <c r="P121" s="234">
        <f ca="1">OFFSET($A$1,MATCH(Z118,$A:$A,0)-1,O121)</f>
        <v>2</v>
      </c>
      <c r="Q121" s="144" t="s">
        <v>29</v>
      </c>
      <c r="R121" s="118">
        <f t="shared" ca="1" si="30"/>
        <v>310884</v>
      </c>
      <c r="S121" s="118">
        <f t="shared" ca="1" si="30"/>
        <v>621768</v>
      </c>
      <c r="T121" s="118">
        <f ca="1">고급</f>
        <v>310884</v>
      </c>
      <c r="U121" s="118">
        <f t="shared" ca="1" si="31"/>
        <v>621768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40</v>
      </c>
      <c r="O122" s="173">
        <v>6</v>
      </c>
      <c r="P122" s="234">
        <f ca="1">OFFSET($A$1,MATCH(Z118,$A:$A,0)-1,O122)</f>
        <v>4</v>
      </c>
      <c r="Q122" s="144" t="s">
        <v>29</v>
      </c>
      <c r="R122" s="118">
        <f t="shared" ca="1" si="30"/>
        <v>295138</v>
      </c>
      <c r="S122" s="118">
        <f t="shared" ca="1" si="30"/>
        <v>1180552</v>
      </c>
      <c r="T122" s="118">
        <f ca="1">중급</f>
        <v>295138</v>
      </c>
      <c r="U122" s="118">
        <f t="shared" ca="1" si="31"/>
        <v>1180552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41</v>
      </c>
      <c r="O123" s="173">
        <v>7</v>
      </c>
      <c r="P123" s="234">
        <f ca="1">OFFSET($A$1,MATCH(Z118,$A:$A,0)-1,O123)</f>
        <v>4</v>
      </c>
      <c r="Q123" s="144" t="s">
        <v>29</v>
      </c>
      <c r="R123" s="118">
        <f t="shared" ca="1" si="30"/>
        <v>235459</v>
      </c>
      <c r="S123" s="118">
        <f t="shared" ca="1" si="30"/>
        <v>941836</v>
      </c>
      <c r="T123" s="118">
        <f ca="1">초급</f>
        <v>235459</v>
      </c>
      <c r="U123" s="118">
        <f t="shared" ca="1" si="31"/>
        <v>941836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319" t="s">
        <v>42</v>
      </c>
      <c r="O124" s="174">
        <v>8</v>
      </c>
      <c r="P124" s="235">
        <f ca="1">OFFSET($A$1,MATCH(Z118,$A:$A,0)-1,O124)</f>
        <v>4</v>
      </c>
      <c r="Q124" s="322" t="s">
        <v>29</v>
      </c>
      <c r="R124" s="323">
        <f t="shared" ca="1" si="30"/>
        <v>250087</v>
      </c>
      <c r="S124" s="323">
        <f t="shared" ca="1" si="30"/>
        <v>1000348</v>
      </c>
      <c r="T124" s="323">
        <f ca="1">보조원</f>
        <v>250087</v>
      </c>
      <c r="U124" s="323">
        <f t="shared" ca="1" si="31"/>
        <v>1000348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M125" s="171"/>
      <c r="N125" s="139" t="s">
        <v>17</v>
      </c>
      <c r="O125" s="68"/>
      <c r="P125" s="69"/>
      <c r="Q125" s="70"/>
      <c r="R125" s="71"/>
      <c r="S125" s="71">
        <f ca="1">SUBTOTAL(9,S119:S124)</f>
        <v>5425644</v>
      </c>
      <c r="T125" s="71"/>
      <c r="U125" s="71">
        <f ca="1">SUBTOTAL(9,U119:U124)</f>
        <v>5425644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M126" s="171"/>
      <c r="N126" s="318" t="str">
        <f ca="1">"제 " &amp; Z126 &amp; " 호표  "&amp; OFFSET($A$1,MATCH(Z126,$A:$A,0)-1,1)</f>
        <v>제 10 호표  6.3. 위원회심의 지원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10</v>
      </c>
    </row>
    <row r="127" spans="11:26" ht="18" customHeight="1">
      <c r="K127" s="171" t="s">
        <v>14</v>
      </c>
      <c r="L127" s="171"/>
      <c r="M127" s="171"/>
      <c r="N127" s="140" t="s">
        <v>43</v>
      </c>
      <c r="O127" s="172">
        <v>3</v>
      </c>
      <c r="P127" s="219">
        <f ca="1">OFFSET($A$1,MATCH(Z126,$A:$A,0)-1,O127)</f>
        <v>2</v>
      </c>
      <c r="Q127" s="141" t="s">
        <v>29</v>
      </c>
      <c r="R127" s="142">
        <f t="shared" ref="R127:S132" ca="1" si="32">T127</f>
        <v>467217</v>
      </c>
      <c r="S127" s="142">
        <f t="shared" ca="1" si="32"/>
        <v>934434</v>
      </c>
      <c r="T127" s="142">
        <f ca="1">기술사</f>
        <v>467217</v>
      </c>
      <c r="U127" s="142">
        <f t="shared" ref="U127:U132" ca="1" si="33">ROUNDDOWN(P127*R127,0)</f>
        <v>934434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M128" s="171"/>
      <c r="N128" s="143" t="s">
        <v>32</v>
      </c>
      <c r="O128" s="173">
        <v>4</v>
      </c>
      <c r="P128" s="234">
        <f ca="1">OFFSET($A$1,MATCH(Z126,$A:$A,0)-1,O128)</f>
        <v>2</v>
      </c>
      <c r="Q128" s="144" t="s">
        <v>29</v>
      </c>
      <c r="R128" s="118">
        <f t="shared" ca="1" si="32"/>
        <v>373353</v>
      </c>
      <c r="S128" s="118">
        <f t="shared" ca="1" si="32"/>
        <v>746706</v>
      </c>
      <c r="T128" s="118">
        <f ca="1">특급</f>
        <v>373353</v>
      </c>
      <c r="U128" s="118">
        <f t="shared" ca="1" si="33"/>
        <v>746706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39</v>
      </c>
      <c r="O129" s="173">
        <v>5</v>
      </c>
      <c r="P129" s="234">
        <f ca="1">OFFSET($A$1,MATCH(Z126,$A:$A,0)-1,O129)</f>
        <v>2</v>
      </c>
      <c r="Q129" s="144" t="s">
        <v>29</v>
      </c>
      <c r="R129" s="118">
        <f t="shared" ca="1" si="32"/>
        <v>310884</v>
      </c>
      <c r="S129" s="118">
        <f t="shared" ca="1" si="32"/>
        <v>621768</v>
      </c>
      <c r="T129" s="118">
        <f ca="1">고급</f>
        <v>310884</v>
      </c>
      <c r="U129" s="118">
        <f t="shared" ca="1" si="33"/>
        <v>621768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145" t="s">
        <v>40</v>
      </c>
      <c r="O130" s="173">
        <v>6</v>
      </c>
      <c r="P130" s="234">
        <f ca="1">OFFSET($A$1,MATCH(Z126,$A:$A,0)-1,O130)</f>
        <v>4</v>
      </c>
      <c r="Q130" s="144" t="s">
        <v>29</v>
      </c>
      <c r="R130" s="118">
        <f t="shared" ca="1" si="32"/>
        <v>295138</v>
      </c>
      <c r="S130" s="118">
        <f t="shared" ca="1" si="32"/>
        <v>1180552</v>
      </c>
      <c r="T130" s="118">
        <f ca="1">중급</f>
        <v>295138</v>
      </c>
      <c r="U130" s="118">
        <f t="shared" ca="1" si="33"/>
        <v>1180552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145" t="s">
        <v>41</v>
      </c>
      <c r="O131" s="173">
        <v>7</v>
      </c>
      <c r="P131" s="234">
        <f ca="1">OFFSET($A$1,MATCH(Z126,$A:$A,0)-1,O131)</f>
        <v>4</v>
      </c>
      <c r="Q131" s="144" t="s">
        <v>29</v>
      </c>
      <c r="R131" s="118">
        <f t="shared" ca="1" si="32"/>
        <v>235459</v>
      </c>
      <c r="S131" s="118">
        <f t="shared" ca="1" si="32"/>
        <v>941836</v>
      </c>
      <c r="T131" s="118">
        <f ca="1">초급</f>
        <v>235459</v>
      </c>
      <c r="U131" s="118">
        <f t="shared" ca="1" si="33"/>
        <v>941836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319" t="s">
        <v>42</v>
      </c>
      <c r="O132" s="174">
        <v>8</v>
      </c>
      <c r="P132" s="235">
        <f ca="1">OFFSET($A$1,MATCH(Z126,$A:$A,0)-1,O132)</f>
        <v>4</v>
      </c>
      <c r="Q132" s="322" t="s">
        <v>29</v>
      </c>
      <c r="R132" s="323">
        <f t="shared" ca="1" si="32"/>
        <v>250087</v>
      </c>
      <c r="S132" s="323">
        <f t="shared" ca="1" si="32"/>
        <v>1000348</v>
      </c>
      <c r="T132" s="323">
        <f ca="1">보조원</f>
        <v>250087</v>
      </c>
      <c r="U132" s="323">
        <f t="shared" ca="1" si="33"/>
        <v>1000348</v>
      </c>
      <c r="V132" s="323"/>
      <c r="W132" s="323"/>
      <c r="X132" s="323"/>
      <c r="Y132" s="323"/>
      <c r="Z132" s="324"/>
    </row>
    <row r="133" spans="11:26" ht="18" customHeight="1">
      <c r="K133" s="171" t="s">
        <v>14</v>
      </c>
      <c r="L133" s="171"/>
      <c r="M133" s="171"/>
      <c r="N133" s="139" t="s">
        <v>17</v>
      </c>
      <c r="O133" s="68"/>
      <c r="P133" s="69"/>
      <c r="Q133" s="70"/>
      <c r="R133" s="71"/>
      <c r="S133" s="71">
        <f ca="1">SUBTOTAL(9,S127:S132)</f>
        <v>5425644</v>
      </c>
      <c r="T133" s="71"/>
      <c r="U133" s="71">
        <f ca="1">SUBTOTAL(9,U127:U132)</f>
        <v>5425644</v>
      </c>
      <c r="V133" s="71"/>
      <c r="W133" s="71"/>
      <c r="X133" s="71"/>
      <c r="Y133" s="71"/>
      <c r="Z133" s="68"/>
    </row>
    <row r="134" spans="11:26" ht="18" customHeight="1">
      <c r="K134" s="171" t="s">
        <v>14</v>
      </c>
      <c r="L134" s="171"/>
      <c r="M134" s="171"/>
      <c r="N134" s="318" t="str">
        <f ca="1">"제 " &amp; Z134 &amp; " 호표  "&amp; OFFSET($A$1,MATCH(Z134,$A:$A,0)-1,1)</f>
        <v>제 11 호표  6.4. 관계기관 협의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11</v>
      </c>
    </row>
    <row r="135" spans="11:26" ht="18" customHeight="1">
      <c r="K135" s="171" t="s">
        <v>14</v>
      </c>
      <c r="L135" s="171"/>
      <c r="M135" s="171"/>
      <c r="N135" s="140" t="s">
        <v>43</v>
      </c>
      <c r="O135" s="172">
        <v>3</v>
      </c>
      <c r="P135" s="219">
        <f ca="1">OFFSET($A$1,MATCH(Z134,$A:$A,0)-1,O135)</f>
        <v>2</v>
      </c>
      <c r="Q135" s="141" t="s">
        <v>29</v>
      </c>
      <c r="R135" s="142">
        <f t="shared" ref="R135:S140" ca="1" si="34">T135</f>
        <v>467217</v>
      </c>
      <c r="S135" s="142">
        <f t="shared" ca="1" si="34"/>
        <v>934434</v>
      </c>
      <c r="T135" s="142">
        <f ca="1">기술사</f>
        <v>467217</v>
      </c>
      <c r="U135" s="142">
        <f t="shared" ref="U135:U140" ca="1" si="35">ROUNDDOWN(P135*R135,0)</f>
        <v>934434</v>
      </c>
      <c r="V135" s="142"/>
      <c r="W135" s="142"/>
      <c r="X135" s="142"/>
      <c r="Y135" s="142"/>
      <c r="Z135" s="114"/>
    </row>
    <row r="136" spans="11:26" ht="18" customHeight="1">
      <c r="K136" s="171" t="s">
        <v>14</v>
      </c>
      <c r="L136" s="171"/>
      <c r="M136" s="171"/>
      <c r="N136" s="143" t="s">
        <v>32</v>
      </c>
      <c r="O136" s="173">
        <v>4</v>
      </c>
      <c r="P136" s="234">
        <f ca="1">OFFSET($A$1,MATCH(Z134,$A:$A,0)-1,O136)</f>
        <v>2</v>
      </c>
      <c r="Q136" s="144" t="s">
        <v>29</v>
      </c>
      <c r="R136" s="118">
        <f t="shared" ca="1" si="34"/>
        <v>373353</v>
      </c>
      <c r="S136" s="118">
        <f t="shared" ca="1" si="34"/>
        <v>746706</v>
      </c>
      <c r="T136" s="118">
        <f ca="1">특급</f>
        <v>373353</v>
      </c>
      <c r="U136" s="118">
        <f t="shared" ca="1" si="35"/>
        <v>746706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39</v>
      </c>
      <c r="O137" s="173">
        <v>5</v>
      </c>
      <c r="P137" s="234">
        <f ca="1">OFFSET($A$1,MATCH(Z134,$A:$A,0)-1,O137)</f>
        <v>2</v>
      </c>
      <c r="Q137" s="144" t="s">
        <v>29</v>
      </c>
      <c r="R137" s="118">
        <f t="shared" ca="1" si="34"/>
        <v>310884</v>
      </c>
      <c r="S137" s="118">
        <f t="shared" ca="1" si="34"/>
        <v>621768</v>
      </c>
      <c r="T137" s="118">
        <f ca="1">고급</f>
        <v>310884</v>
      </c>
      <c r="U137" s="118">
        <f t="shared" ca="1" si="35"/>
        <v>621768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40</v>
      </c>
      <c r="O138" s="173">
        <v>6</v>
      </c>
      <c r="P138" s="234">
        <f ca="1">OFFSET($A$1,MATCH(Z134,$A:$A,0)-1,O138)</f>
        <v>4</v>
      </c>
      <c r="Q138" s="144" t="s">
        <v>29</v>
      </c>
      <c r="R138" s="118">
        <f t="shared" ca="1" si="34"/>
        <v>295138</v>
      </c>
      <c r="S138" s="118">
        <f t="shared" ca="1" si="34"/>
        <v>1180552</v>
      </c>
      <c r="T138" s="118">
        <f ca="1">중급</f>
        <v>295138</v>
      </c>
      <c r="U138" s="118">
        <f t="shared" ca="1" si="35"/>
        <v>1180552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41</v>
      </c>
      <c r="O139" s="173">
        <v>7</v>
      </c>
      <c r="P139" s="234">
        <f ca="1">OFFSET($A$1,MATCH(Z134,$A:$A,0)-1,O139)</f>
        <v>4</v>
      </c>
      <c r="Q139" s="144" t="s">
        <v>29</v>
      </c>
      <c r="R139" s="118">
        <f t="shared" ca="1" si="34"/>
        <v>235459</v>
      </c>
      <c r="S139" s="118">
        <f t="shared" ca="1" si="34"/>
        <v>941836</v>
      </c>
      <c r="T139" s="118">
        <f ca="1">초급</f>
        <v>235459</v>
      </c>
      <c r="U139" s="118">
        <f t="shared" ca="1" si="35"/>
        <v>941836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319" t="s">
        <v>42</v>
      </c>
      <c r="O140" s="174">
        <v>8</v>
      </c>
      <c r="P140" s="235">
        <f ca="1">OFFSET($A$1,MATCH(Z134,$A:$A,0)-1,O140)</f>
        <v>4</v>
      </c>
      <c r="Q140" s="322" t="s">
        <v>29</v>
      </c>
      <c r="R140" s="323">
        <f t="shared" ca="1" si="34"/>
        <v>250087</v>
      </c>
      <c r="S140" s="323">
        <f t="shared" ca="1" si="34"/>
        <v>1000348</v>
      </c>
      <c r="T140" s="323">
        <f ca="1">보조원</f>
        <v>250087</v>
      </c>
      <c r="U140" s="323">
        <f t="shared" ca="1" si="35"/>
        <v>1000348</v>
      </c>
      <c r="V140" s="323"/>
      <c r="W140" s="323"/>
      <c r="X140" s="323"/>
      <c r="Y140" s="323"/>
      <c r="Z140" s="324"/>
    </row>
    <row r="141" spans="11:26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5425644</v>
      </c>
      <c r="T141" s="71"/>
      <c r="U141" s="71">
        <f ca="1">SUBTOTAL(9,U135:U140)</f>
        <v>5425644</v>
      </c>
      <c r="V141" s="71"/>
      <c r="W141" s="71"/>
      <c r="X141" s="71"/>
      <c r="Y141" s="71"/>
      <c r="Z141" s="68"/>
    </row>
    <row r="142" spans="11:26" ht="18" customHeight="1">
      <c r="K142" s="171" t="s">
        <v>14</v>
      </c>
      <c r="L142" s="171"/>
      <c r="M142" s="171"/>
    </row>
    <row r="143" spans="11:26" ht="18" customHeight="1">
      <c r="K143" s="171" t="s">
        <v>14</v>
      </c>
      <c r="L143" s="171"/>
      <c r="M143" s="171"/>
    </row>
    <row r="144" spans="11:26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K823" s="171" t="s">
        <v>14</v>
      </c>
      <c r="L823" s="171"/>
    </row>
    <row r="824" spans="11:12" ht="18" customHeight="1">
      <c r="K824" s="171" t="s">
        <v>14</v>
      </c>
      <c r="L824" s="171"/>
    </row>
    <row r="825" spans="11:12" ht="18" customHeight="1">
      <c r="K825" s="171" t="s">
        <v>14</v>
      </c>
      <c r="L825" s="171"/>
    </row>
    <row r="826" spans="11:12" ht="18" customHeight="1">
      <c r="L826" s="171"/>
    </row>
    <row r="827" spans="11:12" ht="18" customHeight="1">
      <c r="L827" s="171"/>
    </row>
    <row r="828" spans="11:12" ht="18" customHeight="1">
      <c r="L828" s="171"/>
    </row>
  </sheetData>
  <mergeCells count="19">
    <mergeCell ref="N52:N53"/>
    <mergeCell ref="P52:P53"/>
    <mergeCell ref="Q52:Q53"/>
    <mergeCell ref="Z52:Z53"/>
    <mergeCell ref="O52:O53"/>
    <mergeCell ref="B7:C7"/>
    <mergeCell ref="D7:E7"/>
    <mergeCell ref="B14:C15"/>
    <mergeCell ref="J14:J15"/>
    <mergeCell ref="L14:L15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3" type="noConversion"/>
  <conditionalFormatting sqref="V16:V35">
    <cfRule type="cellIs" dxfId="4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0" min="13" max="28" man="1"/>
    <brk id="71" min="13" max="28" man="1"/>
  </rowBreak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78">
    <tabColor rgb="FF00B0F0"/>
    <pageSetUpPr fitToPage="1"/>
  </sheetPr>
  <dimension ref="A1:Z851"/>
  <sheetViews>
    <sheetView showGridLines="0" topLeftCell="A34" zoomScale="85" zoomScaleNormal="85" zoomScaleSheetLayoutView="75" workbookViewId="0">
      <selection activeCell="P67" sqref="P67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553</v>
      </c>
    </row>
    <row r="2" spans="1:26" ht="19.5" thickBot="1">
      <c r="B2" s="66" t="s">
        <v>1</v>
      </c>
      <c r="D2" s="391">
        <v>1</v>
      </c>
      <c r="E2" s="1">
        <v>1</v>
      </c>
    </row>
    <row r="3" spans="1:26" ht="19.5" customHeight="1">
      <c r="B3" s="773" t="s">
        <v>48</v>
      </c>
      <c r="C3" s="774"/>
      <c r="D3" s="775">
        <v>5</v>
      </c>
      <c r="E3" s="776"/>
      <c r="F3" s="44" t="str">
        <f>CHOOSE(D2,"만㎡","만㎡","㎢")</f>
        <v>만㎡</v>
      </c>
      <c r="G3" s="838" t="s">
        <v>1104</v>
      </c>
      <c r="H3" s="839"/>
      <c r="I3" s="656">
        <v>2</v>
      </c>
      <c r="J3" s="669" t="s">
        <v>794</v>
      </c>
      <c r="K3" s="6"/>
      <c r="L3" s="6"/>
      <c r="M3" s="6"/>
      <c r="N3" s="6"/>
      <c r="O3" s="6"/>
      <c r="P3" s="6"/>
      <c r="Q3" s="6"/>
      <c r="T3" s="1"/>
      <c r="U3" s="1"/>
      <c r="V3" s="1"/>
      <c r="W3" s="1"/>
      <c r="X3" s="1"/>
      <c r="Y3" s="1"/>
    </row>
    <row r="4" spans="1:26" ht="21.75" customHeight="1">
      <c r="B4" s="777" t="s">
        <v>54</v>
      </c>
      <c r="C4" s="778"/>
      <c r="D4" s="779">
        <v>5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M4" s="6"/>
      <c r="N4" s="6"/>
      <c r="O4" s="6"/>
      <c r="P4" s="6"/>
      <c r="Q4" s="6"/>
      <c r="T4" s="1"/>
      <c r="U4" s="1"/>
      <c r="V4" s="1"/>
      <c r="W4" s="1"/>
      <c r="X4" s="1"/>
      <c r="Y4" s="1"/>
    </row>
    <row r="5" spans="1:26" ht="24" customHeight="1" thickBot="1">
      <c r="B5" s="781" t="s">
        <v>554</v>
      </c>
      <c r="C5" s="782"/>
      <c r="D5" s="783">
        <f>CHOOSE(D2,(ROUND(IF(D4&lt;=5,3,D4)*0.2,3)),(ROUND(IF(D4&lt;=1,1,D4)*0.2,3)),(ROUND(D4*0.2,3)))</f>
        <v>0.6</v>
      </c>
      <c r="E5" s="784"/>
      <c r="F5" s="45"/>
      <c r="G5" s="817" t="s">
        <v>1102</v>
      </c>
      <c r="H5" s="818"/>
      <c r="I5" s="646">
        <f>ROUND(I4/I3,3)</f>
        <v>1</v>
      </c>
      <c r="J5" s="671"/>
      <c r="K5" s="6"/>
      <c r="L5" s="6"/>
      <c r="M5" s="6"/>
      <c r="N5" s="6"/>
      <c r="O5" s="6"/>
      <c r="P5" s="6"/>
      <c r="Q5" s="6"/>
      <c r="T5" s="1"/>
      <c r="U5" s="1"/>
      <c r="V5" s="1"/>
      <c r="W5" s="1"/>
      <c r="X5" s="1"/>
      <c r="Y5" s="1"/>
    </row>
    <row r="6" spans="1:26" ht="23.25" customHeight="1">
      <c r="B6" s="9" t="s">
        <v>2109</v>
      </c>
      <c r="C6" s="9"/>
      <c r="D6" s="64"/>
      <c r="E6" s="64"/>
      <c r="F6" s="171"/>
      <c r="G6" s="9" t="s">
        <v>1107</v>
      </c>
      <c r="J6" s="36"/>
      <c r="K6" s="6"/>
      <c r="L6" s="6"/>
    </row>
    <row r="7" spans="1:26" ht="18" customHeight="1">
      <c r="B7" s="9" t="s">
        <v>2110</v>
      </c>
      <c r="C7" s="9"/>
      <c r="D7" s="64"/>
      <c r="E7" s="64"/>
      <c r="R7" s="1"/>
      <c r="S7" s="1"/>
      <c r="T7" s="1"/>
    </row>
    <row r="8" spans="1:26" ht="18" customHeight="1">
      <c r="B8" s="724" t="s">
        <v>2111</v>
      </c>
      <c r="C8" s="9"/>
      <c r="D8" s="64"/>
      <c r="E8" s="64"/>
      <c r="R8" s="1"/>
      <c r="S8" s="1"/>
      <c r="T8" s="1"/>
    </row>
    <row r="9" spans="1:26" ht="18" customHeight="1">
      <c r="B9" s="9"/>
      <c r="C9" s="9"/>
      <c r="D9" s="64"/>
      <c r="E9" s="64"/>
      <c r="R9" s="1"/>
      <c r="S9" s="1"/>
      <c r="T9" s="1"/>
    </row>
    <row r="10" spans="1:26" ht="18" customHeight="1">
      <c r="B10" s="9"/>
      <c r="C10" s="9"/>
      <c r="D10" s="64"/>
      <c r="E10" s="64"/>
      <c r="R10" s="1"/>
      <c r="S10" s="1"/>
      <c r="T10" s="1"/>
    </row>
    <row r="11" spans="1:26" ht="18" customHeight="1">
      <c r="B11" s="9"/>
      <c r="C11" s="9"/>
      <c r="D11" s="64"/>
      <c r="E11" s="64"/>
      <c r="R11" s="1"/>
      <c r="S11" s="1"/>
      <c r="T11" s="1"/>
    </row>
    <row r="12" spans="1:26" ht="18" customHeight="1">
      <c r="B12" s="9"/>
      <c r="C12" s="9"/>
      <c r="D12" s="64"/>
      <c r="E12" s="64"/>
      <c r="R12" s="1"/>
      <c r="S12" s="1"/>
      <c r="T12" s="1"/>
    </row>
    <row r="13" spans="1:26" ht="18" customHeight="1">
      <c r="G13" s="36"/>
      <c r="W13" s="188" t="s">
        <v>3</v>
      </c>
      <c r="X13" s="189"/>
    </row>
    <row r="14" spans="1:26" ht="18" customHeight="1" thickBot="1">
      <c r="B14" s="66" t="s">
        <v>4</v>
      </c>
      <c r="C14" s="9"/>
      <c r="D14" s="64"/>
      <c r="E14" s="64"/>
      <c r="G14" s="36"/>
      <c r="N14" s="66" t="s">
        <v>5</v>
      </c>
    </row>
    <row r="15" spans="1:26" ht="18" customHeight="1" thickBot="1">
      <c r="B15" s="9"/>
      <c r="N15" s="151" t="s">
        <v>44</v>
      </c>
      <c r="O15" s="119"/>
      <c r="P15" s="119"/>
      <c r="Q15" s="120"/>
      <c r="R15" s="120"/>
      <c r="S15" s="120"/>
      <c r="T15" s="120"/>
      <c r="U15" s="121"/>
      <c r="V15" s="121"/>
      <c r="W15" s="186">
        <f ca="1">SUBTOTAL(9,W16:W65)</f>
        <v>381379780</v>
      </c>
      <c r="X15" s="187"/>
      <c r="Y15" s="177"/>
      <c r="Z15" s="167"/>
    </row>
    <row r="16" spans="1:26" ht="18" customHeight="1">
      <c r="A16" s="278"/>
      <c r="B16" s="757" t="s">
        <v>30</v>
      </c>
      <c r="C16" s="758"/>
      <c r="D16" s="14" t="s">
        <v>6</v>
      </c>
      <c r="E16" s="15"/>
      <c r="F16" s="15"/>
      <c r="G16" s="15"/>
      <c r="H16" s="15"/>
      <c r="I16" s="16"/>
      <c r="J16" s="761" t="s">
        <v>31</v>
      </c>
      <c r="L16" s="763" t="s">
        <v>7</v>
      </c>
      <c r="N16" s="127" t="s">
        <v>8</v>
      </c>
      <c r="O16" s="122"/>
      <c r="P16" s="122"/>
      <c r="Q16" s="123"/>
      <c r="R16" s="123"/>
      <c r="S16" s="123"/>
      <c r="T16" s="123"/>
      <c r="U16" s="184"/>
      <c r="V16" s="184"/>
      <c r="W16" s="163">
        <f ca="1">SUBTOTAL(9,W17:W62)</f>
        <v>141588473</v>
      </c>
      <c r="X16" s="164"/>
      <c r="Y16" s="178" t="s">
        <v>9</v>
      </c>
      <c r="Z16" s="179"/>
    </row>
    <row r="17" spans="1:26" ht="18" customHeight="1" thickBot="1">
      <c r="A17" s="278"/>
      <c r="B17" s="820"/>
      <c r="C17" s="821"/>
      <c r="D17" s="17" t="s">
        <v>33</v>
      </c>
      <c r="E17" s="19" t="s">
        <v>34</v>
      </c>
      <c r="F17" s="19" t="s">
        <v>35</v>
      </c>
      <c r="G17" s="19" t="s">
        <v>36</v>
      </c>
      <c r="H17" s="19" t="s">
        <v>37</v>
      </c>
      <c r="I17" s="18" t="s">
        <v>38</v>
      </c>
      <c r="J17" s="762"/>
      <c r="L17" s="764"/>
      <c r="N17" s="290" t="s">
        <v>45</v>
      </c>
      <c r="O17" s="124"/>
      <c r="P17" s="125"/>
      <c r="Q17" s="126"/>
      <c r="R17" s="126"/>
      <c r="S17" s="126"/>
      <c r="T17" s="126"/>
      <c r="U17" s="218"/>
      <c r="V17" s="218"/>
      <c r="W17" s="255">
        <f ca="1">SUBTOTAL(9,W18:W57)</f>
        <v>133588473</v>
      </c>
      <c r="X17" s="256"/>
      <c r="Y17" s="220"/>
      <c r="Z17" s="220"/>
    </row>
    <row r="18" spans="1:26" ht="18" customHeight="1">
      <c r="A18" s="279"/>
      <c r="B18" s="222" t="s">
        <v>555</v>
      </c>
      <c r="C18" s="47"/>
      <c r="D18" s="48">
        <f t="shared" ref="D18:I18" si="0">SUBTOTAL(9,D19:D22)</f>
        <v>3.7</v>
      </c>
      <c r="E18" s="49">
        <f t="shared" si="0"/>
        <v>3.7</v>
      </c>
      <c r="F18" s="49">
        <f t="shared" si="0"/>
        <v>19.5</v>
      </c>
      <c r="G18" s="49">
        <f t="shared" si="0"/>
        <v>26.099999999999998</v>
      </c>
      <c r="H18" s="49">
        <f t="shared" si="0"/>
        <v>38.9</v>
      </c>
      <c r="I18" s="50">
        <f t="shared" si="0"/>
        <v>21.8</v>
      </c>
      <c r="J18" s="389"/>
      <c r="L18" s="232"/>
      <c r="N18" s="354" t="str">
        <f>B18</f>
        <v>1. 분양설계기준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SUBTOTAL(9,W19:W22)</f>
        <v>18892011</v>
      </c>
      <c r="X18" s="194"/>
      <c r="Y18" s="170" t="str">
        <f t="shared" ref="Y18:Y57" si="1">IF(A59&gt;0, "제 " &amp;A59&amp; " 호표","")</f>
        <v/>
      </c>
      <c r="Z18" s="170"/>
    </row>
    <row r="19" spans="1:26" ht="18" customHeight="1">
      <c r="A19" s="279"/>
      <c r="B19" s="223" t="s">
        <v>2112</v>
      </c>
      <c r="C19" s="23"/>
      <c r="D19" s="197">
        <v>0</v>
      </c>
      <c r="E19" s="198">
        <v>0</v>
      </c>
      <c r="F19" s="198">
        <v>3.4</v>
      </c>
      <c r="G19" s="198">
        <v>8.6</v>
      </c>
      <c r="H19" s="198">
        <v>13.7</v>
      </c>
      <c r="I19" s="199">
        <v>0</v>
      </c>
      <c r="J19" s="389" t="s">
        <v>1091</v>
      </c>
      <c r="L19" s="233">
        <v>1</v>
      </c>
      <c r="N19" s="292" t="str">
        <f t="shared" ref="N19:N57" si="2">B19</f>
        <v>1.1. 토지 및 건물 권리조사 보정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SUM((ROUNDDOWN((D60:I60)*단가,0)))</f>
        <v>4092587</v>
      </c>
      <c r="X19" s="154"/>
      <c r="Y19" s="170" t="str">
        <f t="shared" si="1"/>
        <v>제 1 호표</v>
      </c>
      <c r="Z19" s="150"/>
    </row>
    <row r="20" spans="1:26" ht="18" customHeight="1">
      <c r="A20" s="279"/>
      <c r="B20" s="223" t="s">
        <v>2113</v>
      </c>
      <c r="C20" s="23"/>
      <c r="D20" s="197">
        <v>0.3</v>
      </c>
      <c r="E20" s="198">
        <v>0.3</v>
      </c>
      <c r="F20" s="198">
        <v>4.9000000000000004</v>
      </c>
      <c r="G20" s="198">
        <v>8.1</v>
      </c>
      <c r="H20" s="198">
        <v>20.100000000000001</v>
      </c>
      <c r="I20" s="199">
        <v>18.399999999999999</v>
      </c>
      <c r="J20" s="389" t="s">
        <v>1090</v>
      </c>
      <c r="L20" s="233">
        <v>1</v>
      </c>
      <c r="N20" s="292" t="str">
        <f t="shared" si="2"/>
        <v>1.2. 종전토지지적의 결정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SUM((ROUNDDOWN((D61:I61)*단가,0)))</f>
        <v>8100265</v>
      </c>
      <c r="X20" s="154"/>
      <c r="Y20" s="170" t="str">
        <f t="shared" si="1"/>
        <v>제 2 호표</v>
      </c>
      <c r="Z20" s="150"/>
    </row>
    <row r="21" spans="1:26" ht="18" customHeight="1">
      <c r="A21" s="279"/>
      <c r="B21" s="223" t="s">
        <v>2114</v>
      </c>
      <c r="C21" s="23"/>
      <c r="D21" s="197">
        <v>1.5</v>
      </c>
      <c r="E21" s="198">
        <v>1.5</v>
      </c>
      <c r="F21" s="198">
        <v>5.6</v>
      </c>
      <c r="G21" s="198">
        <v>5.0999999999999996</v>
      </c>
      <c r="H21" s="198">
        <v>2.1</v>
      </c>
      <c r="I21" s="199">
        <v>2.1</v>
      </c>
      <c r="J21" s="389" t="s">
        <v>1090</v>
      </c>
      <c r="L21" s="233">
        <v>1</v>
      </c>
      <c r="N21" s="292" t="str">
        <f t="shared" si="2"/>
        <v>1.3. 토지 및 건물가격 평가기준 작성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SUM((ROUNDDOWN((D62:I62)*단가,0)))</f>
        <v>3315991</v>
      </c>
      <c r="X21" s="154"/>
      <c r="Y21" s="170" t="str">
        <f t="shared" si="1"/>
        <v>제 3 호표</v>
      </c>
      <c r="Z21" s="150"/>
    </row>
    <row r="22" spans="1:26" ht="18" customHeight="1">
      <c r="A22" s="279"/>
      <c r="B22" s="223" t="s">
        <v>2115</v>
      </c>
      <c r="C22" s="23"/>
      <c r="D22" s="197">
        <v>1.9</v>
      </c>
      <c r="E22" s="198">
        <v>1.9</v>
      </c>
      <c r="F22" s="198">
        <v>5.6</v>
      </c>
      <c r="G22" s="198">
        <v>4.3</v>
      </c>
      <c r="H22" s="198">
        <v>3</v>
      </c>
      <c r="I22" s="199">
        <v>1.3</v>
      </c>
      <c r="J22" s="389" t="s">
        <v>1090</v>
      </c>
      <c r="L22" s="233">
        <v>1</v>
      </c>
      <c r="N22" s="292" t="str">
        <f t="shared" si="2"/>
        <v>1.4. 분양설계기준의 작성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SUM((ROUNDDOWN((D63:I63)*단가,0)))</f>
        <v>3383168</v>
      </c>
      <c r="X22" s="154"/>
      <c r="Y22" s="170" t="str">
        <f t="shared" si="1"/>
        <v>제 4 호표</v>
      </c>
      <c r="Z22" s="150"/>
    </row>
    <row r="23" spans="1:26" ht="18" customHeight="1">
      <c r="A23" s="279"/>
      <c r="B23" s="222" t="s">
        <v>556</v>
      </c>
      <c r="C23" s="47"/>
      <c r="D23" s="48">
        <f t="shared" ref="D23:I23" si="3">SUBTOTAL(9,D24:D28)</f>
        <v>2.5</v>
      </c>
      <c r="E23" s="49">
        <f t="shared" si="3"/>
        <v>2.7</v>
      </c>
      <c r="F23" s="49">
        <f t="shared" si="3"/>
        <v>17.100000000000001</v>
      </c>
      <c r="G23" s="49">
        <f t="shared" si="3"/>
        <v>26.599999999999998</v>
      </c>
      <c r="H23" s="49">
        <f t="shared" si="3"/>
        <v>39.800000000000004</v>
      </c>
      <c r="I23" s="50">
        <f t="shared" si="3"/>
        <v>37.299999999999997</v>
      </c>
      <c r="J23" s="389"/>
      <c r="L23" s="232"/>
      <c r="N23" s="354" t="str">
        <f t="shared" si="2"/>
        <v>2. 토지평가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SUBTOTAL(9,W24:W28)</f>
        <v>20425422</v>
      </c>
      <c r="X23" s="194"/>
      <c r="Y23" s="170" t="str">
        <f t="shared" si="1"/>
        <v/>
      </c>
      <c r="Z23" s="170"/>
    </row>
    <row r="24" spans="1:26" ht="18" customHeight="1">
      <c r="A24" s="279"/>
      <c r="B24" s="223" t="s">
        <v>2116</v>
      </c>
      <c r="C24" s="23"/>
      <c r="D24" s="197">
        <v>0.2</v>
      </c>
      <c r="E24" s="198">
        <v>0.2</v>
      </c>
      <c r="F24" s="198">
        <v>1.3</v>
      </c>
      <c r="G24" s="198">
        <v>0.9</v>
      </c>
      <c r="H24" s="198">
        <v>1.3</v>
      </c>
      <c r="I24" s="199">
        <v>0.4</v>
      </c>
      <c r="J24" s="389" t="s">
        <v>1090</v>
      </c>
      <c r="L24" s="233">
        <v>1</v>
      </c>
      <c r="N24" s="292" t="str">
        <f t="shared" si="2"/>
        <v>2.1. 자료조사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SUM((ROUNDDOWN((D65:I65)*단가,0)))</f>
        <v>746409</v>
      </c>
      <c r="X24" s="154"/>
      <c r="Y24" s="170" t="str">
        <f t="shared" si="1"/>
        <v>제 5 호표</v>
      </c>
      <c r="Z24" s="150"/>
    </row>
    <row r="25" spans="1:26" ht="18" customHeight="1">
      <c r="A25" s="279"/>
      <c r="B25" s="223" t="s">
        <v>2117</v>
      </c>
      <c r="C25" s="23"/>
      <c r="D25" s="197">
        <v>1.5</v>
      </c>
      <c r="E25" s="198">
        <v>1.5</v>
      </c>
      <c r="F25" s="198">
        <v>9</v>
      </c>
      <c r="G25" s="198">
        <v>9.4</v>
      </c>
      <c r="H25" s="198">
        <v>9.8000000000000007</v>
      </c>
      <c r="I25" s="199">
        <v>9.4</v>
      </c>
      <c r="J25" s="389" t="s">
        <v>1090</v>
      </c>
      <c r="L25" s="233">
        <v>1</v>
      </c>
      <c r="N25" s="292" t="str">
        <f t="shared" si="2"/>
        <v>2.2. 정리전후 노선가 설정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SUM((ROUNDDOWN((D66:I66)*단가,0)))</f>
        <v>6894851</v>
      </c>
      <c r="X25" s="154"/>
      <c r="Y25" s="170" t="str">
        <f t="shared" si="1"/>
        <v>제 6 호표</v>
      </c>
      <c r="Z25" s="150"/>
    </row>
    <row r="26" spans="1:26" ht="18" customHeight="1">
      <c r="A26" s="279"/>
      <c r="B26" s="223" t="s">
        <v>2118</v>
      </c>
      <c r="C26" s="23"/>
      <c r="D26" s="197">
        <v>0</v>
      </c>
      <c r="E26" s="198">
        <v>0</v>
      </c>
      <c r="F26" s="198">
        <v>3.4</v>
      </c>
      <c r="G26" s="198">
        <v>8.6</v>
      </c>
      <c r="H26" s="198">
        <v>17.100000000000001</v>
      </c>
      <c r="I26" s="199">
        <v>18</v>
      </c>
      <c r="J26" s="389" t="s">
        <v>1090</v>
      </c>
      <c r="L26" s="233">
        <v>1</v>
      </c>
      <c r="N26" s="292" t="str">
        <f t="shared" si="2"/>
        <v>2.3. 정리전 각 필지 평가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SUM((ROUNDDOWN((D67:I67)*단가,0)))</f>
        <v>7273863</v>
      </c>
      <c r="X26" s="154"/>
      <c r="Y26" s="170" t="str">
        <f t="shared" si="1"/>
        <v>제 7 호표</v>
      </c>
      <c r="Z26" s="150"/>
    </row>
    <row r="27" spans="1:26" ht="18" customHeight="1">
      <c r="A27" s="279"/>
      <c r="B27" s="223" t="s">
        <v>2119</v>
      </c>
      <c r="C27" s="23"/>
      <c r="D27" s="197">
        <v>0.4</v>
      </c>
      <c r="E27" s="198">
        <v>0.5</v>
      </c>
      <c r="F27" s="198">
        <v>1.7</v>
      </c>
      <c r="G27" s="198">
        <v>6</v>
      </c>
      <c r="H27" s="198">
        <v>10.7</v>
      </c>
      <c r="I27" s="199">
        <v>8.6</v>
      </c>
      <c r="J27" s="389" t="s">
        <v>1090</v>
      </c>
      <c r="L27" s="233">
        <v>1</v>
      </c>
      <c r="N27" s="292" t="str">
        <f t="shared" si="2"/>
        <v>2.4. 정리후 가구평가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SUM((ROUNDDOWN((D68:I68)*단가,0)))</f>
        <v>4405828</v>
      </c>
      <c r="X27" s="154"/>
      <c r="Y27" s="170" t="str">
        <f t="shared" si="1"/>
        <v>제 8 호표</v>
      </c>
      <c r="Z27" s="150"/>
    </row>
    <row r="28" spans="1:26" ht="18" customHeight="1">
      <c r="A28" s="279"/>
      <c r="B28" s="223" t="s">
        <v>2120</v>
      </c>
      <c r="C28" s="23"/>
      <c r="D28" s="197">
        <v>0.4</v>
      </c>
      <c r="E28" s="198">
        <v>0.5</v>
      </c>
      <c r="F28" s="198">
        <v>1.7</v>
      </c>
      <c r="G28" s="198">
        <v>1.7</v>
      </c>
      <c r="H28" s="198">
        <v>0.9</v>
      </c>
      <c r="I28" s="199">
        <v>0.9</v>
      </c>
      <c r="J28" s="389" t="s">
        <v>1090</v>
      </c>
      <c r="L28" s="233">
        <v>1</v>
      </c>
      <c r="N28" s="292" t="str">
        <f t="shared" si="2"/>
        <v>2.5. 증진율 계산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SUM((ROUNDDOWN((D69:I69)*단가,0)))</f>
        <v>1104471</v>
      </c>
      <c r="X28" s="154"/>
      <c r="Y28" s="170" t="str">
        <f t="shared" si="1"/>
        <v>제 9 호표</v>
      </c>
      <c r="Z28" s="150"/>
    </row>
    <row r="29" spans="1:26" ht="18" customHeight="1">
      <c r="A29" s="279"/>
      <c r="B29" s="222" t="s">
        <v>2121</v>
      </c>
      <c r="C29" s="47"/>
      <c r="D29" s="48">
        <f t="shared" ref="D29:I29" si="4">SUBTOTAL(9,D30:D32)</f>
        <v>0.8</v>
      </c>
      <c r="E29" s="49">
        <f t="shared" si="4"/>
        <v>0.9</v>
      </c>
      <c r="F29" s="49">
        <f t="shared" si="4"/>
        <v>14.100000000000001</v>
      </c>
      <c r="G29" s="49">
        <f t="shared" si="4"/>
        <v>17.600000000000001</v>
      </c>
      <c r="H29" s="49">
        <f t="shared" si="4"/>
        <v>24</v>
      </c>
      <c r="I29" s="50">
        <f t="shared" si="4"/>
        <v>20.6</v>
      </c>
      <c r="J29" s="389"/>
      <c r="L29" s="232"/>
      <c r="N29" s="354" t="str">
        <f t="shared" si="2"/>
        <v>3-1. 비례평가식 환지(분양) 계산</v>
      </c>
      <c r="O29" s="169"/>
      <c r="P29" s="169"/>
      <c r="Q29" s="169"/>
      <c r="R29" s="169"/>
      <c r="S29" s="169"/>
      <c r="T29" s="169"/>
      <c r="U29" s="226"/>
      <c r="V29" s="248"/>
      <c r="W29" s="193">
        <f ca="1">SUBTOTAL(9,W30:W32)</f>
        <v>12654288</v>
      </c>
      <c r="X29" s="194"/>
      <c r="Y29" s="170" t="str">
        <f t="shared" si="1"/>
        <v/>
      </c>
      <c r="Z29" s="170"/>
    </row>
    <row r="30" spans="1:26" ht="18" customHeight="1">
      <c r="A30" s="279"/>
      <c r="B30" s="223" t="s">
        <v>2122</v>
      </c>
      <c r="C30" s="23"/>
      <c r="D30" s="197">
        <v>0.8</v>
      </c>
      <c r="E30" s="198">
        <v>0.9</v>
      </c>
      <c r="F30" s="198">
        <v>9.4</v>
      </c>
      <c r="G30" s="198">
        <v>10.3</v>
      </c>
      <c r="H30" s="198">
        <v>12</v>
      </c>
      <c r="I30" s="199">
        <v>8.6</v>
      </c>
      <c r="J30" s="389" t="s">
        <v>1090</v>
      </c>
      <c r="L30" s="233">
        <v>1</v>
      </c>
      <c r="N30" s="292" t="str">
        <f t="shared" si="2"/>
        <v>3.1.1. 비례율 산정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SUM((ROUNDDOWN((D71:I71)*단가,0)))</f>
        <v>6988963</v>
      </c>
      <c r="X30" s="154"/>
      <c r="Y30" s="170" t="str">
        <f t="shared" si="1"/>
        <v>제 10 호표</v>
      </c>
      <c r="Z30" s="150"/>
    </row>
    <row r="31" spans="1:26" ht="18" customHeight="1">
      <c r="A31" s="279"/>
      <c r="B31" s="223" t="s">
        <v>2123</v>
      </c>
      <c r="C31" s="23"/>
      <c r="D31" s="197">
        <v>0</v>
      </c>
      <c r="E31" s="198">
        <v>0</v>
      </c>
      <c r="F31" s="198">
        <v>0.9</v>
      </c>
      <c r="G31" s="198">
        <v>1.7</v>
      </c>
      <c r="H31" s="198">
        <v>5.6</v>
      </c>
      <c r="I31" s="199">
        <v>6.4</v>
      </c>
      <c r="J31" s="389" t="s">
        <v>1090</v>
      </c>
      <c r="L31" s="233">
        <v>1</v>
      </c>
      <c r="N31" s="292" t="str">
        <f t="shared" si="2"/>
        <v>3.1.2. 권리지수 산정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SUM((ROUNDDOWN((D72:I72)*단가,0)))</f>
        <v>2220393</v>
      </c>
      <c r="X31" s="154"/>
      <c r="Y31" s="170" t="str">
        <f t="shared" si="1"/>
        <v>제 11 호표</v>
      </c>
      <c r="Z31" s="150"/>
    </row>
    <row r="32" spans="1:26" ht="18" customHeight="1">
      <c r="A32" s="279"/>
      <c r="B32" s="223" t="s">
        <v>2124</v>
      </c>
      <c r="C32" s="23"/>
      <c r="D32" s="197">
        <v>0</v>
      </c>
      <c r="E32" s="198">
        <v>0</v>
      </c>
      <c r="F32" s="198">
        <v>3.8</v>
      </c>
      <c r="G32" s="198">
        <v>5.6</v>
      </c>
      <c r="H32" s="198">
        <v>6.4</v>
      </c>
      <c r="I32" s="199">
        <v>5.6</v>
      </c>
      <c r="J32" s="389" t="s">
        <v>1090</v>
      </c>
      <c r="L32" s="233">
        <v>1</v>
      </c>
      <c r="N32" s="292" t="str">
        <f t="shared" si="2"/>
        <v>3.1-3. 분양배당지수 및 지적산출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SUM((ROUNDDOWN((D73:I73)*단가,0)))</f>
        <v>3444932</v>
      </c>
      <c r="X32" s="154"/>
      <c r="Y32" s="170" t="str">
        <f t="shared" si="1"/>
        <v>제 12 호표</v>
      </c>
      <c r="Z32" s="150"/>
    </row>
    <row r="33" spans="1:26" ht="18" customHeight="1">
      <c r="A33" s="279"/>
      <c r="B33" s="222" t="s">
        <v>557</v>
      </c>
      <c r="C33" s="47"/>
      <c r="D33" s="48">
        <f t="shared" ref="D33:I33" si="5">SUBTOTAL(9,D34:D38)</f>
        <v>0</v>
      </c>
      <c r="E33" s="49">
        <f t="shared" si="5"/>
        <v>0</v>
      </c>
      <c r="F33" s="49">
        <f t="shared" si="5"/>
        <v>1.3</v>
      </c>
      <c r="G33" s="49">
        <f t="shared" si="5"/>
        <v>19.599999999999998</v>
      </c>
      <c r="H33" s="49">
        <f t="shared" si="5"/>
        <v>22.7</v>
      </c>
      <c r="I33" s="50">
        <f t="shared" si="5"/>
        <v>25.3</v>
      </c>
      <c r="J33" s="389"/>
      <c r="L33" s="232"/>
      <c r="N33" s="354" t="str">
        <f t="shared" si="2"/>
        <v>3-2. 절충식 환지(분양) 계산</v>
      </c>
      <c r="O33" s="169"/>
      <c r="P33" s="169"/>
      <c r="Q33" s="169"/>
      <c r="R33" s="169"/>
      <c r="S33" s="169"/>
      <c r="T33" s="169"/>
      <c r="U33" s="226"/>
      <c r="V33" s="248"/>
      <c r="W33" s="193">
        <f ca="1">SUBTOTAL(9,W34:W38)</f>
        <v>0</v>
      </c>
      <c r="X33" s="194"/>
      <c r="Y33" s="170" t="str">
        <f t="shared" ref="Y33:Y42" si="6">IF(A74&lt;&gt;"", "제 " &amp;A74&amp; " 호표","")</f>
        <v/>
      </c>
      <c r="Z33" s="170"/>
    </row>
    <row r="34" spans="1:26" ht="18" customHeight="1">
      <c r="A34" s="279"/>
      <c r="B34" s="223" t="s">
        <v>2125</v>
      </c>
      <c r="C34" s="23"/>
      <c r="D34" s="197">
        <v>0</v>
      </c>
      <c r="E34" s="198">
        <v>0</v>
      </c>
      <c r="F34" s="198">
        <v>0.4</v>
      </c>
      <c r="G34" s="198">
        <v>5.0999999999999996</v>
      </c>
      <c r="H34" s="198">
        <v>4.7</v>
      </c>
      <c r="I34" s="199">
        <v>4.7</v>
      </c>
      <c r="J34" s="389" t="s">
        <v>1090</v>
      </c>
      <c r="L34" s="233">
        <v>1</v>
      </c>
      <c r="N34" s="292" t="str">
        <f t="shared" si="2"/>
        <v>3.2.1. 공통부담률 계산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SUM((ROUNDDOWN((D75:I75)*단가,0)))</f>
        <v>0</v>
      </c>
      <c r="X34" s="154"/>
      <c r="Y34" s="170" t="str">
        <f t="shared" si="6"/>
        <v/>
      </c>
      <c r="Z34" s="150"/>
    </row>
    <row r="35" spans="1:26" ht="18" customHeight="1">
      <c r="A35" s="279"/>
      <c r="B35" s="223" t="s">
        <v>2126</v>
      </c>
      <c r="C35" s="23"/>
      <c r="D35" s="197">
        <v>0</v>
      </c>
      <c r="E35" s="198">
        <v>0</v>
      </c>
      <c r="F35" s="198">
        <v>0</v>
      </c>
      <c r="G35" s="198">
        <v>7.7</v>
      </c>
      <c r="H35" s="198">
        <v>8.6</v>
      </c>
      <c r="I35" s="199">
        <v>8.6</v>
      </c>
      <c r="J35" s="389" t="s">
        <v>1090</v>
      </c>
      <c r="L35" s="233">
        <v>1</v>
      </c>
      <c r="N35" s="292" t="str">
        <f t="shared" si="2"/>
        <v>3.2.2. 잠정환지 지적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SUM((ROUNDDOWN((D76:I76)*단가,0)))</f>
        <v>0</v>
      </c>
      <c r="X35" s="154"/>
      <c r="Y35" s="170" t="str">
        <f t="shared" si="6"/>
        <v/>
      </c>
      <c r="Z35" s="150"/>
    </row>
    <row r="36" spans="1:26" ht="18" customHeight="1">
      <c r="A36" s="279"/>
      <c r="B36" s="223" t="s">
        <v>2127</v>
      </c>
      <c r="C36" s="23"/>
      <c r="D36" s="197">
        <v>0</v>
      </c>
      <c r="E36" s="198">
        <v>0</v>
      </c>
      <c r="F36" s="198">
        <v>0</v>
      </c>
      <c r="G36" s="198">
        <v>3.4</v>
      </c>
      <c r="H36" s="198">
        <v>3.4</v>
      </c>
      <c r="I36" s="199">
        <v>6</v>
      </c>
      <c r="J36" s="389" t="s">
        <v>1090</v>
      </c>
      <c r="L36" s="233">
        <v>1</v>
      </c>
      <c r="N36" s="292" t="str">
        <f t="shared" si="2"/>
        <v>3.3.3. 잠정환지의 평가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SUM((ROUNDDOWN((D77:I77)*단가,0)))</f>
        <v>0</v>
      </c>
      <c r="X36" s="154"/>
      <c r="Y36" s="170" t="str">
        <f t="shared" si="6"/>
        <v/>
      </c>
      <c r="Z36" s="150"/>
    </row>
    <row r="37" spans="1:26" ht="18" customHeight="1">
      <c r="A37" s="279"/>
      <c r="B37" s="223" t="s">
        <v>2128</v>
      </c>
      <c r="C37" s="23"/>
      <c r="D37" s="197">
        <v>0</v>
      </c>
      <c r="E37" s="198">
        <v>0</v>
      </c>
      <c r="F37" s="198">
        <v>0.9</v>
      </c>
      <c r="G37" s="198">
        <v>0.4</v>
      </c>
      <c r="H37" s="198">
        <v>3</v>
      </c>
      <c r="I37" s="199">
        <v>3.4</v>
      </c>
      <c r="J37" s="389" t="s">
        <v>1090</v>
      </c>
      <c r="L37" s="233">
        <v>1</v>
      </c>
      <c r="N37" s="292" t="str">
        <f t="shared" si="2"/>
        <v>3.3.4. 증가배분율의 계산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SUM((ROUNDDOWN((D78:I78)*단가,0)))</f>
        <v>0</v>
      </c>
      <c r="X37" s="154"/>
      <c r="Y37" s="170" t="str">
        <f t="shared" si="6"/>
        <v/>
      </c>
      <c r="Z37" s="150"/>
    </row>
    <row r="38" spans="1:26" ht="18" customHeight="1">
      <c r="A38" s="279"/>
      <c r="B38" s="223" t="s">
        <v>2129</v>
      </c>
      <c r="C38" s="23"/>
      <c r="D38" s="197">
        <v>0</v>
      </c>
      <c r="E38" s="198">
        <v>0</v>
      </c>
      <c r="F38" s="198">
        <v>0</v>
      </c>
      <c r="G38" s="198">
        <v>3</v>
      </c>
      <c r="H38" s="198">
        <v>3</v>
      </c>
      <c r="I38" s="199">
        <v>2.6</v>
      </c>
      <c r="J38" s="389" t="s">
        <v>1090</v>
      </c>
      <c r="L38" s="233">
        <v>1</v>
      </c>
      <c r="N38" s="292" t="str">
        <f t="shared" si="2"/>
        <v>3.3.5. 권리지수 산정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SUM((ROUNDDOWN((D79:I79)*단가,0)))</f>
        <v>0</v>
      </c>
      <c r="X38" s="154"/>
      <c r="Y38" s="170" t="str">
        <f t="shared" si="6"/>
        <v/>
      </c>
      <c r="Z38" s="150"/>
    </row>
    <row r="39" spans="1:26" ht="18" customHeight="1">
      <c r="A39" s="279"/>
      <c r="B39" s="222" t="s">
        <v>558</v>
      </c>
      <c r="C39" s="47"/>
      <c r="D39" s="48">
        <f t="shared" ref="D39:I39" si="7">SUBTOTAL(9,D40:D41)</f>
        <v>0.8</v>
      </c>
      <c r="E39" s="49">
        <f t="shared" si="7"/>
        <v>0.9</v>
      </c>
      <c r="F39" s="49">
        <f t="shared" si="7"/>
        <v>9.8000000000000007</v>
      </c>
      <c r="G39" s="49">
        <f t="shared" si="7"/>
        <v>15.4</v>
      </c>
      <c r="H39" s="49">
        <f t="shared" si="7"/>
        <v>16.7</v>
      </c>
      <c r="I39" s="50">
        <f t="shared" si="7"/>
        <v>13.3</v>
      </c>
      <c r="J39" s="389"/>
      <c r="L39" s="232"/>
      <c r="N39" s="354" t="str">
        <f t="shared" si="2"/>
        <v>3-3. 면적식 환지(분양) 계산</v>
      </c>
      <c r="O39" s="169"/>
      <c r="P39" s="169"/>
      <c r="Q39" s="169"/>
      <c r="R39" s="169"/>
      <c r="S39" s="169"/>
      <c r="T39" s="169"/>
      <c r="U39" s="226"/>
      <c r="V39" s="248"/>
      <c r="W39" s="193">
        <f ca="1">SUBTOTAL(9,W40:W41)</f>
        <v>0</v>
      </c>
      <c r="X39" s="194"/>
      <c r="Y39" s="170" t="str">
        <f t="shared" si="6"/>
        <v/>
      </c>
      <c r="Z39" s="170"/>
    </row>
    <row r="40" spans="1:26" ht="18" customHeight="1">
      <c r="A40" s="279"/>
      <c r="B40" s="223" t="s">
        <v>2130</v>
      </c>
      <c r="C40" s="23"/>
      <c r="D40" s="197">
        <v>0</v>
      </c>
      <c r="E40" s="198">
        <v>0</v>
      </c>
      <c r="F40" s="198">
        <v>0.4</v>
      </c>
      <c r="G40" s="198">
        <v>5.0999999999999996</v>
      </c>
      <c r="H40" s="198">
        <v>4.7</v>
      </c>
      <c r="I40" s="199">
        <v>4.7</v>
      </c>
      <c r="J40" s="389" t="s">
        <v>1090</v>
      </c>
      <c r="L40" s="233">
        <v>1</v>
      </c>
      <c r="N40" s="292" t="str">
        <f t="shared" si="2"/>
        <v>3.3.1. 공통부담률 계산</v>
      </c>
      <c r="O40" s="37"/>
      <c r="P40" s="37"/>
      <c r="Q40" s="37"/>
      <c r="R40" s="37"/>
      <c r="S40" s="37"/>
      <c r="T40" s="37"/>
      <c r="U40" s="227"/>
      <c r="V40" s="231"/>
      <c r="W40" s="153">
        <f t="array" aca="1" ref="W40" ca="1">SUM((ROUNDDOWN((D81:I81)*단가,0)))</f>
        <v>0</v>
      </c>
      <c r="X40" s="154"/>
      <c r="Y40" s="170" t="str">
        <f t="shared" si="6"/>
        <v/>
      </c>
      <c r="Z40" s="150"/>
    </row>
    <row r="41" spans="1:26" ht="18" customHeight="1">
      <c r="A41" s="279"/>
      <c r="B41" s="223" t="s">
        <v>2131</v>
      </c>
      <c r="C41" s="23"/>
      <c r="D41" s="197">
        <v>0.8</v>
      </c>
      <c r="E41" s="198">
        <v>0.9</v>
      </c>
      <c r="F41" s="198">
        <v>9.4</v>
      </c>
      <c r="G41" s="198">
        <v>10.3</v>
      </c>
      <c r="H41" s="198">
        <v>12</v>
      </c>
      <c r="I41" s="199">
        <v>8.6</v>
      </c>
      <c r="J41" s="389" t="s">
        <v>1090</v>
      </c>
      <c r="L41" s="233">
        <v>1</v>
      </c>
      <c r="N41" s="292" t="str">
        <f t="shared" si="2"/>
        <v>3.3.2. 급지별 공통부담률 계산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SUM((ROUNDDOWN((D82:I82)*단가,0)))</f>
        <v>0</v>
      </c>
      <c r="X41" s="154"/>
      <c r="Y41" s="170" t="str">
        <f t="shared" si="6"/>
        <v/>
      </c>
      <c r="Z41" s="150"/>
    </row>
    <row r="42" spans="1:26" ht="18" customHeight="1">
      <c r="A42" s="279"/>
      <c r="B42" s="222" t="s">
        <v>559</v>
      </c>
      <c r="C42" s="47"/>
      <c r="D42" s="48">
        <f t="shared" ref="D42:I42" si="8">SUBTOTAL(9,D43:D48)</f>
        <v>5.7</v>
      </c>
      <c r="E42" s="49">
        <f t="shared" si="8"/>
        <v>5.7</v>
      </c>
      <c r="F42" s="49">
        <f t="shared" si="8"/>
        <v>26.1</v>
      </c>
      <c r="G42" s="49">
        <f t="shared" si="8"/>
        <v>39.799999999999997</v>
      </c>
      <c r="H42" s="49">
        <f t="shared" si="8"/>
        <v>52.1</v>
      </c>
      <c r="I42" s="50">
        <f t="shared" si="8"/>
        <v>39.700000000000003</v>
      </c>
      <c r="J42" s="389"/>
      <c r="L42" s="232"/>
      <c r="N42" s="354" t="str">
        <f t="shared" si="2"/>
        <v>4. 환지(분양)식 환지설계</v>
      </c>
      <c r="O42" s="169"/>
      <c r="P42" s="169"/>
      <c r="Q42" s="169"/>
      <c r="R42" s="169"/>
      <c r="S42" s="169"/>
      <c r="T42" s="169"/>
      <c r="U42" s="226"/>
      <c r="V42" s="248"/>
      <c r="W42" s="193">
        <f ca="1">SUBTOTAL(9,W43:W48)</f>
        <v>28108597</v>
      </c>
      <c r="X42" s="194"/>
      <c r="Y42" s="170" t="str">
        <f t="shared" si="6"/>
        <v/>
      </c>
      <c r="Z42" s="170"/>
    </row>
    <row r="43" spans="1:26" ht="18" customHeight="1">
      <c r="A43" s="279"/>
      <c r="B43" s="223" t="s">
        <v>2132</v>
      </c>
      <c r="C43" s="23"/>
      <c r="D43" s="197">
        <v>0</v>
      </c>
      <c r="E43" s="198">
        <v>0</v>
      </c>
      <c r="F43" s="198">
        <v>6</v>
      </c>
      <c r="G43" s="198">
        <v>6</v>
      </c>
      <c r="H43" s="198">
        <v>6.8</v>
      </c>
      <c r="I43" s="199">
        <v>6.8</v>
      </c>
      <c r="J43" s="389" t="s">
        <v>1090</v>
      </c>
      <c r="L43" s="233">
        <v>1</v>
      </c>
      <c r="N43" s="292" t="str">
        <f t="shared" si="2"/>
        <v>4.1. 가할당</v>
      </c>
      <c r="O43" s="37"/>
      <c r="P43" s="37"/>
      <c r="Q43" s="37"/>
      <c r="R43" s="37"/>
      <c r="S43" s="37"/>
      <c r="T43" s="37"/>
      <c r="U43" s="227"/>
      <c r="V43" s="231"/>
      <c r="W43" s="153">
        <f t="array" aca="1" ref="W43" ca="1">SUM((ROUNDDOWN((D84:I84)*단가,0)))</f>
        <v>4162704</v>
      </c>
      <c r="X43" s="154"/>
      <c r="Y43" s="170" t="str">
        <f t="shared" si="1"/>
        <v>제 13 호표</v>
      </c>
      <c r="Z43" s="150"/>
    </row>
    <row r="44" spans="1:26" ht="18" customHeight="1">
      <c r="A44" s="279"/>
      <c r="B44" s="223" t="s">
        <v>2133</v>
      </c>
      <c r="C44" s="23"/>
      <c r="D44" s="197">
        <v>4</v>
      </c>
      <c r="E44" s="198">
        <v>4</v>
      </c>
      <c r="F44" s="198">
        <v>15</v>
      </c>
      <c r="G44" s="198">
        <v>18</v>
      </c>
      <c r="H44" s="198">
        <v>21.8</v>
      </c>
      <c r="I44" s="199">
        <v>16.2</v>
      </c>
      <c r="J44" s="389" t="s">
        <v>1090</v>
      </c>
      <c r="L44" s="233">
        <v>1</v>
      </c>
      <c r="N44" s="292" t="str">
        <f t="shared" si="2"/>
        <v>4.2. 분양할당</v>
      </c>
      <c r="O44" s="37"/>
      <c r="P44" s="37"/>
      <c r="Q44" s="37"/>
      <c r="R44" s="37"/>
      <c r="S44" s="37"/>
      <c r="T44" s="37"/>
      <c r="U44" s="227"/>
      <c r="V44" s="231"/>
      <c r="W44" s="153">
        <f t="array" aca="1" ref="W44" ca="1">SUM((ROUNDDOWN((D85:I85)*단가,0)))</f>
        <v>13513461</v>
      </c>
      <c r="X44" s="154"/>
      <c r="Y44" s="170" t="str">
        <f t="shared" si="1"/>
        <v>제 14 호표</v>
      </c>
      <c r="Z44" s="150"/>
    </row>
    <row r="45" spans="1:26" ht="18" customHeight="1">
      <c r="A45" s="279"/>
      <c r="B45" s="223" t="s">
        <v>2134</v>
      </c>
      <c r="C45" s="23"/>
      <c r="D45" s="197">
        <v>0.2</v>
      </c>
      <c r="E45" s="198">
        <v>0.2</v>
      </c>
      <c r="F45" s="198">
        <v>2.1</v>
      </c>
      <c r="G45" s="198">
        <v>4.7</v>
      </c>
      <c r="H45" s="198">
        <v>5.0999999999999996</v>
      </c>
      <c r="I45" s="199">
        <v>6.4</v>
      </c>
      <c r="J45" s="389" t="s">
        <v>1090</v>
      </c>
      <c r="L45" s="233">
        <v>1</v>
      </c>
      <c r="N45" s="292" t="str">
        <f t="shared" si="2"/>
        <v>4.3. 분양할당 수정</v>
      </c>
      <c r="O45" s="37"/>
      <c r="P45" s="37"/>
      <c r="Q45" s="37"/>
      <c r="R45" s="37"/>
      <c r="S45" s="37"/>
      <c r="T45" s="37"/>
      <c r="U45" s="227"/>
      <c r="V45" s="231"/>
      <c r="W45" s="153">
        <f t="array" aca="1" ref="W45" ca="1">SUM((ROUNDDOWN((D86:I86)*단가,0)))</f>
        <v>3005708</v>
      </c>
      <c r="X45" s="154"/>
      <c r="Y45" s="170" t="str">
        <f t="shared" si="1"/>
        <v>제 15 호표</v>
      </c>
      <c r="Z45" s="150"/>
    </row>
    <row r="46" spans="1:26" ht="18" customHeight="1">
      <c r="A46" s="279"/>
      <c r="B46" s="223" t="s">
        <v>2135</v>
      </c>
      <c r="C46" s="23"/>
      <c r="D46" s="197">
        <v>0</v>
      </c>
      <c r="E46" s="198">
        <v>0</v>
      </c>
      <c r="F46" s="198">
        <v>0</v>
      </c>
      <c r="G46" s="198">
        <v>0</v>
      </c>
      <c r="H46" s="198">
        <v>9.4</v>
      </c>
      <c r="I46" s="199">
        <v>10.3</v>
      </c>
      <c r="J46" s="389" t="s">
        <v>1090</v>
      </c>
      <c r="L46" s="233">
        <v>1</v>
      </c>
      <c r="N46" s="292" t="str">
        <f t="shared" si="2"/>
        <v>4.4. 가구별 분양조서 및 할당도</v>
      </c>
      <c r="O46" s="37"/>
      <c r="P46" s="37"/>
      <c r="Q46" s="37"/>
      <c r="R46" s="37"/>
      <c r="S46" s="37"/>
      <c r="T46" s="37"/>
      <c r="U46" s="227"/>
      <c r="V46" s="231"/>
      <c r="W46" s="153">
        <f t="array" aca="1" ref="W46" ca="1">SUM((ROUNDDOWN((D87:I87)*단가,0)))</f>
        <v>2873525</v>
      </c>
      <c r="X46" s="154"/>
      <c r="Y46" s="170" t="str">
        <f t="shared" si="1"/>
        <v>제 16 호표</v>
      </c>
      <c r="Z46" s="150"/>
    </row>
    <row r="47" spans="1:26" ht="18" customHeight="1">
      <c r="A47" s="279"/>
      <c r="B47" s="223" t="s">
        <v>2136</v>
      </c>
      <c r="C47" s="23"/>
      <c r="D47" s="197">
        <v>0</v>
      </c>
      <c r="E47" s="198">
        <v>0</v>
      </c>
      <c r="F47" s="198">
        <v>0</v>
      </c>
      <c r="G47" s="198">
        <v>8.1</v>
      </c>
      <c r="H47" s="198">
        <v>9</v>
      </c>
      <c r="I47" s="199">
        <v>0</v>
      </c>
      <c r="J47" s="389" t="s">
        <v>1090</v>
      </c>
      <c r="L47" s="233">
        <v>1</v>
      </c>
      <c r="N47" s="292" t="str">
        <f t="shared" si="2"/>
        <v>4.5. 공람에 따른 분양계산의 보완</v>
      </c>
      <c r="O47" s="37"/>
      <c r="P47" s="37"/>
      <c r="Q47" s="37"/>
      <c r="R47" s="37"/>
      <c r="S47" s="37"/>
      <c r="T47" s="37"/>
      <c r="U47" s="227"/>
      <c r="V47" s="231"/>
      <c r="W47" s="153">
        <f t="array" aca="1" ref="W47" ca="1">SUM((ROUNDDOWN((D88:I88)*단가,0)))</f>
        <v>2705848</v>
      </c>
      <c r="X47" s="154"/>
      <c r="Y47" s="170" t="str">
        <f t="shared" si="1"/>
        <v>제 17 호표</v>
      </c>
      <c r="Z47" s="150"/>
    </row>
    <row r="48" spans="1:26" ht="18" customHeight="1">
      <c r="A48" s="279"/>
      <c r="B48" s="223" t="s">
        <v>2137</v>
      </c>
      <c r="C48" s="23"/>
      <c r="D48" s="197">
        <v>1.5</v>
      </c>
      <c r="E48" s="198">
        <v>1.5</v>
      </c>
      <c r="F48" s="198">
        <v>3</v>
      </c>
      <c r="G48" s="198">
        <v>3</v>
      </c>
      <c r="H48" s="198">
        <v>0</v>
      </c>
      <c r="I48" s="199">
        <v>0</v>
      </c>
      <c r="J48" s="389" t="s">
        <v>1090</v>
      </c>
      <c r="L48" s="233">
        <v>1</v>
      </c>
      <c r="N48" s="292" t="str">
        <f t="shared" si="2"/>
        <v>4.6. 분양원가 설명</v>
      </c>
      <c r="O48" s="37"/>
      <c r="P48" s="37"/>
      <c r="Q48" s="37"/>
      <c r="R48" s="37"/>
      <c r="S48" s="37"/>
      <c r="T48" s="37"/>
      <c r="U48" s="227"/>
      <c r="V48" s="231"/>
      <c r="W48" s="153">
        <f t="array" aca="1" ref="W48" ca="1">SUM((ROUNDDOWN((D89:I89)*단가,0)))</f>
        <v>1847351</v>
      </c>
      <c r="X48" s="154"/>
      <c r="Y48" s="170" t="str">
        <f t="shared" si="1"/>
        <v>제 18 호표</v>
      </c>
      <c r="Z48" s="150"/>
    </row>
    <row r="49" spans="1:26" ht="18" customHeight="1">
      <c r="A49" s="279"/>
      <c r="B49" s="222" t="s">
        <v>560</v>
      </c>
      <c r="C49" s="47"/>
      <c r="D49" s="48">
        <f t="shared" ref="D49:I49" si="9">SUBTOTAL(9,D50)</f>
        <v>0.8</v>
      </c>
      <c r="E49" s="49">
        <f t="shared" si="9"/>
        <v>0.9</v>
      </c>
      <c r="F49" s="49">
        <f t="shared" si="9"/>
        <v>7.7</v>
      </c>
      <c r="G49" s="49">
        <f t="shared" si="9"/>
        <v>9.8000000000000007</v>
      </c>
      <c r="H49" s="49">
        <f t="shared" si="9"/>
        <v>28.2</v>
      </c>
      <c r="I49" s="50">
        <f t="shared" si="9"/>
        <v>35.5</v>
      </c>
      <c r="J49" s="389"/>
      <c r="L49" s="232"/>
      <c r="N49" s="354" t="str">
        <f t="shared" si="2"/>
        <v>5. 혼지(분양)예정지 지정</v>
      </c>
      <c r="O49" s="169"/>
      <c r="P49" s="169"/>
      <c r="Q49" s="169"/>
      <c r="R49" s="169"/>
      <c r="S49" s="169"/>
      <c r="T49" s="169"/>
      <c r="U49" s="226"/>
      <c r="V49" s="248"/>
      <c r="W49" s="193">
        <f ca="1">SUBTOTAL(9,W50)</f>
        <v>12908388</v>
      </c>
      <c r="X49" s="194"/>
      <c r="Y49" s="170" t="str">
        <f t="shared" si="1"/>
        <v/>
      </c>
      <c r="Z49" s="170"/>
    </row>
    <row r="50" spans="1:26" ht="18" customHeight="1">
      <c r="A50" s="279"/>
      <c r="B50" s="223" t="s">
        <v>2138</v>
      </c>
      <c r="C50" s="23"/>
      <c r="D50" s="197">
        <v>0.8</v>
      </c>
      <c r="E50" s="198">
        <v>0.9</v>
      </c>
      <c r="F50" s="198">
        <v>7.7</v>
      </c>
      <c r="G50" s="198">
        <v>9.8000000000000007</v>
      </c>
      <c r="H50" s="198">
        <v>28.2</v>
      </c>
      <c r="I50" s="199">
        <v>35.5</v>
      </c>
      <c r="J50" s="389" t="s">
        <v>1090</v>
      </c>
      <c r="L50" s="233">
        <v>1</v>
      </c>
      <c r="N50" s="292" t="str">
        <f t="shared" si="2"/>
        <v>5.1. 분양예정지 지정서 작성</v>
      </c>
      <c r="O50" s="37"/>
      <c r="P50" s="37"/>
      <c r="Q50" s="37"/>
      <c r="R50" s="37"/>
      <c r="S50" s="37"/>
      <c r="T50" s="37"/>
      <c r="U50" s="227"/>
      <c r="V50" s="231"/>
      <c r="W50" s="153">
        <f t="array" aca="1" ref="W50" ca="1">SUM((ROUNDDOWN((D91:I91)*단가,0)))</f>
        <v>12908388</v>
      </c>
      <c r="X50" s="154"/>
      <c r="Y50" s="170" t="str">
        <f t="shared" si="1"/>
        <v>제 19 호표</v>
      </c>
      <c r="Z50" s="150"/>
    </row>
    <row r="51" spans="1:26" ht="18" customHeight="1">
      <c r="A51" s="279"/>
      <c r="B51" s="222" t="s">
        <v>561</v>
      </c>
      <c r="C51" s="47"/>
      <c r="D51" s="48">
        <f t="shared" ref="D51:I51" si="10">SUBTOTAL(9,D52:D52)</f>
        <v>4</v>
      </c>
      <c r="E51" s="49">
        <f t="shared" si="10"/>
        <v>4.0999999999999996</v>
      </c>
      <c r="F51" s="49">
        <f t="shared" si="10"/>
        <v>14.5</v>
      </c>
      <c r="G51" s="49">
        <f t="shared" si="10"/>
        <v>20.100000000000001</v>
      </c>
      <c r="H51" s="49">
        <f t="shared" si="10"/>
        <v>29.1</v>
      </c>
      <c r="I51" s="50">
        <f t="shared" si="10"/>
        <v>43.2</v>
      </c>
      <c r="J51" s="389"/>
      <c r="L51" s="233"/>
      <c r="N51" s="354" t="str">
        <f t="shared" si="2"/>
        <v>6. 분양설계서</v>
      </c>
      <c r="O51" s="169"/>
      <c r="P51" s="169"/>
      <c r="Q51" s="169"/>
      <c r="R51" s="169"/>
      <c r="S51" s="169"/>
      <c r="T51" s="169"/>
      <c r="U51" s="226"/>
      <c r="V51" s="248"/>
      <c r="W51" s="193">
        <f ca="1">SUBTOTAL(9,W52:W52)</f>
        <v>18897191</v>
      </c>
      <c r="X51" s="257"/>
      <c r="Y51" s="170" t="str">
        <f t="shared" si="1"/>
        <v/>
      </c>
      <c r="Z51" s="169"/>
    </row>
    <row r="52" spans="1:26" ht="18" customHeight="1">
      <c r="A52" s="279"/>
      <c r="B52" s="223" t="s">
        <v>2139</v>
      </c>
      <c r="C52" s="23"/>
      <c r="D52" s="197">
        <v>4</v>
      </c>
      <c r="E52" s="198">
        <v>4.0999999999999996</v>
      </c>
      <c r="F52" s="198">
        <v>14.5</v>
      </c>
      <c r="G52" s="198">
        <v>20.100000000000001</v>
      </c>
      <c r="H52" s="198">
        <v>29.1</v>
      </c>
      <c r="I52" s="199">
        <v>43.2</v>
      </c>
      <c r="J52" s="389" t="s">
        <v>1090</v>
      </c>
      <c r="L52" s="233">
        <v>1</v>
      </c>
      <c r="N52" s="292" t="str">
        <f t="shared" si="2"/>
        <v>6.1. 인가신청도서 작성</v>
      </c>
      <c r="O52" s="37"/>
      <c r="P52" s="37"/>
      <c r="Q52" s="37"/>
      <c r="R52" s="37"/>
      <c r="S52" s="37"/>
      <c r="T52" s="37"/>
      <c r="U52" s="226"/>
      <c r="V52" s="248"/>
      <c r="W52" s="153">
        <f t="array" aca="1" ref="W52" ca="1">SUM((ROUNDDOWN((D93:I93)*단가,0)))</f>
        <v>18897191</v>
      </c>
      <c r="X52" s="113"/>
      <c r="Y52" s="170" t="str">
        <f t="shared" si="1"/>
        <v>제 20 호표</v>
      </c>
      <c r="Z52" s="37"/>
    </row>
    <row r="53" spans="1:26" ht="18" customHeight="1">
      <c r="A53" s="279"/>
      <c r="B53" s="222" t="s">
        <v>562</v>
      </c>
      <c r="C53" s="47"/>
      <c r="D53" s="48">
        <f t="shared" ref="D53:I53" si="11">SUBTOTAL(9,D54:D57)</f>
        <v>8</v>
      </c>
      <c r="E53" s="49">
        <f t="shared" si="11"/>
        <v>8</v>
      </c>
      <c r="F53" s="49">
        <f t="shared" si="11"/>
        <v>8</v>
      </c>
      <c r="G53" s="49">
        <f t="shared" si="11"/>
        <v>16</v>
      </c>
      <c r="H53" s="49">
        <f t="shared" si="11"/>
        <v>16</v>
      </c>
      <c r="I53" s="50">
        <f t="shared" si="11"/>
        <v>16</v>
      </c>
      <c r="J53" s="389"/>
      <c r="L53" s="232"/>
      <c r="N53" s="354" t="str">
        <f t="shared" si="2"/>
        <v>7. 기술협의</v>
      </c>
      <c r="O53" s="169"/>
      <c r="P53" s="169"/>
      <c r="Q53" s="169"/>
      <c r="R53" s="169"/>
      <c r="S53" s="169"/>
      <c r="T53" s="169"/>
      <c r="U53" s="226"/>
      <c r="V53" s="248"/>
      <c r="W53" s="193">
        <f ca="1">SUBTOTAL(9,W54:W57)</f>
        <v>21702576</v>
      </c>
      <c r="X53" s="194"/>
      <c r="Y53" s="170" t="str">
        <f t="shared" si="1"/>
        <v/>
      </c>
      <c r="Z53" s="170"/>
    </row>
    <row r="54" spans="1:26" ht="18" customHeight="1">
      <c r="A54" s="279"/>
      <c r="B54" s="223" t="s">
        <v>2140</v>
      </c>
      <c r="C54" s="23"/>
      <c r="D54" s="197">
        <v>2</v>
      </c>
      <c r="E54" s="198">
        <v>2</v>
      </c>
      <c r="F54" s="198">
        <v>2</v>
      </c>
      <c r="G54" s="198">
        <v>4</v>
      </c>
      <c r="H54" s="198">
        <v>4</v>
      </c>
      <c r="I54" s="199">
        <v>4</v>
      </c>
      <c r="J54" s="389" t="s">
        <v>1095</v>
      </c>
      <c r="L54" s="233">
        <v>1</v>
      </c>
      <c r="N54" s="292" t="str">
        <f t="shared" si="2"/>
        <v>7.1. 공청회/주민설명회</v>
      </c>
      <c r="O54" s="37"/>
      <c r="P54" s="37"/>
      <c r="Q54" s="37"/>
      <c r="R54" s="37"/>
      <c r="S54" s="37"/>
      <c r="T54" s="37"/>
      <c r="U54" s="227"/>
      <c r="V54" s="231"/>
      <c r="W54" s="153">
        <f t="array" aca="1" ref="W54" ca="1">SUM((ROUNDDOWN((D95:I95)*단가,0)))</f>
        <v>5425644</v>
      </c>
      <c r="X54" s="154"/>
      <c r="Y54" s="170" t="str">
        <f t="shared" si="1"/>
        <v>제 21 호표</v>
      </c>
      <c r="Z54" s="150"/>
    </row>
    <row r="55" spans="1:26" ht="18" customHeight="1">
      <c r="A55" s="279"/>
      <c r="B55" s="223" t="s">
        <v>2141</v>
      </c>
      <c r="C55" s="23"/>
      <c r="D55" s="197">
        <v>2</v>
      </c>
      <c r="E55" s="198">
        <v>2</v>
      </c>
      <c r="F55" s="198">
        <v>2</v>
      </c>
      <c r="G55" s="198">
        <v>4</v>
      </c>
      <c r="H55" s="198">
        <v>4</v>
      </c>
      <c r="I55" s="199">
        <v>4</v>
      </c>
      <c r="J55" s="389" t="s">
        <v>1094</v>
      </c>
      <c r="L55" s="233">
        <v>1</v>
      </c>
      <c r="N55" s="292" t="str">
        <f t="shared" si="2"/>
        <v>7.2. 주민간담회/시민계획단</v>
      </c>
      <c r="O55" s="37"/>
      <c r="P55" s="37"/>
      <c r="Q55" s="37"/>
      <c r="R55" s="37"/>
      <c r="S55" s="37"/>
      <c r="T55" s="37"/>
      <c r="U55" s="227"/>
      <c r="V55" s="231"/>
      <c r="W55" s="153">
        <f t="array" aca="1" ref="W55" ca="1">SUM((ROUNDDOWN((D96:I96)*단가,0)))</f>
        <v>5425644</v>
      </c>
      <c r="X55" s="154"/>
      <c r="Y55" s="170" t="str">
        <f t="shared" si="1"/>
        <v>제 22 호표</v>
      </c>
      <c r="Z55" s="150"/>
    </row>
    <row r="56" spans="1:26" ht="18" customHeight="1">
      <c r="A56" s="279"/>
      <c r="B56" s="223" t="s">
        <v>2142</v>
      </c>
      <c r="C56" s="23"/>
      <c r="D56" s="197">
        <v>2</v>
      </c>
      <c r="E56" s="198">
        <v>2</v>
      </c>
      <c r="F56" s="198">
        <v>2</v>
      </c>
      <c r="G56" s="198">
        <v>4</v>
      </c>
      <c r="H56" s="198">
        <v>4</v>
      </c>
      <c r="I56" s="199">
        <v>4</v>
      </c>
      <c r="J56" s="389" t="s">
        <v>1094</v>
      </c>
      <c r="L56" s="233">
        <v>1</v>
      </c>
      <c r="N56" s="292" t="str">
        <f t="shared" si="2"/>
        <v>7.3. 위원회심의 지원</v>
      </c>
      <c r="O56" s="37"/>
      <c r="P56" s="37"/>
      <c r="Q56" s="37"/>
      <c r="R56" s="37"/>
      <c r="S56" s="37"/>
      <c r="T56" s="37"/>
      <c r="U56" s="227"/>
      <c r="V56" s="231"/>
      <c r="W56" s="153">
        <f t="array" aca="1" ref="W56" ca="1">SUM((ROUNDDOWN((D97:I97)*단가,0)))</f>
        <v>5425644</v>
      </c>
      <c r="X56" s="154"/>
      <c r="Y56" s="170" t="str">
        <f t="shared" si="1"/>
        <v>제 23 호표</v>
      </c>
      <c r="Z56" s="150"/>
    </row>
    <row r="57" spans="1:26" ht="18" customHeight="1" thickBot="1">
      <c r="A57" s="279"/>
      <c r="B57" s="223" t="s">
        <v>2143</v>
      </c>
      <c r="C57" s="23"/>
      <c r="D57" s="197">
        <v>2</v>
      </c>
      <c r="E57" s="198">
        <v>2</v>
      </c>
      <c r="F57" s="198">
        <v>2</v>
      </c>
      <c r="G57" s="198">
        <v>4</v>
      </c>
      <c r="H57" s="198">
        <v>4</v>
      </c>
      <c r="I57" s="199">
        <v>4</v>
      </c>
      <c r="J57" s="612" t="s">
        <v>1094</v>
      </c>
      <c r="L57" s="233">
        <v>1</v>
      </c>
      <c r="N57" s="292" t="str">
        <f t="shared" si="2"/>
        <v>7.4. 관계기관 협의</v>
      </c>
      <c r="O57" s="37"/>
      <c r="P57" s="37"/>
      <c r="Q57" s="37"/>
      <c r="R57" s="37"/>
      <c r="S57" s="37"/>
      <c r="T57" s="37"/>
      <c r="U57" s="227"/>
      <c r="V57" s="231"/>
      <c r="W57" s="153">
        <f t="array" aca="1" ref="W57" ca="1">SUM((ROUNDDOWN((D98:I98)*단가,0)))</f>
        <v>5425644</v>
      </c>
      <c r="X57" s="154"/>
      <c r="Y57" s="170" t="str">
        <f t="shared" si="1"/>
        <v>제 24 호표</v>
      </c>
      <c r="Z57" s="150"/>
    </row>
    <row r="58" spans="1:26" ht="18" customHeight="1" thickBot="1">
      <c r="A58" s="279"/>
      <c r="B58" s="14" t="s">
        <v>30</v>
      </c>
      <c r="C58" s="16"/>
      <c r="D58" s="14" t="s">
        <v>12</v>
      </c>
      <c r="E58" s="15"/>
      <c r="F58" s="15"/>
      <c r="G58" s="15"/>
      <c r="H58" s="15"/>
      <c r="I58" s="16"/>
      <c r="J58" s="175" t="s">
        <v>31</v>
      </c>
      <c r="N58" s="8"/>
      <c r="P58" s="371"/>
      <c r="R58" s="357"/>
      <c r="S58" s="1"/>
      <c r="T58" s="1"/>
      <c r="U58" s="258"/>
      <c r="V58" s="372"/>
      <c r="W58" s="373"/>
      <c r="X58" s="374"/>
      <c r="Y58" s="375"/>
    </row>
    <row r="59" spans="1:26" ht="18" customHeight="1">
      <c r="A59" s="279"/>
      <c r="B59" s="222" t="s">
        <v>555</v>
      </c>
      <c r="C59" s="47"/>
      <c r="D59" s="48">
        <f t="shared" ref="D59:I59" si="12">SUBTOTAL(9,D60:D63)</f>
        <v>2.2199999999999998</v>
      </c>
      <c r="E59" s="49">
        <f t="shared" si="12"/>
        <v>2.2199999999999998</v>
      </c>
      <c r="F59" s="49">
        <f t="shared" si="12"/>
        <v>11.7</v>
      </c>
      <c r="G59" s="49">
        <f t="shared" si="12"/>
        <v>15.66</v>
      </c>
      <c r="H59" s="49">
        <f t="shared" si="12"/>
        <v>23.340000000000003</v>
      </c>
      <c r="I59" s="50">
        <f t="shared" si="12"/>
        <v>13.079999999999998</v>
      </c>
      <c r="J59" s="74"/>
      <c r="N59" s="290" t="s">
        <v>10</v>
      </c>
      <c r="O59" s="129"/>
      <c r="P59" s="130"/>
      <c r="Q59" s="124"/>
      <c r="R59" s="131"/>
      <c r="S59" s="124"/>
      <c r="T59" s="124"/>
      <c r="U59" s="181"/>
      <c r="V59" s="181"/>
      <c r="W59" s="159">
        <f>SUBTOTAL(9,W60:W62)</f>
        <v>8000000</v>
      </c>
      <c r="X59" s="160"/>
      <c r="Y59" s="124"/>
      <c r="Z59" s="124"/>
    </row>
    <row r="60" spans="1:26" ht="18" customHeight="1">
      <c r="A60" s="278">
        <v>1</v>
      </c>
      <c r="B60" s="223" t="s">
        <v>2112</v>
      </c>
      <c r="C60" s="23"/>
      <c r="D60" s="197">
        <f t="array" ref="D60:I63">ROUNDDOWN(D19:I22*$D$5*L19:L22,3)</f>
        <v>0</v>
      </c>
      <c r="E60" s="198">
        <v>0</v>
      </c>
      <c r="F60" s="198">
        <v>2.04</v>
      </c>
      <c r="G60" s="198">
        <v>5.16</v>
      </c>
      <c r="H60" s="198">
        <v>8.2200000000000006</v>
      </c>
      <c r="I60" s="199">
        <v>0</v>
      </c>
      <c r="J60" s="74"/>
      <c r="N60" s="128" t="str">
        <f>"여비("&amp;TEXT(R60,"#인 ×")&amp;TEXT(S60,"#일 ×")&amp;TEXT(T60,"###,###원)")</f>
        <v>여비(3인 ×10일 ×100,000원)</v>
      </c>
      <c r="O60" s="78"/>
      <c r="P60" s="52"/>
      <c r="Q60" s="51"/>
      <c r="R60" s="146">
        <v>3</v>
      </c>
      <c r="S60" s="146">
        <v>10</v>
      </c>
      <c r="T60" s="147">
        <v>100000</v>
      </c>
      <c r="U60" s="182"/>
      <c r="V60" s="182"/>
      <c r="W60" s="161">
        <f>R60*S60*T60</f>
        <v>3000000</v>
      </c>
      <c r="X60" s="162"/>
      <c r="Y60" s="51"/>
      <c r="Z60" s="51"/>
    </row>
    <row r="61" spans="1:26" ht="18" customHeight="1">
      <c r="A61" s="278">
        <v>2</v>
      </c>
      <c r="B61" s="223" t="s">
        <v>2113</v>
      </c>
      <c r="C61" s="23"/>
      <c r="D61" s="197">
        <v>0.18</v>
      </c>
      <c r="E61" s="198">
        <v>0.18</v>
      </c>
      <c r="F61" s="198">
        <v>2.94</v>
      </c>
      <c r="G61" s="198">
        <v>4.8600000000000003</v>
      </c>
      <c r="H61" s="198">
        <v>12.06</v>
      </c>
      <c r="I61" s="199">
        <v>11.04</v>
      </c>
      <c r="J61" s="74"/>
      <c r="N61" s="79" t="s">
        <v>46</v>
      </c>
      <c r="O61" s="79"/>
      <c r="P61" s="39"/>
      <c r="Q61" s="37"/>
      <c r="R61" s="117"/>
      <c r="S61" s="37"/>
      <c r="T61" s="37"/>
      <c r="U61" s="180"/>
      <c r="V61" s="180"/>
      <c r="W61" s="157">
        <v>3000000</v>
      </c>
      <c r="X61" s="158"/>
      <c r="Y61" s="37"/>
      <c r="Z61" s="37"/>
    </row>
    <row r="62" spans="1:26" ht="18" customHeight="1">
      <c r="A62" s="278">
        <v>3</v>
      </c>
      <c r="B62" s="223" t="s">
        <v>2114</v>
      </c>
      <c r="C62" s="23"/>
      <c r="D62" s="197">
        <v>0.9</v>
      </c>
      <c r="E62" s="198">
        <v>0.9</v>
      </c>
      <c r="F62" s="198">
        <v>3.36</v>
      </c>
      <c r="G62" s="198">
        <v>3.06</v>
      </c>
      <c r="H62" s="198">
        <v>1.26</v>
      </c>
      <c r="I62" s="199">
        <v>1.26</v>
      </c>
      <c r="J62" s="74"/>
      <c r="N62" s="132" t="s">
        <v>13</v>
      </c>
      <c r="O62" s="132"/>
      <c r="P62" s="38"/>
      <c r="Q62" s="38"/>
      <c r="R62" s="116"/>
      <c r="S62" s="38"/>
      <c r="T62" s="38"/>
      <c r="U62" s="183"/>
      <c r="V62" s="183"/>
      <c r="W62" s="155">
        <v>2000000</v>
      </c>
      <c r="X62" s="156"/>
      <c r="Y62" s="38"/>
      <c r="Z62" s="38"/>
    </row>
    <row r="63" spans="1:26" ht="18" customHeight="1">
      <c r="A63" s="278">
        <v>4</v>
      </c>
      <c r="B63" s="223" t="s">
        <v>2115</v>
      </c>
      <c r="C63" s="23"/>
      <c r="D63" s="197">
        <v>1.1399999999999999</v>
      </c>
      <c r="E63" s="198">
        <v>1.1399999999999999</v>
      </c>
      <c r="F63" s="198">
        <v>3.36</v>
      </c>
      <c r="G63" s="198">
        <v>2.58</v>
      </c>
      <c r="H63" s="198">
        <v>1.8</v>
      </c>
      <c r="I63" s="199">
        <v>0.78</v>
      </c>
      <c r="J63" s="74"/>
      <c r="N63" s="127" t="s">
        <v>47</v>
      </c>
      <c r="O63" s="123"/>
      <c r="P63" s="123"/>
      <c r="Q63" s="123"/>
      <c r="R63" s="123"/>
      <c r="S63" s="123"/>
      <c r="T63" s="123"/>
      <c r="U63" s="184"/>
      <c r="V63" s="184"/>
      <c r="W63" s="163">
        <f ca="1">SUBTOTAL(9,W64:W65)</f>
        <v>239791307</v>
      </c>
      <c r="X63" s="164"/>
      <c r="Y63" s="123"/>
      <c r="Z63" s="123"/>
    </row>
    <row r="64" spans="1:26" ht="18" customHeight="1">
      <c r="A64" s="278"/>
      <c r="B64" s="222" t="s">
        <v>556</v>
      </c>
      <c r="C64" s="47"/>
      <c r="D64" s="48">
        <f t="shared" ref="D64:I64" si="13">SUBTOTAL(9,D65:D69)</f>
        <v>1.5</v>
      </c>
      <c r="E64" s="49">
        <f t="shared" si="13"/>
        <v>1.62</v>
      </c>
      <c r="F64" s="49">
        <f t="shared" si="13"/>
        <v>10.26</v>
      </c>
      <c r="G64" s="49">
        <f t="shared" si="13"/>
        <v>15.959999999999999</v>
      </c>
      <c r="H64" s="49">
        <f t="shared" si="13"/>
        <v>23.880000000000003</v>
      </c>
      <c r="I64" s="50">
        <f t="shared" si="13"/>
        <v>22.38</v>
      </c>
      <c r="J64" s="74"/>
      <c r="N64" s="133" t="s">
        <v>861</v>
      </c>
      <c r="O64" s="124"/>
      <c r="P64" s="134"/>
      <c r="Q64" s="124"/>
      <c r="R64" s="131"/>
      <c r="S64" s="124"/>
      <c r="T64" s="181"/>
      <c r="U64" s="181"/>
      <c r="V64" s="190">
        <v>1.1499999999999999</v>
      </c>
      <c r="W64" s="159">
        <f ca="1">ROUNDDOWN(W17*V64,0)</f>
        <v>153626743</v>
      </c>
      <c r="X64" s="160"/>
      <c r="Y64" s="124"/>
      <c r="Z64" s="124"/>
    </row>
    <row r="65" spans="1:26" ht="18" customHeight="1" thickBot="1">
      <c r="A65" s="278">
        <v>5</v>
      </c>
      <c r="B65" s="223" t="s">
        <v>2116</v>
      </c>
      <c r="C65" s="23"/>
      <c r="D65" s="197">
        <f t="array" ref="D65:I69">ROUNDDOWN(D24:I28*$D$5*L24:L28,3)</f>
        <v>0.12</v>
      </c>
      <c r="E65" s="198">
        <v>0.12</v>
      </c>
      <c r="F65" s="198">
        <v>0.78</v>
      </c>
      <c r="G65" s="198">
        <v>0.54</v>
      </c>
      <c r="H65" s="198">
        <v>0.78</v>
      </c>
      <c r="I65" s="199">
        <v>0.24</v>
      </c>
      <c r="J65" s="74"/>
      <c r="N65" s="135" t="s">
        <v>862</v>
      </c>
      <c r="O65" s="136"/>
      <c r="P65" s="137"/>
      <c r="Q65" s="136"/>
      <c r="R65" s="138"/>
      <c r="S65" s="136"/>
      <c r="T65" s="185"/>
      <c r="U65" s="185"/>
      <c r="V65" s="191">
        <v>0.3</v>
      </c>
      <c r="W65" s="165">
        <f ca="1">ROUNDDOWN((W17+W64)*V65,0)</f>
        <v>86164564</v>
      </c>
      <c r="X65" s="166"/>
      <c r="Y65" s="136"/>
      <c r="Z65" s="136"/>
    </row>
    <row r="66" spans="1:26" ht="18" customHeight="1">
      <c r="A66" s="278">
        <v>6</v>
      </c>
      <c r="B66" s="223" t="s">
        <v>2117</v>
      </c>
      <c r="C66" s="23"/>
      <c r="D66" s="197">
        <v>0.9</v>
      </c>
      <c r="E66" s="198">
        <v>0.9</v>
      </c>
      <c r="F66" s="198">
        <v>5.4</v>
      </c>
      <c r="G66" s="198">
        <v>5.64</v>
      </c>
      <c r="H66" s="198">
        <v>5.88</v>
      </c>
      <c r="I66" s="199">
        <v>5.64</v>
      </c>
      <c r="J66" s="74"/>
    </row>
    <row r="67" spans="1:26" ht="18" customHeight="1">
      <c r="A67" s="278">
        <v>7</v>
      </c>
      <c r="B67" s="223" t="s">
        <v>2118</v>
      </c>
      <c r="C67" s="23"/>
      <c r="D67" s="197">
        <v>0</v>
      </c>
      <c r="E67" s="198">
        <v>0</v>
      </c>
      <c r="F67" s="198">
        <v>2.04</v>
      </c>
      <c r="G67" s="198">
        <v>5.16</v>
      </c>
      <c r="H67" s="198">
        <v>10.26</v>
      </c>
      <c r="I67" s="199">
        <v>10.8</v>
      </c>
      <c r="J67" s="74"/>
      <c r="K67" s="171" t="s">
        <v>14</v>
      </c>
    </row>
    <row r="68" spans="1:26" ht="18" customHeight="1">
      <c r="A68" s="278">
        <v>8</v>
      </c>
      <c r="B68" s="223" t="s">
        <v>2119</v>
      </c>
      <c r="C68" s="23"/>
      <c r="D68" s="197">
        <v>0.24</v>
      </c>
      <c r="E68" s="198">
        <v>0.3</v>
      </c>
      <c r="F68" s="198">
        <v>1.02</v>
      </c>
      <c r="G68" s="198">
        <v>3.6</v>
      </c>
      <c r="H68" s="198">
        <v>6.42</v>
      </c>
      <c r="I68" s="199">
        <v>5.16</v>
      </c>
      <c r="J68" s="74"/>
      <c r="K68" s="171" t="s">
        <v>14</v>
      </c>
    </row>
    <row r="69" spans="1:26" ht="18" customHeight="1">
      <c r="A69" s="278">
        <v>9</v>
      </c>
      <c r="B69" s="223" t="s">
        <v>2120</v>
      </c>
      <c r="C69" s="23"/>
      <c r="D69" s="197">
        <v>0.24</v>
      </c>
      <c r="E69" s="198">
        <v>0.3</v>
      </c>
      <c r="F69" s="198">
        <v>1.02</v>
      </c>
      <c r="G69" s="198">
        <v>1.02</v>
      </c>
      <c r="H69" s="198">
        <v>0.54</v>
      </c>
      <c r="I69" s="199">
        <v>0.54</v>
      </c>
      <c r="J69" s="74"/>
      <c r="K69" s="171" t="s">
        <v>14</v>
      </c>
    </row>
    <row r="70" spans="1:26" ht="18" customHeight="1">
      <c r="A70" s="278"/>
      <c r="B70" s="222" t="s">
        <v>2121</v>
      </c>
      <c r="C70" s="47"/>
      <c r="D70" s="48">
        <f t="shared" ref="D70:I70" si="14">SUBTOTAL(9,D71:D73)</f>
        <v>0.48</v>
      </c>
      <c r="E70" s="49">
        <f t="shared" si="14"/>
        <v>0.54</v>
      </c>
      <c r="F70" s="49">
        <f t="shared" si="14"/>
        <v>8.4599999999999991</v>
      </c>
      <c r="G70" s="49">
        <f t="shared" si="14"/>
        <v>10.559999999999999</v>
      </c>
      <c r="H70" s="49">
        <f t="shared" si="14"/>
        <v>14.4</v>
      </c>
      <c r="I70" s="50">
        <f t="shared" si="14"/>
        <v>12.36</v>
      </c>
      <c r="J70" s="74"/>
      <c r="K70" s="171" t="s">
        <v>14</v>
      </c>
      <c r="L70" s="171"/>
    </row>
    <row r="71" spans="1:26" ht="18" customHeight="1">
      <c r="A71" s="278">
        <f>IF($E$2=1,A69+1,"")</f>
        <v>10</v>
      </c>
      <c r="B71" s="223" t="s">
        <v>2122</v>
      </c>
      <c r="C71" s="23"/>
      <c r="D71" s="197">
        <f t="array" ref="D71:I73">ROUNDDOWN(D30:I32*$D$5*L30:L32*(IF(E2=1,1,0)),3)</f>
        <v>0.48</v>
      </c>
      <c r="E71" s="198">
        <v>0.54</v>
      </c>
      <c r="F71" s="198">
        <v>5.64</v>
      </c>
      <c r="G71" s="198">
        <v>6.18</v>
      </c>
      <c r="H71" s="198">
        <v>7.2</v>
      </c>
      <c r="I71" s="199">
        <v>5.16</v>
      </c>
      <c r="J71" s="74"/>
      <c r="K71" s="171"/>
      <c r="L71" s="171"/>
      <c r="R71" s="1"/>
      <c r="S71" s="1"/>
      <c r="T71" s="1"/>
      <c r="U71" s="1"/>
      <c r="V71" s="1"/>
      <c r="W71" s="1"/>
      <c r="X71" s="1"/>
      <c r="Y71" s="1"/>
    </row>
    <row r="72" spans="1:26" ht="18" customHeight="1">
      <c r="A72" s="278">
        <f>IF($E$2=1,A71+1,"")</f>
        <v>11</v>
      </c>
      <c r="B72" s="223" t="s">
        <v>2123</v>
      </c>
      <c r="C72" s="23"/>
      <c r="D72" s="197">
        <v>0</v>
      </c>
      <c r="E72" s="198">
        <v>0</v>
      </c>
      <c r="F72" s="198">
        <v>0.54</v>
      </c>
      <c r="G72" s="198">
        <v>1.02</v>
      </c>
      <c r="H72" s="198">
        <v>3.36</v>
      </c>
      <c r="I72" s="199">
        <v>3.84</v>
      </c>
      <c r="J72" s="74"/>
      <c r="K72" s="171" t="s">
        <v>14</v>
      </c>
      <c r="L72" s="171"/>
      <c r="R72" s="1"/>
      <c r="S72" s="1"/>
      <c r="T72" s="1"/>
      <c r="U72" s="1"/>
      <c r="V72" s="1"/>
      <c r="W72" s="1"/>
      <c r="X72" s="1"/>
      <c r="Y72" s="1"/>
    </row>
    <row r="73" spans="1:26" ht="18" customHeight="1">
      <c r="A73" s="278">
        <f>IF($E$2=1,A72+1,"")</f>
        <v>12</v>
      </c>
      <c r="B73" s="223" t="s">
        <v>2124</v>
      </c>
      <c r="C73" s="23"/>
      <c r="D73" s="197">
        <v>0</v>
      </c>
      <c r="E73" s="198">
        <v>0</v>
      </c>
      <c r="F73" s="198">
        <v>2.2799999999999998</v>
      </c>
      <c r="G73" s="198">
        <v>3.36</v>
      </c>
      <c r="H73" s="198">
        <v>3.84</v>
      </c>
      <c r="I73" s="199">
        <v>3.36</v>
      </c>
      <c r="J73" s="74"/>
      <c r="K73" s="171" t="s">
        <v>14</v>
      </c>
      <c r="L73" s="171"/>
      <c r="R73" s="1"/>
      <c r="S73" s="1"/>
      <c r="T73" s="1"/>
      <c r="U73" s="1"/>
      <c r="V73" s="1"/>
      <c r="W73" s="1"/>
      <c r="X73" s="1"/>
      <c r="Y73" s="1"/>
    </row>
    <row r="74" spans="1:26" ht="18" customHeight="1" thickBot="1">
      <c r="A74" s="278"/>
      <c r="B74" s="222" t="s">
        <v>557</v>
      </c>
      <c r="C74" s="47"/>
      <c r="D74" s="48">
        <f t="shared" ref="D74:I74" si="15">SUBTOTAL(9,D75:D79)</f>
        <v>0</v>
      </c>
      <c r="E74" s="49">
        <f t="shared" si="15"/>
        <v>0</v>
      </c>
      <c r="F74" s="49">
        <f t="shared" si="15"/>
        <v>0</v>
      </c>
      <c r="G74" s="49">
        <f t="shared" si="15"/>
        <v>0</v>
      </c>
      <c r="H74" s="49">
        <f t="shared" si="15"/>
        <v>0</v>
      </c>
      <c r="I74" s="50">
        <f t="shared" si="15"/>
        <v>0</v>
      </c>
      <c r="J74" s="74"/>
      <c r="K74" s="171" t="s">
        <v>14</v>
      </c>
      <c r="L74" s="171"/>
      <c r="N74" s="66" t="s">
        <v>18</v>
      </c>
      <c r="O74" s="2"/>
      <c r="P74" s="2"/>
      <c r="Q74" s="2"/>
      <c r="R74" s="3"/>
      <c r="S74" s="4"/>
      <c r="T74" s="3"/>
      <c r="U74" s="4"/>
      <c r="V74" s="3"/>
      <c r="W74" s="4"/>
      <c r="X74" s="3"/>
      <c r="Y74" s="4"/>
      <c r="Z74" s="2"/>
    </row>
    <row r="75" spans="1:26" ht="18" customHeight="1">
      <c r="A75" s="278" t="str">
        <f>IF($E$2=2,A69+1,"")</f>
        <v/>
      </c>
      <c r="B75" s="223" t="s">
        <v>2125</v>
      </c>
      <c r="C75" s="23"/>
      <c r="D75" s="197">
        <f t="array" ref="D75:I79">ROUNDDOWN(D34:I38*$D$5*L34:L38*(IF(E2=2,1,0)),3)</f>
        <v>0</v>
      </c>
      <c r="E75" s="198">
        <v>0</v>
      </c>
      <c r="F75" s="198">
        <v>0</v>
      </c>
      <c r="G75" s="198">
        <v>0</v>
      </c>
      <c r="H75" s="198">
        <v>0</v>
      </c>
      <c r="I75" s="199">
        <v>0</v>
      </c>
      <c r="J75" s="74"/>
      <c r="K75" s="171" t="s">
        <v>14</v>
      </c>
      <c r="L75" s="171"/>
      <c r="N75" s="765" t="s">
        <v>19</v>
      </c>
      <c r="O75" s="755" t="s">
        <v>20</v>
      </c>
      <c r="P75" s="755" t="s">
        <v>21</v>
      </c>
      <c r="Q75" s="755" t="s">
        <v>16</v>
      </c>
      <c r="R75" s="5" t="s">
        <v>22</v>
      </c>
      <c r="S75" s="5"/>
      <c r="T75" s="5" t="s">
        <v>23</v>
      </c>
      <c r="U75" s="5"/>
      <c r="V75" s="5" t="s">
        <v>24</v>
      </c>
      <c r="W75" s="5"/>
      <c r="X75" s="5" t="s">
        <v>25</v>
      </c>
      <c r="Y75" s="5"/>
      <c r="Z75" s="755" t="s">
        <v>26</v>
      </c>
    </row>
    <row r="76" spans="1:26" ht="18" customHeight="1" thickBot="1">
      <c r="A76" s="278" t="str">
        <f>IF($E$2=2,A75+1,"")</f>
        <v/>
      </c>
      <c r="B76" s="223" t="s">
        <v>2126</v>
      </c>
      <c r="C76" s="23"/>
      <c r="D76" s="197">
        <v>0</v>
      </c>
      <c r="E76" s="198">
        <v>0</v>
      </c>
      <c r="F76" s="198">
        <v>0</v>
      </c>
      <c r="G76" s="198">
        <v>0</v>
      </c>
      <c r="H76" s="198">
        <v>0</v>
      </c>
      <c r="I76" s="199">
        <v>0</v>
      </c>
      <c r="J76" s="74"/>
      <c r="K76" s="171" t="s">
        <v>14</v>
      </c>
      <c r="L76" s="171"/>
      <c r="N76" s="766"/>
      <c r="O76" s="756"/>
      <c r="P76" s="756"/>
      <c r="Q76" s="756"/>
      <c r="R76" s="67" t="s">
        <v>27</v>
      </c>
      <c r="S76" s="67" t="s">
        <v>28</v>
      </c>
      <c r="T76" s="67" t="s">
        <v>27</v>
      </c>
      <c r="U76" s="67" t="s">
        <v>28</v>
      </c>
      <c r="V76" s="67" t="s">
        <v>27</v>
      </c>
      <c r="W76" s="67" t="s">
        <v>28</v>
      </c>
      <c r="X76" s="67" t="s">
        <v>27</v>
      </c>
      <c r="Y76" s="67" t="s">
        <v>28</v>
      </c>
      <c r="Z76" s="756"/>
    </row>
    <row r="77" spans="1:26" ht="18" customHeight="1" thickTop="1">
      <c r="A77" s="278" t="str">
        <f>IF($E$2=2,A76+1,"")</f>
        <v/>
      </c>
      <c r="B77" s="223" t="s">
        <v>2127</v>
      </c>
      <c r="C77" s="23"/>
      <c r="D77" s="197">
        <v>0</v>
      </c>
      <c r="E77" s="198">
        <v>0</v>
      </c>
      <c r="F77" s="198">
        <v>0</v>
      </c>
      <c r="G77" s="198">
        <v>0</v>
      </c>
      <c r="H77" s="198">
        <v>0</v>
      </c>
      <c r="I77" s="199">
        <v>0</v>
      </c>
      <c r="J77" s="74"/>
      <c r="K77" s="171" t="s">
        <v>14</v>
      </c>
      <c r="L77" s="171"/>
      <c r="N77" s="318" t="str">
        <f ca="1">"제 " &amp; Z77 &amp; " 호표  "&amp; OFFSET($A$1,MATCH(Z77,$A:$A,0)-1,1)</f>
        <v>제 1 호표  1.1. 토지 및 건물 권리조사 보정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v>1</v>
      </c>
    </row>
    <row r="78" spans="1:26" ht="18" customHeight="1">
      <c r="A78" s="278" t="str">
        <f>IF($E$2=2,A77+1,"")</f>
        <v/>
      </c>
      <c r="B78" s="223" t="s">
        <v>2128</v>
      </c>
      <c r="C78" s="23"/>
      <c r="D78" s="197">
        <v>0</v>
      </c>
      <c r="E78" s="198">
        <v>0</v>
      </c>
      <c r="F78" s="198">
        <v>0</v>
      </c>
      <c r="G78" s="198">
        <v>0</v>
      </c>
      <c r="H78" s="198">
        <v>0</v>
      </c>
      <c r="I78" s="199">
        <v>0</v>
      </c>
      <c r="J78" s="74"/>
      <c r="K78" s="171" t="s">
        <v>14</v>
      </c>
      <c r="L78" s="171"/>
      <c r="N78" s="140" t="s">
        <v>43</v>
      </c>
      <c r="O78" s="172">
        <v>3</v>
      </c>
      <c r="P78" s="219">
        <f ca="1">OFFSET($A$1,MATCH(Z77,$A:$A,0)-1,O78)</f>
        <v>0</v>
      </c>
      <c r="Q78" s="141" t="s">
        <v>29</v>
      </c>
      <c r="R78" s="142">
        <f t="shared" ref="R78:S83" ca="1" si="16">T78</f>
        <v>467217</v>
      </c>
      <c r="S78" s="142">
        <f t="shared" ca="1" si="16"/>
        <v>0</v>
      </c>
      <c r="T78" s="142">
        <f ca="1">기술사</f>
        <v>467217</v>
      </c>
      <c r="U78" s="142">
        <f t="shared" ref="U78:U83" ca="1" si="17">ROUNDDOWN(P78*R78,0)</f>
        <v>0</v>
      </c>
      <c r="V78" s="142"/>
      <c r="W78" s="142"/>
      <c r="X78" s="142"/>
      <c r="Y78" s="142"/>
      <c r="Z78" s="114"/>
    </row>
    <row r="79" spans="1:26" ht="18" customHeight="1">
      <c r="A79" s="278" t="str">
        <f>IF($E$2=2,A78+1,"")</f>
        <v/>
      </c>
      <c r="B79" s="223" t="s">
        <v>2129</v>
      </c>
      <c r="C79" s="23"/>
      <c r="D79" s="197">
        <v>0</v>
      </c>
      <c r="E79" s="198">
        <v>0</v>
      </c>
      <c r="F79" s="198">
        <v>0</v>
      </c>
      <c r="G79" s="198">
        <v>0</v>
      </c>
      <c r="H79" s="198">
        <v>0</v>
      </c>
      <c r="I79" s="199">
        <v>0</v>
      </c>
      <c r="J79" s="74"/>
      <c r="K79" s="171" t="s">
        <v>14</v>
      </c>
      <c r="L79" s="171"/>
      <c r="N79" s="143" t="s">
        <v>32</v>
      </c>
      <c r="O79" s="173">
        <v>4</v>
      </c>
      <c r="P79" s="234">
        <f ca="1">OFFSET($A$1,MATCH(Z77,$A:$A,0)-1,O79)</f>
        <v>0</v>
      </c>
      <c r="Q79" s="144" t="s">
        <v>29</v>
      </c>
      <c r="R79" s="118">
        <f t="shared" ca="1" si="16"/>
        <v>373353</v>
      </c>
      <c r="S79" s="118">
        <f t="shared" ca="1" si="16"/>
        <v>0</v>
      </c>
      <c r="T79" s="118">
        <f ca="1">특급</f>
        <v>373353</v>
      </c>
      <c r="U79" s="118">
        <f t="shared" ca="1" si="17"/>
        <v>0</v>
      </c>
      <c r="V79" s="118"/>
      <c r="W79" s="118"/>
      <c r="X79" s="118"/>
      <c r="Y79" s="118"/>
      <c r="Z79" s="115"/>
    </row>
    <row r="80" spans="1:26" ht="18" customHeight="1">
      <c r="A80" s="278"/>
      <c r="B80" s="222" t="s">
        <v>558</v>
      </c>
      <c r="C80" s="47"/>
      <c r="D80" s="48">
        <f t="shared" ref="D80:I80" si="18">SUBTOTAL(9,D81:D82)</f>
        <v>0</v>
      </c>
      <c r="E80" s="49">
        <f t="shared" si="18"/>
        <v>0</v>
      </c>
      <c r="F80" s="49">
        <f t="shared" si="18"/>
        <v>0</v>
      </c>
      <c r="G80" s="49">
        <f t="shared" si="18"/>
        <v>0</v>
      </c>
      <c r="H80" s="49">
        <f t="shared" si="18"/>
        <v>0</v>
      </c>
      <c r="I80" s="50">
        <f t="shared" si="18"/>
        <v>0</v>
      </c>
      <c r="J80" s="74"/>
      <c r="K80" s="171" t="s">
        <v>14</v>
      </c>
      <c r="L80" s="171"/>
      <c r="N80" s="145" t="s">
        <v>39</v>
      </c>
      <c r="O80" s="173">
        <v>5</v>
      </c>
      <c r="P80" s="234">
        <f ca="1">OFFSET($A$1,MATCH(Z77,$A:$A,0)-1,O80)</f>
        <v>2.04</v>
      </c>
      <c r="Q80" s="144" t="s">
        <v>29</v>
      </c>
      <c r="R80" s="118">
        <f t="shared" ca="1" si="16"/>
        <v>310884</v>
      </c>
      <c r="S80" s="118">
        <f t="shared" ca="1" si="16"/>
        <v>634203</v>
      </c>
      <c r="T80" s="118">
        <f ca="1">고급</f>
        <v>310884</v>
      </c>
      <c r="U80" s="118">
        <f t="shared" ca="1" si="17"/>
        <v>634203</v>
      </c>
      <c r="V80" s="118"/>
      <c r="W80" s="118"/>
      <c r="X80" s="118"/>
      <c r="Y80" s="118"/>
      <c r="Z80" s="115"/>
    </row>
    <row r="81" spans="1:26" ht="18" customHeight="1">
      <c r="A81" s="278" t="str">
        <f>IF($E$2=3,A69+1,"")</f>
        <v/>
      </c>
      <c r="B81" s="223" t="s">
        <v>2130</v>
      </c>
      <c r="C81" s="23"/>
      <c r="D81" s="197">
        <f t="array" ref="D81:I82">ROUNDDOWN(D40:I41*$D$5*L40:L41*(IF(E2=3,1,0)),3)</f>
        <v>0</v>
      </c>
      <c r="E81" s="198">
        <v>0</v>
      </c>
      <c r="F81" s="198">
        <v>0</v>
      </c>
      <c r="G81" s="198">
        <v>0</v>
      </c>
      <c r="H81" s="198">
        <v>0</v>
      </c>
      <c r="I81" s="199">
        <v>0</v>
      </c>
      <c r="J81" s="74"/>
      <c r="K81" s="171" t="s">
        <v>14</v>
      </c>
      <c r="L81" s="171"/>
      <c r="N81" s="145" t="s">
        <v>40</v>
      </c>
      <c r="O81" s="173">
        <v>6</v>
      </c>
      <c r="P81" s="234">
        <f ca="1">OFFSET($A$1,MATCH(Z77,$A:$A,0)-1,O81)</f>
        <v>5.16</v>
      </c>
      <c r="Q81" s="144" t="s">
        <v>29</v>
      </c>
      <c r="R81" s="118">
        <f t="shared" ca="1" si="16"/>
        <v>295138</v>
      </c>
      <c r="S81" s="118">
        <f t="shared" ca="1" si="16"/>
        <v>1522912</v>
      </c>
      <c r="T81" s="118">
        <f ca="1">중급</f>
        <v>295138</v>
      </c>
      <c r="U81" s="118">
        <f t="shared" ca="1" si="17"/>
        <v>1522912</v>
      </c>
      <c r="V81" s="118"/>
      <c r="W81" s="118"/>
      <c r="X81" s="118"/>
      <c r="Y81" s="118"/>
      <c r="Z81" s="115"/>
    </row>
    <row r="82" spans="1:26" ht="18" customHeight="1">
      <c r="A82" s="278" t="str">
        <f>IF($E$2=3,A81+1,"")</f>
        <v/>
      </c>
      <c r="B82" s="223" t="s">
        <v>2131</v>
      </c>
      <c r="C82" s="23"/>
      <c r="D82" s="197">
        <v>0</v>
      </c>
      <c r="E82" s="198">
        <v>0</v>
      </c>
      <c r="F82" s="198">
        <v>0</v>
      </c>
      <c r="G82" s="198">
        <v>0</v>
      </c>
      <c r="H82" s="198">
        <v>0</v>
      </c>
      <c r="I82" s="199">
        <v>0</v>
      </c>
      <c r="J82" s="74"/>
      <c r="K82" s="171" t="s">
        <v>14</v>
      </c>
      <c r="L82" s="171"/>
      <c r="N82" s="145" t="s">
        <v>41</v>
      </c>
      <c r="O82" s="173">
        <v>7</v>
      </c>
      <c r="P82" s="234">
        <f ca="1">OFFSET($A$1,MATCH(Z77,$A:$A,0)-1,O82)</f>
        <v>8.2200000000000006</v>
      </c>
      <c r="Q82" s="144" t="s">
        <v>29</v>
      </c>
      <c r="R82" s="118">
        <f t="shared" ca="1" si="16"/>
        <v>235459</v>
      </c>
      <c r="S82" s="118">
        <f t="shared" ca="1" si="16"/>
        <v>1935472</v>
      </c>
      <c r="T82" s="118">
        <f ca="1">초급</f>
        <v>235459</v>
      </c>
      <c r="U82" s="118">
        <f t="shared" ca="1" si="17"/>
        <v>1935472</v>
      </c>
      <c r="V82" s="118"/>
      <c r="W82" s="118"/>
      <c r="X82" s="118"/>
      <c r="Y82" s="118"/>
      <c r="Z82" s="115"/>
    </row>
    <row r="83" spans="1:26" ht="18" customHeight="1">
      <c r="A83" s="278"/>
      <c r="B83" s="222" t="s">
        <v>559</v>
      </c>
      <c r="C83" s="47"/>
      <c r="D83" s="48">
        <f t="shared" ref="D83:I83" si="19">SUBTOTAL(9,D84:D89)</f>
        <v>3.42</v>
      </c>
      <c r="E83" s="49">
        <f t="shared" si="19"/>
        <v>3.42</v>
      </c>
      <c r="F83" s="49">
        <f t="shared" si="19"/>
        <v>15.66</v>
      </c>
      <c r="G83" s="49">
        <f t="shared" si="19"/>
        <v>23.88</v>
      </c>
      <c r="H83" s="49">
        <f t="shared" si="19"/>
        <v>31.259999999999998</v>
      </c>
      <c r="I83" s="50">
        <f t="shared" si="19"/>
        <v>23.82</v>
      </c>
      <c r="J83" s="74"/>
      <c r="K83" s="171" t="s">
        <v>14</v>
      </c>
      <c r="L83" s="171"/>
      <c r="N83" s="319" t="s">
        <v>42</v>
      </c>
      <c r="O83" s="174">
        <v>8</v>
      </c>
      <c r="P83" s="235">
        <f ca="1">OFFSET($A$1,MATCH(Z77,$A:$A,0)-1,O83)</f>
        <v>0</v>
      </c>
      <c r="Q83" s="322" t="s">
        <v>29</v>
      </c>
      <c r="R83" s="323">
        <f t="shared" ca="1" si="16"/>
        <v>250087</v>
      </c>
      <c r="S83" s="323">
        <f t="shared" ca="1" si="16"/>
        <v>0</v>
      </c>
      <c r="T83" s="323">
        <f ca="1">보조원</f>
        <v>250087</v>
      </c>
      <c r="U83" s="323">
        <f t="shared" ca="1" si="17"/>
        <v>0</v>
      </c>
      <c r="V83" s="323"/>
      <c r="W83" s="323"/>
      <c r="X83" s="323"/>
      <c r="Y83" s="323"/>
      <c r="Z83" s="324"/>
    </row>
    <row r="84" spans="1:26" ht="18" customHeight="1">
      <c r="A84" s="278">
        <f>CHOOSE(E2,A73+1,A79+1,A83+1)</f>
        <v>13</v>
      </c>
      <c r="B84" s="223" t="s">
        <v>2132</v>
      </c>
      <c r="C84" s="23"/>
      <c r="D84" s="197">
        <f t="array" ref="D84:I84">ROUNDDOWN(D43:I43*$D$5*L43*(IF(E2=1,1,0)),3)</f>
        <v>0</v>
      </c>
      <c r="E84" s="198">
        <v>0</v>
      </c>
      <c r="F84" s="198">
        <v>3.6</v>
      </c>
      <c r="G84" s="198">
        <v>3.6</v>
      </c>
      <c r="H84" s="198">
        <v>4.08</v>
      </c>
      <c r="I84" s="199">
        <v>4.08</v>
      </c>
      <c r="J84" s="389"/>
      <c r="K84" s="171" t="s">
        <v>14</v>
      </c>
      <c r="L84" s="171"/>
      <c r="N84" s="139" t="s">
        <v>17</v>
      </c>
      <c r="O84" s="68"/>
      <c r="P84" s="69"/>
      <c r="Q84" s="70"/>
      <c r="R84" s="71"/>
      <c r="S84" s="71">
        <f ca="1">SUBTOTAL(9,S78:S83)</f>
        <v>4092587</v>
      </c>
      <c r="T84" s="71"/>
      <c r="U84" s="71">
        <f ca="1">SUBTOTAL(9,U78:U83)</f>
        <v>4092587</v>
      </c>
      <c r="V84" s="71"/>
      <c r="W84" s="71"/>
      <c r="X84" s="71"/>
      <c r="Y84" s="71"/>
      <c r="Z84" s="68"/>
    </row>
    <row r="85" spans="1:26" ht="18" customHeight="1">
      <c r="A85" s="278">
        <f>CHOOSE(D2,A84+1,A69+6,A69+3)</f>
        <v>14</v>
      </c>
      <c r="B85" s="223" t="s">
        <v>2133</v>
      </c>
      <c r="C85" s="23"/>
      <c r="D85" s="197">
        <f t="array" ref="D85:I89">ROUNDDOWN(D44:I48*$D$5*L44:L48*(IF(E2&gt;0,1,0)),3)</f>
        <v>2.4</v>
      </c>
      <c r="E85" s="198">
        <v>2.4</v>
      </c>
      <c r="F85" s="198">
        <v>9</v>
      </c>
      <c r="G85" s="198">
        <v>10.8</v>
      </c>
      <c r="H85" s="198">
        <v>13.08</v>
      </c>
      <c r="I85" s="199">
        <v>9.7200000000000006</v>
      </c>
      <c r="J85" s="74"/>
      <c r="K85" s="171" t="s">
        <v>14</v>
      </c>
      <c r="L85" s="171"/>
      <c r="N85" s="318" t="str">
        <f ca="1">"제 " &amp; Z85 &amp; " 호표  "&amp; OFFSET($A$1,MATCH(Z85,$A:$A,0)-1,1)</f>
        <v>제 2 호표  1.2. 종전토지지적의 결정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2</v>
      </c>
    </row>
    <row r="86" spans="1:26" ht="18" customHeight="1">
      <c r="A86" s="278">
        <f>A85+1</f>
        <v>15</v>
      </c>
      <c r="B86" s="223" t="s">
        <v>2134</v>
      </c>
      <c r="C86" s="23"/>
      <c r="D86" s="197">
        <v>0.12</v>
      </c>
      <c r="E86" s="198">
        <v>0.12</v>
      </c>
      <c r="F86" s="198">
        <v>1.26</v>
      </c>
      <c r="G86" s="198">
        <v>2.82</v>
      </c>
      <c r="H86" s="198">
        <v>3.06</v>
      </c>
      <c r="I86" s="199">
        <v>3.84</v>
      </c>
      <c r="J86" s="74"/>
      <c r="K86" s="171" t="s">
        <v>14</v>
      </c>
      <c r="L86" s="171"/>
      <c r="N86" s="140" t="s">
        <v>43</v>
      </c>
      <c r="O86" s="172">
        <v>3</v>
      </c>
      <c r="P86" s="219">
        <f ca="1">OFFSET($A$1,MATCH(Z85,$A:$A,0)-1,O86)</f>
        <v>0.18</v>
      </c>
      <c r="Q86" s="141" t="s">
        <v>29</v>
      </c>
      <c r="R86" s="142">
        <f t="shared" ref="R86:S91" ca="1" si="20">T86</f>
        <v>467217</v>
      </c>
      <c r="S86" s="142">
        <f t="shared" ca="1" si="20"/>
        <v>84099</v>
      </c>
      <c r="T86" s="142">
        <f ca="1">기술사</f>
        <v>467217</v>
      </c>
      <c r="U86" s="142">
        <f t="shared" ref="U86:U91" ca="1" si="21">ROUNDDOWN(P86*R86,0)</f>
        <v>84099</v>
      </c>
      <c r="V86" s="142"/>
      <c r="W86" s="142"/>
      <c r="X86" s="142"/>
      <c r="Y86" s="142"/>
      <c r="Z86" s="114"/>
    </row>
    <row r="87" spans="1:26" ht="18" customHeight="1">
      <c r="A87" s="278">
        <f>A86+1</f>
        <v>16</v>
      </c>
      <c r="B87" s="223" t="s">
        <v>2135</v>
      </c>
      <c r="C87" s="23"/>
      <c r="D87" s="197">
        <v>0</v>
      </c>
      <c r="E87" s="198">
        <v>0</v>
      </c>
      <c r="F87" s="198">
        <v>0</v>
      </c>
      <c r="G87" s="198">
        <v>0</v>
      </c>
      <c r="H87" s="198">
        <v>5.64</v>
      </c>
      <c r="I87" s="199">
        <v>6.18</v>
      </c>
      <c r="J87" s="74"/>
      <c r="K87" s="171" t="s">
        <v>14</v>
      </c>
      <c r="L87" s="171"/>
      <c r="N87" s="143" t="s">
        <v>32</v>
      </c>
      <c r="O87" s="173">
        <v>4</v>
      </c>
      <c r="P87" s="234">
        <f ca="1">OFFSET($A$1,MATCH(Z85,$A:$A,0)-1,O87)</f>
        <v>0.18</v>
      </c>
      <c r="Q87" s="144" t="s">
        <v>29</v>
      </c>
      <c r="R87" s="118">
        <f t="shared" ca="1" si="20"/>
        <v>373353</v>
      </c>
      <c r="S87" s="118">
        <f t="shared" ca="1" si="20"/>
        <v>67203</v>
      </c>
      <c r="T87" s="118">
        <f ca="1">특급</f>
        <v>373353</v>
      </c>
      <c r="U87" s="118">
        <f t="shared" ca="1" si="21"/>
        <v>67203</v>
      </c>
      <c r="V87" s="118"/>
      <c r="W87" s="118"/>
      <c r="X87" s="118"/>
      <c r="Y87" s="118"/>
      <c r="Z87" s="115"/>
    </row>
    <row r="88" spans="1:26" ht="18" customHeight="1">
      <c r="A88" s="278">
        <f>A87+1</f>
        <v>17</v>
      </c>
      <c r="B88" s="223" t="s">
        <v>2136</v>
      </c>
      <c r="C88" s="23"/>
      <c r="D88" s="197">
        <v>0</v>
      </c>
      <c r="E88" s="198">
        <v>0</v>
      </c>
      <c r="F88" s="198">
        <v>0</v>
      </c>
      <c r="G88" s="198">
        <v>4.8600000000000003</v>
      </c>
      <c r="H88" s="198">
        <v>5.4</v>
      </c>
      <c r="I88" s="199">
        <v>0</v>
      </c>
      <c r="J88" s="74"/>
      <c r="K88" s="171" t="s">
        <v>14</v>
      </c>
      <c r="L88" s="171"/>
      <c r="N88" s="145" t="s">
        <v>39</v>
      </c>
      <c r="O88" s="173">
        <v>5</v>
      </c>
      <c r="P88" s="234">
        <f ca="1">OFFSET($A$1,MATCH(Z85,$A:$A,0)-1,O88)</f>
        <v>2.94</v>
      </c>
      <c r="Q88" s="144" t="s">
        <v>29</v>
      </c>
      <c r="R88" s="118">
        <f t="shared" ca="1" si="20"/>
        <v>310884</v>
      </c>
      <c r="S88" s="118">
        <f t="shared" ca="1" si="20"/>
        <v>913998</v>
      </c>
      <c r="T88" s="118">
        <f ca="1">고급</f>
        <v>310884</v>
      </c>
      <c r="U88" s="118">
        <f t="shared" ca="1" si="21"/>
        <v>913998</v>
      </c>
      <c r="V88" s="118"/>
      <c r="W88" s="118"/>
      <c r="X88" s="118"/>
      <c r="Y88" s="118"/>
      <c r="Z88" s="115"/>
    </row>
    <row r="89" spans="1:26" ht="18" customHeight="1">
      <c r="A89" s="278">
        <f>A88+1</f>
        <v>18</v>
      </c>
      <c r="B89" s="223" t="s">
        <v>2137</v>
      </c>
      <c r="C89" s="23"/>
      <c r="D89" s="197">
        <v>0.9</v>
      </c>
      <c r="E89" s="198">
        <v>0.9</v>
      </c>
      <c r="F89" s="198">
        <v>1.8</v>
      </c>
      <c r="G89" s="198">
        <v>1.8</v>
      </c>
      <c r="H89" s="198">
        <v>0</v>
      </c>
      <c r="I89" s="199">
        <v>0</v>
      </c>
      <c r="J89" s="74"/>
      <c r="K89" s="171" t="s">
        <v>14</v>
      </c>
      <c r="L89" s="171"/>
      <c r="N89" s="145" t="s">
        <v>40</v>
      </c>
      <c r="O89" s="173">
        <v>6</v>
      </c>
      <c r="P89" s="234">
        <f ca="1">OFFSET($A$1,MATCH(Z85,$A:$A,0)-1,O89)</f>
        <v>4.8600000000000003</v>
      </c>
      <c r="Q89" s="144" t="s">
        <v>29</v>
      </c>
      <c r="R89" s="118">
        <f t="shared" ca="1" si="20"/>
        <v>295138</v>
      </c>
      <c r="S89" s="118">
        <f t="shared" ca="1" si="20"/>
        <v>1434370</v>
      </c>
      <c r="T89" s="118">
        <f ca="1">중급</f>
        <v>295138</v>
      </c>
      <c r="U89" s="118">
        <f t="shared" ca="1" si="21"/>
        <v>1434370</v>
      </c>
      <c r="V89" s="118"/>
      <c r="W89" s="118"/>
      <c r="X89" s="118"/>
      <c r="Y89" s="118"/>
      <c r="Z89" s="115"/>
    </row>
    <row r="90" spans="1:26" ht="18" customHeight="1">
      <c r="A90" s="278"/>
      <c r="B90" s="222" t="s">
        <v>560</v>
      </c>
      <c r="C90" s="47"/>
      <c r="D90" s="48">
        <f t="shared" ref="D90:I90" si="22">SUBTOTAL(9,D91)</f>
        <v>0.48</v>
      </c>
      <c r="E90" s="49">
        <f t="shared" si="22"/>
        <v>0.54</v>
      </c>
      <c r="F90" s="49">
        <f t="shared" si="22"/>
        <v>4.62</v>
      </c>
      <c r="G90" s="49">
        <f t="shared" si="22"/>
        <v>5.88</v>
      </c>
      <c r="H90" s="49">
        <f t="shared" si="22"/>
        <v>16.920000000000002</v>
      </c>
      <c r="I90" s="50">
        <f t="shared" si="22"/>
        <v>21.3</v>
      </c>
      <c r="J90" s="74"/>
      <c r="K90" s="171" t="s">
        <v>14</v>
      </c>
      <c r="L90" s="171"/>
      <c r="N90" s="145" t="s">
        <v>41</v>
      </c>
      <c r="O90" s="173">
        <v>7</v>
      </c>
      <c r="P90" s="234">
        <f ca="1">OFFSET($A$1,MATCH(Z85,$A:$A,0)-1,O90)</f>
        <v>12.06</v>
      </c>
      <c r="Q90" s="144" t="s">
        <v>29</v>
      </c>
      <c r="R90" s="118">
        <f t="shared" ca="1" si="20"/>
        <v>235459</v>
      </c>
      <c r="S90" s="118">
        <f t="shared" ca="1" si="20"/>
        <v>2839635</v>
      </c>
      <c r="T90" s="118">
        <f ca="1">초급</f>
        <v>235459</v>
      </c>
      <c r="U90" s="118">
        <f t="shared" ca="1" si="21"/>
        <v>2839635</v>
      </c>
      <c r="V90" s="118"/>
      <c r="W90" s="118"/>
      <c r="X90" s="118"/>
      <c r="Y90" s="118"/>
      <c r="Z90" s="115"/>
    </row>
    <row r="91" spans="1:26" ht="18" customHeight="1">
      <c r="A91" s="278">
        <f>A89+1</f>
        <v>19</v>
      </c>
      <c r="B91" s="223" t="s">
        <v>2138</v>
      </c>
      <c r="C91" s="23"/>
      <c r="D91" s="197">
        <f t="array" ref="D91:I91">ROUNDDOWN(D50:I50*$D$5*L50,3)</f>
        <v>0.48</v>
      </c>
      <c r="E91" s="198">
        <v>0.54</v>
      </c>
      <c r="F91" s="198">
        <v>4.62</v>
      </c>
      <c r="G91" s="198">
        <v>5.88</v>
      </c>
      <c r="H91" s="198">
        <v>16.920000000000002</v>
      </c>
      <c r="I91" s="199">
        <v>21.3</v>
      </c>
      <c r="J91" s="74"/>
      <c r="K91" s="171" t="s">
        <v>14</v>
      </c>
      <c r="L91" s="171"/>
      <c r="N91" s="319" t="s">
        <v>42</v>
      </c>
      <c r="O91" s="174">
        <v>8</v>
      </c>
      <c r="P91" s="235">
        <f ca="1">OFFSET($A$1,MATCH(Z85,$A:$A,0)-1,O91)</f>
        <v>11.04</v>
      </c>
      <c r="Q91" s="322" t="s">
        <v>29</v>
      </c>
      <c r="R91" s="323">
        <f t="shared" ca="1" si="20"/>
        <v>250087</v>
      </c>
      <c r="S91" s="323">
        <f t="shared" ca="1" si="20"/>
        <v>2760960</v>
      </c>
      <c r="T91" s="323">
        <f ca="1">보조원</f>
        <v>250087</v>
      </c>
      <c r="U91" s="323">
        <f t="shared" ca="1" si="21"/>
        <v>2760960</v>
      </c>
      <c r="V91" s="323"/>
      <c r="W91" s="323"/>
      <c r="X91" s="323"/>
      <c r="Y91" s="323"/>
      <c r="Z91" s="324"/>
    </row>
    <row r="92" spans="1:26" ht="18" customHeight="1">
      <c r="A92" s="278"/>
      <c r="B92" s="222" t="s">
        <v>561</v>
      </c>
      <c r="C92" s="47"/>
      <c r="D92" s="48">
        <f t="shared" ref="D92:I92" si="23">SUBTOTAL(9,D93:D93)</f>
        <v>2.4</v>
      </c>
      <c r="E92" s="49">
        <f t="shared" si="23"/>
        <v>2.46</v>
      </c>
      <c r="F92" s="49">
        <f t="shared" si="23"/>
        <v>8.6999999999999993</v>
      </c>
      <c r="G92" s="49">
        <f t="shared" si="23"/>
        <v>12.06</v>
      </c>
      <c r="H92" s="49">
        <f t="shared" si="23"/>
        <v>17.46</v>
      </c>
      <c r="I92" s="50">
        <f t="shared" si="23"/>
        <v>25.92</v>
      </c>
      <c r="J92" s="74"/>
      <c r="K92" s="171" t="s">
        <v>14</v>
      </c>
      <c r="L92" s="171"/>
      <c r="N92" s="139" t="s">
        <v>17</v>
      </c>
      <c r="O92" s="68"/>
      <c r="P92" s="69"/>
      <c r="Q92" s="70"/>
      <c r="R92" s="71"/>
      <c r="S92" s="71">
        <f ca="1">SUBTOTAL(9,S86:S91)</f>
        <v>8100265</v>
      </c>
      <c r="T92" s="71"/>
      <c r="U92" s="71">
        <f ca="1">SUBTOTAL(9,U86:U91)</f>
        <v>8100265</v>
      </c>
      <c r="V92" s="71"/>
      <c r="W92" s="71"/>
      <c r="X92" s="71"/>
      <c r="Y92" s="71"/>
      <c r="Z92" s="68"/>
    </row>
    <row r="93" spans="1:26" ht="18" customHeight="1" thickBot="1">
      <c r="A93" s="278">
        <f>A91+1</f>
        <v>20</v>
      </c>
      <c r="B93" s="223" t="s">
        <v>2139</v>
      </c>
      <c r="C93" s="23"/>
      <c r="D93" s="197">
        <f t="array" ref="D93:I93">ROUNDDOWN(D52:I52*$D$5*L52,3)</f>
        <v>2.4</v>
      </c>
      <c r="E93" s="198">
        <v>2.46</v>
      </c>
      <c r="F93" s="198">
        <v>8.6999999999999993</v>
      </c>
      <c r="G93" s="198">
        <v>12.06</v>
      </c>
      <c r="H93" s="198">
        <v>17.46</v>
      </c>
      <c r="I93" s="199">
        <v>25.92</v>
      </c>
      <c r="J93" s="74"/>
      <c r="K93" s="171" t="s">
        <v>14</v>
      </c>
      <c r="L93" s="171"/>
      <c r="N93" s="318" t="str">
        <f ca="1">"제 " &amp; Z93 &amp; " 호표  "&amp; OFFSET($A$1,MATCH(Z93,$A:$A,0)-1,1)</f>
        <v>제 3 호표  1.3. 토지 및 건물가격 평가기준 작성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3</v>
      </c>
    </row>
    <row r="94" spans="1:26" ht="18" customHeight="1">
      <c r="A94" s="278"/>
      <c r="B94" s="222" t="s">
        <v>180</v>
      </c>
      <c r="C94" s="72"/>
      <c r="D94" s="402">
        <f t="shared" ref="D94:I94" si="24">SUBTOTAL(9,D95:D98)</f>
        <v>8</v>
      </c>
      <c r="E94" s="403">
        <f t="shared" si="24"/>
        <v>8</v>
      </c>
      <c r="F94" s="403">
        <f t="shared" si="24"/>
        <v>8</v>
      </c>
      <c r="G94" s="403">
        <f t="shared" si="24"/>
        <v>16</v>
      </c>
      <c r="H94" s="403">
        <f t="shared" si="24"/>
        <v>16</v>
      </c>
      <c r="I94" s="404">
        <f t="shared" si="24"/>
        <v>16</v>
      </c>
      <c r="J94" s="74"/>
      <c r="K94" s="171" t="s">
        <v>14</v>
      </c>
      <c r="L94" s="171"/>
      <c r="N94" s="140" t="s">
        <v>43</v>
      </c>
      <c r="O94" s="172">
        <v>3</v>
      </c>
      <c r="P94" s="219">
        <f ca="1">OFFSET($A$1,MATCH(Z93,$A:$A,0)-1,O94)</f>
        <v>0.9</v>
      </c>
      <c r="Q94" s="141" t="s">
        <v>29</v>
      </c>
      <c r="R94" s="142">
        <f t="shared" ref="R94:S99" ca="1" si="25">T94</f>
        <v>467217</v>
      </c>
      <c r="S94" s="142">
        <f t="shared" ca="1" si="25"/>
        <v>420495</v>
      </c>
      <c r="T94" s="142">
        <f ca="1">기술사</f>
        <v>467217</v>
      </c>
      <c r="U94" s="142">
        <f t="shared" ref="U94:U99" ca="1" si="26">ROUNDDOWN(P94*R94,0)</f>
        <v>420495</v>
      </c>
      <c r="V94" s="142"/>
      <c r="W94" s="142"/>
      <c r="X94" s="142"/>
      <c r="Y94" s="142"/>
      <c r="Z94" s="114"/>
    </row>
    <row r="95" spans="1:26" ht="18" customHeight="1">
      <c r="A95" s="278">
        <f>A93+1</f>
        <v>21</v>
      </c>
      <c r="B95" s="223" t="s">
        <v>2140</v>
      </c>
      <c r="C95" s="23"/>
      <c r="D95" s="197">
        <f t="array" ref="D95:I98">ROUNDDOWN(D54:I57*L54:L57*I5,3)</f>
        <v>2</v>
      </c>
      <c r="E95" s="198">
        <v>2</v>
      </c>
      <c r="F95" s="198">
        <v>2</v>
      </c>
      <c r="G95" s="198">
        <v>4</v>
      </c>
      <c r="H95" s="198">
        <v>4</v>
      </c>
      <c r="I95" s="199">
        <v>4</v>
      </c>
      <c r="J95" s="74"/>
      <c r="K95" s="171" t="s">
        <v>14</v>
      </c>
      <c r="L95" s="171"/>
      <c r="N95" s="143" t="s">
        <v>32</v>
      </c>
      <c r="O95" s="173">
        <v>4</v>
      </c>
      <c r="P95" s="234">
        <f ca="1">OFFSET($A$1,MATCH(Z93,$A:$A,0)-1,O95)</f>
        <v>0.9</v>
      </c>
      <c r="Q95" s="144" t="s">
        <v>29</v>
      </c>
      <c r="R95" s="118">
        <f t="shared" ca="1" si="25"/>
        <v>373353</v>
      </c>
      <c r="S95" s="118">
        <f t="shared" ca="1" si="25"/>
        <v>336017</v>
      </c>
      <c r="T95" s="118">
        <f ca="1">특급</f>
        <v>373353</v>
      </c>
      <c r="U95" s="118">
        <f t="shared" ca="1" si="26"/>
        <v>336017</v>
      </c>
      <c r="V95" s="118"/>
      <c r="W95" s="118"/>
      <c r="X95" s="118"/>
      <c r="Y95" s="118"/>
      <c r="Z95" s="115"/>
    </row>
    <row r="96" spans="1:26" ht="18" customHeight="1">
      <c r="A96" s="278">
        <f>A95+1</f>
        <v>22</v>
      </c>
      <c r="B96" s="223" t="s">
        <v>2141</v>
      </c>
      <c r="C96" s="23"/>
      <c r="D96" s="197">
        <v>2</v>
      </c>
      <c r="E96" s="198">
        <v>2</v>
      </c>
      <c r="F96" s="198">
        <v>2</v>
      </c>
      <c r="G96" s="198">
        <v>4</v>
      </c>
      <c r="H96" s="198">
        <v>4</v>
      </c>
      <c r="I96" s="199">
        <v>4</v>
      </c>
      <c r="J96" s="74"/>
      <c r="K96" s="171" t="s">
        <v>14</v>
      </c>
      <c r="L96" s="171"/>
      <c r="N96" s="145" t="s">
        <v>39</v>
      </c>
      <c r="O96" s="173">
        <v>5</v>
      </c>
      <c r="P96" s="234">
        <f ca="1">OFFSET($A$1,MATCH(Z93,$A:$A,0)-1,O96)</f>
        <v>3.36</v>
      </c>
      <c r="Q96" s="144" t="s">
        <v>29</v>
      </c>
      <c r="R96" s="118">
        <f t="shared" ca="1" si="25"/>
        <v>310884</v>
      </c>
      <c r="S96" s="118">
        <f t="shared" ca="1" si="25"/>
        <v>1044570</v>
      </c>
      <c r="T96" s="118">
        <f ca="1">고급</f>
        <v>310884</v>
      </c>
      <c r="U96" s="118">
        <f t="shared" ca="1" si="26"/>
        <v>1044570</v>
      </c>
      <c r="V96" s="118"/>
      <c r="W96" s="118"/>
      <c r="X96" s="118"/>
      <c r="Y96" s="118"/>
      <c r="Z96" s="115"/>
    </row>
    <row r="97" spans="1:26" ht="18" customHeight="1">
      <c r="A97" s="278">
        <f>A96+1</f>
        <v>23</v>
      </c>
      <c r="B97" s="223" t="s">
        <v>2142</v>
      </c>
      <c r="C97" s="23"/>
      <c r="D97" s="197">
        <v>2</v>
      </c>
      <c r="E97" s="198">
        <v>2</v>
      </c>
      <c r="F97" s="198">
        <v>2</v>
      </c>
      <c r="G97" s="198">
        <v>4</v>
      </c>
      <c r="H97" s="198">
        <v>4</v>
      </c>
      <c r="I97" s="199">
        <v>4</v>
      </c>
      <c r="J97" s="74"/>
      <c r="K97" s="171" t="s">
        <v>14</v>
      </c>
      <c r="L97" s="171"/>
      <c r="N97" s="145" t="s">
        <v>40</v>
      </c>
      <c r="O97" s="173">
        <v>6</v>
      </c>
      <c r="P97" s="234">
        <f ca="1">OFFSET($A$1,MATCH(Z93,$A:$A,0)-1,O97)</f>
        <v>3.06</v>
      </c>
      <c r="Q97" s="144" t="s">
        <v>29</v>
      </c>
      <c r="R97" s="118">
        <f t="shared" ca="1" si="25"/>
        <v>295138</v>
      </c>
      <c r="S97" s="118">
        <f t="shared" ca="1" si="25"/>
        <v>903122</v>
      </c>
      <c r="T97" s="118">
        <f ca="1">중급</f>
        <v>295138</v>
      </c>
      <c r="U97" s="118">
        <f t="shared" ca="1" si="26"/>
        <v>903122</v>
      </c>
      <c r="V97" s="118"/>
      <c r="W97" s="118"/>
      <c r="X97" s="118"/>
      <c r="Y97" s="118"/>
      <c r="Z97" s="115"/>
    </row>
    <row r="98" spans="1:26" ht="18" customHeight="1" thickBot="1">
      <c r="A98" s="278">
        <f>A97+1</f>
        <v>24</v>
      </c>
      <c r="B98" s="388" t="s">
        <v>2143</v>
      </c>
      <c r="C98" s="342"/>
      <c r="D98" s="343">
        <v>2</v>
      </c>
      <c r="E98" s="344">
        <v>2</v>
      </c>
      <c r="F98" s="344">
        <v>2</v>
      </c>
      <c r="G98" s="344">
        <v>4</v>
      </c>
      <c r="H98" s="344">
        <v>4</v>
      </c>
      <c r="I98" s="345">
        <v>4</v>
      </c>
      <c r="J98" s="176"/>
      <c r="K98" s="171" t="s">
        <v>14</v>
      </c>
      <c r="L98" s="171"/>
      <c r="N98" s="145" t="s">
        <v>41</v>
      </c>
      <c r="O98" s="173">
        <v>7</v>
      </c>
      <c r="P98" s="234">
        <f ca="1">OFFSET($A$1,MATCH(Z93,$A:$A,0)-1,O98)</f>
        <v>1.26</v>
      </c>
      <c r="Q98" s="144" t="s">
        <v>29</v>
      </c>
      <c r="R98" s="118">
        <f t="shared" ca="1" si="25"/>
        <v>235459</v>
      </c>
      <c r="S98" s="118">
        <f t="shared" ca="1" si="25"/>
        <v>296678</v>
      </c>
      <c r="T98" s="118">
        <f ca="1">초급</f>
        <v>235459</v>
      </c>
      <c r="U98" s="118">
        <f t="shared" ca="1" si="26"/>
        <v>296678</v>
      </c>
      <c r="V98" s="118"/>
      <c r="W98" s="118"/>
      <c r="X98" s="118"/>
      <c r="Y98" s="118"/>
      <c r="Z98" s="115"/>
    </row>
    <row r="99" spans="1:26" ht="18" customHeight="1">
      <c r="B99" s="80" t="s">
        <v>15</v>
      </c>
      <c r="C99" s="1" t="s">
        <v>2144</v>
      </c>
      <c r="E99" s="8"/>
      <c r="F99" s="8"/>
      <c r="G99" s="8"/>
      <c r="H99" s="8"/>
      <c r="I99" s="8"/>
      <c r="J99" s="10"/>
      <c r="K99" s="171" t="s">
        <v>14</v>
      </c>
      <c r="L99" s="171"/>
      <c r="N99" s="319" t="s">
        <v>42</v>
      </c>
      <c r="O99" s="174">
        <v>8</v>
      </c>
      <c r="P99" s="235">
        <f ca="1">OFFSET($A$1,MATCH(Z93,$A:$A,0)-1,O99)</f>
        <v>1.26</v>
      </c>
      <c r="Q99" s="322" t="s">
        <v>29</v>
      </c>
      <c r="R99" s="323">
        <f t="shared" ca="1" si="25"/>
        <v>250087</v>
      </c>
      <c r="S99" s="323">
        <f t="shared" ca="1" si="25"/>
        <v>315109</v>
      </c>
      <c r="T99" s="323">
        <f ca="1">보조원</f>
        <v>250087</v>
      </c>
      <c r="U99" s="323">
        <f t="shared" ca="1" si="26"/>
        <v>315109</v>
      </c>
      <c r="V99" s="323"/>
      <c r="W99" s="323"/>
      <c r="X99" s="323"/>
      <c r="Y99" s="323"/>
      <c r="Z99" s="324"/>
    </row>
    <row r="100" spans="1:26" ht="18" customHeight="1">
      <c r="B100" s="80"/>
      <c r="C100" s="9" t="s">
        <v>2145</v>
      </c>
      <c r="J100" s="8"/>
      <c r="K100" s="171" t="s">
        <v>14</v>
      </c>
      <c r="L100" s="171"/>
      <c r="N100" s="139" t="s">
        <v>17</v>
      </c>
      <c r="O100" s="68"/>
      <c r="P100" s="69"/>
      <c r="Q100" s="70"/>
      <c r="R100" s="71"/>
      <c r="S100" s="71">
        <f ca="1">SUBTOTAL(9,S94:S99)</f>
        <v>3315991</v>
      </c>
      <c r="T100" s="71"/>
      <c r="U100" s="71">
        <f ca="1">SUBTOTAL(9,U94:U99)</f>
        <v>3315991</v>
      </c>
      <c r="V100" s="71"/>
      <c r="W100" s="71"/>
      <c r="X100" s="71"/>
      <c r="Y100" s="71"/>
      <c r="Z100" s="68"/>
    </row>
    <row r="101" spans="1:26" ht="18" customHeight="1">
      <c r="C101" s="1" t="s">
        <v>2146</v>
      </c>
      <c r="J101" s="8"/>
      <c r="K101" s="171" t="s">
        <v>14</v>
      </c>
      <c r="L101" s="171"/>
      <c r="N101" s="318" t="str">
        <f ca="1">"제 " &amp; Z101 &amp; " 호표  "&amp; OFFSET($A$1,MATCH(Z101,$A:$A,0)-1,1)</f>
        <v>제 4 호표  1.4. 분양설계기준의 작성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4</v>
      </c>
    </row>
    <row r="102" spans="1:26" ht="18" customHeight="1">
      <c r="C102" s="1" t="s">
        <v>2147</v>
      </c>
      <c r="J102" s="8"/>
      <c r="K102" s="171" t="s">
        <v>14</v>
      </c>
      <c r="L102" s="171"/>
      <c r="N102" s="140" t="s">
        <v>43</v>
      </c>
      <c r="O102" s="172">
        <v>3</v>
      </c>
      <c r="P102" s="219">
        <f ca="1">OFFSET($A$1,MATCH(Z101,$A:$A,0)-1,O102)</f>
        <v>1.1399999999999999</v>
      </c>
      <c r="Q102" s="141" t="s">
        <v>29</v>
      </c>
      <c r="R102" s="142">
        <f t="shared" ref="R102:S107" ca="1" si="27">T102</f>
        <v>467217</v>
      </c>
      <c r="S102" s="142">
        <f t="shared" ca="1" si="27"/>
        <v>532627</v>
      </c>
      <c r="T102" s="142">
        <f ca="1">기술사</f>
        <v>467217</v>
      </c>
      <c r="U102" s="142">
        <f t="shared" ref="U102:U107" ca="1" si="28">ROUNDDOWN(P102*R102,0)</f>
        <v>532627</v>
      </c>
      <c r="V102" s="142"/>
      <c r="W102" s="142"/>
      <c r="X102" s="142"/>
      <c r="Y102" s="142"/>
      <c r="Z102" s="114"/>
    </row>
    <row r="103" spans="1:26" ht="18" customHeight="1">
      <c r="K103" s="171" t="s">
        <v>14</v>
      </c>
      <c r="L103" s="171"/>
      <c r="N103" s="143" t="s">
        <v>32</v>
      </c>
      <c r="O103" s="173">
        <v>4</v>
      </c>
      <c r="P103" s="234">
        <f ca="1">OFFSET($A$1,MATCH(Z101,$A:$A,0)-1,O103)</f>
        <v>1.1399999999999999</v>
      </c>
      <c r="Q103" s="144" t="s">
        <v>29</v>
      </c>
      <c r="R103" s="118">
        <f t="shared" ca="1" si="27"/>
        <v>373353</v>
      </c>
      <c r="S103" s="118">
        <f t="shared" ca="1" si="27"/>
        <v>425622</v>
      </c>
      <c r="T103" s="118">
        <f ca="1">특급</f>
        <v>373353</v>
      </c>
      <c r="U103" s="118">
        <f t="shared" ca="1" si="28"/>
        <v>425622</v>
      </c>
      <c r="V103" s="118"/>
      <c r="W103" s="118"/>
      <c r="X103" s="118"/>
      <c r="Y103" s="118"/>
      <c r="Z103" s="115"/>
    </row>
    <row r="104" spans="1:26" ht="18" customHeight="1">
      <c r="C104" s="9"/>
      <c r="K104" s="171" t="s">
        <v>14</v>
      </c>
      <c r="L104" s="171"/>
      <c r="N104" s="145" t="s">
        <v>39</v>
      </c>
      <c r="O104" s="173">
        <v>5</v>
      </c>
      <c r="P104" s="234">
        <f ca="1">OFFSET($A$1,MATCH(Z101,$A:$A,0)-1,O104)</f>
        <v>3.36</v>
      </c>
      <c r="Q104" s="144" t="s">
        <v>29</v>
      </c>
      <c r="R104" s="118">
        <f t="shared" ca="1" si="27"/>
        <v>310884</v>
      </c>
      <c r="S104" s="118">
        <f t="shared" ca="1" si="27"/>
        <v>1044570</v>
      </c>
      <c r="T104" s="118">
        <f ca="1">고급</f>
        <v>310884</v>
      </c>
      <c r="U104" s="118">
        <f t="shared" ca="1" si="28"/>
        <v>1044570</v>
      </c>
      <c r="V104" s="118"/>
      <c r="W104" s="118"/>
      <c r="X104" s="118"/>
      <c r="Y104" s="118"/>
      <c r="Z104" s="115"/>
    </row>
    <row r="105" spans="1:26" ht="18" customHeight="1">
      <c r="C105" s="9"/>
      <c r="K105" s="171" t="s">
        <v>14</v>
      </c>
      <c r="L105" s="171"/>
      <c r="N105" s="145" t="s">
        <v>40</v>
      </c>
      <c r="O105" s="173">
        <v>6</v>
      </c>
      <c r="P105" s="234">
        <f ca="1">OFFSET($A$1,MATCH(Z101,$A:$A,0)-1,O105)</f>
        <v>2.58</v>
      </c>
      <c r="Q105" s="144" t="s">
        <v>29</v>
      </c>
      <c r="R105" s="118">
        <f t="shared" ca="1" si="27"/>
        <v>295138</v>
      </c>
      <c r="S105" s="118">
        <f t="shared" ca="1" si="27"/>
        <v>761456</v>
      </c>
      <c r="T105" s="118">
        <f ca="1">중급</f>
        <v>295138</v>
      </c>
      <c r="U105" s="118">
        <f t="shared" ca="1" si="28"/>
        <v>761456</v>
      </c>
      <c r="V105" s="118"/>
      <c r="W105" s="118"/>
      <c r="X105" s="118"/>
      <c r="Y105" s="118"/>
      <c r="Z105" s="115"/>
    </row>
    <row r="106" spans="1:26" ht="18" customHeight="1">
      <c r="C106" s="9"/>
      <c r="K106" s="171" t="s">
        <v>14</v>
      </c>
      <c r="L106" s="171"/>
      <c r="N106" s="145" t="s">
        <v>41</v>
      </c>
      <c r="O106" s="173">
        <v>7</v>
      </c>
      <c r="P106" s="234">
        <f ca="1">OFFSET($A$1,MATCH(Z101,$A:$A,0)-1,O106)</f>
        <v>1.8</v>
      </c>
      <c r="Q106" s="144" t="s">
        <v>29</v>
      </c>
      <c r="R106" s="118">
        <f t="shared" ca="1" si="27"/>
        <v>235459</v>
      </c>
      <c r="S106" s="118">
        <f t="shared" ca="1" si="27"/>
        <v>423826</v>
      </c>
      <c r="T106" s="118">
        <f ca="1">초급</f>
        <v>235459</v>
      </c>
      <c r="U106" s="118">
        <f t="shared" ca="1" si="28"/>
        <v>423826</v>
      </c>
      <c r="V106" s="118"/>
      <c r="W106" s="118"/>
      <c r="X106" s="118"/>
      <c r="Y106" s="118"/>
      <c r="Z106" s="115"/>
    </row>
    <row r="107" spans="1:26" ht="18" customHeight="1">
      <c r="K107" s="171" t="s">
        <v>14</v>
      </c>
      <c r="L107" s="171"/>
      <c r="N107" s="319" t="s">
        <v>42</v>
      </c>
      <c r="O107" s="174">
        <v>8</v>
      </c>
      <c r="P107" s="235">
        <f ca="1">OFFSET($A$1,MATCH(Z101,$A:$A,0)-1,O107)</f>
        <v>0.78</v>
      </c>
      <c r="Q107" s="322" t="s">
        <v>29</v>
      </c>
      <c r="R107" s="323">
        <f t="shared" ca="1" si="27"/>
        <v>250087</v>
      </c>
      <c r="S107" s="323">
        <f t="shared" ca="1" si="27"/>
        <v>195067</v>
      </c>
      <c r="T107" s="323">
        <f ca="1">보조원</f>
        <v>250087</v>
      </c>
      <c r="U107" s="323">
        <f t="shared" ca="1" si="28"/>
        <v>195067</v>
      </c>
      <c r="V107" s="323"/>
      <c r="W107" s="323"/>
      <c r="X107" s="323"/>
      <c r="Y107" s="323"/>
      <c r="Z107" s="324"/>
    </row>
    <row r="108" spans="1:26" ht="18" customHeight="1">
      <c r="B108" s="9"/>
      <c r="C108" s="9"/>
      <c r="K108" s="171" t="s">
        <v>14</v>
      </c>
      <c r="L108" s="171"/>
      <c r="N108" s="139" t="s">
        <v>17</v>
      </c>
      <c r="O108" s="68"/>
      <c r="P108" s="69"/>
      <c r="Q108" s="70"/>
      <c r="R108" s="71"/>
      <c r="S108" s="71">
        <f ca="1">SUBTOTAL(9,S102:S107)</f>
        <v>3383168</v>
      </c>
      <c r="T108" s="71"/>
      <c r="U108" s="71">
        <f ca="1">SUBTOTAL(9,U102:U107)</f>
        <v>3383168</v>
      </c>
      <c r="V108" s="71"/>
      <c r="W108" s="71"/>
      <c r="X108" s="71"/>
      <c r="Y108" s="71"/>
      <c r="Z108" s="68"/>
    </row>
    <row r="109" spans="1:26" ht="18" customHeight="1">
      <c r="B109" s="9"/>
      <c r="K109" s="171" t="s">
        <v>14</v>
      </c>
      <c r="L109" s="171"/>
      <c r="N109" s="318" t="str">
        <f ca="1">"제 " &amp; Z109 &amp; " 호표  "&amp; OFFSET($A$1,MATCH(Z109,$A:$A,0)-1,1)</f>
        <v>제 5 호표  2.1. 자료조사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5</v>
      </c>
    </row>
    <row r="110" spans="1:26" ht="18" customHeight="1">
      <c r="B110" s="9"/>
      <c r="K110" s="171" t="s">
        <v>14</v>
      </c>
      <c r="L110" s="171"/>
      <c r="N110" s="140" t="s">
        <v>43</v>
      </c>
      <c r="O110" s="172">
        <v>3</v>
      </c>
      <c r="P110" s="219">
        <f ca="1">OFFSET($A$1,MATCH(Z109,$A:$A,0)-1,O110)</f>
        <v>0.12</v>
      </c>
      <c r="Q110" s="141" t="s">
        <v>29</v>
      </c>
      <c r="R110" s="142">
        <f t="shared" ref="R110:S115" ca="1" si="29">T110</f>
        <v>467217</v>
      </c>
      <c r="S110" s="142">
        <f t="shared" ca="1" si="29"/>
        <v>56066</v>
      </c>
      <c r="T110" s="142">
        <f ca="1">기술사</f>
        <v>467217</v>
      </c>
      <c r="U110" s="142">
        <f t="shared" ref="U110:U115" ca="1" si="30">ROUNDDOWN(P110*R110,0)</f>
        <v>56066</v>
      </c>
      <c r="V110" s="142"/>
      <c r="W110" s="142"/>
      <c r="X110" s="142"/>
      <c r="Y110" s="142"/>
      <c r="Z110" s="114"/>
    </row>
    <row r="111" spans="1:26" ht="18" customHeight="1">
      <c r="B111" s="9"/>
      <c r="K111" s="171" t="s">
        <v>14</v>
      </c>
      <c r="L111" s="171"/>
      <c r="N111" s="143" t="s">
        <v>32</v>
      </c>
      <c r="O111" s="173">
        <v>4</v>
      </c>
      <c r="P111" s="234">
        <f ca="1">OFFSET($A$1,MATCH(Z109,$A:$A,0)-1,O111)</f>
        <v>0.12</v>
      </c>
      <c r="Q111" s="144" t="s">
        <v>29</v>
      </c>
      <c r="R111" s="118">
        <f t="shared" ca="1" si="29"/>
        <v>373353</v>
      </c>
      <c r="S111" s="118">
        <f t="shared" ca="1" si="29"/>
        <v>44802</v>
      </c>
      <c r="T111" s="118">
        <f ca="1">특급</f>
        <v>373353</v>
      </c>
      <c r="U111" s="118">
        <f t="shared" ca="1" si="30"/>
        <v>44802</v>
      </c>
      <c r="V111" s="118"/>
      <c r="W111" s="118"/>
      <c r="X111" s="118"/>
      <c r="Y111" s="118"/>
      <c r="Z111" s="115"/>
    </row>
    <row r="112" spans="1:26" ht="18" customHeight="1">
      <c r="B112" s="9"/>
      <c r="K112" s="171" t="s">
        <v>14</v>
      </c>
      <c r="L112" s="171"/>
      <c r="N112" s="145" t="s">
        <v>39</v>
      </c>
      <c r="O112" s="173">
        <v>5</v>
      </c>
      <c r="P112" s="234">
        <f ca="1">OFFSET($A$1,MATCH(Z109,$A:$A,0)-1,O112)</f>
        <v>0.78</v>
      </c>
      <c r="Q112" s="144" t="s">
        <v>29</v>
      </c>
      <c r="R112" s="118">
        <f t="shared" ca="1" si="29"/>
        <v>310884</v>
      </c>
      <c r="S112" s="118">
        <f t="shared" ca="1" si="29"/>
        <v>242489</v>
      </c>
      <c r="T112" s="118">
        <f ca="1">고급</f>
        <v>310884</v>
      </c>
      <c r="U112" s="118">
        <f t="shared" ca="1" si="30"/>
        <v>242489</v>
      </c>
      <c r="V112" s="118"/>
      <c r="W112" s="118"/>
      <c r="X112" s="118"/>
      <c r="Y112" s="118"/>
      <c r="Z112" s="115"/>
    </row>
    <row r="113" spans="2:26" ht="18" customHeight="1">
      <c r="B113" s="9"/>
      <c r="K113" s="171" t="s">
        <v>14</v>
      </c>
      <c r="L113" s="171"/>
      <c r="N113" s="145" t="s">
        <v>40</v>
      </c>
      <c r="O113" s="173">
        <v>6</v>
      </c>
      <c r="P113" s="234">
        <f ca="1">OFFSET($A$1,MATCH(Z109,$A:$A,0)-1,O113)</f>
        <v>0.54</v>
      </c>
      <c r="Q113" s="144" t="s">
        <v>29</v>
      </c>
      <c r="R113" s="118">
        <f t="shared" ca="1" si="29"/>
        <v>295138</v>
      </c>
      <c r="S113" s="118">
        <f t="shared" ca="1" si="29"/>
        <v>159374</v>
      </c>
      <c r="T113" s="118">
        <f ca="1">중급</f>
        <v>295138</v>
      </c>
      <c r="U113" s="118">
        <f t="shared" ca="1" si="30"/>
        <v>159374</v>
      </c>
      <c r="V113" s="118"/>
      <c r="W113" s="118"/>
      <c r="X113" s="118"/>
      <c r="Y113" s="118"/>
      <c r="Z113" s="115"/>
    </row>
    <row r="114" spans="2:26" ht="18" customHeight="1">
      <c r="B114" s="9"/>
      <c r="K114" s="171" t="s">
        <v>14</v>
      </c>
      <c r="L114" s="171"/>
      <c r="N114" s="145" t="s">
        <v>41</v>
      </c>
      <c r="O114" s="173">
        <v>7</v>
      </c>
      <c r="P114" s="234">
        <f ca="1">OFFSET($A$1,MATCH(Z109,$A:$A,0)-1,O114)</f>
        <v>0.78</v>
      </c>
      <c r="Q114" s="144" t="s">
        <v>29</v>
      </c>
      <c r="R114" s="118">
        <f t="shared" ca="1" si="29"/>
        <v>235459</v>
      </c>
      <c r="S114" s="118">
        <f t="shared" ca="1" si="29"/>
        <v>183658</v>
      </c>
      <c r="T114" s="118">
        <f ca="1">초급</f>
        <v>235459</v>
      </c>
      <c r="U114" s="118">
        <f t="shared" ca="1" si="30"/>
        <v>183658</v>
      </c>
      <c r="V114" s="118"/>
      <c r="W114" s="118"/>
      <c r="X114" s="118"/>
      <c r="Y114" s="118"/>
      <c r="Z114" s="115"/>
    </row>
    <row r="115" spans="2:26" ht="18" customHeight="1">
      <c r="K115" s="171" t="s">
        <v>14</v>
      </c>
      <c r="L115" s="171"/>
      <c r="N115" s="319" t="s">
        <v>42</v>
      </c>
      <c r="O115" s="174">
        <v>8</v>
      </c>
      <c r="P115" s="235">
        <f ca="1">OFFSET($A$1,MATCH(Z109,$A:$A,0)-1,O115)</f>
        <v>0.24</v>
      </c>
      <c r="Q115" s="322" t="s">
        <v>29</v>
      </c>
      <c r="R115" s="323">
        <f t="shared" ca="1" si="29"/>
        <v>250087</v>
      </c>
      <c r="S115" s="323">
        <f t="shared" ca="1" si="29"/>
        <v>60020</v>
      </c>
      <c r="T115" s="323">
        <f ca="1">보조원</f>
        <v>250087</v>
      </c>
      <c r="U115" s="323">
        <f t="shared" ca="1" si="30"/>
        <v>60020</v>
      </c>
      <c r="V115" s="323"/>
      <c r="W115" s="323"/>
      <c r="X115" s="323"/>
      <c r="Y115" s="323"/>
      <c r="Z115" s="324"/>
    </row>
    <row r="116" spans="2:26" ht="18" customHeight="1">
      <c r="K116" s="171" t="s">
        <v>14</v>
      </c>
      <c r="L116" s="171"/>
      <c r="N116" s="139" t="s">
        <v>17</v>
      </c>
      <c r="O116" s="68"/>
      <c r="P116" s="69"/>
      <c r="Q116" s="70"/>
      <c r="R116" s="71"/>
      <c r="S116" s="71">
        <f ca="1">SUBTOTAL(9,S110:S115)</f>
        <v>746409</v>
      </c>
      <c r="T116" s="71"/>
      <c r="U116" s="71">
        <f ca="1">SUBTOTAL(9,U110:U115)</f>
        <v>746409</v>
      </c>
      <c r="V116" s="71"/>
      <c r="W116" s="71"/>
      <c r="X116" s="71"/>
      <c r="Y116" s="71"/>
      <c r="Z116" s="68"/>
    </row>
    <row r="117" spans="2:26" ht="18" customHeight="1">
      <c r="K117" s="171" t="s">
        <v>14</v>
      </c>
      <c r="L117" s="171"/>
      <c r="N117" s="318" t="str">
        <f ca="1">"제 " &amp; Z117 &amp; " 호표  "&amp; OFFSET($A$1,MATCH(Z117,$A:$A,0)-1,1)</f>
        <v>제 6 호표  2.2. 정리전후 노선가 설정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6</v>
      </c>
    </row>
    <row r="118" spans="2:26" ht="18" customHeight="1">
      <c r="K118" s="171" t="s">
        <v>14</v>
      </c>
      <c r="L118" s="171"/>
      <c r="N118" s="140" t="s">
        <v>43</v>
      </c>
      <c r="O118" s="172">
        <v>3</v>
      </c>
      <c r="P118" s="219">
        <f ca="1">OFFSET($A$1,MATCH(Z117,$A:$A,0)-1,O118)</f>
        <v>0.9</v>
      </c>
      <c r="Q118" s="141" t="s">
        <v>29</v>
      </c>
      <c r="R118" s="142">
        <f t="shared" ref="R118:S123" ca="1" si="31">T118</f>
        <v>467217</v>
      </c>
      <c r="S118" s="142">
        <f t="shared" ca="1" si="31"/>
        <v>420495</v>
      </c>
      <c r="T118" s="142">
        <f ca="1">기술사</f>
        <v>467217</v>
      </c>
      <c r="U118" s="142">
        <f t="shared" ref="U118:U123" ca="1" si="32">ROUNDDOWN(P118*R118,0)</f>
        <v>420495</v>
      </c>
      <c r="V118" s="142"/>
      <c r="W118" s="142"/>
      <c r="X118" s="142"/>
      <c r="Y118" s="142"/>
      <c r="Z118" s="114"/>
    </row>
    <row r="119" spans="2:26" ht="18" customHeight="1">
      <c r="K119" s="171" t="s">
        <v>14</v>
      </c>
      <c r="L119" s="171"/>
      <c r="N119" s="143" t="s">
        <v>32</v>
      </c>
      <c r="O119" s="173">
        <v>4</v>
      </c>
      <c r="P119" s="234">
        <f ca="1">OFFSET($A$1,MATCH(Z117,$A:$A,0)-1,O119)</f>
        <v>0.9</v>
      </c>
      <c r="Q119" s="144" t="s">
        <v>29</v>
      </c>
      <c r="R119" s="118">
        <f t="shared" ca="1" si="31"/>
        <v>373353</v>
      </c>
      <c r="S119" s="118">
        <f t="shared" ca="1" si="31"/>
        <v>336017</v>
      </c>
      <c r="T119" s="118">
        <f ca="1">특급</f>
        <v>373353</v>
      </c>
      <c r="U119" s="118">
        <f t="shared" ca="1" si="32"/>
        <v>336017</v>
      </c>
      <c r="V119" s="118"/>
      <c r="W119" s="118"/>
      <c r="X119" s="118"/>
      <c r="Y119" s="118"/>
      <c r="Z119" s="115"/>
    </row>
    <row r="120" spans="2:26" ht="18" customHeight="1">
      <c r="K120" s="171" t="s">
        <v>14</v>
      </c>
      <c r="L120" s="171"/>
      <c r="N120" s="145" t="s">
        <v>39</v>
      </c>
      <c r="O120" s="173">
        <v>5</v>
      </c>
      <c r="P120" s="234">
        <f ca="1">OFFSET($A$1,MATCH(Z117,$A:$A,0)-1,O120)</f>
        <v>5.4</v>
      </c>
      <c r="Q120" s="144" t="s">
        <v>29</v>
      </c>
      <c r="R120" s="118">
        <f t="shared" ca="1" si="31"/>
        <v>310884</v>
      </c>
      <c r="S120" s="118">
        <f t="shared" ca="1" si="31"/>
        <v>1678773</v>
      </c>
      <c r="T120" s="118">
        <f ca="1">고급</f>
        <v>310884</v>
      </c>
      <c r="U120" s="118">
        <f t="shared" ca="1" si="32"/>
        <v>1678773</v>
      </c>
      <c r="V120" s="118"/>
      <c r="W120" s="118"/>
      <c r="X120" s="118"/>
      <c r="Y120" s="118"/>
      <c r="Z120" s="115"/>
    </row>
    <row r="121" spans="2:26" ht="18" customHeight="1">
      <c r="K121" s="171" t="s">
        <v>14</v>
      </c>
      <c r="L121" s="171"/>
      <c r="N121" s="145" t="s">
        <v>40</v>
      </c>
      <c r="O121" s="173">
        <v>6</v>
      </c>
      <c r="P121" s="234">
        <f ca="1">OFFSET($A$1,MATCH(Z117,$A:$A,0)-1,O121)</f>
        <v>5.64</v>
      </c>
      <c r="Q121" s="144" t="s">
        <v>29</v>
      </c>
      <c r="R121" s="118">
        <f t="shared" ca="1" si="31"/>
        <v>295138</v>
      </c>
      <c r="S121" s="118">
        <f t="shared" ca="1" si="31"/>
        <v>1664578</v>
      </c>
      <c r="T121" s="118">
        <f ca="1">중급</f>
        <v>295138</v>
      </c>
      <c r="U121" s="118">
        <f t="shared" ca="1" si="32"/>
        <v>1664578</v>
      </c>
      <c r="V121" s="118"/>
      <c r="W121" s="118"/>
      <c r="X121" s="118"/>
      <c r="Y121" s="118"/>
      <c r="Z121" s="115"/>
    </row>
    <row r="122" spans="2:26" ht="18" customHeight="1">
      <c r="K122" s="171" t="s">
        <v>14</v>
      </c>
      <c r="L122" s="171"/>
      <c r="N122" s="145" t="s">
        <v>41</v>
      </c>
      <c r="O122" s="173">
        <v>7</v>
      </c>
      <c r="P122" s="234">
        <f ca="1">OFFSET($A$1,MATCH(Z117,$A:$A,0)-1,O122)</f>
        <v>5.88</v>
      </c>
      <c r="Q122" s="144" t="s">
        <v>29</v>
      </c>
      <c r="R122" s="118">
        <f t="shared" ca="1" si="31"/>
        <v>235459</v>
      </c>
      <c r="S122" s="118">
        <f t="shared" ca="1" si="31"/>
        <v>1384498</v>
      </c>
      <c r="T122" s="118">
        <f ca="1">초급</f>
        <v>235459</v>
      </c>
      <c r="U122" s="118">
        <f t="shared" ca="1" si="32"/>
        <v>1384498</v>
      </c>
      <c r="V122" s="118"/>
      <c r="W122" s="118"/>
      <c r="X122" s="118"/>
      <c r="Y122" s="118"/>
      <c r="Z122" s="115"/>
    </row>
    <row r="123" spans="2:26" ht="18" customHeight="1">
      <c r="K123" s="171" t="s">
        <v>14</v>
      </c>
      <c r="L123" s="171"/>
      <c r="N123" s="319" t="s">
        <v>42</v>
      </c>
      <c r="O123" s="174">
        <v>8</v>
      </c>
      <c r="P123" s="235">
        <f ca="1">OFFSET($A$1,MATCH(Z117,$A:$A,0)-1,O123)</f>
        <v>5.64</v>
      </c>
      <c r="Q123" s="322" t="s">
        <v>29</v>
      </c>
      <c r="R123" s="323">
        <f t="shared" ca="1" si="31"/>
        <v>250087</v>
      </c>
      <c r="S123" s="323">
        <f t="shared" ca="1" si="31"/>
        <v>1410490</v>
      </c>
      <c r="T123" s="323">
        <f ca="1">보조원</f>
        <v>250087</v>
      </c>
      <c r="U123" s="323">
        <f t="shared" ca="1" si="32"/>
        <v>1410490</v>
      </c>
      <c r="V123" s="323"/>
      <c r="W123" s="323"/>
      <c r="X123" s="323"/>
      <c r="Y123" s="323"/>
      <c r="Z123" s="324"/>
    </row>
    <row r="124" spans="2:26" ht="18" customHeight="1">
      <c r="K124" s="171" t="s">
        <v>14</v>
      </c>
      <c r="L124" s="171"/>
      <c r="N124" s="139" t="s">
        <v>17</v>
      </c>
      <c r="O124" s="68"/>
      <c r="P124" s="69"/>
      <c r="Q124" s="70"/>
      <c r="R124" s="71"/>
      <c r="S124" s="71">
        <f ca="1">SUBTOTAL(9,S118:S123)</f>
        <v>6894851</v>
      </c>
      <c r="T124" s="71"/>
      <c r="U124" s="71">
        <f ca="1">SUBTOTAL(9,U118:U123)</f>
        <v>6894851</v>
      </c>
      <c r="V124" s="71"/>
      <c r="W124" s="71"/>
      <c r="X124" s="71"/>
      <c r="Y124" s="71"/>
      <c r="Z124" s="68"/>
    </row>
    <row r="125" spans="2:26" ht="18" customHeight="1">
      <c r="K125" s="171" t="s">
        <v>14</v>
      </c>
      <c r="L125" s="171"/>
      <c r="N125" s="318" t="str">
        <f ca="1">"제 " &amp; Z125 &amp; " 호표  "&amp; OFFSET($A$1,MATCH(Z125,$A:$A,0)-1,1)</f>
        <v>제 7 호표  2.3. 정리전 각 필지 평가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7</v>
      </c>
    </row>
    <row r="126" spans="2:26" ht="18" customHeight="1">
      <c r="K126" s="171" t="s">
        <v>14</v>
      </c>
      <c r="L126" s="171"/>
      <c r="N126" s="140" t="s">
        <v>43</v>
      </c>
      <c r="O126" s="172">
        <v>3</v>
      </c>
      <c r="P126" s="219">
        <f ca="1">OFFSET($A$1,MATCH(Z125,$A:$A,0)-1,O126)</f>
        <v>0</v>
      </c>
      <c r="Q126" s="141" t="s">
        <v>29</v>
      </c>
      <c r="R126" s="142">
        <f t="shared" ref="R126:S131" ca="1" si="33">T126</f>
        <v>467217</v>
      </c>
      <c r="S126" s="142">
        <f t="shared" ca="1" si="33"/>
        <v>0</v>
      </c>
      <c r="T126" s="142">
        <f ca="1">기술사</f>
        <v>467217</v>
      </c>
      <c r="U126" s="142">
        <f t="shared" ref="U126:U131" ca="1" si="34">ROUNDDOWN(P126*R126,0)</f>
        <v>0</v>
      </c>
      <c r="V126" s="142"/>
      <c r="W126" s="142"/>
      <c r="X126" s="142"/>
      <c r="Y126" s="142"/>
      <c r="Z126" s="114"/>
    </row>
    <row r="127" spans="2:26" ht="18" customHeight="1">
      <c r="K127" s="171" t="s">
        <v>14</v>
      </c>
      <c r="L127" s="171"/>
      <c r="N127" s="143" t="s">
        <v>32</v>
      </c>
      <c r="O127" s="173">
        <v>4</v>
      </c>
      <c r="P127" s="234">
        <f ca="1">OFFSET($A$1,MATCH(Z125,$A:$A,0)-1,O127)</f>
        <v>0</v>
      </c>
      <c r="Q127" s="144" t="s">
        <v>29</v>
      </c>
      <c r="R127" s="118">
        <f t="shared" ca="1" si="33"/>
        <v>373353</v>
      </c>
      <c r="S127" s="118">
        <f t="shared" ca="1" si="33"/>
        <v>0</v>
      </c>
      <c r="T127" s="118">
        <f ca="1">특급</f>
        <v>373353</v>
      </c>
      <c r="U127" s="118">
        <f t="shared" ca="1" si="34"/>
        <v>0</v>
      </c>
      <c r="V127" s="118"/>
      <c r="W127" s="118"/>
      <c r="X127" s="118"/>
      <c r="Y127" s="118"/>
      <c r="Z127" s="115"/>
    </row>
    <row r="128" spans="2:26" ht="18" customHeight="1">
      <c r="K128" s="171" t="s">
        <v>14</v>
      </c>
      <c r="L128" s="171"/>
      <c r="N128" s="145" t="s">
        <v>39</v>
      </c>
      <c r="O128" s="173">
        <v>5</v>
      </c>
      <c r="P128" s="234">
        <f ca="1">OFFSET($A$1,MATCH(Z125,$A:$A,0)-1,O128)</f>
        <v>2.04</v>
      </c>
      <c r="Q128" s="144" t="s">
        <v>29</v>
      </c>
      <c r="R128" s="118">
        <f t="shared" ca="1" si="33"/>
        <v>310884</v>
      </c>
      <c r="S128" s="118">
        <f t="shared" ca="1" si="33"/>
        <v>634203</v>
      </c>
      <c r="T128" s="118">
        <f ca="1">고급</f>
        <v>310884</v>
      </c>
      <c r="U128" s="118">
        <f t="shared" ca="1" si="34"/>
        <v>634203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40</v>
      </c>
      <c r="O129" s="173">
        <v>6</v>
      </c>
      <c r="P129" s="234">
        <f ca="1">OFFSET($A$1,MATCH(Z125,$A:$A,0)-1,O129)</f>
        <v>5.16</v>
      </c>
      <c r="Q129" s="144" t="s">
        <v>29</v>
      </c>
      <c r="R129" s="118">
        <f t="shared" ca="1" si="33"/>
        <v>295138</v>
      </c>
      <c r="S129" s="118">
        <f t="shared" ca="1" si="33"/>
        <v>1522912</v>
      </c>
      <c r="T129" s="118">
        <f ca="1">중급</f>
        <v>295138</v>
      </c>
      <c r="U129" s="118">
        <f t="shared" ca="1" si="34"/>
        <v>1522912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145" t="s">
        <v>41</v>
      </c>
      <c r="O130" s="173">
        <v>7</v>
      </c>
      <c r="P130" s="234">
        <f ca="1">OFFSET($A$1,MATCH(Z125,$A:$A,0)-1,O130)</f>
        <v>10.26</v>
      </c>
      <c r="Q130" s="144" t="s">
        <v>29</v>
      </c>
      <c r="R130" s="118">
        <f t="shared" ca="1" si="33"/>
        <v>235459</v>
      </c>
      <c r="S130" s="118">
        <f t="shared" ca="1" si="33"/>
        <v>2415809</v>
      </c>
      <c r="T130" s="118">
        <f ca="1">초급</f>
        <v>235459</v>
      </c>
      <c r="U130" s="118">
        <f t="shared" ca="1" si="34"/>
        <v>2415809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319" t="s">
        <v>42</v>
      </c>
      <c r="O131" s="174">
        <v>8</v>
      </c>
      <c r="P131" s="235">
        <f ca="1">OFFSET($A$1,MATCH(Z125,$A:$A,0)-1,O131)</f>
        <v>10.8</v>
      </c>
      <c r="Q131" s="322" t="s">
        <v>29</v>
      </c>
      <c r="R131" s="323">
        <f t="shared" ca="1" si="33"/>
        <v>250087</v>
      </c>
      <c r="S131" s="323">
        <f t="shared" ca="1" si="33"/>
        <v>2700939</v>
      </c>
      <c r="T131" s="323">
        <f ca="1">보조원</f>
        <v>250087</v>
      </c>
      <c r="U131" s="323">
        <f t="shared" ca="1" si="34"/>
        <v>2700939</v>
      </c>
      <c r="V131" s="323"/>
      <c r="W131" s="323"/>
      <c r="X131" s="323"/>
      <c r="Y131" s="323"/>
      <c r="Z131" s="324"/>
    </row>
    <row r="132" spans="11:26" ht="18" customHeight="1">
      <c r="K132" s="171" t="s">
        <v>14</v>
      </c>
      <c r="L132" s="171"/>
      <c r="N132" s="139" t="s">
        <v>17</v>
      </c>
      <c r="O132" s="68"/>
      <c r="P132" s="69"/>
      <c r="Q132" s="70"/>
      <c r="R132" s="71"/>
      <c r="S132" s="71">
        <f ca="1">SUBTOTAL(9,S126:S131)</f>
        <v>7273863</v>
      </c>
      <c r="T132" s="71"/>
      <c r="U132" s="71">
        <f ca="1">SUBTOTAL(9,U126:U131)</f>
        <v>7273863</v>
      </c>
      <c r="V132" s="71"/>
      <c r="W132" s="71"/>
      <c r="X132" s="71"/>
      <c r="Y132" s="71"/>
      <c r="Z132" s="68"/>
    </row>
    <row r="133" spans="11:26" ht="18" customHeight="1">
      <c r="K133" s="171" t="s">
        <v>14</v>
      </c>
      <c r="L133" s="171"/>
      <c r="N133" s="318" t="str">
        <f ca="1">"제 " &amp; Z133 &amp; " 호표  "&amp; OFFSET($A$1,MATCH(Z133,$A:$A,0)-1,1)</f>
        <v>제 8 호표  2.4. 정리후 가구평가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8</v>
      </c>
    </row>
    <row r="134" spans="11:26" ht="18" customHeight="1">
      <c r="K134" s="171" t="s">
        <v>14</v>
      </c>
      <c r="L134" s="171"/>
      <c r="N134" s="140" t="s">
        <v>43</v>
      </c>
      <c r="O134" s="172">
        <v>3</v>
      </c>
      <c r="P134" s="219">
        <f ca="1">OFFSET($A$1,MATCH(Z133,$A:$A,0)-1,O134)</f>
        <v>0.24</v>
      </c>
      <c r="Q134" s="141" t="s">
        <v>29</v>
      </c>
      <c r="R134" s="142">
        <f t="shared" ref="R134:S139" ca="1" si="35">T134</f>
        <v>467217</v>
      </c>
      <c r="S134" s="142">
        <f t="shared" ca="1" si="35"/>
        <v>112132</v>
      </c>
      <c r="T134" s="142">
        <f ca="1">기술사</f>
        <v>467217</v>
      </c>
      <c r="U134" s="142">
        <f t="shared" ref="U134:U139" ca="1" si="36">ROUNDDOWN(P134*R134,0)</f>
        <v>112132</v>
      </c>
      <c r="V134" s="142"/>
      <c r="W134" s="142"/>
      <c r="X134" s="142"/>
      <c r="Y134" s="142"/>
      <c r="Z134" s="114"/>
    </row>
    <row r="135" spans="11:26" ht="18" customHeight="1">
      <c r="K135" s="171" t="s">
        <v>14</v>
      </c>
      <c r="L135" s="171"/>
      <c r="N135" s="143" t="s">
        <v>32</v>
      </c>
      <c r="O135" s="173">
        <v>4</v>
      </c>
      <c r="P135" s="234">
        <f ca="1">OFFSET($A$1,MATCH(Z133,$A:$A,0)-1,O135)</f>
        <v>0.3</v>
      </c>
      <c r="Q135" s="144" t="s">
        <v>29</v>
      </c>
      <c r="R135" s="118">
        <f t="shared" ca="1" si="35"/>
        <v>373353</v>
      </c>
      <c r="S135" s="118">
        <f t="shared" ca="1" si="35"/>
        <v>112005</v>
      </c>
      <c r="T135" s="118">
        <f ca="1">특급</f>
        <v>373353</v>
      </c>
      <c r="U135" s="118">
        <f t="shared" ca="1" si="36"/>
        <v>112005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N136" s="145" t="s">
        <v>39</v>
      </c>
      <c r="O136" s="173">
        <v>5</v>
      </c>
      <c r="P136" s="234">
        <f ca="1">OFFSET($A$1,MATCH(Z133,$A:$A,0)-1,O136)</f>
        <v>1.02</v>
      </c>
      <c r="Q136" s="144" t="s">
        <v>29</v>
      </c>
      <c r="R136" s="118">
        <f t="shared" ca="1" si="35"/>
        <v>310884</v>
      </c>
      <c r="S136" s="118">
        <f t="shared" ca="1" si="35"/>
        <v>317101</v>
      </c>
      <c r="T136" s="118">
        <f ca="1">고급</f>
        <v>310884</v>
      </c>
      <c r="U136" s="118">
        <f t="shared" ca="1" si="36"/>
        <v>317101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145" t="s">
        <v>40</v>
      </c>
      <c r="O137" s="173">
        <v>6</v>
      </c>
      <c r="P137" s="234">
        <f ca="1">OFFSET($A$1,MATCH(Z133,$A:$A,0)-1,O137)</f>
        <v>3.6</v>
      </c>
      <c r="Q137" s="144" t="s">
        <v>29</v>
      </c>
      <c r="R137" s="118">
        <f t="shared" ca="1" si="35"/>
        <v>295138</v>
      </c>
      <c r="S137" s="118">
        <f t="shared" ca="1" si="35"/>
        <v>1062496</v>
      </c>
      <c r="T137" s="118">
        <f ca="1">중급</f>
        <v>295138</v>
      </c>
      <c r="U137" s="118">
        <f t="shared" ca="1" si="36"/>
        <v>1062496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N138" s="145" t="s">
        <v>41</v>
      </c>
      <c r="O138" s="173">
        <v>7</v>
      </c>
      <c r="P138" s="234">
        <f ca="1">OFFSET($A$1,MATCH(Z133,$A:$A,0)-1,O138)</f>
        <v>6.42</v>
      </c>
      <c r="Q138" s="144" t="s">
        <v>29</v>
      </c>
      <c r="R138" s="118">
        <f t="shared" ca="1" si="35"/>
        <v>235459</v>
      </c>
      <c r="S138" s="118">
        <f t="shared" ca="1" si="35"/>
        <v>1511646</v>
      </c>
      <c r="T138" s="118">
        <f ca="1">초급</f>
        <v>235459</v>
      </c>
      <c r="U138" s="118">
        <f t="shared" ca="1" si="36"/>
        <v>1511646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N139" s="319" t="s">
        <v>42</v>
      </c>
      <c r="O139" s="174">
        <v>8</v>
      </c>
      <c r="P139" s="235">
        <f ca="1">OFFSET($A$1,MATCH(Z133,$A:$A,0)-1,O139)</f>
        <v>5.16</v>
      </c>
      <c r="Q139" s="322" t="s">
        <v>29</v>
      </c>
      <c r="R139" s="323">
        <f t="shared" ca="1" si="35"/>
        <v>250087</v>
      </c>
      <c r="S139" s="323">
        <f t="shared" ca="1" si="35"/>
        <v>1290448</v>
      </c>
      <c r="T139" s="323">
        <f ca="1">보조원</f>
        <v>250087</v>
      </c>
      <c r="U139" s="323">
        <f t="shared" ca="1" si="36"/>
        <v>1290448</v>
      </c>
      <c r="V139" s="323"/>
      <c r="W139" s="323"/>
      <c r="X139" s="323"/>
      <c r="Y139" s="323"/>
      <c r="Z139" s="324"/>
    </row>
    <row r="140" spans="11:26" ht="18" customHeight="1">
      <c r="K140" s="171" t="s">
        <v>14</v>
      </c>
      <c r="L140" s="171"/>
      <c r="N140" s="139" t="s">
        <v>17</v>
      </c>
      <c r="O140" s="68"/>
      <c r="P140" s="69"/>
      <c r="Q140" s="70"/>
      <c r="R140" s="71"/>
      <c r="S140" s="71">
        <f ca="1">SUBTOTAL(9,S134:S139)</f>
        <v>4405828</v>
      </c>
      <c r="T140" s="71"/>
      <c r="U140" s="71">
        <f ca="1">SUBTOTAL(9,U134:U139)</f>
        <v>4405828</v>
      </c>
      <c r="V140" s="71"/>
      <c r="W140" s="71"/>
      <c r="X140" s="71"/>
      <c r="Y140" s="71"/>
      <c r="Z140" s="68"/>
    </row>
    <row r="141" spans="11:26" ht="18" customHeight="1">
      <c r="K141" s="171" t="s">
        <v>14</v>
      </c>
      <c r="L141" s="171"/>
      <c r="N141" s="318" t="str">
        <f ca="1">"제 " &amp; Z141 &amp; " 호표  "&amp; OFFSET($A$1,MATCH(Z141,$A:$A,0)-1,1)</f>
        <v>제 9 호표  2.5. 증진율 계산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9</v>
      </c>
    </row>
    <row r="142" spans="11:26" ht="18" customHeight="1">
      <c r="K142" s="171" t="s">
        <v>14</v>
      </c>
      <c r="L142" s="171"/>
      <c r="N142" s="140" t="s">
        <v>43</v>
      </c>
      <c r="O142" s="172">
        <v>3</v>
      </c>
      <c r="P142" s="219">
        <f ca="1">OFFSET($A$1,MATCH(Z141,$A:$A,0)-1,O142)</f>
        <v>0.24</v>
      </c>
      <c r="Q142" s="141" t="s">
        <v>29</v>
      </c>
      <c r="R142" s="142">
        <f t="shared" ref="R142:S147" ca="1" si="37">T142</f>
        <v>467217</v>
      </c>
      <c r="S142" s="142">
        <f t="shared" ca="1" si="37"/>
        <v>112132</v>
      </c>
      <c r="T142" s="142">
        <f ca="1">기술사</f>
        <v>467217</v>
      </c>
      <c r="U142" s="142">
        <f t="shared" ref="U142:U147" ca="1" si="38">ROUNDDOWN(P142*R142,0)</f>
        <v>112132</v>
      </c>
      <c r="V142" s="142"/>
      <c r="W142" s="142"/>
      <c r="X142" s="142"/>
      <c r="Y142" s="142"/>
      <c r="Z142" s="114"/>
    </row>
    <row r="143" spans="11:26" ht="18" customHeight="1">
      <c r="K143" s="171" t="s">
        <v>14</v>
      </c>
      <c r="L143" s="171"/>
      <c r="N143" s="143" t="s">
        <v>32</v>
      </c>
      <c r="O143" s="173">
        <v>4</v>
      </c>
      <c r="P143" s="234">
        <f ca="1">OFFSET($A$1,MATCH(Z141,$A:$A,0)-1,O143)</f>
        <v>0.3</v>
      </c>
      <c r="Q143" s="144" t="s">
        <v>29</v>
      </c>
      <c r="R143" s="118">
        <f t="shared" ca="1" si="37"/>
        <v>373353</v>
      </c>
      <c r="S143" s="118">
        <f t="shared" ca="1" si="37"/>
        <v>112005</v>
      </c>
      <c r="T143" s="118">
        <f ca="1">특급</f>
        <v>373353</v>
      </c>
      <c r="U143" s="118">
        <f t="shared" ca="1" si="38"/>
        <v>112005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N144" s="145" t="s">
        <v>39</v>
      </c>
      <c r="O144" s="173">
        <v>5</v>
      </c>
      <c r="P144" s="234">
        <f ca="1">OFFSET($A$1,MATCH(Z141,$A:$A,0)-1,O144)</f>
        <v>1.02</v>
      </c>
      <c r="Q144" s="144" t="s">
        <v>29</v>
      </c>
      <c r="R144" s="118">
        <f t="shared" ca="1" si="37"/>
        <v>310884</v>
      </c>
      <c r="S144" s="118">
        <f t="shared" ca="1" si="37"/>
        <v>317101</v>
      </c>
      <c r="T144" s="118">
        <f ca="1">고급</f>
        <v>310884</v>
      </c>
      <c r="U144" s="118">
        <f t="shared" ca="1" si="38"/>
        <v>317101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N145" s="145" t="s">
        <v>40</v>
      </c>
      <c r="O145" s="173">
        <v>6</v>
      </c>
      <c r="P145" s="234">
        <f ca="1">OFFSET($A$1,MATCH(Z141,$A:$A,0)-1,O145)</f>
        <v>1.02</v>
      </c>
      <c r="Q145" s="144" t="s">
        <v>29</v>
      </c>
      <c r="R145" s="118">
        <f t="shared" ca="1" si="37"/>
        <v>295138</v>
      </c>
      <c r="S145" s="118">
        <f t="shared" ca="1" si="37"/>
        <v>301040</v>
      </c>
      <c r="T145" s="118">
        <f ca="1">중급</f>
        <v>295138</v>
      </c>
      <c r="U145" s="118">
        <f t="shared" ca="1" si="38"/>
        <v>301040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N146" s="145" t="s">
        <v>41</v>
      </c>
      <c r="O146" s="173">
        <v>7</v>
      </c>
      <c r="P146" s="234">
        <f ca="1">OFFSET($A$1,MATCH(Z141,$A:$A,0)-1,O146)</f>
        <v>0.54</v>
      </c>
      <c r="Q146" s="144" t="s">
        <v>29</v>
      </c>
      <c r="R146" s="118">
        <f t="shared" ca="1" si="37"/>
        <v>235459</v>
      </c>
      <c r="S146" s="118">
        <f t="shared" ca="1" si="37"/>
        <v>127147</v>
      </c>
      <c r="T146" s="118">
        <f ca="1">초급</f>
        <v>235459</v>
      </c>
      <c r="U146" s="118">
        <f t="shared" ca="1" si="38"/>
        <v>127147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N147" s="319" t="s">
        <v>42</v>
      </c>
      <c r="O147" s="174">
        <v>8</v>
      </c>
      <c r="P147" s="235">
        <f ca="1">OFFSET($A$1,MATCH(Z141,$A:$A,0)-1,O147)</f>
        <v>0.54</v>
      </c>
      <c r="Q147" s="322" t="s">
        <v>29</v>
      </c>
      <c r="R147" s="323">
        <f t="shared" ca="1" si="37"/>
        <v>250087</v>
      </c>
      <c r="S147" s="323">
        <f t="shared" ca="1" si="37"/>
        <v>135046</v>
      </c>
      <c r="T147" s="323">
        <f ca="1">보조원</f>
        <v>250087</v>
      </c>
      <c r="U147" s="323">
        <f t="shared" ca="1" si="38"/>
        <v>135046</v>
      </c>
      <c r="V147" s="323"/>
      <c r="W147" s="323"/>
      <c r="X147" s="323"/>
      <c r="Y147" s="323"/>
      <c r="Z147" s="324"/>
    </row>
    <row r="148" spans="11:26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1104471</v>
      </c>
      <c r="T148" s="71"/>
      <c r="U148" s="71">
        <f ca="1">SUBTOTAL(9,U142:U147)</f>
        <v>1104471</v>
      </c>
      <c r="V148" s="71"/>
      <c r="W148" s="71"/>
      <c r="X148" s="71"/>
      <c r="Y148" s="71"/>
      <c r="Z148" s="68"/>
    </row>
    <row r="149" spans="11:26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10 호표  3.1.1. 비례율 산정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10</v>
      </c>
    </row>
    <row r="150" spans="11:26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0.48</v>
      </c>
      <c r="Q150" s="141" t="s">
        <v>29</v>
      </c>
      <c r="R150" s="142">
        <f t="shared" ref="R150:S155" ca="1" si="39">T150</f>
        <v>467217</v>
      </c>
      <c r="S150" s="142">
        <f t="shared" ca="1" si="39"/>
        <v>224264</v>
      </c>
      <c r="T150" s="142">
        <f ca="1">기술사</f>
        <v>467217</v>
      </c>
      <c r="U150" s="142">
        <f t="shared" ref="U150:U155" ca="1" si="40">ROUNDDOWN(P150*R150,0)</f>
        <v>224264</v>
      </c>
      <c r="V150" s="142"/>
      <c r="W150" s="142"/>
      <c r="X150" s="142"/>
      <c r="Y150" s="142"/>
      <c r="Z150" s="114"/>
    </row>
    <row r="151" spans="11:26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0.54</v>
      </c>
      <c r="Q151" s="144" t="s">
        <v>29</v>
      </c>
      <c r="R151" s="118">
        <f t="shared" ca="1" si="39"/>
        <v>373353</v>
      </c>
      <c r="S151" s="118">
        <f t="shared" ca="1" si="39"/>
        <v>201610</v>
      </c>
      <c r="T151" s="118">
        <f ca="1">특급</f>
        <v>373353</v>
      </c>
      <c r="U151" s="118">
        <f t="shared" ca="1" si="40"/>
        <v>201610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5.64</v>
      </c>
      <c r="Q152" s="144" t="s">
        <v>29</v>
      </c>
      <c r="R152" s="118">
        <f t="shared" ca="1" si="39"/>
        <v>310884</v>
      </c>
      <c r="S152" s="118">
        <f t="shared" ca="1" si="39"/>
        <v>1753385</v>
      </c>
      <c r="T152" s="118">
        <f ca="1">고급</f>
        <v>310884</v>
      </c>
      <c r="U152" s="118">
        <f t="shared" ca="1" si="40"/>
        <v>1753385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6.18</v>
      </c>
      <c r="Q153" s="144" t="s">
        <v>29</v>
      </c>
      <c r="R153" s="118">
        <f t="shared" ca="1" si="39"/>
        <v>295138</v>
      </c>
      <c r="S153" s="118">
        <f t="shared" ca="1" si="39"/>
        <v>1823952</v>
      </c>
      <c r="T153" s="118">
        <f ca="1">중급</f>
        <v>295138</v>
      </c>
      <c r="U153" s="118">
        <f t="shared" ca="1" si="40"/>
        <v>1823952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7.2</v>
      </c>
      <c r="Q154" s="144" t="s">
        <v>29</v>
      </c>
      <c r="R154" s="118">
        <f t="shared" ca="1" si="39"/>
        <v>235459</v>
      </c>
      <c r="S154" s="118">
        <f t="shared" ca="1" si="39"/>
        <v>1695304</v>
      </c>
      <c r="T154" s="118">
        <f ca="1">초급</f>
        <v>235459</v>
      </c>
      <c r="U154" s="118">
        <f t="shared" ca="1" si="40"/>
        <v>1695304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5.16</v>
      </c>
      <c r="Q155" s="322" t="s">
        <v>29</v>
      </c>
      <c r="R155" s="323">
        <f t="shared" ca="1" si="39"/>
        <v>250087</v>
      </c>
      <c r="S155" s="323">
        <f t="shared" ca="1" si="39"/>
        <v>1290448</v>
      </c>
      <c r="T155" s="323">
        <f ca="1">보조원</f>
        <v>250087</v>
      </c>
      <c r="U155" s="323">
        <f t="shared" ca="1" si="40"/>
        <v>1290448</v>
      </c>
      <c r="V155" s="323"/>
      <c r="W155" s="323"/>
      <c r="X155" s="323"/>
      <c r="Y155" s="323"/>
      <c r="Z155" s="324"/>
    </row>
    <row r="156" spans="11:26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6988963</v>
      </c>
      <c r="T156" s="71"/>
      <c r="U156" s="71">
        <f ca="1">SUBTOTAL(9,U150:U155)</f>
        <v>6988963</v>
      </c>
      <c r="V156" s="71"/>
      <c r="W156" s="71"/>
      <c r="X156" s="71"/>
      <c r="Y156" s="71"/>
      <c r="Z156" s="68"/>
    </row>
    <row r="157" spans="11:26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11 호표  3.1.2. 권리지수 산정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11</v>
      </c>
    </row>
    <row r="158" spans="11:26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0</v>
      </c>
      <c r="Q158" s="141" t="s">
        <v>29</v>
      </c>
      <c r="R158" s="142">
        <f t="shared" ref="R158:S163" ca="1" si="41">T158</f>
        <v>467217</v>
      </c>
      <c r="S158" s="142">
        <f t="shared" ca="1" si="41"/>
        <v>0</v>
      </c>
      <c r="T158" s="142">
        <f ca="1">기술사</f>
        <v>467217</v>
      </c>
      <c r="U158" s="142">
        <f t="shared" ref="U158:U163" ca="1" si="42">ROUNDDOWN(P158*R158,0)</f>
        <v>0</v>
      </c>
      <c r="V158" s="142"/>
      <c r="W158" s="142"/>
      <c r="X158" s="142"/>
      <c r="Y158" s="142"/>
      <c r="Z158" s="114"/>
    </row>
    <row r="159" spans="11:26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0</v>
      </c>
      <c r="Q159" s="144" t="s">
        <v>29</v>
      </c>
      <c r="R159" s="118">
        <f t="shared" ca="1" si="41"/>
        <v>373353</v>
      </c>
      <c r="S159" s="118">
        <f t="shared" ca="1" si="41"/>
        <v>0</v>
      </c>
      <c r="T159" s="118">
        <f ca="1">특급</f>
        <v>373353</v>
      </c>
      <c r="U159" s="118">
        <f t="shared" ca="1" si="42"/>
        <v>0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0.54</v>
      </c>
      <c r="Q160" s="144" t="s">
        <v>29</v>
      </c>
      <c r="R160" s="118">
        <f t="shared" ca="1" si="41"/>
        <v>310884</v>
      </c>
      <c r="S160" s="118">
        <f t="shared" ca="1" si="41"/>
        <v>167877</v>
      </c>
      <c r="T160" s="118">
        <f ca="1">고급</f>
        <v>310884</v>
      </c>
      <c r="U160" s="118">
        <f t="shared" ca="1" si="42"/>
        <v>167877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1.02</v>
      </c>
      <c r="Q161" s="144" t="s">
        <v>29</v>
      </c>
      <c r="R161" s="118">
        <f t="shared" ca="1" si="41"/>
        <v>295138</v>
      </c>
      <c r="S161" s="118">
        <f t="shared" ca="1" si="41"/>
        <v>301040</v>
      </c>
      <c r="T161" s="118">
        <f ca="1">중급</f>
        <v>295138</v>
      </c>
      <c r="U161" s="118">
        <f t="shared" ca="1" si="42"/>
        <v>301040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3.36</v>
      </c>
      <c r="Q162" s="144" t="s">
        <v>29</v>
      </c>
      <c r="R162" s="118">
        <f t="shared" ca="1" si="41"/>
        <v>235459</v>
      </c>
      <c r="S162" s="118">
        <f t="shared" ca="1" si="41"/>
        <v>791142</v>
      </c>
      <c r="T162" s="118">
        <f ca="1">초급</f>
        <v>235459</v>
      </c>
      <c r="U162" s="118">
        <f t="shared" ca="1" si="42"/>
        <v>791142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3.84</v>
      </c>
      <c r="Q163" s="322" t="s">
        <v>29</v>
      </c>
      <c r="R163" s="323">
        <f t="shared" ca="1" si="41"/>
        <v>250087</v>
      </c>
      <c r="S163" s="323">
        <f t="shared" ca="1" si="41"/>
        <v>960334</v>
      </c>
      <c r="T163" s="323">
        <f ca="1">보조원</f>
        <v>250087</v>
      </c>
      <c r="U163" s="323">
        <f t="shared" ca="1" si="42"/>
        <v>960334</v>
      </c>
      <c r="V163" s="323"/>
      <c r="W163" s="323"/>
      <c r="X163" s="323"/>
      <c r="Y163" s="323"/>
      <c r="Z163" s="324"/>
    </row>
    <row r="164" spans="11:26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2220393</v>
      </c>
      <c r="T164" s="71"/>
      <c r="U164" s="71">
        <f ca="1">SUBTOTAL(9,U158:U163)</f>
        <v>2220393</v>
      </c>
      <c r="V164" s="71"/>
      <c r="W164" s="71"/>
      <c r="X164" s="71"/>
      <c r="Y164" s="71"/>
      <c r="Z164" s="68"/>
    </row>
    <row r="165" spans="11:26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12 호표  3.1-3. 분양배당지수 및 지적산출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12</v>
      </c>
    </row>
    <row r="166" spans="11:26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0</v>
      </c>
      <c r="Q166" s="141" t="s">
        <v>29</v>
      </c>
      <c r="R166" s="142">
        <f t="shared" ref="R166:S171" ca="1" si="43">T166</f>
        <v>467217</v>
      </c>
      <c r="S166" s="142">
        <f t="shared" ca="1" si="43"/>
        <v>0</v>
      </c>
      <c r="T166" s="142">
        <f ca="1">기술사</f>
        <v>467217</v>
      </c>
      <c r="U166" s="142">
        <f t="shared" ref="U166:U171" ca="1" si="44">ROUNDDOWN(P166*R166,0)</f>
        <v>0</v>
      </c>
      <c r="V166" s="142"/>
      <c r="W166" s="142"/>
      <c r="X166" s="142"/>
      <c r="Y166" s="142"/>
      <c r="Z166" s="114"/>
    </row>
    <row r="167" spans="11:26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0</v>
      </c>
      <c r="Q167" s="144" t="s">
        <v>29</v>
      </c>
      <c r="R167" s="118">
        <f t="shared" ca="1" si="43"/>
        <v>373353</v>
      </c>
      <c r="S167" s="118">
        <f t="shared" ca="1" si="43"/>
        <v>0</v>
      </c>
      <c r="T167" s="118">
        <f ca="1">특급</f>
        <v>373353</v>
      </c>
      <c r="U167" s="118">
        <f t="shared" ca="1" si="44"/>
        <v>0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2.2799999999999998</v>
      </c>
      <c r="Q168" s="144" t="s">
        <v>29</v>
      </c>
      <c r="R168" s="118">
        <f t="shared" ca="1" si="43"/>
        <v>310884</v>
      </c>
      <c r="S168" s="118">
        <f t="shared" ca="1" si="43"/>
        <v>708815</v>
      </c>
      <c r="T168" s="118">
        <f ca="1">고급</f>
        <v>310884</v>
      </c>
      <c r="U168" s="118">
        <f t="shared" ca="1" si="44"/>
        <v>708815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3.36</v>
      </c>
      <c r="Q169" s="144" t="s">
        <v>29</v>
      </c>
      <c r="R169" s="118">
        <f t="shared" ca="1" si="43"/>
        <v>295138</v>
      </c>
      <c r="S169" s="118">
        <f t="shared" ca="1" si="43"/>
        <v>991663</v>
      </c>
      <c r="T169" s="118">
        <f ca="1">중급</f>
        <v>295138</v>
      </c>
      <c r="U169" s="118">
        <f t="shared" ca="1" si="44"/>
        <v>991663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3.84</v>
      </c>
      <c r="Q170" s="144" t="s">
        <v>29</v>
      </c>
      <c r="R170" s="118">
        <f t="shared" ca="1" si="43"/>
        <v>235459</v>
      </c>
      <c r="S170" s="118">
        <f t="shared" ca="1" si="43"/>
        <v>904162</v>
      </c>
      <c r="T170" s="118">
        <f ca="1">초급</f>
        <v>235459</v>
      </c>
      <c r="U170" s="118">
        <f t="shared" ca="1" si="44"/>
        <v>904162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3.36</v>
      </c>
      <c r="Q171" s="322" t="s">
        <v>29</v>
      </c>
      <c r="R171" s="323">
        <f t="shared" ca="1" si="43"/>
        <v>250087</v>
      </c>
      <c r="S171" s="323">
        <f t="shared" ca="1" si="43"/>
        <v>840292</v>
      </c>
      <c r="T171" s="323">
        <f ca="1">보조원</f>
        <v>250087</v>
      </c>
      <c r="U171" s="323">
        <f t="shared" ca="1" si="44"/>
        <v>840292</v>
      </c>
      <c r="V171" s="323"/>
      <c r="W171" s="323"/>
      <c r="X171" s="323"/>
      <c r="Y171" s="323"/>
      <c r="Z171" s="324"/>
    </row>
    <row r="172" spans="11:26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3444932</v>
      </c>
      <c r="T172" s="71"/>
      <c r="U172" s="71">
        <f ca="1">SUBTOTAL(9,U166:U171)</f>
        <v>3444932</v>
      </c>
      <c r="V172" s="71"/>
      <c r="W172" s="71"/>
      <c r="X172" s="71"/>
      <c r="Y172" s="71"/>
      <c r="Z172" s="68"/>
    </row>
    <row r="173" spans="11:26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13 호표  4.1. 가할당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13</v>
      </c>
    </row>
    <row r="174" spans="11:26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0</v>
      </c>
      <c r="Q174" s="141" t="s">
        <v>29</v>
      </c>
      <c r="R174" s="142">
        <f t="shared" ref="R174:S179" ca="1" si="45">T174</f>
        <v>467217</v>
      </c>
      <c r="S174" s="142">
        <f t="shared" ca="1" si="45"/>
        <v>0</v>
      </c>
      <c r="T174" s="142">
        <f ca="1">기술사</f>
        <v>467217</v>
      </c>
      <c r="U174" s="142">
        <f t="shared" ref="U174:U179" ca="1" si="46">ROUNDDOWN(P174*R174,0)</f>
        <v>0</v>
      </c>
      <c r="V174" s="142"/>
      <c r="W174" s="142"/>
      <c r="X174" s="142"/>
      <c r="Y174" s="142"/>
      <c r="Z174" s="114"/>
    </row>
    <row r="175" spans="11:26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0</v>
      </c>
      <c r="Q175" s="144" t="s">
        <v>29</v>
      </c>
      <c r="R175" s="118">
        <f t="shared" ca="1" si="45"/>
        <v>373353</v>
      </c>
      <c r="S175" s="118">
        <f t="shared" ca="1" si="45"/>
        <v>0</v>
      </c>
      <c r="T175" s="118">
        <f ca="1">특급</f>
        <v>373353</v>
      </c>
      <c r="U175" s="118">
        <f t="shared" ca="1" si="46"/>
        <v>0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3.6</v>
      </c>
      <c r="Q176" s="144" t="s">
        <v>29</v>
      </c>
      <c r="R176" s="118">
        <f t="shared" ca="1" si="45"/>
        <v>310884</v>
      </c>
      <c r="S176" s="118">
        <f t="shared" ca="1" si="45"/>
        <v>1119182</v>
      </c>
      <c r="T176" s="118">
        <f ca="1">고급</f>
        <v>310884</v>
      </c>
      <c r="U176" s="118">
        <f t="shared" ca="1" si="46"/>
        <v>1119182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3.6</v>
      </c>
      <c r="Q177" s="144" t="s">
        <v>29</v>
      </c>
      <c r="R177" s="118">
        <f t="shared" ca="1" si="45"/>
        <v>295138</v>
      </c>
      <c r="S177" s="118">
        <f t="shared" ca="1" si="45"/>
        <v>1062496</v>
      </c>
      <c r="T177" s="118">
        <f ca="1">중급</f>
        <v>295138</v>
      </c>
      <c r="U177" s="118">
        <f t="shared" ca="1" si="46"/>
        <v>1062496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4.08</v>
      </c>
      <c r="Q178" s="144" t="s">
        <v>29</v>
      </c>
      <c r="R178" s="118">
        <f t="shared" ca="1" si="45"/>
        <v>235459</v>
      </c>
      <c r="S178" s="118">
        <f t="shared" ca="1" si="45"/>
        <v>960672</v>
      </c>
      <c r="T178" s="118">
        <f ca="1">초급</f>
        <v>235459</v>
      </c>
      <c r="U178" s="118">
        <f t="shared" ca="1" si="46"/>
        <v>960672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4.08</v>
      </c>
      <c r="Q179" s="322" t="s">
        <v>29</v>
      </c>
      <c r="R179" s="323">
        <f t="shared" ca="1" si="45"/>
        <v>250087</v>
      </c>
      <c r="S179" s="323">
        <f t="shared" ca="1" si="45"/>
        <v>1020354</v>
      </c>
      <c r="T179" s="323">
        <f ca="1">보조원</f>
        <v>250087</v>
      </c>
      <c r="U179" s="323">
        <f t="shared" ca="1" si="46"/>
        <v>1020354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4162704</v>
      </c>
      <c r="T180" s="71"/>
      <c r="U180" s="71">
        <f ca="1">SUBTOTAL(9,U174:U179)</f>
        <v>4162704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14 호표  4.2. 분양할당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14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2.4</v>
      </c>
      <c r="Q182" s="141" t="s">
        <v>29</v>
      </c>
      <c r="R182" s="142">
        <f t="shared" ref="R182:S187" ca="1" si="47">T182</f>
        <v>467217</v>
      </c>
      <c r="S182" s="142">
        <f t="shared" ca="1" si="47"/>
        <v>1121320</v>
      </c>
      <c r="T182" s="142">
        <f ca="1">기술사</f>
        <v>467217</v>
      </c>
      <c r="U182" s="142">
        <f t="shared" ref="U182:U187" ca="1" si="48">ROUNDDOWN(P182*R182,0)</f>
        <v>1121320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2.4</v>
      </c>
      <c r="Q183" s="144" t="s">
        <v>29</v>
      </c>
      <c r="R183" s="118">
        <f t="shared" ca="1" si="47"/>
        <v>373353</v>
      </c>
      <c r="S183" s="118">
        <f t="shared" ca="1" si="47"/>
        <v>896047</v>
      </c>
      <c r="T183" s="118">
        <f ca="1">특급</f>
        <v>373353</v>
      </c>
      <c r="U183" s="118">
        <f t="shared" ca="1" si="48"/>
        <v>896047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9</v>
      </c>
      <c r="Q184" s="144" t="s">
        <v>29</v>
      </c>
      <c r="R184" s="118">
        <f t="shared" ca="1" si="47"/>
        <v>310884</v>
      </c>
      <c r="S184" s="118">
        <f t="shared" ca="1" si="47"/>
        <v>2797956</v>
      </c>
      <c r="T184" s="118">
        <f ca="1">고급</f>
        <v>310884</v>
      </c>
      <c r="U184" s="118">
        <f t="shared" ca="1" si="48"/>
        <v>2797956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10.8</v>
      </c>
      <c r="Q185" s="144" t="s">
        <v>29</v>
      </c>
      <c r="R185" s="118">
        <f t="shared" ca="1" si="47"/>
        <v>295138</v>
      </c>
      <c r="S185" s="118">
        <f t="shared" ca="1" si="47"/>
        <v>3187490</v>
      </c>
      <c r="T185" s="118">
        <f ca="1">중급</f>
        <v>295138</v>
      </c>
      <c r="U185" s="118">
        <f t="shared" ca="1" si="48"/>
        <v>3187490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13.08</v>
      </c>
      <c r="Q186" s="144" t="s">
        <v>29</v>
      </c>
      <c r="R186" s="118">
        <f t="shared" ca="1" si="47"/>
        <v>235459</v>
      </c>
      <c r="S186" s="118">
        <f t="shared" ca="1" si="47"/>
        <v>3079803</v>
      </c>
      <c r="T186" s="118">
        <f ca="1">초급</f>
        <v>235459</v>
      </c>
      <c r="U186" s="118">
        <f t="shared" ca="1" si="48"/>
        <v>3079803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9.7200000000000006</v>
      </c>
      <c r="Q187" s="322" t="s">
        <v>29</v>
      </c>
      <c r="R187" s="323">
        <f t="shared" ca="1" si="47"/>
        <v>250087</v>
      </c>
      <c r="S187" s="323">
        <f t="shared" ca="1" si="47"/>
        <v>2430845</v>
      </c>
      <c r="T187" s="323">
        <f ca="1">보조원</f>
        <v>250087</v>
      </c>
      <c r="U187" s="323">
        <f t="shared" ca="1" si="48"/>
        <v>2430845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13513461</v>
      </c>
      <c r="T188" s="71"/>
      <c r="U188" s="71">
        <f ca="1">SUBTOTAL(9,U182:U187)</f>
        <v>13513461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15 호표  4.3. 분양할당 수정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15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0.12</v>
      </c>
      <c r="Q190" s="141" t="s">
        <v>29</v>
      </c>
      <c r="R190" s="142">
        <f t="shared" ref="R190:S195" ca="1" si="49">T190</f>
        <v>467217</v>
      </c>
      <c r="S190" s="142">
        <f t="shared" ca="1" si="49"/>
        <v>56066</v>
      </c>
      <c r="T190" s="142">
        <f ca="1">기술사</f>
        <v>467217</v>
      </c>
      <c r="U190" s="142">
        <f t="shared" ref="U190:U195" ca="1" si="50">ROUNDDOWN(P190*R190,0)</f>
        <v>56066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0.12</v>
      </c>
      <c r="Q191" s="144" t="s">
        <v>29</v>
      </c>
      <c r="R191" s="118">
        <f t="shared" ca="1" si="49"/>
        <v>373353</v>
      </c>
      <c r="S191" s="118">
        <f t="shared" ca="1" si="49"/>
        <v>44802</v>
      </c>
      <c r="T191" s="118">
        <f ca="1">특급</f>
        <v>373353</v>
      </c>
      <c r="U191" s="118">
        <f t="shared" ca="1" si="50"/>
        <v>44802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1.26</v>
      </c>
      <c r="Q192" s="144" t="s">
        <v>29</v>
      </c>
      <c r="R192" s="118">
        <f t="shared" ca="1" si="49"/>
        <v>310884</v>
      </c>
      <c r="S192" s="118">
        <f t="shared" ca="1" si="49"/>
        <v>391713</v>
      </c>
      <c r="T192" s="118">
        <f ca="1">고급</f>
        <v>310884</v>
      </c>
      <c r="U192" s="118">
        <f t="shared" ca="1" si="50"/>
        <v>391713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2.82</v>
      </c>
      <c r="Q193" s="144" t="s">
        <v>29</v>
      </c>
      <c r="R193" s="118">
        <f t="shared" ca="1" si="49"/>
        <v>295138</v>
      </c>
      <c r="S193" s="118">
        <f t="shared" ca="1" si="49"/>
        <v>832289</v>
      </c>
      <c r="T193" s="118">
        <f ca="1">중급</f>
        <v>295138</v>
      </c>
      <c r="U193" s="118">
        <f t="shared" ca="1" si="50"/>
        <v>832289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3.06</v>
      </c>
      <c r="Q194" s="144" t="s">
        <v>29</v>
      </c>
      <c r="R194" s="118">
        <f t="shared" ca="1" si="49"/>
        <v>235459</v>
      </c>
      <c r="S194" s="118">
        <f t="shared" ca="1" si="49"/>
        <v>720504</v>
      </c>
      <c r="T194" s="118">
        <f ca="1">초급</f>
        <v>235459</v>
      </c>
      <c r="U194" s="118">
        <f t="shared" ca="1" si="50"/>
        <v>720504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3.84</v>
      </c>
      <c r="Q195" s="322" t="s">
        <v>29</v>
      </c>
      <c r="R195" s="323">
        <f t="shared" ca="1" si="49"/>
        <v>250087</v>
      </c>
      <c r="S195" s="323">
        <f t="shared" ca="1" si="49"/>
        <v>960334</v>
      </c>
      <c r="T195" s="323">
        <f ca="1">보조원</f>
        <v>250087</v>
      </c>
      <c r="U195" s="323">
        <f t="shared" ca="1" si="50"/>
        <v>960334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3005708</v>
      </c>
      <c r="T196" s="71"/>
      <c r="U196" s="71">
        <f ca="1">SUBTOTAL(9,U190:U195)</f>
        <v>3005708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OFFSET($A$1,MATCH(Z197,$A:$A,0)-1,1)</f>
        <v>제 16 호표  4.4. 가구별 분양조서 및 할당도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16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0</v>
      </c>
      <c r="Q198" s="141" t="s">
        <v>29</v>
      </c>
      <c r="R198" s="142">
        <f t="shared" ref="R198:S203" ca="1" si="51">T198</f>
        <v>467217</v>
      </c>
      <c r="S198" s="142">
        <f t="shared" ca="1" si="51"/>
        <v>0</v>
      </c>
      <c r="T198" s="142">
        <f ca="1">기술사</f>
        <v>467217</v>
      </c>
      <c r="U198" s="142">
        <f t="shared" ref="U198:U203" ca="1" si="52">ROUNDDOWN(P198*R198,0)</f>
        <v>0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0</v>
      </c>
      <c r="Q199" s="144" t="s">
        <v>29</v>
      </c>
      <c r="R199" s="118">
        <f t="shared" ca="1" si="51"/>
        <v>373353</v>
      </c>
      <c r="S199" s="118">
        <f t="shared" ca="1" si="51"/>
        <v>0</v>
      </c>
      <c r="T199" s="118">
        <f ca="1">특급</f>
        <v>373353</v>
      </c>
      <c r="U199" s="118">
        <f t="shared" ca="1" si="52"/>
        <v>0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0</v>
      </c>
      <c r="Q200" s="144" t="s">
        <v>29</v>
      </c>
      <c r="R200" s="118">
        <f t="shared" ca="1" si="51"/>
        <v>310884</v>
      </c>
      <c r="S200" s="118">
        <f t="shared" ca="1" si="51"/>
        <v>0</v>
      </c>
      <c r="T200" s="118">
        <f ca="1">고급</f>
        <v>310884</v>
      </c>
      <c r="U200" s="118">
        <f t="shared" ca="1" si="52"/>
        <v>0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0</v>
      </c>
      <c r="Q201" s="144" t="s">
        <v>29</v>
      </c>
      <c r="R201" s="118">
        <f t="shared" ca="1" si="51"/>
        <v>295138</v>
      </c>
      <c r="S201" s="118">
        <f t="shared" ca="1" si="51"/>
        <v>0</v>
      </c>
      <c r="T201" s="118">
        <f ca="1">중급</f>
        <v>295138</v>
      </c>
      <c r="U201" s="118">
        <f t="shared" ca="1" si="52"/>
        <v>0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5.64</v>
      </c>
      <c r="Q202" s="144" t="s">
        <v>29</v>
      </c>
      <c r="R202" s="118">
        <f t="shared" ca="1" si="51"/>
        <v>235459</v>
      </c>
      <c r="S202" s="118">
        <f t="shared" ca="1" si="51"/>
        <v>1327988</v>
      </c>
      <c r="T202" s="118">
        <f ca="1">초급</f>
        <v>235459</v>
      </c>
      <c r="U202" s="118">
        <f t="shared" ca="1" si="52"/>
        <v>1327988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6.18</v>
      </c>
      <c r="Q203" s="322" t="s">
        <v>29</v>
      </c>
      <c r="R203" s="323">
        <f t="shared" ca="1" si="51"/>
        <v>250087</v>
      </c>
      <c r="S203" s="323">
        <f t="shared" ca="1" si="51"/>
        <v>1545537</v>
      </c>
      <c r="T203" s="323">
        <f ca="1">보조원</f>
        <v>250087</v>
      </c>
      <c r="U203" s="323">
        <f t="shared" ca="1" si="52"/>
        <v>1545537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2873525</v>
      </c>
      <c r="T204" s="71"/>
      <c r="U204" s="71">
        <f ca="1">SUBTOTAL(9,U198:U203)</f>
        <v>2873525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OFFSET($A$1,MATCH(Z205,$A:$A,0)-1,1)</f>
        <v>제 17 호표  4.5. 공람에 따른 분양계산의 보완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17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0</v>
      </c>
      <c r="Q206" s="141" t="s">
        <v>29</v>
      </c>
      <c r="R206" s="142">
        <f t="shared" ref="R206:S211" ca="1" si="53">T206</f>
        <v>467217</v>
      </c>
      <c r="S206" s="142">
        <f t="shared" ca="1" si="53"/>
        <v>0</v>
      </c>
      <c r="T206" s="142">
        <f ca="1">기술사</f>
        <v>467217</v>
      </c>
      <c r="U206" s="142">
        <f t="shared" ref="U206:U211" ca="1" si="54">ROUNDDOWN(P206*R206,0)</f>
        <v>0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0</v>
      </c>
      <c r="Q207" s="144" t="s">
        <v>29</v>
      </c>
      <c r="R207" s="118">
        <f t="shared" ca="1" si="53"/>
        <v>373353</v>
      </c>
      <c r="S207" s="118">
        <f t="shared" ca="1" si="53"/>
        <v>0</v>
      </c>
      <c r="T207" s="118">
        <f ca="1">특급</f>
        <v>373353</v>
      </c>
      <c r="U207" s="118">
        <f t="shared" ca="1" si="54"/>
        <v>0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0</v>
      </c>
      <c r="Q208" s="144" t="s">
        <v>29</v>
      </c>
      <c r="R208" s="118">
        <f t="shared" ca="1" si="53"/>
        <v>310884</v>
      </c>
      <c r="S208" s="118">
        <f t="shared" ca="1" si="53"/>
        <v>0</v>
      </c>
      <c r="T208" s="118">
        <f ca="1">고급</f>
        <v>310884</v>
      </c>
      <c r="U208" s="118">
        <f t="shared" ca="1" si="54"/>
        <v>0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4.8600000000000003</v>
      </c>
      <c r="Q209" s="144" t="s">
        <v>29</v>
      </c>
      <c r="R209" s="118">
        <f t="shared" ca="1" si="53"/>
        <v>295138</v>
      </c>
      <c r="S209" s="118">
        <f t="shared" ca="1" si="53"/>
        <v>1434370</v>
      </c>
      <c r="T209" s="118">
        <f ca="1">중급</f>
        <v>295138</v>
      </c>
      <c r="U209" s="118">
        <f t="shared" ca="1" si="54"/>
        <v>1434370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5.4</v>
      </c>
      <c r="Q210" s="144" t="s">
        <v>29</v>
      </c>
      <c r="R210" s="118">
        <f t="shared" ca="1" si="53"/>
        <v>235459</v>
      </c>
      <c r="S210" s="118">
        <f t="shared" ca="1" si="53"/>
        <v>1271478</v>
      </c>
      <c r="T210" s="118">
        <f ca="1">초급</f>
        <v>235459</v>
      </c>
      <c r="U210" s="118">
        <f t="shared" ca="1" si="54"/>
        <v>1271478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0</v>
      </c>
      <c r="Q211" s="322" t="s">
        <v>29</v>
      </c>
      <c r="R211" s="323">
        <f t="shared" ca="1" si="53"/>
        <v>250087</v>
      </c>
      <c r="S211" s="323">
        <f t="shared" ca="1" si="53"/>
        <v>0</v>
      </c>
      <c r="T211" s="323">
        <f ca="1">보조원</f>
        <v>250087</v>
      </c>
      <c r="U211" s="323">
        <f t="shared" ca="1" si="54"/>
        <v>0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2705848</v>
      </c>
      <c r="T212" s="71"/>
      <c r="U212" s="71">
        <f ca="1">SUBTOTAL(9,U206:U211)</f>
        <v>2705848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318" t="str">
        <f ca="1">"제 " &amp; Z213 &amp; " 호표  "&amp; OFFSET($A$1,MATCH(Z213,$A:$A,0)-1,1)</f>
        <v>제 18 호표  4.6. 분양원가 설명</v>
      </c>
      <c r="O213" s="221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18</v>
      </c>
    </row>
    <row r="214" spans="11:26" ht="18" customHeight="1">
      <c r="K214" s="171" t="s">
        <v>14</v>
      </c>
      <c r="L214" s="171"/>
      <c r="M214" s="171"/>
      <c r="N214" s="140" t="s">
        <v>43</v>
      </c>
      <c r="O214" s="172">
        <v>3</v>
      </c>
      <c r="P214" s="219">
        <f ca="1">OFFSET($A$1,MATCH(Z213,$A:$A,0)-1,O214)</f>
        <v>0.9</v>
      </c>
      <c r="Q214" s="141" t="s">
        <v>29</v>
      </c>
      <c r="R214" s="142">
        <f t="shared" ref="R214:S219" ca="1" si="55">T214</f>
        <v>467217</v>
      </c>
      <c r="S214" s="142">
        <f t="shared" ca="1" si="55"/>
        <v>420495</v>
      </c>
      <c r="T214" s="142">
        <f ca="1">기술사</f>
        <v>467217</v>
      </c>
      <c r="U214" s="142">
        <f t="shared" ref="U214:U219" ca="1" si="56">ROUNDDOWN(P214*R214,0)</f>
        <v>420495</v>
      </c>
      <c r="V214" s="142"/>
      <c r="W214" s="142"/>
      <c r="X214" s="142"/>
      <c r="Y214" s="142"/>
      <c r="Z214" s="114"/>
    </row>
    <row r="215" spans="11:26" ht="18" customHeight="1">
      <c r="K215" s="171" t="s">
        <v>14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0.9</v>
      </c>
      <c r="Q215" s="144" t="s">
        <v>29</v>
      </c>
      <c r="R215" s="118">
        <f t="shared" ca="1" si="55"/>
        <v>373353</v>
      </c>
      <c r="S215" s="118">
        <f t="shared" ca="1" si="55"/>
        <v>336017</v>
      </c>
      <c r="T215" s="118">
        <f ca="1">특급</f>
        <v>373353</v>
      </c>
      <c r="U215" s="118">
        <f t="shared" ca="1" si="56"/>
        <v>336017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1.8</v>
      </c>
      <c r="Q216" s="144" t="s">
        <v>29</v>
      </c>
      <c r="R216" s="118">
        <f t="shared" ca="1" si="55"/>
        <v>310884</v>
      </c>
      <c r="S216" s="118">
        <f t="shared" ca="1" si="55"/>
        <v>559591</v>
      </c>
      <c r="T216" s="118">
        <f ca="1">고급</f>
        <v>310884</v>
      </c>
      <c r="U216" s="118">
        <f t="shared" ca="1" si="56"/>
        <v>559591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1.8</v>
      </c>
      <c r="Q217" s="144" t="s">
        <v>29</v>
      </c>
      <c r="R217" s="118">
        <f t="shared" ca="1" si="55"/>
        <v>295138</v>
      </c>
      <c r="S217" s="118">
        <f t="shared" ca="1" si="55"/>
        <v>531248</v>
      </c>
      <c r="T217" s="118">
        <f ca="1">중급</f>
        <v>295138</v>
      </c>
      <c r="U217" s="118">
        <f t="shared" ca="1" si="56"/>
        <v>531248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0</v>
      </c>
      <c r="Q218" s="144" t="s">
        <v>29</v>
      </c>
      <c r="R218" s="118">
        <f t="shared" ca="1" si="55"/>
        <v>235459</v>
      </c>
      <c r="S218" s="118">
        <f t="shared" ca="1" si="55"/>
        <v>0</v>
      </c>
      <c r="T218" s="118">
        <f ca="1">초급</f>
        <v>235459</v>
      </c>
      <c r="U218" s="118">
        <f t="shared" ca="1" si="56"/>
        <v>0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0</v>
      </c>
      <c r="Q219" s="322" t="s">
        <v>29</v>
      </c>
      <c r="R219" s="323">
        <f t="shared" ca="1" si="55"/>
        <v>250087</v>
      </c>
      <c r="S219" s="323">
        <f t="shared" ca="1" si="55"/>
        <v>0</v>
      </c>
      <c r="T219" s="323">
        <f ca="1">보조원</f>
        <v>250087</v>
      </c>
      <c r="U219" s="323">
        <f t="shared" ca="1" si="56"/>
        <v>0</v>
      </c>
      <c r="V219" s="323"/>
      <c r="W219" s="323"/>
      <c r="X219" s="323"/>
      <c r="Y219" s="323"/>
      <c r="Z219" s="324"/>
    </row>
    <row r="220" spans="11:26" ht="18" customHeight="1">
      <c r="K220" s="171" t="s">
        <v>14</v>
      </c>
      <c r="L220" s="171"/>
      <c r="M220" s="171"/>
      <c r="N220" s="139" t="s">
        <v>17</v>
      </c>
      <c r="O220" s="68"/>
      <c r="P220" s="69"/>
      <c r="Q220" s="70"/>
      <c r="R220" s="71"/>
      <c r="S220" s="71">
        <f ca="1">SUBTOTAL(9,S214:S219)</f>
        <v>1847351</v>
      </c>
      <c r="T220" s="71"/>
      <c r="U220" s="71">
        <f ca="1">SUBTOTAL(9,U214:U219)</f>
        <v>1847351</v>
      </c>
      <c r="V220" s="71"/>
      <c r="W220" s="71"/>
      <c r="X220" s="71"/>
      <c r="Y220" s="71"/>
      <c r="Z220" s="68"/>
    </row>
    <row r="221" spans="11:26" ht="18" customHeight="1">
      <c r="K221" s="171" t="s">
        <v>14</v>
      </c>
      <c r="L221" s="171"/>
      <c r="M221" s="171"/>
      <c r="N221" s="318" t="str">
        <f ca="1">"제 " &amp; Z221 &amp; " 호표  "&amp; OFFSET($A$1,MATCH(Z221,$A:$A,0)-1,1)</f>
        <v>제 19 호표  5.1. 분양예정지 지정서 작성</v>
      </c>
      <c r="O221" s="221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19</v>
      </c>
    </row>
    <row r="222" spans="11:26" ht="18" customHeight="1">
      <c r="K222" s="171" t="s">
        <v>14</v>
      </c>
      <c r="L222" s="171"/>
      <c r="M222" s="171"/>
      <c r="N222" s="140" t="s">
        <v>43</v>
      </c>
      <c r="O222" s="172">
        <v>3</v>
      </c>
      <c r="P222" s="219">
        <f ca="1">OFFSET($A$1,MATCH(Z221,$A:$A,0)-1,O222)</f>
        <v>0.48</v>
      </c>
      <c r="Q222" s="141" t="s">
        <v>29</v>
      </c>
      <c r="R222" s="142">
        <f t="shared" ref="R222:S227" ca="1" si="57">T222</f>
        <v>467217</v>
      </c>
      <c r="S222" s="142">
        <f t="shared" ca="1" si="57"/>
        <v>224264</v>
      </c>
      <c r="T222" s="142">
        <f ca="1">기술사</f>
        <v>467217</v>
      </c>
      <c r="U222" s="142">
        <f t="shared" ref="U222:U227" ca="1" si="58">ROUNDDOWN(P222*R222,0)</f>
        <v>224264</v>
      </c>
      <c r="V222" s="142"/>
      <c r="W222" s="142"/>
      <c r="X222" s="142"/>
      <c r="Y222" s="142"/>
      <c r="Z222" s="114"/>
    </row>
    <row r="223" spans="11:26" ht="18" customHeight="1">
      <c r="K223" s="171" t="s">
        <v>14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0.54</v>
      </c>
      <c r="Q223" s="144" t="s">
        <v>29</v>
      </c>
      <c r="R223" s="118">
        <f t="shared" ca="1" si="57"/>
        <v>373353</v>
      </c>
      <c r="S223" s="118">
        <f t="shared" ca="1" si="57"/>
        <v>201610</v>
      </c>
      <c r="T223" s="118">
        <f ca="1">특급</f>
        <v>373353</v>
      </c>
      <c r="U223" s="118">
        <f t="shared" ca="1" si="58"/>
        <v>201610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4.62</v>
      </c>
      <c r="Q224" s="144" t="s">
        <v>29</v>
      </c>
      <c r="R224" s="118">
        <f t="shared" ca="1" si="57"/>
        <v>310884</v>
      </c>
      <c r="S224" s="118">
        <f t="shared" ca="1" si="57"/>
        <v>1436284</v>
      </c>
      <c r="T224" s="118">
        <f ca="1">고급</f>
        <v>310884</v>
      </c>
      <c r="U224" s="118">
        <f t="shared" ca="1" si="58"/>
        <v>1436284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5.88</v>
      </c>
      <c r="Q225" s="144" t="s">
        <v>29</v>
      </c>
      <c r="R225" s="118">
        <f t="shared" ca="1" si="57"/>
        <v>295138</v>
      </c>
      <c r="S225" s="118">
        <f t="shared" ca="1" si="57"/>
        <v>1735411</v>
      </c>
      <c r="T225" s="118">
        <f ca="1">중급</f>
        <v>295138</v>
      </c>
      <c r="U225" s="118">
        <f t="shared" ca="1" si="58"/>
        <v>1735411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16.920000000000002</v>
      </c>
      <c r="Q226" s="144" t="s">
        <v>29</v>
      </c>
      <c r="R226" s="118">
        <f t="shared" ca="1" si="57"/>
        <v>235459</v>
      </c>
      <c r="S226" s="118">
        <f t="shared" ca="1" si="57"/>
        <v>3983966</v>
      </c>
      <c r="T226" s="118">
        <f ca="1">초급</f>
        <v>235459</v>
      </c>
      <c r="U226" s="118">
        <f t="shared" ca="1" si="58"/>
        <v>3983966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21.3</v>
      </c>
      <c r="Q227" s="322" t="s">
        <v>29</v>
      </c>
      <c r="R227" s="323">
        <f t="shared" ca="1" si="57"/>
        <v>250087</v>
      </c>
      <c r="S227" s="323">
        <f t="shared" ca="1" si="57"/>
        <v>5326853</v>
      </c>
      <c r="T227" s="323">
        <f ca="1">보조원</f>
        <v>250087</v>
      </c>
      <c r="U227" s="323">
        <f t="shared" ca="1" si="58"/>
        <v>5326853</v>
      </c>
      <c r="V227" s="323"/>
      <c r="W227" s="323"/>
      <c r="X227" s="323"/>
      <c r="Y227" s="323"/>
      <c r="Z227" s="324"/>
    </row>
    <row r="228" spans="11:26" ht="18" customHeight="1">
      <c r="K228" s="171" t="s">
        <v>14</v>
      </c>
      <c r="L228" s="171"/>
      <c r="M228" s="171"/>
      <c r="N228" s="139" t="s">
        <v>17</v>
      </c>
      <c r="O228" s="68"/>
      <c r="P228" s="69"/>
      <c r="Q228" s="70"/>
      <c r="R228" s="71"/>
      <c r="S228" s="71">
        <f ca="1">SUBTOTAL(9,S222:S227)</f>
        <v>12908388</v>
      </c>
      <c r="T228" s="71"/>
      <c r="U228" s="71">
        <f ca="1">SUBTOTAL(9,U222:U227)</f>
        <v>12908388</v>
      </c>
      <c r="V228" s="71"/>
      <c r="W228" s="71"/>
      <c r="X228" s="71"/>
      <c r="Y228" s="71"/>
      <c r="Z228" s="68"/>
    </row>
    <row r="229" spans="11:26" ht="18" customHeight="1">
      <c r="K229" s="171" t="s">
        <v>14</v>
      </c>
      <c r="L229" s="171"/>
      <c r="M229" s="171"/>
      <c r="N229" s="318" t="str">
        <f ca="1">"제 " &amp; Z229 &amp; " 호표  "&amp; OFFSET($A$1,MATCH(Z229,$A:$A,0)-1,1)</f>
        <v>제 20 호표  6.1. 인가신청도서 작성</v>
      </c>
      <c r="O229" s="221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20</v>
      </c>
    </row>
    <row r="230" spans="11:26" ht="18" customHeight="1">
      <c r="K230" s="171" t="s">
        <v>14</v>
      </c>
      <c r="L230" s="171"/>
      <c r="M230" s="171"/>
      <c r="N230" s="140" t="s">
        <v>43</v>
      </c>
      <c r="O230" s="172">
        <v>3</v>
      </c>
      <c r="P230" s="219">
        <f ca="1">OFFSET($A$1,MATCH(Z229,$A:$A,0)-1,O230)</f>
        <v>2.4</v>
      </c>
      <c r="Q230" s="141" t="s">
        <v>29</v>
      </c>
      <c r="R230" s="142">
        <f t="shared" ref="R230:S235" ca="1" si="59">T230</f>
        <v>467217</v>
      </c>
      <c r="S230" s="142">
        <f t="shared" ca="1" si="59"/>
        <v>1121320</v>
      </c>
      <c r="T230" s="142">
        <f ca="1">기술사</f>
        <v>467217</v>
      </c>
      <c r="U230" s="142">
        <f t="shared" ref="U230:U235" ca="1" si="60">ROUNDDOWN(P230*R230,0)</f>
        <v>1121320</v>
      </c>
      <c r="V230" s="142"/>
      <c r="W230" s="142"/>
      <c r="X230" s="142"/>
      <c r="Y230" s="142"/>
      <c r="Z230" s="114"/>
    </row>
    <row r="231" spans="11:26" ht="18" customHeight="1">
      <c r="K231" s="171" t="s">
        <v>14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2.46</v>
      </c>
      <c r="Q231" s="144" t="s">
        <v>29</v>
      </c>
      <c r="R231" s="118">
        <f t="shared" ca="1" si="59"/>
        <v>373353</v>
      </c>
      <c r="S231" s="118">
        <f t="shared" ca="1" si="59"/>
        <v>918448</v>
      </c>
      <c r="T231" s="118">
        <f ca="1">특급</f>
        <v>373353</v>
      </c>
      <c r="U231" s="118">
        <f t="shared" ca="1" si="60"/>
        <v>918448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8.6999999999999993</v>
      </c>
      <c r="Q232" s="144" t="s">
        <v>29</v>
      </c>
      <c r="R232" s="118">
        <f t="shared" ca="1" si="59"/>
        <v>310884</v>
      </c>
      <c r="S232" s="118">
        <f t="shared" ca="1" si="59"/>
        <v>2704690</v>
      </c>
      <c r="T232" s="118">
        <f ca="1">고급</f>
        <v>310884</v>
      </c>
      <c r="U232" s="118">
        <f t="shared" ca="1" si="60"/>
        <v>2704690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12.06</v>
      </c>
      <c r="Q233" s="144" t="s">
        <v>29</v>
      </c>
      <c r="R233" s="118">
        <f t="shared" ca="1" si="59"/>
        <v>295138</v>
      </c>
      <c r="S233" s="118">
        <f t="shared" ca="1" si="59"/>
        <v>3559364</v>
      </c>
      <c r="T233" s="118">
        <f ca="1">중급</f>
        <v>295138</v>
      </c>
      <c r="U233" s="118">
        <f t="shared" ca="1" si="60"/>
        <v>3559364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17.46</v>
      </c>
      <c r="Q234" s="144" t="s">
        <v>29</v>
      </c>
      <c r="R234" s="118">
        <f t="shared" ca="1" si="59"/>
        <v>235459</v>
      </c>
      <c r="S234" s="118">
        <f t="shared" ca="1" si="59"/>
        <v>4111114</v>
      </c>
      <c r="T234" s="118">
        <f ca="1">초급</f>
        <v>235459</v>
      </c>
      <c r="U234" s="118">
        <f t="shared" ca="1" si="60"/>
        <v>4111114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25.92</v>
      </c>
      <c r="Q235" s="322" t="s">
        <v>29</v>
      </c>
      <c r="R235" s="323">
        <f t="shared" ca="1" si="59"/>
        <v>250087</v>
      </c>
      <c r="S235" s="323">
        <f t="shared" ca="1" si="59"/>
        <v>6482255</v>
      </c>
      <c r="T235" s="323">
        <f ca="1">보조원</f>
        <v>250087</v>
      </c>
      <c r="U235" s="323">
        <f t="shared" ca="1" si="60"/>
        <v>6482255</v>
      </c>
      <c r="V235" s="323"/>
      <c r="W235" s="323"/>
      <c r="X235" s="323"/>
      <c r="Y235" s="323"/>
      <c r="Z235" s="324"/>
    </row>
    <row r="236" spans="11:26" ht="18" customHeight="1">
      <c r="K236" s="171" t="s">
        <v>14</v>
      </c>
      <c r="L236" s="171"/>
      <c r="M236" s="171"/>
      <c r="N236" s="139" t="s">
        <v>17</v>
      </c>
      <c r="O236" s="68"/>
      <c r="P236" s="69"/>
      <c r="Q236" s="70"/>
      <c r="R236" s="71"/>
      <c r="S236" s="71">
        <f ca="1">SUBTOTAL(9,S230:S235)</f>
        <v>18897191</v>
      </c>
      <c r="T236" s="71"/>
      <c r="U236" s="71">
        <f ca="1">SUBTOTAL(9,U230:U235)</f>
        <v>18897191</v>
      </c>
      <c r="V236" s="71"/>
      <c r="W236" s="71"/>
      <c r="X236" s="71"/>
      <c r="Y236" s="71"/>
      <c r="Z236" s="68"/>
    </row>
    <row r="237" spans="11:26" ht="18" customHeight="1">
      <c r="K237" s="171" t="s">
        <v>14</v>
      </c>
      <c r="L237" s="171"/>
      <c r="M237" s="171"/>
      <c r="N237" s="318" t="str">
        <f ca="1">"제 " &amp; Z237 &amp; " 호표  "&amp; OFFSET($A$1,MATCH(Z237,$A:$A,0)-1,1)</f>
        <v>제 21 호표  7.1. 공청회/주민설명회</v>
      </c>
      <c r="O237" s="221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21</v>
      </c>
    </row>
    <row r="238" spans="11:26" ht="18" customHeight="1">
      <c r="K238" s="171" t="s">
        <v>14</v>
      </c>
      <c r="L238" s="171"/>
      <c r="M238" s="171"/>
      <c r="N238" s="140" t="s">
        <v>43</v>
      </c>
      <c r="O238" s="172">
        <v>3</v>
      </c>
      <c r="P238" s="219">
        <f ca="1">OFFSET($A$1,MATCH(Z237,$A:$A,0)-1,O238)</f>
        <v>2</v>
      </c>
      <c r="Q238" s="141" t="s">
        <v>29</v>
      </c>
      <c r="R238" s="142">
        <f t="shared" ref="R238:S243" ca="1" si="61">T238</f>
        <v>467217</v>
      </c>
      <c r="S238" s="142">
        <f t="shared" ca="1" si="61"/>
        <v>934434</v>
      </c>
      <c r="T238" s="142">
        <f ca="1">기술사</f>
        <v>467217</v>
      </c>
      <c r="U238" s="142">
        <f t="shared" ref="U238:U243" ca="1" si="62">ROUNDDOWN(P238*R238,0)</f>
        <v>934434</v>
      </c>
      <c r="V238" s="142"/>
      <c r="W238" s="142"/>
      <c r="X238" s="142"/>
      <c r="Y238" s="142"/>
      <c r="Z238" s="114"/>
    </row>
    <row r="239" spans="11:26" ht="18" customHeight="1">
      <c r="K239" s="171" t="s">
        <v>14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2</v>
      </c>
      <c r="Q239" s="144" t="s">
        <v>29</v>
      </c>
      <c r="R239" s="118">
        <f t="shared" ca="1" si="61"/>
        <v>373353</v>
      </c>
      <c r="S239" s="118">
        <f t="shared" ca="1" si="61"/>
        <v>746706</v>
      </c>
      <c r="T239" s="118">
        <f ca="1">특급</f>
        <v>373353</v>
      </c>
      <c r="U239" s="118">
        <f t="shared" ca="1" si="62"/>
        <v>746706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2</v>
      </c>
      <c r="Q240" s="144" t="s">
        <v>29</v>
      </c>
      <c r="R240" s="118">
        <f t="shared" ca="1" si="61"/>
        <v>310884</v>
      </c>
      <c r="S240" s="118">
        <f t="shared" ca="1" si="61"/>
        <v>621768</v>
      </c>
      <c r="T240" s="118">
        <f ca="1">고급</f>
        <v>310884</v>
      </c>
      <c r="U240" s="118">
        <f t="shared" ca="1" si="62"/>
        <v>621768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4</v>
      </c>
      <c r="Q241" s="144" t="s">
        <v>29</v>
      </c>
      <c r="R241" s="118">
        <f t="shared" ca="1" si="61"/>
        <v>295138</v>
      </c>
      <c r="S241" s="118">
        <f t="shared" ca="1" si="61"/>
        <v>1180552</v>
      </c>
      <c r="T241" s="118">
        <f ca="1">중급</f>
        <v>295138</v>
      </c>
      <c r="U241" s="118">
        <f t="shared" ca="1" si="62"/>
        <v>1180552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4</v>
      </c>
      <c r="Q242" s="144" t="s">
        <v>29</v>
      </c>
      <c r="R242" s="118">
        <f t="shared" ca="1" si="61"/>
        <v>235459</v>
      </c>
      <c r="S242" s="118">
        <f t="shared" ca="1" si="61"/>
        <v>941836</v>
      </c>
      <c r="T242" s="118">
        <f ca="1">초급</f>
        <v>235459</v>
      </c>
      <c r="U242" s="118">
        <f t="shared" ca="1" si="62"/>
        <v>941836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4</v>
      </c>
      <c r="Q243" s="322" t="s">
        <v>29</v>
      </c>
      <c r="R243" s="323">
        <f t="shared" ca="1" si="61"/>
        <v>250087</v>
      </c>
      <c r="S243" s="323">
        <f t="shared" ca="1" si="61"/>
        <v>1000348</v>
      </c>
      <c r="T243" s="323">
        <f ca="1">보조원</f>
        <v>250087</v>
      </c>
      <c r="U243" s="323">
        <f t="shared" ca="1" si="62"/>
        <v>1000348</v>
      </c>
      <c r="V243" s="323"/>
      <c r="W243" s="323"/>
      <c r="X243" s="323"/>
      <c r="Y243" s="323"/>
      <c r="Z243" s="324"/>
    </row>
    <row r="244" spans="11:26" ht="18" customHeight="1">
      <c r="K244" s="171" t="s">
        <v>14</v>
      </c>
      <c r="L244" s="171"/>
      <c r="M244" s="171"/>
      <c r="N244" s="139" t="s">
        <v>17</v>
      </c>
      <c r="O244" s="68"/>
      <c r="P244" s="69"/>
      <c r="Q244" s="70"/>
      <c r="R244" s="71"/>
      <c r="S244" s="71">
        <f ca="1">SUBTOTAL(9,S238:S243)</f>
        <v>5425644</v>
      </c>
      <c r="T244" s="71"/>
      <c r="U244" s="71">
        <f ca="1">SUBTOTAL(9,U238:U243)</f>
        <v>5425644</v>
      </c>
      <c r="V244" s="71"/>
      <c r="W244" s="71"/>
      <c r="X244" s="71"/>
      <c r="Y244" s="71"/>
      <c r="Z244" s="68"/>
    </row>
    <row r="245" spans="11:26" ht="18" customHeight="1">
      <c r="K245" s="171" t="s">
        <v>14</v>
      </c>
      <c r="L245" s="171"/>
      <c r="M245" s="171"/>
      <c r="N245" s="318" t="str">
        <f ca="1">"제 " &amp; Z245 &amp; " 호표  "&amp; OFFSET($A$1,MATCH(Z245,$A:$A,0)-1,1)</f>
        <v>제 22 호표  7.2. 주민간담회/시민계획단</v>
      </c>
      <c r="O245" s="221"/>
      <c r="P245" s="148"/>
      <c r="Q245" s="148"/>
      <c r="R245" s="149"/>
      <c r="S245" s="149"/>
      <c r="T245" s="149"/>
      <c r="U245" s="149"/>
      <c r="V245" s="149"/>
      <c r="W245" s="149"/>
      <c r="X245" s="149"/>
      <c r="Y245" s="149"/>
      <c r="Z245" s="325">
        <f>Z237+1</f>
        <v>22</v>
      </c>
    </row>
    <row r="246" spans="11:26" ht="18" customHeight="1">
      <c r="K246" s="171" t="s">
        <v>14</v>
      </c>
      <c r="L246" s="171"/>
      <c r="M246" s="171"/>
      <c r="N246" s="140" t="s">
        <v>43</v>
      </c>
      <c r="O246" s="172">
        <v>3</v>
      </c>
      <c r="P246" s="219">
        <f ca="1">OFFSET($A$1,MATCH(Z245,$A:$A,0)-1,O246)</f>
        <v>2</v>
      </c>
      <c r="Q246" s="141" t="s">
        <v>29</v>
      </c>
      <c r="R246" s="142">
        <f t="shared" ref="R246:S251" ca="1" si="63">T246</f>
        <v>467217</v>
      </c>
      <c r="S246" s="142">
        <f t="shared" ca="1" si="63"/>
        <v>934434</v>
      </c>
      <c r="T246" s="142">
        <f ca="1">기술사</f>
        <v>467217</v>
      </c>
      <c r="U246" s="142">
        <f t="shared" ref="U246:U251" ca="1" si="64">ROUNDDOWN(P246*R246,0)</f>
        <v>934434</v>
      </c>
      <c r="V246" s="142"/>
      <c r="W246" s="142"/>
      <c r="X246" s="142"/>
      <c r="Y246" s="142"/>
      <c r="Z246" s="114"/>
    </row>
    <row r="247" spans="11:26" ht="18" customHeight="1">
      <c r="K247" s="171" t="s">
        <v>14</v>
      </c>
      <c r="L247" s="171"/>
      <c r="M247" s="171"/>
      <c r="N247" s="143" t="s">
        <v>32</v>
      </c>
      <c r="O247" s="173">
        <v>4</v>
      </c>
      <c r="P247" s="234">
        <f ca="1">OFFSET($A$1,MATCH(Z245,$A:$A,0)-1,O247)</f>
        <v>2</v>
      </c>
      <c r="Q247" s="144" t="s">
        <v>29</v>
      </c>
      <c r="R247" s="118">
        <f t="shared" ca="1" si="63"/>
        <v>373353</v>
      </c>
      <c r="S247" s="118">
        <f t="shared" ca="1" si="63"/>
        <v>746706</v>
      </c>
      <c r="T247" s="118">
        <f ca="1">특급</f>
        <v>373353</v>
      </c>
      <c r="U247" s="118">
        <f t="shared" ca="1" si="64"/>
        <v>746706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39</v>
      </c>
      <c r="O248" s="173">
        <v>5</v>
      </c>
      <c r="P248" s="234">
        <f ca="1">OFFSET($A$1,MATCH(Z245,$A:$A,0)-1,O248)</f>
        <v>2</v>
      </c>
      <c r="Q248" s="144" t="s">
        <v>29</v>
      </c>
      <c r="R248" s="118">
        <f t="shared" ca="1" si="63"/>
        <v>310884</v>
      </c>
      <c r="S248" s="118">
        <f t="shared" ca="1" si="63"/>
        <v>621768</v>
      </c>
      <c r="T248" s="118">
        <f ca="1">고급</f>
        <v>310884</v>
      </c>
      <c r="U248" s="118">
        <f t="shared" ca="1" si="64"/>
        <v>621768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145" t="s">
        <v>40</v>
      </c>
      <c r="O249" s="173">
        <v>6</v>
      </c>
      <c r="P249" s="234">
        <f ca="1">OFFSET($A$1,MATCH(Z245,$A:$A,0)-1,O249)</f>
        <v>4</v>
      </c>
      <c r="Q249" s="144" t="s">
        <v>29</v>
      </c>
      <c r="R249" s="118">
        <f t="shared" ca="1" si="63"/>
        <v>295138</v>
      </c>
      <c r="S249" s="118">
        <f t="shared" ca="1" si="63"/>
        <v>1180552</v>
      </c>
      <c r="T249" s="118">
        <f ca="1">중급</f>
        <v>295138</v>
      </c>
      <c r="U249" s="118">
        <f t="shared" ca="1" si="64"/>
        <v>1180552</v>
      </c>
      <c r="V249" s="118"/>
      <c r="W249" s="118"/>
      <c r="X249" s="118"/>
      <c r="Y249" s="118"/>
      <c r="Z249" s="115"/>
    </row>
    <row r="250" spans="11:26" ht="18" customHeight="1">
      <c r="K250" s="171" t="s">
        <v>14</v>
      </c>
      <c r="L250" s="171"/>
      <c r="M250" s="171"/>
      <c r="N250" s="145" t="s">
        <v>41</v>
      </c>
      <c r="O250" s="173">
        <v>7</v>
      </c>
      <c r="P250" s="234">
        <f ca="1">OFFSET($A$1,MATCH(Z245,$A:$A,0)-1,O250)</f>
        <v>4</v>
      </c>
      <c r="Q250" s="144" t="s">
        <v>29</v>
      </c>
      <c r="R250" s="118">
        <f t="shared" ca="1" si="63"/>
        <v>235459</v>
      </c>
      <c r="S250" s="118">
        <f t="shared" ca="1" si="63"/>
        <v>941836</v>
      </c>
      <c r="T250" s="118">
        <f ca="1">초급</f>
        <v>235459</v>
      </c>
      <c r="U250" s="118">
        <f t="shared" ca="1" si="64"/>
        <v>941836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319" t="s">
        <v>42</v>
      </c>
      <c r="O251" s="174">
        <v>8</v>
      </c>
      <c r="P251" s="235">
        <f ca="1">OFFSET($A$1,MATCH(Z245,$A:$A,0)-1,O251)</f>
        <v>4</v>
      </c>
      <c r="Q251" s="322" t="s">
        <v>29</v>
      </c>
      <c r="R251" s="323">
        <f t="shared" ca="1" si="63"/>
        <v>250087</v>
      </c>
      <c r="S251" s="323">
        <f t="shared" ca="1" si="63"/>
        <v>1000348</v>
      </c>
      <c r="T251" s="323">
        <f ca="1">보조원</f>
        <v>250087</v>
      </c>
      <c r="U251" s="323">
        <f t="shared" ca="1" si="64"/>
        <v>1000348</v>
      </c>
      <c r="V251" s="323"/>
      <c r="W251" s="323"/>
      <c r="X251" s="323"/>
      <c r="Y251" s="323"/>
      <c r="Z251" s="324"/>
    </row>
    <row r="252" spans="11:26" ht="18" customHeight="1">
      <c r="K252" s="171" t="s">
        <v>14</v>
      </c>
      <c r="L252" s="171"/>
      <c r="M252" s="171"/>
      <c r="N252" s="139" t="s">
        <v>17</v>
      </c>
      <c r="O252" s="68"/>
      <c r="P252" s="69"/>
      <c r="Q252" s="70"/>
      <c r="R252" s="71"/>
      <c r="S252" s="71">
        <f ca="1">SUBTOTAL(9,S246:S251)</f>
        <v>5425644</v>
      </c>
      <c r="T252" s="71"/>
      <c r="U252" s="71">
        <f ca="1">SUBTOTAL(9,U246:U251)</f>
        <v>5425644</v>
      </c>
      <c r="V252" s="71"/>
      <c r="W252" s="71"/>
      <c r="X252" s="71"/>
      <c r="Y252" s="71"/>
      <c r="Z252" s="68"/>
    </row>
    <row r="253" spans="11:26" ht="18" customHeight="1">
      <c r="K253" s="171" t="s">
        <v>14</v>
      </c>
      <c r="L253" s="171"/>
      <c r="M253" s="171"/>
      <c r="N253" s="318" t="str">
        <f ca="1">"제 " &amp; Z253 &amp; " 호표  "&amp; OFFSET($A$1,MATCH(Z253,$A:$A,0)-1,1)</f>
        <v>제 23 호표  7.3. 위원회심의 지원</v>
      </c>
      <c r="O253" s="221"/>
      <c r="P253" s="148"/>
      <c r="Q253" s="148"/>
      <c r="R253" s="149"/>
      <c r="S253" s="149"/>
      <c r="T253" s="149"/>
      <c r="U253" s="149"/>
      <c r="V253" s="149"/>
      <c r="W253" s="149"/>
      <c r="X253" s="149"/>
      <c r="Y253" s="149"/>
      <c r="Z253" s="325">
        <f>Z245+1</f>
        <v>23</v>
      </c>
    </row>
    <row r="254" spans="11:26" ht="18" customHeight="1">
      <c r="K254" s="171" t="s">
        <v>14</v>
      </c>
      <c r="L254" s="171"/>
      <c r="M254" s="171"/>
      <c r="N254" s="140" t="s">
        <v>43</v>
      </c>
      <c r="O254" s="172">
        <v>3</v>
      </c>
      <c r="P254" s="219">
        <f ca="1">OFFSET($A$1,MATCH(Z253,$A:$A,0)-1,O254)</f>
        <v>2</v>
      </c>
      <c r="Q254" s="141" t="s">
        <v>29</v>
      </c>
      <c r="R254" s="142">
        <f t="shared" ref="R254:S259" ca="1" si="65">T254</f>
        <v>467217</v>
      </c>
      <c r="S254" s="142">
        <f t="shared" ca="1" si="65"/>
        <v>934434</v>
      </c>
      <c r="T254" s="142">
        <f ca="1">기술사</f>
        <v>467217</v>
      </c>
      <c r="U254" s="142">
        <f t="shared" ref="U254:U259" ca="1" si="66">ROUNDDOWN(P254*R254,0)</f>
        <v>934434</v>
      </c>
      <c r="V254" s="142"/>
      <c r="W254" s="142"/>
      <c r="X254" s="142"/>
      <c r="Y254" s="142"/>
      <c r="Z254" s="114"/>
    </row>
    <row r="255" spans="11:26" ht="18" customHeight="1">
      <c r="K255" s="171" t="s">
        <v>14</v>
      </c>
      <c r="L255" s="171"/>
      <c r="M255" s="171"/>
      <c r="N255" s="143" t="s">
        <v>32</v>
      </c>
      <c r="O255" s="173">
        <v>4</v>
      </c>
      <c r="P255" s="234">
        <f ca="1">OFFSET($A$1,MATCH(Z253,$A:$A,0)-1,O255)</f>
        <v>2</v>
      </c>
      <c r="Q255" s="144" t="s">
        <v>29</v>
      </c>
      <c r="R255" s="118">
        <f t="shared" ca="1" si="65"/>
        <v>373353</v>
      </c>
      <c r="S255" s="118">
        <f t="shared" ca="1" si="65"/>
        <v>746706</v>
      </c>
      <c r="T255" s="118">
        <f ca="1">특급</f>
        <v>373353</v>
      </c>
      <c r="U255" s="118">
        <f t="shared" ca="1" si="66"/>
        <v>746706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39</v>
      </c>
      <c r="O256" s="173">
        <v>5</v>
      </c>
      <c r="P256" s="234">
        <f ca="1">OFFSET($A$1,MATCH(Z253,$A:$A,0)-1,O256)</f>
        <v>2</v>
      </c>
      <c r="Q256" s="144" t="s">
        <v>29</v>
      </c>
      <c r="R256" s="118">
        <f t="shared" ca="1" si="65"/>
        <v>310884</v>
      </c>
      <c r="S256" s="118">
        <f t="shared" ca="1" si="65"/>
        <v>621768</v>
      </c>
      <c r="T256" s="118">
        <f ca="1">고급</f>
        <v>310884</v>
      </c>
      <c r="U256" s="118">
        <f t="shared" ca="1" si="66"/>
        <v>621768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145" t="s">
        <v>40</v>
      </c>
      <c r="O257" s="173">
        <v>6</v>
      </c>
      <c r="P257" s="234">
        <f ca="1">OFFSET($A$1,MATCH(Z253,$A:$A,0)-1,O257)</f>
        <v>4</v>
      </c>
      <c r="Q257" s="144" t="s">
        <v>29</v>
      </c>
      <c r="R257" s="118">
        <f t="shared" ca="1" si="65"/>
        <v>295138</v>
      </c>
      <c r="S257" s="118">
        <f t="shared" ca="1" si="65"/>
        <v>1180552</v>
      </c>
      <c r="T257" s="118">
        <f ca="1">중급</f>
        <v>295138</v>
      </c>
      <c r="U257" s="118">
        <f t="shared" ca="1" si="66"/>
        <v>1180552</v>
      </c>
      <c r="V257" s="118"/>
      <c r="W257" s="118"/>
      <c r="X257" s="118"/>
      <c r="Y257" s="118"/>
      <c r="Z257" s="115"/>
    </row>
    <row r="258" spans="11:26" ht="18" customHeight="1">
      <c r="K258" s="171" t="s">
        <v>14</v>
      </c>
      <c r="L258" s="171"/>
      <c r="M258" s="171"/>
      <c r="N258" s="145" t="s">
        <v>41</v>
      </c>
      <c r="O258" s="173">
        <v>7</v>
      </c>
      <c r="P258" s="234">
        <f ca="1">OFFSET($A$1,MATCH(Z253,$A:$A,0)-1,O258)</f>
        <v>4</v>
      </c>
      <c r="Q258" s="144" t="s">
        <v>29</v>
      </c>
      <c r="R258" s="118">
        <f t="shared" ca="1" si="65"/>
        <v>235459</v>
      </c>
      <c r="S258" s="118">
        <f t="shared" ca="1" si="65"/>
        <v>941836</v>
      </c>
      <c r="T258" s="118">
        <f ca="1">초급</f>
        <v>235459</v>
      </c>
      <c r="U258" s="118">
        <f t="shared" ca="1" si="66"/>
        <v>941836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319" t="s">
        <v>42</v>
      </c>
      <c r="O259" s="174">
        <v>8</v>
      </c>
      <c r="P259" s="235">
        <f ca="1">OFFSET($A$1,MATCH(Z253,$A:$A,0)-1,O259)</f>
        <v>4</v>
      </c>
      <c r="Q259" s="322" t="s">
        <v>29</v>
      </c>
      <c r="R259" s="323">
        <f t="shared" ca="1" si="65"/>
        <v>250087</v>
      </c>
      <c r="S259" s="323">
        <f t="shared" ca="1" si="65"/>
        <v>1000348</v>
      </c>
      <c r="T259" s="323">
        <f ca="1">보조원</f>
        <v>250087</v>
      </c>
      <c r="U259" s="323">
        <f t="shared" ca="1" si="66"/>
        <v>1000348</v>
      </c>
      <c r="V259" s="323"/>
      <c r="W259" s="323"/>
      <c r="X259" s="323"/>
      <c r="Y259" s="323"/>
      <c r="Z259" s="324"/>
    </row>
    <row r="260" spans="11:26" ht="18" customHeight="1">
      <c r="K260" s="171" t="s">
        <v>14</v>
      </c>
      <c r="L260" s="171"/>
      <c r="M260" s="171"/>
      <c r="N260" s="139" t="s">
        <v>17</v>
      </c>
      <c r="O260" s="68"/>
      <c r="P260" s="69"/>
      <c r="Q260" s="70"/>
      <c r="R260" s="71"/>
      <c r="S260" s="71">
        <f ca="1">SUBTOTAL(9,S254:S259)</f>
        <v>5425644</v>
      </c>
      <c r="T260" s="71"/>
      <c r="U260" s="71">
        <f ca="1">SUBTOTAL(9,U254:U259)</f>
        <v>5425644</v>
      </c>
      <c r="V260" s="71"/>
      <c r="W260" s="71"/>
      <c r="X260" s="71"/>
      <c r="Y260" s="71"/>
      <c r="Z260" s="68"/>
    </row>
    <row r="261" spans="11:26" ht="18" customHeight="1">
      <c r="K261" s="171" t="s">
        <v>14</v>
      </c>
      <c r="L261" s="171"/>
      <c r="M261" s="171"/>
      <c r="N261" s="318" t="str">
        <f ca="1">"제 " &amp; Z261 &amp; " 호표  "&amp; OFFSET($A$1,MATCH(Z261,$A:$A,0)-1,1)</f>
        <v>제 24 호표  7.4. 관계기관 협의</v>
      </c>
      <c r="O261" s="221"/>
      <c r="P261" s="148"/>
      <c r="Q261" s="148"/>
      <c r="R261" s="149"/>
      <c r="S261" s="149"/>
      <c r="T261" s="149"/>
      <c r="U261" s="149"/>
      <c r="V261" s="149"/>
      <c r="W261" s="149"/>
      <c r="X261" s="149"/>
      <c r="Y261" s="149"/>
      <c r="Z261" s="325">
        <f>Z253+1</f>
        <v>24</v>
      </c>
    </row>
    <row r="262" spans="11:26" ht="18" customHeight="1">
      <c r="K262" s="171" t="s">
        <v>14</v>
      </c>
      <c r="L262" s="171"/>
      <c r="M262" s="171"/>
      <c r="N262" s="140" t="s">
        <v>43</v>
      </c>
      <c r="O262" s="172">
        <v>3</v>
      </c>
      <c r="P262" s="219">
        <f ca="1">OFFSET($A$1,MATCH(Z261,$A:$A,0)-1,O262)</f>
        <v>2</v>
      </c>
      <c r="Q262" s="141" t="s">
        <v>29</v>
      </c>
      <c r="R262" s="142">
        <f t="shared" ref="R262:R267" ca="1" si="67">T262</f>
        <v>467217</v>
      </c>
      <c r="S262" s="142">
        <f t="shared" ref="S262:S267" ca="1" si="68">U262</f>
        <v>934434</v>
      </c>
      <c r="T262" s="142">
        <f ca="1">기술사</f>
        <v>467217</v>
      </c>
      <c r="U262" s="142">
        <f t="shared" ref="U262:U267" ca="1" si="69">ROUNDDOWN(P262*R262,0)</f>
        <v>934434</v>
      </c>
      <c r="V262" s="142"/>
      <c r="W262" s="142"/>
      <c r="X262" s="142"/>
      <c r="Y262" s="142"/>
      <c r="Z262" s="114"/>
    </row>
    <row r="263" spans="11:26" ht="18" customHeight="1">
      <c r="K263" s="171" t="s">
        <v>14</v>
      </c>
      <c r="L263" s="171"/>
      <c r="M263" s="171"/>
      <c r="N263" s="143" t="s">
        <v>32</v>
      </c>
      <c r="O263" s="173">
        <v>4</v>
      </c>
      <c r="P263" s="234">
        <f ca="1">OFFSET($A$1,MATCH(Z261,$A:$A,0)-1,O263)</f>
        <v>2</v>
      </c>
      <c r="Q263" s="144" t="s">
        <v>29</v>
      </c>
      <c r="R263" s="118">
        <f t="shared" ca="1" si="67"/>
        <v>373353</v>
      </c>
      <c r="S263" s="118">
        <f t="shared" ca="1" si="68"/>
        <v>746706</v>
      </c>
      <c r="T263" s="118">
        <f ca="1">특급</f>
        <v>373353</v>
      </c>
      <c r="U263" s="118">
        <f t="shared" ca="1" si="69"/>
        <v>746706</v>
      </c>
      <c r="V263" s="118"/>
      <c r="W263" s="118"/>
      <c r="X263" s="118"/>
      <c r="Y263" s="118"/>
      <c r="Z263" s="115"/>
    </row>
    <row r="264" spans="11:26" ht="18" customHeight="1">
      <c r="K264" s="171" t="s">
        <v>14</v>
      </c>
      <c r="L264" s="171"/>
      <c r="M264" s="171"/>
      <c r="N264" s="145" t="s">
        <v>39</v>
      </c>
      <c r="O264" s="173">
        <v>5</v>
      </c>
      <c r="P264" s="234">
        <f ca="1">OFFSET($A$1,MATCH(Z261,$A:$A,0)-1,O264)</f>
        <v>2</v>
      </c>
      <c r="Q264" s="144" t="s">
        <v>29</v>
      </c>
      <c r="R264" s="118">
        <f t="shared" ca="1" si="67"/>
        <v>310884</v>
      </c>
      <c r="S264" s="118">
        <f t="shared" ca="1" si="68"/>
        <v>621768</v>
      </c>
      <c r="T264" s="118">
        <f ca="1">고급</f>
        <v>310884</v>
      </c>
      <c r="U264" s="118">
        <f t="shared" ca="1" si="69"/>
        <v>621768</v>
      </c>
      <c r="V264" s="118"/>
      <c r="W264" s="118"/>
      <c r="X264" s="118"/>
      <c r="Y264" s="118"/>
      <c r="Z264" s="115"/>
    </row>
    <row r="265" spans="11:26" ht="18" customHeight="1">
      <c r="K265" s="171" t="s">
        <v>14</v>
      </c>
      <c r="L265" s="171"/>
      <c r="M265" s="171"/>
      <c r="N265" s="145" t="s">
        <v>40</v>
      </c>
      <c r="O265" s="173">
        <v>6</v>
      </c>
      <c r="P265" s="234">
        <f ca="1">OFFSET($A$1,MATCH(Z261,$A:$A,0)-1,O265)</f>
        <v>4</v>
      </c>
      <c r="Q265" s="144" t="s">
        <v>29</v>
      </c>
      <c r="R265" s="118">
        <f t="shared" ca="1" si="67"/>
        <v>295138</v>
      </c>
      <c r="S265" s="118">
        <f t="shared" ca="1" si="68"/>
        <v>1180552</v>
      </c>
      <c r="T265" s="118">
        <f ca="1">중급</f>
        <v>295138</v>
      </c>
      <c r="U265" s="118">
        <f t="shared" ca="1" si="69"/>
        <v>1180552</v>
      </c>
      <c r="V265" s="118"/>
      <c r="W265" s="118"/>
      <c r="X265" s="118"/>
      <c r="Y265" s="118"/>
      <c r="Z265" s="115"/>
    </row>
    <row r="266" spans="11:26" ht="18" customHeight="1">
      <c r="K266" s="171" t="s">
        <v>14</v>
      </c>
      <c r="L266" s="171"/>
      <c r="M266" s="171"/>
      <c r="N266" s="145" t="s">
        <v>41</v>
      </c>
      <c r="O266" s="173">
        <v>7</v>
      </c>
      <c r="P266" s="234">
        <f ca="1">OFFSET($A$1,MATCH(Z261,$A:$A,0)-1,O266)</f>
        <v>4</v>
      </c>
      <c r="Q266" s="144" t="s">
        <v>29</v>
      </c>
      <c r="R266" s="118">
        <f t="shared" ca="1" si="67"/>
        <v>235459</v>
      </c>
      <c r="S266" s="118">
        <f t="shared" ca="1" si="68"/>
        <v>941836</v>
      </c>
      <c r="T266" s="118">
        <f ca="1">초급</f>
        <v>235459</v>
      </c>
      <c r="U266" s="118">
        <f t="shared" ca="1" si="69"/>
        <v>941836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319" t="s">
        <v>42</v>
      </c>
      <c r="O267" s="174">
        <v>8</v>
      </c>
      <c r="P267" s="235">
        <f ca="1">OFFSET($A$1,MATCH(Z261,$A:$A,0)-1,O267)</f>
        <v>4</v>
      </c>
      <c r="Q267" s="322" t="s">
        <v>29</v>
      </c>
      <c r="R267" s="323">
        <f t="shared" ca="1" si="67"/>
        <v>250087</v>
      </c>
      <c r="S267" s="323">
        <f t="shared" ca="1" si="68"/>
        <v>1000348</v>
      </c>
      <c r="T267" s="323">
        <f ca="1">보조원</f>
        <v>250087</v>
      </c>
      <c r="U267" s="323">
        <f t="shared" ca="1" si="69"/>
        <v>1000348</v>
      </c>
      <c r="V267" s="323"/>
      <c r="W267" s="323"/>
      <c r="X267" s="323"/>
      <c r="Y267" s="323"/>
      <c r="Z267" s="324"/>
    </row>
    <row r="268" spans="11:26" ht="18" customHeight="1">
      <c r="K268" s="171" t="s">
        <v>14</v>
      </c>
      <c r="L268" s="171"/>
      <c r="M268" s="171"/>
      <c r="N268" s="139" t="s">
        <v>17</v>
      </c>
      <c r="O268" s="68"/>
      <c r="P268" s="69"/>
      <c r="Q268" s="70"/>
      <c r="R268" s="71"/>
      <c r="S268" s="71">
        <f ca="1">SUBTOTAL(9,S262:S267)</f>
        <v>5425644</v>
      </c>
      <c r="T268" s="71"/>
      <c r="U268" s="71">
        <f ca="1">SUBTOTAL(9,U262:U267)</f>
        <v>5425644</v>
      </c>
      <c r="V268" s="71"/>
      <c r="W268" s="71"/>
      <c r="X268" s="71"/>
      <c r="Y268" s="71"/>
      <c r="Z268" s="68"/>
    </row>
    <row r="269" spans="11:26" ht="18" customHeight="1">
      <c r="K269" s="171" t="s">
        <v>14</v>
      </c>
      <c r="L269" s="171"/>
      <c r="M269" s="171"/>
      <c r="N269" s="318" t="e">
        <f ca="1">"제 " &amp; Z269 &amp; " 호표  "&amp; OFFSET($A$1,MATCH(Z269,$A:$A,0)-1,1)</f>
        <v>#N/A</v>
      </c>
      <c r="O269" s="221"/>
      <c r="P269" s="148"/>
      <c r="Q269" s="148"/>
      <c r="R269" s="149"/>
      <c r="S269" s="149"/>
      <c r="T269" s="149"/>
      <c r="U269" s="149"/>
      <c r="V269" s="149"/>
      <c r="W269" s="149"/>
      <c r="X269" s="149"/>
      <c r="Y269" s="149"/>
      <c r="Z269" s="325">
        <f>Z261+1</f>
        <v>25</v>
      </c>
    </row>
    <row r="270" spans="11:26" ht="18" customHeight="1">
      <c r="K270" s="171" t="s">
        <v>14</v>
      </c>
      <c r="L270" s="171"/>
      <c r="M270" s="171"/>
      <c r="N270" s="140" t="s">
        <v>43</v>
      </c>
      <c r="O270" s="172">
        <v>3</v>
      </c>
      <c r="P270" s="219" t="e">
        <f ca="1">OFFSET($A$1,MATCH(Z269,$A:$A,0)-1,O270)</f>
        <v>#N/A</v>
      </c>
      <c r="Q270" s="141" t="s">
        <v>29</v>
      </c>
      <c r="R270" s="142">
        <f t="shared" ref="R270:R275" ca="1" si="70">T270</f>
        <v>467217</v>
      </c>
      <c r="S270" s="142" t="e">
        <f t="shared" ref="S270:S275" ca="1" si="71">U270</f>
        <v>#N/A</v>
      </c>
      <c r="T270" s="142">
        <f ca="1">기술사</f>
        <v>467217</v>
      </c>
      <c r="U270" s="142" t="e">
        <f t="shared" ref="U270:U275" ca="1" si="72">ROUNDDOWN(P270*R270,0)</f>
        <v>#N/A</v>
      </c>
      <c r="V270" s="142"/>
      <c r="W270" s="142"/>
      <c r="X270" s="142"/>
      <c r="Y270" s="142"/>
      <c r="Z270" s="114"/>
    </row>
    <row r="271" spans="11:26" ht="18" customHeight="1">
      <c r="K271" s="171" t="s">
        <v>14</v>
      </c>
      <c r="L271" s="171"/>
      <c r="M271" s="171"/>
      <c r="N271" s="143" t="s">
        <v>32</v>
      </c>
      <c r="O271" s="173">
        <v>4</v>
      </c>
      <c r="P271" s="234" t="e">
        <f ca="1">OFFSET($A$1,MATCH(Z269,$A:$A,0)-1,O271)</f>
        <v>#N/A</v>
      </c>
      <c r="Q271" s="144" t="s">
        <v>29</v>
      </c>
      <c r="R271" s="118">
        <f t="shared" ca="1" si="70"/>
        <v>373353</v>
      </c>
      <c r="S271" s="118" t="e">
        <f t="shared" ca="1" si="71"/>
        <v>#N/A</v>
      </c>
      <c r="T271" s="118">
        <f ca="1">특급</f>
        <v>373353</v>
      </c>
      <c r="U271" s="118" t="e">
        <f t="shared" ca="1" si="72"/>
        <v>#N/A</v>
      </c>
      <c r="V271" s="118"/>
      <c r="W271" s="118"/>
      <c r="X271" s="118"/>
      <c r="Y271" s="118"/>
      <c r="Z271" s="115"/>
    </row>
    <row r="272" spans="11:26" ht="18" customHeight="1">
      <c r="K272" s="171" t="s">
        <v>14</v>
      </c>
      <c r="L272" s="171"/>
      <c r="M272" s="171"/>
      <c r="N272" s="145" t="s">
        <v>39</v>
      </c>
      <c r="O272" s="173">
        <v>5</v>
      </c>
      <c r="P272" s="234" t="e">
        <f ca="1">OFFSET($A$1,MATCH(Z269,$A:$A,0)-1,O272)</f>
        <v>#N/A</v>
      </c>
      <c r="Q272" s="144" t="s">
        <v>29</v>
      </c>
      <c r="R272" s="118">
        <f t="shared" ca="1" si="70"/>
        <v>310884</v>
      </c>
      <c r="S272" s="118" t="e">
        <f t="shared" ca="1" si="71"/>
        <v>#N/A</v>
      </c>
      <c r="T272" s="118">
        <f ca="1">고급</f>
        <v>310884</v>
      </c>
      <c r="U272" s="118" t="e">
        <f t="shared" ca="1" si="72"/>
        <v>#N/A</v>
      </c>
      <c r="V272" s="118"/>
      <c r="W272" s="118"/>
      <c r="X272" s="118"/>
      <c r="Y272" s="118"/>
      <c r="Z272" s="115"/>
    </row>
    <row r="273" spans="11:26" ht="18" customHeight="1">
      <c r="K273" s="171" t="s">
        <v>14</v>
      </c>
      <c r="L273" s="171"/>
      <c r="M273" s="171"/>
      <c r="N273" s="145" t="s">
        <v>40</v>
      </c>
      <c r="O273" s="173">
        <v>6</v>
      </c>
      <c r="P273" s="234" t="e">
        <f ca="1">OFFSET($A$1,MATCH(Z269,$A:$A,0)-1,O273)</f>
        <v>#N/A</v>
      </c>
      <c r="Q273" s="144" t="s">
        <v>29</v>
      </c>
      <c r="R273" s="118">
        <f t="shared" ca="1" si="70"/>
        <v>295138</v>
      </c>
      <c r="S273" s="118" t="e">
        <f t="shared" ca="1" si="71"/>
        <v>#N/A</v>
      </c>
      <c r="T273" s="118">
        <f ca="1">중급</f>
        <v>295138</v>
      </c>
      <c r="U273" s="118" t="e">
        <f t="shared" ca="1" si="72"/>
        <v>#N/A</v>
      </c>
      <c r="V273" s="118"/>
      <c r="W273" s="118"/>
      <c r="X273" s="118"/>
      <c r="Y273" s="118"/>
      <c r="Z273" s="115"/>
    </row>
    <row r="274" spans="11:26" ht="18" customHeight="1">
      <c r="K274" s="171" t="s">
        <v>14</v>
      </c>
      <c r="L274" s="171"/>
      <c r="M274" s="171"/>
      <c r="N274" s="145" t="s">
        <v>41</v>
      </c>
      <c r="O274" s="173">
        <v>7</v>
      </c>
      <c r="P274" s="234" t="e">
        <f ca="1">OFFSET($A$1,MATCH(Z269,$A:$A,0)-1,O274)</f>
        <v>#N/A</v>
      </c>
      <c r="Q274" s="144" t="s">
        <v>29</v>
      </c>
      <c r="R274" s="118">
        <f t="shared" ca="1" si="70"/>
        <v>235459</v>
      </c>
      <c r="S274" s="118" t="e">
        <f t="shared" ca="1" si="71"/>
        <v>#N/A</v>
      </c>
      <c r="T274" s="118">
        <f ca="1">초급</f>
        <v>235459</v>
      </c>
      <c r="U274" s="118" t="e">
        <f t="shared" ca="1" si="72"/>
        <v>#N/A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319" t="s">
        <v>42</v>
      </c>
      <c r="O275" s="174">
        <v>8</v>
      </c>
      <c r="P275" s="235" t="e">
        <f ca="1">OFFSET($A$1,MATCH(Z269,$A:$A,0)-1,O275)</f>
        <v>#N/A</v>
      </c>
      <c r="Q275" s="322" t="s">
        <v>29</v>
      </c>
      <c r="R275" s="323">
        <f t="shared" ca="1" si="70"/>
        <v>250087</v>
      </c>
      <c r="S275" s="323" t="e">
        <f t="shared" ca="1" si="71"/>
        <v>#N/A</v>
      </c>
      <c r="T275" s="323">
        <f ca="1">보조원</f>
        <v>250087</v>
      </c>
      <c r="U275" s="323" t="e">
        <f t="shared" ca="1" si="72"/>
        <v>#N/A</v>
      </c>
      <c r="V275" s="323"/>
      <c r="W275" s="323"/>
      <c r="X275" s="323"/>
      <c r="Y275" s="323"/>
      <c r="Z275" s="324"/>
    </row>
    <row r="276" spans="11:26" ht="18" customHeight="1">
      <c r="K276" s="171" t="s">
        <v>14</v>
      </c>
      <c r="L276" s="171"/>
      <c r="M276" s="171"/>
      <c r="N276" s="139" t="s">
        <v>17</v>
      </c>
      <c r="O276" s="68"/>
      <c r="P276" s="69"/>
      <c r="Q276" s="70"/>
      <c r="R276" s="71"/>
      <c r="S276" s="71" t="e">
        <f ca="1">SUBTOTAL(9,S270:S275)</f>
        <v>#N/A</v>
      </c>
      <c r="T276" s="71"/>
      <c r="U276" s="71" t="e">
        <f ca="1">SUBTOTAL(9,U270:U275)</f>
        <v>#N/A</v>
      </c>
      <c r="V276" s="71"/>
      <c r="W276" s="71"/>
      <c r="X276" s="71"/>
      <c r="Y276" s="71"/>
      <c r="Z276" s="68"/>
    </row>
    <row r="277" spans="11:26" ht="18" customHeight="1">
      <c r="K277" s="171" t="s">
        <v>14</v>
      </c>
      <c r="L277" s="171"/>
      <c r="M277" s="171"/>
      <c r="N277" s="318" t="e">
        <f ca="1">"제 " &amp; Z277 &amp; " 호표  "&amp; OFFSET($A$1,MATCH(Z277,$A:$A,0)-1,1)</f>
        <v>#N/A</v>
      </c>
      <c r="O277" s="221"/>
      <c r="P277" s="148"/>
      <c r="Q277" s="148"/>
      <c r="R277" s="149"/>
      <c r="S277" s="149"/>
      <c r="T277" s="149"/>
      <c r="U277" s="149"/>
      <c r="V277" s="149"/>
      <c r="W277" s="149"/>
      <c r="X277" s="149"/>
      <c r="Y277" s="149"/>
      <c r="Z277" s="325">
        <f>Z269+1</f>
        <v>26</v>
      </c>
    </row>
    <row r="278" spans="11:26" ht="18" customHeight="1">
      <c r="K278" s="171" t="s">
        <v>14</v>
      </c>
      <c r="L278" s="171"/>
      <c r="M278" s="171"/>
      <c r="N278" s="140" t="s">
        <v>43</v>
      </c>
      <c r="O278" s="172">
        <v>3</v>
      </c>
      <c r="P278" s="219" t="e">
        <f ca="1">OFFSET($A$1,MATCH(Z277,$A:$A,0)-1,O278)</f>
        <v>#N/A</v>
      </c>
      <c r="Q278" s="141" t="s">
        <v>29</v>
      </c>
      <c r="R278" s="142">
        <f t="shared" ref="R278:R283" ca="1" si="73">T278</f>
        <v>467217</v>
      </c>
      <c r="S278" s="142" t="e">
        <f t="shared" ref="S278:S283" ca="1" si="74">U278</f>
        <v>#N/A</v>
      </c>
      <c r="T278" s="142">
        <f ca="1">기술사</f>
        <v>467217</v>
      </c>
      <c r="U278" s="142" t="e">
        <f t="shared" ref="U278:U283" ca="1" si="75">ROUNDDOWN(P278*R278,0)</f>
        <v>#N/A</v>
      </c>
      <c r="V278" s="142"/>
      <c r="W278" s="142"/>
      <c r="X278" s="142"/>
      <c r="Y278" s="142"/>
      <c r="Z278" s="114"/>
    </row>
    <row r="279" spans="11:26" ht="18" customHeight="1">
      <c r="K279" s="171" t="s">
        <v>14</v>
      </c>
      <c r="L279" s="171"/>
      <c r="M279" s="171"/>
      <c r="N279" s="143" t="s">
        <v>32</v>
      </c>
      <c r="O279" s="173">
        <v>4</v>
      </c>
      <c r="P279" s="234" t="e">
        <f ca="1">OFFSET($A$1,MATCH(Z277,$A:$A,0)-1,O279)</f>
        <v>#N/A</v>
      </c>
      <c r="Q279" s="144" t="s">
        <v>29</v>
      </c>
      <c r="R279" s="118">
        <f t="shared" ca="1" si="73"/>
        <v>373353</v>
      </c>
      <c r="S279" s="118" t="e">
        <f t="shared" ca="1" si="74"/>
        <v>#N/A</v>
      </c>
      <c r="T279" s="118">
        <f ca="1">특급</f>
        <v>373353</v>
      </c>
      <c r="U279" s="118" t="e">
        <f t="shared" ca="1" si="75"/>
        <v>#N/A</v>
      </c>
      <c r="V279" s="118"/>
      <c r="W279" s="118"/>
      <c r="X279" s="118"/>
      <c r="Y279" s="118"/>
      <c r="Z279" s="115"/>
    </row>
    <row r="280" spans="11:26" ht="18" customHeight="1">
      <c r="K280" s="171" t="s">
        <v>14</v>
      </c>
      <c r="L280" s="171"/>
      <c r="M280" s="171"/>
      <c r="N280" s="145" t="s">
        <v>39</v>
      </c>
      <c r="O280" s="173">
        <v>5</v>
      </c>
      <c r="P280" s="234" t="e">
        <f ca="1">OFFSET($A$1,MATCH(Z277,$A:$A,0)-1,O280)</f>
        <v>#N/A</v>
      </c>
      <c r="Q280" s="144" t="s">
        <v>29</v>
      </c>
      <c r="R280" s="118">
        <f t="shared" ca="1" si="73"/>
        <v>310884</v>
      </c>
      <c r="S280" s="118" t="e">
        <f t="shared" ca="1" si="74"/>
        <v>#N/A</v>
      </c>
      <c r="T280" s="118">
        <f ca="1">고급</f>
        <v>310884</v>
      </c>
      <c r="U280" s="118" t="e">
        <f t="shared" ca="1" si="75"/>
        <v>#N/A</v>
      </c>
      <c r="V280" s="118"/>
      <c r="W280" s="118"/>
      <c r="X280" s="118"/>
      <c r="Y280" s="118"/>
      <c r="Z280" s="115"/>
    </row>
    <row r="281" spans="11:26" ht="18" customHeight="1">
      <c r="K281" s="171" t="s">
        <v>14</v>
      </c>
      <c r="L281" s="171"/>
      <c r="M281" s="171"/>
      <c r="N281" s="145" t="s">
        <v>40</v>
      </c>
      <c r="O281" s="173">
        <v>6</v>
      </c>
      <c r="P281" s="234" t="e">
        <f ca="1">OFFSET($A$1,MATCH(Z277,$A:$A,0)-1,O281)</f>
        <v>#N/A</v>
      </c>
      <c r="Q281" s="144" t="s">
        <v>29</v>
      </c>
      <c r="R281" s="118">
        <f t="shared" ca="1" si="73"/>
        <v>295138</v>
      </c>
      <c r="S281" s="118" t="e">
        <f t="shared" ca="1" si="74"/>
        <v>#N/A</v>
      </c>
      <c r="T281" s="118">
        <f ca="1">중급</f>
        <v>295138</v>
      </c>
      <c r="U281" s="118" t="e">
        <f t="shared" ca="1" si="75"/>
        <v>#N/A</v>
      </c>
      <c r="V281" s="118"/>
      <c r="W281" s="118"/>
      <c r="X281" s="118"/>
      <c r="Y281" s="118"/>
      <c r="Z281" s="115"/>
    </row>
    <row r="282" spans="11:26" ht="18" customHeight="1">
      <c r="K282" s="171" t="s">
        <v>14</v>
      </c>
      <c r="L282" s="171"/>
      <c r="M282" s="171"/>
      <c r="N282" s="145" t="s">
        <v>41</v>
      </c>
      <c r="O282" s="173">
        <v>7</v>
      </c>
      <c r="P282" s="234" t="e">
        <f ca="1">OFFSET($A$1,MATCH(Z277,$A:$A,0)-1,O282)</f>
        <v>#N/A</v>
      </c>
      <c r="Q282" s="144" t="s">
        <v>29</v>
      </c>
      <c r="R282" s="118">
        <f t="shared" ca="1" si="73"/>
        <v>235459</v>
      </c>
      <c r="S282" s="118" t="e">
        <f t="shared" ca="1" si="74"/>
        <v>#N/A</v>
      </c>
      <c r="T282" s="118">
        <f ca="1">초급</f>
        <v>235459</v>
      </c>
      <c r="U282" s="118" t="e">
        <f t="shared" ca="1" si="75"/>
        <v>#N/A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319" t="s">
        <v>42</v>
      </c>
      <c r="O283" s="174">
        <v>8</v>
      </c>
      <c r="P283" s="235" t="e">
        <f ca="1">OFFSET($A$1,MATCH(Z277,$A:$A,0)-1,O283)</f>
        <v>#N/A</v>
      </c>
      <c r="Q283" s="322" t="s">
        <v>29</v>
      </c>
      <c r="R283" s="323">
        <f t="shared" ca="1" si="73"/>
        <v>250087</v>
      </c>
      <c r="S283" s="323" t="e">
        <f t="shared" ca="1" si="74"/>
        <v>#N/A</v>
      </c>
      <c r="T283" s="323">
        <f ca="1">보조원</f>
        <v>250087</v>
      </c>
      <c r="U283" s="323" t="e">
        <f t="shared" ca="1" si="75"/>
        <v>#N/A</v>
      </c>
      <c r="V283" s="323"/>
      <c r="W283" s="323"/>
      <c r="X283" s="323"/>
      <c r="Y283" s="323"/>
      <c r="Z283" s="324"/>
    </row>
    <row r="284" spans="11:26" ht="18" customHeight="1">
      <c r="K284" s="171" t="s">
        <v>14</v>
      </c>
      <c r="L284" s="171"/>
      <c r="M284" s="171"/>
      <c r="N284" s="139" t="s">
        <v>17</v>
      </c>
      <c r="O284" s="68"/>
      <c r="P284" s="69"/>
      <c r="Q284" s="70"/>
      <c r="R284" s="71"/>
      <c r="S284" s="71" t="e">
        <f ca="1">SUBTOTAL(9,S278:S283)</f>
        <v>#N/A</v>
      </c>
      <c r="T284" s="71"/>
      <c r="U284" s="71" t="e">
        <f ca="1">SUBTOTAL(9,U278:U283)</f>
        <v>#N/A</v>
      </c>
      <c r="V284" s="71"/>
      <c r="W284" s="71"/>
      <c r="X284" s="71"/>
      <c r="Y284" s="71"/>
      <c r="Z284" s="68"/>
    </row>
    <row r="285" spans="11:26" ht="18" customHeight="1">
      <c r="K285" s="171" t="s">
        <v>14</v>
      </c>
      <c r="L285" s="171"/>
      <c r="M285" s="171"/>
    </row>
    <row r="286" spans="11:26" ht="18" customHeight="1">
      <c r="K286" s="171" t="s">
        <v>14</v>
      </c>
      <c r="L286" s="171"/>
      <c r="M286" s="171"/>
    </row>
    <row r="287" spans="11:26" ht="18" customHeight="1">
      <c r="K287" s="171" t="s">
        <v>14</v>
      </c>
      <c r="L287" s="171"/>
      <c r="M287" s="171"/>
    </row>
    <row r="288" spans="11:26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  <c r="M828" s="171"/>
    </row>
    <row r="829" spans="11:13" ht="18" customHeight="1">
      <c r="K829" s="171" t="s">
        <v>14</v>
      </c>
      <c r="L829" s="171"/>
      <c r="M829" s="171"/>
    </row>
    <row r="830" spans="11:13" ht="18" customHeight="1">
      <c r="K830" s="171" t="s">
        <v>14</v>
      </c>
      <c r="L830" s="171"/>
      <c r="M830" s="171"/>
    </row>
    <row r="831" spans="11:13" ht="18" customHeight="1">
      <c r="K831" s="171" t="s">
        <v>14</v>
      </c>
      <c r="L831" s="171"/>
      <c r="M831" s="171"/>
    </row>
    <row r="832" spans="11:13" ht="18" customHeight="1">
      <c r="K832" s="171" t="s">
        <v>14</v>
      </c>
      <c r="L832" s="171"/>
      <c r="M832" s="171"/>
    </row>
    <row r="833" spans="11:13" ht="18" customHeight="1">
      <c r="K833" s="171" t="s">
        <v>14</v>
      </c>
      <c r="L833" s="171"/>
      <c r="M833" s="171"/>
    </row>
    <row r="834" spans="11:13" ht="18" customHeight="1">
      <c r="K834" s="171" t="s">
        <v>14</v>
      </c>
      <c r="L834" s="171"/>
      <c r="M834" s="171"/>
    </row>
    <row r="835" spans="11:13" ht="18" customHeight="1">
      <c r="K835" s="171" t="s">
        <v>14</v>
      </c>
      <c r="L835" s="171"/>
      <c r="M835" s="171"/>
    </row>
    <row r="836" spans="11:13" ht="18" customHeight="1">
      <c r="K836" s="171" t="s">
        <v>14</v>
      </c>
      <c r="L836" s="171"/>
      <c r="M836" s="171"/>
    </row>
    <row r="837" spans="11:13" ht="18" customHeight="1">
      <c r="K837" s="171" t="s">
        <v>14</v>
      </c>
      <c r="L837" s="171"/>
    </row>
    <row r="838" spans="11:13" ht="18" customHeight="1">
      <c r="K838" s="171" t="s">
        <v>14</v>
      </c>
      <c r="L838" s="171"/>
    </row>
    <row r="839" spans="11:13" ht="18" customHeight="1">
      <c r="K839" s="171" t="s">
        <v>14</v>
      </c>
      <c r="L839" s="171"/>
    </row>
    <row r="840" spans="11:13" ht="18" customHeight="1">
      <c r="K840" s="171" t="s">
        <v>14</v>
      </c>
      <c r="L840" s="171"/>
    </row>
    <row r="841" spans="11:13" ht="18" customHeight="1">
      <c r="K841" s="171" t="s">
        <v>14</v>
      </c>
      <c r="L841" s="171"/>
    </row>
    <row r="842" spans="11:13" ht="18" customHeight="1">
      <c r="K842" s="171" t="s">
        <v>14</v>
      </c>
      <c r="L842" s="171"/>
    </row>
    <row r="843" spans="11:13" ht="18" customHeight="1">
      <c r="K843" s="171" t="s">
        <v>14</v>
      </c>
      <c r="L843" s="171"/>
    </row>
    <row r="844" spans="11:13" ht="18" customHeight="1">
      <c r="K844" s="171" t="s">
        <v>14</v>
      </c>
      <c r="L844" s="171"/>
    </row>
    <row r="845" spans="11:13" ht="18" customHeight="1">
      <c r="K845" s="171" t="s">
        <v>14</v>
      </c>
      <c r="L845" s="171"/>
    </row>
    <row r="846" spans="11:13" ht="18" customHeight="1">
      <c r="K846" s="171" t="s">
        <v>14</v>
      </c>
      <c r="L846" s="171"/>
    </row>
    <row r="847" spans="11:13" ht="18" customHeight="1">
      <c r="K847" s="171" t="s">
        <v>14</v>
      </c>
      <c r="L847" s="171"/>
    </row>
    <row r="848" spans="11:13" ht="18" customHeight="1">
      <c r="K848" s="171" t="s">
        <v>14</v>
      </c>
      <c r="L848" s="171"/>
    </row>
    <row r="849" spans="12:12" ht="18" customHeight="1">
      <c r="L849" s="171"/>
    </row>
    <row r="850" spans="12:12" ht="18" customHeight="1">
      <c r="L850" s="171"/>
    </row>
    <row r="851" spans="12:12" ht="18" customHeight="1">
      <c r="L851" s="171"/>
    </row>
  </sheetData>
  <mergeCells count="17">
    <mergeCell ref="Z75:Z76"/>
    <mergeCell ref="N75:N76"/>
    <mergeCell ref="O75:O76"/>
    <mergeCell ref="B16:C17"/>
    <mergeCell ref="J16:J17"/>
    <mergeCell ref="L16:L17"/>
    <mergeCell ref="P75:P76"/>
    <mergeCell ref="Q75:Q76"/>
    <mergeCell ref="G3:H3"/>
    <mergeCell ref="G4:H4"/>
    <mergeCell ref="G5:H5"/>
    <mergeCell ref="B3:C3"/>
    <mergeCell ref="D3:E3"/>
    <mergeCell ref="B4:C4"/>
    <mergeCell ref="D4:E4"/>
    <mergeCell ref="B5:C5"/>
    <mergeCell ref="D5:E5"/>
  </mergeCells>
  <phoneticPr fontId="14" type="noConversion"/>
  <conditionalFormatting sqref="V18:V58">
    <cfRule type="cellIs" dxfId="39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73" min="13" max="28" man="1"/>
    <brk id="9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8851" r:id="rId4" name="Group Box 3">
              <controlPr defaultSize="0" autoFill="0" autoPict="0">
                <anchor moveWithCells="1" sizeWithCells="1">
                  <from>
                    <xdr:col>11</xdr:col>
                    <xdr:colOff>247650</xdr:colOff>
                    <xdr:row>0</xdr:row>
                    <xdr:rowOff>133350</xdr:rowOff>
                  </from>
                  <to>
                    <xdr:col>13</xdr:col>
                    <xdr:colOff>838200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3" r:id="rId5" name="Option Button 5">
              <controlPr defaultSize="0" autoFill="0" autoLine="0" autoPict="0">
                <anchor moveWithCells="1" sizeWithCells="1">
                  <from>
                    <xdr:col>11</xdr:col>
                    <xdr:colOff>342900</xdr:colOff>
                    <xdr:row>1</xdr:row>
                    <xdr:rowOff>57150</xdr:rowOff>
                  </from>
                  <to>
                    <xdr:col>13</xdr:col>
                    <xdr:colOff>752475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4" r:id="rId6" name="Option Button 6">
              <controlPr defaultSize="0" autoFill="0" autoLine="0" autoPict="0">
                <anchor moveWithCells="1" sizeWithCells="1">
                  <from>
                    <xdr:col>11</xdr:col>
                    <xdr:colOff>342900</xdr:colOff>
                    <xdr:row>3</xdr:row>
                    <xdr:rowOff>0</xdr:rowOff>
                  </from>
                  <to>
                    <xdr:col>13</xdr:col>
                    <xdr:colOff>752475</xdr:colOff>
                    <xdr:row>4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8855" r:id="rId7" name="Option Button 7">
              <controlPr defaultSize="0" autoFill="0" autoLine="0" autoPict="0">
                <anchor moveWithCells="1" sizeWithCells="1">
                  <from>
                    <xdr:col>11</xdr:col>
                    <xdr:colOff>342900</xdr:colOff>
                    <xdr:row>4</xdr:row>
                    <xdr:rowOff>133350</xdr:rowOff>
                  </from>
                  <to>
                    <xdr:col>13</xdr:col>
                    <xdr:colOff>752475</xdr:colOff>
                    <xdr:row>5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Sheet7">
    <tabColor rgb="FF00B0F0"/>
    <pageSetUpPr fitToPage="1"/>
  </sheetPr>
  <dimension ref="A1:AB820"/>
  <sheetViews>
    <sheetView showGridLines="0" zoomScale="85" zoomScaleNormal="85" zoomScaleSheetLayoutView="75" workbookViewId="0">
      <selection activeCell="G3" sqref="G3:K6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2148</v>
      </c>
    </row>
    <row r="2" spans="1:27" ht="19.5" thickBot="1">
      <c r="B2" s="66" t="s">
        <v>1</v>
      </c>
    </row>
    <row r="3" spans="1:27" ht="21.95" customHeight="1">
      <c r="A3" s="1"/>
      <c r="B3" s="773" t="s">
        <v>48</v>
      </c>
      <c r="C3" s="774"/>
      <c r="D3" s="775">
        <v>1</v>
      </c>
      <c r="E3" s="776"/>
      <c r="F3" s="44" t="s">
        <v>2149</v>
      </c>
      <c r="G3" s="838" t="s">
        <v>1104</v>
      </c>
      <c r="H3" s="839"/>
      <c r="I3" s="656">
        <v>2</v>
      </c>
      <c r="J3" s="669" t="s">
        <v>794</v>
      </c>
      <c r="R3" s="1"/>
      <c r="S3" s="1"/>
      <c r="Z3" s="6"/>
      <c r="AA3" s="6"/>
    </row>
    <row r="4" spans="1:27" ht="21.95" customHeight="1">
      <c r="A4" s="1"/>
      <c r="B4" s="777" t="s">
        <v>54</v>
      </c>
      <c r="C4" s="778"/>
      <c r="D4" s="779">
        <v>0.03</v>
      </c>
      <c r="E4" s="780"/>
      <c r="F4" s="65" t="str">
        <f>F3</f>
        <v>㎢</v>
      </c>
      <c r="G4" s="777" t="s">
        <v>1109</v>
      </c>
      <c r="H4" s="814"/>
      <c r="I4" s="298">
        <v>2</v>
      </c>
      <c r="J4" s="670" t="s">
        <v>794</v>
      </c>
      <c r="R4" s="1"/>
      <c r="S4" s="1"/>
      <c r="Z4" s="6"/>
      <c r="AA4" s="6"/>
    </row>
    <row r="5" spans="1:27" ht="21.95" customHeight="1" thickBot="1">
      <c r="A5" s="1"/>
      <c r="B5" s="781" t="s">
        <v>547</v>
      </c>
      <c r="C5" s="782"/>
      <c r="D5" s="783">
        <f>ROUND((IF(D4&lt;=0.03,0.03,IF(D4&gt;15,15,D4))/1)^0.6,3)</f>
        <v>0.122</v>
      </c>
      <c r="E5" s="784"/>
      <c r="F5" s="45"/>
      <c r="G5" s="817" t="s">
        <v>1102</v>
      </c>
      <c r="H5" s="818"/>
      <c r="I5" s="646">
        <f>ROUND(I4/I3,3)</f>
        <v>1</v>
      </c>
      <c r="J5" s="671"/>
      <c r="R5" s="1"/>
      <c r="S5" s="1"/>
      <c r="W5" s="6">
        <f t="array" aca="1" ref="W5" ca="1">SUM((N76:N211=N83)*S76:S211)</f>
        <v>14294206</v>
      </c>
      <c r="Z5" s="6"/>
      <c r="AA5" s="6"/>
    </row>
    <row r="6" spans="1:27" ht="18" customHeight="1">
      <c r="A6" s="1"/>
      <c r="B6" s="722" t="s">
        <v>2150</v>
      </c>
      <c r="C6" s="9" t="s">
        <v>2151</v>
      </c>
      <c r="D6" s="723"/>
      <c r="E6" s="723"/>
      <c r="F6" s="428"/>
      <c r="G6" s="9" t="s">
        <v>1107</v>
      </c>
      <c r="J6" s="36"/>
      <c r="R6" s="1"/>
      <c r="S6" s="1"/>
      <c r="T6" s="1"/>
    </row>
    <row r="7" spans="1:27" ht="18" customHeight="1">
      <c r="A7" s="1"/>
      <c r="B7" s="9"/>
      <c r="C7" s="9" t="s">
        <v>2179</v>
      </c>
      <c r="D7" s="723"/>
      <c r="E7" s="723"/>
      <c r="F7" s="428"/>
      <c r="G7" s="9"/>
      <c r="J7" s="36"/>
      <c r="R7" s="1"/>
      <c r="S7" s="1"/>
      <c r="T7" s="1"/>
    </row>
    <row r="8" spans="1:27" ht="18" customHeight="1">
      <c r="A8" s="1"/>
      <c r="B8" s="9"/>
      <c r="C8" s="9"/>
      <c r="D8" s="723"/>
      <c r="E8" s="723"/>
      <c r="F8" s="428"/>
      <c r="G8" s="9"/>
      <c r="J8" s="36"/>
      <c r="R8" s="1"/>
      <c r="S8" s="1"/>
      <c r="T8" s="1"/>
    </row>
    <row r="9" spans="1:27" ht="18" customHeight="1">
      <c r="A9" s="1"/>
      <c r="B9" s="9"/>
      <c r="C9" s="9"/>
      <c r="D9" s="723"/>
      <c r="E9" s="723"/>
      <c r="F9" s="428"/>
      <c r="G9" s="9"/>
      <c r="J9" s="36"/>
      <c r="R9" s="1"/>
      <c r="S9" s="1"/>
      <c r="T9" s="1"/>
    </row>
    <row r="10" spans="1:27" ht="18" customHeight="1">
      <c r="G10" s="36"/>
      <c r="W10" s="188" t="s">
        <v>3</v>
      </c>
      <c r="X10" s="189"/>
    </row>
    <row r="11" spans="1:27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7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SUBTOTAL(9,W13:W50)</f>
        <v>233247165</v>
      </c>
      <c r="X12" s="187"/>
      <c r="Y12" s="177"/>
      <c r="Z12" s="167"/>
    </row>
    <row r="13" spans="1:27" ht="18" customHeight="1">
      <c r="A13" s="326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SUBTOTAL(9,W14:W47)</f>
        <v>86341562</v>
      </c>
      <c r="X13" s="164"/>
      <c r="Y13" s="178" t="s">
        <v>9</v>
      </c>
      <c r="Z13" s="179"/>
    </row>
    <row r="14" spans="1:27" ht="18" customHeight="1" thickBot="1">
      <c r="A14" s="326"/>
      <c r="B14" s="759"/>
      <c r="C14" s="760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181"/>
      <c r="V14" s="218"/>
      <c r="W14" s="159">
        <f ca="1">SUBTOTAL(9,W15:W43)</f>
        <v>81841562</v>
      </c>
      <c r="X14" s="160"/>
      <c r="Y14" s="168"/>
      <c r="Z14" s="168"/>
    </row>
    <row r="15" spans="1:27" ht="18" customHeight="1">
      <c r="A15" s="355"/>
      <c r="B15" s="73" t="s">
        <v>1110</v>
      </c>
      <c r="C15" s="72"/>
      <c r="D15" s="30">
        <f t="shared" ref="D15:I15" si="0">SUBTOTAL(9,D16:D20)</f>
        <v>4.3999999999999995</v>
      </c>
      <c r="E15" s="31">
        <f t="shared" si="0"/>
        <v>7.2</v>
      </c>
      <c r="F15" s="31">
        <f t="shared" si="0"/>
        <v>21.2</v>
      </c>
      <c r="G15" s="31">
        <f t="shared" si="0"/>
        <v>34.799999999999997</v>
      </c>
      <c r="H15" s="31">
        <f t="shared" si="0"/>
        <v>44.29999999999999</v>
      </c>
      <c r="I15" s="32">
        <f t="shared" si="0"/>
        <v>24.099999999999998</v>
      </c>
      <c r="J15" s="678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SUBTOTAL(9,W16:W19)</f>
        <v>3938703</v>
      </c>
      <c r="X15" s="194"/>
      <c r="Y15" s="170" t="str">
        <f>IF(A44&gt;0, "제 " &amp;A44&amp; " 호표","")</f>
        <v/>
      </c>
      <c r="Z15" s="170"/>
      <c r="AA15" s="229"/>
    </row>
    <row r="16" spans="1:27" ht="18" customHeight="1">
      <c r="A16" s="355"/>
      <c r="B16" s="409" t="s">
        <v>2152</v>
      </c>
      <c r="C16" s="237"/>
      <c r="D16" s="20">
        <v>1.4</v>
      </c>
      <c r="E16" s="21">
        <v>2.2999999999999998</v>
      </c>
      <c r="F16" s="21">
        <v>10.199999999999999</v>
      </c>
      <c r="G16" s="21">
        <v>15.2</v>
      </c>
      <c r="H16" s="21">
        <v>24.4</v>
      </c>
      <c r="I16" s="22">
        <v>13.7</v>
      </c>
      <c r="J16" s="389" t="s">
        <v>1091</v>
      </c>
      <c r="L16" s="233">
        <v>1</v>
      </c>
      <c r="N16" s="292" t="str">
        <f t="shared" ref="N16:N43" si="1">B16</f>
        <v>1.1. 도시공업지역 현황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SUM((ROUNDDOWN((D46:I46)*단가,0)))</f>
        <v>2236508</v>
      </c>
      <c r="X16" s="154"/>
      <c r="Y16" s="170" t="str">
        <f>IF(A46&gt;0, "제 " &amp;A46&amp; " 호표","")</f>
        <v>제 1 호표</v>
      </c>
      <c r="Z16" s="150"/>
    </row>
    <row r="17" spans="1:26" ht="18" customHeight="1">
      <c r="A17" s="355"/>
      <c r="B17" s="409" t="s">
        <v>2153</v>
      </c>
      <c r="C17" s="237"/>
      <c r="D17" s="20">
        <v>0.7</v>
      </c>
      <c r="E17" s="21">
        <v>1.2</v>
      </c>
      <c r="F17" s="21">
        <v>1.6</v>
      </c>
      <c r="G17" s="21">
        <v>4.5</v>
      </c>
      <c r="H17" s="21">
        <v>4.5</v>
      </c>
      <c r="I17" s="22">
        <v>3</v>
      </c>
      <c r="J17" s="389" t="s">
        <v>1090</v>
      </c>
      <c r="L17" s="233">
        <v>1</v>
      </c>
      <c r="N17" s="292" t="str">
        <f t="shared" si="1"/>
        <v>1.2. 지역산업생태계(지역자산)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SUM((ROUNDDOWN((D47:I47)*단가,0)))</f>
        <v>537671</v>
      </c>
      <c r="X17" s="154"/>
      <c r="Y17" s="170" t="str">
        <f t="shared" ref="Y17:Y43" si="2">IF(A47&gt;0, "제 " &amp;A47&amp; " 호표","")</f>
        <v>제 2 호표</v>
      </c>
      <c r="Z17" s="150"/>
    </row>
    <row r="18" spans="1:26" ht="18" customHeight="1">
      <c r="A18" s="355"/>
      <c r="B18" s="409" t="s">
        <v>2154</v>
      </c>
      <c r="C18" s="237"/>
      <c r="D18" s="20">
        <v>0.9</v>
      </c>
      <c r="E18" s="21">
        <v>1.3</v>
      </c>
      <c r="F18" s="21">
        <v>3</v>
      </c>
      <c r="G18" s="21">
        <v>6.1</v>
      </c>
      <c r="H18" s="21">
        <v>5.8</v>
      </c>
      <c r="I18" s="22">
        <v>3</v>
      </c>
      <c r="J18" s="389" t="s">
        <v>1090</v>
      </c>
      <c r="L18" s="233">
        <v>1</v>
      </c>
      <c r="N18" s="292" t="str">
        <f t="shared" si="1"/>
        <v>1.3. 기초생활인프라 조사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SUM((ROUNDDOWN((D49:I49)*단가,0)))</f>
        <v>582262</v>
      </c>
      <c r="X18" s="154"/>
      <c r="Y18" s="170" t="str">
        <f t="shared" si="2"/>
        <v>제 3 호표</v>
      </c>
      <c r="Z18" s="150"/>
    </row>
    <row r="19" spans="1:26" ht="18" customHeight="1">
      <c r="A19" s="355"/>
      <c r="B19" s="409" t="s">
        <v>2155</v>
      </c>
      <c r="C19" s="237"/>
      <c r="D19" s="20">
        <v>0.7</v>
      </c>
      <c r="E19" s="21">
        <v>1.2</v>
      </c>
      <c r="F19" s="21">
        <v>3.2</v>
      </c>
      <c r="G19" s="21">
        <v>4.5</v>
      </c>
      <c r="H19" s="21">
        <v>4.8</v>
      </c>
      <c r="I19" s="22">
        <v>2.2000000000000002</v>
      </c>
      <c r="J19" s="389" t="s">
        <v>1090</v>
      </c>
      <c r="L19" s="233">
        <v>1</v>
      </c>
      <c r="N19" s="292" t="str">
        <f t="shared" si="1"/>
        <v>1.4. 국내외 사례조사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SUM((ROUNDDOWN((D50:I50)*단가,0)))</f>
        <v>582262</v>
      </c>
      <c r="X19" s="154"/>
      <c r="Y19" s="170" t="str">
        <f t="shared" si="2"/>
        <v>제 4 호표</v>
      </c>
      <c r="Z19" s="150"/>
    </row>
    <row r="20" spans="1:26" ht="18" customHeight="1">
      <c r="A20" s="355"/>
      <c r="B20" s="410" t="s">
        <v>2156</v>
      </c>
      <c r="C20" s="237"/>
      <c r="D20" s="20">
        <v>0.7</v>
      </c>
      <c r="E20" s="21">
        <v>1.2</v>
      </c>
      <c r="F20" s="21">
        <v>3.2</v>
      </c>
      <c r="G20" s="21">
        <v>4.5</v>
      </c>
      <c r="H20" s="21">
        <v>4.8</v>
      </c>
      <c r="I20" s="22">
        <v>2.2000000000000002</v>
      </c>
      <c r="J20" s="443" t="s">
        <v>1090</v>
      </c>
      <c r="L20" s="233">
        <v>1</v>
      </c>
      <c r="N20" s="292" t="str">
        <f t="shared" si="1"/>
        <v>1.5. 기타 필요한 사항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SUM((ROUNDDOWN((D51:I51)*단가,0)))</f>
        <v>10881823</v>
      </c>
      <c r="X20" s="154"/>
      <c r="Y20" s="170" t="str">
        <f t="shared" si="2"/>
        <v>제 5 호표</v>
      </c>
      <c r="Z20" s="150"/>
    </row>
    <row r="21" spans="1:26" ht="18" customHeight="1">
      <c r="A21" s="355"/>
      <c r="B21" s="222" t="s">
        <v>2157</v>
      </c>
      <c r="C21" s="47"/>
      <c r="D21" s="33">
        <f t="shared" ref="D21:I21" si="3">SUBTOTAL(9,D22:D35)</f>
        <v>12.900000000000002</v>
      </c>
      <c r="E21" s="34">
        <f t="shared" si="3"/>
        <v>21.199999999999996</v>
      </c>
      <c r="F21" s="34">
        <f t="shared" si="3"/>
        <v>44.899999999999991</v>
      </c>
      <c r="G21" s="34">
        <f t="shared" si="3"/>
        <v>76.799999999999983</v>
      </c>
      <c r="H21" s="34">
        <f t="shared" si="3"/>
        <v>107.19999999999999</v>
      </c>
      <c r="I21" s="35">
        <f t="shared" si="3"/>
        <v>53.899999999999991</v>
      </c>
      <c r="J21" s="594"/>
      <c r="L21" s="233"/>
      <c r="N21" s="79" t="str">
        <f t="shared" si="1"/>
        <v>2. 공업지역 기본계획</v>
      </c>
      <c r="O21" s="37"/>
      <c r="P21" s="37"/>
      <c r="Q21" s="37"/>
      <c r="R21" s="37"/>
      <c r="S21" s="37"/>
      <c r="T21" s="37"/>
      <c r="U21" s="227"/>
      <c r="V21" s="231"/>
      <c r="W21" s="193">
        <f ca="1">SUBTOTAL(9,W22:W35)</f>
        <v>42077065</v>
      </c>
      <c r="X21" s="154"/>
      <c r="Y21" s="170" t="str">
        <f t="shared" si="2"/>
        <v/>
      </c>
      <c r="Z21" s="150"/>
    </row>
    <row r="22" spans="1:26" ht="18" customHeight="1">
      <c r="A22" s="355"/>
      <c r="B22" s="223" t="s">
        <v>2158</v>
      </c>
      <c r="C22" s="237"/>
      <c r="D22" s="20">
        <v>1</v>
      </c>
      <c r="E22" s="21">
        <v>1.6</v>
      </c>
      <c r="F22" s="21">
        <v>3.3</v>
      </c>
      <c r="G22" s="21">
        <v>5.5</v>
      </c>
      <c r="H22" s="21">
        <v>8.3000000000000007</v>
      </c>
      <c r="I22" s="22">
        <v>2.6</v>
      </c>
      <c r="J22" s="389" t="s">
        <v>1090</v>
      </c>
      <c r="L22" s="233">
        <v>1</v>
      </c>
      <c r="N22" s="292" t="str">
        <f t="shared" si="1"/>
        <v>2.1. 계획의 목표 및 범위·방안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SUM((ROUNDDOWN((D52:I52)*단가,0)))</f>
        <v>770376</v>
      </c>
      <c r="X22" s="154"/>
      <c r="Y22" s="170" t="str">
        <f t="shared" si="2"/>
        <v>제 6 호표</v>
      </c>
      <c r="Z22" s="150"/>
    </row>
    <row r="23" spans="1:26" ht="18" customHeight="1">
      <c r="A23" s="355"/>
      <c r="B23" s="223" t="s">
        <v>2159</v>
      </c>
      <c r="C23" s="237"/>
      <c r="D23" s="20">
        <v>1</v>
      </c>
      <c r="E23" s="21">
        <v>1.6</v>
      </c>
      <c r="F23" s="21">
        <v>4</v>
      </c>
      <c r="G23" s="21">
        <v>7.1</v>
      </c>
      <c r="H23" s="21">
        <v>7.5</v>
      </c>
      <c r="I23" s="22">
        <v>5.2</v>
      </c>
      <c r="J23" s="389" t="s">
        <v>1090</v>
      </c>
      <c r="L23" s="233">
        <v>1</v>
      </c>
      <c r="N23" s="292" t="str">
        <f t="shared" si="1"/>
        <v>2.2. 쇠퇴진단 및 여건분석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SUM((ROUNDDOWN((D53:I53)*단가,0)))</f>
        <v>911102</v>
      </c>
      <c r="X23" s="154"/>
      <c r="Y23" s="170" t="str">
        <f t="shared" si="2"/>
        <v>제 7 호표</v>
      </c>
      <c r="Z23" s="150"/>
    </row>
    <row r="24" spans="1:26" ht="18" customHeight="1">
      <c r="A24" s="355"/>
      <c r="B24" s="223" t="s">
        <v>2160</v>
      </c>
      <c r="C24" s="237"/>
      <c r="D24" s="20">
        <v>0.7</v>
      </c>
      <c r="E24" s="21">
        <v>1.2</v>
      </c>
      <c r="F24" s="21">
        <v>2.2000000000000002</v>
      </c>
      <c r="G24" s="21">
        <v>3.8</v>
      </c>
      <c r="H24" s="21">
        <v>5.5</v>
      </c>
      <c r="I24" s="22">
        <v>2.6</v>
      </c>
      <c r="J24" s="389" t="s">
        <v>1090</v>
      </c>
      <c r="L24" s="233">
        <v>1</v>
      </c>
      <c r="N24" s="292" t="str">
        <f t="shared" si="1"/>
        <v>2.3. 종합적관리 및 활성화방안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SUM((ROUNDDOWN((D54:I54)*단가,0)))</f>
        <v>551455</v>
      </c>
      <c r="X24" s="154"/>
      <c r="Y24" s="170" t="str">
        <f t="shared" si="2"/>
        <v>제 8 호표</v>
      </c>
      <c r="Z24" s="150"/>
    </row>
    <row r="25" spans="1:26" ht="18" customHeight="1">
      <c r="A25" s="355"/>
      <c r="B25" s="223" t="s">
        <v>2161</v>
      </c>
      <c r="C25" s="237"/>
      <c r="D25" s="20">
        <v>0.8</v>
      </c>
      <c r="E25" s="21">
        <v>1.4</v>
      </c>
      <c r="F25" s="21">
        <v>2.8</v>
      </c>
      <c r="G25" s="21">
        <v>4.5999999999999996</v>
      </c>
      <c r="H25" s="21">
        <v>6.8</v>
      </c>
      <c r="I25" s="22">
        <v>3.3</v>
      </c>
      <c r="J25" s="389" t="s">
        <v>1090</v>
      </c>
      <c r="L25" s="233">
        <v>1</v>
      </c>
      <c r="N25" s="292" t="str">
        <f t="shared" si="1"/>
        <v>2.4. 공업지역 유형별 관리방향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SUM((ROUNDDOWN((D55:I55)*단가,0)))</f>
        <v>676102</v>
      </c>
      <c r="X25" s="154"/>
      <c r="Y25" s="170" t="str">
        <f t="shared" si="2"/>
        <v>제 9 호표</v>
      </c>
      <c r="Z25" s="150"/>
    </row>
    <row r="26" spans="1:26" ht="18" customHeight="1">
      <c r="A26" s="355"/>
      <c r="B26" s="223" t="s">
        <v>2162</v>
      </c>
      <c r="C26" s="237"/>
      <c r="D26" s="20">
        <v>0.7</v>
      </c>
      <c r="E26" s="21">
        <v>1.2</v>
      </c>
      <c r="F26" s="21">
        <v>2.2000000000000002</v>
      </c>
      <c r="G26" s="21">
        <v>3.8</v>
      </c>
      <c r="H26" s="21">
        <v>5.5</v>
      </c>
      <c r="I26" s="22">
        <v>2.6</v>
      </c>
      <c r="J26" s="389" t="s">
        <v>1090</v>
      </c>
      <c r="L26" s="233">
        <v>1</v>
      </c>
      <c r="N26" s="292" t="str">
        <f t="shared" si="1"/>
        <v>2.5. 공업정비구역 설정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SUM((ROUNDDOWN((D56:I56)*단가,0)))</f>
        <v>551455</v>
      </c>
      <c r="X26" s="154"/>
      <c r="Y26" s="170" t="str">
        <f t="shared" si="2"/>
        <v>제 10 호표</v>
      </c>
      <c r="Z26" s="150"/>
    </row>
    <row r="27" spans="1:26" ht="18" customHeight="1">
      <c r="A27" s="355"/>
      <c r="B27" s="223" t="s">
        <v>2163</v>
      </c>
      <c r="C27" s="237"/>
      <c r="D27" s="20">
        <v>1.3</v>
      </c>
      <c r="E27" s="21">
        <v>1.8</v>
      </c>
      <c r="F27" s="21">
        <v>4</v>
      </c>
      <c r="G27" s="21">
        <v>5.0999999999999996</v>
      </c>
      <c r="H27" s="21">
        <v>10.7</v>
      </c>
      <c r="I27" s="22">
        <v>5.9</v>
      </c>
      <c r="J27" s="389" t="s">
        <v>1090</v>
      </c>
      <c r="L27" s="233">
        <v>1</v>
      </c>
      <c r="N27" s="292" t="str">
        <f t="shared" si="1"/>
        <v>2.6. 건축물 권장용도 및 밀도계획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SUM((ROUNDDOWN((D57:I57)*단가,0)))</f>
        <v>977955</v>
      </c>
      <c r="X27" s="196"/>
      <c r="Y27" s="170" t="str">
        <f t="shared" si="2"/>
        <v>제 11 호표</v>
      </c>
      <c r="Z27" s="150"/>
    </row>
    <row r="28" spans="1:26" ht="18" customHeight="1">
      <c r="A28" s="355"/>
      <c r="B28" s="223" t="s">
        <v>2164</v>
      </c>
      <c r="C28" s="237"/>
      <c r="D28" s="20">
        <v>1.8</v>
      </c>
      <c r="E28" s="21">
        <v>2.8</v>
      </c>
      <c r="F28" s="21">
        <v>7.5</v>
      </c>
      <c r="G28" s="21">
        <v>15.4</v>
      </c>
      <c r="H28" s="21">
        <v>16.399999999999999</v>
      </c>
      <c r="I28" s="22">
        <v>8</v>
      </c>
      <c r="J28" s="389" t="s">
        <v>1090</v>
      </c>
      <c r="L28" s="233">
        <v>1</v>
      </c>
      <c r="N28" s="292" t="str">
        <f t="shared" si="1"/>
        <v>2.7. 지원기반시설계획</v>
      </c>
      <c r="O28" s="37"/>
      <c r="P28" s="39"/>
      <c r="Q28" s="37"/>
      <c r="R28" s="117"/>
      <c r="S28" s="37"/>
      <c r="T28" s="37"/>
      <c r="U28" s="228"/>
      <c r="V28" s="231"/>
      <c r="W28" s="153">
        <f t="array" aca="1" ref="W28" ca="1">SUM((ROUNDDOWN((D58:I58)*단가,0)))</f>
        <v>1783362</v>
      </c>
      <c r="X28" s="154"/>
      <c r="Y28" s="170" t="str">
        <f t="shared" si="2"/>
        <v>제 12 호표</v>
      </c>
      <c r="Z28" s="150"/>
    </row>
    <row r="29" spans="1:26" ht="18" customHeight="1">
      <c r="A29" s="355"/>
      <c r="B29" s="223" t="s">
        <v>2165</v>
      </c>
      <c r="C29" s="237"/>
      <c r="D29" s="20">
        <v>1</v>
      </c>
      <c r="E29" s="21">
        <v>1.6</v>
      </c>
      <c r="F29" s="21">
        <v>3.3</v>
      </c>
      <c r="G29" s="21">
        <v>5.5</v>
      </c>
      <c r="H29" s="21">
        <v>8.3000000000000007</v>
      </c>
      <c r="I29" s="22">
        <v>5.3</v>
      </c>
      <c r="J29" s="389" t="s">
        <v>1090</v>
      </c>
      <c r="L29" s="233">
        <v>1</v>
      </c>
      <c r="N29" s="292" t="str">
        <f t="shared" si="1"/>
        <v>2.8. 환경관리방안</v>
      </c>
      <c r="O29" s="37"/>
      <c r="P29" s="39"/>
      <c r="Q29" s="37"/>
      <c r="R29" s="117"/>
      <c r="S29" s="37"/>
      <c r="T29" s="37"/>
      <c r="U29" s="228"/>
      <c r="V29" s="231"/>
      <c r="W29" s="153">
        <f t="array" aca="1" ref="W29" ca="1">SUM((ROUNDDOWN((D65:I65)*단가,0)))</f>
        <v>676102</v>
      </c>
      <c r="X29" s="154"/>
      <c r="Y29" s="170" t="str">
        <f t="shared" si="2"/>
        <v>제 13 호표</v>
      </c>
      <c r="Z29" s="150"/>
    </row>
    <row r="30" spans="1:26" ht="18" customHeight="1">
      <c r="A30" s="355"/>
      <c r="B30" s="223" t="s">
        <v>2166</v>
      </c>
      <c r="C30" s="237"/>
      <c r="D30" s="20">
        <v>0.7</v>
      </c>
      <c r="E30" s="21">
        <v>1.2</v>
      </c>
      <c r="F30" s="21">
        <v>2.2000000000000002</v>
      </c>
      <c r="G30" s="21">
        <v>3.8</v>
      </c>
      <c r="H30" s="21">
        <v>5.5</v>
      </c>
      <c r="I30" s="22">
        <v>2.6</v>
      </c>
      <c r="J30" s="389" t="s">
        <v>1090</v>
      </c>
      <c r="L30" s="233">
        <v>1</v>
      </c>
      <c r="N30" s="292" t="str">
        <f t="shared" si="1"/>
        <v>2.9. 재원조달방안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SUM((ROUNDDOWN((D66:I66)*단가,0)))</f>
        <v>3241398</v>
      </c>
      <c r="X30" s="196"/>
      <c r="Y30" s="170" t="str">
        <f t="shared" si="2"/>
        <v>제 14 호표</v>
      </c>
      <c r="Z30" s="150"/>
    </row>
    <row r="31" spans="1:26" ht="18" customHeight="1">
      <c r="A31" s="355"/>
      <c r="B31" s="223" t="s">
        <v>2167</v>
      </c>
      <c r="C31" s="237"/>
      <c r="D31" s="20">
        <v>0.8</v>
      </c>
      <c r="E31" s="21">
        <v>1.4</v>
      </c>
      <c r="F31" s="21">
        <v>2.8</v>
      </c>
      <c r="G31" s="21">
        <v>4.5999999999999996</v>
      </c>
      <c r="H31" s="21">
        <v>6.8</v>
      </c>
      <c r="I31" s="22">
        <v>3.3</v>
      </c>
      <c r="J31" s="389" t="s">
        <v>1090</v>
      </c>
      <c r="L31" s="233">
        <v>1</v>
      </c>
      <c r="N31" s="292" t="str">
        <f t="shared" si="1"/>
        <v>2.10. 산업혁신 및 일자리창출방안</v>
      </c>
      <c r="O31" s="37"/>
      <c r="P31" s="39"/>
      <c r="Q31" s="37"/>
      <c r="R31" s="117"/>
      <c r="S31" s="37"/>
      <c r="T31" s="37"/>
      <c r="U31" s="228"/>
      <c r="V31" s="231"/>
      <c r="W31" s="153">
        <f t="array" aca="1" ref="W31" ca="1">SUM((ROUNDDOWN((D67:I67)*단가,0)))</f>
        <v>1673252</v>
      </c>
      <c r="X31" s="154"/>
      <c r="Y31" s="170" t="str">
        <f t="shared" si="2"/>
        <v>제 15 호표</v>
      </c>
      <c r="Z31" s="150"/>
    </row>
    <row r="32" spans="1:26" ht="18" customHeight="1">
      <c r="A32" s="355"/>
      <c r="B32" s="223" t="s">
        <v>2168</v>
      </c>
      <c r="C32" s="237"/>
      <c r="D32" s="20">
        <v>0.8</v>
      </c>
      <c r="E32" s="21">
        <v>1.4</v>
      </c>
      <c r="F32" s="21">
        <v>2.8</v>
      </c>
      <c r="G32" s="21">
        <v>4.5999999999999996</v>
      </c>
      <c r="H32" s="21">
        <v>6.8</v>
      </c>
      <c r="I32" s="22">
        <v>3.3</v>
      </c>
      <c r="J32" s="389" t="s">
        <v>1090</v>
      </c>
      <c r="L32" s="233">
        <v>1</v>
      </c>
      <c r="N32" s="292" t="str">
        <f t="shared" si="1"/>
        <v>2.11. 관리 및 정비방안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SUM((ROUNDDOWN((D68:I68)*단가,0)))</f>
        <v>1568143</v>
      </c>
      <c r="X32" s="154"/>
      <c r="Y32" s="170" t="str">
        <f t="shared" si="2"/>
        <v>제 16 호표</v>
      </c>
      <c r="Z32" s="150"/>
    </row>
    <row r="33" spans="1:26" ht="18" customHeight="1">
      <c r="A33" s="355"/>
      <c r="B33" s="223" t="s">
        <v>2169</v>
      </c>
      <c r="C33" s="237"/>
      <c r="D33" s="20">
        <v>0.8</v>
      </c>
      <c r="E33" s="21">
        <v>1.4</v>
      </c>
      <c r="F33" s="21">
        <v>2.8</v>
      </c>
      <c r="G33" s="21">
        <v>4.5999999999999996</v>
      </c>
      <c r="H33" s="21">
        <v>6.8</v>
      </c>
      <c r="I33" s="22">
        <v>3.3</v>
      </c>
      <c r="J33" s="389" t="s">
        <v>1090</v>
      </c>
      <c r="L33" s="233">
        <v>1</v>
      </c>
      <c r="N33" s="292" t="str">
        <f t="shared" si="1"/>
        <v>2.12. 용도 혼재지역 계획적 정비 및 관리방안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SUM((ROUNDDOWN((D69:I69)*단가,0)))</f>
        <v>21702576</v>
      </c>
      <c r="X33" s="196"/>
      <c r="Y33" s="170" t="str">
        <f t="shared" si="2"/>
        <v>제 17 호표</v>
      </c>
      <c r="Z33" s="150"/>
    </row>
    <row r="34" spans="1:26" ht="18" customHeight="1">
      <c r="A34" s="355"/>
      <c r="B34" s="223" t="s">
        <v>2170</v>
      </c>
      <c r="C34" s="237"/>
      <c r="D34" s="20">
        <v>0.7</v>
      </c>
      <c r="E34" s="21">
        <v>1.2</v>
      </c>
      <c r="F34" s="21">
        <v>2.2000000000000002</v>
      </c>
      <c r="G34" s="21">
        <v>3.8</v>
      </c>
      <c r="H34" s="21">
        <v>5.5</v>
      </c>
      <c r="I34" s="22">
        <v>2.6</v>
      </c>
      <c r="J34" s="389" t="s">
        <v>1090</v>
      </c>
      <c r="L34" s="233">
        <v>1</v>
      </c>
      <c r="N34" s="292" t="str">
        <f t="shared" si="1"/>
        <v>2.13. 산업문화유산 보전 및 활용방안</v>
      </c>
      <c r="O34" s="37"/>
      <c r="P34" s="39"/>
      <c r="Q34" s="37"/>
      <c r="R34" s="117"/>
      <c r="S34" s="37"/>
      <c r="T34" s="37"/>
      <c r="U34" s="228"/>
      <c r="V34" s="231"/>
      <c r="W34" s="153">
        <f t="array" aca="1" ref="W34" ca="1">SUM((ROUNDDOWN((D70:I70)*단가,0)))</f>
        <v>5425644</v>
      </c>
      <c r="X34" s="154"/>
      <c r="Y34" s="170" t="str">
        <f t="shared" si="2"/>
        <v>제 18 호표</v>
      </c>
      <c r="Z34" s="150"/>
    </row>
    <row r="35" spans="1:26" ht="18" customHeight="1">
      <c r="A35" s="355"/>
      <c r="B35" s="223" t="s">
        <v>2171</v>
      </c>
      <c r="C35" s="237"/>
      <c r="D35" s="20">
        <v>0.8</v>
      </c>
      <c r="E35" s="21">
        <v>1.4</v>
      </c>
      <c r="F35" s="21">
        <v>2.8</v>
      </c>
      <c r="G35" s="21">
        <v>4.5999999999999996</v>
      </c>
      <c r="H35" s="21">
        <v>6.8</v>
      </c>
      <c r="I35" s="22">
        <v>3.3</v>
      </c>
      <c r="J35" s="443" t="s">
        <v>1090</v>
      </c>
      <c r="L35" s="233">
        <v>1</v>
      </c>
      <c r="N35" s="292" t="str">
        <f t="shared" si="1"/>
        <v>2.14. 부동산 가격안정화 방안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SUM((ROUNDDOWN((D68:I68)*단가,0)))</f>
        <v>1568143</v>
      </c>
      <c r="X35" s="154"/>
      <c r="Y35" s="170" t="str">
        <f t="shared" si="2"/>
        <v>제 19 호표</v>
      </c>
      <c r="Z35" s="150"/>
    </row>
    <row r="36" spans="1:26" ht="18" customHeight="1">
      <c r="A36" s="355"/>
      <c r="B36" s="222" t="s">
        <v>136</v>
      </c>
      <c r="C36" s="47"/>
      <c r="D36" s="33">
        <f t="shared" ref="D36:I36" si="4">SUBTOTAL(9,D37:D38)</f>
        <v>3.5</v>
      </c>
      <c r="E36" s="34">
        <f t="shared" si="4"/>
        <v>5.9</v>
      </c>
      <c r="F36" s="34">
        <f t="shared" si="4"/>
        <v>12.8</v>
      </c>
      <c r="G36" s="34">
        <f t="shared" si="4"/>
        <v>23.6</v>
      </c>
      <c r="H36" s="34">
        <f t="shared" si="4"/>
        <v>32.799999999999997</v>
      </c>
      <c r="I36" s="35">
        <f t="shared" si="4"/>
        <v>16.299999999999997</v>
      </c>
      <c r="J36" s="594"/>
      <c r="L36" s="233"/>
      <c r="N36" s="79" t="str">
        <f t="shared" si="1"/>
        <v>3. 성과품작성</v>
      </c>
      <c r="O36" s="37"/>
      <c r="P36" s="39"/>
      <c r="Q36" s="37"/>
      <c r="R36" s="117"/>
      <c r="S36" s="37"/>
      <c r="T36" s="37"/>
      <c r="U36" s="228"/>
      <c r="V36" s="231"/>
      <c r="W36" s="193">
        <f ca="1">SUBTOTAL(9,W37:W38)</f>
        <v>3241395</v>
      </c>
      <c r="X36" s="154"/>
      <c r="Y36" s="170" t="str">
        <f t="shared" si="2"/>
        <v/>
      </c>
      <c r="Z36" s="150"/>
    </row>
    <row r="37" spans="1:26" ht="18" customHeight="1">
      <c r="A37" s="355"/>
      <c r="B37" s="223" t="s">
        <v>1759</v>
      </c>
      <c r="C37" s="237"/>
      <c r="D37" s="20">
        <v>2.4</v>
      </c>
      <c r="E37" s="21">
        <v>3.7</v>
      </c>
      <c r="F37" s="21">
        <v>8.4</v>
      </c>
      <c r="G37" s="21">
        <v>14.1</v>
      </c>
      <c r="H37" s="21">
        <v>14</v>
      </c>
      <c r="I37" s="22">
        <v>4.5999999999999996</v>
      </c>
      <c r="J37" s="400" t="s">
        <v>1090</v>
      </c>
      <c r="L37" s="233">
        <v>1</v>
      </c>
      <c r="N37" s="292" t="str">
        <f t="shared" si="1"/>
        <v>3.1. 보고서 작성 및 편집</v>
      </c>
      <c r="O37" s="37"/>
      <c r="P37" s="39"/>
      <c r="Q37" s="37"/>
      <c r="R37" s="117"/>
      <c r="S37" s="37"/>
      <c r="T37" s="37"/>
      <c r="U37" s="228"/>
      <c r="V37" s="231"/>
      <c r="W37" s="153">
        <f t="array" aca="1" ref="W37" ca="1">SUM((ROUNDDOWN((D67:I67)*단가,0)))</f>
        <v>1673252</v>
      </c>
      <c r="X37" s="154"/>
      <c r="Y37" s="170" t="str">
        <f t="shared" si="2"/>
        <v>제 20 호표</v>
      </c>
      <c r="Z37" s="150"/>
    </row>
    <row r="38" spans="1:26" ht="18" customHeight="1">
      <c r="A38" s="355"/>
      <c r="B38" s="259" t="s">
        <v>2172</v>
      </c>
      <c r="C38" s="264"/>
      <c r="D38" s="40">
        <v>1.1000000000000001</v>
      </c>
      <c r="E38" s="41">
        <v>2.2000000000000002</v>
      </c>
      <c r="F38" s="41">
        <v>4.4000000000000004</v>
      </c>
      <c r="G38" s="41">
        <v>9.5</v>
      </c>
      <c r="H38" s="41">
        <v>18.8</v>
      </c>
      <c r="I38" s="42">
        <v>11.7</v>
      </c>
      <c r="J38" s="685" t="s">
        <v>1090</v>
      </c>
      <c r="L38" s="233">
        <v>1</v>
      </c>
      <c r="N38" s="292" t="str">
        <f t="shared" si="1"/>
        <v>3.2. 관련도서 작성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SUM((ROUNDDOWN((D68:I68)*단가,0)))</f>
        <v>1568143</v>
      </c>
      <c r="X38" s="154"/>
      <c r="Y38" s="170" t="str">
        <f t="shared" si="2"/>
        <v>제 21 호표</v>
      </c>
      <c r="Z38" s="150"/>
    </row>
    <row r="39" spans="1:26" ht="18" customHeight="1">
      <c r="A39" s="326"/>
      <c r="B39" s="222" t="s">
        <v>268</v>
      </c>
      <c r="C39" s="47"/>
      <c r="D39" s="48">
        <f t="shared" ref="D39:I39" si="5">SUBTOTAL(9,D40:D43)</f>
        <v>8</v>
      </c>
      <c r="E39" s="49">
        <f t="shared" si="5"/>
        <v>8</v>
      </c>
      <c r="F39" s="49">
        <f t="shared" si="5"/>
        <v>8</v>
      </c>
      <c r="G39" s="49">
        <f t="shared" si="5"/>
        <v>16</v>
      </c>
      <c r="H39" s="49">
        <f t="shared" si="5"/>
        <v>16</v>
      </c>
      <c r="I39" s="50">
        <f t="shared" si="5"/>
        <v>16</v>
      </c>
      <c r="J39" s="620"/>
      <c r="L39" s="233"/>
      <c r="N39" s="79" t="str">
        <f t="shared" si="1"/>
        <v>4. 기술협의</v>
      </c>
      <c r="O39" s="37"/>
      <c r="P39" s="39"/>
      <c r="Q39" s="37"/>
      <c r="R39" s="117"/>
      <c r="S39" s="37"/>
      <c r="T39" s="37"/>
      <c r="U39" s="228"/>
      <c r="V39" s="231"/>
      <c r="W39" s="193">
        <f ca="1">SUBTOTAL(9,W40:W43)</f>
        <v>21702576</v>
      </c>
      <c r="X39" s="154"/>
      <c r="Y39" s="170" t="str">
        <f t="shared" si="2"/>
        <v/>
      </c>
      <c r="Z39" s="150"/>
    </row>
    <row r="40" spans="1:26" ht="18" customHeight="1">
      <c r="A40" s="326"/>
      <c r="B40" s="223" t="s">
        <v>1724</v>
      </c>
      <c r="C40" s="237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389" t="s">
        <v>2175</v>
      </c>
      <c r="L40" s="233">
        <v>1</v>
      </c>
      <c r="N40" s="292" t="str">
        <f t="shared" si="1"/>
        <v>4.1. 공청회/주민설명회</v>
      </c>
      <c r="O40" s="37"/>
      <c r="P40" s="39"/>
      <c r="Q40" s="37"/>
      <c r="R40" s="117"/>
      <c r="S40" s="37"/>
      <c r="T40" s="37"/>
      <c r="U40" s="228"/>
      <c r="V40" s="231"/>
      <c r="W40" s="153">
        <f t="array" aca="1" ref="W40" ca="1">SUM((ROUNDDOWN((D70:I70)*단가,0)))</f>
        <v>5425644</v>
      </c>
      <c r="X40" s="154"/>
      <c r="Y40" s="170" t="str">
        <f t="shared" si="2"/>
        <v>제 22 호표</v>
      </c>
      <c r="Z40" s="150"/>
    </row>
    <row r="41" spans="1:26" ht="18" customHeight="1">
      <c r="A41" s="326"/>
      <c r="B41" s="223" t="s">
        <v>1725</v>
      </c>
      <c r="C41" s="237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389" t="s">
        <v>1094</v>
      </c>
      <c r="L41" s="233">
        <v>1</v>
      </c>
      <c r="N41" s="292" t="str">
        <f t="shared" si="1"/>
        <v>4.2. 주민간담회/시민계획단</v>
      </c>
      <c r="O41" s="37"/>
      <c r="P41" s="39"/>
      <c r="Q41" s="37"/>
      <c r="R41" s="117"/>
      <c r="S41" s="37"/>
      <c r="T41" s="37"/>
      <c r="U41" s="228"/>
      <c r="V41" s="231"/>
      <c r="W41" s="153">
        <f t="array" aca="1" ref="W41" ca="1">SUM((ROUNDDOWN((D71:I71)*단가,0)))</f>
        <v>5425644</v>
      </c>
      <c r="X41" s="154"/>
      <c r="Y41" s="170" t="str">
        <f t="shared" si="2"/>
        <v>제 23 호표</v>
      </c>
      <c r="Z41" s="150"/>
    </row>
    <row r="42" spans="1:26" ht="18" customHeight="1">
      <c r="A42" s="326"/>
      <c r="B42" s="223" t="s">
        <v>2173</v>
      </c>
      <c r="C42" s="237"/>
      <c r="D42" s="197">
        <v>2</v>
      </c>
      <c r="E42" s="198">
        <v>2</v>
      </c>
      <c r="F42" s="198">
        <v>2</v>
      </c>
      <c r="G42" s="198">
        <v>4</v>
      </c>
      <c r="H42" s="198">
        <v>4</v>
      </c>
      <c r="I42" s="199">
        <v>4</v>
      </c>
      <c r="J42" s="389" t="s">
        <v>1094</v>
      </c>
      <c r="L42" s="233">
        <v>1</v>
      </c>
      <c r="N42" s="292" t="str">
        <f t="shared" si="1"/>
        <v>4.3. 위원회심의 지원</v>
      </c>
      <c r="O42" s="37"/>
      <c r="P42" s="39"/>
      <c r="Q42" s="37"/>
      <c r="R42" s="117"/>
      <c r="S42" s="37"/>
      <c r="T42" s="37"/>
      <c r="U42" s="228"/>
      <c r="V42" s="231"/>
      <c r="W42" s="153">
        <f t="array" aca="1" ref="W42" ca="1">SUM((ROUNDDOWN((D72:I72)*단가,0)))</f>
        <v>5425644</v>
      </c>
      <c r="X42" s="154"/>
      <c r="Y42" s="170" t="str">
        <f t="shared" si="2"/>
        <v>제 24 호표</v>
      </c>
      <c r="Z42" s="150"/>
    </row>
    <row r="43" spans="1:26" ht="18" customHeight="1" thickBot="1">
      <c r="A43" s="355"/>
      <c r="B43" s="223" t="s">
        <v>2174</v>
      </c>
      <c r="C43" s="237"/>
      <c r="D43" s="197">
        <v>2</v>
      </c>
      <c r="E43" s="198">
        <v>2</v>
      </c>
      <c r="F43" s="198">
        <v>2</v>
      </c>
      <c r="G43" s="198">
        <v>4</v>
      </c>
      <c r="H43" s="198">
        <v>4</v>
      </c>
      <c r="I43" s="199">
        <v>4</v>
      </c>
      <c r="J43" s="612" t="s">
        <v>1094</v>
      </c>
      <c r="L43" s="233">
        <v>1</v>
      </c>
      <c r="N43" s="292" t="str">
        <f t="shared" si="1"/>
        <v>4.4. 관계기관 협의</v>
      </c>
      <c r="O43" s="37"/>
      <c r="P43" s="39"/>
      <c r="Q43" s="37"/>
      <c r="R43" s="117"/>
      <c r="S43" s="37"/>
      <c r="T43" s="37"/>
      <c r="U43" s="228"/>
      <c r="V43" s="231"/>
      <c r="W43" s="153">
        <f t="array" aca="1" ref="W43" ca="1">SUM((ROUNDDOWN((D73:I73)*단가,0)))</f>
        <v>5425644</v>
      </c>
      <c r="X43" s="154"/>
      <c r="Y43" s="170" t="str">
        <f t="shared" si="2"/>
        <v>제 25 호표</v>
      </c>
      <c r="Z43" s="150"/>
    </row>
    <row r="44" spans="1:26" ht="18" customHeight="1" thickBot="1">
      <c r="A44" s="326"/>
      <c r="B44" s="14" t="s">
        <v>30</v>
      </c>
      <c r="C44" s="250"/>
      <c r="D44" s="249" t="s">
        <v>12</v>
      </c>
      <c r="E44" s="251"/>
      <c r="F44" s="251"/>
      <c r="G44" s="251"/>
      <c r="H44" s="251"/>
      <c r="I44" s="250"/>
      <c r="J44" s="175" t="s">
        <v>31</v>
      </c>
      <c r="N44" s="290" t="s">
        <v>10</v>
      </c>
      <c r="O44" s="129"/>
      <c r="P44" s="130"/>
      <c r="Q44" s="124"/>
      <c r="R44" s="131"/>
      <c r="S44" s="124"/>
      <c r="T44" s="124"/>
      <c r="U44" s="181"/>
      <c r="V44" s="181"/>
      <c r="W44" s="159">
        <f>SUBTOTAL(9,W45:W47)</f>
        <v>4500000</v>
      </c>
      <c r="X44" s="160"/>
      <c r="Y44" s="124"/>
      <c r="Z44" s="124"/>
    </row>
    <row r="45" spans="1:26" ht="18" customHeight="1">
      <c r="A45" s="326"/>
      <c r="B45" s="73" t="s">
        <v>1110</v>
      </c>
      <c r="C45" s="72"/>
      <c r="D45" s="30">
        <f t="shared" ref="D45:I45" si="6">SUBTOTAL(9,D46:D50)</f>
        <v>0.53400000000000003</v>
      </c>
      <c r="E45" s="31">
        <f t="shared" si="6"/>
        <v>0.87600000000000011</v>
      </c>
      <c r="F45" s="31">
        <f t="shared" si="6"/>
        <v>2.5850000000000004</v>
      </c>
      <c r="G45" s="31">
        <f t="shared" si="6"/>
        <v>4.2450000000000001</v>
      </c>
      <c r="H45" s="31">
        <f t="shared" si="6"/>
        <v>5.4020000000000001</v>
      </c>
      <c r="I45" s="32">
        <f t="shared" si="6"/>
        <v>2.9390000000000001</v>
      </c>
      <c r="J45" s="73"/>
      <c r="N45" s="128" t="str">
        <f>"여비("&amp;TEXT(R45,"#인 ×")&amp;TEXT(S45,"#일 ×")&amp;TEXT(T45,"###,###원)")</f>
        <v>여비(3인 ×5일 ×100,000원)</v>
      </c>
      <c r="O45" s="78"/>
      <c r="P45" s="52"/>
      <c r="Q45" s="51"/>
      <c r="R45" s="146">
        <v>3</v>
      </c>
      <c r="S45" s="146">
        <v>5</v>
      </c>
      <c r="T45" s="147">
        <v>100000</v>
      </c>
      <c r="U45" s="182"/>
      <c r="V45" s="182"/>
      <c r="W45" s="161">
        <f>R45*S45*T45</f>
        <v>1500000</v>
      </c>
      <c r="X45" s="162"/>
      <c r="Y45" s="51"/>
      <c r="Z45" s="51"/>
    </row>
    <row r="46" spans="1:26" ht="18" customHeight="1">
      <c r="A46" s="326">
        <v>1</v>
      </c>
      <c r="B46" s="409" t="s">
        <v>2152</v>
      </c>
      <c r="C46" s="237"/>
      <c r="D46" s="20">
        <f t="array" ref="D46:I50">ROUNDDOWN(D16:I20*L16:L20*$D$5,3)</f>
        <v>0.17</v>
      </c>
      <c r="E46" s="21">
        <v>0.28000000000000003</v>
      </c>
      <c r="F46" s="21">
        <v>1.244</v>
      </c>
      <c r="G46" s="21">
        <v>1.8540000000000001</v>
      </c>
      <c r="H46" s="21">
        <v>2.976</v>
      </c>
      <c r="I46" s="22">
        <v>1.671</v>
      </c>
      <c r="J46" s="74"/>
      <c r="N46" s="79" t="s">
        <v>46</v>
      </c>
      <c r="O46" s="79"/>
      <c r="P46" s="39"/>
      <c r="Q46" s="37"/>
      <c r="R46" s="117"/>
      <c r="S46" s="37"/>
      <c r="T46" s="37"/>
      <c r="U46" s="180"/>
      <c r="V46" s="180"/>
      <c r="W46" s="157">
        <v>2000000</v>
      </c>
      <c r="X46" s="158"/>
      <c r="Y46" s="37"/>
      <c r="Z46" s="37"/>
    </row>
    <row r="47" spans="1:26" ht="18" customHeight="1">
      <c r="A47" s="326">
        <v>2</v>
      </c>
      <c r="B47" s="409" t="s">
        <v>2153</v>
      </c>
      <c r="C47" s="237"/>
      <c r="D47" s="20">
        <v>8.5000000000000006E-2</v>
      </c>
      <c r="E47" s="21">
        <v>0.14599999999999999</v>
      </c>
      <c r="F47" s="21">
        <v>0.19500000000000001</v>
      </c>
      <c r="G47" s="21">
        <v>0.54900000000000004</v>
      </c>
      <c r="H47" s="21">
        <v>0.54900000000000004</v>
      </c>
      <c r="I47" s="22">
        <v>0.36599999999999999</v>
      </c>
      <c r="J47" s="74"/>
      <c r="N47" s="132" t="s">
        <v>13</v>
      </c>
      <c r="O47" s="132"/>
      <c r="P47" s="38"/>
      <c r="Q47" s="38"/>
      <c r="R47" s="116"/>
      <c r="S47" s="38"/>
      <c r="T47" s="38"/>
      <c r="U47" s="183"/>
      <c r="V47" s="183"/>
      <c r="W47" s="155">
        <v>1000000</v>
      </c>
      <c r="X47" s="156"/>
      <c r="Y47" s="38"/>
      <c r="Z47" s="38"/>
    </row>
    <row r="48" spans="1:26" ht="18" customHeight="1">
      <c r="A48" s="326">
        <v>3</v>
      </c>
      <c r="B48" s="409" t="s">
        <v>2154</v>
      </c>
      <c r="C48" s="237"/>
      <c r="D48" s="20">
        <v>0.109</v>
      </c>
      <c r="E48" s="21">
        <v>0.158</v>
      </c>
      <c r="F48" s="21">
        <v>0.36599999999999999</v>
      </c>
      <c r="G48" s="21">
        <v>0.74399999999999999</v>
      </c>
      <c r="H48" s="21">
        <v>0.70699999999999996</v>
      </c>
      <c r="I48" s="22">
        <v>0.36599999999999999</v>
      </c>
      <c r="J48" s="74"/>
      <c r="N48" s="127" t="s">
        <v>47</v>
      </c>
      <c r="O48" s="123"/>
      <c r="P48" s="123"/>
      <c r="Q48" s="123"/>
      <c r="R48" s="123"/>
      <c r="S48" s="123"/>
      <c r="T48" s="123"/>
      <c r="U48" s="184"/>
      <c r="V48" s="184"/>
      <c r="W48" s="163">
        <f ca="1">SUBTOTAL(9,W49:W50)</f>
        <v>146905603</v>
      </c>
      <c r="X48" s="164"/>
      <c r="Y48" s="123"/>
      <c r="Z48" s="123"/>
    </row>
    <row r="49" spans="1:26" ht="18" customHeight="1">
      <c r="A49" s="326">
        <v>4</v>
      </c>
      <c r="B49" s="409" t="s">
        <v>2155</v>
      </c>
      <c r="C49" s="237"/>
      <c r="D49" s="20">
        <v>8.5000000000000006E-2</v>
      </c>
      <c r="E49" s="21">
        <v>0.14599999999999999</v>
      </c>
      <c r="F49" s="21">
        <v>0.39</v>
      </c>
      <c r="G49" s="21">
        <v>0.54900000000000004</v>
      </c>
      <c r="H49" s="21">
        <v>0.58499999999999996</v>
      </c>
      <c r="I49" s="22">
        <v>0.26800000000000002</v>
      </c>
      <c r="J49" s="74"/>
      <c r="N49" s="133" t="s">
        <v>861</v>
      </c>
      <c r="O49" s="124"/>
      <c r="P49" s="134"/>
      <c r="Q49" s="124"/>
      <c r="R49" s="131"/>
      <c r="S49" s="124"/>
      <c r="T49" s="181"/>
      <c r="U49" s="181"/>
      <c r="V49" s="190">
        <v>1.1499999999999999</v>
      </c>
      <c r="W49" s="159">
        <f ca="1">ROUNDDOWN(W14*V49,0)</f>
        <v>94117796</v>
      </c>
      <c r="X49" s="160"/>
      <c r="Y49" s="124"/>
      <c r="Z49" s="124"/>
    </row>
    <row r="50" spans="1:26" ht="18" customHeight="1" thickBot="1">
      <c r="A50" s="326">
        <v>5</v>
      </c>
      <c r="B50" s="410" t="s">
        <v>2156</v>
      </c>
      <c r="C50" s="237"/>
      <c r="D50" s="20">
        <v>8.5000000000000006E-2</v>
      </c>
      <c r="E50" s="21">
        <v>0.14599999999999999</v>
      </c>
      <c r="F50" s="21">
        <v>0.39</v>
      </c>
      <c r="G50" s="21">
        <v>0.54900000000000004</v>
      </c>
      <c r="H50" s="21">
        <v>0.58499999999999996</v>
      </c>
      <c r="I50" s="22">
        <v>0.26800000000000002</v>
      </c>
      <c r="J50" s="75"/>
      <c r="N50" s="135" t="s">
        <v>862</v>
      </c>
      <c r="O50" s="136"/>
      <c r="P50" s="137"/>
      <c r="Q50" s="136"/>
      <c r="R50" s="138"/>
      <c r="S50" s="136"/>
      <c r="T50" s="185"/>
      <c r="U50" s="185"/>
      <c r="V50" s="191">
        <v>0.3</v>
      </c>
      <c r="W50" s="165">
        <f ca="1">ROUNDDOWN((W14+W49)*V50,0)</f>
        <v>52787807</v>
      </c>
      <c r="X50" s="166"/>
      <c r="Y50" s="136"/>
      <c r="Z50" s="136"/>
    </row>
    <row r="51" spans="1:26" ht="18" customHeight="1">
      <c r="A51" s="326"/>
      <c r="B51" s="222" t="s">
        <v>2157</v>
      </c>
      <c r="C51" s="47"/>
      <c r="D51" s="33">
        <f t="shared" ref="D51:I51" si="7">SUBTOTAL(9,D52:D65)</f>
        <v>1.5679999999999998</v>
      </c>
      <c r="E51" s="34">
        <f t="shared" si="7"/>
        <v>2.5789999999999997</v>
      </c>
      <c r="F51" s="34">
        <f t="shared" si="7"/>
        <v>5.4720000000000004</v>
      </c>
      <c r="G51" s="34">
        <f t="shared" si="7"/>
        <v>9.3650000000000002</v>
      </c>
      <c r="H51" s="34">
        <f t="shared" si="7"/>
        <v>13.073</v>
      </c>
      <c r="I51" s="35">
        <f t="shared" si="7"/>
        <v>6.5700000000000012</v>
      </c>
      <c r="J51" s="13"/>
    </row>
    <row r="52" spans="1:26" ht="18" customHeight="1">
      <c r="A52" s="326">
        <v>6</v>
      </c>
      <c r="B52" s="223" t="s">
        <v>2158</v>
      </c>
      <c r="C52" s="237"/>
      <c r="D52" s="20">
        <f t="array" ref="D52:I65">ROUNDDOWN(D22:I35*L22:L35*$D$5,3)</f>
        <v>0.122</v>
      </c>
      <c r="E52" s="21">
        <v>0.19500000000000001</v>
      </c>
      <c r="F52" s="21">
        <v>0.40200000000000002</v>
      </c>
      <c r="G52" s="21">
        <v>0.67100000000000004</v>
      </c>
      <c r="H52" s="21">
        <v>1.012</v>
      </c>
      <c r="I52" s="22">
        <v>0.317</v>
      </c>
      <c r="J52" s="74"/>
    </row>
    <row r="53" spans="1:26" ht="18" customHeight="1">
      <c r="A53" s="326">
        <v>7</v>
      </c>
      <c r="B53" s="223" t="s">
        <v>2159</v>
      </c>
      <c r="C53" s="237"/>
      <c r="D53" s="20">
        <v>0.122</v>
      </c>
      <c r="E53" s="21">
        <v>0.19500000000000001</v>
      </c>
      <c r="F53" s="21">
        <v>0.48799999999999999</v>
      </c>
      <c r="G53" s="21">
        <v>0.86599999999999999</v>
      </c>
      <c r="H53" s="21">
        <v>0.91500000000000004</v>
      </c>
      <c r="I53" s="22">
        <v>0.63400000000000001</v>
      </c>
      <c r="J53" s="74"/>
    </row>
    <row r="54" spans="1:26" ht="18" customHeight="1">
      <c r="A54" s="326">
        <v>8</v>
      </c>
      <c r="B54" s="223" t="s">
        <v>2160</v>
      </c>
      <c r="C54" s="237"/>
      <c r="D54" s="20">
        <v>8.5000000000000006E-2</v>
      </c>
      <c r="E54" s="21">
        <v>0.14599999999999999</v>
      </c>
      <c r="F54" s="21">
        <v>0.26800000000000002</v>
      </c>
      <c r="G54" s="21">
        <v>0.46300000000000002</v>
      </c>
      <c r="H54" s="21">
        <v>0.67100000000000004</v>
      </c>
      <c r="I54" s="22">
        <v>0.317</v>
      </c>
      <c r="J54" s="74"/>
    </row>
    <row r="55" spans="1:26" ht="18" customHeight="1">
      <c r="A55" s="326">
        <v>9</v>
      </c>
      <c r="B55" s="223" t="s">
        <v>2161</v>
      </c>
      <c r="C55" s="237"/>
      <c r="D55" s="20">
        <v>9.7000000000000003E-2</v>
      </c>
      <c r="E55" s="21">
        <v>0.17</v>
      </c>
      <c r="F55" s="21">
        <v>0.34100000000000003</v>
      </c>
      <c r="G55" s="21">
        <v>0.56100000000000005</v>
      </c>
      <c r="H55" s="21">
        <v>0.82899999999999996</v>
      </c>
      <c r="I55" s="22">
        <v>0.40200000000000002</v>
      </c>
      <c r="J55" s="389"/>
    </row>
    <row r="56" spans="1:26" ht="18" customHeight="1">
      <c r="A56" s="326">
        <v>10</v>
      </c>
      <c r="B56" s="223" t="s">
        <v>2162</v>
      </c>
      <c r="C56" s="237"/>
      <c r="D56" s="20">
        <v>8.5000000000000006E-2</v>
      </c>
      <c r="E56" s="21">
        <v>0.14599999999999999</v>
      </c>
      <c r="F56" s="21">
        <v>0.26800000000000002</v>
      </c>
      <c r="G56" s="21">
        <v>0.46300000000000002</v>
      </c>
      <c r="H56" s="21">
        <v>0.67100000000000004</v>
      </c>
      <c r="I56" s="22">
        <v>0.317</v>
      </c>
      <c r="J56" s="74"/>
    </row>
    <row r="57" spans="1:26" ht="18" customHeight="1">
      <c r="A57" s="326">
        <v>11</v>
      </c>
      <c r="B57" s="223" t="s">
        <v>2163</v>
      </c>
      <c r="C57" s="237"/>
      <c r="D57" s="20">
        <v>0.158</v>
      </c>
      <c r="E57" s="21">
        <v>0.219</v>
      </c>
      <c r="F57" s="21">
        <v>0.48799999999999999</v>
      </c>
      <c r="G57" s="21">
        <v>0.622</v>
      </c>
      <c r="H57" s="21">
        <v>1.3049999999999999</v>
      </c>
      <c r="I57" s="22">
        <v>0.71899999999999997</v>
      </c>
      <c r="J57" s="74"/>
    </row>
    <row r="58" spans="1:26" ht="18" customHeight="1">
      <c r="A58" s="326">
        <v>12</v>
      </c>
      <c r="B58" s="223" t="s">
        <v>2164</v>
      </c>
      <c r="C58" s="237"/>
      <c r="D58" s="20">
        <v>0.219</v>
      </c>
      <c r="E58" s="21">
        <v>0.34100000000000003</v>
      </c>
      <c r="F58" s="21">
        <v>0.91500000000000004</v>
      </c>
      <c r="G58" s="21">
        <v>1.8779999999999999</v>
      </c>
      <c r="H58" s="21">
        <v>2</v>
      </c>
      <c r="I58" s="22">
        <v>0.97599999999999998</v>
      </c>
      <c r="J58" s="74"/>
    </row>
    <row r="59" spans="1:26" ht="18" customHeight="1">
      <c r="A59" s="326">
        <v>13</v>
      </c>
      <c r="B59" s="223" t="s">
        <v>2165</v>
      </c>
      <c r="C59" s="237"/>
      <c r="D59" s="20">
        <v>0.122</v>
      </c>
      <c r="E59" s="21">
        <v>0.19500000000000001</v>
      </c>
      <c r="F59" s="21">
        <v>0.40200000000000002</v>
      </c>
      <c r="G59" s="21">
        <v>0.67100000000000004</v>
      </c>
      <c r="H59" s="21">
        <v>1.012</v>
      </c>
      <c r="I59" s="22">
        <v>0.64600000000000002</v>
      </c>
      <c r="J59" s="74"/>
    </row>
    <row r="60" spans="1:26" ht="18" customHeight="1">
      <c r="A60" s="326">
        <v>14</v>
      </c>
      <c r="B60" s="223" t="s">
        <v>2166</v>
      </c>
      <c r="C60" s="237"/>
      <c r="D60" s="20">
        <v>8.5000000000000006E-2</v>
      </c>
      <c r="E60" s="21">
        <v>0.14599999999999999</v>
      </c>
      <c r="F60" s="21">
        <v>0.26800000000000002</v>
      </c>
      <c r="G60" s="21">
        <v>0.46300000000000002</v>
      </c>
      <c r="H60" s="21">
        <v>0.67100000000000004</v>
      </c>
      <c r="I60" s="22">
        <v>0.317</v>
      </c>
      <c r="J60" s="74"/>
    </row>
    <row r="61" spans="1:26" ht="18" customHeight="1">
      <c r="A61" s="326">
        <v>15</v>
      </c>
      <c r="B61" s="223" t="s">
        <v>2167</v>
      </c>
      <c r="C61" s="237"/>
      <c r="D61" s="20">
        <v>9.7000000000000003E-2</v>
      </c>
      <c r="E61" s="21">
        <v>0.17</v>
      </c>
      <c r="F61" s="21">
        <v>0.34100000000000003</v>
      </c>
      <c r="G61" s="21">
        <v>0.56100000000000005</v>
      </c>
      <c r="H61" s="21">
        <v>0.82899999999999996</v>
      </c>
      <c r="I61" s="22">
        <v>0.40200000000000002</v>
      </c>
      <c r="J61" s="74"/>
    </row>
    <row r="62" spans="1:26" ht="18" customHeight="1">
      <c r="A62" s="326">
        <v>16</v>
      </c>
      <c r="B62" s="223" t="s">
        <v>2168</v>
      </c>
      <c r="C62" s="237"/>
      <c r="D62" s="20">
        <v>9.7000000000000003E-2</v>
      </c>
      <c r="E62" s="21">
        <v>0.17</v>
      </c>
      <c r="F62" s="21">
        <v>0.34100000000000003</v>
      </c>
      <c r="G62" s="21">
        <v>0.56100000000000005</v>
      </c>
      <c r="H62" s="21">
        <v>0.82899999999999996</v>
      </c>
      <c r="I62" s="22">
        <v>0.40200000000000002</v>
      </c>
      <c r="J62" s="389"/>
      <c r="L62" s="171"/>
    </row>
    <row r="63" spans="1:26" ht="18" customHeight="1">
      <c r="A63" s="326">
        <v>17</v>
      </c>
      <c r="B63" s="223" t="s">
        <v>2169</v>
      </c>
      <c r="C63" s="237"/>
      <c r="D63" s="20">
        <v>9.7000000000000003E-2</v>
      </c>
      <c r="E63" s="21">
        <v>0.17</v>
      </c>
      <c r="F63" s="21">
        <v>0.34100000000000003</v>
      </c>
      <c r="G63" s="21">
        <v>0.56100000000000005</v>
      </c>
      <c r="H63" s="21">
        <v>0.82899999999999996</v>
      </c>
      <c r="I63" s="22">
        <v>0.40200000000000002</v>
      </c>
      <c r="J63" s="74"/>
      <c r="L63" s="171"/>
    </row>
    <row r="64" spans="1:26" ht="18" customHeight="1">
      <c r="A64" s="326">
        <v>18</v>
      </c>
      <c r="B64" s="223" t="s">
        <v>2170</v>
      </c>
      <c r="C64" s="237"/>
      <c r="D64" s="20">
        <v>8.5000000000000006E-2</v>
      </c>
      <c r="E64" s="21">
        <v>0.14599999999999999</v>
      </c>
      <c r="F64" s="21">
        <v>0.26800000000000002</v>
      </c>
      <c r="G64" s="21">
        <v>0.46300000000000002</v>
      </c>
      <c r="H64" s="21">
        <v>0.67100000000000004</v>
      </c>
      <c r="I64" s="22">
        <v>0.317</v>
      </c>
      <c r="J64" s="74"/>
      <c r="L64" s="171"/>
    </row>
    <row r="65" spans="1:26" ht="18" customHeight="1">
      <c r="A65" s="326">
        <v>19</v>
      </c>
      <c r="B65" s="223" t="s">
        <v>2171</v>
      </c>
      <c r="C65" s="237"/>
      <c r="D65" s="20">
        <v>9.7000000000000003E-2</v>
      </c>
      <c r="E65" s="21">
        <v>0.17</v>
      </c>
      <c r="F65" s="21">
        <v>0.34100000000000003</v>
      </c>
      <c r="G65" s="21">
        <v>0.56100000000000005</v>
      </c>
      <c r="H65" s="21">
        <v>0.82899999999999996</v>
      </c>
      <c r="I65" s="22">
        <v>0.40200000000000002</v>
      </c>
      <c r="J65" s="75"/>
      <c r="L65" s="171"/>
    </row>
    <row r="66" spans="1:26" ht="18" customHeight="1">
      <c r="A66" s="326"/>
      <c r="B66" s="222" t="s">
        <v>136</v>
      </c>
      <c r="C66" s="47"/>
      <c r="D66" s="33">
        <f t="shared" ref="D66:I66" si="8">SUBTOTAL(9,D67:D68)</f>
        <v>0.42599999999999999</v>
      </c>
      <c r="E66" s="34">
        <f t="shared" si="8"/>
        <v>0.71900000000000008</v>
      </c>
      <c r="F66" s="34">
        <f t="shared" si="8"/>
        <v>1.56</v>
      </c>
      <c r="G66" s="34">
        <f t="shared" si="8"/>
        <v>2.879</v>
      </c>
      <c r="H66" s="34">
        <f t="shared" si="8"/>
        <v>4.0010000000000003</v>
      </c>
      <c r="I66" s="35">
        <f t="shared" si="8"/>
        <v>1.988</v>
      </c>
      <c r="J66" s="13"/>
      <c r="L66" s="171"/>
    </row>
    <row r="67" spans="1:26" ht="18" customHeight="1">
      <c r="A67" s="326">
        <v>20</v>
      </c>
      <c r="B67" s="223" t="s">
        <v>1759</v>
      </c>
      <c r="C67" s="237"/>
      <c r="D67" s="20">
        <f t="array" ref="D67:I68">ROUNDDOWN(D37:I38*L37:L38*$D$5,3)</f>
        <v>0.29199999999999998</v>
      </c>
      <c r="E67" s="21">
        <v>0.45100000000000001</v>
      </c>
      <c r="F67" s="21">
        <v>1.024</v>
      </c>
      <c r="G67" s="21">
        <v>1.72</v>
      </c>
      <c r="H67" s="21">
        <v>1.708</v>
      </c>
      <c r="I67" s="22">
        <v>0.56100000000000005</v>
      </c>
      <c r="J67" s="23"/>
      <c r="K67" s="171" t="s">
        <v>14</v>
      </c>
      <c r="L67" s="171"/>
    </row>
    <row r="68" spans="1:26" ht="18" customHeight="1">
      <c r="A68" s="326">
        <v>21</v>
      </c>
      <c r="B68" s="259" t="s">
        <v>2172</v>
      </c>
      <c r="C68" s="237"/>
      <c r="D68" s="20">
        <v>0.13400000000000001</v>
      </c>
      <c r="E68" s="21">
        <v>0.26800000000000002</v>
      </c>
      <c r="F68" s="21">
        <v>0.53600000000000003</v>
      </c>
      <c r="G68" s="21">
        <v>1.159</v>
      </c>
      <c r="H68" s="21">
        <v>2.2930000000000001</v>
      </c>
      <c r="I68" s="22">
        <v>1.427</v>
      </c>
      <c r="J68" s="23"/>
      <c r="K68" s="171" t="s">
        <v>14</v>
      </c>
      <c r="L68" s="171"/>
    </row>
    <row r="69" spans="1:26" ht="18" customHeight="1">
      <c r="A69" s="326"/>
      <c r="B69" s="222" t="s">
        <v>268</v>
      </c>
      <c r="C69" s="47"/>
      <c r="D69" s="48">
        <f t="shared" ref="D69:I69" si="9">SUBTOTAL(9,D70:D73)</f>
        <v>8</v>
      </c>
      <c r="E69" s="49">
        <f t="shared" si="9"/>
        <v>8</v>
      </c>
      <c r="F69" s="49">
        <f t="shared" si="9"/>
        <v>8</v>
      </c>
      <c r="G69" s="49">
        <f t="shared" si="9"/>
        <v>16</v>
      </c>
      <c r="H69" s="49">
        <f t="shared" si="9"/>
        <v>16</v>
      </c>
      <c r="I69" s="50">
        <f t="shared" si="9"/>
        <v>16</v>
      </c>
      <c r="J69" s="287"/>
      <c r="K69" s="171" t="s">
        <v>14</v>
      </c>
      <c r="L69" s="171"/>
      <c r="M69" s="171"/>
    </row>
    <row r="70" spans="1:26" ht="18" customHeight="1">
      <c r="A70" s="326">
        <v>22</v>
      </c>
      <c r="B70" s="223" t="s">
        <v>1724</v>
      </c>
      <c r="C70" s="237"/>
      <c r="D70" s="20">
        <f t="array" ref="D70:I73">ROUNDDOWN(D40:I43*L40:L43*I5,3)</f>
        <v>2</v>
      </c>
      <c r="E70" s="198">
        <v>2</v>
      </c>
      <c r="F70" s="198">
        <v>2</v>
      </c>
      <c r="G70" s="198">
        <v>4</v>
      </c>
      <c r="H70" s="198">
        <v>4</v>
      </c>
      <c r="I70" s="199">
        <v>4</v>
      </c>
      <c r="J70" s="74"/>
      <c r="K70" s="171" t="s">
        <v>14</v>
      </c>
      <c r="L70" s="171"/>
      <c r="M70" s="171"/>
    </row>
    <row r="71" spans="1:26" ht="18" customHeight="1">
      <c r="A71" s="326">
        <v>23</v>
      </c>
      <c r="B71" s="223" t="s">
        <v>1725</v>
      </c>
      <c r="C71" s="237"/>
      <c r="D71" s="197">
        <v>2</v>
      </c>
      <c r="E71" s="198">
        <v>2</v>
      </c>
      <c r="F71" s="198">
        <v>2</v>
      </c>
      <c r="G71" s="198">
        <v>4</v>
      </c>
      <c r="H71" s="198">
        <v>4</v>
      </c>
      <c r="I71" s="199">
        <v>4</v>
      </c>
      <c r="J71" s="74"/>
      <c r="K71" s="171" t="s">
        <v>14</v>
      </c>
      <c r="L71" s="171"/>
      <c r="M71" s="171"/>
    </row>
    <row r="72" spans="1:26" ht="18" customHeight="1">
      <c r="A72" s="326">
        <v>24</v>
      </c>
      <c r="B72" s="223" t="s">
        <v>2173</v>
      </c>
      <c r="C72" s="237"/>
      <c r="D72" s="197">
        <v>2</v>
      </c>
      <c r="E72" s="198">
        <v>2</v>
      </c>
      <c r="F72" s="198">
        <v>2</v>
      </c>
      <c r="G72" s="198">
        <v>4</v>
      </c>
      <c r="H72" s="198">
        <v>4</v>
      </c>
      <c r="I72" s="199">
        <v>4</v>
      </c>
      <c r="J72" s="74"/>
      <c r="K72" s="171" t="s">
        <v>14</v>
      </c>
      <c r="L72" s="171"/>
      <c r="M72" s="171"/>
    </row>
    <row r="73" spans="1:26" ht="18" customHeight="1" thickBot="1">
      <c r="A73" s="326">
        <v>25</v>
      </c>
      <c r="B73" s="388" t="s">
        <v>2174</v>
      </c>
      <c r="C73" s="401"/>
      <c r="D73" s="343">
        <v>2</v>
      </c>
      <c r="E73" s="344">
        <v>2</v>
      </c>
      <c r="F73" s="344">
        <v>2</v>
      </c>
      <c r="G73" s="344">
        <v>4</v>
      </c>
      <c r="H73" s="344">
        <v>4</v>
      </c>
      <c r="I73" s="345">
        <v>4</v>
      </c>
      <c r="J73" s="176"/>
      <c r="K73" s="171" t="s">
        <v>14</v>
      </c>
      <c r="L73" s="171"/>
      <c r="M73" s="171"/>
      <c r="N73" s="66" t="s">
        <v>18</v>
      </c>
      <c r="O73" s="2"/>
      <c r="P73" s="2"/>
      <c r="Q73" s="2"/>
      <c r="R73" s="3"/>
      <c r="S73" s="4"/>
      <c r="T73" s="3"/>
      <c r="U73" s="4"/>
      <c r="V73" s="3"/>
      <c r="W73" s="4"/>
      <c r="X73" s="3"/>
      <c r="Y73" s="4"/>
      <c r="Z73" s="2"/>
    </row>
    <row r="74" spans="1:26" ht="18" customHeight="1">
      <c r="A74" s="326"/>
      <c r="B74" s="85" t="s">
        <v>15</v>
      </c>
      <c r="C74" s="9" t="s">
        <v>2176</v>
      </c>
      <c r="K74" s="171" t="s">
        <v>14</v>
      </c>
      <c r="L74" s="171"/>
      <c r="M74" s="171"/>
      <c r="N74" s="765" t="s">
        <v>19</v>
      </c>
      <c r="O74" s="755" t="s">
        <v>20</v>
      </c>
      <c r="P74" s="755" t="s">
        <v>21</v>
      </c>
      <c r="Q74" s="755" t="s">
        <v>16</v>
      </c>
      <c r="R74" s="5" t="s">
        <v>22</v>
      </c>
      <c r="S74" s="5"/>
      <c r="T74" s="5" t="s">
        <v>23</v>
      </c>
      <c r="U74" s="5"/>
      <c r="V74" s="5" t="s">
        <v>24</v>
      </c>
      <c r="W74" s="5"/>
      <c r="X74" s="5" t="s">
        <v>25</v>
      </c>
      <c r="Y74" s="5"/>
      <c r="Z74" s="755" t="s">
        <v>26</v>
      </c>
    </row>
    <row r="75" spans="1:26" ht="18" customHeight="1" thickBot="1">
      <c r="A75" s="326"/>
      <c r="B75" s="8"/>
      <c r="C75" s="9" t="s">
        <v>2145</v>
      </c>
      <c r="K75" s="171" t="s">
        <v>14</v>
      </c>
      <c r="L75" s="171"/>
      <c r="M75" s="171"/>
      <c r="N75" s="766"/>
      <c r="O75" s="756"/>
      <c r="P75" s="756"/>
      <c r="Q75" s="756"/>
      <c r="R75" s="67" t="s">
        <v>27</v>
      </c>
      <c r="S75" s="67" t="s">
        <v>28</v>
      </c>
      <c r="T75" s="67" t="s">
        <v>27</v>
      </c>
      <c r="U75" s="67" t="s">
        <v>28</v>
      </c>
      <c r="V75" s="67" t="s">
        <v>27</v>
      </c>
      <c r="W75" s="67" t="s">
        <v>28</v>
      </c>
      <c r="X75" s="67" t="s">
        <v>27</v>
      </c>
      <c r="Y75" s="67" t="s">
        <v>28</v>
      </c>
      <c r="Z75" s="756"/>
    </row>
    <row r="76" spans="1:26" ht="18" customHeight="1" thickTop="1">
      <c r="A76" s="326"/>
      <c r="B76" s="80"/>
      <c r="C76" s="9" t="s">
        <v>2177</v>
      </c>
      <c r="K76" s="171" t="s">
        <v>14</v>
      </c>
      <c r="L76" s="171"/>
      <c r="M76" s="171"/>
      <c r="N76" s="318" t="str">
        <f ca="1">"제 " &amp; Z76 &amp; " 호표  "&amp; OFFSET($A$1,MATCH(Z76,$A:$A,0)-1,1)</f>
        <v>제 1 호표  1.1. 도시공업지역 현황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v>1</v>
      </c>
    </row>
    <row r="77" spans="1:26" ht="18" customHeight="1">
      <c r="A77" s="326"/>
      <c r="C77" s="9" t="s">
        <v>2178</v>
      </c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0.17</v>
      </c>
      <c r="Q77" s="141" t="s">
        <v>29</v>
      </c>
      <c r="R77" s="142">
        <f t="shared" ref="R77:S82" ca="1" si="10">T77</f>
        <v>467217</v>
      </c>
      <c r="S77" s="142">
        <f t="shared" ca="1" si="10"/>
        <v>79426</v>
      </c>
      <c r="T77" s="142">
        <f ca="1">기술사</f>
        <v>467217</v>
      </c>
      <c r="U77" s="142">
        <f t="shared" ref="U77:U82" ca="1" si="11">ROUNDDOWN(P77*R77,0)</f>
        <v>79426</v>
      </c>
      <c r="V77" s="142"/>
      <c r="W77" s="142"/>
      <c r="X77" s="142"/>
      <c r="Y77" s="142"/>
      <c r="Z77" s="114"/>
    </row>
    <row r="78" spans="1:26" ht="18" customHeight="1">
      <c r="A78" s="326"/>
      <c r="C78" s="9"/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0.28000000000000003</v>
      </c>
      <c r="Q78" s="144" t="s">
        <v>29</v>
      </c>
      <c r="R78" s="118">
        <f t="shared" ca="1" si="10"/>
        <v>373353</v>
      </c>
      <c r="S78" s="118">
        <f t="shared" ca="1" si="10"/>
        <v>104538</v>
      </c>
      <c r="T78" s="118">
        <f ca="1">특급</f>
        <v>373353</v>
      </c>
      <c r="U78" s="118">
        <f t="shared" ca="1" si="11"/>
        <v>104538</v>
      </c>
      <c r="V78" s="118"/>
      <c r="W78" s="118"/>
      <c r="X78" s="118"/>
      <c r="Y78" s="118"/>
      <c r="Z78" s="115"/>
    </row>
    <row r="79" spans="1:26" ht="18" customHeight="1">
      <c r="A79" s="355"/>
      <c r="C79" s="9"/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1.244</v>
      </c>
      <c r="Q79" s="144" t="s">
        <v>29</v>
      </c>
      <c r="R79" s="118">
        <f t="shared" ca="1" si="10"/>
        <v>310884</v>
      </c>
      <c r="S79" s="118">
        <f t="shared" ca="1" si="10"/>
        <v>386739</v>
      </c>
      <c r="T79" s="118">
        <f ca="1">고급</f>
        <v>310884</v>
      </c>
      <c r="U79" s="118">
        <f t="shared" ca="1" si="11"/>
        <v>386739</v>
      </c>
      <c r="V79" s="118"/>
      <c r="W79" s="118"/>
      <c r="X79" s="118"/>
      <c r="Y79" s="118"/>
      <c r="Z79" s="115"/>
    </row>
    <row r="80" spans="1:26" ht="18" customHeight="1">
      <c r="A80" s="355"/>
      <c r="C80" s="9"/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1.8540000000000001</v>
      </c>
      <c r="Q80" s="144" t="s">
        <v>29</v>
      </c>
      <c r="R80" s="118">
        <f t="shared" ca="1" si="10"/>
        <v>295138</v>
      </c>
      <c r="S80" s="118">
        <f t="shared" ca="1" si="10"/>
        <v>547185</v>
      </c>
      <c r="T80" s="118">
        <f ca="1">중급</f>
        <v>295138</v>
      </c>
      <c r="U80" s="118">
        <f t="shared" ca="1" si="11"/>
        <v>547185</v>
      </c>
      <c r="V80" s="118"/>
      <c r="W80" s="118"/>
      <c r="X80" s="118"/>
      <c r="Y80" s="118"/>
      <c r="Z80" s="115"/>
    </row>
    <row r="81" spans="1:26" ht="18" customHeight="1">
      <c r="A81" s="355"/>
      <c r="C81" s="9"/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2.976</v>
      </c>
      <c r="Q81" s="144" t="s">
        <v>29</v>
      </c>
      <c r="R81" s="118">
        <f t="shared" ca="1" si="10"/>
        <v>235459</v>
      </c>
      <c r="S81" s="118">
        <f t="shared" ca="1" si="10"/>
        <v>700725</v>
      </c>
      <c r="T81" s="118">
        <f ca="1">초급</f>
        <v>235459</v>
      </c>
      <c r="U81" s="118">
        <f t="shared" ca="1" si="11"/>
        <v>700725</v>
      </c>
      <c r="V81" s="118"/>
      <c r="W81" s="118"/>
      <c r="X81" s="118"/>
      <c r="Y81" s="118"/>
      <c r="Z81" s="115"/>
    </row>
    <row r="82" spans="1:26" ht="18" customHeight="1">
      <c r="A82" s="326"/>
      <c r="C82" s="9"/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1.671</v>
      </c>
      <c r="Q82" s="322" t="s">
        <v>29</v>
      </c>
      <c r="R82" s="323">
        <f t="shared" ca="1" si="10"/>
        <v>250087</v>
      </c>
      <c r="S82" s="323">
        <f t="shared" ca="1" si="10"/>
        <v>417895</v>
      </c>
      <c r="T82" s="323">
        <f ca="1">보조원</f>
        <v>250087</v>
      </c>
      <c r="U82" s="323">
        <f t="shared" ca="1" si="11"/>
        <v>417895</v>
      </c>
      <c r="V82" s="323"/>
      <c r="W82" s="323"/>
      <c r="X82" s="323"/>
      <c r="Y82" s="323"/>
      <c r="Z82" s="324"/>
    </row>
    <row r="83" spans="1:26" ht="18" customHeight="1">
      <c r="A83" s="326"/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2236508</v>
      </c>
      <c r="T83" s="71"/>
      <c r="U83" s="71">
        <f ca="1">SUBTOTAL(9,U77:U82)</f>
        <v>2236508</v>
      </c>
      <c r="V83" s="71"/>
      <c r="W83" s="71"/>
      <c r="X83" s="71"/>
      <c r="Y83" s="71"/>
      <c r="Z83" s="68"/>
    </row>
    <row r="84" spans="1:26" ht="18" customHeight="1">
      <c r="A84" s="326"/>
      <c r="K84" s="171" t="s">
        <v>14</v>
      </c>
      <c r="L84" s="171"/>
      <c r="M84" s="171"/>
      <c r="N84" s="318" t="str">
        <f ca="1">"제 " &amp; Z84 &amp; " 호표  "&amp; OFFSET($A$1,MATCH(Z84,$A:$A,0)-1,1)</f>
        <v>제 2 호표  1.2. 지역산업생태계(지역자산)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2</v>
      </c>
    </row>
    <row r="85" spans="1:26" ht="18" customHeight="1">
      <c r="A85" s="326"/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8.5000000000000006E-2</v>
      </c>
      <c r="Q85" s="141" t="s">
        <v>29</v>
      </c>
      <c r="R85" s="142">
        <f t="shared" ref="R85:S90" ca="1" si="12">T85</f>
        <v>467217</v>
      </c>
      <c r="S85" s="142">
        <f t="shared" ca="1" si="12"/>
        <v>39713</v>
      </c>
      <c r="T85" s="142">
        <f ca="1">기술사</f>
        <v>467217</v>
      </c>
      <c r="U85" s="142">
        <f t="shared" ref="U85:U90" ca="1" si="13">ROUNDDOWN(P85*R85,0)</f>
        <v>39713</v>
      </c>
      <c r="V85" s="142"/>
      <c r="W85" s="142"/>
      <c r="X85" s="142"/>
      <c r="Y85" s="142"/>
      <c r="Z85" s="114"/>
    </row>
    <row r="86" spans="1:26" ht="18" customHeight="1">
      <c r="A86" s="326"/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0.14599999999999999</v>
      </c>
      <c r="Q86" s="144" t="s">
        <v>29</v>
      </c>
      <c r="R86" s="118">
        <f t="shared" ca="1" si="12"/>
        <v>373353</v>
      </c>
      <c r="S86" s="118">
        <f t="shared" ca="1" si="12"/>
        <v>54509</v>
      </c>
      <c r="T86" s="118">
        <f ca="1">특급</f>
        <v>373353</v>
      </c>
      <c r="U86" s="118">
        <f t="shared" ca="1" si="13"/>
        <v>54509</v>
      </c>
      <c r="V86" s="118"/>
      <c r="W86" s="118"/>
      <c r="X86" s="118"/>
      <c r="Y86" s="118"/>
      <c r="Z86" s="115"/>
    </row>
    <row r="87" spans="1:26" ht="18" customHeight="1">
      <c r="A87" s="326"/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0.19500000000000001</v>
      </c>
      <c r="Q87" s="144" t="s">
        <v>29</v>
      </c>
      <c r="R87" s="118">
        <f t="shared" ca="1" si="12"/>
        <v>310884</v>
      </c>
      <c r="S87" s="118">
        <f t="shared" ca="1" si="12"/>
        <v>60622</v>
      </c>
      <c r="T87" s="118">
        <f ca="1">고급</f>
        <v>310884</v>
      </c>
      <c r="U87" s="118">
        <f t="shared" ca="1" si="13"/>
        <v>60622</v>
      </c>
      <c r="V87" s="118"/>
      <c r="W87" s="118"/>
      <c r="X87" s="118"/>
      <c r="Y87" s="118"/>
      <c r="Z87" s="115"/>
    </row>
    <row r="88" spans="1:26" ht="18" customHeight="1">
      <c r="A88" s="326"/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0.54900000000000004</v>
      </c>
      <c r="Q88" s="144" t="s">
        <v>29</v>
      </c>
      <c r="R88" s="118">
        <f t="shared" ca="1" si="12"/>
        <v>295138</v>
      </c>
      <c r="S88" s="118">
        <f t="shared" ca="1" si="12"/>
        <v>162030</v>
      </c>
      <c r="T88" s="118">
        <f ca="1">중급</f>
        <v>295138</v>
      </c>
      <c r="U88" s="118">
        <f t="shared" ca="1" si="13"/>
        <v>162030</v>
      </c>
      <c r="V88" s="118"/>
      <c r="W88" s="118"/>
      <c r="X88" s="118"/>
      <c r="Y88" s="118"/>
      <c r="Z88" s="115"/>
    </row>
    <row r="89" spans="1:26" ht="18" customHeight="1">
      <c r="A89" s="326"/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0.54900000000000004</v>
      </c>
      <c r="Q89" s="144" t="s">
        <v>29</v>
      </c>
      <c r="R89" s="118">
        <f t="shared" ca="1" si="12"/>
        <v>235459</v>
      </c>
      <c r="S89" s="118">
        <f t="shared" ca="1" si="12"/>
        <v>129266</v>
      </c>
      <c r="T89" s="118">
        <f ca="1">초급</f>
        <v>235459</v>
      </c>
      <c r="U89" s="118">
        <f t="shared" ca="1" si="13"/>
        <v>129266</v>
      </c>
      <c r="V89" s="118"/>
      <c r="W89" s="118"/>
      <c r="X89" s="118"/>
      <c r="Y89" s="118"/>
      <c r="Z89" s="115"/>
    </row>
    <row r="90" spans="1:26" ht="18" customHeight="1">
      <c r="A90" s="326"/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0.36599999999999999</v>
      </c>
      <c r="Q90" s="322" t="s">
        <v>29</v>
      </c>
      <c r="R90" s="323">
        <f t="shared" ca="1" si="12"/>
        <v>250087</v>
      </c>
      <c r="S90" s="323">
        <f t="shared" ca="1" si="12"/>
        <v>91531</v>
      </c>
      <c r="T90" s="323">
        <f ca="1">보조원</f>
        <v>250087</v>
      </c>
      <c r="U90" s="323">
        <f t="shared" ca="1" si="13"/>
        <v>91531</v>
      </c>
      <c r="V90" s="323"/>
      <c r="W90" s="323"/>
      <c r="X90" s="323"/>
      <c r="Y90" s="323"/>
      <c r="Z90" s="324"/>
    </row>
    <row r="91" spans="1:26" ht="18" customHeight="1">
      <c r="A91" s="326"/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537671</v>
      </c>
      <c r="T91" s="71"/>
      <c r="U91" s="71">
        <f ca="1">SUBTOTAL(9,U85:U90)</f>
        <v>537671</v>
      </c>
      <c r="V91" s="71"/>
      <c r="W91" s="71"/>
      <c r="X91" s="71"/>
      <c r="Y91" s="71"/>
      <c r="Z91" s="68"/>
    </row>
    <row r="92" spans="1:26" ht="18" customHeight="1">
      <c r="A92" s="326"/>
      <c r="K92" s="171" t="s">
        <v>14</v>
      </c>
      <c r="L92" s="171"/>
      <c r="M92" s="171"/>
      <c r="N92" s="318" t="str">
        <f ca="1">"제 " &amp; Z92 &amp; " 호표  "&amp; OFFSET($A$1,MATCH(Z92,$A:$A,0)-1,1)</f>
        <v>제 3 호표  1.3. 기초생활인프라 조사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3</v>
      </c>
    </row>
    <row r="93" spans="1:26" ht="18" customHeight="1">
      <c r="A93" s="326"/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0.109</v>
      </c>
      <c r="Q93" s="141" t="s">
        <v>29</v>
      </c>
      <c r="R93" s="142">
        <f t="shared" ref="R93:S98" ca="1" si="14">T93</f>
        <v>467217</v>
      </c>
      <c r="S93" s="142">
        <f t="shared" ca="1" si="14"/>
        <v>50926</v>
      </c>
      <c r="T93" s="142">
        <f ca="1">기술사</f>
        <v>467217</v>
      </c>
      <c r="U93" s="142">
        <f t="shared" ref="U93:U98" ca="1" si="15">ROUNDDOWN(P93*R93,0)</f>
        <v>50926</v>
      </c>
      <c r="V93" s="142"/>
      <c r="W93" s="142"/>
      <c r="X93" s="142"/>
      <c r="Y93" s="142"/>
      <c r="Z93" s="114"/>
    </row>
    <row r="94" spans="1:26" ht="18" customHeight="1">
      <c r="A94" s="326"/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0.158</v>
      </c>
      <c r="Q94" s="144" t="s">
        <v>29</v>
      </c>
      <c r="R94" s="118">
        <f t="shared" ca="1" si="14"/>
        <v>373353</v>
      </c>
      <c r="S94" s="118">
        <f t="shared" ca="1" si="14"/>
        <v>58989</v>
      </c>
      <c r="T94" s="118">
        <f ca="1">특급</f>
        <v>373353</v>
      </c>
      <c r="U94" s="118">
        <f t="shared" ca="1" si="15"/>
        <v>58989</v>
      </c>
      <c r="V94" s="118"/>
      <c r="W94" s="118"/>
      <c r="X94" s="118"/>
      <c r="Y94" s="118"/>
      <c r="Z94" s="115"/>
    </row>
    <row r="95" spans="1:26" ht="18" customHeight="1">
      <c r="A95" s="326"/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0.36599999999999999</v>
      </c>
      <c r="Q95" s="144" t="s">
        <v>29</v>
      </c>
      <c r="R95" s="118">
        <f t="shared" ca="1" si="14"/>
        <v>310884</v>
      </c>
      <c r="S95" s="118">
        <f t="shared" ca="1" si="14"/>
        <v>113783</v>
      </c>
      <c r="T95" s="118">
        <f ca="1">고급</f>
        <v>310884</v>
      </c>
      <c r="U95" s="118">
        <f t="shared" ca="1" si="15"/>
        <v>113783</v>
      </c>
      <c r="V95" s="118"/>
      <c r="W95" s="118"/>
      <c r="X95" s="118"/>
      <c r="Y95" s="118"/>
      <c r="Z95" s="115"/>
    </row>
    <row r="96" spans="1:26" ht="18" customHeight="1">
      <c r="A96" s="326"/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0.74399999999999999</v>
      </c>
      <c r="Q96" s="144" t="s">
        <v>29</v>
      </c>
      <c r="R96" s="118">
        <f t="shared" ca="1" si="14"/>
        <v>295138</v>
      </c>
      <c r="S96" s="118">
        <f t="shared" ca="1" si="14"/>
        <v>219582</v>
      </c>
      <c r="T96" s="118">
        <f ca="1">중급</f>
        <v>295138</v>
      </c>
      <c r="U96" s="118">
        <f t="shared" ca="1" si="15"/>
        <v>219582</v>
      </c>
      <c r="V96" s="118"/>
      <c r="W96" s="118"/>
      <c r="X96" s="118"/>
      <c r="Y96" s="118"/>
      <c r="Z96" s="115"/>
    </row>
    <row r="97" spans="1:26" ht="18" customHeight="1">
      <c r="A97" s="326"/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0.70699999999999996</v>
      </c>
      <c r="Q97" s="144" t="s">
        <v>29</v>
      </c>
      <c r="R97" s="118">
        <f t="shared" ca="1" si="14"/>
        <v>235459</v>
      </c>
      <c r="S97" s="118">
        <f t="shared" ca="1" si="14"/>
        <v>166469</v>
      </c>
      <c r="T97" s="118">
        <f ca="1">초급</f>
        <v>235459</v>
      </c>
      <c r="U97" s="118">
        <f t="shared" ca="1" si="15"/>
        <v>166469</v>
      </c>
      <c r="V97" s="118"/>
      <c r="W97" s="118"/>
      <c r="X97" s="118"/>
      <c r="Y97" s="118"/>
      <c r="Z97" s="115"/>
    </row>
    <row r="98" spans="1:26" ht="18" customHeight="1">
      <c r="A98" s="326"/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0.36599999999999999</v>
      </c>
      <c r="Q98" s="322" t="s">
        <v>29</v>
      </c>
      <c r="R98" s="323">
        <f t="shared" ca="1" si="14"/>
        <v>250087</v>
      </c>
      <c r="S98" s="323">
        <f t="shared" ca="1" si="14"/>
        <v>91531</v>
      </c>
      <c r="T98" s="323">
        <f ca="1">보조원</f>
        <v>250087</v>
      </c>
      <c r="U98" s="323">
        <f t="shared" ca="1" si="15"/>
        <v>91531</v>
      </c>
      <c r="V98" s="323"/>
      <c r="W98" s="323"/>
      <c r="X98" s="323"/>
      <c r="Y98" s="323"/>
      <c r="Z98" s="324"/>
    </row>
    <row r="99" spans="1:26" ht="18" customHeight="1">
      <c r="A99" s="326"/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701280</v>
      </c>
      <c r="T99" s="71"/>
      <c r="U99" s="71">
        <f ca="1">SUBTOTAL(9,U93:U98)</f>
        <v>701280</v>
      </c>
      <c r="V99" s="71"/>
      <c r="W99" s="71"/>
      <c r="X99" s="71"/>
      <c r="Y99" s="71"/>
      <c r="Z99" s="68"/>
    </row>
    <row r="100" spans="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4 호표  1.4. 국내외 사례조사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4</v>
      </c>
    </row>
    <row r="101" spans="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8.5000000000000006E-2</v>
      </c>
      <c r="Q101" s="141" t="s">
        <v>29</v>
      </c>
      <c r="R101" s="142">
        <f t="shared" ref="R101:S106" ca="1" si="16">T101</f>
        <v>467217</v>
      </c>
      <c r="S101" s="142">
        <f t="shared" ca="1" si="16"/>
        <v>39713</v>
      </c>
      <c r="T101" s="142">
        <f ca="1">기술사</f>
        <v>467217</v>
      </c>
      <c r="U101" s="142">
        <f t="shared" ref="U101:U106" ca="1" si="17">ROUNDDOWN(P101*R101,0)</f>
        <v>39713</v>
      </c>
      <c r="V101" s="142"/>
      <c r="W101" s="142"/>
      <c r="X101" s="142"/>
      <c r="Y101" s="142"/>
      <c r="Z101" s="114"/>
    </row>
    <row r="102" spans="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0.14599999999999999</v>
      </c>
      <c r="Q102" s="144" t="s">
        <v>29</v>
      </c>
      <c r="R102" s="118">
        <f t="shared" ca="1" si="16"/>
        <v>373353</v>
      </c>
      <c r="S102" s="118">
        <f t="shared" ca="1" si="16"/>
        <v>54509</v>
      </c>
      <c r="T102" s="118">
        <f ca="1">특급</f>
        <v>373353</v>
      </c>
      <c r="U102" s="118">
        <f t="shared" ca="1" si="17"/>
        <v>54509</v>
      </c>
      <c r="V102" s="118"/>
      <c r="W102" s="118"/>
      <c r="X102" s="118"/>
      <c r="Y102" s="118"/>
      <c r="Z102" s="115"/>
    </row>
    <row r="103" spans="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0.39</v>
      </c>
      <c r="Q103" s="144" t="s">
        <v>29</v>
      </c>
      <c r="R103" s="118">
        <f t="shared" ca="1" si="16"/>
        <v>310884</v>
      </c>
      <c r="S103" s="118">
        <f t="shared" ca="1" si="16"/>
        <v>121244</v>
      </c>
      <c r="T103" s="118">
        <f ca="1">고급</f>
        <v>310884</v>
      </c>
      <c r="U103" s="118">
        <f t="shared" ca="1" si="17"/>
        <v>121244</v>
      </c>
      <c r="V103" s="118"/>
      <c r="W103" s="118"/>
      <c r="X103" s="118"/>
      <c r="Y103" s="118"/>
      <c r="Z103" s="115"/>
    </row>
    <row r="104" spans="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0.54900000000000004</v>
      </c>
      <c r="Q104" s="144" t="s">
        <v>29</v>
      </c>
      <c r="R104" s="118">
        <f t="shared" ca="1" si="16"/>
        <v>295138</v>
      </c>
      <c r="S104" s="118">
        <f t="shared" ca="1" si="16"/>
        <v>162030</v>
      </c>
      <c r="T104" s="118">
        <f ca="1">중급</f>
        <v>295138</v>
      </c>
      <c r="U104" s="118">
        <f t="shared" ca="1" si="17"/>
        <v>162030</v>
      </c>
      <c r="V104" s="118"/>
      <c r="W104" s="118"/>
      <c r="X104" s="118"/>
      <c r="Y104" s="118"/>
      <c r="Z104" s="115"/>
    </row>
    <row r="105" spans="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0.58499999999999996</v>
      </c>
      <c r="Q105" s="144" t="s">
        <v>29</v>
      </c>
      <c r="R105" s="118">
        <f t="shared" ca="1" si="16"/>
        <v>235459</v>
      </c>
      <c r="S105" s="118">
        <f t="shared" ca="1" si="16"/>
        <v>137743</v>
      </c>
      <c r="T105" s="118">
        <f ca="1">초급</f>
        <v>235459</v>
      </c>
      <c r="U105" s="118">
        <f t="shared" ca="1" si="17"/>
        <v>137743</v>
      </c>
      <c r="V105" s="118"/>
      <c r="W105" s="118"/>
      <c r="X105" s="118"/>
      <c r="Y105" s="118"/>
      <c r="Z105" s="115"/>
    </row>
    <row r="106" spans="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0.26800000000000002</v>
      </c>
      <c r="Q106" s="322" t="s">
        <v>29</v>
      </c>
      <c r="R106" s="323">
        <f t="shared" ca="1" si="16"/>
        <v>250087</v>
      </c>
      <c r="S106" s="323">
        <f t="shared" ca="1" si="16"/>
        <v>67023</v>
      </c>
      <c r="T106" s="323">
        <f ca="1">보조원</f>
        <v>250087</v>
      </c>
      <c r="U106" s="323">
        <f t="shared" ca="1" si="17"/>
        <v>67023</v>
      </c>
      <c r="V106" s="323"/>
      <c r="W106" s="323"/>
      <c r="X106" s="323"/>
      <c r="Y106" s="323"/>
      <c r="Z106" s="324"/>
    </row>
    <row r="107" spans="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582262</v>
      </c>
      <c r="T107" s="71"/>
      <c r="U107" s="71">
        <f ca="1">SUBTOTAL(9,U101:U106)</f>
        <v>582262</v>
      </c>
      <c r="V107" s="71"/>
      <c r="W107" s="71"/>
      <c r="X107" s="71"/>
      <c r="Y107" s="71"/>
      <c r="Z107" s="68"/>
    </row>
    <row r="108" spans="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5 호표  1.5. 기타 필요한 사항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5</v>
      </c>
    </row>
    <row r="109" spans="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8.5000000000000006E-2</v>
      </c>
      <c r="Q109" s="141" t="s">
        <v>29</v>
      </c>
      <c r="R109" s="142">
        <f t="shared" ref="R109:S114" ca="1" si="18">T109</f>
        <v>467217</v>
      </c>
      <c r="S109" s="142">
        <f t="shared" ca="1" si="18"/>
        <v>39713</v>
      </c>
      <c r="T109" s="142">
        <f ca="1">기술사</f>
        <v>467217</v>
      </c>
      <c r="U109" s="142">
        <f t="shared" ref="U109:U114" ca="1" si="19">ROUNDDOWN(P109*R109,0)</f>
        <v>39713</v>
      </c>
      <c r="V109" s="142"/>
      <c r="W109" s="142"/>
      <c r="X109" s="142"/>
      <c r="Y109" s="142"/>
      <c r="Z109" s="114"/>
    </row>
    <row r="110" spans="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0.14599999999999999</v>
      </c>
      <c r="Q110" s="144" t="s">
        <v>29</v>
      </c>
      <c r="R110" s="118">
        <f t="shared" ca="1" si="18"/>
        <v>373353</v>
      </c>
      <c r="S110" s="118">
        <f t="shared" ca="1" si="18"/>
        <v>54509</v>
      </c>
      <c r="T110" s="118">
        <f ca="1">특급</f>
        <v>373353</v>
      </c>
      <c r="U110" s="118">
        <f t="shared" ca="1" si="19"/>
        <v>54509</v>
      </c>
      <c r="V110" s="118"/>
      <c r="W110" s="118"/>
      <c r="X110" s="118"/>
      <c r="Y110" s="118"/>
      <c r="Z110" s="115"/>
    </row>
    <row r="111" spans="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0.39</v>
      </c>
      <c r="Q111" s="144" t="s">
        <v>29</v>
      </c>
      <c r="R111" s="118">
        <f t="shared" ca="1" si="18"/>
        <v>310884</v>
      </c>
      <c r="S111" s="118">
        <f t="shared" ca="1" si="18"/>
        <v>121244</v>
      </c>
      <c r="T111" s="118">
        <f ca="1">고급</f>
        <v>310884</v>
      </c>
      <c r="U111" s="118">
        <f t="shared" ca="1" si="19"/>
        <v>121244</v>
      </c>
      <c r="V111" s="118"/>
      <c r="W111" s="118"/>
      <c r="X111" s="118"/>
      <c r="Y111" s="118"/>
      <c r="Z111" s="115"/>
    </row>
    <row r="112" spans="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0.54900000000000004</v>
      </c>
      <c r="Q112" s="144" t="s">
        <v>29</v>
      </c>
      <c r="R112" s="118">
        <f t="shared" ca="1" si="18"/>
        <v>295138</v>
      </c>
      <c r="S112" s="118">
        <f t="shared" ca="1" si="18"/>
        <v>162030</v>
      </c>
      <c r="T112" s="118">
        <f ca="1">중급</f>
        <v>295138</v>
      </c>
      <c r="U112" s="118">
        <f t="shared" ca="1" si="19"/>
        <v>162030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0.58499999999999996</v>
      </c>
      <c r="Q113" s="144" t="s">
        <v>29</v>
      </c>
      <c r="R113" s="118">
        <f t="shared" ca="1" si="18"/>
        <v>235459</v>
      </c>
      <c r="S113" s="118">
        <f t="shared" ca="1" si="18"/>
        <v>137743</v>
      </c>
      <c r="T113" s="118">
        <f ca="1">초급</f>
        <v>235459</v>
      </c>
      <c r="U113" s="118">
        <f t="shared" ca="1" si="19"/>
        <v>137743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0.26800000000000002</v>
      </c>
      <c r="Q114" s="322" t="s">
        <v>29</v>
      </c>
      <c r="R114" s="323">
        <f t="shared" ca="1" si="18"/>
        <v>250087</v>
      </c>
      <c r="S114" s="323">
        <f t="shared" ca="1" si="18"/>
        <v>67023</v>
      </c>
      <c r="T114" s="323">
        <f ca="1">보조원</f>
        <v>250087</v>
      </c>
      <c r="U114" s="323">
        <f t="shared" ca="1" si="19"/>
        <v>67023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582262</v>
      </c>
      <c r="T115" s="71"/>
      <c r="U115" s="71">
        <f ca="1">SUBTOTAL(9,U109:U114)</f>
        <v>582262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6 호표  2.1. 계획의 목표 및 범위·방안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6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0.122</v>
      </c>
      <c r="Q117" s="141" t="s">
        <v>29</v>
      </c>
      <c r="R117" s="142">
        <f t="shared" ref="R117:S122" ca="1" si="20">T117</f>
        <v>467217</v>
      </c>
      <c r="S117" s="142">
        <f t="shared" ca="1" si="20"/>
        <v>57000</v>
      </c>
      <c r="T117" s="142">
        <f ca="1">기술사</f>
        <v>467217</v>
      </c>
      <c r="U117" s="142">
        <f t="shared" ref="U117:U122" ca="1" si="21">ROUNDDOWN(P117*R117,0)</f>
        <v>57000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0.19500000000000001</v>
      </c>
      <c r="Q118" s="144" t="s">
        <v>29</v>
      </c>
      <c r="R118" s="118">
        <f t="shared" ca="1" si="20"/>
        <v>373353</v>
      </c>
      <c r="S118" s="118">
        <f t="shared" ca="1" si="20"/>
        <v>72803</v>
      </c>
      <c r="T118" s="118">
        <f ca="1">특급</f>
        <v>373353</v>
      </c>
      <c r="U118" s="118">
        <f t="shared" ca="1" si="21"/>
        <v>72803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0.40200000000000002</v>
      </c>
      <c r="Q119" s="144" t="s">
        <v>29</v>
      </c>
      <c r="R119" s="118">
        <f t="shared" ca="1" si="20"/>
        <v>310884</v>
      </c>
      <c r="S119" s="118">
        <f t="shared" ca="1" si="20"/>
        <v>124975</v>
      </c>
      <c r="T119" s="118">
        <f ca="1">고급</f>
        <v>310884</v>
      </c>
      <c r="U119" s="118">
        <f t="shared" ca="1" si="21"/>
        <v>124975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0.67100000000000004</v>
      </c>
      <c r="Q120" s="144" t="s">
        <v>29</v>
      </c>
      <c r="R120" s="118">
        <f t="shared" ca="1" si="20"/>
        <v>295138</v>
      </c>
      <c r="S120" s="118">
        <f t="shared" ca="1" si="20"/>
        <v>198037</v>
      </c>
      <c r="T120" s="118">
        <f ca="1">중급</f>
        <v>295138</v>
      </c>
      <c r="U120" s="118">
        <f t="shared" ca="1" si="21"/>
        <v>198037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1.012</v>
      </c>
      <c r="Q121" s="144" t="s">
        <v>29</v>
      </c>
      <c r="R121" s="118">
        <f t="shared" ca="1" si="20"/>
        <v>235459</v>
      </c>
      <c r="S121" s="118">
        <f t="shared" ca="1" si="20"/>
        <v>238284</v>
      </c>
      <c r="T121" s="118">
        <f ca="1">초급</f>
        <v>235459</v>
      </c>
      <c r="U121" s="118">
        <f t="shared" ca="1" si="21"/>
        <v>238284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0.317</v>
      </c>
      <c r="Q122" s="322" t="s">
        <v>29</v>
      </c>
      <c r="R122" s="323">
        <f t="shared" ca="1" si="20"/>
        <v>250087</v>
      </c>
      <c r="S122" s="323">
        <f t="shared" ca="1" si="20"/>
        <v>79277</v>
      </c>
      <c r="T122" s="323">
        <f ca="1">보조원</f>
        <v>250087</v>
      </c>
      <c r="U122" s="323">
        <f t="shared" ca="1" si="21"/>
        <v>79277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770376</v>
      </c>
      <c r="T123" s="71"/>
      <c r="U123" s="71">
        <f ca="1">SUBTOTAL(9,U117:U122)</f>
        <v>770376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7 호표  2.2. 쇠퇴진단 및 여건분석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7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0.122</v>
      </c>
      <c r="Q125" s="141" t="s">
        <v>29</v>
      </c>
      <c r="R125" s="142">
        <f t="shared" ref="R125:S130" ca="1" si="22">T125</f>
        <v>467217</v>
      </c>
      <c r="S125" s="142">
        <f t="shared" ca="1" si="22"/>
        <v>57000</v>
      </c>
      <c r="T125" s="142">
        <f ca="1">기술사</f>
        <v>467217</v>
      </c>
      <c r="U125" s="142">
        <f t="shared" ref="U125:U130" ca="1" si="23">ROUNDDOWN(P125*R125,0)</f>
        <v>57000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0.19500000000000001</v>
      </c>
      <c r="Q126" s="144" t="s">
        <v>29</v>
      </c>
      <c r="R126" s="118">
        <f t="shared" ca="1" si="22"/>
        <v>373353</v>
      </c>
      <c r="S126" s="118">
        <f t="shared" ca="1" si="22"/>
        <v>72803</v>
      </c>
      <c r="T126" s="118">
        <f ca="1">특급</f>
        <v>373353</v>
      </c>
      <c r="U126" s="118">
        <f t="shared" ca="1" si="23"/>
        <v>72803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0.48799999999999999</v>
      </c>
      <c r="Q127" s="144" t="s">
        <v>29</v>
      </c>
      <c r="R127" s="118">
        <f t="shared" ca="1" si="22"/>
        <v>310884</v>
      </c>
      <c r="S127" s="118">
        <f t="shared" ca="1" si="22"/>
        <v>151711</v>
      </c>
      <c r="T127" s="118">
        <f ca="1">고급</f>
        <v>310884</v>
      </c>
      <c r="U127" s="118">
        <f t="shared" ca="1" si="23"/>
        <v>151711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0.86599999999999999</v>
      </c>
      <c r="Q128" s="144" t="s">
        <v>29</v>
      </c>
      <c r="R128" s="118">
        <f t="shared" ca="1" si="22"/>
        <v>295138</v>
      </c>
      <c r="S128" s="118">
        <f t="shared" ca="1" si="22"/>
        <v>255589</v>
      </c>
      <c r="T128" s="118">
        <f ca="1">중급</f>
        <v>295138</v>
      </c>
      <c r="U128" s="118">
        <f t="shared" ca="1" si="23"/>
        <v>255589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0.91500000000000004</v>
      </c>
      <c r="Q129" s="144" t="s">
        <v>29</v>
      </c>
      <c r="R129" s="118">
        <f t="shared" ca="1" si="22"/>
        <v>235459</v>
      </c>
      <c r="S129" s="118">
        <f t="shared" ca="1" si="22"/>
        <v>215444</v>
      </c>
      <c r="T129" s="118">
        <f ca="1">초급</f>
        <v>235459</v>
      </c>
      <c r="U129" s="118">
        <f t="shared" ca="1" si="23"/>
        <v>215444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0.63400000000000001</v>
      </c>
      <c r="Q130" s="322" t="s">
        <v>29</v>
      </c>
      <c r="R130" s="323">
        <f t="shared" ca="1" si="22"/>
        <v>250087</v>
      </c>
      <c r="S130" s="323">
        <f t="shared" ca="1" si="22"/>
        <v>158555</v>
      </c>
      <c r="T130" s="323">
        <f ca="1">보조원</f>
        <v>250087</v>
      </c>
      <c r="U130" s="323">
        <f t="shared" ca="1" si="23"/>
        <v>158555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911102</v>
      </c>
      <c r="T131" s="71"/>
      <c r="U131" s="71">
        <f ca="1">SUBTOTAL(9,U125:U130)</f>
        <v>911102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  <c r="N132" s="318" t="str">
        <f ca="1">"제 " &amp; Z132 &amp; " 호표  "&amp; OFFSET($A$1,MATCH(Z132,$A:$A,0)-1,1)</f>
        <v>제 8 호표  2.3. 종합적관리 및 활성화방안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8</v>
      </c>
    </row>
    <row r="133" spans="11:26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8.5000000000000006E-2</v>
      </c>
      <c r="Q133" s="141" t="s">
        <v>29</v>
      </c>
      <c r="R133" s="142">
        <f t="shared" ref="R133:S138" ca="1" si="24">T133</f>
        <v>467217</v>
      </c>
      <c r="S133" s="142">
        <f t="shared" ca="1" si="24"/>
        <v>39713</v>
      </c>
      <c r="T133" s="142">
        <f ca="1">기술사</f>
        <v>467217</v>
      </c>
      <c r="U133" s="142">
        <f t="shared" ref="U133:U138" ca="1" si="25">ROUNDDOWN(P133*R133,0)</f>
        <v>39713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0.14599999999999999</v>
      </c>
      <c r="Q134" s="144" t="s">
        <v>29</v>
      </c>
      <c r="R134" s="118">
        <f t="shared" ca="1" si="24"/>
        <v>373353</v>
      </c>
      <c r="S134" s="118">
        <f t="shared" ca="1" si="24"/>
        <v>54509</v>
      </c>
      <c r="T134" s="118">
        <f ca="1">특급</f>
        <v>373353</v>
      </c>
      <c r="U134" s="118">
        <f t="shared" ca="1" si="25"/>
        <v>54509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0.26800000000000002</v>
      </c>
      <c r="Q135" s="144" t="s">
        <v>29</v>
      </c>
      <c r="R135" s="118">
        <f t="shared" ca="1" si="24"/>
        <v>310884</v>
      </c>
      <c r="S135" s="118">
        <f t="shared" ca="1" si="24"/>
        <v>83316</v>
      </c>
      <c r="T135" s="118">
        <f ca="1">고급</f>
        <v>310884</v>
      </c>
      <c r="U135" s="118">
        <f t="shared" ca="1" si="25"/>
        <v>83316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0.46300000000000002</v>
      </c>
      <c r="Q136" s="144" t="s">
        <v>29</v>
      </c>
      <c r="R136" s="118">
        <f t="shared" ca="1" si="24"/>
        <v>295138</v>
      </c>
      <c r="S136" s="118">
        <f t="shared" ca="1" si="24"/>
        <v>136648</v>
      </c>
      <c r="T136" s="118">
        <f ca="1">중급</f>
        <v>295138</v>
      </c>
      <c r="U136" s="118">
        <f t="shared" ca="1" si="25"/>
        <v>136648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0.67100000000000004</v>
      </c>
      <c r="Q137" s="144" t="s">
        <v>29</v>
      </c>
      <c r="R137" s="118">
        <f t="shared" ca="1" si="24"/>
        <v>235459</v>
      </c>
      <c r="S137" s="118">
        <f t="shared" ca="1" si="24"/>
        <v>157992</v>
      </c>
      <c r="T137" s="118">
        <f ca="1">초급</f>
        <v>235459</v>
      </c>
      <c r="U137" s="118">
        <f t="shared" ca="1" si="25"/>
        <v>157992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0.317</v>
      </c>
      <c r="Q138" s="322" t="s">
        <v>29</v>
      </c>
      <c r="R138" s="323">
        <f t="shared" ca="1" si="24"/>
        <v>250087</v>
      </c>
      <c r="S138" s="323">
        <f t="shared" ca="1" si="24"/>
        <v>79277</v>
      </c>
      <c r="T138" s="323">
        <f ca="1">보조원</f>
        <v>250087</v>
      </c>
      <c r="U138" s="323">
        <f t="shared" ca="1" si="25"/>
        <v>79277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551455</v>
      </c>
      <c r="T139" s="71"/>
      <c r="U139" s="71">
        <f ca="1">SUBTOTAL(9,U133:U138)</f>
        <v>551455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OFFSET($A$1,MATCH(Z140,$A:$A,0)-1,1)</f>
        <v>제 9 호표  2.4. 공업지역 유형별 관리방향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9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9.7000000000000003E-2</v>
      </c>
      <c r="Q141" s="141" t="s">
        <v>29</v>
      </c>
      <c r="R141" s="142">
        <f t="shared" ref="R141:S146" ca="1" si="26">T141</f>
        <v>467217</v>
      </c>
      <c r="S141" s="142">
        <f t="shared" ca="1" si="26"/>
        <v>45320</v>
      </c>
      <c r="T141" s="142">
        <f ca="1">기술사</f>
        <v>467217</v>
      </c>
      <c r="U141" s="142">
        <f t="shared" ref="U141:U146" ca="1" si="27">ROUNDDOWN(P141*R141,0)</f>
        <v>45320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0.17</v>
      </c>
      <c r="Q142" s="144" t="s">
        <v>29</v>
      </c>
      <c r="R142" s="118">
        <f t="shared" ca="1" si="26"/>
        <v>373353</v>
      </c>
      <c r="S142" s="118">
        <f t="shared" ca="1" si="26"/>
        <v>63470</v>
      </c>
      <c r="T142" s="118">
        <f ca="1">특급</f>
        <v>373353</v>
      </c>
      <c r="U142" s="118">
        <f t="shared" ca="1" si="27"/>
        <v>63470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0.34100000000000003</v>
      </c>
      <c r="Q143" s="144" t="s">
        <v>29</v>
      </c>
      <c r="R143" s="118">
        <f t="shared" ca="1" si="26"/>
        <v>310884</v>
      </c>
      <c r="S143" s="118">
        <f t="shared" ca="1" si="26"/>
        <v>106011</v>
      </c>
      <c r="T143" s="118">
        <f ca="1">고급</f>
        <v>310884</v>
      </c>
      <c r="U143" s="118">
        <f t="shared" ca="1" si="27"/>
        <v>106011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0.56100000000000005</v>
      </c>
      <c r="Q144" s="144" t="s">
        <v>29</v>
      </c>
      <c r="R144" s="118">
        <f t="shared" ca="1" si="26"/>
        <v>295138</v>
      </c>
      <c r="S144" s="118">
        <f t="shared" ca="1" si="26"/>
        <v>165572</v>
      </c>
      <c r="T144" s="118">
        <f ca="1">중급</f>
        <v>295138</v>
      </c>
      <c r="U144" s="118">
        <f t="shared" ca="1" si="27"/>
        <v>165572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0.82899999999999996</v>
      </c>
      <c r="Q145" s="144" t="s">
        <v>29</v>
      </c>
      <c r="R145" s="118">
        <f t="shared" ca="1" si="26"/>
        <v>235459</v>
      </c>
      <c r="S145" s="118">
        <f t="shared" ca="1" si="26"/>
        <v>195195</v>
      </c>
      <c r="T145" s="118">
        <f ca="1">초급</f>
        <v>235459</v>
      </c>
      <c r="U145" s="118">
        <f t="shared" ca="1" si="27"/>
        <v>195195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0.40200000000000002</v>
      </c>
      <c r="Q146" s="322" t="s">
        <v>29</v>
      </c>
      <c r="R146" s="323">
        <f t="shared" ca="1" si="26"/>
        <v>250087</v>
      </c>
      <c r="S146" s="323">
        <f t="shared" ca="1" si="26"/>
        <v>100534</v>
      </c>
      <c r="T146" s="323">
        <f ca="1">보조원</f>
        <v>250087</v>
      </c>
      <c r="U146" s="323">
        <f t="shared" ca="1" si="27"/>
        <v>100534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676102</v>
      </c>
      <c r="T147" s="71"/>
      <c r="U147" s="71">
        <f ca="1">SUBTOTAL(9,U141:U146)</f>
        <v>676102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N148" s="318" t="str">
        <f ca="1">"제 " &amp; Z148 &amp; " 호표  "&amp; OFFSET($A$1,MATCH(Z148,$A:$A,0)-1,1)</f>
        <v>제 10 호표  2.5. 공업정비구역 설정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10</v>
      </c>
    </row>
    <row r="149" spans="11:26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8.5000000000000006E-2</v>
      </c>
      <c r="Q149" s="141" t="s">
        <v>29</v>
      </c>
      <c r="R149" s="142">
        <f t="shared" ref="R149:S154" ca="1" si="28">T149</f>
        <v>467217</v>
      </c>
      <c r="S149" s="142">
        <f t="shared" ca="1" si="28"/>
        <v>39713</v>
      </c>
      <c r="T149" s="142">
        <f ca="1">기술사</f>
        <v>467217</v>
      </c>
      <c r="U149" s="142">
        <f t="shared" ref="U149:U154" ca="1" si="29">ROUNDDOWN(P149*R149,0)</f>
        <v>39713</v>
      </c>
      <c r="V149" s="142"/>
      <c r="W149" s="142"/>
      <c r="X149" s="142"/>
      <c r="Y149" s="142"/>
      <c r="Z149" s="114"/>
    </row>
    <row r="150" spans="11:26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0.14599999999999999</v>
      </c>
      <c r="Q150" s="144" t="s">
        <v>29</v>
      </c>
      <c r="R150" s="118">
        <f t="shared" ca="1" si="28"/>
        <v>373353</v>
      </c>
      <c r="S150" s="118">
        <f t="shared" ca="1" si="28"/>
        <v>54509</v>
      </c>
      <c r="T150" s="118">
        <f ca="1">특급</f>
        <v>373353</v>
      </c>
      <c r="U150" s="118">
        <f t="shared" ca="1" si="29"/>
        <v>54509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0.26800000000000002</v>
      </c>
      <c r="Q151" s="144" t="s">
        <v>29</v>
      </c>
      <c r="R151" s="118">
        <f t="shared" ca="1" si="28"/>
        <v>310884</v>
      </c>
      <c r="S151" s="118">
        <f t="shared" ca="1" si="28"/>
        <v>83316</v>
      </c>
      <c r="T151" s="118">
        <f ca="1">고급</f>
        <v>310884</v>
      </c>
      <c r="U151" s="118">
        <f t="shared" ca="1" si="29"/>
        <v>83316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0.46300000000000002</v>
      </c>
      <c r="Q152" s="144" t="s">
        <v>29</v>
      </c>
      <c r="R152" s="118">
        <f t="shared" ca="1" si="28"/>
        <v>295138</v>
      </c>
      <c r="S152" s="118">
        <f t="shared" ca="1" si="28"/>
        <v>136648</v>
      </c>
      <c r="T152" s="118">
        <f ca="1">중급</f>
        <v>295138</v>
      </c>
      <c r="U152" s="118">
        <f t="shared" ca="1" si="29"/>
        <v>136648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0.67100000000000004</v>
      </c>
      <c r="Q153" s="144" t="s">
        <v>29</v>
      </c>
      <c r="R153" s="118">
        <f t="shared" ca="1" si="28"/>
        <v>235459</v>
      </c>
      <c r="S153" s="118">
        <f t="shared" ca="1" si="28"/>
        <v>157992</v>
      </c>
      <c r="T153" s="118">
        <f ca="1">초급</f>
        <v>235459</v>
      </c>
      <c r="U153" s="118">
        <f t="shared" ca="1" si="29"/>
        <v>157992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0.317</v>
      </c>
      <c r="Q154" s="322" t="s">
        <v>29</v>
      </c>
      <c r="R154" s="323">
        <f t="shared" ca="1" si="28"/>
        <v>250087</v>
      </c>
      <c r="S154" s="323">
        <f t="shared" ca="1" si="28"/>
        <v>79277</v>
      </c>
      <c r="T154" s="323">
        <f ca="1">보조원</f>
        <v>250087</v>
      </c>
      <c r="U154" s="323">
        <f t="shared" ca="1" si="29"/>
        <v>79277</v>
      </c>
      <c r="V154" s="323"/>
      <c r="W154" s="323"/>
      <c r="X154" s="323"/>
      <c r="Y154" s="323"/>
      <c r="Z154" s="324"/>
    </row>
    <row r="155" spans="11:26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551455</v>
      </c>
      <c r="T155" s="71"/>
      <c r="U155" s="71">
        <f ca="1">SUBTOTAL(9,U149:U154)</f>
        <v>551455</v>
      </c>
      <c r="V155" s="71"/>
      <c r="W155" s="71"/>
      <c r="X155" s="71"/>
      <c r="Y155" s="71"/>
      <c r="Z155" s="68"/>
    </row>
    <row r="156" spans="11:26" ht="18" customHeight="1">
      <c r="K156" s="171" t="s">
        <v>14</v>
      </c>
      <c r="L156" s="171"/>
      <c r="M156" s="171"/>
      <c r="N156" s="318" t="str">
        <f ca="1">"제 " &amp; Z156 &amp; " 호표  "&amp; OFFSET($A$1,MATCH(Z156,$A:$A,0)-1,1)</f>
        <v>제 11 호표  2.6. 건축물 권장용도 및 밀도계획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11</v>
      </c>
    </row>
    <row r="157" spans="11:26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0.158</v>
      </c>
      <c r="Q157" s="141" t="s">
        <v>29</v>
      </c>
      <c r="R157" s="142">
        <f t="shared" ref="R157:S162" ca="1" si="30">T157</f>
        <v>467217</v>
      </c>
      <c r="S157" s="142">
        <f t="shared" ca="1" si="30"/>
        <v>73820</v>
      </c>
      <c r="T157" s="142">
        <f ca="1">기술사</f>
        <v>467217</v>
      </c>
      <c r="U157" s="142">
        <f t="shared" ref="U157:U162" ca="1" si="31">ROUNDDOWN(P157*R157,0)</f>
        <v>73820</v>
      </c>
      <c r="V157" s="142"/>
      <c r="W157" s="142"/>
      <c r="X157" s="142"/>
      <c r="Y157" s="142"/>
      <c r="Z157" s="114"/>
    </row>
    <row r="158" spans="11:26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0.219</v>
      </c>
      <c r="Q158" s="144" t="s">
        <v>29</v>
      </c>
      <c r="R158" s="118">
        <f t="shared" ca="1" si="30"/>
        <v>373353</v>
      </c>
      <c r="S158" s="118">
        <f t="shared" ca="1" si="30"/>
        <v>81764</v>
      </c>
      <c r="T158" s="118">
        <f ca="1">특급</f>
        <v>373353</v>
      </c>
      <c r="U158" s="118">
        <f t="shared" ca="1" si="31"/>
        <v>81764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0.48799999999999999</v>
      </c>
      <c r="Q159" s="144" t="s">
        <v>29</v>
      </c>
      <c r="R159" s="118">
        <f t="shared" ca="1" si="30"/>
        <v>310884</v>
      </c>
      <c r="S159" s="118">
        <f t="shared" ca="1" si="30"/>
        <v>151711</v>
      </c>
      <c r="T159" s="118">
        <f ca="1">고급</f>
        <v>310884</v>
      </c>
      <c r="U159" s="118">
        <f t="shared" ca="1" si="31"/>
        <v>151711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0.622</v>
      </c>
      <c r="Q160" s="144" t="s">
        <v>29</v>
      </c>
      <c r="R160" s="118">
        <f t="shared" ca="1" si="30"/>
        <v>295138</v>
      </c>
      <c r="S160" s="118">
        <f t="shared" ca="1" si="30"/>
        <v>183575</v>
      </c>
      <c r="T160" s="118">
        <f ca="1">중급</f>
        <v>295138</v>
      </c>
      <c r="U160" s="118">
        <f t="shared" ca="1" si="31"/>
        <v>183575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1.3049999999999999</v>
      </c>
      <c r="Q161" s="144" t="s">
        <v>29</v>
      </c>
      <c r="R161" s="118">
        <f t="shared" ca="1" si="30"/>
        <v>235459</v>
      </c>
      <c r="S161" s="118">
        <f t="shared" ca="1" si="30"/>
        <v>307273</v>
      </c>
      <c r="T161" s="118">
        <f ca="1">초급</f>
        <v>235459</v>
      </c>
      <c r="U161" s="118">
        <f t="shared" ca="1" si="31"/>
        <v>307273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0.71899999999999997</v>
      </c>
      <c r="Q162" s="322" t="s">
        <v>29</v>
      </c>
      <c r="R162" s="323">
        <f t="shared" ca="1" si="30"/>
        <v>250087</v>
      </c>
      <c r="S162" s="323">
        <f t="shared" ca="1" si="30"/>
        <v>179812</v>
      </c>
      <c r="T162" s="323">
        <f ca="1">보조원</f>
        <v>250087</v>
      </c>
      <c r="U162" s="323">
        <f t="shared" ca="1" si="31"/>
        <v>179812</v>
      </c>
      <c r="V162" s="323"/>
      <c r="W162" s="323"/>
      <c r="X162" s="323"/>
      <c r="Y162" s="323"/>
      <c r="Z162" s="324"/>
    </row>
    <row r="163" spans="11:26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977955</v>
      </c>
      <c r="T163" s="71"/>
      <c r="U163" s="71">
        <f ca="1">SUBTOTAL(9,U157:U162)</f>
        <v>977955</v>
      </c>
      <c r="V163" s="71"/>
      <c r="W163" s="71"/>
      <c r="X163" s="71"/>
      <c r="Y163" s="71"/>
      <c r="Z163" s="68"/>
    </row>
    <row r="164" spans="11:26" ht="18" customHeight="1">
      <c r="K164" s="171" t="s">
        <v>14</v>
      </c>
      <c r="L164" s="171"/>
      <c r="M164" s="171"/>
      <c r="N164" s="318" t="str">
        <f ca="1">"제 " &amp; Z164 &amp; " 호표  "&amp; OFFSET($A$1,MATCH(Z164,$A:$A,0)-1,1)</f>
        <v>제 12 호표  2.7. 지원기반시설계획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12</v>
      </c>
    </row>
    <row r="165" spans="11:26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0.219</v>
      </c>
      <c r="Q165" s="141" t="s">
        <v>29</v>
      </c>
      <c r="R165" s="142">
        <f t="shared" ref="R165:S170" ca="1" si="32">T165</f>
        <v>467217</v>
      </c>
      <c r="S165" s="142">
        <f t="shared" ca="1" si="32"/>
        <v>102320</v>
      </c>
      <c r="T165" s="142">
        <f ca="1">기술사</f>
        <v>467217</v>
      </c>
      <c r="U165" s="142">
        <f t="shared" ref="U165:U170" ca="1" si="33">ROUNDDOWN(P165*R165,0)</f>
        <v>102320</v>
      </c>
      <c r="V165" s="142"/>
      <c r="W165" s="142"/>
      <c r="X165" s="142"/>
      <c r="Y165" s="142"/>
      <c r="Z165" s="114"/>
    </row>
    <row r="166" spans="11:26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0.34100000000000003</v>
      </c>
      <c r="Q166" s="144" t="s">
        <v>29</v>
      </c>
      <c r="R166" s="118">
        <f t="shared" ca="1" si="32"/>
        <v>373353</v>
      </c>
      <c r="S166" s="118">
        <f t="shared" ca="1" si="32"/>
        <v>127313</v>
      </c>
      <c r="T166" s="118">
        <f ca="1">특급</f>
        <v>373353</v>
      </c>
      <c r="U166" s="118">
        <f t="shared" ca="1" si="33"/>
        <v>127313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0.91500000000000004</v>
      </c>
      <c r="Q167" s="144" t="s">
        <v>29</v>
      </c>
      <c r="R167" s="118">
        <f t="shared" ca="1" si="32"/>
        <v>310884</v>
      </c>
      <c r="S167" s="118">
        <f t="shared" ca="1" si="32"/>
        <v>284458</v>
      </c>
      <c r="T167" s="118">
        <f ca="1">고급</f>
        <v>310884</v>
      </c>
      <c r="U167" s="118">
        <f t="shared" ca="1" si="33"/>
        <v>284458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1.8779999999999999</v>
      </c>
      <c r="Q168" s="144" t="s">
        <v>29</v>
      </c>
      <c r="R168" s="118">
        <f t="shared" ca="1" si="32"/>
        <v>295138</v>
      </c>
      <c r="S168" s="118">
        <f t="shared" ca="1" si="32"/>
        <v>554269</v>
      </c>
      <c r="T168" s="118">
        <f ca="1">중급</f>
        <v>295138</v>
      </c>
      <c r="U168" s="118">
        <f t="shared" ca="1" si="33"/>
        <v>554269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2</v>
      </c>
      <c r="Q169" s="144" t="s">
        <v>29</v>
      </c>
      <c r="R169" s="118">
        <f t="shared" ca="1" si="32"/>
        <v>235459</v>
      </c>
      <c r="S169" s="118">
        <f t="shared" ca="1" si="32"/>
        <v>470918</v>
      </c>
      <c r="T169" s="118">
        <f ca="1">초급</f>
        <v>235459</v>
      </c>
      <c r="U169" s="118">
        <f t="shared" ca="1" si="33"/>
        <v>470918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0.97599999999999998</v>
      </c>
      <c r="Q170" s="322" t="s">
        <v>29</v>
      </c>
      <c r="R170" s="323">
        <f t="shared" ca="1" si="32"/>
        <v>250087</v>
      </c>
      <c r="S170" s="323">
        <f t="shared" ca="1" si="32"/>
        <v>244084</v>
      </c>
      <c r="T170" s="323">
        <f ca="1">보조원</f>
        <v>250087</v>
      </c>
      <c r="U170" s="323">
        <f t="shared" ca="1" si="33"/>
        <v>244084</v>
      </c>
      <c r="V170" s="323"/>
      <c r="W170" s="323"/>
      <c r="X170" s="323"/>
      <c r="Y170" s="323"/>
      <c r="Z170" s="324"/>
    </row>
    <row r="171" spans="11:26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1783362</v>
      </c>
      <c r="T171" s="71"/>
      <c r="U171" s="71">
        <f ca="1">SUBTOTAL(9,U165:U170)</f>
        <v>1783362</v>
      </c>
      <c r="V171" s="71"/>
      <c r="W171" s="71"/>
      <c r="X171" s="71"/>
      <c r="Y171" s="71"/>
      <c r="Z171" s="68"/>
    </row>
    <row r="172" spans="11:26" ht="18" customHeight="1">
      <c r="K172" s="171" t="s">
        <v>14</v>
      </c>
      <c r="L172" s="171"/>
      <c r="M172" s="171"/>
      <c r="N172" s="318" t="str">
        <f ca="1">"제 " &amp; Z172 &amp; " 호표  "&amp; OFFSET($A$1,MATCH(Z172,$A:$A,0)-1,1)</f>
        <v>제 13 호표  2.8. 환경관리방안</v>
      </c>
      <c r="O172" s="221"/>
      <c r="P172" s="148"/>
      <c r="Q172" s="148"/>
      <c r="R172" s="149"/>
      <c r="S172" s="149"/>
      <c r="T172" s="149"/>
      <c r="U172" s="149"/>
      <c r="V172" s="149"/>
      <c r="W172" s="149"/>
      <c r="X172" s="149"/>
      <c r="Y172" s="149"/>
      <c r="Z172" s="325">
        <f>Z164+1</f>
        <v>13</v>
      </c>
    </row>
    <row r="173" spans="11:26" ht="18" customHeight="1">
      <c r="K173" s="171" t="s">
        <v>14</v>
      </c>
      <c r="L173" s="171"/>
      <c r="M173" s="171"/>
      <c r="N173" s="140" t="s">
        <v>43</v>
      </c>
      <c r="O173" s="172">
        <v>3</v>
      </c>
      <c r="P173" s="219">
        <f ca="1">OFFSET($A$1,MATCH(Z172,$A:$A,0)-1,O173)</f>
        <v>0.122</v>
      </c>
      <c r="Q173" s="141" t="s">
        <v>29</v>
      </c>
      <c r="R173" s="142">
        <f t="shared" ref="R173:S178" ca="1" si="34">T173</f>
        <v>467217</v>
      </c>
      <c r="S173" s="142">
        <f t="shared" ca="1" si="34"/>
        <v>57000</v>
      </c>
      <c r="T173" s="142">
        <f ca="1">기술사</f>
        <v>467217</v>
      </c>
      <c r="U173" s="142">
        <f t="shared" ref="U173:U178" ca="1" si="35">ROUNDDOWN(P173*R173,0)</f>
        <v>57000</v>
      </c>
      <c r="V173" s="142"/>
      <c r="W173" s="142"/>
      <c r="X173" s="142"/>
      <c r="Y173" s="142"/>
      <c r="Z173" s="114"/>
    </row>
    <row r="174" spans="11:26" ht="18" customHeight="1">
      <c r="K174" s="171" t="s">
        <v>14</v>
      </c>
      <c r="L174" s="171"/>
      <c r="M174" s="171"/>
      <c r="N174" s="143" t="s">
        <v>32</v>
      </c>
      <c r="O174" s="173">
        <v>4</v>
      </c>
      <c r="P174" s="234">
        <f ca="1">OFFSET($A$1,MATCH(Z172,$A:$A,0)-1,O174)</f>
        <v>0.19500000000000001</v>
      </c>
      <c r="Q174" s="144" t="s">
        <v>29</v>
      </c>
      <c r="R174" s="118">
        <f t="shared" ca="1" si="34"/>
        <v>373353</v>
      </c>
      <c r="S174" s="118">
        <f t="shared" ca="1" si="34"/>
        <v>72803</v>
      </c>
      <c r="T174" s="118">
        <f ca="1">특급</f>
        <v>373353</v>
      </c>
      <c r="U174" s="118">
        <f t="shared" ca="1" si="35"/>
        <v>72803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39</v>
      </c>
      <c r="O175" s="173">
        <v>5</v>
      </c>
      <c r="P175" s="234">
        <f ca="1">OFFSET($A$1,MATCH(Z172,$A:$A,0)-1,O175)</f>
        <v>0.40200000000000002</v>
      </c>
      <c r="Q175" s="144" t="s">
        <v>29</v>
      </c>
      <c r="R175" s="118">
        <f t="shared" ca="1" si="34"/>
        <v>310884</v>
      </c>
      <c r="S175" s="118">
        <f t="shared" ca="1" si="34"/>
        <v>124975</v>
      </c>
      <c r="T175" s="118">
        <f ca="1">고급</f>
        <v>310884</v>
      </c>
      <c r="U175" s="118">
        <f t="shared" ca="1" si="35"/>
        <v>124975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40</v>
      </c>
      <c r="O176" s="173">
        <v>6</v>
      </c>
      <c r="P176" s="234">
        <f ca="1">OFFSET($A$1,MATCH(Z172,$A:$A,0)-1,O176)</f>
        <v>0.67100000000000004</v>
      </c>
      <c r="Q176" s="144" t="s">
        <v>29</v>
      </c>
      <c r="R176" s="118">
        <f t="shared" ca="1" si="34"/>
        <v>295138</v>
      </c>
      <c r="S176" s="118">
        <f t="shared" ca="1" si="34"/>
        <v>198037</v>
      </c>
      <c r="T176" s="118">
        <f ca="1">중급</f>
        <v>295138</v>
      </c>
      <c r="U176" s="118">
        <f t="shared" ca="1" si="35"/>
        <v>198037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41</v>
      </c>
      <c r="O177" s="173">
        <v>7</v>
      </c>
      <c r="P177" s="234">
        <f ca="1">OFFSET($A$1,MATCH(Z172,$A:$A,0)-1,O177)</f>
        <v>1.012</v>
      </c>
      <c r="Q177" s="144" t="s">
        <v>29</v>
      </c>
      <c r="R177" s="118">
        <f t="shared" ca="1" si="34"/>
        <v>235459</v>
      </c>
      <c r="S177" s="118">
        <f t="shared" ca="1" si="34"/>
        <v>238284</v>
      </c>
      <c r="T177" s="118">
        <f ca="1">초급</f>
        <v>235459</v>
      </c>
      <c r="U177" s="118">
        <f t="shared" ca="1" si="35"/>
        <v>238284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319" t="s">
        <v>42</v>
      </c>
      <c r="O178" s="174">
        <v>8</v>
      </c>
      <c r="P178" s="235">
        <f ca="1">OFFSET($A$1,MATCH(Z172,$A:$A,0)-1,O178)</f>
        <v>0.64600000000000002</v>
      </c>
      <c r="Q178" s="322" t="s">
        <v>29</v>
      </c>
      <c r="R178" s="323">
        <f t="shared" ca="1" si="34"/>
        <v>250087</v>
      </c>
      <c r="S178" s="323">
        <f t="shared" ca="1" si="34"/>
        <v>161556</v>
      </c>
      <c r="T178" s="323">
        <f ca="1">보조원</f>
        <v>250087</v>
      </c>
      <c r="U178" s="323">
        <f t="shared" ca="1" si="35"/>
        <v>161556</v>
      </c>
      <c r="V178" s="323"/>
      <c r="W178" s="323"/>
      <c r="X178" s="323"/>
      <c r="Y178" s="323"/>
      <c r="Z178" s="324"/>
    </row>
    <row r="179" spans="11:26" ht="18" customHeight="1">
      <c r="K179" s="171" t="s">
        <v>14</v>
      </c>
      <c r="L179" s="171"/>
      <c r="M179" s="171"/>
      <c r="N179" s="139" t="s">
        <v>17</v>
      </c>
      <c r="O179" s="68"/>
      <c r="P179" s="69"/>
      <c r="Q179" s="70"/>
      <c r="R179" s="71"/>
      <c r="S179" s="71">
        <f ca="1">SUBTOTAL(9,S173:S178)</f>
        <v>852655</v>
      </c>
      <c r="T179" s="71"/>
      <c r="U179" s="71">
        <f ca="1">SUBTOTAL(9,U173:U178)</f>
        <v>852655</v>
      </c>
      <c r="V179" s="71"/>
      <c r="W179" s="71"/>
      <c r="X179" s="71"/>
      <c r="Y179" s="71"/>
      <c r="Z179" s="68"/>
    </row>
    <row r="180" spans="11:26" ht="18" customHeight="1">
      <c r="K180" s="171" t="s">
        <v>14</v>
      </c>
      <c r="L180" s="171"/>
      <c r="M180" s="171"/>
      <c r="N180" s="318" t="str">
        <f ca="1">"제 " &amp; Z180 &amp; " 호표  "&amp; OFFSET($A$1,MATCH(Z180,$A:$A,0)-1,1)</f>
        <v>제 14 호표  2.9. 재원조달방안</v>
      </c>
      <c r="O180" s="221"/>
      <c r="P180" s="148"/>
      <c r="Q180" s="148"/>
      <c r="R180" s="149"/>
      <c r="S180" s="149"/>
      <c r="T180" s="149"/>
      <c r="U180" s="149"/>
      <c r="V180" s="149"/>
      <c r="W180" s="149"/>
      <c r="X180" s="149"/>
      <c r="Y180" s="149"/>
      <c r="Z180" s="325">
        <f>Z172+1</f>
        <v>14</v>
      </c>
    </row>
    <row r="181" spans="11:26" ht="18" customHeight="1">
      <c r="K181" s="171" t="s">
        <v>14</v>
      </c>
      <c r="L181" s="171"/>
      <c r="M181" s="171"/>
      <c r="N181" s="140" t="s">
        <v>43</v>
      </c>
      <c r="O181" s="172">
        <v>3</v>
      </c>
      <c r="P181" s="219">
        <f ca="1">OFFSET($A$1,MATCH(Z180,$A:$A,0)-1,O181)</f>
        <v>8.5000000000000006E-2</v>
      </c>
      <c r="Q181" s="141" t="s">
        <v>29</v>
      </c>
      <c r="R181" s="142">
        <f t="shared" ref="R181:S186" ca="1" si="36">T181</f>
        <v>467217</v>
      </c>
      <c r="S181" s="142">
        <f t="shared" ca="1" si="36"/>
        <v>39713</v>
      </c>
      <c r="T181" s="142">
        <f ca="1">기술사</f>
        <v>467217</v>
      </c>
      <c r="U181" s="142">
        <f t="shared" ref="U181:U186" ca="1" si="37">ROUNDDOWN(P181*R181,0)</f>
        <v>39713</v>
      </c>
      <c r="V181" s="142"/>
      <c r="W181" s="142"/>
      <c r="X181" s="142"/>
      <c r="Y181" s="142"/>
      <c r="Z181" s="114"/>
    </row>
    <row r="182" spans="11:26" ht="18" customHeight="1">
      <c r="K182" s="171" t="s">
        <v>14</v>
      </c>
      <c r="L182" s="171"/>
      <c r="M182" s="171"/>
      <c r="N182" s="143" t="s">
        <v>32</v>
      </c>
      <c r="O182" s="173">
        <v>4</v>
      </c>
      <c r="P182" s="234">
        <f ca="1">OFFSET($A$1,MATCH(Z180,$A:$A,0)-1,O182)</f>
        <v>0.14599999999999999</v>
      </c>
      <c r="Q182" s="144" t="s">
        <v>29</v>
      </c>
      <c r="R182" s="118">
        <f t="shared" ca="1" si="36"/>
        <v>373353</v>
      </c>
      <c r="S182" s="118">
        <f t="shared" ca="1" si="36"/>
        <v>54509</v>
      </c>
      <c r="T182" s="118">
        <f ca="1">특급</f>
        <v>373353</v>
      </c>
      <c r="U182" s="118">
        <f t="shared" ca="1" si="37"/>
        <v>54509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39</v>
      </c>
      <c r="O183" s="173">
        <v>5</v>
      </c>
      <c r="P183" s="234">
        <f ca="1">OFFSET($A$1,MATCH(Z180,$A:$A,0)-1,O183)</f>
        <v>0.26800000000000002</v>
      </c>
      <c r="Q183" s="144" t="s">
        <v>29</v>
      </c>
      <c r="R183" s="118">
        <f t="shared" ca="1" si="36"/>
        <v>310884</v>
      </c>
      <c r="S183" s="118">
        <f t="shared" ca="1" si="36"/>
        <v>83316</v>
      </c>
      <c r="T183" s="118">
        <f ca="1">고급</f>
        <v>310884</v>
      </c>
      <c r="U183" s="118">
        <f t="shared" ca="1" si="37"/>
        <v>83316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40</v>
      </c>
      <c r="O184" s="173">
        <v>6</v>
      </c>
      <c r="P184" s="234">
        <f ca="1">OFFSET($A$1,MATCH(Z180,$A:$A,0)-1,O184)</f>
        <v>0.46300000000000002</v>
      </c>
      <c r="Q184" s="144" t="s">
        <v>29</v>
      </c>
      <c r="R184" s="118">
        <f t="shared" ca="1" si="36"/>
        <v>295138</v>
      </c>
      <c r="S184" s="118">
        <f t="shared" ca="1" si="36"/>
        <v>136648</v>
      </c>
      <c r="T184" s="118">
        <f ca="1">중급</f>
        <v>295138</v>
      </c>
      <c r="U184" s="118">
        <f t="shared" ca="1" si="37"/>
        <v>136648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41</v>
      </c>
      <c r="O185" s="173">
        <v>7</v>
      </c>
      <c r="P185" s="234">
        <f ca="1">OFFSET($A$1,MATCH(Z180,$A:$A,0)-1,O185)</f>
        <v>0.67100000000000004</v>
      </c>
      <c r="Q185" s="144" t="s">
        <v>29</v>
      </c>
      <c r="R185" s="118">
        <f t="shared" ca="1" si="36"/>
        <v>235459</v>
      </c>
      <c r="S185" s="118">
        <f t="shared" ca="1" si="36"/>
        <v>157992</v>
      </c>
      <c r="T185" s="118">
        <f ca="1">초급</f>
        <v>235459</v>
      </c>
      <c r="U185" s="118">
        <f t="shared" ca="1" si="37"/>
        <v>157992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319" t="s">
        <v>42</v>
      </c>
      <c r="O186" s="174">
        <v>8</v>
      </c>
      <c r="P186" s="235">
        <f ca="1">OFFSET($A$1,MATCH(Z180,$A:$A,0)-1,O186)</f>
        <v>0.317</v>
      </c>
      <c r="Q186" s="322" t="s">
        <v>29</v>
      </c>
      <c r="R186" s="323">
        <f t="shared" ca="1" si="36"/>
        <v>250087</v>
      </c>
      <c r="S186" s="323">
        <f t="shared" ca="1" si="36"/>
        <v>79277</v>
      </c>
      <c r="T186" s="323">
        <f ca="1">보조원</f>
        <v>250087</v>
      </c>
      <c r="U186" s="323">
        <f t="shared" ca="1" si="37"/>
        <v>79277</v>
      </c>
      <c r="V186" s="323"/>
      <c r="W186" s="323"/>
      <c r="X186" s="323"/>
      <c r="Y186" s="323"/>
      <c r="Z186" s="324"/>
    </row>
    <row r="187" spans="11:26" ht="18" customHeight="1">
      <c r="K187" s="171" t="s">
        <v>14</v>
      </c>
      <c r="L187" s="171"/>
      <c r="M187" s="171"/>
      <c r="N187" s="139" t="s">
        <v>17</v>
      </c>
      <c r="O187" s="68"/>
      <c r="P187" s="69"/>
      <c r="Q187" s="70"/>
      <c r="R187" s="71"/>
      <c r="S187" s="71">
        <f ca="1">SUBTOTAL(9,S181:S186)</f>
        <v>551455</v>
      </c>
      <c r="T187" s="71"/>
      <c r="U187" s="71">
        <f ca="1">SUBTOTAL(9,U181:U186)</f>
        <v>551455</v>
      </c>
      <c r="V187" s="71"/>
      <c r="W187" s="71"/>
      <c r="X187" s="71"/>
      <c r="Y187" s="71"/>
      <c r="Z187" s="68"/>
    </row>
    <row r="188" spans="11:26" ht="18" customHeight="1">
      <c r="K188" s="171" t="s">
        <v>14</v>
      </c>
      <c r="L188" s="171"/>
      <c r="M188" s="171"/>
      <c r="N188" s="318" t="str">
        <f ca="1">"제 " &amp; Z188 &amp; " 호표  "&amp; OFFSET($A$1,MATCH(Z188,$A:$A,0)-1,1)</f>
        <v>제 15 호표  2.10. 산업혁신 및 일자리창출방안</v>
      </c>
      <c r="O188" s="221"/>
      <c r="P188" s="148"/>
      <c r="Q188" s="148"/>
      <c r="R188" s="149"/>
      <c r="S188" s="149"/>
      <c r="T188" s="149"/>
      <c r="U188" s="149"/>
      <c r="V188" s="149"/>
      <c r="W188" s="149"/>
      <c r="X188" s="149"/>
      <c r="Y188" s="149"/>
      <c r="Z188" s="325">
        <f>Z180+1</f>
        <v>15</v>
      </c>
    </row>
    <row r="189" spans="11:26" ht="18" customHeight="1">
      <c r="K189" s="171" t="s">
        <v>14</v>
      </c>
      <c r="L189" s="171"/>
      <c r="M189" s="171"/>
      <c r="N189" s="140" t="s">
        <v>43</v>
      </c>
      <c r="O189" s="172">
        <v>3</v>
      </c>
      <c r="P189" s="219">
        <f ca="1">OFFSET($A$1,MATCH(Z188,$A:$A,0)-1,O189)</f>
        <v>9.7000000000000003E-2</v>
      </c>
      <c r="Q189" s="141" t="s">
        <v>29</v>
      </c>
      <c r="R189" s="142">
        <f t="shared" ref="R189:S194" ca="1" si="38">T189</f>
        <v>467217</v>
      </c>
      <c r="S189" s="142">
        <f t="shared" ca="1" si="38"/>
        <v>45320</v>
      </c>
      <c r="T189" s="142">
        <f ca="1">기술사</f>
        <v>467217</v>
      </c>
      <c r="U189" s="142">
        <f t="shared" ref="U189:U194" ca="1" si="39">ROUNDDOWN(P189*R189,0)</f>
        <v>45320</v>
      </c>
      <c r="V189" s="142"/>
      <c r="W189" s="142"/>
      <c r="X189" s="142"/>
      <c r="Y189" s="142"/>
      <c r="Z189" s="114"/>
    </row>
    <row r="190" spans="11:26" ht="18" customHeight="1">
      <c r="K190" s="171" t="s">
        <v>14</v>
      </c>
      <c r="L190" s="171"/>
      <c r="M190" s="171"/>
      <c r="N190" s="143" t="s">
        <v>32</v>
      </c>
      <c r="O190" s="173">
        <v>4</v>
      </c>
      <c r="P190" s="234">
        <f ca="1">OFFSET($A$1,MATCH(Z188,$A:$A,0)-1,O190)</f>
        <v>0.17</v>
      </c>
      <c r="Q190" s="144" t="s">
        <v>29</v>
      </c>
      <c r="R190" s="118">
        <f t="shared" ca="1" si="38"/>
        <v>373353</v>
      </c>
      <c r="S190" s="118">
        <f t="shared" ca="1" si="38"/>
        <v>63470</v>
      </c>
      <c r="T190" s="118">
        <f ca="1">특급</f>
        <v>373353</v>
      </c>
      <c r="U190" s="118">
        <f t="shared" ca="1" si="39"/>
        <v>63470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39</v>
      </c>
      <c r="O191" s="173">
        <v>5</v>
      </c>
      <c r="P191" s="234">
        <f ca="1">OFFSET($A$1,MATCH(Z188,$A:$A,0)-1,O191)</f>
        <v>0.34100000000000003</v>
      </c>
      <c r="Q191" s="144" t="s">
        <v>29</v>
      </c>
      <c r="R191" s="118">
        <f t="shared" ca="1" si="38"/>
        <v>310884</v>
      </c>
      <c r="S191" s="118">
        <f t="shared" ca="1" si="38"/>
        <v>106011</v>
      </c>
      <c r="T191" s="118">
        <f ca="1">고급</f>
        <v>310884</v>
      </c>
      <c r="U191" s="118">
        <f t="shared" ca="1" si="39"/>
        <v>106011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40</v>
      </c>
      <c r="O192" s="173">
        <v>6</v>
      </c>
      <c r="P192" s="234">
        <f ca="1">OFFSET($A$1,MATCH(Z188,$A:$A,0)-1,O192)</f>
        <v>0.56100000000000005</v>
      </c>
      <c r="Q192" s="144" t="s">
        <v>29</v>
      </c>
      <c r="R192" s="118">
        <f t="shared" ca="1" si="38"/>
        <v>295138</v>
      </c>
      <c r="S192" s="118">
        <f t="shared" ca="1" si="38"/>
        <v>165572</v>
      </c>
      <c r="T192" s="118">
        <f ca="1">중급</f>
        <v>295138</v>
      </c>
      <c r="U192" s="118">
        <f t="shared" ca="1" si="39"/>
        <v>165572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41</v>
      </c>
      <c r="O193" s="173">
        <v>7</v>
      </c>
      <c r="P193" s="234">
        <f ca="1">OFFSET($A$1,MATCH(Z188,$A:$A,0)-1,O193)</f>
        <v>0.82899999999999996</v>
      </c>
      <c r="Q193" s="144" t="s">
        <v>29</v>
      </c>
      <c r="R193" s="118">
        <f t="shared" ca="1" si="38"/>
        <v>235459</v>
      </c>
      <c r="S193" s="118">
        <f t="shared" ca="1" si="38"/>
        <v>195195</v>
      </c>
      <c r="T193" s="118">
        <f ca="1">초급</f>
        <v>235459</v>
      </c>
      <c r="U193" s="118">
        <f t="shared" ca="1" si="39"/>
        <v>195195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319" t="s">
        <v>42</v>
      </c>
      <c r="O194" s="174">
        <v>8</v>
      </c>
      <c r="P194" s="235">
        <f ca="1">OFFSET($A$1,MATCH(Z188,$A:$A,0)-1,O194)</f>
        <v>0.40200000000000002</v>
      </c>
      <c r="Q194" s="322" t="s">
        <v>29</v>
      </c>
      <c r="R194" s="323">
        <f t="shared" ca="1" si="38"/>
        <v>250087</v>
      </c>
      <c r="S194" s="323">
        <f t="shared" ca="1" si="38"/>
        <v>100534</v>
      </c>
      <c r="T194" s="323">
        <f ca="1">보조원</f>
        <v>250087</v>
      </c>
      <c r="U194" s="323">
        <f t="shared" ca="1" si="39"/>
        <v>100534</v>
      </c>
      <c r="V194" s="323"/>
      <c r="W194" s="323"/>
      <c r="X194" s="323"/>
      <c r="Y194" s="323"/>
      <c r="Z194" s="324"/>
    </row>
    <row r="195" spans="11:26" ht="18" customHeight="1">
      <c r="K195" s="171" t="s">
        <v>14</v>
      </c>
      <c r="L195" s="171"/>
      <c r="M195" s="171"/>
      <c r="N195" s="139" t="s">
        <v>17</v>
      </c>
      <c r="O195" s="68"/>
      <c r="P195" s="69"/>
      <c r="Q195" s="70"/>
      <c r="R195" s="71"/>
      <c r="S195" s="71">
        <f ca="1">SUBTOTAL(9,S189:S194)</f>
        <v>676102</v>
      </c>
      <c r="T195" s="71"/>
      <c r="U195" s="71">
        <f ca="1">SUBTOTAL(9,U189:U194)</f>
        <v>676102</v>
      </c>
      <c r="V195" s="71"/>
      <c r="W195" s="71"/>
      <c r="X195" s="71"/>
      <c r="Y195" s="71"/>
      <c r="Z195" s="68"/>
    </row>
    <row r="196" spans="11:26" ht="18" customHeight="1">
      <c r="K196" s="171" t="s">
        <v>14</v>
      </c>
      <c r="L196" s="171"/>
      <c r="M196" s="171"/>
      <c r="N196" s="318" t="str">
        <f ca="1">"제 " &amp; Z196 &amp; " 호표  "&amp; OFFSET($A$1,MATCH(Z196,$A:$A,0)-1,1)</f>
        <v>제 16 호표  2.11. 관리 및 정비방안</v>
      </c>
      <c r="O196" s="221"/>
      <c r="P196" s="148"/>
      <c r="Q196" s="148"/>
      <c r="R196" s="149"/>
      <c r="S196" s="149"/>
      <c r="T196" s="149"/>
      <c r="U196" s="149"/>
      <c r="V196" s="149"/>
      <c r="W196" s="149"/>
      <c r="X196" s="149"/>
      <c r="Y196" s="149"/>
      <c r="Z196" s="325">
        <f>Z188+1</f>
        <v>16</v>
      </c>
    </row>
    <row r="197" spans="11:26" ht="18" customHeight="1">
      <c r="K197" s="171" t="s">
        <v>14</v>
      </c>
      <c r="L197" s="171"/>
      <c r="M197" s="171"/>
      <c r="N197" s="140" t="s">
        <v>43</v>
      </c>
      <c r="O197" s="172">
        <v>3</v>
      </c>
      <c r="P197" s="219">
        <f ca="1">OFFSET($A$1,MATCH(Z196,$A:$A,0)-1,O197)</f>
        <v>9.7000000000000003E-2</v>
      </c>
      <c r="Q197" s="141" t="s">
        <v>29</v>
      </c>
      <c r="R197" s="142">
        <f t="shared" ref="R197:S202" ca="1" si="40">T197</f>
        <v>467217</v>
      </c>
      <c r="S197" s="142">
        <f t="shared" ca="1" si="40"/>
        <v>45320</v>
      </c>
      <c r="T197" s="142">
        <f ca="1">기술사</f>
        <v>467217</v>
      </c>
      <c r="U197" s="142">
        <f t="shared" ref="U197:U202" ca="1" si="41">ROUNDDOWN(P197*R197,0)</f>
        <v>45320</v>
      </c>
      <c r="V197" s="142"/>
      <c r="W197" s="142"/>
      <c r="X197" s="142"/>
      <c r="Y197" s="142"/>
      <c r="Z197" s="114"/>
    </row>
    <row r="198" spans="11:26" ht="18" customHeight="1">
      <c r="K198" s="171" t="s">
        <v>14</v>
      </c>
      <c r="L198" s="171"/>
      <c r="M198" s="171"/>
      <c r="N198" s="143" t="s">
        <v>32</v>
      </c>
      <c r="O198" s="173">
        <v>4</v>
      </c>
      <c r="P198" s="234">
        <f ca="1">OFFSET($A$1,MATCH(Z196,$A:$A,0)-1,O198)</f>
        <v>0.17</v>
      </c>
      <c r="Q198" s="144" t="s">
        <v>29</v>
      </c>
      <c r="R198" s="118">
        <f t="shared" ca="1" si="40"/>
        <v>373353</v>
      </c>
      <c r="S198" s="118">
        <f t="shared" ca="1" si="40"/>
        <v>63470</v>
      </c>
      <c r="T198" s="118">
        <f ca="1">특급</f>
        <v>373353</v>
      </c>
      <c r="U198" s="118">
        <f t="shared" ca="1" si="41"/>
        <v>63470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39</v>
      </c>
      <c r="O199" s="173">
        <v>5</v>
      </c>
      <c r="P199" s="234">
        <f ca="1">OFFSET($A$1,MATCH(Z196,$A:$A,0)-1,O199)</f>
        <v>0.34100000000000003</v>
      </c>
      <c r="Q199" s="144" t="s">
        <v>29</v>
      </c>
      <c r="R199" s="118">
        <f t="shared" ca="1" si="40"/>
        <v>310884</v>
      </c>
      <c r="S199" s="118">
        <f t="shared" ca="1" si="40"/>
        <v>106011</v>
      </c>
      <c r="T199" s="118">
        <f ca="1">고급</f>
        <v>310884</v>
      </c>
      <c r="U199" s="118">
        <f t="shared" ca="1" si="41"/>
        <v>106011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40</v>
      </c>
      <c r="O200" s="173">
        <v>6</v>
      </c>
      <c r="P200" s="234">
        <f ca="1">OFFSET($A$1,MATCH(Z196,$A:$A,0)-1,O200)</f>
        <v>0.56100000000000005</v>
      </c>
      <c r="Q200" s="144" t="s">
        <v>29</v>
      </c>
      <c r="R200" s="118">
        <f t="shared" ca="1" si="40"/>
        <v>295138</v>
      </c>
      <c r="S200" s="118">
        <f t="shared" ca="1" si="40"/>
        <v>165572</v>
      </c>
      <c r="T200" s="118">
        <f ca="1">중급</f>
        <v>295138</v>
      </c>
      <c r="U200" s="118">
        <f t="shared" ca="1" si="41"/>
        <v>165572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41</v>
      </c>
      <c r="O201" s="173">
        <v>7</v>
      </c>
      <c r="P201" s="234">
        <f ca="1">OFFSET($A$1,MATCH(Z196,$A:$A,0)-1,O201)</f>
        <v>0.82899999999999996</v>
      </c>
      <c r="Q201" s="144" t="s">
        <v>29</v>
      </c>
      <c r="R201" s="118">
        <f t="shared" ca="1" si="40"/>
        <v>235459</v>
      </c>
      <c r="S201" s="118">
        <f t="shared" ca="1" si="40"/>
        <v>195195</v>
      </c>
      <c r="T201" s="118">
        <f ca="1">초급</f>
        <v>235459</v>
      </c>
      <c r="U201" s="118">
        <f t="shared" ca="1" si="41"/>
        <v>195195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319" t="s">
        <v>42</v>
      </c>
      <c r="O202" s="174">
        <v>8</v>
      </c>
      <c r="P202" s="235">
        <f ca="1">OFFSET($A$1,MATCH(Z196,$A:$A,0)-1,O202)</f>
        <v>0.40200000000000002</v>
      </c>
      <c r="Q202" s="322" t="s">
        <v>29</v>
      </c>
      <c r="R202" s="323">
        <f t="shared" ca="1" si="40"/>
        <v>250087</v>
      </c>
      <c r="S202" s="323">
        <f t="shared" ca="1" si="40"/>
        <v>100534</v>
      </c>
      <c r="T202" s="323">
        <f ca="1">보조원</f>
        <v>250087</v>
      </c>
      <c r="U202" s="323">
        <f t="shared" ca="1" si="41"/>
        <v>100534</v>
      </c>
      <c r="V202" s="323"/>
      <c r="W202" s="323"/>
      <c r="X202" s="323"/>
      <c r="Y202" s="323"/>
      <c r="Z202" s="324"/>
    </row>
    <row r="203" spans="11:26" ht="18" customHeight="1">
      <c r="K203" s="171" t="s">
        <v>14</v>
      </c>
      <c r="L203" s="171"/>
      <c r="M203" s="171"/>
      <c r="N203" s="139" t="s">
        <v>17</v>
      </c>
      <c r="O203" s="68"/>
      <c r="P203" s="69"/>
      <c r="Q203" s="70"/>
      <c r="R203" s="71"/>
      <c r="S203" s="71">
        <f ca="1">SUBTOTAL(9,S197:S202)</f>
        <v>676102</v>
      </c>
      <c r="T203" s="71"/>
      <c r="U203" s="71">
        <f ca="1">SUBTOTAL(9,U197:U202)</f>
        <v>676102</v>
      </c>
      <c r="V203" s="71"/>
      <c r="W203" s="71"/>
      <c r="X203" s="71"/>
      <c r="Y203" s="71"/>
      <c r="Z203" s="68"/>
    </row>
    <row r="204" spans="11:26" ht="18" customHeight="1">
      <c r="K204" s="171" t="s">
        <v>14</v>
      </c>
      <c r="L204" s="171"/>
      <c r="M204" s="171"/>
      <c r="N204" s="318" t="str">
        <f ca="1">"제 " &amp; Z204 &amp; " 호표  "&amp; OFFSET($A$1,MATCH(Z204,$A:$A,0)-1,1)</f>
        <v>제 17 호표  2.12. 용도 혼재지역 계획적 정비 및 관리방안</v>
      </c>
      <c r="O204" s="221"/>
      <c r="P204" s="148"/>
      <c r="Q204" s="148"/>
      <c r="R204" s="149"/>
      <c r="S204" s="149"/>
      <c r="T204" s="149"/>
      <c r="U204" s="149"/>
      <c r="V204" s="149"/>
      <c r="W204" s="149"/>
      <c r="X204" s="149"/>
      <c r="Y204" s="149"/>
      <c r="Z204" s="325">
        <f>Z196+1</f>
        <v>17</v>
      </c>
    </row>
    <row r="205" spans="11:26" ht="18" customHeight="1">
      <c r="K205" s="171" t="s">
        <v>14</v>
      </c>
      <c r="L205" s="171"/>
      <c r="M205" s="171"/>
      <c r="N205" s="140" t="s">
        <v>43</v>
      </c>
      <c r="O205" s="172">
        <v>3</v>
      </c>
      <c r="P205" s="219">
        <f ca="1">OFFSET($A$1,MATCH(Z204,$A:$A,0)-1,O205)</f>
        <v>9.7000000000000003E-2</v>
      </c>
      <c r="Q205" s="141" t="s">
        <v>29</v>
      </c>
      <c r="R205" s="142">
        <f t="shared" ref="R205:S210" ca="1" si="42">T205</f>
        <v>467217</v>
      </c>
      <c r="S205" s="142">
        <f t="shared" ca="1" si="42"/>
        <v>45320</v>
      </c>
      <c r="T205" s="142">
        <f ca="1">기술사</f>
        <v>467217</v>
      </c>
      <c r="U205" s="142">
        <f t="shared" ref="U205:U210" ca="1" si="43">ROUNDDOWN(P205*R205,0)</f>
        <v>45320</v>
      </c>
      <c r="V205" s="142"/>
      <c r="W205" s="142"/>
      <c r="X205" s="142"/>
      <c r="Y205" s="142"/>
      <c r="Z205" s="114"/>
    </row>
    <row r="206" spans="11:26" ht="18" customHeight="1">
      <c r="K206" s="171" t="s">
        <v>14</v>
      </c>
      <c r="L206" s="171"/>
      <c r="M206" s="171"/>
      <c r="N206" s="143" t="s">
        <v>32</v>
      </c>
      <c r="O206" s="173">
        <v>4</v>
      </c>
      <c r="P206" s="234">
        <f ca="1">OFFSET($A$1,MATCH(Z204,$A:$A,0)-1,O206)</f>
        <v>0.17</v>
      </c>
      <c r="Q206" s="144" t="s">
        <v>29</v>
      </c>
      <c r="R206" s="118">
        <f t="shared" ca="1" si="42"/>
        <v>373353</v>
      </c>
      <c r="S206" s="118">
        <f t="shared" ca="1" si="42"/>
        <v>63470</v>
      </c>
      <c r="T206" s="118">
        <f ca="1">특급</f>
        <v>373353</v>
      </c>
      <c r="U206" s="118">
        <f t="shared" ca="1" si="43"/>
        <v>63470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39</v>
      </c>
      <c r="O207" s="173">
        <v>5</v>
      </c>
      <c r="P207" s="234">
        <f ca="1">OFFSET($A$1,MATCH(Z204,$A:$A,0)-1,O207)</f>
        <v>0.34100000000000003</v>
      </c>
      <c r="Q207" s="144" t="s">
        <v>29</v>
      </c>
      <c r="R207" s="118">
        <f t="shared" ca="1" si="42"/>
        <v>310884</v>
      </c>
      <c r="S207" s="118">
        <f t="shared" ca="1" si="42"/>
        <v>106011</v>
      </c>
      <c r="T207" s="118">
        <f ca="1">고급</f>
        <v>310884</v>
      </c>
      <c r="U207" s="118">
        <f t="shared" ca="1" si="43"/>
        <v>106011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40</v>
      </c>
      <c r="O208" s="173">
        <v>6</v>
      </c>
      <c r="P208" s="234">
        <f ca="1">OFFSET($A$1,MATCH(Z204,$A:$A,0)-1,O208)</f>
        <v>0.56100000000000005</v>
      </c>
      <c r="Q208" s="144" t="s">
        <v>29</v>
      </c>
      <c r="R208" s="118">
        <f t="shared" ca="1" si="42"/>
        <v>295138</v>
      </c>
      <c r="S208" s="118">
        <f t="shared" ca="1" si="42"/>
        <v>165572</v>
      </c>
      <c r="T208" s="118">
        <f ca="1">중급</f>
        <v>295138</v>
      </c>
      <c r="U208" s="118">
        <f t="shared" ca="1" si="43"/>
        <v>165572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41</v>
      </c>
      <c r="O209" s="173">
        <v>7</v>
      </c>
      <c r="P209" s="234">
        <f ca="1">OFFSET($A$1,MATCH(Z204,$A:$A,0)-1,O209)</f>
        <v>0.82899999999999996</v>
      </c>
      <c r="Q209" s="144" t="s">
        <v>29</v>
      </c>
      <c r="R209" s="118">
        <f t="shared" ca="1" si="42"/>
        <v>235459</v>
      </c>
      <c r="S209" s="118">
        <f t="shared" ca="1" si="42"/>
        <v>195195</v>
      </c>
      <c r="T209" s="118">
        <f ca="1">초급</f>
        <v>235459</v>
      </c>
      <c r="U209" s="118">
        <f t="shared" ca="1" si="43"/>
        <v>195195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319" t="s">
        <v>42</v>
      </c>
      <c r="O210" s="174">
        <v>8</v>
      </c>
      <c r="P210" s="235">
        <f ca="1">OFFSET($A$1,MATCH(Z204,$A:$A,0)-1,O210)</f>
        <v>0.40200000000000002</v>
      </c>
      <c r="Q210" s="322" t="s">
        <v>29</v>
      </c>
      <c r="R210" s="323">
        <f t="shared" ca="1" si="42"/>
        <v>250087</v>
      </c>
      <c r="S210" s="323">
        <f t="shared" ca="1" si="42"/>
        <v>100534</v>
      </c>
      <c r="T210" s="323">
        <f ca="1">보조원</f>
        <v>250087</v>
      </c>
      <c r="U210" s="323">
        <f t="shared" ca="1" si="43"/>
        <v>100534</v>
      </c>
      <c r="V210" s="323"/>
      <c r="W210" s="323"/>
      <c r="X210" s="323"/>
      <c r="Y210" s="323"/>
      <c r="Z210" s="324"/>
    </row>
    <row r="211" spans="11:26" ht="18" customHeight="1">
      <c r="K211" s="171" t="s">
        <v>14</v>
      </c>
      <c r="L211" s="171"/>
      <c r="M211" s="171"/>
      <c r="N211" s="139" t="s">
        <v>17</v>
      </c>
      <c r="O211" s="68"/>
      <c r="P211" s="69"/>
      <c r="Q211" s="70"/>
      <c r="R211" s="71"/>
      <c r="S211" s="71">
        <f ca="1">SUBTOTAL(9,S205:S210)</f>
        <v>676102</v>
      </c>
      <c r="T211" s="71"/>
      <c r="U211" s="71">
        <f ca="1">SUBTOTAL(9,U205:U210)</f>
        <v>676102</v>
      </c>
      <c r="V211" s="71"/>
      <c r="W211" s="71"/>
      <c r="X211" s="71"/>
      <c r="Y211" s="71"/>
      <c r="Z211" s="68"/>
    </row>
    <row r="212" spans="11:26" ht="18" customHeight="1">
      <c r="K212" s="171" t="s">
        <v>14</v>
      </c>
      <c r="L212" s="171"/>
      <c r="M212" s="171"/>
      <c r="N212" s="318" t="str">
        <f ca="1">"제 " &amp; Z212 &amp; " 호표  "&amp; OFFSET($A$1,MATCH(Z212,$A:$A,0)-1,1)</f>
        <v>제 18 호표  2.13. 산업문화유산 보전 및 활용방안</v>
      </c>
      <c r="O212" s="221"/>
      <c r="P212" s="148"/>
      <c r="Q212" s="148"/>
      <c r="R212" s="149"/>
      <c r="S212" s="149"/>
      <c r="T212" s="149"/>
      <c r="U212" s="149"/>
      <c r="V212" s="149"/>
      <c r="W212" s="149"/>
      <c r="X212" s="149"/>
      <c r="Y212" s="149"/>
      <c r="Z212" s="325">
        <f>Z204+1</f>
        <v>18</v>
      </c>
    </row>
    <row r="213" spans="11:26" ht="18" customHeight="1">
      <c r="K213" s="171" t="s">
        <v>14</v>
      </c>
      <c r="L213" s="171"/>
      <c r="M213" s="171"/>
      <c r="N213" s="140" t="s">
        <v>43</v>
      </c>
      <c r="O213" s="172">
        <v>3</v>
      </c>
      <c r="P213" s="219">
        <f ca="1">OFFSET($A$1,MATCH(Z212,$A:$A,0)-1,O213)</f>
        <v>8.5000000000000006E-2</v>
      </c>
      <c r="Q213" s="141" t="s">
        <v>29</v>
      </c>
      <c r="R213" s="142">
        <f t="shared" ref="R213:S218" ca="1" si="44">T213</f>
        <v>467217</v>
      </c>
      <c r="S213" s="142">
        <f t="shared" ca="1" si="44"/>
        <v>39713</v>
      </c>
      <c r="T213" s="142">
        <f ca="1">기술사</f>
        <v>467217</v>
      </c>
      <c r="U213" s="142">
        <f t="shared" ref="U213:U218" ca="1" si="45">ROUNDDOWN(P213*R213,0)</f>
        <v>39713</v>
      </c>
      <c r="V213" s="142"/>
      <c r="W213" s="142"/>
      <c r="X213" s="142"/>
      <c r="Y213" s="142"/>
      <c r="Z213" s="114"/>
    </row>
    <row r="214" spans="11:26" ht="18" customHeight="1">
      <c r="K214" s="171" t="s">
        <v>14</v>
      </c>
      <c r="L214" s="171"/>
      <c r="M214" s="171"/>
      <c r="N214" s="143" t="s">
        <v>32</v>
      </c>
      <c r="O214" s="173">
        <v>4</v>
      </c>
      <c r="P214" s="234">
        <f ca="1">OFFSET($A$1,MATCH(Z212,$A:$A,0)-1,O214)</f>
        <v>0.14599999999999999</v>
      </c>
      <c r="Q214" s="144" t="s">
        <v>29</v>
      </c>
      <c r="R214" s="118">
        <f t="shared" ca="1" si="44"/>
        <v>373353</v>
      </c>
      <c r="S214" s="118">
        <f t="shared" ca="1" si="44"/>
        <v>54509</v>
      </c>
      <c r="T214" s="118">
        <f ca="1">특급</f>
        <v>373353</v>
      </c>
      <c r="U214" s="118">
        <f t="shared" ca="1" si="45"/>
        <v>54509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39</v>
      </c>
      <c r="O215" s="173">
        <v>5</v>
      </c>
      <c r="P215" s="234">
        <f ca="1">OFFSET($A$1,MATCH(Z212,$A:$A,0)-1,O215)</f>
        <v>0.26800000000000002</v>
      </c>
      <c r="Q215" s="144" t="s">
        <v>29</v>
      </c>
      <c r="R215" s="118">
        <f t="shared" ca="1" si="44"/>
        <v>310884</v>
      </c>
      <c r="S215" s="118">
        <f t="shared" ca="1" si="44"/>
        <v>83316</v>
      </c>
      <c r="T215" s="118">
        <f ca="1">고급</f>
        <v>310884</v>
      </c>
      <c r="U215" s="118">
        <f t="shared" ca="1" si="45"/>
        <v>83316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40</v>
      </c>
      <c r="O216" s="173">
        <v>6</v>
      </c>
      <c r="P216" s="234">
        <f ca="1">OFFSET($A$1,MATCH(Z212,$A:$A,0)-1,O216)</f>
        <v>0.46300000000000002</v>
      </c>
      <c r="Q216" s="144" t="s">
        <v>29</v>
      </c>
      <c r="R216" s="118">
        <f t="shared" ca="1" si="44"/>
        <v>295138</v>
      </c>
      <c r="S216" s="118">
        <f t="shared" ca="1" si="44"/>
        <v>136648</v>
      </c>
      <c r="T216" s="118">
        <f ca="1">중급</f>
        <v>295138</v>
      </c>
      <c r="U216" s="118">
        <f t="shared" ca="1" si="45"/>
        <v>136648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41</v>
      </c>
      <c r="O217" s="173">
        <v>7</v>
      </c>
      <c r="P217" s="234">
        <f ca="1">OFFSET($A$1,MATCH(Z212,$A:$A,0)-1,O217)</f>
        <v>0.67100000000000004</v>
      </c>
      <c r="Q217" s="144" t="s">
        <v>29</v>
      </c>
      <c r="R217" s="118">
        <f t="shared" ca="1" si="44"/>
        <v>235459</v>
      </c>
      <c r="S217" s="118">
        <f t="shared" ca="1" si="44"/>
        <v>157992</v>
      </c>
      <c r="T217" s="118">
        <f ca="1">초급</f>
        <v>235459</v>
      </c>
      <c r="U217" s="118">
        <f t="shared" ca="1" si="45"/>
        <v>157992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319" t="s">
        <v>42</v>
      </c>
      <c r="O218" s="174">
        <v>8</v>
      </c>
      <c r="P218" s="235">
        <f ca="1">OFFSET($A$1,MATCH(Z212,$A:$A,0)-1,O218)</f>
        <v>0.317</v>
      </c>
      <c r="Q218" s="322" t="s">
        <v>29</v>
      </c>
      <c r="R218" s="323">
        <f t="shared" ca="1" si="44"/>
        <v>250087</v>
      </c>
      <c r="S218" s="323">
        <f t="shared" ca="1" si="44"/>
        <v>79277</v>
      </c>
      <c r="T218" s="323">
        <f ca="1">보조원</f>
        <v>250087</v>
      </c>
      <c r="U218" s="323">
        <f t="shared" ca="1" si="45"/>
        <v>79277</v>
      </c>
      <c r="V218" s="323"/>
      <c r="W218" s="323"/>
      <c r="X218" s="323"/>
      <c r="Y218" s="323"/>
      <c r="Z218" s="324"/>
    </row>
    <row r="219" spans="11:26" ht="18" customHeight="1">
      <c r="K219" s="171" t="s">
        <v>14</v>
      </c>
      <c r="L219" s="171"/>
      <c r="M219" s="171"/>
      <c r="N219" s="139" t="s">
        <v>17</v>
      </c>
      <c r="O219" s="68"/>
      <c r="P219" s="69"/>
      <c r="Q219" s="70"/>
      <c r="R219" s="71"/>
      <c r="S219" s="71">
        <f ca="1">SUBTOTAL(9,S213:S218)</f>
        <v>551455</v>
      </c>
      <c r="T219" s="71"/>
      <c r="U219" s="71">
        <f ca="1">SUBTOTAL(9,U213:U218)</f>
        <v>551455</v>
      </c>
      <c r="V219" s="71"/>
      <c r="W219" s="71"/>
      <c r="X219" s="71"/>
      <c r="Y219" s="71"/>
      <c r="Z219" s="68"/>
    </row>
    <row r="220" spans="11:26" ht="18" customHeight="1">
      <c r="K220" s="171" t="s">
        <v>14</v>
      </c>
      <c r="L220" s="171"/>
      <c r="M220" s="171"/>
      <c r="N220" s="318" t="str">
        <f ca="1">"제 " &amp; Z220 &amp; " 호표  "&amp; OFFSET($A$1,MATCH(Z220,$A:$A,0)-1,1)</f>
        <v>제 19 호표  2.14. 부동산 가격안정화 방안</v>
      </c>
      <c r="O220" s="221"/>
      <c r="P220" s="148"/>
      <c r="Q220" s="148"/>
      <c r="R220" s="149"/>
      <c r="S220" s="149"/>
      <c r="T220" s="149"/>
      <c r="U220" s="149"/>
      <c r="V220" s="149"/>
      <c r="W220" s="149"/>
      <c r="X220" s="149"/>
      <c r="Y220" s="149"/>
      <c r="Z220" s="325">
        <f>Z212+1</f>
        <v>19</v>
      </c>
    </row>
    <row r="221" spans="11:26" ht="18" customHeight="1">
      <c r="K221" s="171" t="s">
        <v>14</v>
      </c>
      <c r="L221" s="171"/>
      <c r="M221" s="171"/>
      <c r="N221" s="140" t="s">
        <v>43</v>
      </c>
      <c r="O221" s="172">
        <v>3</v>
      </c>
      <c r="P221" s="219">
        <f ca="1">OFFSET($A$1,MATCH(Z220,$A:$A,0)-1,O221)</f>
        <v>9.7000000000000003E-2</v>
      </c>
      <c r="Q221" s="141" t="s">
        <v>29</v>
      </c>
      <c r="R221" s="142">
        <f t="shared" ref="R221:R226" ca="1" si="46">T221</f>
        <v>467217</v>
      </c>
      <c r="S221" s="142">
        <f t="shared" ref="S221:S226" ca="1" si="47">U221</f>
        <v>45320</v>
      </c>
      <c r="T221" s="142">
        <f ca="1">기술사</f>
        <v>467217</v>
      </c>
      <c r="U221" s="142">
        <f t="shared" ref="U221:U226" ca="1" si="48">ROUNDDOWN(P221*R221,0)</f>
        <v>45320</v>
      </c>
      <c r="V221" s="142"/>
      <c r="W221" s="142"/>
      <c r="X221" s="142"/>
      <c r="Y221" s="142"/>
      <c r="Z221" s="114"/>
    </row>
    <row r="222" spans="11:26" ht="18" customHeight="1">
      <c r="K222" s="171" t="s">
        <v>14</v>
      </c>
      <c r="L222" s="171"/>
      <c r="M222" s="171"/>
      <c r="N222" s="143" t="s">
        <v>32</v>
      </c>
      <c r="O222" s="173">
        <v>4</v>
      </c>
      <c r="P222" s="234">
        <f ca="1">OFFSET($A$1,MATCH(Z220,$A:$A,0)-1,O222)</f>
        <v>0.17</v>
      </c>
      <c r="Q222" s="144" t="s">
        <v>29</v>
      </c>
      <c r="R222" s="118">
        <f t="shared" ca="1" si="46"/>
        <v>373353</v>
      </c>
      <c r="S222" s="118">
        <f t="shared" ca="1" si="47"/>
        <v>63470</v>
      </c>
      <c r="T222" s="118">
        <f ca="1">특급</f>
        <v>373353</v>
      </c>
      <c r="U222" s="118">
        <f t="shared" ca="1" si="48"/>
        <v>63470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39</v>
      </c>
      <c r="O223" s="173">
        <v>5</v>
      </c>
      <c r="P223" s="234">
        <f ca="1">OFFSET($A$1,MATCH(Z220,$A:$A,0)-1,O223)</f>
        <v>0.34100000000000003</v>
      </c>
      <c r="Q223" s="144" t="s">
        <v>29</v>
      </c>
      <c r="R223" s="118">
        <f t="shared" ca="1" si="46"/>
        <v>310884</v>
      </c>
      <c r="S223" s="118">
        <f t="shared" ca="1" si="47"/>
        <v>106011</v>
      </c>
      <c r="T223" s="118">
        <f ca="1">고급</f>
        <v>310884</v>
      </c>
      <c r="U223" s="118">
        <f t="shared" ca="1" si="48"/>
        <v>106011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40</v>
      </c>
      <c r="O224" s="173">
        <v>6</v>
      </c>
      <c r="P224" s="234">
        <f ca="1">OFFSET($A$1,MATCH(Z220,$A:$A,0)-1,O224)</f>
        <v>0.56100000000000005</v>
      </c>
      <c r="Q224" s="144" t="s">
        <v>29</v>
      </c>
      <c r="R224" s="118">
        <f t="shared" ca="1" si="46"/>
        <v>295138</v>
      </c>
      <c r="S224" s="118">
        <f t="shared" ca="1" si="47"/>
        <v>165572</v>
      </c>
      <c r="T224" s="118">
        <f ca="1">중급</f>
        <v>295138</v>
      </c>
      <c r="U224" s="118">
        <f t="shared" ca="1" si="48"/>
        <v>165572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41</v>
      </c>
      <c r="O225" s="173">
        <v>7</v>
      </c>
      <c r="P225" s="234">
        <f ca="1">OFFSET($A$1,MATCH(Z220,$A:$A,0)-1,O225)</f>
        <v>0.82899999999999996</v>
      </c>
      <c r="Q225" s="144" t="s">
        <v>29</v>
      </c>
      <c r="R225" s="118">
        <f t="shared" ca="1" si="46"/>
        <v>235459</v>
      </c>
      <c r="S225" s="118">
        <f t="shared" ca="1" si="47"/>
        <v>195195</v>
      </c>
      <c r="T225" s="118">
        <f ca="1">초급</f>
        <v>235459</v>
      </c>
      <c r="U225" s="118">
        <f t="shared" ca="1" si="48"/>
        <v>195195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319" t="s">
        <v>42</v>
      </c>
      <c r="O226" s="174">
        <v>8</v>
      </c>
      <c r="P226" s="235">
        <f ca="1">OFFSET($A$1,MATCH(Z220,$A:$A,0)-1,O226)</f>
        <v>0.40200000000000002</v>
      </c>
      <c r="Q226" s="322" t="s">
        <v>29</v>
      </c>
      <c r="R226" s="323">
        <f t="shared" ca="1" si="46"/>
        <v>250087</v>
      </c>
      <c r="S226" s="323">
        <f t="shared" ca="1" si="47"/>
        <v>100534</v>
      </c>
      <c r="T226" s="323">
        <f ca="1">보조원</f>
        <v>250087</v>
      </c>
      <c r="U226" s="323">
        <f t="shared" ca="1" si="48"/>
        <v>100534</v>
      </c>
      <c r="V226" s="323"/>
      <c r="W226" s="323"/>
      <c r="X226" s="323"/>
      <c r="Y226" s="323"/>
      <c r="Z226" s="324"/>
    </row>
    <row r="227" spans="11:26" ht="18" customHeight="1">
      <c r="K227" s="171" t="s">
        <v>14</v>
      </c>
      <c r="L227" s="171"/>
      <c r="M227" s="171"/>
      <c r="N227" s="139" t="s">
        <v>17</v>
      </c>
      <c r="O227" s="68"/>
      <c r="P227" s="69"/>
      <c r="Q227" s="70"/>
      <c r="R227" s="71"/>
      <c r="S227" s="71">
        <f ca="1">SUBTOTAL(9,S221:S226)</f>
        <v>676102</v>
      </c>
      <c r="T227" s="71"/>
      <c r="U227" s="71">
        <f ca="1">SUBTOTAL(9,U221:U226)</f>
        <v>676102</v>
      </c>
      <c r="V227" s="71"/>
      <c r="W227" s="71"/>
      <c r="X227" s="71"/>
      <c r="Y227" s="71"/>
      <c r="Z227" s="68"/>
    </row>
    <row r="228" spans="11:26" ht="18" customHeight="1">
      <c r="K228" s="171" t="s">
        <v>14</v>
      </c>
      <c r="L228" s="171"/>
      <c r="M228" s="171"/>
      <c r="N228" s="318" t="str">
        <f ca="1">"제 " &amp; Z228 &amp; " 호표  "&amp; OFFSET($A$1,MATCH(Z228,$A:$A,0)-1,1)</f>
        <v>제 20 호표  3.1. 보고서 작성 및 편집</v>
      </c>
      <c r="O228" s="221"/>
      <c r="P228" s="148"/>
      <c r="Q228" s="148"/>
      <c r="R228" s="149"/>
      <c r="S228" s="149"/>
      <c r="T228" s="149"/>
      <c r="U228" s="149"/>
      <c r="V228" s="149"/>
      <c r="W228" s="149"/>
      <c r="X228" s="149"/>
      <c r="Y228" s="149"/>
      <c r="Z228" s="325">
        <f>Z220+1</f>
        <v>20</v>
      </c>
    </row>
    <row r="229" spans="11:26" ht="18" customHeight="1">
      <c r="K229" s="171" t="s">
        <v>14</v>
      </c>
      <c r="L229" s="171"/>
      <c r="M229" s="171"/>
      <c r="N229" s="140" t="s">
        <v>43</v>
      </c>
      <c r="O229" s="172">
        <v>3</v>
      </c>
      <c r="P229" s="219">
        <f ca="1">OFFSET($A$1,MATCH(Z228,$A:$A,0)-1,O229)</f>
        <v>0.29199999999999998</v>
      </c>
      <c r="Q229" s="141" t="s">
        <v>29</v>
      </c>
      <c r="R229" s="142">
        <f t="shared" ref="R229:R234" ca="1" si="49">T229</f>
        <v>467217</v>
      </c>
      <c r="S229" s="142">
        <f t="shared" ref="S229:S234" ca="1" si="50">U229</f>
        <v>136427</v>
      </c>
      <c r="T229" s="142">
        <f ca="1">기술사</f>
        <v>467217</v>
      </c>
      <c r="U229" s="142">
        <f t="shared" ref="U229:U234" ca="1" si="51">ROUNDDOWN(P229*R229,0)</f>
        <v>136427</v>
      </c>
      <c r="V229" s="142"/>
      <c r="W229" s="142"/>
      <c r="X229" s="142"/>
      <c r="Y229" s="142"/>
      <c r="Z229" s="114"/>
    </row>
    <row r="230" spans="11:26" ht="18" customHeight="1">
      <c r="K230" s="171" t="s">
        <v>14</v>
      </c>
      <c r="L230" s="171"/>
      <c r="M230" s="171"/>
      <c r="N230" s="143" t="s">
        <v>32</v>
      </c>
      <c r="O230" s="173">
        <v>4</v>
      </c>
      <c r="P230" s="234">
        <f ca="1">OFFSET($A$1,MATCH(Z228,$A:$A,0)-1,O230)</f>
        <v>0.45100000000000001</v>
      </c>
      <c r="Q230" s="144" t="s">
        <v>29</v>
      </c>
      <c r="R230" s="118">
        <f t="shared" ca="1" si="49"/>
        <v>373353</v>
      </c>
      <c r="S230" s="118">
        <f t="shared" ca="1" si="50"/>
        <v>168382</v>
      </c>
      <c r="T230" s="118">
        <f ca="1">특급</f>
        <v>373353</v>
      </c>
      <c r="U230" s="118">
        <f t="shared" ca="1" si="51"/>
        <v>168382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39</v>
      </c>
      <c r="O231" s="173">
        <v>5</v>
      </c>
      <c r="P231" s="234">
        <f ca="1">OFFSET($A$1,MATCH(Z228,$A:$A,0)-1,O231)</f>
        <v>1.024</v>
      </c>
      <c r="Q231" s="144" t="s">
        <v>29</v>
      </c>
      <c r="R231" s="118">
        <f t="shared" ca="1" si="49"/>
        <v>310884</v>
      </c>
      <c r="S231" s="118">
        <f t="shared" ca="1" si="50"/>
        <v>318345</v>
      </c>
      <c r="T231" s="118">
        <f ca="1">고급</f>
        <v>310884</v>
      </c>
      <c r="U231" s="118">
        <f t="shared" ca="1" si="51"/>
        <v>318345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40</v>
      </c>
      <c r="O232" s="173">
        <v>6</v>
      </c>
      <c r="P232" s="234">
        <f ca="1">OFFSET($A$1,MATCH(Z228,$A:$A,0)-1,O232)</f>
        <v>1.72</v>
      </c>
      <c r="Q232" s="144" t="s">
        <v>29</v>
      </c>
      <c r="R232" s="118">
        <f t="shared" ca="1" si="49"/>
        <v>295138</v>
      </c>
      <c r="S232" s="118">
        <f t="shared" ca="1" si="50"/>
        <v>507637</v>
      </c>
      <c r="T232" s="118">
        <f ca="1">중급</f>
        <v>295138</v>
      </c>
      <c r="U232" s="118">
        <f t="shared" ca="1" si="51"/>
        <v>507637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41</v>
      </c>
      <c r="O233" s="173">
        <v>7</v>
      </c>
      <c r="P233" s="234">
        <f ca="1">OFFSET($A$1,MATCH(Z228,$A:$A,0)-1,O233)</f>
        <v>1.708</v>
      </c>
      <c r="Q233" s="144" t="s">
        <v>29</v>
      </c>
      <c r="R233" s="118">
        <f t="shared" ca="1" si="49"/>
        <v>235459</v>
      </c>
      <c r="S233" s="118">
        <f t="shared" ca="1" si="50"/>
        <v>402163</v>
      </c>
      <c r="T233" s="118">
        <f ca="1">초급</f>
        <v>235459</v>
      </c>
      <c r="U233" s="118">
        <f t="shared" ca="1" si="51"/>
        <v>402163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319" t="s">
        <v>42</v>
      </c>
      <c r="O234" s="174">
        <v>8</v>
      </c>
      <c r="P234" s="235">
        <f ca="1">OFFSET($A$1,MATCH(Z228,$A:$A,0)-1,O234)</f>
        <v>0.56100000000000005</v>
      </c>
      <c r="Q234" s="322" t="s">
        <v>29</v>
      </c>
      <c r="R234" s="323">
        <f t="shared" ca="1" si="49"/>
        <v>250087</v>
      </c>
      <c r="S234" s="323">
        <f t="shared" ca="1" si="50"/>
        <v>140298</v>
      </c>
      <c r="T234" s="323">
        <f ca="1">보조원</f>
        <v>250087</v>
      </c>
      <c r="U234" s="323">
        <f t="shared" ca="1" si="51"/>
        <v>140298</v>
      </c>
      <c r="V234" s="323"/>
      <c r="W234" s="323"/>
      <c r="X234" s="323"/>
      <c r="Y234" s="323"/>
      <c r="Z234" s="324"/>
    </row>
    <row r="235" spans="11:26" ht="18" customHeight="1">
      <c r="K235" s="171" t="s">
        <v>14</v>
      </c>
      <c r="L235" s="171"/>
      <c r="M235" s="171"/>
      <c r="N235" s="139" t="s">
        <v>17</v>
      </c>
      <c r="O235" s="68"/>
      <c r="P235" s="69"/>
      <c r="Q235" s="70"/>
      <c r="R235" s="71"/>
      <c r="S235" s="71">
        <f ca="1">SUBTOTAL(9,S229:S234)</f>
        <v>1673252</v>
      </c>
      <c r="T235" s="71"/>
      <c r="U235" s="71">
        <f ca="1">SUBTOTAL(9,U229:U234)</f>
        <v>1673252</v>
      </c>
      <c r="V235" s="71"/>
      <c r="W235" s="71"/>
      <c r="X235" s="71"/>
      <c r="Y235" s="71"/>
      <c r="Z235" s="68"/>
    </row>
    <row r="236" spans="11:26" ht="18" customHeight="1">
      <c r="K236" s="171" t="s">
        <v>14</v>
      </c>
      <c r="L236" s="171"/>
      <c r="M236" s="171"/>
      <c r="N236" s="318" t="str">
        <f ca="1">"제 " &amp; Z236 &amp; " 호표  "&amp; OFFSET($A$1,MATCH(Z236,$A:$A,0)-1,1)</f>
        <v>제 21 호표  3.2. 관련도서 작성</v>
      </c>
      <c r="O236" s="221"/>
      <c r="P236" s="148"/>
      <c r="Q236" s="148"/>
      <c r="R236" s="149"/>
      <c r="S236" s="149"/>
      <c r="T236" s="149"/>
      <c r="U236" s="149"/>
      <c r="V236" s="149"/>
      <c r="W236" s="149"/>
      <c r="X236" s="149"/>
      <c r="Y236" s="149"/>
      <c r="Z236" s="325">
        <f>Z228+1</f>
        <v>21</v>
      </c>
    </row>
    <row r="237" spans="11:26" ht="18" customHeight="1">
      <c r="K237" s="171" t="s">
        <v>14</v>
      </c>
      <c r="L237" s="171"/>
      <c r="M237" s="171"/>
      <c r="N237" s="140" t="s">
        <v>43</v>
      </c>
      <c r="O237" s="172">
        <v>3</v>
      </c>
      <c r="P237" s="219">
        <f ca="1">OFFSET($A$1,MATCH(Z236,$A:$A,0)-1,O237)</f>
        <v>0.13400000000000001</v>
      </c>
      <c r="Q237" s="141" t="s">
        <v>29</v>
      </c>
      <c r="R237" s="142">
        <f t="shared" ref="R237:R242" ca="1" si="52">T237</f>
        <v>467217</v>
      </c>
      <c r="S237" s="142">
        <f t="shared" ref="S237:S242" ca="1" si="53">U237</f>
        <v>62607</v>
      </c>
      <c r="T237" s="142">
        <f ca="1">기술사</f>
        <v>467217</v>
      </c>
      <c r="U237" s="142">
        <f t="shared" ref="U237:U242" ca="1" si="54">ROUNDDOWN(P237*R237,0)</f>
        <v>62607</v>
      </c>
      <c r="V237" s="142"/>
      <c r="W237" s="142"/>
      <c r="X237" s="142"/>
      <c r="Y237" s="142"/>
      <c r="Z237" s="114"/>
    </row>
    <row r="238" spans="11:26" ht="18" customHeight="1">
      <c r="K238" s="171" t="s">
        <v>14</v>
      </c>
      <c r="L238" s="171"/>
      <c r="M238" s="171"/>
      <c r="N238" s="143" t="s">
        <v>32</v>
      </c>
      <c r="O238" s="173">
        <v>4</v>
      </c>
      <c r="P238" s="234">
        <f ca="1">OFFSET($A$1,MATCH(Z236,$A:$A,0)-1,O238)</f>
        <v>0.26800000000000002</v>
      </c>
      <c r="Q238" s="144" t="s">
        <v>29</v>
      </c>
      <c r="R238" s="118">
        <f t="shared" ca="1" si="52"/>
        <v>373353</v>
      </c>
      <c r="S238" s="118">
        <f t="shared" ca="1" si="53"/>
        <v>100058</v>
      </c>
      <c r="T238" s="118">
        <f ca="1">특급</f>
        <v>373353</v>
      </c>
      <c r="U238" s="118">
        <f t="shared" ca="1" si="54"/>
        <v>100058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39</v>
      </c>
      <c r="O239" s="173">
        <v>5</v>
      </c>
      <c r="P239" s="234">
        <f ca="1">OFFSET($A$1,MATCH(Z236,$A:$A,0)-1,O239)</f>
        <v>0.53600000000000003</v>
      </c>
      <c r="Q239" s="144" t="s">
        <v>29</v>
      </c>
      <c r="R239" s="118">
        <f t="shared" ca="1" si="52"/>
        <v>310884</v>
      </c>
      <c r="S239" s="118">
        <f t="shared" ca="1" si="53"/>
        <v>166633</v>
      </c>
      <c r="T239" s="118">
        <f ca="1">고급</f>
        <v>310884</v>
      </c>
      <c r="U239" s="118">
        <f t="shared" ca="1" si="54"/>
        <v>166633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40</v>
      </c>
      <c r="O240" s="173">
        <v>6</v>
      </c>
      <c r="P240" s="234">
        <f ca="1">OFFSET($A$1,MATCH(Z236,$A:$A,0)-1,O240)</f>
        <v>1.159</v>
      </c>
      <c r="Q240" s="144" t="s">
        <v>29</v>
      </c>
      <c r="R240" s="118">
        <f t="shared" ca="1" si="52"/>
        <v>295138</v>
      </c>
      <c r="S240" s="118">
        <f t="shared" ca="1" si="53"/>
        <v>342064</v>
      </c>
      <c r="T240" s="118">
        <f ca="1">중급</f>
        <v>295138</v>
      </c>
      <c r="U240" s="118">
        <f t="shared" ca="1" si="54"/>
        <v>342064</v>
      </c>
      <c r="V240" s="118"/>
      <c r="W240" s="118"/>
      <c r="X240" s="118"/>
      <c r="Y240" s="118"/>
      <c r="Z240" s="115"/>
    </row>
    <row r="241" spans="11:28" ht="18" customHeight="1">
      <c r="K241" s="171" t="s">
        <v>14</v>
      </c>
      <c r="L241" s="171"/>
      <c r="M241" s="171"/>
      <c r="N241" s="145" t="s">
        <v>41</v>
      </c>
      <c r="O241" s="173">
        <v>7</v>
      </c>
      <c r="P241" s="234">
        <f ca="1">OFFSET($A$1,MATCH(Z236,$A:$A,0)-1,O241)</f>
        <v>2.2930000000000001</v>
      </c>
      <c r="Q241" s="144" t="s">
        <v>29</v>
      </c>
      <c r="R241" s="118">
        <f t="shared" ca="1" si="52"/>
        <v>235459</v>
      </c>
      <c r="S241" s="118">
        <f t="shared" ca="1" si="53"/>
        <v>539907</v>
      </c>
      <c r="T241" s="118">
        <f ca="1">초급</f>
        <v>235459</v>
      </c>
      <c r="U241" s="118">
        <f t="shared" ca="1" si="54"/>
        <v>539907</v>
      </c>
      <c r="V241" s="118"/>
      <c r="W241" s="118"/>
      <c r="X241" s="118"/>
      <c r="Y241" s="118"/>
      <c r="Z241" s="115"/>
    </row>
    <row r="242" spans="11:28" ht="18" customHeight="1">
      <c r="K242" s="171" t="s">
        <v>14</v>
      </c>
      <c r="L242" s="171"/>
      <c r="M242" s="171"/>
      <c r="N242" s="319" t="s">
        <v>42</v>
      </c>
      <c r="O242" s="174">
        <v>8</v>
      </c>
      <c r="P242" s="235">
        <f ca="1">OFFSET($A$1,MATCH(Z236,$A:$A,0)-1,O242)</f>
        <v>1.427</v>
      </c>
      <c r="Q242" s="322" t="s">
        <v>29</v>
      </c>
      <c r="R242" s="323">
        <f t="shared" ca="1" si="52"/>
        <v>250087</v>
      </c>
      <c r="S242" s="323">
        <f t="shared" ca="1" si="53"/>
        <v>356874</v>
      </c>
      <c r="T242" s="323">
        <f ca="1">보조원</f>
        <v>250087</v>
      </c>
      <c r="U242" s="323">
        <f t="shared" ca="1" si="54"/>
        <v>356874</v>
      </c>
      <c r="V242" s="323"/>
      <c r="W242" s="323"/>
      <c r="X242" s="323"/>
      <c r="Y242" s="323"/>
      <c r="Z242" s="324"/>
    </row>
    <row r="243" spans="11:28" ht="18" customHeight="1">
      <c r="K243" s="171" t="s">
        <v>14</v>
      </c>
      <c r="L243" s="171"/>
      <c r="M243" s="171"/>
      <c r="N243" s="139" t="s">
        <v>17</v>
      </c>
      <c r="O243" s="68"/>
      <c r="P243" s="69"/>
      <c r="Q243" s="70"/>
      <c r="R243" s="71"/>
      <c r="S243" s="71">
        <f ca="1">SUBTOTAL(9,S237:S242)</f>
        <v>1568143</v>
      </c>
      <c r="T243" s="71"/>
      <c r="U243" s="71">
        <f ca="1">SUBTOTAL(9,U237:U242)</f>
        <v>1568143</v>
      </c>
      <c r="V243" s="71"/>
      <c r="W243" s="71"/>
      <c r="X243" s="71"/>
      <c r="Y243" s="71"/>
      <c r="Z243" s="68"/>
      <c r="AA243" s="171"/>
      <c r="AB243" s="171"/>
    </row>
    <row r="244" spans="11:28" ht="18" customHeight="1">
      <c r="K244" s="171" t="s">
        <v>14</v>
      </c>
      <c r="L244" s="171"/>
      <c r="M244" s="171"/>
      <c r="N244" s="318" t="str">
        <f ca="1">"제 " &amp; Z244 &amp; " 호표  "&amp; OFFSET($A$1,MATCH(Z244,$A:$A,0)-1,1)</f>
        <v>제 22 호표  4.1. 공청회/주민설명회</v>
      </c>
      <c r="O244" s="221"/>
      <c r="P244" s="148"/>
      <c r="Q244" s="148"/>
      <c r="R244" s="149"/>
      <c r="S244" s="149"/>
      <c r="T244" s="149"/>
      <c r="U244" s="149"/>
      <c r="V244" s="149"/>
      <c r="W244" s="149"/>
      <c r="X244" s="149"/>
      <c r="Y244" s="149"/>
      <c r="Z244" s="325">
        <f>Z236+1</f>
        <v>22</v>
      </c>
      <c r="AA244" s="171"/>
      <c r="AB244" s="171"/>
    </row>
    <row r="245" spans="11:28" ht="18" customHeight="1">
      <c r="K245" s="171" t="s">
        <v>14</v>
      </c>
      <c r="L245" s="171"/>
      <c r="M245" s="171"/>
      <c r="N245" s="140" t="s">
        <v>43</v>
      </c>
      <c r="O245" s="172">
        <v>3</v>
      </c>
      <c r="P245" s="219">
        <f ca="1">OFFSET($A$1,MATCH(Z244,$A:$A,0)-1,O245)</f>
        <v>2</v>
      </c>
      <c r="Q245" s="141" t="s">
        <v>29</v>
      </c>
      <c r="R245" s="142">
        <f t="shared" ref="R245:R250" ca="1" si="55">T245</f>
        <v>467217</v>
      </c>
      <c r="S245" s="142">
        <f t="shared" ref="S245:S250" ca="1" si="56">U245</f>
        <v>934434</v>
      </c>
      <c r="T245" s="142">
        <f ca="1">기술사</f>
        <v>467217</v>
      </c>
      <c r="U245" s="142">
        <f t="shared" ref="U245:U250" ca="1" si="57">ROUNDDOWN(P245*R245,0)</f>
        <v>934434</v>
      </c>
      <c r="V245" s="142"/>
      <c r="W245" s="142"/>
      <c r="X245" s="142"/>
      <c r="Y245" s="142"/>
      <c r="Z245" s="114"/>
      <c r="AA245" s="171"/>
      <c r="AB245" s="171"/>
    </row>
    <row r="246" spans="11:28" ht="18" customHeight="1">
      <c r="K246" s="171" t="s">
        <v>14</v>
      </c>
      <c r="L246" s="171"/>
      <c r="M246" s="171"/>
      <c r="N246" s="143" t="s">
        <v>32</v>
      </c>
      <c r="O246" s="173">
        <v>4</v>
      </c>
      <c r="P246" s="234">
        <f ca="1">OFFSET($A$1,MATCH(Z244,$A:$A,0)-1,O246)</f>
        <v>2</v>
      </c>
      <c r="Q246" s="144" t="s">
        <v>29</v>
      </c>
      <c r="R246" s="118">
        <f t="shared" ca="1" si="55"/>
        <v>373353</v>
      </c>
      <c r="S246" s="118">
        <f t="shared" ca="1" si="56"/>
        <v>746706</v>
      </c>
      <c r="T246" s="118">
        <f ca="1">특급</f>
        <v>373353</v>
      </c>
      <c r="U246" s="118">
        <f t="shared" ca="1" si="57"/>
        <v>746706</v>
      </c>
      <c r="V246" s="118"/>
      <c r="W246" s="118"/>
      <c r="X246" s="118"/>
      <c r="Y246" s="118"/>
      <c r="Z246" s="115"/>
      <c r="AA246" s="171"/>
      <c r="AB246" s="171"/>
    </row>
    <row r="247" spans="11:28" ht="18" customHeight="1">
      <c r="K247" s="171" t="s">
        <v>14</v>
      </c>
      <c r="L247" s="171"/>
      <c r="M247" s="171"/>
      <c r="N247" s="145" t="s">
        <v>39</v>
      </c>
      <c r="O247" s="173">
        <v>5</v>
      </c>
      <c r="P247" s="234">
        <f ca="1">OFFSET($A$1,MATCH(Z244,$A:$A,0)-1,O247)</f>
        <v>2</v>
      </c>
      <c r="Q247" s="144" t="s">
        <v>29</v>
      </c>
      <c r="R247" s="118">
        <f t="shared" ca="1" si="55"/>
        <v>310884</v>
      </c>
      <c r="S247" s="118">
        <f t="shared" ca="1" si="56"/>
        <v>621768</v>
      </c>
      <c r="T247" s="118">
        <f ca="1">고급</f>
        <v>310884</v>
      </c>
      <c r="U247" s="118">
        <f t="shared" ca="1" si="57"/>
        <v>621768</v>
      </c>
      <c r="V247" s="118"/>
      <c r="W247" s="118"/>
      <c r="X247" s="118"/>
      <c r="Y247" s="118"/>
      <c r="Z247" s="115"/>
    </row>
    <row r="248" spans="11:28" ht="18" customHeight="1">
      <c r="K248" s="171" t="s">
        <v>14</v>
      </c>
      <c r="L248" s="171"/>
      <c r="M248" s="171"/>
      <c r="N248" s="145" t="s">
        <v>40</v>
      </c>
      <c r="O248" s="173">
        <v>6</v>
      </c>
      <c r="P248" s="234">
        <f ca="1">OFFSET($A$1,MATCH(Z244,$A:$A,0)-1,O248)</f>
        <v>4</v>
      </c>
      <c r="Q248" s="144" t="s">
        <v>29</v>
      </c>
      <c r="R248" s="118">
        <f t="shared" ca="1" si="55"/>
        <v>295138</v>
      </c>
      <c r="S248" s="118">
        <f t="shared" ca="1" si="56"/>
        <v>1180552</v>
      </c>
      <c r="T248" s="118">
        <f ca="1">중급</f>
        <v>295138</v>
      </c>
      <c r="U248" s="118">
        <f t="shared" ca="1" si="57"/>
        <v>1180552</v>
      </c>
      <c r="V248" s="118"/>
      <c r="W248" s="118"/>
      <c r="X248" s="118"/>
      <c r="Y248" s="118"/>
      <c r="Z248" s="115"/>
    </row>
    <row r="249" spans="11:28" ht="18" customHeight="1">
      <c r="K249" s="171" t="s">
        <v>14</v>
      </c>
      <c r="L249" s="171"/>
      <c r="M249" s="171"/>
      <c r="N249" s="145" t="s">
        <v>41</v>
      </c>
      <c r="O249" s="173">
        <v>7</v>
      </c>
      <c r="P249" s="234">
        <f ca="1">OFFSET($A$1,MATCH(Z244,$A:$A,0)-1,O249)</f>
        <v>4</v>
      </c>
      <c r="Q249" s="144" t="s">
        <v>29</v>
      </c>
      <c r="R249" s="118">
        <f t="shared" ca="1" si="55"/>
        <v>235459</v>
      </c>
      <c r="S249" s="118">
        <f t="shared" ca="1" si="56"/>
        <v>941836</v>
      </c>
      <c r="T249" s="118">
        <f ca="1">초급</f>
        <v>235459</v>
      </c>
      <c r="U249" s="118">
        <f t="shared" ca="1" si="57"/>
        <v>941836</v>
      </c>
      <c r="V249" s="118"/>
      <c r="W249" s="118"/>
      <c r="X249" s="118"/>
      <c r="Y249" s="118"/>
      <c r="Z249" s="115"/>
    </row>
    <row r="250" spans="11:28" ht="18" customHeight="1">
      <c r="K250" s="171" t="s">
        <v>14</v>
      </c>
      <c r="L250" s="171"/>
      <c r="M250" s="171"/>
      <c r="N250" s="319" t="s">
        <v>42</v>
      </c>
      <c r="O250" s="174">
        <v>8</v>
      </c>
      <c r="P250" s="235">
        <f ca="1">OFFSET($A$1,MATCH(Z244,$A:$A,0)-1,O250)</f>
        <v>4</v>
      </c>
      <c r="Q250" s="322" t="s">
        <v>29</v>
      </c>
      <c r="R250" s="323">
        <f t="shared" ca="1" si="55"/>
        <v>250087</v>
      </c>
      <c r="S250" s="323">
        <f t="shared" ca="1" si="56"/>
        <v>1000348</v>
      </c>
      <c r="T250" s="323">
        <f ca="1">보조원</f>
        <v>250087</v>
      </c>
      <c r="U250" s="323">
        <f t="shared" ca="1" si="57"/>
        <v>1000348</v>
      </c>
      <c r="V250" s="323"/>
      <c r="W250" s="323"/>
      <c r="X250" s="323"/>
      <c r="Y250" s="323"/>
      <c r="Z250" s="324"/>
    </row>
    <row r="251" spans="11:28" ht="18" customHeight="1">
      <c r="K251" s="171" t="s">
        <v>14</v>
      </c>
      <c r="L251" s="171"/>
      <c r="M251" s="171"/>
      <c r="N251" s="139" t="s">
        <v>17</v>
      </c>
      <c r="O251" s="68"/>
      <c r="P251" s="69"/>
      <c r="Q251" s="70"/>
      <c r="R251" s="71"/>
      <c r="S251" s="71">
        <f ca="1">SUBTOTAL(9,S245:S250)</f>
        <v>5425644</v>
      </c>
      <c r="T251" s="71"/>
      <c r="U251" s="71">
        <f ca="1">SUBTOTAL(9,U245:U250)</f>
        <v>5425644</v>
      </c>
      <c r="V251" s="71"/>
      <c r="W251" s="71"/>
      <c r="X251" s="71"/>
      <c r="Y251" s="71"/>
      <c r="Z251" s="68"/>
    </row>
    <row r="252" spans="11:28" ht="18" customHeight="1">
      <c r="K252" s="171" t="s">
        <v>14</v>
      </c>
      <c r="L252" s="171"/>
      <c r="M252" s="171"/>
      <c r="N252" s="318" t="str">
        <f ca="1">"제 " &amp; Z252 &amp; " 호표  "&amp; OFFSET($A$1,MATCH(Z252,$A:$A,0)-1,1)</f>
        <v>제 23 호표  4.2. 주민간담회/시민계획단</v>
      </c>
      <c r="O252" s="221"/>
      <c r="P252" s="148"/>
      <c r="Q252" s="148"/>
      <c r="R252" s="149"/>
      <c r="S252" s="149"/>
      <c r="T252" s="149"/>
      <c r="U252" s="149"/>
      <c r="V252" s="149"/>
      <c r="W252" s="149"/>
      <c r="X252" s="149"/>
      <c r="Y252" s="149"/>
      <c r="Z252" s="325">
        <f>Z244+1</f>
        <v>23</v>
      </c>
    </row>
    <row r="253" spans="11:28" ht="18" customHeight="1">
      <c r="K253" s="171" t="s">
        <v>14</v>
      </c>
      <c r="L253" s="171"/>
      <c r="M253" s="171"/>
      <c r="N253" s="140" t="s">
        <v>43</v>
      </c>
      <c r="O253" s="172">
        <v>3</v>
      </c>
      <c r="P253" s="219">
        <f ca="1">OFFSET($A$1,MATCH(Z252,$A:$A,0)-1,O253)</f>
        <v>2</v>
      </c>
      <c r="Q253" s="141" t="s">
        <v>29</v>
      </c>
      <c r="R253" s="142">
        <f t="shared" ref="R253:R258" ca="1" si="58">T253</f>
        <v>467217</v>
      </c>
      <c r="S253" s="142">
        <f t="shared" ref="S253:S258" ca="1" si="59">U253</f>
        <v>934434</v>
      </c>
      <c r="T253" s="142">
        <f ca="1">기술사</f>
        <v>467217</v>
      </c>
      <c r="U253" s="142">
        <f t="shared" ref="U253:U258" ca="1" si="60">ROUNDDOWN(P253*R253,0)</f>
        <v>934434</v>
      </c>
      <c r="V253" s="142"/>
      <c r="W253" s="142"/>
      <c r="X253" s="142"/>
      <c r="Y253" s="142"/>
      <c r="Z253" s="114"/>
    </row>
    <row r="254" spans="11:28" ht="18" customHeight="1">
      <c r="K254" s="171" t="s">
        <v>14</v>
      </c>
      <c r="L254" s="171"/>
      <c r="M254" s="171"/>
      <c r="N254" s="143" t="s">
        <v>32</v>
      </c>
      <c r="O254" s="173">
        <v>4</v>
      </c>
      <c r="P254" s="234">
        <f ca="1">OFFSET($A$1,MATCH(Z252,$A:$A,0)-1,O254)</f>
        <v>2</v>
      </c>
      <c r="Q254" s="144" t="s">
        <v>29</v>
      </c>
      <c r="R254" s="118">
        <f t="shared" ca="1" si="58"/>
        <v>373353</v>
      </c>
      <c r="S254" s="118">
        <f t="shared" ca="1" si="59"/>
        <v>746706</v>
      </c>
      <c r="T254" s="118">
        <f ca="1">특급</f>
        <v>373353</v>
      </c>
      <c r="U254" s="118">
        <f t="shared" ca="1" si="60"/>
        <v>746706</v>
      </c>
      <c r="V254" s="118"/>
      <c r="W254" s="118"/>
      <c r="X254" s="118"/>
      <c r="Y254" s="118"/>
      <c r="Z254" s="115"/>
    </row>
    <row r="255" spans="11:28" ht="18" customHeight="1">
      <c r="K255" s="171" t="s">
        <v>14</v>
      </c>
      <c r="L255" s="171"/>
      <c r="M255" s="171"/>
      <c r="N255" s="145" t="s">
        <v>39</v>
      </c>
      <c r="O255" s="173">
        <v>5</v>
      </c>
      <c r="P255" s="234">
        <f ca="1">OFFSET($A$1,MATCH(Z252,$A:$A,0)-1,O255)</f>
        <v>2</v>
      </c>
      <c r="Q255" s="144" t="s">
        <v>29</v>
      </c>
      <c r="R255" s="118">
        <f t="shared" ca="1" si="58"/>
        <v>310884</v>
      </c>
      <c r="S255" s="118">
        <f t="shared" ca="1" si="59"/>
        <v>621768</v>
      </c>
      <c r="T255" s="118">
        <f ca="1">고급</f>
        <v>310884</v>
      </c>
      <c r="U255" s="118">
        <f t="shared" ca="1" si="60"/>
        <v>621768</v>
      </c>
      <c r="V255" s="118"/>
      <c r="W255" s="118"/>
      <c r="X255" s="118"/>
      <c r="Y255" s="118"/>
      <c r="Z255" s="115"/>
    </row>
    <row r="256" spans="11:28" ht="18" customHeight="1">
      <c r="K256" s="171" t="s">
        <v>14</v>
      </c>
      <c r="L256" s="171"/>
      <c r="M256" s="171"/>
      <c r="N256" s="145" t="s">
        <v>40</v>
      </c>
      <c r="O256" s="173">
        <v>6</v>
      </c>
      <c r="P256" s="234">
        <f ca="1">OFFSET($A$1,MATCH(Z252,$A:$A,0)-1,O256)</f>
        <v>4</v>
      </c>
      <c r="Q256" s="144" t="s">
        <v>29</v>
      </c>
      <c r="R256" s="118">
        <f t="shared" ca="1" si="58"/>
        <v>295138</v>
      </c>
      <c r="S256" s="118">
        <f t="shared" ca="1" si="59"/>
        <v>1180552</v>
      </c>
      <c r="T256" s="118">
        <f ca="1">중급</f>
        <v>295138</v>
      </c>
      <c r="U256" s="118">
        <f t="shared" ca="1" si="60"/>
        <v>1180552</v>
      </c>
      <c r="V256" s="118"/>
      <c r="W256" s="118"/>
      <c r="X256" s="118"/>
      <c r="Y256" s="118"/>
      <c r="Z256" s="115"/>
    </row>
    <row r="257" spans="11:28" ht="18" customHeight="1">
      <c r="K257" s="171" t="s">
        <v>14</v>
      </c>
      <c r="L257" s="171"/>
      <c r="M257" s="171"/>
      <c r="N257" s="145" t="s">
        <v>41</v>
      </c>
      <c r="O257" s="173">
        <v>7</v>
      </c>
      <c r="P257" s="234">
        <f ca="1">OFFSET($A$1,MATCH(Z252,$A:$A,0)-1,O257)</f>
        <v>4</v>
      </c>
      <c r="Q257" s="144" t="s">
        <v>29</v>
      </c>
      <c r="R257" s="118">
        <f t="shared" ca="1" si="58"/>
        <v>235459</v>
      </c>
      <c r="S257" s="118">
        <f t="shared" ca="1" si="59"/>
        <v>941836</v>
      </c>
      <c r="T257" s="118">
        <f ca="1">초급</f>
        <v>235459</v>
      </c>
      <c r="U257" s="118">
        <f t="shared" ca="1" si="60"/>
        <v>941836</v>
      </c>
      <c r="V257" s="118"/>
      <c r="W257" s="118"/>
      <c r="X257" s="118"/>
      <c r="Y257" s="118"/>
      <c r="Z257" s="115"/>
    </row>
    <row r="258" spans="11:28" ht="18" customHeight="1">
      <c r="K258" s="171" t="s">
        <v>14</v>
      </c>
      <c r="L258" s="171"/>
      <c r="M258" s="171"/>
      <c r="N258" s="319" t="s">
        <v>42</v>
      </c>
      <c r="O258" s="174">
        <v>8</v>
      </c>
      <c r="P258" s="235">
        <f ca="1">OFFSET($A$1,MATCH(Z252,$A:$A,0)-1,O258)</f>
        <v>4</v>
      </c>
      <c r="Q258" s="322" t="s">
        <v>29</v>
      </c>
      <c r="R258" s="323">
        <f t="shared" ca="1" si="58"/>
        <v>250087</v>
      </c>
      <c r="S258" s="323">
        <f t="shared" ca="1" si="59"/>
        <v>1000348</v>
      </c>
      <c r="T258" s="323">
        <f ca="1">보조원</f>
        <v>250087</v>
      </c>
      <c r="U258" s="323">
        <f t="shared" ca="1" si="60"/>
        <v>1000348</v>
      </c>
      <c r="V258" s="323"/>
      <c r="W258" s="323"/>
      <c r="X258" s="323"/>
      <c r="Y258" s="323"/>
      <c r="Z258" s="324"/>
    </row>
    <row r="259" spans="11:28" ht="18" customHeight="1">
      <c r="K259" s="171" t="s">
        <v>14</v>
      </c>
      <c r="L259" s="171"/>
      <c r="M259" s="171"/>
      <c r="N259" s="139" t="s">
        <v>17</v>
      </c>
      <c r="O259" s="68"/>
      <c r="P259" s="69"/>
      <c r="Q259" s="70"/>
      <c r="R259" s="71"/>
      <c r="S259" s="71">
        <f ca="1">SUBTOTAL(9,S253:S258)</f>
        <v>5425644</v>
      </c>
      <c r="T259" s="71"/>
      <c r="U259" s="71">
        <f ca="1">SUBTOTAL(9,U253:U258)</f>
        <v>5425644</v>
      </c>
      <c r="V259" s="71"/>
      <c r="W259" s="71"/>
      <c r="X259" s="71"/>
      <c r="Y259" s="71"/>
      <c r="Z259" s="68"/>
      <c r="AA259" s="171"/>
      <c r="AB259" s="171"/>
    </row>
    <row r="260" spans="11:28" ht="18" customHeight="1">
      <c r="K260" s="171" t="s">
        <v>14</v>
      </c>
      <c r="L260" s="171"/>
      <c r="M260" s="171"/>
      <c r="N260" s="318" t="str">
        <f ca="1">"제 " &amp; Z260 &amp; " 호표  "&amp; OFFSET($A$1,MATCH(Z260,$A:$A,0)-1,1)</f>
        <v>제 24 호표  4.3. 위원회심의 지원</v>
      </c>
      <c r="O260" s="221"/>
      <c r="P260" s="148"/>
      <c r="Q260" s="148"/>
      <c r="R260" s="149"/>
      <c r="S260" s="149"/>
      <c r="T260" s="149"/>
      <c r="U260" s="149"/>
      <c r="V260" s="149"/>
      <c r="W260" s="149"/>
      <c r="X260" s="149"/>
      <c r="Y260" s="149"/>
      <c r="Z260" s="325">
        <f>Z252+1</f>
        <v>24</v>
      </c>
      <c r="AA260" s="171"/>
      <c r="AB260" s="171"/>
    </row>
    <row r="261" spans="11:28" ht="18" customHeight="1">
      <c r="K261" s="171" t="s">
        <v>14</v>
      </c>
      <c r="L261" s="171"/>
      <c r="M261" s="171"/>
      <c r="N261" s="140" t="s">
        <v>43</v>
      </c>
      <c r="O261" s="172">
        <v>3</v>
      </c>
      <c r="P261" s="219">
        <f ca="1">OFFSET($A$1,MATCH(Z260,$A:$A,0)-1,O261)</f>
        <v>2</v>
      </c>
      <c r="Q261" s="141" t="s">
        <v>29</v>
      </c>
      <c r="R261" s="142">
        <f t="shared" ref="R261:R266" ca="1" si="61">T261</f>
        <v>467217</v>
      </c>
      <c r="S261" s="142">
        <f t="shared" ref="S261:S266" ca="1" si="62">U261</f>
        <v>934434</v>
      </c>
      <c r="T261" s="142">
        <f ca="1">기술사</f>
        <v>467217</v>
      </c>
      <c r="U261" s="142">
        <f t="shared" ref="U261:U266" ca="1" si="63">ROUNDDOWN(P261*R261,0)</f>
        <v>934434</v>
      </c>
      <c r="V261" s="142"/>
      <c r="W261" s="142"/>
      <c r="X261" s="142"/>
      <c r="Y261" s="142"/>
      <c r="Z261" s="114"/>
      <c r="AA261" s="171"/>
      <c r="AB261" s="171"/>
    </row>
    <row r="262" spans="11:28" ht="18" customHeight="1">
      <c r="K262" s="171" t="s">
        <v>14</v>
      </c>
      <c r="L262" s="171"/>
      <c r="M262" s="171"/>
      <c r="N262" s="143" t="s">
        <v>32</v>
      </c>
      <c r="O262" s="173">
        <v>4</v>
      </c>
      <c r="P262" s="234">
        <f ca="1">OFFSET($A$1,MATCH(Z260,$A:$A,0)-1,O262)</f>
        <v>2</v>
      </c>
      <c r="Q262" s="144" t="s">
        <v>29</v>
      </c>
      <c r="R262" s="118">
        <f t="shared" ca="1" si="61"/>
        <v>373353</v>
      </c>
      <c r="S262" s="118">
        <f t="shared" ca="1" si="62"/>
        <v>746706</v>
      </c>
      <c r="T262" s="118">
        <f ca="1">특급</f>
        <v>373353</v>
      </c>
      <c r="U262" s="118">
        <f t="shared" ca="1" si="63"/>
        <v>746706</v>
      </c>
      <c r="V262" s="118"/>
      <c r="W262" s="118"/>
      <c r="X262" s="118"/>
      <c r="Y262" s="118"/>
      <c r="Z262" s="115"/>
      <c r="AA262" s="171"/>
      <c r="AB262" s="171"/>
    </row>
    <row r="263" spans="11:28" ht="18" customHeight="1">
      <c r="K263" s="171" t="s">
        <v>14</v>
      </c>
      <c r="L263" s="171"/>
      <c r="M263" s="171"/>
      <c r="N263" s="145" t="s">
        <v>39</v>
      </c>
      <c r="O263" s="173">
        <v>5</v>
      </c>
      <c r="P263" s="234">
        <f ca="1">OFFSET($A$1,MATCH(Z260,$A:$A,0)-1,O263)</f>
        <v>2</v>
      </c>
      <c r="Q263" s="144" t="s">
        <v>29</v>
      </c>
      <c r="R263" s="118">
        <f t="shared" ca="1" si="61"/>
        <v>310884</v>
      </c>
      <c r="S263" s="118">
        <f t="shared" ca="1" si="62"/>
        <v>621768</v>
      </c>
      <c r="T263" s="118">
        <f ca="1">고급</f>
        <v>310884</v>
      </c>
      <c r="U263" s="118">
        <f t="shared" ca="1" si="63"/>
        <v>621768</v>
      </c>
      <c r="V263" s="118"/>
      <c r="W263" s="118"/>
      <c r="X263" s="118"/>
      <c r="Y263" s="118"/>
      <c r="Z263" s="115"/>
      <c r="AA263" s="171"/>
      <c r="AB263" s="171"/>
    </row>
    <row r="264" spans="11:28" ht="18" customHeight="1">
      <c r="K264" s="171" t="s">
        <v>14</v>
      </c>
      <c r="L264" s="171"/>
      <c r="M264" s="171"/>
      <c r="N264" s="145" t="s">
        <v>40</v>
      </c>
      <c r="O264" s="173">
        <v>6</v>
      </c>
      <c r="P264" s="234">
        <f ca="1">OFFSET($A$1,MATCH(Z260,$A:$A,0)-1,O264)</f>
        <v>4</v>
      </c>
      <c r="Q264" s="144" t="s">
        <v>29</v>
      </c>
      <c r="R264" s="118">
        <f t="shared" ca="1" si="61"/>
        <v>295138</v>
      </c>
      <c r="S264" s="118">
        <f t="shared" ca="1" si="62"/>
        <v>1180552</v>
      </c>
      <c r="T264" s="118">
        <f ca="1">중급</f>
        <v>295138</v>
      </c>
      <c r="U264" s="118">
        <f t="shared" ca="1" si="63"/>
        <v>1180552</v>
      </c>
      <c r="V264" s="118"/>
      <c r="W264" s="118"/>
      <c r="X264" s="118"/>
      <c r="Y264" s="118"/>
      <c r="Z264" s="115"/>
      <c r="AA264" s="171"/>
      <c r="AB264" s="171"/>
    </row>
    <row r="265" spans="11:28" ht="18" customHeight="1">
      <c r="K265" s="171" t="s">
        <v>14</v>
      </c>
      <c r="L265" s="171"/>
      <c r="M265" s="171"/>
      <c r="N265" s="145" t="s">
        <v>41</v>
      </c>
      <c r="O265" s="173">
        <v>7</v>
      </c>
      <c r="P265" s="234">
        <f ca="1">OFFSET($A$1,MATCH(Z260,$A:$A,0)-1,O265)</f>
        <v>4</v>
      </c>
      <c r="Q265" s="144" t="s">
        <v>29</v>
      </c>
      <c r="R265" s="118">
        <f t="shared" ca="1" si="61"/>
        <v>235459</v>
      </c>
      <c r="S265" s="118">
        <f t="shared" ca="1" si="62"/>
        <v>941836</v>
      </c>
      <c r="T265" s="118">
        <f ca="1">초급</f>
        <v>235459</v>
      </c>
      <c r="U265" s="118">
        <f t="shared" ca="1" si="63"/>
        <v>941836</v>
      </c>
      <c r="V265" s="118"/>
      <c r="W265" s="118"/>
      <c r="X265" s="118"/>
      <c r="Y265" s="118"/>
      <c r="Z265" s="115"/>
      <c r="AA265" s="171"/>
      <c r="AB265" s="171"/>
    </row>
    <row r="266" spans="11:28" ht="18" customHeight="1">
      <c r="K266" s="171" t="s">
        <v>14</v>
      </c>
      <c r="L266" s="171"/>
      <c r="M266" s="171"/>
      <c r="N266" s="319" t="s">
        <v>42</v>
      </c>
      <c r="O266" s="174">
        <v>8</v>
      </c>
      <c r="P266" s="235">
        <f ca="1">OFFSET($A$1,MATCH(Z260,$A:$A,0)-1,O266)</f>
        <v>4</v>
      </c>
      <c r="Q266" s="322" t="s">
        <v>29</v>
      </c>
      <c r="R266" s="323">
        <f t="shared" ca="1" si="61"/>
        <v>250087</v>
      </c>
      <c r="S266" s="323">
        <f t="shared" ca="1" si="62"/>
        <v>1000348</v>
      </c>
      <c r="T266" s="323">
        <f ca="1">보조원</f>
        <v>250087</v>
      </c>
      <c r="U266" s="323">
        <f t="shared" ca="1" si="63"/>
        <v>1000348</v>
      </c>
      <c r="V266" s="323"/>
      <c r="W266" s="323"/>
      <c r="X266" s="323"/>
      <c r="Y266" s="323"/>
      <c r="Z266" s="324"/>
      <c r="AA266" s="171"/>
      <c r="AB266" s="171"/>
    </row>
    <row r="267" spans="11:28" ht="18" customHeight="1">
      <c r="K267" s="171" t="s">
        <v>14</v>
      </c>
      <c r="L267" s="171"/>
      <c r="M267" s="171"/>
      <c r="N267" s="139" t="s">
        <v>17</v>
      </c>
      <c r="O267" s="68"/>
      <c r="P267" s="69"/>
      <c r="Q267" s="70"/>
      <c r="R267" s="71"/>
      <c r="S267" s="71">
        <f ca="1">SUBTOTAL(9,S261:S266)</f>
        <v>5425644</v>
      </c>
      <c r="T267" s="71"/>
      <c r="U267" s="71">
        <f ca="1">SUBTOTAL(9,U261:U266)</f>
        <v>5425644</v>
      </c>
      <c r="V267" s="71"/>
      <c r="W267" s="71"/>
      <c r="X267" s="71"/>
      <c r="Y267" s="71"/>
      <c r="Z267" s="68"/>
      <c r="AA267" s="171"/>
      <c r="AB267" s="171"/>
    </row>
    <row r="268" spans="11:28" ht="18" customHeight="1">
      <c r="K268" s="171" t="s">
        <v>14</v>
      </c>
      <c r="L268" s="171"/>
      <c r="M268" s="171"/>
      <c r="N268" s="318" t="str">
        <f ca="1">"제 " &amp; Z268 &amp; " 호표  "&amp; OFFSET($A$1,MATCH(Z268,$A:$A,0)-1,1)</f>
        <v>제 25 호표  4.4. 관계기관 협의</v>
      </c>
      <c r="O268" s="221"/>
      <c r="P268" s="148"/>
      <c r="Q268" s="148"/>
      <c r="R268" s="149"/>
      <c r="S268" s="149"/>
      <c r="T268" s="149"/>
      <c r="U268" s="149"/>
      <c r="V268" s="149"/>
      <c r="W268" s="149"/>
      <c r="X268" s="149"/>
      <c r="Y268" s="149"/>
      <c r="Z268" s="325">
        <f>Z260+1</f>
        <v>25</v>
      </c>
      <c r="AA268" s="171"/>
      <c r="AB268" s="171"/>
    </row>
    <row r="269" spans="11:28" ht="18" customHeight="1">
      <c r="K269" s="171" t="s">
        <v>14</v>
      </c>
      <c r="L269" s="171"/>
      <c r="M269" s="171"/>
      <c r="N269" s="140" t="s">
        <v>43</v>
      </c>
      <c r="O269" s="172">
        <v>3</v>
      </c>
      <c r="P269" s="219">
        <f ca="1">OFFSET($A$1,MATCH(Z268,$A:$A,0)-1,O269)</f>
        <v>2</v>
      </c>
      <c r="Q269" s="141" t="s">
        <v>29</v>
      </c>
      <c r="R269" s="142">
        <f t="shared" ref="R269:R274" ca="1" si="64">T269</f>
        <v>467217</v>
      </c>
      <c r="S269" s="142">
        <f t="shared" ref="S269:S274" ca="1" si="65">U269</f>
        <v>934434</v>
      </c>
      <c r="T269" s="142">
        <f ca="1">기술사</f>
        <v>467217</v>
      </c>
      <c r="U269" s="142">
        <f t="shared" ref="U269:U274" ca="1" si="66">ROUNDDOWN(P269*R269,0)</f>
        <v>934434</v>
      </c>
      <c r="V269" s="142"/>
      <c r="W269" s="142"/>
      <c r="X269" s="142"/>
      <c r="Y269" s="142"/>
      <c r="Z269" s="114"/>
      <c r="AA269" s="171"/>
      <c r="AB269" s="171"/>
    </row>
    <row r="270" spans="11:28" ht="18" customHeight="1">
      <c r="K270" s="171" t="s">
        <v>14</v>
      </c>
      <c r="L270" s="171"/>
      <c r="M270" s="171"/>
      <c r="N270" s="143" t="s">
        <v>32</v>
      </c>
      <c r="O270" s="173">
        <v>4</v>
      </c>
      <c r="P270" s="234">
        <f ca="1">OFFSET($A$1,MATCH(Z268,$A:$A,0)-1,O270)</f>
        <v>2</v>
      </c>
      <c r="Q270" s="144" t="s">
        <v>29</v>
      </c>
      <c r="R270" s="118">
        <f t="shared" ca="1" si="64"/>
        <v>373353</v>
      </c>
      <c r="S270" s="118">
        <f t="shared" ca="1" si="65"/>
        <v>746706</v>
      </c>
      <c r="T270" s="118">
        <f ca="1">특급</f>
        <v>373353</v>
      </c>
      <c r="U270" s="118">
        <f t="shared" ca="1" si="66"/>
        <v>746706</v>
      </c>
      <c r="V270" s="118"/>
      <c r="W270" s="118"/>
      <c r="X270" s="118"/>
      <c r="Y270" s="118"/>
      <c r="Z270" s="115"/>
      <c r="AA270" s="171"/>
      <c r="AB270" s="171"/>
    </row>
    <row r="271" spans="11:28" ht="18" customHeight="1">
      <c r="K271" s="171" t="s">
        <v>14</v>
      </c>
      <c r="L271" s="171"/>
      <c r="M271" s="171"/>
      <c r="N271" s="145" t="s">
        <v>39</v>
      </c>
      <c r="O271" s="173">
        <v>5</v>
      </c>
      <c r="P271" s="234">
        <f ca="1">OFFSET($A$1,MATCH(Z268,$A:$A,0)-1,O271)</f>
        <v>2</v>
      </c>
      <c r="Q271" s="144" t="s">
        <v>29</v>
      </c>
      <c r="R271" s="118">
        <f t="shared" ca="1" si="64"/>
        <v>310884</v>
      </c>
      <c r="S271" s="118">
        <f t="shared" ca="1" si="65"/>
        <v>621768</v>
      </c>
      <c r="T271" s="118">
        <f ca="1">고급</f>
        <v>310884</v>
      </c>
      <c r="U271" s="118">
        <f t="shared" ca="1" si="66"/>
        <v>621768</v>
      </c>
      <c r="V271" s="118"/>
      <c r="W271" s="118"/>
      <c r="X271" s="118"/>
      <c r="Y271" s="118"/>
      <c r="Z271" s="115"/>
      <c r="AA271" s="171"/>
      <c r="AB271" s="171"/>
    </row>
    <row r="272" spans="11:28" ht="18" customHeight="1">
      <c r="K272" s="171" t="s">
        <v>14</v>
      </c>
      <c r="L272" s="171"/>
      <c r="M272" s="171"/>
      <c r="N272" s="145" t="s">
        <v>40</v>
      </c>
      <c r="O272" s="173">
        <v>6</v>
      </c>
      <c r="P272" s="234">
        <f ca="1">OFFSET($A$1,MATCH(Z268,$A:$A,0)-1,O272)</f>
        <v>4</v>
      </c>
      <c r="Q272" s="144" t="s">
        <v>29</v>
      </c>
      <c r="R272" s="118">
        <f t="shared" ca="1" si="64"/>
        <v>295138</v>
      </c>
      <c r="S272" s="118">
        <f t="shared" ca="1" si="65"/>
        <v>1180552</v>
      </c>
      <c r="T272" s="118">
        <f ca="1">중급</f>
        <v>295138</v>
      </c>
      <c r="U272" s="118">
        <f t="shared" ca="1" si="66"/>
        <v>1180552</v>
      </c>
      <c r="V272" s="118"/>
      <c r="W272" s="118"/>
      <c r="X272" s="118"/>
      <c r="Y272" s="118"/>
      <c r="Z272" s="115"/>
      <c r="AA272" s="171"/>
      <c r="AB272" s="171"/>
    </row>
    <row r="273" spans="11:28" ht="18" customHeight="1">
      <c r="K273" s="171" t="s">
        <v>14</v>
      </c>
      <c r="L273" s="171"/>
      <c r="M273" s="171"/>
      <c r="N273" s="145" t="s">
        <v>41</v>
      </c>
      <c r="O273" s="173">
        <v>7</v>
      </c>
      <c r="P273" s="234">
        <f ca="1">OFFSET($A$1,MATCH(Z268,$A:$A,0)-1,O273)</f>
        <v>4</v>
      </c>
      <c r="Q273" s="144" t="s">
        <v>29</v>
      </c>
      <c r="R273" s="118">
        <f t="shared" ca="1" si="64"/>
        <v>235459</v>
      </c>
      <c r="S273" s="118">
        <f t="shared" ca="1" si="65"/>
        <v>941836</v>
      </c>
      <c r="T273" s="118">
        <f ca="1">초급</f>
        <v>235459</v>
      </c>
      <c r="U273" s="118">
        <f t="shared" ca="1" si="66"/>
        <v>941836</v>
      </c>
      <c r="V273" s="118"/>
      <c r="W273" s="118"/>
      <c r="X273" s="118"/>
      <c r="Y273" s="118"/>
      <c r="Z273" s="115"/>
      <c r="AA273" s="171"/>
      <c r="AB273" s="171"/>
    </row>
    <row r="274" spans="11:28" ht="18" customHeight="1">
      <c r="K274" s="171" t="s">
        <v>14</v>
      </c>
      <c r="L274" s="171"/>
      <c r="M274" s="171"/>
      <c r="N274" s="319" t="s">
        <v>42</v>
      </c>
      <c r="O274" s="174">
        <v>8</v>
      </c>
      <c r="P274" s="235">
        <f ca="1">OFFSET($A$1,MATCH(Z268,$A:$A,0)-1,O274)</f>
        <v>4</v>
      </c>
      <c r="Q274" s="322" t="s">
        <v>29</v>
      </c>
      <c r="R274" s="323">
        <f t="shared" ca="1" si="64"/>
        <v>250087</v>
      </c>
      <c r="S274" s="323">
        <f t="shared" ca="1" si="65"/>
        <v>1000348</v>
      </c>
      <c r="T274" s="323">
        <f ca="1">보조원</f>
        <v>250087</v>
      </c>
      <c r="U274" s="323">
        <f t="shared" ca="1" si="66"/>
        <v>1000348</v>
      </c>
      <c r="V274" s="323"/>
      <c r="W274" s="323"/>
      <c r="X274" s="323"/>
      <c r="Y274" s="323"/>
      <c r="Z274" s="324"/>
    </row>
    <row r="275" spans="11:28" ht="18" customHeight="1">
      <c r="K275" s="171" t="s">
        <v>14</v>
      </c>
      <c r="L275" s="171"/>
      <c r="M275" s="171"/>
      <c r="N275" s="139" t="s">
        <v>17</v>
      </c>
      <c r="O275" s="68"/>
      <c r="P275" s="69"/>
      <c r="Q275" s="70"/>
      <c r="R275" s="71"/>
      <c r="S275" s="71">
        <f ca="1">SUBTOTAL(9,S269:S274)</f>
        <v>5425644</v>
      </c>
      <c r="T275" s="71"/>
      <c r="U275" s="71">
        <f ca="1">SUBTOTAL(9,U269:U274)</f>
        <v>5425644</v>
      </c>
      <c r="V275" s="71"/>
      <c r="W275" s="71"/>
      <c r="X275" s="71"/>
      <c r="Y275" s="71"/>
      <c r="Z275" s="68"/>
    </row>
    <row r="276" spans="11:28" ht="18" customHeight="1">
      <c r="K276" s="171" t="s">
        <v>14</v>
      </c>
      <c r="L276" s="171"/>
      <c r="M276" s="171"/>
      <c r="P276" s="236"/>
    </row>
    <row r="277" spans="11:28" ht="18" customHeight="1">
      <c r="K277" s="171" t="s">
        <v>14</v>
      </c>
      <c r="L277" s="171"/>
      <c r="M277" s="171"/>
      <c r="P277" s="236"/>
    </row>
    <row r="278" spans="11:28" ht="18" customHeight="1">
      <c r="K278" s="171" t="s">
        <v>14</v>
      </c>
      <c r="L278" s="171"/>
      <c r="M278" s="171"/>
      <c r="P278" s="236"/>
    </row>
    <row r="279" spans="11:28" ht="18" customHeight="1">
      <c r="K279" s="171" t="s">
        <v>14</v>
      </c>
      <c r="L279" s="171"/>
      <c r="M279" s="171"/>
      <c r="P279" s="236"/>
    </row>
    <row r="280" spans="11:28" ht="18" customHeight="1">
      <c r="K280" s="171" t="s">
        <v>14</v>
      </c>
      <c r="L280" s="171"/>
      <c r="M280" s="171"/>
      <c r="P280" s="236"/>
    </row>
    <row r="281" spans="11:28" ht="18" customHeight="1">
      <c r="K281" s="171" t="s">
        <v>14</v>
      </c>
      <c r="L281" s="171"/>
      <c r="M281" s="171"/>
      <c r="P281" s="236"/>
    </row>
    <row r="282" spans="11:28" ht="18" customHeight="1">
      <c r="K282" s="171" t="s">
        <v>14</v>
      </c>
      <c r="L282" s="171"/>
      <c r="M282" s="171"/>
      <c r="P282" s="236"/>
    </row>
    <row r="283" spans="11:28" ht="18" customHeight="1">
      <c r="K283" s="171" t="s">
        <v>14</v>
      </c>
      <c r="L283" s="171"/>
      <c r="M283" s="171"/>
      <c r="P283" s="236"/>
    </row>
    <row r="284" spans="11:28" ht="18" customHeight="1">
      <c r="K284" s="171" t="s">
        <v>14</v>
      </c>
      <c r="L284" s="171"/>
      <c r="M284" s="171"/>
      <c r="P284" s="236"/>
    </row>
    <row r="285" spans="11:28" ht="18" customHeight="1">
      <c r="K285" s="171" t="s">
        <v>14</v>
      </c>
      <c r="L285" s="171"/>
      <c r="M285" s="171"/>
      <c r="P285" s="236"/>
    </row>
    <row r="286" spans="11:28" ht="18" customHeight="1">
      <c r="K286" s="171" t="s">
        <v>14</v>
      </c>
      <c r="L286" s="171"/>
      <c r="M286" s="171"/>
      <c r="P286" s="236"/>
    </row>
    <row r="287" spans="11:28" ht="18" customHeight="1">
      <c r="K287" s="171" t="s">
        <v>14</v>
      </c>
      <c r="L287" s="171"/>
      <c r="M287" s="171"/>
      <c r="P287" s="236"/>
    </row>
    <row r="288" spans="11:28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  <c r="P740" s="236"/>
    </row>
    <row r="741" spans="11:16" ht="18" customHeight="1">
      <c r="K741" s="171" t="s">
        <v>14</v>
      </c>
      <c r="L741" s="171"/>
      <c r="M741" s="171"/>
      <c r="P741" s="236"/>
    </row>
    <row r="742" spans="11:16" ht="18" customHeight="1">
      <c r="K742" s="171" t="s">
        <v>14</v>
      </c>
      <c r="L742" s="171"/>
      <c r="M742" s="171"/>
      <c r="P742" s="236"/>
    </row>
    <row r="743" spans="11:16" ht="18" customHeight="1">
      <c r="K743" s="171" t="s">
        <v>14</v>
      </c>
      <c r="L743" s="171"/>
      <c r="M743" s="171"/>
      <c r="P743" s="236"/>
    </row>
    <row r="744" spans="11:16" ht="18" customHeight="1">
      <c r="K744" s="171" t="s">
        <v>14</v>
      </c>
      <c r="L744" s="171"/>
      <c r="M744" s="171"/>
      <c r="P744" s="236"/>
    </row>
    <row r="745" spans="11:16" ht="18" customHeight="1">
      <c r="K745" s="171" t="s">
        <v>14</v>
      </c>
      <c r="L745" s="171"/>
      <c r="M745" s="171"/>
      <c r="P745" s="236"/>
    </row>
    <row r="746" spans="11:16" ht="18" customHeight="1">
      <c r="K746" s="171" t="s">
        <v>14</v>
      </c>
      <c r="L746" s="171"/>
      <c r="M746" s="171"/>
      <c r="P746" s="236"/>
    </row>
    <row r="747" spans="11:16" ht="18" customHeight="1">
      <c r="K747" s="171" t="s">
        <v>14</v>
      </c>
      <c r="L747" s="171"/>
      <c r="M747" s="171"/>
      <c r="P747" s="236"/>
    </row>
    <row r="748" spans="11:16" ht="18" customHeight="1">
      <c r="K748" s="171" t="s">
        <v>14</v>
      </c>
      <c r="L748" s="171"/>
      <c r="M748" s="171"/>
      <c r="P748" s="236"/>
    </row>
    <row r="749" spans="11:16" ht="18" customHeight="1">
      <c r="K749" s="171" t="s">
        <v>14</v>
      </c>
      <c r="L749" s="171"/>
      <c r="M749" s="171"/>
      <c r="P749" s="236"/>
    </row>
    <row r="750" spans="11:16" ht="18" customHeight="1">
      <c r="K750" s="171" t="s">
        <v>14</v>
      </c>
      <c r="L750" s="171"/>
      <c r="M750" s="171"/>
      <c r="P750" s="236"/>
    </row>
    <row r="751" spans="11:16" ht="18" customHeight="1">
      <c r="K751" s="171" t="s">
        <v>14</v>
      </c>
      <c r="L751" s="171"/>
      <c r="M751" s="171"/>
    </row>
    <row r="752" spans="11:16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M813" s="171"/>
    </row>
    <row r="814" spans="11:13" ht="18" customHeight="1">
      <c r="K814" s="171" t="s">
        <v>14</v>
      </c>
      <c r="M814" s="171"/>
    </row>
    <row r="815" spans="11:13" ht="18" customHeight="1">
      <c r="K815" s="171" t="s">
        <v>14</v>
      </c>
      <c r="M815" s="171"/>
    </row>
    <row r="816" spans="11:13" ht="18" customHeight="1">
      <c r="K816" s="171" t="s">
        <v>14</v>
      </c>
      <c r="M816" s="171"/>
    </row>
    <row r="817" spans="11:13" ht="18" customHeight="1">
      <c r="K817" s="171" t="s">
        <v>14</v>
      </c>
      <c r="M817" s="171"/>
    </row>
    <row r="818" spans="11:13" ht="18" customHeight="1">
      <c r="K818" s="171" t="s">
        <v>14</v>
      </c>
      <c r="M818" s="171"/>
    </row>
    <row r="819" spans="11:13" ht="18" customHeight="1">
      <c r="M819" s="171"/>
    </row>
    <row r="820" spans="11:13" ht="18" customHeight="1">
      <c r="M820" s="171"/>
    </row>
  </sheetData>
  <mergeCells count="17">
    <mergeCell ref="O74:O75"/>
    <mergeCell ref="P74:P75"/>
    <mergeCell ref="Q74:Q75"/>
    <mergeCell ref="Z74:Z75"/>
    <mergeCell ref="D3:E3"/>
    <mergeCell ref="G3:H3"/>
    <mergeCell ref="D4:E4"/>
    <mergeCell ref="G4:H4"/>
    <mergeCell ref="D5:E5"/>
    <mergeCell ref="G5:H5"/>
    <mergeCell ref="B13:C14"/>
    <mergeCell ref="J13:J14"/>
    <mergeCell ref="L13:L14"/>
    <mergeCell ref="N74:N75"/>
    <mergeCell ref="B3:C3"/>
    <mergeCell ref="B4:C4"/>
    <mergeCell ref="B5:C5"/>
  </mergeCells>
  <phoneticPr fontId="14" type="noConversion"/>
  <conditionalFormatting sqref="V15:V43">
    <cfRule type="cellIs" dxfId="38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9" min="13" max="28" man="1"/>
    <brk id="86" min="13" max="28" man="1"/>
    <brk id="107" min="13" max="28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Sheet79">
    <tabColor rgb="FF00B0F0"/>
    <pageSetUpPr fitToPage="1"/>
  </sheetPr>
  <dimension ref="A1:AB817"/>
  <sheetViews>
    <sheetView showGridLines="0" zoomScale="85" zoomScaleNormal="85" zoomScaleSheetLayoutView="75" workbookViewId="0">
      <selection activeCell="B5" sqref="B5:C5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563</v>
      </c>
    </row>
    <row r="2" spans="1:27" ht="19.5" thickBot="1">
      <c r="B2" s="66" t="s">
        <v>1</v>
      </c>
    </row>
    <row r="3" spans="1:27" ht="18" customHeight="1">
      <c r="B3" s="773" t="s">
        <v>565</v>
      </c>
      <c r="C3" s="774"/>
      <c r="D3" s="809">
        <v>150</v>
      </c>
      <c r="E3" s="845"/>
      <c r="F3" s="726" t="s">
        <v>414</v>
      </c>
      <c r="G3" s="838" t="s">
        <v>1104</v>
      </c>
      <c r="H3" s="839"/>
      <c r="I3" s="656">
        <v>2</v>
      </c>
      <c r="J3" s="669" t="s">
        <v>794</v>
      </c>
    </row>
    <row r="4" spans="1:27" ht="18" customHeight="1">
      <c r="B4" s="777" t="s">
        <v>1210</v>
      </c>
      <c r="C4" s="778"/>
      <c r="D4" s="811">
        <v>150</v>
      </c>
      <c r="E4" s="846"/>
      <c r="F4" s="727" t="str">
        <f>F3</f>
        <v>만인</v>
      </c>
      <c r="G4" s="777" t="s">
        <v>1109</v>
      </c>
      <c r="H4" s="814"/>
      <c r="I4" s="298">
        <v>2</v>
      </c>
      <c r="J4" s="670" t="s">
        <v>794</v>
      </c>
    </row>
    <row r="5" spans="1:27" ht="18" customHeight="1" thickBot="1">
      <c r="B5" s="781" t="s">
        <v>564</v>
      </c>
      <c r="C5" s="782"/>
      <c r="D5" s="783">
        <f>ROUND((IF(D4&lt;=10,10,D4)/D3)^0.6,3)</f>
        <v>1</v>
      </c>
      <c r="E5" s="784"/>
      <c r="F5" s="244"/>
      <c r="G5" s="817" t="s">
        <v>1102</v>
      </c>
      <c r="H5" s="818"/>
      <c r="I5" s="646">
        <f>ROUND(I4/I3,3)</f>
        <v>1</v>
      </c>
      <c r="J5" s="671"/>
      <c r="U5" s="6">
        <f t="array" aca="1" ref="U5" ca="1">SUM((N68:N203=N75)*S68:S203)</f>
        <v>421245644</v>
      </c>
    </row>
    <row r="6" spans="1:27" ht="18" customHeight="1">
      <c r="B6" s="9" t="s">
        <v>2200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B7" s="9" t="s">
        <v>2201</v>
      </c>
      <c r="C7" s="9"/>
      <c r="D7" s="64"/>
      <c r="E7" s="64"/>
      <c r="G7" s="36"/>
      <c r="R7" s="1"/>
      <c r="S7" s="1"/>
      <c r="T7" s="1"/>
    </row>
    <row r="8" spans="1:27" ht="18" customHeight="1">
      <c r="B8" s="9"/>
      <c r="C8" s="9"/>
      <c r="D8" s="64"/>
      <c r="E8" s="64"/>
      <c r="G8" s="36"/>
      <c r="R8" s="1"/>
      <c r="S8" s="1"/>
      <c r="T8" s="1"/>
    </row>
    <row r="9" spans="1:27" ht="18" customHeight="1">
      <c r="B9" s="9"/>
      <c r="C9" s="9"/>
      <c r="D9" s="64"/>
      <c r="E9" s="64"/>
      <c r="G9" s="36"/>
      <c r="R9" s="1"/>
      <c r="S9" s="1"/>
      <c r="T9" s="1"/>
    </row>
    <row r="10" spans="1:27" ht="18" customHeight="1">
      <c r="G10" s="36"/>
      <c r="W10" s="188" t="s">
        <v>3</v>
      </c>
      <c r="X10" s="189"/>
    </row>
    <row r="11" spans="1:27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7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SUBTOTAL(9,W13:W42)</f>
        <v>1181881574</v>
      </c>
      <c r="X12" s="187"/>
      <c r="Y12" s="177"/>
      <c r="Z12" s="167"/>
    </row>
    <row r="13" spans="1:27" ht="18" customHeight="1">
      <c r="A13" s="326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SUBTOTAL(9,W14:W39)</f>
        <v>425745644</v>
      </c>
      <c r="X13" s="164"/>
      <c r="Y13" s="178" t="s">
        <v>9</v>
      </c>
      <c r="Z13" s="179"/>
    </row>
    <row r="14" spans="1:27" ht="18" customHeight="1" thickBot="1">
      <c r="A14" s="326"/>
      <c r="B14" s="759"/>
      <c r="C14" s="760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181"/>
      <c r="V14" s="218"/>
      <c r="W14" s="159">
        <f ca="1">SUBTOTAL(9,W15:W35)</f>
        <v>421245644</v>
      </c>
      <c r="X14" s="160"/>
      <c r="Y14" s="168"/>
      <c r="Z14" s="168"/>
    </row>
    <row r="15" spans="1:27" ht="18" customHeight="1">
      <c r="A15" s="355"/>
      <c r="B15" s="73" t="s">
        <v>2180</v>
      </c>
      <c r="C15" s="72"/>
      <c r="D15" s="30">
        <f t="shared" ref="D15:I15" si="0">SUBTOTAL(9,D16:D19)</f>
        <v>11</v>
      </c>
      <c r="E15" s="31">
        <f t="shared" si="0"/>
        <v>18</v>
      </c>
      <c r="F15" s="31">
        <f t="shared" si="0"/>
        <v>60.7</v>
      </c>
      <c r="G15" s="31">
        <f t="shared" si="0"/>
        <v>98.9</v>
      </c>
      <c r="H15" s="31">
        <f t="shared" si="0"/>
        <v>143.9</v>
      </c>
      <c r="I15" s="32">
        <f t="shared" si="0"/>
        <v>156.69999999999999</v>
      </c>
      <c r="J15" s="678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SUBTOTAL(9,W16:W19)</f>
        <v>132990722</v>
      </c>
      <c r="X15" s="194"/>
      <c r="Y15" s="170" t="str">
        <f>IF(A36&gt;0, "제 " &amp;A36&amp; " 호표","")</f>
        <v/>
      </c>
      <c r="Z15" s="170"/>
      <c r="AA15" s="229"/>
    </row>
    <row r="16" spans="1:27" ht="18" customHeight="1">
      <c r="A16" s="355"/>
      <c r="B16" s="409" t="s">
        <v>2181</v>
      </c>
      <c r="C16" s="237"/>
      <c r="D16" s="20">
        <v>5.9</v>
      </c>
      <c r="E16" s="21">
        <v>9.5</v>
      </c>
      <c r="F16" s="21">
        <v>39.700000000000003</v>
      </c>
      <c r="G16" s="21">
        <v>59.9</v>
      </c>
      <c r="H16" s="21">
        <v>99.4</v>
      </c>
      <c r="I16" s="22">
        <v>107.3</v>
      </c>
      <c r="J16" s="389" t="s">
        <v>2193</v>
      </c>
      <c r="L16" s="233">
        <v>1</v>
      </c>
      <c r="N16" s="292" t="str">
        <f t="shared" ref="N16:N35" si="1">B16</f>
        <v>1.1. 도시 일반현황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SUM((ROUNDDOWN((D38:I38)*단가,0)))</f>
        <v>86563252</v>
      </c>
      <c r="X16" s="154"/>
      <c r="Y16" s="170" t="str">
        <f>IF(A38&gt;0, "제 " &amp;A38&amp; " 호표","")</f>
        <v>제 1 호표</v>
      </c>
      <c r="Z16" s="150"/>
    </row>
    <row r="17" spans="1:26" ht="18" customHeight="1">
      <c r="A17" s="355"/>
      <c r="B17" s="409" t="s">
        <v>2182</v>
      </c>
      <c r="C17" s="237"/>
      <c r="D17" s="20">
        <v>1.3</v>
      </c>
      <c r="E17" s="21">
        <v>2.1</v>
      </c>
      <c r="F17" s="21">
        <v>2.8</v>
      </c>
      <c r="G17" s="21">
        <v>7.8</v>
      </c>
      <c r="H17" s="21">
        <v>7.8</v>
      </c>
      <c r="I17" s="22">
        <v>10.5</v>
      </c>
      <c r="J17" s="389" t="s">
        <v>1090</v>
      </c>
      <c r="L17" s="233">
        <v>1</v>
      </c>
      <c r="N17" s="292" t="str">
        <f t="shared" si="1"/>
        <v>1.2. 관련계획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SUM((ROUNDDOWN((D39:I39)*단가,0)))</f>
        <v>9026467</v>
      </c>
      <c r="X17" s="154"/>
      <c r="Y17" s="170" t="str">
        <f t="shared" ref="Y17:Y35" si="2">IF(A39&gt;0, "제 " &amp;A39&amp; " 호표","")</f>
        <v>제 2 호표</v>
      </c>
      <c r="Z17" s="150"/>
    </row>
    <row r="18" spans="1:26" ht="18" customHeight="1">
      <c r="A18" s="355"/>
      <c r="B18" s="409" t="s">
        <v>2183</v>
      </c>
      <c r="C18" s="237"/>
      <c r="D18" s="20">
        <v>1</v>
      </c>
      <c r="E18" s="21">
        <v>2</v>
      </c>
      <c r="F18" s="21">
        <v>4.9000000000000004</v>
      </c>
      <c r="G18" s="21">
        <v>12.7</v>
      </c>
      <c r="H18" s="21">
        <v>15.2</v>
      </c>
      <c r="I18" s="22">
        <v>17.8</v>
      </c>
      <c r="J18" s="389" t="s">
        <v>1090</v>
      </c>
      <c r="L18" s="233">
        <v>1</v>
      </c>
      <c r="N18" s="292" t="str">
        <f t="shared" si="1"/>
        <v>1.3. 공동주택현황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SUM((ROUNDDOWN((D40:I40)*단가,0)))</f>
        <v>14516030</v>
      </c>
      <c r="X18" s="154"/>
      <c r="Y18" s="170" t="str">
        <f t="shared" si="2"/>
        <v>제 3 호표</v>
      </c>
      <c r="Z18" s="150"/>
    </row>
    <row r="19" spans="1:26" ht="18" customHeight="1">
      <c r="A19" s="355"/>
      <c r="B19" s="410" t="s">
        <v>2184</v>
      </c>
      <c r="C19" s="237"/>
      <c r="D19" s="20">
        <v>2.8</v>
      </c>
      <c r="E19" s="21">
        <v>4.4000000000000004</v>
      </c>
      <c r="F19" s="21">
        <v>13.3</v>
      </c>
      <c r="G19" s="21">
        <v>18.5</v>
      </c>
      <c r="H19" s="21">
        <v>21.5</v>
      </c>
      <c r="I19" s="22">
        <v>21.1</v>
      </c>
      <c r="J19" s="443" t="s">
        <v>1090</v>
      </c>
      <c r="L19" s="233">
        <v>1</v>
      </c>
      <c r="N19" s="292" t="str">
        <f t="shared" si="1"/>
        <v>1.4. 기반시설현황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SUM((ROUNDDOWN((D41:I41)*단가,0)))</f>
        <v>22884973</v>
      </c>
      <c r="X19" s="154"/>
      <c r="Y19" s="170" t="str">
        <f t="shared" si="2"/>
        <v>제 4 호표</v>
      </c>
      <c r="Z19" s="150"/>
    </row>
    <row r="20" spans="1:26" ht="18" customHeight="1">
      <c r="A20" s="355"/>
      <c r="B20" s="222" t="s">
        <v>524</v>
      </c>
      <c r="C20" s="47"/>
      <c r="D20" s="33">
        <f t="shared" ref="D20:I20" si="3">SUBTOTAL(9,D21:D27)</f>
        <v>27.500000000000004</v>
      </c>
      <c r="E20" s="34">
        <f t="shared" si="3"/>
        <v>42.2</v>
      </c>
      <c r="F20" s="34">
        <f t="shared" si="3"/>
        <v>82.8</v>
      </c>
      <c r="G20" s="34">
        <f t="shared" si="3"/>
        <v>138</v>
      </c>
      <c r="H20" s="34">
        <f t="shared" si="3"/>
        <v>204.10000000000002</v>
      </c>
      <c r="I20" s="35">
        <f t="shared" si="3"/>
        <v>186.3</v>
      </c>
      <c r="J20" s="594"/>
      <c r="L20" s="233"/>
      <c r="N20" s="79" t="str">
        <f t="shared" si="1"/>
        <v>2. 기본계획</v>
      </c>
      <c r="O20" s="37"/>
      <c r="P20" s="37"/>
      <c r="Q20" s="37"/>
      <c r="R20" s="37"/>
      <c r="S20" s="37"/>
      <c r="T20" s="37"/>
      <c r="U20" s="227"/>
      <c r="V20" s="231"/>
      <c r="W20" s="193">
        <f ca="1">SUBTOTAL(9,W21:W27)</f>
        <v>189722575</v>
      </c>
      <c r="X20" s="154"/>
      <c r="Y20" s="170" t="str">
        <f t="shared" si="2"/>
        <v/>
      </c>
      <c r="Z20" s="150"/>
    </row>
    <row r="21" spans="1:26" ht="18" customHeight="1">
      <c r="A21" s="355"/>
      <c r="B21" s="223" t="s">
        <v>2185</v>
      </c>
      <c r="C21" s="237"/>
      <c r="D21" s="20">
        <v>5.4</v>
      </c>
      <c r="E21" s="21">
        <v>5.8</v>
      </c>
      <c r="F21" s="21">
        <v>11.6</v>
      </c>
      <c r="G21" s="21">
        <v>19.2</v>
      </c>
      <c r="H21" s="21">
        <v>28.8</v>
      </c>
      <c r="I21" s="22">
        <v>18.399999999999999</v>
      </c>
      <c r="J21" s="389" t="s">
        <v>1090</v>
      </c>
      <c r="L21" s="233">
        <v>1</v>
      </c>
      <c r="N21" s="292" t="str">
        <f t="shared" si="1"/>
        <v>2.1. 계획의 목표 및 기본방향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SUM((ROUNDDOWN((D43:I43)*단가,0)))</f>
        <v>25344140</v>
      </c>
      <c r="X21" s="154"/>
      <c r="Y21" s="170" t="str">
        <f t="shared" si="2"/>
        <v>제 5 호표</v>
      </c>
      <c r="Z21" s="150"/>
    </row>
    <row r="22" spans="1:26" ht="18" customHeight="1">
      <c r="A22" s="355"/>
      <c r="B22" s="223" t="s">
        <v>2186</v>
      </c>
      <c r="C22" s="237"/>
      <c r="D22" s="20">
        <v>5.4</v>
      </c>
      <c r="E22" s="21">
        <v>8.6999999999999993</v>
      </c>
      <c r="F22" s="21">
        <v>17.399999999999999</v>
      </c>
      <c r="G22" s="21">
        <v>29.1</v>
      </c>
      <c r="H22" s="21">
        <v>43.2</v>
      </c>
      <c r="I22" s="22">
        <v>41.4</v>
      </c>
      <c r="J22" s="389" t="s">
        <v>1090</v>
      </c>
      <c r="L22" s="233">
        <v>1</v>
      </c>
      <c r="N22" s="292" t="str">
        <f t="shared" si="1"/>
        <v>2.2. 리모델링 수요 예측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SUM((ROUNDDOWN((D44:I44)*단가,0)))</f>
        <v>40294467</v>
      </c>
      <c r="X22" s="154"/>
      <c r="Y22" s="170" t="str">
        <f t="shared" si="2"/>
        <v>제 6 호표</v>
      </c>
      <c r="Z22" s="150"/>
    </row>
    <row r="23" spans="1:26" ht="18" customHeight="1">
      <c r="A23" s="355"/>
      <c r="B23" s="223" t="s">
        <v>2187</v>
      </c>
      <c r="C23" s="237"/>
      <c r="D23" s="20">
        <v>4.5</v>
      </c>
      <c r="E23" s="21">
        <v>7.2</v>
      </c>
      <c r="F23" s="21">
        <v>14.7</v>
      </c>
      <c r="G23" s="21">
        <v>24.3</v>
      </c>
      <c r="H23" s="21">
        <v>36</v>
      </c>
      <c r="I23" s="22">
        <v>34.5</v>
      </c>
      <c r="J23" s="389" t="s">
        <v>1090</v>
      </c>
      <c r="L23" s="233">
        <v>1</v>
      </c>
      <c r="N23" s="292" t="str">
        <f t="shared" si="1"/>
        <v>2.3. 기반시설 영향 검토(일반)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SUM((ROUNDDOWN((D45:I45)*단가,0)))</f>
        <v>33636989</v>
      </c>
      <c r="X23" s="154"/>
      <c r="Y23" s="170" t="str">
        <f t="shared" si="2"/>
        <v>제 7 호표</v>
      </c>
      <c r="Z23" s="150"/>
    </row>
    <row r="24" spans="1:26" ht="18" customHeight="1">
      <c r="A24" s="355"/>
      <c r="B24" s="223" t="s">
        <v>2188</v>
      </c>
      <c r="C24" s="237"/>
      <c r="D24" s="20">
        <v>3</v>
      </c>
      <c r="E24" s="21">
        <v>5</v>
      </c>
      <c r="F24" s="21">
        <v>9.8000000000000007</v>
      </c>
      <c r="G24" s="21">
        <v>16.2</v>
      </c>
      <c r="H24" s="21">
        <v>23.8</v>
      </c>
      <c r="I24" s="22">
        <v>23</v>
      </c>
      <c r="J24" s="389" t="s">
        <v>1090</v>
      </c>
      <c r="L24" s="233">
        <v>1</v>
      </c>
      <c r="N24" s="292" t="str">
        <f t="shared" si="1"/>
        <v>2.4. 단계별 리모델링 시행방안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SUM((ROUNDDOWN((D46:I46)*단가,0)))</f>
        <v>22452239</v>
      </c>
      <c r="X24" s="154"/>
      <c r="Y24" s="170" t="str">
        <f t="shared" si="2"/>
        <v>제 8 호표</v>
      </c>
      <c r="Z24" s="150"/>
    </row>
    <row r="25" spans="1:26" ht="18" customHeight="1">
      <c r="A25" s="355"/>
      <c r="B25" s="223" t="s">
        <v>2189</v>
      </c>
      <c r="C25" s="237"/>
      <c r="D25" s="20">
        <v>3.6</v>
      </c>
      <c r="E25" s="21">
        <v>6.3</v>
      </c>
      <c r="F25" s="21">
        <v>11.7</v>
      </c>
      <c r="G25" s="21">
        <v>19.8</v>
      </c>
      <c r="H25" s="21">
        <v>29.1</v>
      </c>
      <c r="I25" s="22">
        <v>27.6</v>
      </c>
      <c r="J25" s="389" t="s">
        <v>1090</v>
      </c>
      <c r="L25" s="233">
        <v>1</v>
      </c>
      <c r="N25" s="292" t="str">
        <f t="shared" si="1"/>
        <v>2.5. 도시경관 관리방안</v>
      </c>
      <c r="O25" s="37"/>
      <c r="P25" s="39"/>
      <c r="Q25" s="37"/>
      <c r="R25" s="117"/>
      <c r="S25" s="37"/>
      <c r="T25" s="37"/>
      <c r="U25" s="228"/>
      <c r="V25" s="231"/>
      <c r="W25" s="153">
        <f t="array" aca="1" ref="W25" ca="1">SUM((ROUNDDOWN((D47:I47)*단가,0)))</f>
        <v>27269435</v>
      </c>
      <c r="X25" s="196"/>
      <c r="Y25" s="170" t="str">
        <f t="shared" si="2"/>
        <v>제 9 호표</v>
      </c>
      <c r="Z25" s="150"/>
    </row>
    <row r="26" spans="1:26" ht="18" customHeight="1">
      <c r="A26" s="355"/>
      <c r="B26" s="223" t="s">
        <v>2190</v>
      </c>
      <c r="C26" s="237"/>
      <c r="D26" s="20">
        <v>3</v>
      </c>
      <c r="E26" s="21">
        <v>5</v>
      </c>
      <c r="F26" s="21">
        <v>9.8000000000000007</v>
      </c>
      <c r="G26" s="21">
        <v>16.2</v>
      </c>
      <c r="H26" s="21">
        <v>23.8</v>
      </c>
      <c r="I26" s="22">
        <v>23</v>
      </c>
      <c r="J26" s="389" t="s">
        <v>1090</v>
      </c>
      <c r="L26" s="233">
        <v>1</v>
      </c>
      <c r="N26" s="292" t="str">
        <f t="shared" si="1"/>
        <v>2.6. 공동주택 저에너지·장수명화 방안</v>
      </c>
      <c r="O26" s="37"/>
      <c r="P26" s="39"/>
      <c r="Q26" s="37"/>
      <c r="R26" s="117"/>
      <c r="S26" s="37"/>
      <c r="T26" s="37"/>
      <c r="U26" s="228"/>
      <c r="V26" s="231"/>
      <c r="W26" s="153">
        <f t="array" aca="1" ref="W26" ca="1">SUM((ROUNDDOWN((D48:I48)*단가,0)))</f>
        <v>22452239</v>
      </c>
      <c r="X26" s="154"/>
      <c r="Y26" s="170" t="str">
        <f t="shared" si="2"/>
        <v>제 10 호표</v>
      </c>
      <c r="Z26" s="150"/>
    </row>
    <row r="27" spans="1:26" ht="18" customHeight="1">
      <c r="A27" s="355"/>
      <c r="B27" s="223" t="s">
        <v>2191</v>
      </c>
      <c r="C27" s="237"/>
      <c r="D27" s="20">
        <v>2.6</v>
      </c>
      <c r="E27" s="21">
        <v>4.2</v>
      </c>
      <c r="F27" s="21">
        <v>7.8</v>
      </c>
      <c r="G27" s="21">
        <v>13.2</v>
      </c>
      <c r="H27" s="21">
        <v>19.399999999999999</v>
      </c>
      <c r="I27" s="22">
        <v>18.399999999999999</v>
      </c>
      <c r="J27" s="443" t="s">
        <v>1090</v>
      </c>
      <c r="L27" s="233">
        <v>1</v>
      </c>
      <c r="N27" s="292" t="str">
        <f t="shared" si="1"/>
        <v>2.7. 리모델링 지원방안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SUM((ROUNDDOWN((D49:I49)*단가,0)))</f>
        <v>18273066</v>
      </c>
      <c r="X27" s="154"/>
      <c r="Y27" s="170" t="str">
        <f t="shared" si="2"/>
        <v>제 11 호표</v>
      </c>
      <c r="Z27" s="150"/>
    </row>
    <row r="28" spans="1:26" ht="18" customHeight="1">
      <c r="A28" s="355"/>
      <c r="B28" s="222" t="s">
        <v>136</v>
      </c>
      <c r="C28" s="47"/>
      <c r="D28" s="33">
        <f t="shared" ref="D28:I28" si="4">SUBTOTAL(9,D29:D30)</f>
        <v>8.8000000000000007</v>
      </c>
      <c r="E28" s="34">
        <f t="shared" si="4"/>
        <v>14.3</v>
      </c>
      <c r="F28" s="34">
        <f t="shared" si="4"/>
        <v>31.9</v>
      </c>
      <c r="G28" s="34">
        <f t="shared" si="4"/>
        <v>59.3</v>
      </c>
      <c r="H28" s="34">
        <f t="shared" si="4"/>
        <v>82.300000000000011</v>
      </c>
      <c r="I28" s="35">
        <f t="shared" si="4"/>
        <v>82.3</v>
      </c>
      <c r="J28" s="594"/>
      <c r="L28" s="233"/>
      <c r="N28" s="79" t="str">
        <f t="shared" si="1"/>
        <v>3. 성과품작성</v>
      </c>
      <c r="O28" s="37"/>
      <c r="P28" s="39"/>
      <c r="Q28" s="37"/>
      <c r="R28" s="117"/>
      <c r="S28" s="37"/>
      <c r="T28" s="37"/>
      <c r="U28" s="228"/>
      <c r="V28" s="231"/>
      <c r="W28" s="193">
        <f ca="1">SUBTOTAL(9,W29:W30)</f>
        <v>76829771</v>
      </c>
      <c r="X28" s="154"/>
      <c r="Y28" s="170" t="str">
        <f t="shared" si="2"/>
        <v/>
      </c>
      <c r="Z28" s="150"/>
    </row>
    <row r="29" spans="1:26" ht="18" customHeight="1">
      <c r="A29" s="355"/>
      <c r="B29" s="223" t="s">
        <v>2195</v>
      </c>
      <c r="C29" s="237"/>
      <c r="D29" s="20">
        <v>6</v>
      </c>
      <c r="E29" s="21">
        <v>9.4</v>
      </c>
      <c r="F29" s="21">
        <v>21.2</v>
      </c>
      <c r="G29" s="21">
        <v>35.4</v>
      </c>
      <c r="H29" s="21">
        <v>35.1</v>
      </c>
      <c r="I29" s="22">
        <v>23.3</v>
      </c>
      <c r="J29" s="400" t="s">
        <v>1090</v>
      </c>
      <c r="L29" s="233">
        <v>1</v>
      </c>
      <c r="N29" s="292" t="str">
        <f t="shared" si="1"/>
        <v>3.1. 보고서 작성 및 편집</v>
      </c>
      <c r="O29" s="37"/>
      <c r="P29" s="39"/>
      <c r="Q29" s="37"/>
      <c r="R29" s="117"/>
      <c r="S29" s="37"/>
      <c r="T29" s="37"/>
      <c r="U29" s="228"/>
      <c r="V29" s="231"/>
      <c r="W29" s="153">
        <f t="array" aca="1" ref="W29" ca="1">SUM((ROUNDDOWN((D51:I51)*단가,0)))</f>
        <v>37443082</v>
      </c>
      <c r="X29" s="154"/>
      <c r="Y29" s="170" t="str">
        <f t="shared" si="2"/>
        <v>제 12 호표</v>
      </c>
      <c r="Z29" s="150"/>
    </row>
    <row r="30" spans="1:26" ht="18" customHeight="1">
      <c r="A30" s="355"/>
      <c r="B30" s="259" t="s">
        <v>2172</v>
      </c>
      <c r="C30" s="264"/>
      <c r="D30" s="40">
        <v>2.8</v>
      </c>
      <c r="E30" s="41">
        <v>4.9000000000000004</v>
      </c>
      <c r="F30" s="41">
        <v>10.7</v>
      </c>
      <c r="G30" s="41">
        <v>23.9</v>
      </c>
      <c r="H30" s="41">
        <v>47.2</v>
      </c>
      <c r="I30" s="42">
        <v>59</v>
      </c>
      <c r="J30" s="685" t="s">
        <v>1090</v>
      </c>
      <c r="L30" s="233">
        <v>1</v>
      </c>
      <c r="N30" s="292" t="str">
        <f t="shared" si="1"/>
        <v>3.2. 관련도서 작성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SUM((ROUNDDOWN((D52:I52)*단가,0)))</f>
        <v>39386689</v>
      </c>
      <c r="X30" s="154"/>
      <c r="Y30" s="170" t="str">
        <f t="shared" si="2"/>
        <v>제 13 호표</v>
      </c>
      <c r="Z30" s="150"/>
    </row>
    <row r="31" spans="1:26" ht="18" customHeight="1">
      <c r="A31" s="326"/>
      <c r="B31" s="222" t="s">
        <v>268</v>
      </c>
      <c r="C31" s="47"/>
      <c r="D31" s="48">
        <f t="shared" ref="D31:I31" si="5">SUBTOTAL(9,D32:D35)</f>
        <v>8</v>
      </c>
      <c r="E31" s="49">
        <f t="shared" si="5"/>
        <v>8</v>
      </c>
      <c r="F31" s="49">
        <f t="shared" si="5"/>
        <v>8</v>
      </c>
      <c r="G31" s="49">
        <f t="shared" si="5"/>
        <v>16</v>
      </c>
      <c r="H31" s="49">
        <f t="shared" si="5"/>
        <v>16</v>
      </c>
      <c r="I31" s="50">
        <f t="shared" si="5"/>
        <v>16</v>
      </c>
      <c r="J31" s="620"/>
      <c r="L31" s="233"/>
      <c r="N31" s="79" t="str">
        <f t="shared" si="1"/>
        <v>4. 기술협의</v>
      </c>
      <c r="O31" s="37"/>
      <c r="P31" s="39"/>
      <c r="Q31" s="37"/>
      <c r="R31" s="117"/>
      <c r="S31" s="37"/>
      <c r="T31" s="37"/>
      <c r="U31" s="228"/>
      <c r="V31" s="231"/>
      <c r="W31" s="193">
        <f ca="1">SUBTOTAL(9,W32:W35)</f>
        <v>21702576</v>
      </c>
      <c r="X31" s="154"/>
      <c r="Y31" s="170" t="str">
        <f t="shared" si="2"/>
        <v/>
      </c>
      <c r="Z31" s="150"/>
    </row>
    <row r="32" spans="1:26" ht="18" customHeight="1">
      <c r="A32" s="326"/>
      <c r="B32" s="223" t="s">
        <v>2196</v>
      </c>
      <c r="C32" s="237"/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389" t="s">
        <v>2194</v>
      </c>
      <c r="L32" s="233">
        <v>1</v>
      </c>
      <c r="N32" s="292" t="str">
        <f t="shared" si="1"/>
        <v>4.1. 공청회/주민설명회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SUM((ROUNDDOWN((D54:I54)*단가,0)))</f>
        <v>5425644</v>
      </c>
      <c r="X32" s="154"/>
      <c r="Y32" s="170" t="str">
        <f t="shared" si="2"/>
        <v>제 14 호표</v>
      </c>
      <c r="Z32" s="150"/>
    </row>
    <row r="33" spans="1:26" ht="18" customHeight="1">
      <c r="A33" s="326"/>
      <c r="B33" s="223" t="s">
        <v>2197</v>
      </c>
      <c r="C33" s="237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389" t="s">
        <v>1094</v>
      </c>
      <c r="L33" s="233">
        <v>1</v>
      </c>
      <c r="N33" s="292" t="str">
        <f t="shared" si="1"/>
        <v>4.2. 주민간담회/시민계획단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SUM((ROUNDDOWN((D55:I55)*단가,0)))</f>
        <v>5425644</v>
      </c>
      <c r="X33" s="154"/>
      <c r="Y33" s="170" t="str">
        <f t="shared" si="2"/>
        <v>제 15 호표</v>
      </c>
      <c r="Z33" s="150"/>
    </row>
    <row r="34" spans="1:26" ht="18" customHeight="1">
      <c r="A34" s="326"/>
      <c r="B34" s="223" t="s">
        <v>2198</v>
      </c>
      <c r="C34" s="237"/>
      <c r="D34" s="197">
        <v>2</v>
      </c>
      <c r="E34" s="198">
        <v>2</v>
      </c>
      <c r="F34" s="198">
        <v>2</v>
      </c>
      <c r="G34" s="198">
        <v>4</v>
      </c>
      <c r="H34" s="198">
        <v>4</v>
      </c>
      <c r="I34" s="199">
        <v>4</v>
      </c>
      <c r="J34" s="389" t="s">
        <v>1094</v>
      </c>
      <c r="L34" s="233">
        <v>1</v>
      </c>
      <c r="N34" s="292" t="str">
        <f t="shared" si="1"/>
        <v>4.3. 위원회심의 지원</v>
      </c>
      <c r="O34" s="37"/>
      <c r="P34" s="39"/>
      <c r="Q34" s="37"/>
      <c r="R34" s="117"/>
      <c r="S34" s="37"/>
      <c r="T34" s="37"/>
      <c r="U34" s="228"/>
      <c r="V34" s="231"/>
      <c r="W34" s="153">
        <f t="array" aca="1" ref="W34" ca="1">SUM((ROUNDDOWN((D56:I56)*단가,0)))</f>
        <v>5425644</v>
      </c>
      <c r="X34" s="154"/>
      <c r="Y34" s="170" t="str">
        <f t="shared" si="2"/>
        <v>제 16 호표</v>
      </c>
      <c r="Z34" s="150"/>
    </row>
    <row r="35" spans="1:26" ht="18" customHeight="1" thickBot="1">
      <c r="A35" s="355"/>
      <c r="B35" s="223" t="s">
        <v>2199</v>
      </c>
      <c r="C35" s="237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612" t="s">
        <v>1094</v>
      </c>
      <c r="L35" s="233">
        <v>1</v>
      </c>
      <c r="N35" s="292" t="str">
        <f t="shared" si="1"/>
        <v>4.4. 관계기관 협의</v>
      </c>
      <c r="O35" s="37"/>
      <c r="P35" s="39"/>
      <c r="Q35" s="37"/>
      <c r="R35" s="117"/>
      <c r="S35" s="37"/>
      <c r="T35" s="37"/>
      <c r="U35" s="228"/>
      <c r="V35" s="231"/>
      <c r="W35" s="153">
        <f t="array" aca="1" ref="W35" ca="1">SUM((ROUNDDOWN((D57:I57)*단가,0)))</f>
        <v>5425644</v>
      </c>
      <c r="X35" s="154"/>
      <c r="Y35" s="170" t="str">
        <f t="shared" si="2"/>
        <v>제 17 호표</v>
      </c>
      <c r="Z35" s="150"/>
    </row>
    <row r="36" spans="1:26" ht="18" customHeight="1" thickBot="1">
      <c r="A36" s="326"/>
      <c r="B36" s="14" t="s">
        <v>30</v>
      </c>
      <c r="C36" s="250"/>
      <c r="D36" s="249" t="s">
        <v>12</v>
      </c>
      <c r="E36" s="251"/>
      <c r="F36" s="251"/>
      <c r="G36" s="251"/>
      <c r="H36" s="251"/>
      <c r="I36" s="250"/>
      <c r="J36" s="175" t="s">
        <v>31</v>
      </c>
      <c r="N36" s="290" t="s">
        <v>10</v>
      </c>
      <c r="O36" s="129"/>
      <c r="P36" s="130"/>
      <c r="Q36" s="124"/>
      <c r="R36" s="131"/>
      <c r="S36" s="124"/>
      <c r="T36" s="124"/>
      <c r="U36" s="181"/>
      <c r="V36" s="181"/>
      <c r="W36" s="159">
        <f>SUBTOTAL(9,W37:W39)</f>
        <v>4500000</v>
      </c>
      <c r="X36" s="160"/>
      <c r="Y36" s="124"/>
      <c r="Z36" s="124"/>
    </row>
    <row r="37" spans="1:26" ht="18" customHeight="1">
      <c r="A37" s="326"/>
      <c r="B37" s="73" t="s">
        <v>2180</v>
      </c>
      <c r="C37" s="72"/>
      <c r="D37" s="693">
        <f t="shared" ref="D37:I37" si="6">SUBTOTAL(9,D38:D41)</f>
        <v>11</v>
      </c>
      <c r="E37" s="694">
        <f t="shared" si="6"/>
        <v>18</v>
      </c>
      <c r="F37" s="694">
        <f t="shared" si="6"/>
        <v>60.7</v>
      </c>
      <c r="G37" s="694">
        <f t="shared" si="6"/>
        <v>98.9</v>
      </c>
      <c r="H37" s="694">
        <f t="shared" si="6"/>
        <v>143.9</v>
      </c>
      <c r="I37" s="695">
        <f t="shared" si="6"/>
        <v>156.69999999999999</v>
      </c>
      <c r="J37" s="728"/>
      <c r="N37" s="128" t="str">
        <f>"여비("&amp;TEXT(R37,"#인 ×")&amp;TEXT(S37,"#일 ×")&amp;TEXT(T37,"###,###원)")</f>
        <v>여비(3인 ×5일 ×100,000원)</v>
      </c>
      <c r="O37" s="78"/>
      <c r="P37" s="52"/>
      <c r="Q37" s="51"/>
      <c r="R37" s="146">
        <v>3</v>
      </c>
      <c r="S37" s="146">
        <v>5</v>
      </c>
      <c r="T37" s="147">
        <v>100000</v>
      </c>
      <c r="U37" s="182"/>
      <c r="V37" s="182"/>
      <c r="W37" s="161">
        <f>R37*S37*T37</f>
        <v>1500000</v>
      </c>
      <c r="X37" s="162"/>
      <c r="Y37" s="51"/>
      <c r="Z37" s="51"/>
    </row>
    <row r="38" spans="1:26" ht="18" customHeight="1">
      <c r="A38" s="326">
        <v>1</v>
      </c>
      <c r="B38" s="409" t="s">
        <v>2181</v>
      </c>
      <c r="C38" s="237"/>
      <c r="D38" s="20">
        <f t="array" ref="D38:I41">ROUNDDOWN(D16:I19*L16:L19*D5,3)</f>
        <v>5.9</v>
      </c>
      <c r="E38" s="21">
        <v>9.5</v>
      </c>
      <c r="F38" s="21">
        <v>39.700000000000003</v>
      </c>
      <c r="G38" s="21">
        <v>59.9</v>
      </c>
      <c r="H38" s="21">
        <v>99.4</v>
      </c>
      <c r="I38" s="22">
        <v>107.3</v>
      </c>
      <c r="J38" s="74"/>
      <c r="N38" s="79" t="s">
        <v>46</v>
      </c>
      <c r="O38" s="79"/>
      <c r="P38" s="39"/>
      <c r="Q38" s="37"/>
      <c r="R38" s="117"/>
      <c r="S38" s="37"/>
      <c r="T38" s="37"/>
      <c r="U38" s="180"/>
      <c r="V38" s="180"/>
      <c r="W38" s="157">
        <v>2000000</v>
      </c>
      <c r="X38" s="158"/>
      <c r="Y38" s="37"/>
      <c r="Z38" s="37"/>
    </row>
    <row r="39" spans="1:26" ht="18" customHeight="1">
      <c r="A39" s="326">
        <v>2</v>
      </c>
      <c r="B39" s="409" t="s">
        <v>2182</v>
      </c>
      <c r="C39" s="237"/>
      <c r="D39" s="20">
        <v>1.3</v>
      </c>
      <c r="E39" s="21">
        <v>2.1</v>
      </c>
      <c r="F39" s="21">
        <v>2.8</v>
      </c>
      <c r="G39" s="21">
        <v>7.8</v>
      </c>
      <c r="H39" s="21">
        <v>7.8</v>
      </c>
      <c r="I39" s="22">
        <v>10.5</v>
      </c>
      <c r="J39" s="74"/>
      <c r="N39" s="132" t="s">
        <v>13</v>
      </c>
      <c r="O39" s="132"/>
      <c r="P39" s="38"/>
      <c r="Q39" s="38"/>
      <c r="R39" s="116"/>
      <c r="S39" s="38"/>
      <c r="T39" s="38"/>
      <c r="U39" s="183"/>
      <c r="V39" s="183"/>
      <c r="W39" s="155">
        <v>1000000</v>
      </c>
      <c r="X39" s="156"/>
      <c r="Y39" s="38"/>
      <c r="Z39" s="38"/>
    </row>
    <row r="40" spans="1:26" ht="18" customHeight="1">
      <c r="A40" s="326">
        <v>3</v>
      </c>
      <c r="B40" s="409" t="s">
        <v>2183</v>
      </c>
      <c r="C40" s="237"/>
      <c r="D40" s="20">
        <v>1</v>
      </c>
      <c r="E40" s="21">
        <v>2</v>
      </c>
      <c r="F40" s="21">
        <v>4.9000000000000004</v>
      </c>
      <c r="G40" s="21">
        <v>12.7</v>
      </c>
      <c r="H40" s="21">
        <v>15.2</v>
      </c>
      <c r="I40" s="22">
        <v>17.8</v>
      </c>
      <c r="J40" s="74"/>
      <c r="N40" s="127" t="s">
        <v>47</v>
      </c>
      <c r="O40" s="123"/>
      <c r="P40" s="123"/>
      <c r="Q40" s="123"/>
      <c r="R40" s="123"/>
      <c r="S40" s="123"/>
      <c r="T40" s="123"/>
      <c r="U40" s="184"/>
      <c r="V40" s="184"/>
      <c r="W40" s="163">
        <f ca="1">SUBTOTAL(9,W41:W42)</f>
        <v>756135930</v>
      </c>
      <c r="X40" s="164"/>
      <c r="Y40" s="123"/>
      <c r="Z40" s="123"/>
    </row>
    <row r="41" spans="1:26" ht="18" customHeight="1">
      <c r="A41" s="326">
        <v>4</v>
      </c>
      <c r="B41" s="410" t="s">
        <v>2184</v>
      </c>
      <c r="C41" s="237"/>
      <c r="D41" s="20">
        <v>2.8</v>
      </c>
      <c r="E41" s="21">
        <v>4.4000000000000004</v>
      </c>
      <c r="F41" s="21">
        <v>13.3</v>
      </c>
      <c r="G41" s="21">
        <v>18.5</v>
      </c>
      <c r="H41" s="21">
        <v>21.5</v>
      </c>
      <c r="I41" s="22">
        <v>21.1</v>
      </c>
      <c r="J41" s="75"/>
      <c r="N41" s="133" t="s">
        <v>861</v>
      </c>
      <c r="O41" s="124"/>
      <c r="P41" s="134"/>
      <c r="Q41" s="124"/>
      <c r="R41" s="131"/>
      <c r="S41" s="124"/>
      <c r="T41" s="181"/>
      <c r="U41" s="181"/>
      <c r="V41" s="190">
        <v>1.1499999999999999</v>
      </c>
      <c r="W41" s="159">
        <f ca="1">ROUNDDOWN(W14*V41,0)</f>
        <v>484432490</v>
      </c>
      <c r="X41" s="160"/>
      <c r="Y41" s="124"/>
      <c r="Z41" s="124"/>
    </row>
    <row r="42" spans="1:26" ht="18" customHeight="1" thickBot="1">
      <c r="A42" s="326"/>
      <c r="B42" s="222" t="s">
        <v>524</v>
      </c>
      <c r="C42" s="47"/>
      <c r="D42" s="33">
        <f t="shared" ref="D42:I42" si="7">SUBTOTAL(9,D43:D49)</f>
        <v>27.500000000000004</v>
      </c>
      <c r="E42" s="34">
        <f t="shared" si="7"/>
        <v>42.2</v>
      </c>
      <c r="F42" s="34">
        <f t="shared" si="7"/>
        <v>82.8</v>
      </c>
      <c r="G42" s="34">
        <f t="shared" si="7"/>
        <v>138</v>
      </c>
      <c r="H42" s="34">
        <f t="shared" si="7"/>
        <v>204.10000000000002</v>
      </c>
      <c r="I42" s="35">
        <f t="shared" si="7"/>
        <v>186.3</v>
      </c>
      <c r="J42" s="13"/>
      <c r="N42" s="135" t="s">
        <v>862</v>
      </c>
      <c r="O42" s="136"/>
      <c r="P42" s="137"/>
      <c r="Q42" s="136"/>
      <c r="R42" s="138"/>
      <c r="S42" s="136"/>
      <c r="T42" s="185"/>
      <c r="U42" s="185"/>
      <c r="V42" s="191">
        <v>0.3</v>
      </c>
      <c r="W42" s="165">
        <f ca="1">ROUNDDOWN((W14+W41)*V42,0)</f>
        <v>271703440</v>
      </c>
      <c r="X42" s="166"/>
      <c r="Y42" s="136"/>
      <c r="Z42" s="136"/>
    </row>
    <row r="43" spans="1:26" ht="18" customHeight="1">
      <c r="A43" s="326">
        <v>5</v>
      </c>
      <c r="B43" s="223" t="s">
        <v>2185</v>
      </c>
      <c r="C43" s="237"/>
      <c r="D43" s="20">
        <f t="array" ref="D43:I49">ROUNDDOWN(D21:I27*L21:L27*D5,3)</f>
        <v>5.4</v>
      </c>
      <c r="E43" s="21">
        <v>5.8</v>
      </c>
      <c r="F43" s="21">
        <v>11.6</v>
      </c>
      <c r="G43" s="21">
        <v>19.2</v>
      </c>
      <c r="H43" s="21">
        <v>28.8</v>
      </c>
      <c r="I43" s="22">
        <v>18.399999999999999</v>
      </c>
      <c r="J43" s="74"/>
    </row>
    <row r="44" spans="1:26" ht="18" customHeight="1">
      <c r="A44" s="326">
        <v>6</v>
      </c>
      <c r="B44" s="223" t="s">
        <v>2186</v>
      </c>
      <c r="C44" s="237"/>
      <c r="D44" s="20">
        <v>5.4</v>
      </c>
      <c r="E44" s="21">
        <v>8.6999999999999993</v>
      </c>
      <c r="F44" s="21">
        <v>17.399999999999999</v>
      </c>
      <c r="G44" s="21">
        <v>29.1</v>
      </c>
      <c r="H44" s="21">
        <v>43.2</v>
      </c>
      <c r="I44" s="22">
        <v>41.4</v>
      </c>
      <c r="J44" s="74"/>
    </row>
    <row r="45" spans="1:26" ht="18" customHeight="1">
      <c r="A45" s="326">
        <v>7</v>
      </c>
      <c r="B45" s="223" t="s">
        <v>2187</v>
      </c>
      <c r="C45" s="237"/>
      <c r="D45" s="20">
        <v>4.5</v>
      </c>
      <c r="E45" s="21">
        <v>7.2</v>
      </c>
      <c r="F45" s="21">
        <v>14.7</v>
      </c>
      <c r="G45" s="21">
        <v>24.3</v>
      </c>
      <c r="H45" s="21">
        <v>36</v>
      </c>
      <c r="I45" s="22">
        <v>34.5</v>
      </c>
      <c r="J45" s="74"/>
    </row>
    <row r="46" spans="1:26" ht="18" customHeight="1">
      <c r="A46" s="326">
        <v>8</v>
      </c>
      <c r="B46" s="223" t="s">
        <v>2188</v>
      </c>
      <c r="C46" s="237"/>
      <c r="D46" s="20">
        <v>3</v>
      </c>
      <c r="E46" s="21">
        <v>5</v>
      </c>
      <c r="F46" s="21">
        <v>9.8000000000000007</v>
      </c>
      <c r="G46" s="21">
        <v>16.2</v>
      </c>
      <c r="H46" s="21">
        <v>23.8</v>
      </c>
      <c r="I46" s="22">
        <v>23</v>
      </c>
      <c r="J46" s="74"/>
    </row>
    <row r="47" spans="1:26" ht="18" customHeight="1">
      <c r="A47" s="326">
        <v>9</v>
      </c>
      <c r="B47" s="223" t="s">
        <v>2189</v>
      </c>
      <c r="C47" s="237"/>
      <c r="D47" s="20">
        <v>3.6</v>
      </c>
      <c r="E47" s="21">
        <v>6.3</v>
      </c>
      <c r="F47" s="21">
        <v>11.7</v>
      </c>
      <c r="G47" s="21">
        <v>19.8</v>
      </c>
      <c r="H47" s="21">
        <v>29.1</v>
      </c>
      <c r="I47" s="22">
        <v>27.6</v>
      </c>
      <c r="J47" s="74"/>
    </row>
    <row r="48" spans="1:26" ht="18" customHeight="1">
      <c r="A48" s="326">
        <v>10</v>
      </c>
      <c r="B48" s="223" t="s">
        <v>2190</v>
      </c>
      <c r="C48" s="237"/>
      <c r="D48" s="20">
        <v>3</v>
      </c>
      <c r="E48" s="21">
        <v>5</v>
      </c>
      <c r="F48" s="21">
        <v>9.8000000000000007</v>
      </c>
      <c r="G48" s="21">
        <v>16.2</v>
      </c>
      <c r="H48" s="21">
        <v>23.8</v>
      </c>
      <c r="I48" s="22">
        <v>23</v>
      </c>
      <c r="J48" s="74"/>
    </row>
    <row r="49" spans="1:12" ht="18" customHeight="1">
      <c r="A49" s="326">
        <v>11</v>
      </c>
      <c r="B49" s="223" t="s">
        <v>2191</v>
      </c>
      <c r="C49" s="237"/>
      <c r="D49" s="20">
        <v>2.6</v>
      </c>
      <c r="E49" s="21">
        <v>4.2</v>
      </c>
      <c r="F49" s="21">
        <v>7.8</v>
      </c>
      <c r="G49" s="21">
        <v>13.2</v>
      </c>
      <c r="H49" s="21">
        <v>19.399999999999999</v>
      </c>
      <c r="I49" s="22">
        <v>18.399999999999999</v>
      </c>
      <c r="J49" s="75"/>
    </row>
    <row r="50" spans="1:12" ht="18" customHeight="1">
      <c r="A50" s="326"/>
      <c r="B50" s="222" t="s">
        <v>136</v>
      </c>
      <c r="C50" s="47"/>
      <c r="D50" s="33">
        <f t="shared" ref="D50:I50" si="8">SUBTOTAL(9,D51:D52)</f>
        <v>8.8000000000000007</v>
      </c>
      <c r="E50" s="34">
        <f t="shared" si="8"/>
        <v>14.3</v>
      </c>
      <c r="F50" s="34">
        <f t="shared" si="8"/>
        <v>31.9</v>
      </c>
      <c r="G50" s="34">
        <f t="shared" si="8"/>
        <v>59.3</v>
      </c>
      <c r="H50" s="34">
        <f t="shared" si="8"/>
        <v>82.300000000000011</v>
      </c>
      <c r="I50" s="35">
        <f t="shared" si="8"/>
        <v>82.3</v>
      </c>
      <c r="J50" s="13"/>
    </row>
    <row r="51" spans="1:12" ht="18" customHeight="1">
      <c r="A51" s="326">
        <v>12</v>
      </c>
      <c r="B51" s="223" t="s">
        <v>2195</v>
      </c>
      <c r="C51" s="237"/>
      <c r="D51" s="20">
        <f t="array" ref="D51:I52">ROUNDDOWN(D29:I30*L29:L30*D5,3)</f>
        <v>6</v>
      </c>
      <c r="E51" s="21">
        <v>9.4</v>
      </c>
      <c r="F51" s="21">
        <v>21.2</v>
      </c>
      <c r="G51" s="21">
        <v>35.4</v>
      </c>
      <c r="H51" s="21">
        <v>35.1</v>
      </c>
      <c r="I51" s="22">
        <v>23.3</v>
      </c>
      <c r="J51" s="23"/>
    </row>
    <row r="52" spans="1:12" ht="18" customHeight="1">
      <c r="A52" s="326">
        <v>13</v>
      </c>
      <c r="B52" s="259" t="s">
        <v>2172</v>
      </c>
      <c r="C52" s="237"/>
      <c r="D52" s="20">
        <v>2.8</v>
      </c>
      <c r="E52" s="21">
        <v>4.9000000000000004</v>
      </c>
      <c r="F52" s="21">
        <v>10.7</v>
      </c>
      <c r="G52" s="21">
        <v>23.9</v>
      </c>
      <c r="H52" s="21">
        <v>47.2</v>
      </c>
      <c r="I52" s="22">
        <v>59</v>
      </c>
      <c r="J52" s="23"/>
    </row>
    <row r="53" spans="1:12" ht="18" customHeight="1">
      <c r="A53" s="326"/>
      <c r="B53" s="222" t="s">
        <v>268</v>
      </c>
      <c r="C53" s="47"/>
      <c r="D53" s="48">
        <f t="shared" ref="D53:I53" si="9">SUBTOTAL(9,D54:D57)</f>
        <v>8</v>
      </c>
      <c r="E53" s="49">
        <f t="shared" si="9"/>
        <v>8</v>
      </c>
      <c r="F53" s="49">
        <f t="shared" si="9"/>
        <v>8</v>
      </c>
      <c r="G53" s="49">
        <f t="shared" si="9"/>
        <v>16</v>
      </c>
      <c r="H53" s="49">
        <f t="shared" si="9"/>
        <v>16</v>
      </c>
      <c r="I53" s="50">
        <f t="shared" si="9"/>
        <v>16</v>
      </c>
      <c r="J53" s="287" t="s">
        <v>223</v>
      </c>
      <c r="L53" s="171"/>
    </row>
    <row r="54" spans="1:12" ht="18" customHeight="1">
      <c r="A54" s="326">
        <v>14</v>
      </c>
      <c r="B54" s="223" t="s">
        <v>2196</v>
      </c>
      <c r="C54" s="237"/>
      <c r="D54" s="20">
        <f t="array" ref="D54:I57">ROUNDDOWN(D32:I35*L32:L35*I5,3)</f>
        <v>2</v>
      </c>
      <c r="E54" s="198">
        <v>2</v>
      </c>
      <c r="F54" s="198">
        <v>2</v>
      </c>
      <c r="G54" s="198">
        <v>4</v>
      </c>
      <c r="H54" s="198">
        <v>4</v>
      </c>
      <c r="I54" s="199">
        <v>4</v>
      </c>
      <c r="J54" s="74"/>
      <c r="L54" s="171"/>
    </row>
    <row r="55" spans="1:12" ht="18" customHeight="1">
      <c r="A55" s="326">
        <v>15</v>
      </c>
      <c r="B55" s="223" t="s">
        <v>2197</v>
      </c>
      <c r="C55" s="237"/>
      <c r="D55" s="197">
        <v>2</v>
      </c>
      <c r="E55" s="198">
        <v>2</v>
      </c>
      <c r="F55" s="198">
        <v>2</v>
      </c>
      <c r="G55" s="198">
        <v>4</v>
      </c>
      <c r="H55" s="198">
        <v>4</v>
      </c>
      <c r="I55" s="199">
        <v>4</v>
      </c>
      <c r="J55" s="74"/>
      <c r="L55" s="171"/>
    </row>
    <row r="56" spans="1:12" ht="18" customHeight="1">
      <c r="A56" s="326">
        <v>16</v>
      </c>
      <c r="B56" s="223" t="s">
        <v>2198</v>
      </c>
      <c r="C56" s="237"/>
      <c r="D56" s="197">
        <v>2</v>
      </c>
      <c r="E56" s="198">
        <v>2</v>
      </c>
      <c r="F56" s="198">
        <v>2</v>
      </c>
      <c r="G56" s="198">
        <v>4</v>
      </c>
      <c r="H56" s="198">
        <v>4</v>
      </c>
      <c r="I56" s="199">
        <v>4</v>
      </c>
      <c r="J56" s="74"/>
      <c r="L56" s="171"/>
    </row>
    <row r="57" spans="1:12" ht="18" customHeight="1" thickBot="1">
      <c r="A57" s="326">
        <v>17</v>
      </c>
      <c r="B57" s="388" t="s">
        <v>2199</v>
      </c>
      <c r="C57" s="401"/>
      <c r="D57" s="343">
        <v>2</v>
      </c>
      <c r="E57" s="344">
        <v>2</v>
      </c>
      <c r="F57" s="344">
        <v>2</v>
      </c>
      <c r="G57" s="344">
        <v>4</v>
      </c>
      <c r="H57" s="344">
        <v>4</v>
      </c>
      <c r="I57" s="345">
        <v>4</v>
      </c>
      <c r="J57" s="176"/>
      <c r="L57" s="171"/>
    </row>
    <row r="58" spans="1:12" ht="18" customHeight="1">
      <c r="A58" s="326"/>
      <c r="B58" s="85" t="s">
        <v>15</v>
      </c>
      <c r="C58" s="9" t="s">
        <v>2202</v>
      </c>
      <c r="K58" s="171" t="s">
        <v>14</v>
      </c>
      <c r="L58" s="171"/>
    </row>
    <row r="59" spans="1:12" ht="18" customHeight="1">
      <c r="A59" s="326"/>
      <c r="B59" s="8"/>
      <c r="C59" s="9" t="s">
        <v>2203</v>
      </c>
      <c r="K59" s="171" t="s">
        <v>14</v>
      </c>
      <c r="L59" s="171"/>
    </row>
    <row r="60" spans="1:12" ht="18" customHeight="1">
      <c r="A60" s="326"/>
      <c r="B60" s="80"/>
      <c r="C60" s="9" t="s">
        <v>2204</v>
      </c>
      <c r="K60" s="171" t="s">
        <v>14</v>
      </c>
      <c r="L60" s="171"/>
    </row>
    <row r="61" spans="1:12" ht="18" customHeight="1">
      <c r="A61" s="326"/>
      <c r="C61" s="9" t="s">
        <v>2205</v>
      </c>
      <c r="K61" s="171" t="s">
        <v>14</v>
      </c>
      <c r="L61" s="171"/>
    </row>
    <row r="62" spans="1:12" ht="18" customHeight="1">
      <c r="A62" s="326"/>
      <c r="C62" s="9"/>
      <c r="K62" s="171" t="s">
        <v>14</v>
      </c>
      <c r="L62" s="171"/>
    </row>
    <row r="63" spans="1:12" ht="18" customHeight="1">
      <c r="A63" s="355"/>
      <c r="C63" s="9"/>
      <c r="K63" s="171" t="s">
        <v>14</v>
      </c>
      <c r="L63" s="171"/>
    </row>
    <row r="64" spans="1:12" ht="18" customHeight="1">
      <c r="A64" s="355"/>
      <c r="C64" s="9"/>
      <c r="K64" s="171" t="s">
        <v>14</v>
      </c>
      <c r="L64" s="171"/>
    </row>
    <row r="65" spans="1:26" ht="18" customHeight="1" thickBot="1">
      <c r="A65" s="355"/>
      <c r="C65" s="9"/>
      <c r="K65" s="171" t="s">
        <v>14</v>
      </c>
      <c r="L65" s="171"/>
      <c r="N65" s="66" t="s">
        <v>18</v>
      </c>
      <c r="O65" s="2"/>
      <c r="P65" s="2"/>
      <c r="Q65" s="2"/>
      <c r="R65" s="3"/>
      <c r="S65" s="4"/>
      <c r="T65" s="3"/>
      <c r="U65" s="4"/>
      <c r="V65" s="3"/>
      <c r="W65" s="4"/>
      <c r="X65" s="3"/>
      <c r="Y65" s="4"/>
      <c r="Z65" s="2"/>
    </row>
    <row r="66" spans="1:26" ht="18" customHeight="1">
      <c r="A66" s="326"/>
      <c r="C66" s="9"/>
      <c r="K66" s="171" t="s">
        <v>14</v>
      </c>
      <c r="L66" s="171"/>
      <c r="M66" s="171"/>
      <c r="N66" s="765" t="s">
        <v>19</v>
      </c>
      <c r="O66" s="755" t="s">
        <v>20</v>
      </c>
      <c r="P66" s="755" t="s">
        <v>21</v>
      </c>
      <c r="Q66" s="755" t="s">
        <v>16</v>
      </c>
      <c r="R66" s="5" t="s">
        <v>22</v>
      </c>
      <c r="S66" s="5"/>
      <c r="T66" s="5" t="s">
        <v>23</v>
      </c>
      <c r="U66" s="5"/>
      <c r="V66" s="5" t="s">
        <v>24</v>
      </c>
      <c r="W66" s="5"/>
      <c r="X66" s="5" t="s">
        <v>25</v>
      </c>
      <c r="Y66" s="5"/>
      <c r="Z66" s="755" t="s">
        <v>26</v>
      </c>
    </row>
    <row r="67" spans="1:26" ht="18" customHeight="1" thickBot="1">
      <c r="A67" s="326"/>
      <c r="K67" s="171" t="s">
        <v>14</v>
      </c>
      <c r="L67" s="171"/>
      <c r="M67" s="171"/>
      <c r="N67" s="766"/>
      <c r="O67" s="756"/>
      <c r="P67" s="756"/>
      <c r="Q67" s="756"/>
      <c r="R67" s="67" t="s">
        <v>27</v>
      </c>
      <c r="S67" s="67" t="s">
        <v>28</v>
      </c>
      <c r="T67" s="67" t="s">
        <v>27</v>
      </c>
      <c r="U67" s="67" t="s">
        <v>28</v>
      </c>
      <c r="V67" s="67" t="s">
        <v>27</v>
      </c>
      <c r="W67" s="67" t="s">
        <v>28</v>
      </c>
      <c r="X67" s="67" t="s">
        <v>27</v>
      </c>
      <c r="Y67" s="67" t="s">
        <v>28</v>
      </c>
      <c r="Z67" s="756"/>
    </row>
    <row r="68" spans="1:26" ht="18" customHeight="1" thickTop="1">
      <c r="A68" s="326"/>
      <c r="K68" s="171" t="s">
        <v>14</v>
      </c>
      <c r="L68" s="171"/>
      <c r="M68" s="171"/>
      <c r="N68" s="318" t="str">
        <f ca="1">"제 " &amp; Z68 &amp; " 호표  "&amp; OFFSET($A$1,MATCH(Z68,$A:$A,0)-1,1)</f>
        <v>제 1 호표  1.1. 도시 일반현황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v>1</v>
      </c>
    </row>
    <row r="69" spans="1:26" ht="18" customHeight="1">
      <c r="A69" s="326"/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5.9</v>
      </c>
      <c r="Q69" s="141" t="s">
        <v>29</v>
      </c>
      <c r="R69" s="142">
        <f t="shared" ref="R69:S74" ca="1" si="10">T69</f>
        <v>467217</v>
      </c>
      <c r="S69" s="142">
        <f t="shared" ca="1" si="10"/>
        <v>2756580</v>
      </c>
      <c r="T69" s="142">
        <f ca="1">기술사</f>
        <v>467217</v>
      </c>
      <c r="U69" s="142">
        <f t="shared" ref="U69:U74" ca="1" si="11">ROUNDDOWN(P69*R69,0)</f>
        <v>2756580</v>
      </c>
      <c r="V69" s="142"/>
      <c r="W69" s="142"/>
      <c r="X69" s="142"/>
      <c r="Y69" s="142"/>
      <c r="Z69" s="114"/>
    </row>
    <row r="70" spans="1:26" ht="18" customHeight="1">
      <c r="A70" s="326"/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9.5</v>
      </c>
      <c r="Q70" s="144" t="s">
        <v>29</v>
      </c>
      <c r="R70" s="118">
        <f t="shared" ca="1" si="10"/>
        <v>373353</v>
      </c>
      <c r="S70" s="118">
        <f t="shared" ca="1" si="10"/>
        <v>3546853</v>
      </c>
      <c r="T70" s="118">
        <f ca="1">특급</f>
        <v>373353</v>
      </c>
      <c r="U70" s="118">
        <f t="shared" ca="1" si="11"/>
        <v>3546853</v>
      </c>
      <c r="V70" s="118"/>
      <c r="W70" s="118"/>
      <c r="X70" s="118"/>
      <c r="Y70" s="118"/>
      <c r="Z70" s="115"/>
    </row>
    <row r="71" spans="1:26" ht="18" customHeight="1">
      <c r="A71" s="326"/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39.700000000000003</v>
      </c>
      <c r="Q71" s="144" t="s">
        <v>29</v>
      </c>
      <c r="R71" s="118">
        <f t="shared" ca="1" si="10"/>
        <v>310884</v>
      </c>
      <c r="S71" s="118">
        <f t="shared" ca="1" si="10"/>
        <v>12342094</v>
      </c>
      <c r="T71" s="118">
        <f ca="1">고급</f>
        <v>310884</v>
      </c>
      <c r="U71" s="118">
        <f t="shared" ca="1" si="11"/>
        <v>12342094</v>
      </c>
      <c r="V71" s="118"/>
      <c r="W71" s="118"/>
      <c r="X71" s="118"/>
      <c r="Y71" s="118"/>
      <c r="Z71" s="115"/>
    </row>
    <row r="72" spans="1:26" ht="18" customHeight="1">
      <c r="A72" s="326"/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59.9</v>
      </c>
      <c r="Q72" s="144" t="s">
        <v>29</v>
      </c>
      <c r="R72" s="118">
        <f t="shared" ca="1" si="10"/>
        <v>295138</v>
      </c>
      <c r="S72" s="118">
        <f t="shared" ca="1" si="10"/>
        <v>17678766</v>
      </c>
      <c r="T72" s="118">
        <f ca="1">중급</f>
        <v>295138</v>
      </c>
      <c r="U72" s="118">
        <f t="shared" ca="1" si="11"/>
        <v>17678766</v>
      </c>
      <c r="V72" s="118"/>
      <c r="W72" s="118"/>
      <c r="X72" s="118"/>
      <c r="Y72" s="118"/>
      <c r="Z72" s="115"/>
    </row>
    <row r="73" spans="1:26" ht="18" customHeight="1">
      <c r="A73" s="326"/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99.4</v>
      </c>
      <c r="Q73" s="144" t="s">
        <v>29</v>
      </c>
      <c r="R73" s="118">
        <f t="shared" ca="1" si="10"/>
        <v>235459</v>
      </c>
      <c r="S73" s="118">
        <f t="shared" ca="1" si="10"/>
        <v>23404624</v>
      </c>
      <c r="T73" s="118">
        <f ca="1">초급</f>
        <v>235459</v>
      </c>
      <c r="U73" s="118">
        <f t="shared" ca="1" si="11"/>
        <v>23404624</v>
      </c>
      <c r="V73" s="118"/>
      <c r="W73" s="118"/>
      <c r="X73" s="118"/>
      <c r="Y73" s="118"/>
      <c r="Z73" s="115"/>
    </row>
    <row r="74" spans="1:26" ht="18" customHeight="1">
      <c r="A74" s="326"/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107.3</v>
      </c>
      <c r="Q74" s="322" t="s">
        <v>29</v>
      </c>
      <c r="R74" s="323">
        <f t="shared" ca="1" si="10"/>
        <v>250087</v>
      </c>
      <c r="S74" s="323">
        <f t="shared" ca="1" si="10"/>
        <v>26834335</v>
      </c>
      <c r="T74" s="323">
        <f ca="1">보조원</f>
        <v>250087</v>
      </c>
      <c r="U74" s="323">
        <f t="shared" ca="1" si="11"/>
        <v>26834335</v>
      </c>
      <c r="V74" s="323"/>
      <c r="W74" s="323"/>
      <c r="X74" s="323"/>
      <c r="Y74" s="323"/>
      <c r="Z74" s="324"/>
    </row>
    <row r="75" spans="1:26" ht="18" customHeight="1">
      <c r="A75" s="326"/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86563252</v>
      </c>
      <c r="T75" s="71"/>
      <c r="U75" s="71">
        <f ca="1">SUBTOTAL(9,U69:U74)</f>
        <v>86563252</v>
      </c>
      <c r="V75" s="71"/>
      <c r="W75" s="71"/>
      <c r="X75" s="71"/>
      <c r="Y75" s="71"/>
      <c r="Z75" s="68"/>
    </row>
    <row r="76" spans="1:26" ht="18" customHeight="1">
      <c r="A76" s="326"/>
      <c r="K76" s="171" t="s">
        <v>14</v>
      </c>
      <c r="L76" s="171"/>
      <c r="M76" s="171"/>
      <c r="N76" s="318" t="str">
        <f ca="1">"제 " &amp; Z76 &amp; " 호표  "&amp; OFFSET($A$1,MATCH(Z76,$A:$A,0)-1,1)</f>
        <v>제 2 호표  1.2. 관련계획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2</v>
      </c>
    </row>
    <row r="77" spans="1:26" ht="18" customHeight="1">
      <c r="A77" s="326"/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1.3</v>
      </c>
      <c r="Q77" s="141" t="s">
        <v>29</v>
      </c>
      <c r="R77" s="142">
        <f t="shared" ref="R77:S82" ca="1" si="12">T77</f>
        <v>467217</v>
      </c>
      <c r="S77" s="142">
        <f t="shared" ca="1" si="12"/>
        <v>607382</v>
      </c>
      <c r="T77" s="142">
        <f ca="1">기술사</f>
        <v>467217</v>
      </c>
      <c r="U77" s="142">
        <f t="shared" ref="U77:U82" ca="1" si="13">ROUNDDOWN(P77*R77,0)</f>
        <v>607382</v>
      </c>
      <c r="V77" s="142"/>
      <c r="W77" s="142"/>
      <c r="X77" s="142"/>
      <c r="Y77" s="142"/>
      <c r="Z77" s="114"/>
    </row>
    <row r="78" spans="1:26" ht="18" customHeight="1">
      <c r="A78" s="326"/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2.1</v>
      </c>
      <c r="Q78" s="144" t="s">
        <v>29</v>
      </c>
      <c r="R78" s="118">
        <f t="shared" ca="1" si="12"/>
        <v>373353</v>
      </c>
      <c r="S78" s="118">
        <f t="shared" ca="1" si="12"/>
        <v>784041</v>
      </c>
      <c r="T78" s="118">
        <f ca="1">특급</f>
        <v>373353</v>
      </c>
      <c r="U78" s="118">
        <f t="shared" ca="1" si="13"/>
        <v>784041</v>
      </c>
      <c r="V78" s="118"/>
      <c r="W78" s="118"/>
      <c r="X78" s="118"/>
      <c r="Y78" s="118"/>
      <c r="Z78" s="115"/>
    </row>
    <row r="79" spans="1:26" ht="18" customHeight="1">
      <c r="A79" s="326"/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2.8</v>
      </c>
      <c r="Q79" s="144" t="s">
        <v>29</v>
      </c>
      <c r="R79" s="118">
        <f t="shared" ca="1" si="12"/>
        <v>310884</v>
      </c>
      <c r="S79" s="118">
        <f t="shared" ca="1" si="12"/>
        <v>870475</v>
      </c>
      <c r="T79" s="118">
        <f ca="1">고급</f>
        <v>310884</v>
      </c>
      <c r="U79" s="118">
        <f t="shared" ca="1" si="13"/>
        <v>870475</v>
      </c>
      <c r="V79" s="118"/>
      <c r="W79" s="118"/>
      <c r="X79" s="118"/>
      <c r="Y79" s="118"/>
      <c r="Z79" s="115"/>
    </row>
    <row r="80" spans="1:26" ht="18" customHeight="1">
      <c r="A80" s="326"/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7.8</v>
      </c>
      <c r="Q80" s="144" t="s">
        <v>29</v>
      </c>
      <c r="R80" s="118">
        <f t="shared" ca="1" si="12"/>
        <v>295138</v>
      </c>
      <c r="S80" s="118">
        <f t="shared" ca="1" si="12"/>
        <v>2302076</v>
      </c>
      <c r="T80" s="118">
        <f ca="1">중급</f>
        <v>295138</v>
      </c>
      <c r="U80" s="118">
        <f t="shared" ca="1" si="13"/>
        <v>2302076</v>
      </c>
      <c r="V80" s="118"/>
      <c r="W80" s="118"/>
      <c r="X80" s="118"/>
      <c r="Y80" s="118"/>
      <c r="Z80" s="115"/>
    </row>
    <row r="81" spans="1:26" ht="18" customHeight="1">
      <c r="A81" s="326"/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7.8</v>
      </c>
      <c r="Q81" s="144" t="s">
        <v>29</v>
      </c>
      <c r="R81" s="118">
        <f t="shared" ca="1" si="12"/>
        <v>235459</v>
      </c>
      <c r="S81" s="118">
        <f t="shared" ca="1" si="12"/>
        <v>1836580</v>
      </c>
      <c r="T81" s="118">
        <f ca="1">초급</f>
        <v>235459</v>
      </c>
      <c r="U81" s="118">
        <f t="shared" ca="1" si="13"/>
        <v>1836580</v>
      </c>
      <c r="V81" s="118"/>
      <c r="W81" s="118"/>
      <c r="X81" s="118"/>
      <c r="Y81" s="118"/>
      <c r="Z81" s="115"/>
    </row>
    <row r="82" spans="1:26" ht="18" customHeight="1">
      <c r="A82" s="326"/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10.5</v>
      </c>
      <c r="Q82" s="322" t="s">
        <v>29</v>
      </c>
      <c r="R82" s="323">
        <f t="shared" ca="1" si="12"/>
        <v>250087</v>
      </c>
      <c r="S82" s="323">
        <f t="shared" ca="1" si="12"/>
        <v>2625913</v>
      </c>
      <c r="T82" s="323">
        <f ca="1">보조원</f>
        <v>250087</v>
      </c>
      <c r="U82" s="323">
        <f t="shared" ca="1" si="13"/>
        <v>2625913</v>
      </c>
      <c r="V82" s="323"/>
      <c r="W82" s="323"/>
      <c r="X82" s="323"/>
      <c r="Y82" s="323"/>
      <c r="Z82" s="324"/>
    </row>
    <row r="83" spans="1:26" ht="18" customHeight="1">
      <c r="A83" s="326"/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9026467</v>
      </c>
      <c r="T83" s="71"/>
      <c r="U83" s="71">
        <f ca="1">SUBTOTAL(9,U77:U82)</f>
        <v>9026467</v>
      </c>
      <c r="V83" s="71"/>
      <c r="W83" s="71"/>
      <c r="X83" s="71"/>
      <c r="Y83" s="71"/>
      <c r="Z83" s="68"/>
    </row>
    <row r="84" spans="1:26" ht="18" customHeight="1">
      <c r="K84" s="171" t="s">
        <v>14</v>
      </c>
      <c r="L84" s="171"/>
      <c r="M84" s="171"/>
      <c r="N84" s="318" t="str">
        <f ca="1">"제 " &amp; Z84 &amp; " 호표  "&amp; OFFSET($A$1,MATCH(Z84,$A:$A,0)-1,1)</f>
        <v>제 3 호표  1.3. 공동주택현황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3</v>
      </c>
    </row>
    <row r="85" spans="1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1</v>
      </c>
      <c r="Q85" s="141" t="s">
        <v>29</v>
      </c>
      <c r="R85" s="142">
        <f t="shared" ref="R85:R90" ca="1" si="14">T85</f>
        <v>467217</v>
      </c>
      <c r="S85" s="142">
        <f t="shared" ref="S85:S90" ca="1" si="15">U85</f>
        <v>467217</v>
      </c>
      <c r="T85" s="142">
        <f ca="1">기술사</f>
        <v>467217</v>
      </c>
      <c r="U85" s="142">
        <f t="shared" ref="U85:U90" ca="1" si="16">ROUNDDOWN(P85*R85,0)</f>
        <v>467217</v>
      </c>
      <c r="V85" s="142"/>
      <c r="W85" s="142"/>
      <c r="X85" s="142"/>
      <c r="Y85" s="142"/>
      <c r="Z85" s="114"/>
    </row>
    <row r="86" spans="1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2</v>
      </c>
      <c r="Q86" s="144" t="s">
        <v>29</v>
      </c>
      <c r="R86" s="118">
        <f t="shared" ca="1" si="14"/>
        <v>373353</v>
      </c>
      <c r="S86" s="118">
        <f t="shared" ca="1" si="15"/>
        <v>746706</v>
      </c>
      <c r="T86" s="118">
        <f ca="1">특급</f>
        <v>373353</v>
      </c>
      <c r="U86" s="118">
        <f t="shared" ca="1" si="16"/>
        <v>746706</v>
      </c>
      <c r="V86" s="118"/>
      <c r="W86" s="118"/>
      <c r="X86" s="118"/>
      <c r="Y86" s="118"/>
      <c r="Z86" s="115"/>
    </row>
    <row r="87" spans="1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4.9000000000000004</v>
      </c>
      <c r="Q87" s="144" t="s">
        <v>29</v>
      </c>
      <c r="R87" s="118">
        <f t="shared" ca="1" si="14"/>
        <v>310884</v>
      </c>
      <c r="S87" s="118">
        <f t="shared" ca="1" si="15"/>
        <v>1523331</v>
      </c>
      <c r="T87" s="118">
        <f ca="1">고급</f>
        <v>310884</v>
      </c>
      <c r="U87" s="118">
        <f t="shared" ca="1" si="16"/>
        <v>1523331</v>
      </c>
      <c r="V87" s="118"/>
      <c r="W87" s="118"/>
      <c r="X87" s="118"/>
      <c r="Y87" s="118"/>
      <c r="Z87" s="115"/>
    </row>
    <row r="88" spans="1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12.7</v>
      </c>
      <c r="Q88" s="144" t="s">
        <v>29</v>
      </c>
      <c r="R88" s="118">
        <f t="shared" ca="1" si="14"/>
        <v>295138</v>
      </c>
      <c r="S88" s="118">
        <f t="shared" ca="1" si="15"/>
        <v>3748252</v>
      </c>
      <c r="T88" s="118">
        <f ca="1">중급</f>
        <v>295138</v>
      </c>
      <c r="U88" s="118">
        <f t="shared" ca="1" si="16"/>
        <v>3748252</v>
      </c>
      <c r="V88" s="118"/>
      <c r="W88" s="118"/>
      <c r="X88" s="118"/>
      <c r="Y88" s="118"/>
      <c r="Z88" s="115"/>
    </row>
    <row r="89" spans="1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15.2</v>
      </c>
      <c r="Q89" s="144" t="s">
        <v>29</v>
      </c>
      <c r="R89" s="118">
        <f t="shared" ca="1" si="14"/>
        <v>235459</v>
      </c>
      <c r="S89" s="118">
        <f t="shared" ca="1" si="15"/>
        <v>3578976</v>
      </c>
      <c r="T89" s="118">
        <f ca="1">초급</f>
        <v>235459</v>
      </c>
      <c r="U89" s="118">
        <f t="shared" ca="1" si="16"/>
        <v>3578976</v>
      </c>
      <c r="V89" s="118"/>
      <c r="W89" s="118"/>
      <c r="X89" s="118"/>
      <c r="Y89" s="118"/>
      <c r="Z89" s="115"/>
    </row>
    <row r="90" spans="1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17.8</v>
      </c>
      <c r="Q90" s="322" t="s">
        <v>29</v>
      </c>
      <c r="R90" s="323">
        <f t="shared" ca="1" si="14"/>
        <v>250087</v>
      </c>
      <c r="S90" s="323">
        <f t="shared" ca="1" si="15"/>
        <v>4451548</v>
      </c>
      <c r="T90" s="323">
        <f ca="1">보조원</f>
        <v>250087</v>
      </c>
      <c r="U90" s="323">
        <f t="shared" ca="1" si="16"/>
        <v>4451548</v>
      </c>
      <c r="V90" s="323"/>
      <c r="W90" s="323"/>
      <c r="X90" s="323"/>
      <c r="Y90" s="323"/>
      <c r="Z90" s="324"/>
    </row>
    <row r="91" spans="1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14516030</v>
      </c>
      <c r="T91" s="71"/>
      <c r="U91" s="71">
        <f ca="1">SUBTOTAL(9,U85:U90)</f>
        <v>14516030</v>
      </c>
      <c r="V91" s="71"/>
      <c r="W91" s="71"/>
      <c r="X91" s="71"/>
      <c r="Y91" s="71"/>
      <c r="Z91" s="68"/>
    </row>
    <row r="92" spans="1:26" ht="18" customHeight="1">
      <c r="K92" s="171" t="s">
        <v>14</v>
      </c>
      <c r="L92" s="171"/>
      <c r="M92" s="171"/>
      <c r="N92" s="318" t="str">
        <f ca="1">"제 " &amp; Z92 &amp; " 호표  "&amp; OFFSET($A$1,MATCH(Z92,$A:$A,0)-1,1)</f>
        <v>제 4 호표  1.4. 기반시설현황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4</v>
      </c>
    </row>
    <row r="93" spans="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2.8</v>
      </c>
      <c r="Q93" s="141" t="s">
        <v>29</v>
      </c>
      <c r="R93" s="142">
        <f t="shared" ref="R93:R98" ca="1" si="17">T93</f>
        <v>467217</v>
      </c>
      <c r="S93" s="142">
        <f t="shared" ref="S93:S98" ca="1" si="18">U93</f>
        <v>1308207</v>
      </c>
      <c r="T93" s="142">
        <f ca="1">기술사</f>
        <v>467217</v>
      </c>
      <c r="U93" s="142">
        <f t="shared" ref="U93:U98" ca="1" si="19">ROUNDDOWN(P93*R93,0)</f>
        <v>1308207</v>
      </c>
      <c r="V93" s="142"/>
      <c r="W93" s="142"/>
      <c r="X93" s="142"/>
      <c r="Y93" s="142"/>
      <c r="Z93" s="114"/>
    </row>
    <row r="94" spans="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4.4000000000000004</v>
      </c>
      <c r="Q94" s="144" t="s">
        <v>29</v>
      </c>
      <c r="R94" s="118">
        <f t="shared" ca="1" si="17"/>
        <v>373353</v>
      </c>
      <c r="S94" s="118">
        <f t="shared" ca="1" si="18"/>
        <v>1642753</v>
      </c>
      <c r="T94" s="118">
        <f ca="1">특급</f>
        <v>373353</v>
      </c>
      <c r="U94" s="118">
        <f t="shared" ca="1" si="19"/>
        <v>1642753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13.3</v>
      </c>
      <c r="Q95" s="144" t="s">
        <v>29</v>
      </c>
      <c r="R95" s="118">
        <f t="shared" ca="1" si="17"/>
        <v>310884</v>
      </c>
      <c r="S95" s="118">
        <f t="shared" ca="1" si="18"/>
        <v>4134757</v>
      </c>
      <c r="T95" s="118">
        <f ca="1">고급</f>
        <v>310884</v>
      </c>
      <c r="U95" s="118">
        <f t="shared" ca="1" si="19"/>
        <v>4134757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18.5</v>
      </c>
      <c r="Q96" s="144" t="s">
        <v>29</v>
      </c>
      <c r="R96" s="118">
        <f t="shared" ca="1" si="17"/>
        <v>295138</v>
      </c>
      <c r="S96" s="118">
        <f t="shared" ca="1" si="18"/>
        <v>5460053</v>
      </c>
      <c r="T96" s="118">
        <f ca="1">중급</f>
        <v>295138</v>
      </c>
      <c r="U96" s="118">
        <f t="shared" ca="1" si="19"/>
        <v>5460053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21.5</v>
      </c>
      <c r="Q97" s="144" t="s">
        <v>29</v>
      </c>
      <c r="R97" s="118">
        <f t="shared" ca="1" si="17"/>
        <v>235459</v>
      </c>
      <c r="S97" s="118">
        <f t="shared" ca="1" si="18"/>
        <v>5062368</v>
      </c>
      <c r="T97" s="118">
        <f ca="1">초급</f>
        <v>235459</v>
      </c>
      <c r="U97" s="118">
        <f t="shared" ca="1" si="19"/>
        <v>5062368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21.1</v>
      </c>
      <c r="Q98" s="322" t="s">
        <v>29</v>
      </c>
      <c r="R98" s="323">
        <f t="shared" ca="1" si="17"/>
        <v>250087</v>
      </c>
      <c r="S98" s="323">
        <f t="shared" ca="1" si="18"/>
        <v>5276835</v>
      </c>
      <c r="T98" s="323">
        <f ca="1">보조원</f>
        <v>250087</v>
      </c>
      <c r="U98" s="323">
        <f t="shared" ca="1" si="19"/>
        <v>5276835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22884973</v>
      </c>
      <c r="T99" s="71"/>
      <c r="U99" s="71">
        <f ca="1">SUBTOTAL(9,U93:U98)</f>
        <v>22884973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5 호표  2.1. 계획의 목표 및 기본방향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5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5.4</v>
      </c>
      <c r="Q101" s="141" t="s">
        <v>29</v>
      </c>
      <c r="R101" s="142">
        <f t="shared" ref="R101:R106" ca="1" si="20">T101</f>
        <v>467217</v>
      </c>
      <c r="S101" s="142">
        <f t="shared" ref="S101:S106" ca="1" si="21">U101</f>
        <v>2522971</v>
      </c>
      <c r="T101" s="142">
        <f ca="1">기술사</f>
        <v>467217</v>
      </c>
      <c r="U101" s="142">
        <f t="shared" ref="U101:U106" ca="1" si="22">ROUNDDOWN(P101*R101,0)</f>
        <v>2522971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5.8</v>
      </c>
      <c r="Q102" s="144" t="s">
        <v>29</v>
      </c>
      <c r="R102" s="118">
        <f t="shared" ca="1" si="20"/>
        <v>373353</v>
      </c>
      <c r="S102" s="118">
        <f t="shared" ca="1" si="21"/>
        <v>2165447</v>
      </c>
      <c r="T102" s="118">
        <f ca="1">특급</f>
        <v>373353</v>
      </c>
      <c r="U102" s="118">
        <f t="shared" ca="1" si="22"/>
        <v>2165447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11.6</v>
      </c>
      <c r="Q103" s="144" t="s">
        <v>29</v>
      </c>
      <c r="R103" s="118">
        <f t="shared" ca="1" si="20"/>
        <v>310884</v>
      </c>
      <c r="S103" s="118">
        <f t="shared" ca="1" si="21"/>
        <v>3606254</v>
      </c>
      <c r="T103" s="118">
        <f ca="1">고급</f>
        <v>310884</v>
      </c>
      <c r="U103" s="118">
        <f t="shared" ca="1" si="22"/>
        <v>3606254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19.2</v>
      </c>
      <c r="Q104" s="144" t="s">
        <v>29</v>
      </c>
      <c r="R104" s="118">
        <f t="shared" ca="1" si="20"/>
        <v>295138</v>
      </c>
      <c r="S104" s="118">
        <f t="shared" ca="1" si="21"/>
        <v>5666649</v>
      </c>
      <c r="T104" s="118">
        <f ca="1">중급</f>
        <v>295138</v>
      </c>
      <c r="U104" s="118">
        <f t="shared" ca="1" si="22"/>
        <v>5666649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28.8</v>
      </c>
      <c r="Q105" s="144" t="s">
        <v>29</v>
      </c>
      <c r="R105" s="118">
        <f t="shared" ca="1" si="20"/>
        <v>235459</v>
      </c>
      <c r="S105" s="118">
        <f t="shared" ca="1" si="21"/>
        <v>6781219</v>
      </c>
      <c r="T105" s="118">
        <f ca="1">초급</f>
        <v>235459</v>
      </c>
      <c r="U105" s="118">
        <f t="shared" ca="1" si="22"/>
        <v>6781219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18.399999999999999</v>
      </c>
      <c r="Q106" s="322" t="s">
        <v>29</v>
      </c>
      <c r="R106" s="323">
        <f t="shared" ca="1" si="20"/>
        <v>250087</v>
      </c>
      <c r="S106" s="323">
        <f t="shared" ca="1" si="21"/>
        <v>4601600</v>
      </c>
      <c r="T106" s="323">
        <f ca="1">보조원</f>
        <v>250087</v>
      </c>
      <c r="U106" s="323">
        <f t="shared" ca="1" si="22"/>
        <v>4601600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25344140</v>
      </c>
      <c r="T107" s="71"/>
      <c r="U107" s="71">
        <f ca="1">SUBTOTAL(9,U101:U106)</f>
        <v>25344140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6 호표  2.2. 리모델링 수요 예측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6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5.4</v>
      </c>
      <c r="Q109" s="141" t="s">
        <v>29</v>
      </c>
      <c r="R109" s="142">
        <f t="shared" ref="R109:R114" ca="1" si="23">T109</f>
        <v>467217</v>
      </c>
      <c r="S109" s="142">
        <f t="shared" ref="S109:S114" ca="1" si="24">U109</f>
        <v>2522971</v>
      </c>
      <c r="T109" s="142">
        <f ca="1">기술사</f>
        <v>467217</v>
      </c>
      <c r="U109" s="142">
        <f t="shared" ref="U109:U114" ca="1" si="25">ROUNDDOWN(P109*R109,0)</f>
        <v>2522971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8.6999999999999993</v>
      </c>
      <c r="Q110" s="144" t="s">
        <v>29</v>
      </c>
      <c r="R110" s="118">
        <f t="shared" ca="1" si="23"/>
        <v>373353</v>
      </c>
      <c r="S110" s="118">
        <f t="shared" ca="1" si="24"/>
        <v>3248171</v>
      </c>
      <c r="T110" s="118">
        <f ca="1">특급</f>
        <v>373353</v>
      </c>
      <c r="U110" s="118">
        <f t="shared" ca="1" si="25"/>
        <v>3248171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17.399999999999999</v>
      </c>
      <c r="Q111" s="144" t="s">
        <v>29</v>
      </c>
      <c r="R111" s="118">
        <f t="shared" ca="1" si="23"/>
        <v>310884</v>
      </c>
      <c r="S111" s="118">
        <f t="shared" ca="1" si="24"/>
        <v>5409381</v>
      </c>
      <c r="T111" s="118">
        <f ca="1">고급</f>
        <v>310884</v>
      </c>
      <c r="U111" s="118">
        <f t="shared" ca="1" si="25"/>
        <v>5409381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29.1</v>
      </c>
      <c r="Q112" s="144" t="s">
        <v>29</v>
      </c>
      <c r="R112" s="118">
        <f t="shared" ca="1" si="23"/>
        <v>295138</v>
      </c>
      <c r="S112" s="118">
        <f t="shared" ca="1" si="24"/>
        <v>8588515</v>
      </c>
      <c r="T112" s="118">
        <f ca="1">중급</f>
        <v>295138</v>
      </c>
      <c r="U112" s="118">
        <f t="shared" ca="1" si="25"/>
        <v>8588515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43.2</v>
      </c>
      <c r="Q113" s="144" t="s">
        <v>29</v>
      </c>
      <c r="R113" s="118">
        <f t="shared" ca="1" si="23"/>
        <v>235459</v>
      </c>
      <c r="S113" s="118">
        <f t="shared" ca="1" si="24"/>
        <v>10171828</v>
      </c>
      <c r="T113" s="118">
        <f ca="1">초급</f>
        <v>235459</v>
      </c>
      <c r="U113" s="118">
        <f t="shared" ca="1" si="25"/>
        <v>10171828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41.4</v>
      </c>
      <c r="Q114" s="322" t="s">
        <v>29</v>
      </c>
      <c r="R114" s="323">
        <f t="shared" ca="1" si="23"/>
        <v>250087</v>
      </c>
      <c r="S114" s="323">
        <f t="shared" ca="1" si="24"/>
        <v>10353601</v>
      </c>
      <c r="T114" s="323">
        <f ca="1">보조원</f>
        <v>250087</v>
      </c>
      <c r="U114" s="323">
        <f t="shared" ca="1" si="25"/>
        <v>10353601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40294467</v>
      </c>
      <c r="T115" s="71"/>
      <c r="U115" s="71">
        <f ca="1">SUBTOTAL(9,U109:U114)</f>
        <v>40294467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7 호표  2.3. 기반시설 영향 검토(일반)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7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4.5</v>
      </c>
      <c r="Q117" s="141" t="s">
        <v>29</v>
      </c>
      <c r="R117" s="142">
        <f t="shared" ref="R117:R122" ca="1" si="26">T117</f>
        <v>467217</v>
      </c>
      <c r="S117" s="142">
        <f t="shared" ref="S117:S122" ca="1" si="27">U117</f>
        <v>2102476</v>
      </c>
      <c r="T117" s="142">
        <f ca="1">기술사</f>
        <v>467217</v>
      </c>
      <c r="U117" s="142">
        <f t="shared" ref="U117:U122" ca="1" si="28">ROUNDDOWN(P117*R117,0)</f>
        <v>2102476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7.2</v>
      </c>
      <c r="Q118" s="144" t="s">
        <v>29</v>
      </c>
      <c r="R118" s="118">
        <f t="shared" ca="1" si="26"/>
        <v>373353</v>
      </c>
      <c r="S118" s="118">
        <f t="shared" ca="1" si="27"/>
        <v>2688141</v>
      </c>
      <c r="T118" s="118">
        <f ca="1">특급</f>
        <v>373353</v>
      </c>
      <c r="U118" s="118">
        <f t="shared" ca="1" si="28"/>
        <v>2688141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14.7</v>
      </c>
      <c r="Q119" s="144" t="s">
        <v>29</v>
      </c>
      <c r="R119" s="118">
        <f t="shared" ca="1" si="26"/>
        <v>310884</v>
      </c>
      <c r="S119" s="118">
        <f t="shared" ca="1" si="27"/>
        <v>4569994</v>
      </c>
      <c r="T119" s="118">
        <f ca="1">고급</f>
        <v>310884</v>
      </c>
      <c r="U119" s="118">
        <f t="shared" ca="1" si="28"/>
        <v>4569994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24.3</v>
      </c>
      <c r="Q120" s="144" t="s">
        <v>29</v>
      </c>
      <c r="R120" s="118">
        <f t="shared" ca="1" si="26"/>
        <v>295138</v>
      </c>
      <c r="S120" s="118">
        <f t="shared" ca="1" si="27"/>
        <v>7171853</v>
      </c>
      <c r="T120" s="118">
        <f ca="1">중급</f>
        <v>295138</v>
      </c>
      <c r="U120" s="118">
        <f t="shared" ca="1" si="28"/>
        <v>7171853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36</v>
      </c>
      <c r="Q121" s="144" t="s">
        <v>29</v>
      </c>
      <c r="R121" s="118">
        <f t="shared" ca="1" si="26"/>
        <v>235459</v>
      </c>
      <c r="S121" s="118">
        <f t="shared" ca="1" si="27"/>
        <v>8476524</v>
      </c>
      <c r="T121" s="118">
        <f ca="1">초급</f>
        <v>235459</v>
      </c>
      <c r="U121" s="118">
        <f t="shared" ca="1" si="28"/>
        <v>8476524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34.5</v>
      </c>
      <c r="Q122" s="322" t="s">
        <v>29</v>
      </c>
      <c r="R122" s="323">
        <f t="shared" ca="1" si="26"/>
        <v>250087</v>
      </c>
      <c r="S122" s="323">
        <f t="shared" ca="1" si="27"/>
        <v>8628001</v>
      </c>
      <c r="T122" s="323">
        <f ca="1">보조원</f>
        <v>250087</v>
      </c>
      <c r="U122" s="323">
        <f t="shared" ca="1" si="28"/>
        <v>8628001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33636989</v>
      </c>
      <c r="T123" s="71"/>
      <c r="U123" s="71">
        <f ca="1">SUBTOTAL(9,U117:U122)</f>
        <v>33636989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8 호표  2.4. 단계별 리모델링 시행방안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8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3</v>
      </c>
      <c r="Q125" s="141" t="s">
        <v>29</v>
      </c>
      <c r="R125" s="142">
        <f t="shared" ref="R125:R130" ca="1" si="29">T125</f>
        <v>467217</v>
      </c>
      <c r="S125" s="142">
        <f t="shared" ref="S125:S130" ca="1" si="30">U125</f>
        <v>1401651</v>
      </c>
      <c r="T125" s="142">
        <f ca="1">기술사</f>
        <v>467217</v>
      </c>
      <c r="U125" s="142">
        <f t="shared" ref="U125:U130" ca="1" si="31">ROUNDDOWN(P125*R125,0)</f>
        <v>1401651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5</v>
      </c>
      <c r="Q126" s="144" t="s">
        <v>29</v>
      </c>
      <c r="R126" s="118">
        <f t="shared" ca="1" si="29"/>
        <v>373353</v>
      </c>
      <c r="S126" s="118">
        <f t="shared" ca="1" si="30"/>
        <v>1866765</v>
      </c>
      <c r="T126" s="118">
        <f ca="1">특급</f>
        <v>373353</v>
      </c>
      <c r="U126" s="118">
        <f t="shared" ca="1" si="31"/>
        <v>1866765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9.8000000000000007</v>
      </c>
      <c r="Q127" s="144" t="s">
        <v>29</v>
      </c>
      <c r="R127" s="118">
        <f t="shared" ca="1" si="29"/>
        <v>310884</v>
      </c>
      <c r="S127" s="118">
        <f t="shared" ca="1" si="30"/>
        <v>3046663</v>
      </c>
      <c r="T127" s="118">
        <f ca="1">고급</f>
        <v>310884</v>
      </c>
      <c r="U127" s="118">
        <f t="shared" ca="1" si="31"/>
        <v>3046663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16.2</v>
      </c>
      <c r="Q128" s="144" t="s">
        <v>29</v>
      </c>
      <c r="R128" s="118">
        <f t="shared" ca="1" si="29"/>
        <v>295138</v>
      </c>
      <c r="S128" s="118">
        <f t="shared" ca="1" si="30"/>
        <v>4781235</v>
      </c>
      <c r="T128" s="118">
        <f ca="1">중급</f>
        <v>295138</v>
      </c>
      <c r="U128" s="118">
        <f t="shared" ca="1" si="31"/>
        <v>4781235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23.8</v>
      </c>
      <c r="Q129" s="144" t="s">
        <v>29</v>
      </c>
      <c r="R129" s="118">
        <f t="shared" ca="1" si="29"/>
        <v>235459</v>
      </c>
      <c r="S129" s="118">
        <f t="shared" ca="1" si="30"/>
        <v>5603924</v>
      </c>
      <c r="T129" s="118">
        <f ca="1">초급</f>
        <v>235459</v>
      </c>
      <c r="U129" s="118">
        <f t="shared" ca="1" si="31"/>
        <v>5603924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23</v>
      </c>
      <c r="Q130" s="322" t="s">
        <v>29</v>
      </c>
      <c r="R130" s="323">
        <f t="shared" ca="1" si="29"/>
        <v>250087</v>
      </c>
      <c r="S130" s="323">
        <f t="shared" ca="1" si="30"/>
        <v>5752001</v>
      </c>
      <c r="T130" s="323">
        <f ca="1">보조원</f>
        <v>250087</v>
      </c>
      <c r="U130" s="323">
        <f t="shared" ca="1" si="31"/>
        <v>5752001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22452239</v>
      </c>
      <c r="T131" s="71"/>
      <c r="U131" s="71">
        <f ca="1">SUBTOTAL(9,U125:U130)</f>
        <v>22452239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  <c r="N132" s="318" t="str">
        <f ca="1">"제 " &amp; Z132 &amp; " 호표  "&amp; OFFSET($A$1,MATCH(Z132,$A:$A,0)-1,1)</f>
        <v>제 9 호표  2.5. 도시경관 관리방안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9</v>
      </c>
    </row>
    <row r="133" spans="11:26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3.6</v>
      </c>
      <c r="Q133" s="141" t="s">
        <v>29</v>
      </c>
      <c r="R133" s="142">
        <f t="shared" ref="R133:R138" ca="1" si="32">T133</f>
        <v>467217</v>
      </c>
      <c r="S133" s="142">
        <f t="shared" ref="S133:S138" ca="1" si="33">U133</f>
        <v>1681981</v>
      </c>
      <c r="T133" s="142">
        <f ca="1">기술사</f>
        <v>467217</v>
      </c>
      <c r="U133" s="142">
        <f t="shared" ref="U133:U138" ca="1" si="34">ROUNDDOWN(P133*R133,0)</f>
        <v>1681981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6.3</v>
      </c>
      <c r="Q134" s="144" t="s">
        <v>29</v>
      </c>
      <c r="R134" s="118">
        <f t="shared" ca="1" si="32"/>
        <v>373353</v>
      </c>
      <c r="S134" s="118">
        <f t="shared" ca="1" si="33"/>
        <v>2352123</v>
      </c>
      <c r="T134" s="118">
        <f ca="1">특급</f>
        <v>373353</v>
      </c>
      <c r="U134" s="118">
        <f t="shared" ca="1" si="34"/>
        <v>2352123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11.7</v>
      </c>
      <c r="Q135" s="144" t="s">
        <v>29</v>
      </c>
      <c r="R135" s="118">
        <f t="shared" ca="1" si="32"/>
        <v>310884</v>
      </c>
      <c r="S135" s="118">
        <f t="shared" ca="1" si="33"/>
        <v>3637342</v>
      </c>
      <c r="T135" s="118">
        <f ca="1">고급</f>
        <v>310884</v>
      </c>
      <c r="U135" s="118">
        <f t="shared" ca="1" si="34"/>
        <v>3637342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19.8</v>
      </c>
      <c r="Q136" s="144" t="s">
        <v>29</v>
      </c>
      <c r="R136" s="118">
        <f t="shared" ca="1" si="32"/>
        <v>295138</v>
      </c>
      <c r="S136" s="118">
        <f t="shared" ca="1" si="33"/>
        <v>5843732</v>
      </c>
      <c r="T136" s="118">
        <f ca="1">중급</f>
        <v>295138</v>
      </c>
      <c r="U136" s="118">
        <f t="shared" ca="1" si="34"/>
        <v>5843732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29.1</v>
      </c>
      <c r="Q137" s="144" t="s">
        <v>29</v>
      </c>
      <c r="R137" s="118">
        <f t="shared" ca="1" si="32"/>
        <v>235459</v>
      </c>
      <c r="S137" s="118">
        <f t="shared" ca="1" si="33"/>
        <v>6851856</v>
      </c>
      <c r="T137" s="118">
        <f ca="1">초급</f>
        <v>235459</v>
      </c>
      <c r="U137" s="118">
        <f t="shared" ca="1" si="34"/>
        <v>6851856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27.6</v>
      </c>
      <c r="Q138" s="322" t="s">
        <v>29</v>
      </c>
      <c r="R138" s="323">
        <f t="shared" ca="1" si="32"/>
        <v>250087</v>
      </c>
      <c r="S138" s="323">
        <f t="shared" ca="1" si="33"/>
        <v>6902401</v>
      </c>
      <c r="T138" s="323">
        <f ca="1">보조원</f>
        <v>250087</v>
      </c>
      <c r="U138" s="323">
        <f t="shared" ca="1" si="34"/>
        <v>6902401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27269435</v>
      </c>
      <c r="T139" s="71"/>
      <c r="U139" s="71">
        <f ca="1">SUBTOTAL(9,U133:U138)</f>
        <v>27269435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OFFSET($A$1,MATCH(Z140,$A:$A,0)-1,1)</f>
        <v>제 10 호표  2.6. 공동주택 저에너지·장수명화 방안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10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3</v>
      </c>
      <c r="Q141" s="141" t="s">
        <v>29</v>
      </c>
      <c r="R141" s="142">
        <f t="shared" ref="R141:R146" ca="1" si="35">T141</f>
        <v>467217</v>
      </c>
      <c r="S141" s="142">
        <f t="shared" ref="S141:S146" ca="1" si="36">U141</f>
        <v>1401651</v>
      </c>
      <c r="T141" s="142">
        <f ca="1">기술사</f>
        <v>467217</v>
      </c>
      <c r="U141" s="142">
        <f t="shared" ref="U141:U146" ca="1" si="37">ROUNDDOWN(P141*R141,0)</f>
        <v>1401651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5</v>
      </c>
      <c r="Q142" s="144" t="s">
        <v>29</v>
      </c>
      <c r="R142" s="118">
        <f t="shared" ca="1" si="35"/>
        <v>373353</v>
      </c>
      <c r="S142" s="118">
        <f t="shared" ca="1" si="36"/>
        <v>1866765</v>
      </c>
      <c r="T142" s="118">
        <f ca="1">특급</f>
        <v>373353</v>
      </c>
      <c r="U142" s="118">
        <f t="shared" ca="1" si="37"/>
        <v>1866765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9.8000000000000007</v>
      </c>
      <c r="Q143" s="144" t="s">
        <v>29</v>
      </c>
      <c r="R143" s="118">
        <f t="shared" ca="1" si="35"/>
        <v>310884</v>
      </c>
      <c r="S143" s="118">
        <f t="shared" ca="1" si="36"/>
        <v>3046663</v>
      </c>
      <c r="T143" s="118">
        <f ca="1">고급</f>
        <v>310884</v>
      </c>
      <c r="U143" s="118">
        <f t="shared" ca="1" si="37"/>
        <v>3046663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16.2</v>
      </c>
      <c r="Q144" s="144" t="s">
        <v>29</v>
      </c>
      <c r="R144" s="118">
        <f t="shared" ca="1" si="35"/>
        <v>295138</v>
      </c>
      <c r="S144" s="118">
        <f t="shared" ca="1" si="36"/>
        <v>4781235</v>
      </c>
      <c r="T144" s="118">
        <f ca="1">중급</f>
        <v>295138</v>
      </c>
      <c r="U144" s="118">
        <f t="shared" ca="1" si="37"/>
        <v>4781235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23.8</v>
      </c>
      <c r="Q145" s="144" t="s">
        <v>29</v>
      </c>
      <c r="R145" s="118">
        <f t="shared" ca="1" si="35"/>
        <v>235459</v>
      </c>
      <c r="S145" s="118">
        <f t="shared" ca="1" si="36"/>
        <v>5603924</v>
      </c>
      <c r="T145" s="118">
        <f ca="1">초급</f>
        <v>235459</v>
      </c>
      <c r="U145" s="118">
        <f t="shared" ca="1" si="37"/>
        <v>5603924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23</v>
      </c>
      <c r="Q146" s="322" t="s">
        <v>29</v>
      </c>
      <c r="R146" s="323">
        <f t="shared" ca="1" si="35"/>
        <v>250087</v>
      </c>
      <c r="S146" s="323">
        <f t="shared" ca="1" si="36"/>
        <v>5752001</v>
      </c>
      <c r="T146" s="323">
        <f ca="1">보조원</f>
        <v>250087</v>
      </c>
      <c r="U146" s="323">
        <f t="shared" ca="1" si="37"/>
        <v>5752001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22452239</v>
      </c>
      <c r="T147" s="71"/>
      <c r="U147" s="71">
        <f ca="1">SUBTOTAL(9,U141:U146)</f>
        <v>22452239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N148" s="318" t="str">
        <f ca="1">"제 " &amp; Z148 &amp; " 호표  "&amp; OFFSET($A$1,MATCH(Z148,$A:$A,0)-1,1)</f>
        <v>제 11 호표  2.7. 리모델링 지원방안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11</v>
      </c>
    </row>
    <row r="149" spans="11:26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2.6</v>
      </c>
      <c r="Q149" s="141" t="s">
        <v>29</v>
      </c>
      <c r="R149" s="142">
        <f t="shared" ref="R149:R154" ca="1" si="38">T149</f>
        <v>467217</v>
      </c>
      <c r="S149" s="142">
        <f t="shared" ref="S149:S154" ca="1" si="39">U149</f>
        <v>1214764</v>
      </c>
      <c r="T149" s="142">
        <f ca="1">기술사</f>
        <v>467217</v>
      </c>
      <c r="U149" s="142">
        <f t="shared" ref="U149:U154" ca="1" si="40">ROUNDDOWN(P149*R149,0)</f>
        <v>1214764</v>
      </c>
      <c r="V149" s="142"/>
      <c r="W149" s="142"/>
      <c r="X149" s="142"/>
      <c r="Y149" s="142"/>
      <c r="Z149" s="114"/>
    </row>
    <row r="150" spans="11:26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4.2</v>
      </c>
      <c r="Q150" s="144" t="s">
        <v>29</v>
      </c>
      <c r="R150" s="118">
        <f t="shared" ca="1" si="38"/>
        <v>373353</v>
      </c>
      <c r="S150" s="118">
        <f t="shared" ca="1" si="39"/>
        <v>1568082</v>
      </c>
      <c r="T150" s="118">
        <f ca="1">특급</f>
        <v>373353</v>
      </c>
      <c r="U150" s="118">
        <f t="shared" ca="1" si="40"/>
        <v>1568082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7.8</v>
      </c>
      <c r="Q151" s="144" t="s">
        <v>29</v>
      </c>
      <c r="R151" s="118">
        <f t="shared" ca="1" si="38"/>
        <v>310884</v>
      </c>
      <c r="S151" s="118">
        <f t="shared" ca="1" si="39"/>
        <v>2424895</v>
      </c>
      <c r="T151" s="118">
        <f ca="1">고급</f>
        <v>310884</v>
      </c>
      <c r="U151" s="118">
        <f t="shared" ca="1" si="40"/>
        <v>2424895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13.2</v>
      </c>
      <c r="Q152" s="144" t="s">
        <v>29</v>
      </c>
      <c r="R152" s="118">
        <f t="shared" ca="1" si="38"/>
        <v>295138</v>
      </c>
      <c r="S152" s="118">
        <f t="shared" ca="1" si="39"/>
        <v>3895821</v>
      </c>
      <c r="T152" s="118">
        <f ca="1">중급</f>
        <v>295138</v>
      </c>
      <c r="U152" s="118">
        <f t="shared" ca="1" si="40"/>
        <v>3895821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19.399999999999999</v>
      </c>
      <c r="Q153" s="144" t="s">
        <v>29</v>
      </c>
      <c r="R153" s="118">
        <f t="shared" ca="1" si="38"/>
        <v>235459</v>
      </c>
      <c r="S153" s="118">
        <f t="shared" ca="1" si="39"/>
        <v>4567904</v>
      </c>
      <c r="T153" s="118">
        <f ca="1">초급</f>
        <v>235459</v>
      </c>
      <c r="U153" s="118">
        <f t="shared" ca="1" si="40"/>
        <v>4567904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18.399999999999999</v>
      </c>
      <c r="Q154" s="322" t="s">
        <v>29</v>
      </c>
      <c r="R154" s="323">
        <f t="shared" ca="1" si="38"/>
        <v>250087</v>
      </c>
      <c r="S154" s="323">
        <f t="shared" ca="1" si="39"/>
        <v>4601600</v>
      </c>
      <c r="T154" s="323">
        <f ca="1">보조원</f>
        <v>250087</v>
      </c>
      <c r="U154" s="323">
        <f t="shared" ca="1" si="40"/>
        <v>4601600</v>
      </c>
      <c r="V154" s="323"/>
      <c r="W154" s="323"/>
      <c r="X154" s="323"/>
      <c r="Y154" s="323"/>
      <c r="Z154" s="324"/>
    </row>
    <row r="155" spans="11:26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18273066</v>
      </c>
      <c r="T155" s="71"/>
      <c r="U155" s="71">
        <f ca="1">SUBTOTAL(9,U149:U154)</f>
        <v>18273066</v>
      </c>
      <c r="V155" s="71"/>
      <c r="W155" s="71"/>
      <c r="X155" s="71"/>
      <c r="Y155" s="71"/>
      <c r="Z155" s="68"/>
    </row>
    <row r="156" spans="11:26" ht="18" customHeight="1">
      <c r="K156" s="171" t="s">
        <v>14</v>
      </c>
      <c r="L156" s="171"/>
      <c r="M156" s="171"/>
      <c r="N156" s="318" t="str">
        <f ca="1">"제 " &amp; Z156 &amp; " 호표  "&amp; OFFSET($A$1,MATCH(Z156,$A:$A,0)-1,1)</f>
        <v>제 12 호표  3.1. 보고서 작성 및 편집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12</v>
      </c>
    </row>
    <row r="157" spans="11:26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6</v>
      </c>
      <c r="Q157" s="141" t="s">
        <v>29</v>
      </c>
      <c r="R157" s="142">
        <f t="shared" ref="R157:R162" ca="1" si="41">T157</f>
        <v>467217</v>
      </c>
      <c r="S157" s="142">
        <f t="shared" ref="S157:S162" ca="1" si="42">U157</f>
        <v>2803302</v>
      </c>
      <c r="T157" s="142">
        <f ca="1">기술사</f>
        <v>467217</v>
      </c>
      <c r="U157" s="142">
        <f t="shared" ref="U157:U162" ca="1" si="43">ROUNDDOWN(P157*R157,0)</f>
        <v>2803302</v>
      </c>
      <c r="V157" s="142"/>
      <c r="W157" s="142"/>
      <c r="X157" s="142"/>
      <c r="Y157" s="142"/>
      <c r="Z157" s="114"/>
    </row>
    <row r="158" spans="11:26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9.4</v>
      </c>
      <c r="Q158" s="144" t="s">
        <v>29</v>
      </c>
      <c r="R158" s="118">
        <f t="shared" ca="1" si="41"/>
        <v>373353</v>
      </c>
      <c r="S158" s="118">
        <f t="shared" ca="1" si="42"/>
        <v>3509518</v>
      </c>
      <c r="T158" s="118">
        <f ca="1">특급</f>
        <v>373353</v>
      </c>
      <c r="U158" s="118">
        <f t="shared" ca="1" si="43"/>
        <v>3509518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21.2</v>
      </c>
      <c r="Q159" s="144" t="s">
        <v>29</v>
      </c>
      <c r="R159" s="118">
        <f t="shared" ca="1" si="41"/>
        <v>310884</v>
      </c>
      <c r="S159" s="118">
        <f t="shared" ca="1" si="42"/>
        <v>6590740</v>
      </c>
      <c r="T159" s="118">
        <f ca="1">고급</f>
        <v>310884</v>
      </c>
      <c r="U159" s="118">
        <f t="shared" ca="1" si="43"/>
        <v>6590740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35.4</v>
      </c>
      <c r="Q160" s="144" t="s">
        <v>29</v>
      </c>
      <c r="R160" s="118">
        <f t="shared" ca="1" si="41"/>
        <v>295138</v>
      </c>
      <c r="S160" s="118">
        <f t="shared" ca="1" si="42"/>
        <v>10447885</v>
      </c>
      <c r="T160" s="118">
        <f ca="1">중급</f>
        <v>295138</v>
      </c>
      <c r="U160" s="118">
        <f t="shared" ca="1" si="43"/>
        <v>10447885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35.1</v>
      </c>
      <c r="Q161" s="144" t="s">
        <v>29</v>
      </c>
      <c r="R161" s="118">
        <f t="shared" ca="1" si="41"/>
        <v>235459</v>
      </c>
      <c r="S161" s="118">
        <f t="shared" ca="1" si="42"/>
        <v>8264610</v>
      </c>
      <c r="T161" s="118">
        <f ca="1">초급</f>
        <v>235459</v>
      </c>
      <c r="U161" s="118">
        <f t="shared" ca="1" si="43"/>
        <v>8264610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23.3</v>
      </c>
      <c r="Q162" s="322" t="s">
        <v>29</v>
      </c>
      <c r="R162" s="323">
        <f t="shared" ca="1" si="41"/>
        <v>250087</v>
      </c>
      <c r="S162" s="323">
        <f t="shared" ca="1" si="42"/>
        <v>5827027</v>
      </c>
      <c r="T162" s="323">
        <f ca="1">보조원</f>
        <v>250087</v>
      </c>
      <c r="U162" s="323">
        <f t="shared" ca="1" si="43"/>
        <v>5827027</v>
      </c>
      <c r="V162" s="323"/>
      <c r="W162" s="323"/>
      <c r="X162" s="323"/>
      <c r="Y162" s="323"/>
      <c r="Z162" s="324"/>
    </row>
    <row r="163" spans="11:26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37443082</v>
      </c>
      <c r="T163" s="71"/>
      <c r="U163" s="71">
        <f ca="1">SUBTOTAL(9,U157:U162)</f>
        <v>37443082</v>
      </c>
      <c r="V163" s="71"/>
      <c r="W163" s="71"/>
      <c r="X163" s="71"/>
      <c r="Y163" s="71"/>
      <c r="Z163" s="68"/>
    </row>
    <row r="164" spans="11:26" ht="18" customHeight="1">
      <c r="K164" s="171" t="s">
        <v>14</v>
      </c>
      <c r="L164" s="171"/>
      <c r="M164" s="171"/>
      <c r="N164" s="318" t="str">
        <f ca="1">"제 " &amp; Z164 &amp; " 호표  "&amp; OFFSET($A$1,MATCH(Z164,$A:$A,0)-1,1)</f>
        <v>제 13 호표  3.2. 관련도서 작성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13</v>
      </c>
    </row>
    <row r="165" spans="11:26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2.8</v>
      </c>
      <c r="Q165" s="141" t="s">
        <v>29</v>
      </c>
      <c r="R165" s="142">
        <f t="shared" ref="R165:R170" ca="1" si="44">T165</f>
        <v>467217</v>
      </c>
      <c r="S165" s="142">
        <f t="shared" ref="S165:S170" ca="1" si="45">U165</f>
        <v>1308207</v>
      </c>
      <c r="T165" s="142">
        <f ca="1">기술사</f>
        <v>467217</v>
      </c>
      <c r="U165" s="142">
        <f t="shared" ref="U165:U170" ca="1" si="46">ROUNDDOWN(P165*R165,0)</f>
        <v>1308207</v>
      </c>
      <c r="V165" s="142"/>
      <c r="W165" s="142"/>
      <c r="X165" s="142"/>
      <c r="Y165" s="142"/>
      <c r="Z165" s="114"/>
    </row>
    <row r="166" spans="11:26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4.9000000000000004</v>
      </c>
      <c r="Q166" s="144" t="s">
        <v>29</v>
      </c>
      <c r="R166" s="118">
        <f t="shared" ca="1" si="44"/>
        <v>373353</v>
      </c>
      <c r="S166" s="118">
        <f t="shared" ca="1" si="45"/>
        <v>1829429</v>
      </c>
      <c r="T166" s="118">
        <f ca="1">특급</f>
        <v>373353</v>
      </c>
      <c r="U166" s="118">
        <f t="shared" ca="1" si="46"/>
        <v>1829429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10.7</v>
      </c>
      <c r="Q167" s="144" t="s">
        <v>29</v>
      </c>
      <c r="R167" s="118">
        <f t="shared" ca="1" si="44"/>
        <v>310884</v>
      </c>
      <c r="S167" s="118">
        <f t="shared" ca="1" si="45"/>
        <v>3326458</v>
      </c>
      <c r="T167" s="118">
        <f ca="1">고급</f>
        <v>310884</v>
      </c>
      <c r="U167" s="118">
        <f t="shared" ca="1" si="46"/>
        <v>3326458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23.9</v>
      </c>
      <c r="Q168" s="144" t="s">
        <v>29</v>
      </c>
      <c r="R168" s="118">
        <f t="shared" ca="1" si="44"/>
        <v>295138</v>
      </c>
      <c r="S168" s="118">
        <f t="shared" ca="1" si="45"/>
        <v>7053798</v>
      </c>
      <c r="T168" s="118">
        <f ca="1">중급</f>
        <v>295138</v>
      </c>
      <c r="U168" s="118">
        <f t="shared" ca="1" si="46"/>
        <v>7053798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47.2</v>
      </c>
      <c r="Q169" s="144" t="s">
        <v>29</v>
      </c>
      <c r="R169" s="118">
        <f t="shared" ca="1" si="44"/>
        <v>235459</v>
      </c>
      <c r="S169" s="118">
        <f t="shared" ca="1" si="45"/>
        <v>11113664</v>
      </c>
      <c r="T169" s="118">
        <f ca="1">초급</f>
        <v>235459</v>
      </c>
      <c r="U169" s="118">
        <f t="shared" ca="1" si="46"/>
        <v>11113664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59</v>
      </c>
      <c r="Q170" s="322" t="s">
        <v>29</v>
      </c>
      <c r="R170" s="323">
        <f t="shared" ca="1" si="44"/>
        <v>250087</v>
      </c>
      <c r="S170" s="323">
        <f t="shared" ca="1" si="45"/>
        <v>14755133</v>
      </c>
      <c r="T170" s="323">
        <f ca="1">보조원</f>
        <v>250087</v>
      </c>
      <c r="U170" s="323">
        <f t="shared" ca="1" si="46"/>
        <v>14755133</v>
      </c>
      <c r="V170" s="323"/>
      <c r="W170" s="323"/>
      <c r="X170" s="323"/>
      <c r="Y170" s="323"/>
      <c r="Z170" s="324"/>
    </row>
    <row r="171" spans="11:26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39386689</v>
      </c>
      <c r="T171" s="71"/>
      <c r="U171" s="71">
        <f ca="1">SUBTOTAL(9,U165:U170)</f>
        <v>39386689</v>
      </c>
      <c r="V171" s="71"/>
      <c r="W171" s="71"/>
      <c r="X171" s="71"/>
      <c r="Y171" s="71"/>
      <c r="Z171" s="68"/>
    </row>
    <row r="172" spans="11:26" ht="18" customHeight="1">
      <c r="K172" s="171" t="s">
        <v>14</v>
      </c>
      <c r="L172" s="171"/>
      <c r="M172" s="171"/>
      <c r="N172" s="318" t="str">
        <f ca="1">"제 " &amp; Z172 &amp; " 호표  "&amp; OFFSET($A$1,MATCH(Z172,$A:$A,0)-1,1)</f>
        <v>제 14 호표  4.1. 공청회/주민설명회</v>
      </c>
      <c r="O172" s="221"/>
      <c r="P172" s="148"/>
      <c r="Q172" s="148"/>
      <c r="R172" s="149"/>
      <c r="S172" s="149"/>
      <c r="T172" s="149"/>
      <c r="U172" s="149"/>
      <c r="V172" s="149"/>
      <c r="W172" s="149"/>
      <c r="X172" s="149"/>
      <c r="Y172" s="149"/>
      <c r="Z172" s="325">
        <f>Z164+1</f>
        <v>14</v>
      </c>
    </row>
    <row r="173" spans="11:26" ht="18" customHeight="1">
      <c r="K173" s="171" t="s">
        <v>14</v>
      </c>
      <c r="L173" s="171"/>
      <c r="M173" s="171"/>
      <c r="N173" s="140" t="s">
        <v>43</v>
      </c>
      <c r="O173" s="172">
        <v>3</v>
      </c>
      <c r="P173" s="219">
        <f ca="1">OFFSET($A$1,MATCH(Z172,$A:$A,0)-1,O173)</f>
        <v>2</v>
      </c>
      <c r="Q173" s="141" t="s">
        <v>29</v>
      </c>
      <c r="R173" s="142">
        <f t="shared" ref="R173:R178" ca="1" si="47">T173</f>
        <v>467217</v>
      </c>
      <c r="S173" s="142">
        <f t="shared" ref="S173:S178" ca="1" si="48">U173</f>
        <v>934434</v>
      </c>
      <c r="T173" s="142">
        <f ca="1">기술사</f>
        <v>467217</v>
      </c>
      <c r="U173" s="142">
        <f t="shared" ref="U173:U178" ca="1" si="49">ROUNDDOWN(P173*R173,0)</f>
        <v>934434</v>
      </c>
      <c r="V173" s="142"/>
      <c r="W173" s="142"/>
      <c r="X173" s="142"/>
      <c r="Y173" s="142"/>
      <c r="Z173" s="114"/>
    </row>
    <row r="174" spans="11:26" ht="18" customHeight="1">
      <c r="K174" s="171" t="s">
        <v>14</v>
      </c>
      <c r="L174" s="171"/>
      <c r="M174" s="171"/>
      <c r="N174" s="143" t="s">
        <v>32</v>
      </c>
      <c r="O174" s="173">
        <v>4</v>
      </c>
      <c r="P174" s="234">
        <f ca="1">OFFSET($A$1,MATCH(Z172,$A:$A,0)-1,O174)</f>
        <v>2</v>
      </c>
      <c r="Q174" s="144" t="s">
        <v>29</v>
      </c>
      <c r="R174" s="118">
        <f t="shared" ca="1" si="47"/>
        <v>373353</v>
      </c>
      <c r="S174" s="118">
        <f t="shared" ca="1" si="48"/>
        <v>746706</v>
      </c>
      <c r="T174" s="118">
        <f ca="1">특급</f>
        <v>373353</v>
      </c>
      <c r="U174" s="118">
        <f t="shared" ca="1" si="49"/>
        <v>746706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39</v>
      </c>
      <c r="O175" s="173">
        <v>5</v>
      </c>
      <c r="P175" s="234">
        <f ca="1">OFFSET($A$1,MATCH(Z172,$A:$A,0)-1,O175)</f>
        <v>2</v>
      </c>
      <c r="Q175" s="144" t="s">
        <v>29</v>
      </c>
      <c r="R175" s="118">
        <f t="shared" ca="1" si="47"/>
        <v>310884</v>
      </c>
      <c r="S175" s="118">
        <f t="shared" ca="1" si="48"/>
        <v>621768</v>
      </c>
      <c r="T175" s="118">
        <f ca="1">고급</f>
        <v>310884</v>
      </c>
      <c r="U175" s="118">
        <f t="shared" ca="1" si="49"/>
        <v>621768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40</v>
      </c>
      <c r="O176" s="173">
        <v>6</v>
      </c>
      <c r="P176" s="234">
        <f ca="1">OFFSET($A$1,MATCH(Z172,$A:$A,0)-1,O176)</f>
        <v>4</v>
      </c>
      <c r="Q176" s="144" t="s">
        <v>29</v>
      </c>
      <c r="R176" s="118">
        <f t="shared" ca="1" si="47"/>
        <v>295138</v>
      </c>
      <c r="S176" s="118">
        <f t="shared" ca="1" si="48"/>
        <v>1180552</v>
      </c>
      <c r="T176" s="118">
        <f ca="1">중급</f>
        <v>295138</v>
      </c>
      <c r="U176" s="118">
        <f t="shared" ca="1" si="49"/>
        <v>1180552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41</v>
      </c>
      <c r="O177" s="173">
        <v>7</v>
      </c>
      <c r="P177" s="234">
        <f ca="1">OFFSET($A$1,MATCH(Z172,$A:$A,0)-1,O177)</f>
        <v>4</v>
      </c>
      <c r="Q177" s="144" t="s">
        <v>29</v>
      </c>
      <c r="R177" s="118">
        <f t="shared" ca="1" si="47"/>
        <v>235459</v>
      </c>
      <c r="S177" s="118">
        <f t="shared" ca="1" si="48"/>
        <v>941836</v>
      </c>
      <c r="T177" s="118">
        <f ca="1">초급</f>
        <v>235459</v>
      </c>
      <c r="U177" s="118">
        <f t="shared" ca="1" si="49"/>
        <v>941836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319" t="s">
        <v>42</v>
      </c>
      <c r="O178" s="174">
        <v>8</v>
      </c>
      <c r="P178" s="235">
        <f ca="1">OFFSET($A$1,MATCH(Z172,$A:$A,0)-1,O178)</f>
        <v>4</v>
      </c>
      <c r="Q178" s="322" t="s">
        <v>29</v>
      </c>
      <c r="R178" s="323">
        <f t="shared" ca="1" si="47"/>
        <v>250087</v>
      </c>
      <c r="S178" s="323">
        <f t="shared" ca="1" si="48"/>
        <v>1000348</v>
      </c>
      <c r="T178" s="323">
        <f ca="1">보조원</f>
        <v>250087</v>
      </c>
      <c r="U178" s="323">
        <f t="shared" ca="1" si="49"/>
        <v>1000348</v>
      </c>
      <c r="V178" s="323"/>
      <c r="W178" s="323"/>
      <c r="X178" s="323"/>
      <c r="Y178" s="323"/>
      <c r="Z178" s="324"/>
    </row>
    <row r="179" spans="11:26" ht="18" customHeight="1">
      <c r="K179" s="171" t="s">
        <v>14</v>
      </c>
      <c r="L179" s="171"/>
      <c r="M179" s="171"/>
      <c r="N179" s="139" t="s">
        <v>17</v>
      </c>
      <c r="O179" s="68"/>
      <c r="P179" s="69"/>
      <c r="Q179" s="70"/>
      <c r="R179" s="71"/>
      <c r="S179" s="71">
        <f ca="1">SUBTOTAL(9,S173:S178)</f>
        <v>5425644</v>
      </c>
      <c r="T179" s="71"/>
      <c r="U179" s="71">
        <f ca="1">SUBTOTAL(9,U173:U178)</f>
        <v>5425644</v>
      </c>
      <c r="V179" s="71"/>
      <c r="W179" s="71"/>
      <c r="X179" s="71"/>
      <c r="Y179" s="71"/>
      <c r="Z179" s="68"/>
    </row>
    <row r="180" spans="11:26" ht="18" customHeight="1">
      <c r="K180" s="171" t="s">
        <v>14</v>
      </c>
      <c r="L180" s="171"/>
      <c r="M180" s="171"/>
      <c r="N180" s="318" t="str">
        <f ca="1">"제 " &amp; Z180 &amp; " 호표  "&amp; OFFSET($A$1,MATCH(Z180,$A:$A,0)-1,1)</f>
        <v>제 15 호표  4.2. 주민간담회/시민계획단</v>
      </c>
      <c r="O180" s="221"/>
      <c r="P180" s="148"/>
      <c r="Q180" s="148"/>
      <c r="R180" s="149"/>
      <c r="S180" s="149"/>
      <c r="T180" s="149"/>
      <c r="U180" s="149"/>
      <c r="V180" s="149"/>
      <c r="W180" s="149"/>
      <c r="X180" s="149"/>
      <c r="Y180" s="149"/>
      <c r="Z180" s="325">
        <f>Z172+1</f>
        <v>15</v>
      </c>
    </row>
    <row r="181" spans="11:26" ht="18" customHeight="1">
      <c r="K181" s="171" t="s">
        <v>14</v>
      </c>
      <c r="L181" s="171"/>
      <c r="M181" s="171"/>
      <c r="N181" s="140" t="s">
        <v>43</v>
      </c>
      <c r="O181" s="172">
        <v>3</v>
      </c>
      <c r="P181" s="219">
        <f ca="1">OFFSET($A$1,MATCH(Z180,$A:$A,0)-1,O181)</f>
        <v>2</v>
      </c>
      <c r="Q181" s="141" t="s">
        <v>29</v>
      </c>
      <c r="R181" s="142">
        <f t="shared" ref="R181:R186" ca="1" si="50">T181</f>
        <v>467217</v>
      </c>
      <c r="S181" s="142">
        <f t="shared" ref="S181:S186" ca="1" si="51">U181</f>
        <v>934434</v>
      </c>
      <c r="T181" s="142">
        <f ca="1">기술사</f>
        <v>467217</v>
      </c>
      <c r="U181" s="142">
        <f t="shared" ref="U181:U186" ca="1" si="52">ROUNDDOWN(P181*R181,0)</f>
        <v>934434</v>
      </c>
      <c r="V181" s="142"/>
      <c r="W181" s="142"/>
      <c r="X181" s="142"/>
      <c r="Y181" s="142"/>
      <c r="Z181" s="114"/>
    </row>
    <row r="182" spans="11:26" ht="18" customHeight="1">
      <c r="K182" s="171" t="s">
        <v>14</v>
      </c>
      <c r="L182" s="171"/>
      <c r="M182" s="171"/>
      <c r="N182" s="143" t="s">
        <v>32</v>
      </c>
      <c r="O182" s="173">
        <v>4</v>
      </c>
      <c r="P182" s="234">
        <f ca="1">OFFSET($A$1,MATCH(Z180,$A:$A,0)-1,O182)</f>
        <v>2</v>
      </c>
      <c r="Q182" s="144" t="s">
        <v>29</v>
      </c>
      <c r="R182" s="118">
        <f t="shared" ca="1" si="50"/>
        <v>373353</v>
      </c>
      <c r="S182" s="118">
        <f t="shared" ca="1" si="51"/>
        <v>746706</v>
      </c>
      <c r="T182" s="118">
        <f ca="1">특급</f>
        <v>373353</v>
      </c>
      <c r="U182" s="118">
        <f t="shared" ca="1" si="52"/>
        <v>746706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39</v>
      </c>
      <c r="O183" s="173">
        <v>5</v>
      </c>
      <c r="P183" s="234">
        <f ca="1">OFFSET($A$1,MATCH(Z180,$A:$A,0)-1,O183)</f>
        <v>2</v>
      </c>
      <c r="Q183" s="144" t="s">
        <v>29</v>
      </c>
      <c r="R183" s="118">
        <f t="shared" ca="1" si="50"/>
        <v>310884</v>
      </c>
      <c r="S183" s="118">
        <f t="shared" ca="1" si="51"/>
        <v>621768</v>
      </c>
      <c r="T183" s="118">
        <f ca="1">고급</f>
        <v>310884</v>
      </c>
      <c r="U183" s="118">
        <f t="shared" ca="1" si="52"/>
        <v>621768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40</v>
      </c>
      <c r="O184" s="173">
        <v>6</v>
      </c>
      <c r="P184" s="234">
        <f ca="1">OFFSET($A$1,MATCH(Z180,$A:$A,0)-1,O184)</f>
        <v>4</v>
      </c>
      <c r="Q184" s="144" t="s">
        <v>29</v>
      </c>
      <c r="R184" s="118">
        <f t="shared" ca="1" si="50"/>
        <v>295138</v>
      </c>
      <c r="S184" s="118">
        <f t="shared" ca="1" si="51"/>
        <v>1180552</v>
      </c>
      <c r="T184" s="118">
        <f ca="1">중급</f>
        <v>295138</v>
      </c>
      <c r="U184" s="118">
        <f t="shared" ca="1" si="52"/>
        <v>1180552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41</v>
      </c>
      <c r="O185" s="173">
        <v>7</v>
      </c>
      <c r="P185" s="234">
        <f ca="1">OFFSET($A$1,MATCH(Z180,$A:$A,0)-1,O185)</f>
        <v>4</v>
      </c>
      <c r="Q185" s="144" t="s">
        <v>29</v>
      </c>
      <c r="R185" s="118">
        <f t="shared" ca="1" si="50"/>
        <v>235459</v>
      </c>
      <c r="S185" s="118">
        <f t="shared" ca="1" si="51"/>
        <v>941836</v>
      </c>
      <c r="T185" s="118">
        <f ca="1">초급</f>
        <v>235459</v>
      </c>
      <c r="U185" s="118">
        <f t="shared" ca="1" si="52"/>
        <v>941836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319" t="s">
        <v>42</v>
      </c>
      <c r="O186" s="174">
        <v>8</v>
      </c>
      <c r="P186" s="235">
        <f ca="1">OFFSET($A$1,MATCH(Z180,$A:$A,0)-1,O186)</f>
        <v>4</v>
      </c>
      <c r="Q186" s="322" t="s">
        <v>29</v>
      </c>
      <c r="R186" s="323">
        <f t="shared" ca="1" si="50"/>
        <v>250087</v>
      </c>
      <c r="S186" s="323">
        <f t="shared" ca="1" si="51"/>
        <v>1000348</v>
      </c>
      <c r="T186" s="323">
        <f ca="1">보조원</f>
        <v>250087</v>
      </c>
      <c r="U186" s="323">
        <f t="shared" ca="1" si="52"/>
        <v>1000348</v>
      </c>
      <c r="V186" s="323"/>
      <c r="W186" s="323"/>
      <c r="X186" s="323"/>
      <c r="Y186" s="323"/>
      <c r="Z186" s="324"/>
    </row>
    <row r="187" spans="11:26" ht="18" customHeight="1">
      <c r="K187" s="171" t="s">
        <v>14</v>
      </c>
      <c r="L187" s="171"/>
      <c r="M187" s="171"/>
      <c r="N187" s="139" t="s">
        <v>17</v>
      </c>
      <c r="O187" s="68"/>
      <c r="P187" s="69"/>
      <c r="Q187" s="70"/>
      <c r="R187" s="71"/>
      <c r="S187" s="71">
        <f ca="1">SUBTOTAL(9,S181:S186)</f>
        <v>5425644</v>
      </c>
      <c r="T187" s="71"/>
      <c r="U187" s="71">
        <f ca="1">SUBTOTAL(9,U181:U186)</f>
        <v>5425644</v>
      </c>
      <c r="V187" s="71"/>
      <c r="W187" s="71"/>
      <c r="X187" s="71"/>
      <c r="Y187" s="71"/>
      <c r="Z187" s="68"/>
    </row>
    <row r="188" spans="11:26" ht="18" customHeight="1">
      <c r="K188" s="171" t="s">
        <v>14</v>
      </c>
      <c r="L188" s="171"/>
      <c r="M188" s="171"/>
      <c r="N188" s="318" t="str">
        <f ca="1">"제 " &amp; Z188 &amp; " 호표  "&amp; OFFSET($A$1,MATCH(Z188,$A:$A,0)-1,1)</f>
        <v>제 16 호표  4.3. 위원회심의 지원</v>
      </c>
      <c r="O188" s="221"/>
      <c r="P188" s="148"/>
      <c r="Q188" s="148"/>
      <c r="R188" s="149"/>
      <c r="S188" s="149"/>
      <c r="T188" s="149"/>
      <c r="U188" s="149"/>
      <c r="V188" s="149"/>
      <c r="W188" s="149"/>
      <c r="X188" s="149"/>
      <c r="Y188" s="149"/>
      <c r="Z188" s="325">
        <f>Z180+1</f>
        <v>16</v>
      </c>
    </row>
    <row r="189" spans="11:26" ht="18" customHeight="1">
      <c r="K189" s="171" t="s">
        <v>14</v>
      </c>
      <c r="L189" s="171"/>
      <c r="M189" s="171"/>
      <c r="N189" s="140" t="s">
        <v>43</v>
      </c>
      <c r="O189" s="172">
        <v>3</v>
      </c>
      <c r="P189" s="219">
        <f ca="1">OFFSET($A$1,MATCH(Z188,$A:$A,0)-1,O189)</f>
        <v>2</v>
      </c>
      <c r="Q189" s="141" t="s">
        <v>29</v>
      </c>
      <c r="R189" s="142">
        <f t="shared" ref="R189:R194" ca="1" si="53">T189</f>
        <v>467217</v>
      </c>
      <c r="S189" s="142">
        <f t="shared" ref="S189:S194" ca="1" si="54">U189</f>
        <v>934434</v>
      </c>
      <c r="T189" s="142">
        <f ca="1">기술사</f>
        <v>467217</v>
      </c>
      <c r="U189" s="142">
        <f t="shared" ref="U189:U194" ca="1" si="55">ROUNDDOWN(P189*R189,0)</f>
        <v>934434</v>
      </c>
      <c r="V189" s="142"/>
      <c r="W189" s="142"/>
      <c r="X189" s="142"/>
      <c r="Y189" s="142"/>
      <c r="Z189" s="114"/>
    </row>
    <row r="190" spans="11:26" ht="18" customHeight="1">
      <c r="K190" s="171" t="s">
        <v>14</v>
      </c>
      <c r="L190" s="171"/>
      <c r="M190" s="171"/>
      <c r="N190" s="143" t="s">
        <v>32</v>
      </c>
      <c r="O190" s="173">
        <v>4</v>
      </c>
      <c r="P190" s="234">
        <f ca="1">OFFSET($A$1,MATCH(Z188,$A:$A,0)-1,O190)</f>
        <v>2</v>
      </c>
      <c r="Q190" s="144" t="s">
        <v>29</v>
      </c>
      <c r="R190" s="118">
        <f t="shared" ca="1" si="53"/>
        <v>373353</v>
      </c>
      <c r="S190" s="118">
        <f t="shared" ca="1" si="54"/>
        <v>746706</v>
      </c>
      <c r="T190" s="118">
        <f ca="1">특급</f>
        <v>373353</v>
      </c>
      <c r="U190" s="118">
        <f t="shared" ca="1" si="55"/>
        <v>746706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39</v>
      </c>
      <c r="O191" s="173">
        <v>5</v>
      </c>
      <c r="P191" s="234">
        <f ca="1">OFFSET($A$1,MATCH(Z188,$A:$A,0)-1,O191)</f>
        <v>2</v>
      </c>
      <c r="Q191" s="144" t="s">
        <v>29</v>
      </c>
      <c r="R191" s="118">
        <f t="shared" ca="1" si="53"/>
        <v>310884</v>
      </c>
      <c r="S191" s="118">
        <f t="shared" ca="1" si="54"/>
        <v>621768</v>
      </c>
      <c r="T191" s="118">
        <f ca="1">고급</f>
        <v>310884</v>
      </c>
      <c r="U191" s="118">
        <f t="shared" ca="1" si="55"/>
        <v>621768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40</v>
      </c>
      <c r="O192" s="173">
        <v>6</v>
      </c>
      <c r="P192" s="234">
        <f ca="1">OFFSET($A$1,MATCH(Z188,$A:$A,0)-1,O192)</f>
        <v>4</v>
      </c>
      <c r="Q192" s="144" t="s">
        <v>29</v>
      </c>
      <c r="R192" s="118">
        <f t="shared" ca="1" si="53"/>
        <v>295138</v>
      </c>
      <c r="S192" s="118">
        <f t="shared" ca="1" si="54"/>
        <v>1180552</v>
      </c>
      <c r="T192" s="118">
        <f ca="1">중급</f>
        <v>295138</v>
      </c>
      <c r="U192" s="118">
        <f t="shared" ca="1" si="55"/>
        <v>1180552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41</v>
      </c>
      <c r="O193" s="173">
        <v>7</v>
      </c>
      <c r="P193" s="234">
        <f ca="1">OFFSET($A$1,MATCH(Z188,$A:$A,0)-1,O193)</f>
        <v>4</v>
      </c>
      <c r="Q193" s="144" t="s">
        <v>29</v>
      </c>
      <c r="R193" s="118">
        <f t="shared" ca="1" si="53"/>
        <v>235459</v>
      </c>
      <c r="S193" s="118">
        <f t="shared" ca="1" si="54"/>
        <v>941836</v>
      </c>
      <c r="T193" s="118">
        <f ca="1">초급</f>
        <v>235459</v>
      </c>
      <c r="U193" s="118">
        <f t="shared" ca="1" si="55"/>
        <v>941836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319" t="s">
        <v>42</v>
      </c>
      <c r="O194" s="174">
        <v>8</v>
      </c>
      <c r="P194" s="235">
        <f ca="1">OFFSET($A$1,MATCH(Z188,$A:$A,0)-1,O194)</f>
        <v>4</v>
      </c>
      <c r="Q194" s="322" t="s">
        <v>29</v>
      </c>
      <c r="R194" s="323">
        <f t="shared" ca="1" si="53"/>
        <v>250087</v>
      </c>
      <c r="S194" s="323">
        <f t="shared" ca="1" si="54"/>
        <v>1000348</v>
      </c>
      <c r="T194" s="323">
        <f ca="1">보조원</f>
        <v>250087</v>
      </c>
      <c r="U194" s="323">
        <f t="shared" ca="1" si="55"/>
        <v>1000348</v>
      </c>
      <c r="V194" s="323"/>
      <c r="W194" s="323"/>
      <c r="X194" s="323"/>
      <c r="Y194" s="323"/>
      <c r="Z194" s="324"/>
    </row>
    <row r="195" spans="11:26" ht="18" customHeight="1">
      <c r="K195" s="171" t="s">
        <v>14</v>
      </c>
      <c r="L195" s="171"/>
      <c r="M195" s="171"/>
      <c r="N195" s="139" t="s">
        <v>17</v>
      </c>
      <c r="O195" s="68"/>
      <c r="P195" s="69"/>
      <c r="Q195" s="70"/>
      <c r="R195" s="71"/>
      <c r="S195" s="71">
        <f ca="1">SUBTOTAL(9,S189:S194)</f>
        <v>5425644</v>
      </c>
      <c r="T195" s="71"/>
      <c r="U195" s="71">
        <f ca="1">SUBTOTAL(9,U189:U194)</f>
        <v>5425644</v>
      </c>
      <c r="V195" s="71"/>
      <c r="W195" s="71"/>
      <c r="X195" s="71"/>
      <c r="Y195" s="71"/>
      <c r="Z195" s="68"/>
    </row>
    <row r="196" spans="11:26" ht="18" customHeight="1">
      <c r="K196" s="171" t="s">
        <v>14</v>
      </c>
      <c r="L196" s="171"/>
      <c r="M196" s="171"/>
      <c r="N196" s="318" t="str">
        <f ca="1">"제 " &amp; Z196 &amp; " 호표  "&amp; OFFSET($A$1,MATCH(Z196,$A:$A,0)-1,1)</f>
        <v>제 17 호표  4.4. 관계기관 협의</v>
      </c>
      <c r="O196" s="221"/>
      <c r="P196" s="148"/>
      <c r="Q196" s="148"/>
      <c r="R196" s="149"/>
      <c r="S196" s="149"/>
      <c r="T196" s="149"/>
      <c r="U196" s="149"/>
      <c r="V196" s="149"/>
      <c r="W196" s="149"/>
      <c r="X196" s="149"/>
      <c r="Y196" s="149"/>
      <c r="Z196" s="325">
        <f>Z188+1</f>
        <v>17</v>
      </c>
    </row>
    <row r="197" spans="11:26" ht="18" customHeight="1">
      <c r="K197" s="171" t="s">
        <v>14</v>
      </c>
      <c r="L197" s="171"/>
      <c r="M197" s="171"/>
      <c r="N197" s="140" t="s">
        <v>43</v>
      </c>
      <c r="O197" s="172">
        <v>3</v>
      </c>
      <c r="P197" s="219">
        <f ca="1">OFFSET($A$1,MATCH(Z196,$A:$A,0)-1,O197)</f>
        <v>2</v>
      </c>
      <c r="Q197" s="141" t="s">
        <v>29</v>
      </c>
      <c r="R197" s="142">
        <f t="shared" ref="R197:R202" ca="1" si="56">T197</f>
        <v>467217</v>
      </c>
      <c r="S197" s="142">
        <f t="shared" ref="S197:S202" ca="1" si="57">U197</f>
        <v>934434</v>
      </c>
      <c r="T197" s="142">
        <f ca="1">기술사</f>
        <v>467217</v>
      </c>
      <c r="U197" s="142">
        <f t="shared" ref="U197:U202" ca="1" si="58">ROUNDDOWN(P197*R197,0)</f>
        <v>934434</v>
      </c>
      <c r="V197" s="142"/>
      <c r="W197" s="142"/>
      <c r="X197" s="142"/>
      <c r="Y197" s="142"/>
      <c r="Z197" s="114"/>
    </row>
    <row r="198" spans="11:26" ht="18" customHeight="1">
      <c r="K198" s="171" t="s">
        <v>14</v>
      </c>
      <c r="L198" s="171"/>
      <c r="M198" s="171"/>
      <c r="N198" s="143" t="s">
        <v>32</v>
      </c>
      <c r="O198" s="173">
        <v>4</v>
      </c>
      <c r="P198" s="234">
        <f ca="1">OFFSET($A$1,MATCH(Z196,$A:$A,0)-1,O198)</f>
        <v>2</v>
      </c>
      <c r="Q198" s="144" t="s">
        <v>29</v>
      </c>
      <c r="R198" s="118">
        <f t="shared" ca="1" si="56"/>
        <v>373353</v>
      </c>
      <c r="S198" s="118">
        <f t="shared" ca="1" si="57"/>
        <v>746706</v>
      </c>
      <c r="T198" s="118">
        <f ca="1">특급</f>
        <v>373353</v>
      </c>
      <c r="U198" s="118">
        <f t="shared" ca="1" si="58"/>
        <v>746706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39</v>
      </c>
      <c r="O199" s="173">
        <v>5</v>
      </c>
      <c r="P199" s="234">
        <f ca="1">OFFSET($A$1,MATCH(Z196,$A:$A,0)-1,O199)</f>
        <v>2</v>
      </c>
      <c r="Q199" s="144" t="s">
        <v>29</v>
      </c>
      <c r="R199" s="118">
        <f t="shared" ca="1" si="56"/>
        <v>310884</v>
      </c>
      <c r="S199" s="118">
        <f t="shared" ca="1" si="57"/>
        <v>621768</v>
      </c>
      <c r="T199" s="118">
        <f ca="1">고급</f>
        <v>310884</v>
      </c>
      <c r="U199" s="118">
        <f t="shared" ca="1" si="58"/>
        <v>621768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40</v>
      </c>
      <c r="O200" s="173">
        <v>6</v>
      </c>
      <c r="P200" s="234">
        <f ca="1">OFFSET($A$1,MATCH(Z196,$A:$A,0)-1,O200)</f>
        <v>4</v>
      </c>
      <c r="Q200" s="144" t="s">
        <v>29</v>
      </c>
      <c r="R200" s="118">
        <f t="shared" ca="1" si="56"/>
        <v>295138</v>
      </c>
      <c r="S200" s="118">
        <f t="shared" ca="1" si="57"/>
        <v>1180552</v>
      </c>
      <c r="T200" s="118">
        <f ca="1">중급</f>
        <v>295138</v>
      </c>
      <c r="U200" s="118">
        <f t="shared" ca="1" si="58"/>
        <v>1180552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41</v>
      </c>
      <c r="O201" s="173">
        <v>7</v>
      </c>
      <c r="P201" s="234">
        <f ca="1">OFFSET($A$1,MATCH(Z196,$A:$A,0)-1,O201)</f>
        <v>4</v>
      </c>
      <c r="Q201" s="144" t="s">
        <v>29</v>
      </c>
      <c r="R201" s="118">
        <f t="shared" ca="1" si="56"/>
        <v>235459</v>
      </c>
      <c r="S201" s="118">
        <f t="shared" ca="1" si="57"/>
        <v>941836</v>
      </c>
      <c r="T201" s="118">
        <f ca="1">초급</f>
        <v>235459</v>
      </c>
      <c r="U201" s="118">
        <f t="shared" ca="1" si="58"/>
        <v>941836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319" t="s">
        <v>42</v>
      </c>
      <c r="O202" s="174">
        <v>8</v>
      </c>
      <c r="P202" s="235">
        <f ca="1">OFFSET($A$1,MATCH(Z196,$A:$A,0)-1,O202)</f>
        <v>4</v>
      </c>
      <c r="Q202" s="322" t="s">
        <v>29</v>
      </c>
      <c r="R202" s="323">
        <f t="shared" ca="1" si="56"/>
        <v>250087</v>
      </c>
      <c r="S202" s="323">
        <f t="shared" ca="1" si="57"/>
        <v>1000348</v>
      </c>
      <c r="T202" s="323">
        <f ca="1">보조원</f>
        <v>250087</v>
      </c>
      <c r="U202" s="323">
        <f t="shared" ca="1" si="58"/>
        <v>1000348</v>
      </c>
      <c r="V202" s="323"/>
      <c r="W202" s="323"/>
      <c r="X202" s="323"/>
      <c r="Y202" s="323"/>
      <c r="Z202" s="324"/>
    </row>
    <row r="203" spans="11:26" ht="18" customHeight="1">
      <c r="K203" s="171" t="s">
        <v>14</v>
      </c>
      <c r="L203" s="171"/>
      <c r="M203" s="171"/>
      <c r="N203" s="139" t="s">
        <v>17</v>
      </c>
      <c r="O203" s="68"/>
      <c r="P203" s="69"/>
      <c r="Q203" s="70"/>
      <c r="R203" s="71"/>
      <c r="S203" s="71">
        <f ca="1">SUBTOTAL(9,S197:S202)</f>
        <v>5425644</v>
      </c>
      <c r="T203" s="71"/>
      <c r="U203" s="71">
        <f ca="1">SUBTOTAL(9,U197:U202)</f>
        <v>5425644</v>
      </c>
      <c r="V203" s="71"/>
      <c r="W203" s="71"/>
      <c r="X203" s="71"/>
      <c r="Y203" s="71"/>
      <c r="Z203" s="68"/>
    </row>
    <row r="204" spans="11:26" ht="18" customHeight="1">
      <c r="K204" s="171" t="s">
        <v>14</v>
      </c>
      <c r="L204" s="171"/>
      <c r="M204" s="171"/>
      <c r="R204" s="1"/>
      <c r="S204" s="1"/>
      <c r="T204" s="1"/>
      <c r="U204" s="1"/>
      <c r="V204" s="1"/>
      <c r="W204" s="1"/>
      <c r="X204" s="1"/>
      <c r="Y204" s="1"/>
    </row>
    <row r="205" spans="11:26" ht="18" customHeight="1">
      <c r="K205" s="171" t="s">
        <v>14</v>
      </c>
      <c r="L205" s="171"/>
      <c r="M205" s="171"/>
      <c r="R205" s="1"/>
      <c r="S205" s="1"/>
      <c r="T205" s="1"/>
      <c r="U205" s="1"/>
      <c r="V205" s="1"/>
      <c r="W205" s="1"/>
      <c r="X205" s="1"/>
      <c r="Y205" s="1"/>
    </row>
    <row r="206" spans="11:26" ht="18" customHeight="1">
      <c r="K206" s="171" t="s">
        <v>14</v>
      </c>
      <c r="L206" s="171"/>
      <c r="M206" s="171"/>
      <c r="R206" s="1"/>
      <c r="S206" s="1"/>
      <c r="T206" s="1"/>
      <c r="U206" s="1"/>
      <c r="V206" s="1"/>
      <c r="W206" s="1"/>
      <c r="X206" s="1"/>
      <c r="Y206" s="1"/>
    </row>
    <row r="207" spans="11:26" ht="18" customHeight="1">
      <c r="K207" s="171" t="s">
        <v>14</v>
      </c>
      <c r="L207" s="171"/>
      <c r="M207" s="171"/>
      <c r="R207" s="1"/>
      <c r="S207" s="1"/>
      <c r="T207" s="1"/>
      <c r="U207" s="1"/>
      <c r="V207" s="1"/>
      <c r="W207" s="1"/>
      <c r="X207" s="1"/>
      <c r="Y207" s="1"/>
    </row>
    <row r="208" spans="11:26" ht="18" customHeight="1">
      <c r="K208" s="171" t="s">
        <v>14</v>
      </c>
      <c r="L208" s="171"/>
      <c r="M208" s="171"/>
      <c r="R208" s="1"/>
      <c r="S208" s="1"/>
      <c r="T208" s="1"/>
      <c r="U208" s="1"/>
      <c r="V208" s="1"/>
      <c r="W208" s="1"/>
      <c r="X208" s="1"/>
      <c r="Y208" s="1"/>
    </row>
    <row r="209" spans="11:25" ht="18" customHeight="1">
      <c r="K209" s="171" t="s">
        <v>14</v>
      </c>
      <c r="L209" s="171"/>
      <c r="M209" s="171"/>
      <c r="R209" s="1"/>
      <c r="S209" s="1"/>
      <c r="T209" s="1"/>
      <c r="U209" s="1"/>
      <c r="V209" s="1"/>
      <c r="W209" s="1"/>
      <c r="X209" s="1"/>
      <c r="Y209" s="1"/>
    </row>
    <row r="210" spans="11:25" ht="18" customHeight="1">
      <c r="K210" s="171" t="s">
        <v>14</v>
      </c>
      <c r="L210" s="171"/>
      <c r="M210" s="171"/>
      <c r="R210" s="1"/>
      <c r="S210" s="1"/>
      <c r="T210" s="1"/>
      <c r="U210" s="1"/>
      <c r="V210" s="1"/>
      <c r="W210" s="1"/>
      <c r="X210" s="1"/>
      <c r="Y210" s="1"/>
    </row>
    <row r="211" spans="11:25" ht="18" customHeight="1">
      <c r="K211" s="171" t="s">
        <v>14</v>
      </c>
      <c r="L211" s="171"/>
      <c r="M211" s="171"/>
      <c r="R211" s="1"/>
      <c r="S211" s="1"/>
      <c r="T211" s="1"/>
      <c r="U211" s="1"/>
      <c r="V211" s="1"/>
      <c r="W211" s="1"/>
      <c r="X211" s="1"/>
      <c r="Y211" s="1"/>
    </row>
    <row r="212" spans="11:25" ht="18" customHeight="1">
      <c r="K212" s="171" t="s">
        <v>14</v>
      </c>
      <c r="L212" s="171"/>
      <c r="M212" s="171"/>
      <c r="P212" s="236"/>
    </row>
    <row r="213" spans="11:25" ht="18" customHeight="1">
      <c r="K213" s="171" t="s">
        <v>14</v>
      </c>
      <c r="L213" s="171"/>
      <c r="M213" s="171"/>
      <c r="P213" s="236"/>
    </row>
    <row r="214" spans="11:25" ht="18" customHeight="1">
      <c r="K214" s="171" t="s">
        <v>14</v>
      </c>
      <c r="L214" s="171"/>
      <c r="M214" s="171"/>
      <c r="P214" s="236"/>
    </row>
    <row r="215" spans="11:25" ht="18" customHeight="1">
      <c r="K215" s="171" t="s">
        <v>14</v>
      </c>
      <c r="L215" s="171"/>
      <c r="M215" s="171"/>
      <c r="P215" s="236"/>
    </row>
    <row r="216" spans="11:25" ht="18" customHeight="1">
      <c r="K216" s="171" t="s">
        <v>14</v>
      </c>
      <c r="L216" s="171"/>
      <c r="M216" s="171"/>
      <c r="P216" s="236"/>
    </row>
    <row r="217" spans="11:25" ht="18" customHeight="1">
      <c r="K217" s="171" t="s">
        <v>14</v>
      </c>
      <c r="L217" s="171"/>
      <c r="M217" s="171"/>
      <c r="P217" s="236"/>
    </row>
    <row r="218" spans="11:25" ht="18" customHeight="1">
      <c r="K218" s="171" t="s">
        <v>14</v>
      </c>
      <c r="L218" s="171"/>
      <c r="M218" s="171"/>
      <c r="P218" s="236"/>
    </row>
    <row r="219" spans="11:25" ht="18" customHeight="1">
      <c r="K219" s="171" t="s">
        <v>14</v>
      </c>
      <c r="L219" s="171"/>
      <c r="M219" s="171"/>
      <c r="P219" s="236"/>
    </row>
    <row r="220" spans="11:25" ht="18" customHeight="1">
      <c r="K220" s="171" t="s">
        <v>14</v>
      </c>
      <c r="L220" s="171"/>
      <c r="M220" s="171"/>
      <c r="P220" s="236"/>
    </row>
    <row r="221" spans="11:25" ht="18" customHeight="1">
      <c r="K221" s="171" t="s">
        <v>14</v>
      </c>
      <c r="L221" s="171"/>
      <c r="M221" s="171"/>
      <c r="P221" s="236"/>
    </row>
    <row r="222" spans="11:25" ht="18" customHeight="1">
      <c r="K222" s="171" t="s">
        <v>14</v>
      </c>
      <c r="L222" s="171"/>
      <c r="M222" s="171"/>
      <c r="P222" s="236"/>
    </row>
    <row r="223" spans="11:25" ht="18" customHeight="1">
      <c r="K223" s="171" t="s">
        <v>14</v>
      </c>
      <c r="L223" s="171"/>
      <c r="M223" s="171"/>
      <c r="P223" s="236"/>
    </row>
    <row r="224" spans="11:25" ht="18" customHeight="1">
      <c r="K224" s="171" t="s">
        <v>14</v>
      </c>
      <c r="L224" s="171"/>
      <c r="M224" s="171"/>
      <c r="P224" s="236"/>
    </row>
    <row r="225" spans="11:28" ht="18" customHeight="1">
      <c r="K225" s="171" t="s">
        <v>14</v>
      </c>
      <c r="L225" s="171"/>
      <c r="M225" s="171"/>
      <c r="P225" s="236"/>
    </row>
    <row r="226" spans="11:28" ht="18" customHeight="1">
      <c r="K226" s="171" t="s">
        <v>14</v>
      </c>
      <c r="L226" s="171"/>
      <c r="M226" s="171"/>
      <c r="P226" s="236"/>
    </row>
    <row r="227" spans="11:28" ht="18" customHeight="1">
      <c r="K227" s="171" t="s">
        <v>14</v>
      </c>
      <c r="L227" s="171"/>
      <c r="M227" s="171"/>
      <c r="P227" s="236"/>
    </row>
    <row r="228" spans="11:28" ht="18" customHeight="1">
      <c r="K228" s="171" t="s">
        <v>14</v>
      </c>
      <c r="L228" s="171"/>
      <c r="M228" s="171"/>
      <c r="P228" s="236"/>
    </row>
    <row r="229" spans="11:28" ht="18" customHeight="1">
      <c r="K229" s="171" t="s">
        <v>14</v>
      </c>
      <c r="L229" s="171"/>
      <c r="M229" s="171"/>
      <c r="P229" s="236"/>
    </row>
    <row r="230" spans="11:28" ht="18" customHeight="1">
      <c r="K230" s="171" t="s">
        <v>14</v>
      </c>
      <c r="L230" s="171"/>
      <c r="M230" s="171"/>
      <c r="P230" s="236"/>
    </row>
    <row r="231" spans="11:28" ht="18" customHeight="1">
      <c r="K231" s="171" t="s">
        <v>14</v>
      </c>
      <c r="L231" s="171"/>
      <c r="M231" s="171"/>
      <c r="P231" s="236"/>
    </row>
    <row r="232" spans="11:28" ht="18" customHeight="1">
      <c r="K232" s="171" t="s">
        <v>14</v>
      </c>
      <c r="L232" s="171"/>
      <c r="M232" s="171"/>
      <c r="P232" s="236"/>
    </row>
    <row r="233" spans="11:28" ht="18" customHeight="1">
      <c r="K233" s="171" t="s">
        <v>14</v>
      </c>
      <c r="L233" s="171"/>
      <c r="M233" s="171"/>
      <c r="P233" s="236"/>
    </row>
    <row r="234" spans="11:28" ht="18" customHeight="1">
      <c r="K234" s="171" t="s">
        <v>14</v>
      </c>
      <c r="L234" s="171"/>
      <c r="M234" s="171"/>
      <c r="P234" s="236"/>
    </row>
    <row r="235" spans="11:28" ht="18" customHeight="1">
      <c r="K235" s="171" t="s">
        <v>14</v>
      </c>
      <c r="L235" s="171"/>
      <c r="M235" s="171"/>
      <c r="P235" s="236"/>
    </row>
    <row r="236" spans="11:28" ht="18" customHeight="1">
      <c r="K236" s="171" t="s">
        <v>14</v>
      </c>
      <c r="L236" s="171"/>
      <c r="M236" s="171"/>
      <c r="P236" s="236"/>
    </row>
    <row r="237" spans="11:28" ht="18" customHeight="1">
      <c r="K237" s="171" t="s">
        <v>14</v>
      </c>
      <c r="L237" s="171"/>
      <c r="M237" s="171"/>
      <c r="P237" s="236"/>
    </row>
    <row r="238" spans="11:28" ht="18" customHeight="1">
      <c r="K238" s="171" t="s">
        <v>14</v>
      </c>
      <c r="L238" s="171"/>
      <c r="M238" s="171"/>
      <c r="P238" s="236"/>
    </row>
    <row r="239" spans="11:28" ht="18" customHeight="1">
      <c r="K239" s="171" t="s">
        <v>14</v>
      </c>
      <c r="L239" s="171"/>
      <c r="M239" s="171"/>
      <c r="P239" s="236"/>
    </row>
    <row r="240" spans="11:28" ht="18" customHeight="1">
      <c r="K240" s="171" t="s">
        <v>14</v>
      </c>
      <c r="L240" s="171"/>
      <c r="M240" s="171"/>
      <c r="P240" s="236"/>
      <c r="AA240" s="171"/>
      <c r="AB240" s="171"/>
    </row>
    <row r="241" spans="11:28" ht="18" customHeight="1">
      <c r="K241" s="171" t="s">
        <v>14</v>
      </c>
      <c r="L241" s="171"/>
      <c r="M241" s="171"/>
      <c r="P241" s="236"/>
      <c r="AA241" s="171"/>
      <c r="AB241" s="171"/>
    </row>
    <row r="242" spans="11:28" ht="18" customHeight="1">
      <c r="K242" s="171" t="s">
        <v>14</v>
      </c>
      <c r="L242" s="171"/>
      <c r="M242" s="171"/>
      <c r="P242" s="236"/>
      <c r="AA242" s="171"/>
      <c r="AB242" s="171"/>
    </row>
    <row r="243" spans="11:28" ht="18" customHeight="1">
      <c r="K243" s="171" t="s">
        <v>14</v>
      </c>
      <c r="L243" s="171"/>
      <c r="M243" s="171"/>
      <c r="P243" s="236"/>
      <c r="AA243" s="171"/>
      <c r="AB243" s="171"/>
    </row>
    <row r="244" spans="11:28" ht="18" customHeight="1">
      <c r="K244" s="171" t="s">
        <v>14</v>
      </c>
      <c r="L244" s="171"/>
      <c r="M244" s="171"/>
      <c r="P244" s="236"/>
    </row>
    <row r="245" spans="11:28" ht="18" customHeight="1">
      <c r="K245" s="171" t="s">
        <v>14</v>
      </c>
      <c r="L245" s="171"/>
      <c r="M245" s="171"/>
      <c r="P245" s="236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</row>
    <row r="251" spans="11:28" ht="18" customHeight="1">
      <c r="K251" s="171" t="s">
        <v>14</v>
      </c>
      <c r="L251" s="171"/>
      <c r="M251" s="171"/>
      <c r="P251" s="236"/>
    </row>
    <row r="252" spans="11:28" ht="18" customHeight="1">
      <c r="K252" s="171" t="s">
        <v>14</v>
      </c>
      <c r="L252" s="171"/>
      <c r="M252" s="171"/>
      <c r="P252" s="236"/>
    </row>
    <row r="253" spans="11:28" ht="18" customHeight="1">
      <c r="K253" s="171" t="s">
        <v>14</v>
      </c>
      <c r="L253" s="171"/>
      <c r="M253" s="171"/>
      <c r="P253" s="236"/>
    </row>
    <row r="254" spans="11:28" ht="18" customHeight="1">
      <c r="K254" s="171" t="s">
        <v>14</v>
      </c>
      <c r="L254" s="171"/>
      <c r="M254" s="171"/>
      <c r="P254" s="236"/>
    </row>
    <row r="255" spans="11:28" ht="18" customHeight="1">
      <c r="K255" s="171" t="s">
        <v>14</v>
      </c>
      <c r="L255" s="171"/>
      <c r="M255" s="171"/>
      <c r="P255" s="236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  <c r="AA267" s="171"/>
      <c r="AB267" s="171"/>
    </row>
    <row r="268" spans="11:28" ht="18" customHeight="1">
      <c r="K268" s="171" t="s">
        <v>14</v>
      </c>
      <c r="L268" s="171"/>
      <c r="M268" s="171"/>
      <c r="P268" s="236"/>
      <c r="AA268" s="171"/>
      <c r="AB268" s="171"/>
    </row>
    <row r="269" spans="11:28" ht="18" customHeight="1">
      <c r="K269" s="171" t="s">
        <v>14</v>
      </c>
      <c r="L269" s="171"/>
      <c r="M269" s="171"/>
      <c r="P269" s="236"/>
      <c r="AA269" s="171"/>
      <c r="AB269" s="171"/>
    </row>
    <row r="270" spans="11:28" ht="18" customHeight="1">
      <c r="K270" s="171" t="s">
        <v>14</v>
      </c>
      <c r="L270" s="171"/>
      <c r="M270" s="171"/>
      <c r="P270" s="236"/>
      <c r="AA270" s="171"/>
      <c r="AB270" s="171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  <c r="P717" s="236"/>
    </row>
    <row r="718" spans="11:16" ht="18" customHeight="1">
      <c r="K718" s="171" t="s">
        <v>14</v>
      </c>
      <c r="L718" s="171"/>
      <c r="M718" s="171"/>
      <c r="P718" s="236"/>
    </row>
    <row r="719" spans="11:16" ht="18" customHeight="1">
      <c r="K719" s="171" t="s">
        <v>14</v>
      </c>
      <c r="L719" s="171"/>
      <c r="M719" s="171"/>
      <c r="P719" s="236"/>
    </row>
    <row r="720" spans="11:16" ht="18" customHeight="1">
      <c r="K720" s="171" t="s">
        <v>14</v>
      </c>
      <c r="L720" s="171"/>
      <c r="M720" s="171"/>
      <c r="P720" s="236"/>
    </row>
    <row r="721" spans="11:16" ht="18" customHeight="1">
      <c r="K721" s="171" t="s">
        <v>14</v>
      </c>
      <c r="L721" s="171"/>
      <c r="M721" s="171"/>
      <c r="P721" s="236"/>
    </row>
    <row r="722" spans="11:16" ht="18" customHeight="1">
      <c r="K722" s="171" t="s">
        <v>14</v>
      </c>
      <c r="L722" s="171"/>
      <c r="M722" s="171"/>
      <c r="P722" s="236"/>
    </row>
    <row r="723" spans="11:16" ht="18" customHeight="1">
      <c r="K723" s="171" t="s">
        <v>14</v>
      </c>
      <c r="L723" s="171"/>
      <c r="M723" s="171"/>
      <c r="P723" s="236"/>
    </row>
    <row r="724" spans="11:16" ht="18" customHeight="1">
      <c r="K724" s="171" t="s">
        <v>14</v>
      </c>
      <c r="L724" s="171"/>
      <c r="M724" s="171"/>
      <c r="P724" s="236"/>
    </row>
    <row r="725" spans="11:16" ht="18" customHeight="1">
      <c r="K725" s="171" t="s">
        <v>14</v>
      </c>
      <c r="L725" s="171"/>
      <c r="M725" s="171"/>
      <c r="P725" s="236"/>
    </row>
    <row r="726" spans="11:16" ht="18" customHeight="1">
      <c r="K726" s="171" t="s">
        <v>14</v>
      </c>
      <c r="L726" s="171"/>
      <c r="M726" s="171"/>
      <c r="P726" s="236"/>
    </row>
    <row r="727" spans="11:16" ht="18" customHeight="1">
      <c r="K727" s="171" t="s">
        <v>14</v>
      </c>
      <c r="L727" s="171"/>
      <c r="M727" s="171"/>
      <c r="P727" s="236"/>
    </row>
    <row r="728" spans="11:16" ht="18" customHeight="1">
      <c r="K728" s="171" t="s">
        <v>14</v>
      </c>
      <c r="L728" s="171"/>
      <c r="M728" s="171"/>
      <c r="P728" s="236"/>
    </row>
    <row r="729" spans="11:16" ht="18" customHeight="1">
      <c r="K729" s="171" t="s">
        <v>14</v>
      </c>
      <c r="L729" s="171"/>
      <c r="M729" s="171"/>
      <c r="P729" s="236"/>
    </row>
    <row r="730" spans="11:16" ht="18" customHeight="1">
      <c r="K730" s="171" t="s">
        <v>14</v>
      </c>
      <c r="L730" s="171"/>
      <c r="M730" s="171"/>
      <c r="P730" s="236"/>
    </row>
    <row r="731" spans="11:16" ht="18" customHeight="1">
      <c r="K731" s="171" t="s">
        <v>14</v>
      </c>
      <c r="L731" s="171"/>
      <c r="M731" s="171"/>
      <c r="P731" s="236"/>
    </row>
    <row r="732" spans="11:16" ht="18" customHeight="1">
      <c r="K732" s="171" t="s">
        <v>14</v>
      </c>
      <c r="L732" s="171"/>
      <c r="M732" s="171"/>
      <c r="P732" s="236"/>
    </row>
    <row r="733" spans="11:16" ht="18" customHeight="1">
      <c r="K733" s="171" t="s">
        <v>14</v>
      </c>
      <c r="L733" s="171"/>
      <c r="M733" s="171"/>
      <c r="P733" s="236"/>
    </row>
    <row r="734" spans="11:16" ht="18" customHeight="1">
      <c r="K734" s="171" t="s">
        <v>14</v>
      </c>
      <c r="L734" s="171"/>
      <c r="M734" s="171"/>
      <c r="P734" s="236"/>
    </row>
    <row r="735" spans="11:16" ht="18" customHeight="1">
      <c r="K735" s="171" t="s">
        <v>14</v>
      </c>
      <c r="L735" s="171"/>
      <c r="M735" s="171"/>
      <c r="P735" s="236"/>
    </row>
    <row r="736" spans="11:16" ht="18" customHeight="1">
      <c r="K736" s="171" t="s">
        <v>14</v>
      </c>
      <c r="L736" s="171"/>
      <c r="M736" s="171"/>
      <c r="P736" s="236"/>
    </row>
    <row r="737" spans="11:16" ht="18" customHeight="1">
      <c r="K737" s="171" t="s">
        <v>14</v>
      </c>
      <c r="L737" s="171"/>
      <c r="M737" s="171"/>
      <c r="P737" s="236"/>
    </row>
    <row r="738" spans="11:16" ht="18" customHeight="1">
      <c r="K738" s="171" t="s">
        <v>14</v>
      </c>
      <c r="L738" s="171"/>
      <c r="M738" s="171"/>
      <c r="P738" s="236"/>
    </row>
    <row r="739" spans="11:16" ht="18" customHeight="1">
      <c r="K739" s="171" t="s">
        <v>14</v>
      </c>
      <c r="L739" s="171"/>
      <c r="M739" s="171"/>
      <c r="P739" s="236"/>
    </row>
    <row r="740" spans="11:16" ht="18" customHeight="1">
      <c r="K740" s="171" t="s">
        <v>14</v>
      </c>
      <c r="L740" s="171"/>
      <c r="M740" s="171"/>
      <c r="P740" s="236"/>
    </row>
    <row r="741" spans="11:16" ht="18" customHeight="1">
      <c r="K741" s="171" t="s">
        <v>14</v>
      </c>
      <c r="L741" s="171"/>
      <c r="M741" s="171"/>
      <c r="P741" s="236"/>
    </row>
    <row r="742" spans="11:16" ht="18" customHeight="1">
      <c r="K742" s="171" t="s">
        <v>14</v>
      </c>
      <c r="L742" s="171"/>
      <c r="M742" s="171"/>
      <c r="P742" s="236"/>
    </row>
    <row r="743" spans="11:16" ht="18" customHeight="1">
      <c r="K743" s="171" t="s">
        <v>14</v>
      </c>
      <c r="L743" s="171"/>
      <c r="M743" s="171"/>
    </row>
    <row r="744" spans="11:16" ht="18" customHeight="1">
      <c r="K744" s="171" t="s">
        <v>14</v>
      </c>
      <c r="L744" s="171"/>
      <c r="M744" s="171"/>
    </row>
    <row r="745" spans="11:16" ht="18" customHeight="1">
      <c r="K745" s="171" t="s">
        <v>14</v>
      </c>
      <c r="L745" s="171"/>
      <c r="M745" s="171"/>
    </row>
    <row r="746" spans="11:16" ht="18" customHeight="1">
      <c r="K746" s="171" t="s">
        <v>14</v>
      </c>
      <c r="L746" s="171"/>
      <c r="M746" s="171"/>
    </row>
    <row r="747" spans="11:16" ht="18" customHeight="1">
      <c r="K747" s="171" t="s">
        <v>14</v>
      </c>
      <c r="L747" s="171"/>
      <c r="M747" s="171"/>
    </row>
    <row r="748" spans="11:16" ht="18" customHeight="1">
      <c r="K748" s="171" t="s">
        <v>14</v>
      </c>
      <c r="L748" s="171"/>
      <c r="M748" s="171"/>
    </row>
    <row r="749" spans="11:16" ht="18" customHeight="1">
      <c r="K749" s="171" t="s">
        <v>14</v>
      </c>
      <c r="L749" s="171"/>
      <c r="M749" s="171"/>
    </row>
    <row r="750" spans="11:16" ht="18" customHeight="1">
      <c r="K750" s="171" t="s">
        <v>14</v>
      </c>
      <c r="L750" s="171"/>
      <c r="M750" s="171"/>
    </row>
    <row r="751" spans="11:16" ht="18" customHeight="1">
      <c r="K751" s="171" t="s">
        <v>14</v>
      </c>
      <c r="L751" s="171"/>
      <c r="M751" s="171"/>
    </row>
    <row r="752" spans="11:16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M804" s="171"/>
    </row>
    <row r="805" spans="11:13" ht="18" customHeight="1">
      <c r="K805" s="171" t="s">
        <v>14</v>
      </c>
      <c r="M805" s="171"/>
    </row>
    <row r="806" spans="11:13" ht="18" customHeight="1">
      <c r="K806" s="171" t="s">
        <v>14</v>
      </c>
      <c r="M806" s="171"/>
    </row>
    <row r="807" spans="11:13" ht="18" customHeight="1">
      <c r="K807" s="171" t="s">
        <v>14</v>
      </c>
      <c r="M807" s="171"/>
    </row>
    <row r="808" spans="11:13" ht="18" customHeight="1">
      <c r="K808" s="171" t="s">
        <v>14</v>
      </c>
      <c r="M808" s="171"/>
    </row>
    <row r="809" spans="11:13" ht="18" customHeight="1">
      <c r="K809" s="171" t="s">
        <v>14</v>
      </c>
      <c r="M809" s="171"/>
    </row>
    <row r="810" spans="11:13" ht="18" customHeight="1">
      <c r="M810" s="171"/>
    </row>
    <row r="811" spans="11:13" ht="18" customHeight="1">
      <c r="M811" s="171"/>
    </row>
    <row r="812" spans="11:13" ht="18" customHeight="1">
      <c r="M812" s="171"/>
    </row>
    <row r="813" spans="11:13" ht="18" customHeight="1">
      <c r="M813" s="171"/>
    </row>
    <row r="814" spans="11:13" ht="18" customHeight="1">
      <c r="M814" s="171"/>
    </row>
    <row r="815" spans="11:13" ht="18" customHeight="1">
      <c r="M815" s="171"/>
    </row>
    <row r="816" spans="11:13" ht="18" customHeight="1">
      <c r="M816" s="171"/>
    </row>
    <row r="817" spans="13:13" ht="18" customHeight="1">
      <c r="M817" s="171"/>
    </row>
  </sheetData>
  <mergeCells count="17">
    <mergeCell ref="N66:N67"/>
    <mergeCell ref="O66:O67"/>
    <mergeCell ref="P66:P67"/>
    <mergeCell ref="Q66:Q67"/>
    <mergeCell ref="Z66:Z67"/>
    <mergeCell ref="B13:C14"/>
    <mergeCell ref="J13:J14"/>
    <mergeCell ref="L13:L14"/>
    <mergeCell ref="B3:C3"/>
    <mergeCell ref="B4:C4"/>
    <mergeCell ref="B5:C5"/>
    <mergeCell ref="G3:H3"/>
    <mergeCell ref="G4:H4"/>
    <mergeCell ref="G5:H5"/>
    <mergeCell ref="D3:E3"/>
    <mergeCell ref="D4:E4"/>
    <mergeCell ref="D5:E5"/>
  </mergeCells>
  <phoneticPr fontId="14" type="noConversion"/>
  <conditionalFormatting sqref="V15:V35">
    <cfRule type="cellIs" dxfId="37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6" min="13" max="28" man="1"/>
    <brk id="83" min="13" max="28" man="1"/>
    <brk id="104" min="13" max="28" man="1"/>
  </row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 codeName="Sheet80">
    <tabColor rgb="FF7030A0"/>
    <pageSetUpPr fitToPage="1"/>
  </sheetPr>
  <dimension ref="A1:Z849"/>
  <sheetViews>
    <sheetView showGridLines="0" zoomScale="85" zoomScaleNormal="85" zoomScaleSheetLayoutView="75" workbookViewId="0">
      <selection activeCell="B5" sqref="B5:C5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2206</v>
      </c>
    </row>
    <row r="2" spans="1:26" ht="19.5" thickBot="1">
      <c r="B2" s="66" t="s">
        <v>1</v>
      </c>
    </row>
    <row r="3" spans="1:26" ht="19.5" customHeight="1">
      <c r="B3" s="773" t="s">
        <v>2</v>
      </c>
      <c r="C3" s="774"/>
      <c r="D3" s="775">
        <v>30</v>
      </c>
      <c r="E3" s="776"/>
      <c r="F3" s="44" t="s">
        <v>243</v>
      </c>
      <c r="G3" s="838" t="s">
        <v>1104</v>
      </c>
      <c r="H3" s="839"/>
      <c r="I3" s="656">
        <v>2</v>
      </c>
      <c r="J3" s="669" t="s">
        <v>794</v>
      </c>
      <c r="M3" s="6"/>
      <c r="N3" s="6"/>
      <c r="O3" s="6"/>
      <c r="R3" s="1"/>
      <c r="S3" s="1"/>
      <c r="T3" s="1"/>
      <c r="U3" s="1"/>
      <c r="V3" s="1"/>
      <c r="W3" s="1"/>
      <c r="X3" s="1"/>
      <c r="Y3" s="1"/>
    </row>
    <row r="4" spans="1:26" ht="21.75" customHeight="1">
      <c r="B4" s="777" t="s">
        <v>2207</v>
      </c>
      <c r="C4" s="778"/>
      <c r="D4" s="779">
        <v>10</v>
      </c>
      <c r="E4" s="780"/>
      <c r="F4" s="65" t="str">
        <f>F3</f>
        <v>만인</v>
      </c>
      <c r="G4" s="777" t="s">
        <v>1109</v>
      </c>
      <c r="H4" s="814"/>
      <c r="I4" s="298">
        <v>2</v>
      </c>
      <c r="J4" s="670" t="s">
        <v>794</v>
      </c>
      <c r="M4" s="6"/>
      <c r="N4" s="6"/>
      <c r="O4" s="6"/>
      <c r="R4" s="1"/>
      <c r="S4" s="1"/>
      <c r="T4" s="1"/>
      <c r="U4" s="1"/>
      <c r="V4" s="1"/>
      <c r="W4" s="1"/>
      <c r="X4" s="1"/>
      <c r="Y4" s="1"/>
    </row>
    <row r="5" spans="1:26" ht="24" customHeight="1" thickBot="1">
      <c r="B5" s="781" t="s">
        <v>566</v>
      </c>
      <c r="C5" s="782"/>
      <c r="D5" s="783">
        <f>ROUNDDOWN((IF(D4&lt;=10,10,D4)/D3)^0.6,3)</f>
        <v>0.51700000000000002</v>
      </c>
      <c r="E5" s="784"/>
      <c r="F5" s="45"/>
      <c r="G5" s="817" t="s">
        <v>1102</v>
      </c>
      <c r="H5" s="818"/>
      <c r="I5" s="646">
        <f>ROUND(I4/I3,3)</f>
        <v>1</v>
      </c>
      <c r="J5" s="671"/>
      <c r="M5" s="6"/>
      <c r="N5" s="6"/>
      <c r="O5" s="6"/>
      <c r="R5" s="1"/>
      <c r="S5" s="1"/>
      <c r="T5" s="1"/>
      <c r="U5" s="1"/>
      <c r="V5" s="1"/>
      <c r="W5" s="1"/>
      <c r="X5" s="1"/>
      <c r="Y5" s="1"/>
    </row>
    <row r="6" spans="1:26" ht="18" customHeight="1">
      <c r="B6" s="9" t="s">
        <v>2208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6" ht="18" customHeight="1">
      <c r="B7" s="9"/>
      <c r="C7" s="9" t="s">
        <v>2209</v>
      </c>
      <c r="D7" s="64"/>
      <c r="E7" s="64"/>
      <c r="G7" s="9"/>
      <c r="J7" s="36"/>
      <c r="R7" s="1"/>
      <c r="S7" s="1"/>
      <c r="T7" s="1"/>
    </row>
    <row r="8" spans="1:26" ht="18" customHeight="1">
      <c r="B8" s="9"/>
      <c r="C8" s="9"/>
      <c r="D8" s="64"/>
      <c r="E8" s="64"/>
      <c r="G8" s="9"/>
      <c r="J8" s="36"/>
      <c r="R8" s="1"/>
      <c r="S8" s="1"/>
      <c r="T8" s="1"/>
    </row>
    <row r="9" spans="1:26" ht="18" customHeight="1">
      <c r="G9" s="36"/>
      <c r="W9" s="188" t="s">
        <v>3</v>
      </c>
      <c r="X9" s="189"/>
    </row>
    <row r="10" spans="1:26" ht="18" customHeight="1" thickBot="1">
      <c r="B10" s="66" t="s">
        <v>4</v>
      </c>
      <c r="C10" s="9"/>
      <c r="D10" s="64"/>
      <c r="E10" s="64"/>
      <c r="G10" s="36"/>
      <c r="N10" s="66" t="s">
        <v>5</v>
      </c>
    </row>
    <row r="11" spans="1:26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121"/>
      <c r="V11" s="121"/>
      <c r="W11" s="186">
        <f ca="1">SUBTOTAL(9,W12:W60)</f>
        <v>539005768</v>
      </c>
      <c r="X11" s="187"/>
      <c r="Y11" s="177"/>
      <c r="Z11" s="167"/>
    </row>
    <row r="12" spans="1:26" ht="18" customHeight="1">
      <c r="A12" s="278"/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N12" s="127" t="s">
        <v>8</v>
      </c>
      <c r="O12" s="122"/>
      <c r="P12" s="122"/>
      <c r="Q12" s="123"/>
      <c r="R12" s="123"/>
      <c r="S12" s="123"/>
      <c r="T12" s="123"/>
      <c r="U12" s="184"/>
      <c r="V12" s="184"/>
      <c r="W12" s="163">
        <f ca="1">SUBTOTAL(9,W13:W57)</f>
        <v>197984175</v>
      </c>
      <c r="X12" s="164"/>
      <c r="Y12" s="178" t="s">
        <v>9</v>
      </c>
      <c r="Z12" s="179"/>
    </row>
    <row r="13" spans="1:26" ht="18" customHeight="1" thickBot="1">
      <c r="A13" s="278"/>
      <c r="B13" s="820"/>
      <c r="C13" s="821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218"/>
      <c r="V13" s="218"/>
      <c r="W13" s="255">
        <f ca="1">SUBTOTAL(9,W14:W52)</f>
        <v>189984175</v>
      </c>
      <c r="X13" s="256"/>
      <c r="Y13" s="220"/>
      <c r="Z13" s="220"/>
    </row>
    <row r="14" spans="1:26" ht="18" customHeight="1">
      <c r="A14" s="279"/>
      <c r="B14" s="222" t="s">
        <v>2210</v>
      </c>
      <c r="C14" s="47"/>
      <c r="D14" s="48">
        <f t="shared" ref="D14:I14" si="0">SUBTOTAL(9,D15:D20)</f>
        <v>4.8</v>
      </c>
      <c r="E14" s="49">
        <f t="shared" si="0"/>
        <v>7.1</v>
      </c>
      <c r="F14" s="49">
        <f t="shared" si="0"/>
        <v>14.6</v>
      </c>
      <c r="G14" s="49">
        <f t="shared" si="0"/>
        <v>26.300000000000004</v>
      </c>
      <c r="H14" s="49">
        <f t="shared" si="0"/>
        <v>35.400000000000006</v>
      </c>
      <c r="I14" s="50">
        <f t="shared" si="0"/>
        <v>46.999999999999993</v>
      </c>
      <c r="J14" s="389"/>
      <c r="L14" s="232"/>
      <c r="N14" s="354" t="str">
        <f>B14</f>
        <v>1. 조사 및 분석</v>
      </c>
      <c r="O14" s="169"/>
      <c r="P14" s="169"/>
      <c r="Q14" s="169"/>
      <c r="R14" s="169"/>
      <c r="S14" s="169"/>
      <c r="T14" s="169"/>
      <c r="U14" s="226"/>
      <c r="V14" s="248"/>
      <c r="W14" s="193">
        <f ca="1">SUBTOTAL(9,W15:W20)</f>
        <v>19269596</v>
      </c>
      <c r="X14" s="194"/>
      <c r="Y14" s="170" t="str">
        <f>IF(A54&gt;0, "제 " &amp;A54&amp; " 호표","")</f>
        <v/>
      </c>
      <c r="Z14" s="170"/>
    </row>
    <row r="15" spans="1:26" ht="18" customHeight="1">
      <c r="A15" s="279"/>
      <c r="B15" s="223" t="s">
        <v>2211</v>
      </c>
      <c r="C15" s="23"/>
      <c r="D15" s="197">
        <v>0.4</v>
      </c>
      <c r="E15" s="198">
        <v>0.5</v>
      </c>
      <c r="F15" s="198">
        <v>1.4</v>
      </c>
      <c r="G15" s="198">
        <v>4.3</v>
      </c>
      <c r="H15" s="198">
        <v>5.7</v>
      </c>
      <c r="I15" s="199">
        <v>7.4</v>
      </c>
      <c r="J15" s="389" t="s">
        <v>2192</v>
      </c>
      <c r="L15" s="233">
        <v>1</v>
      </c>
      <c r="N15" s="292" t="str">
        <f t="shared" ref="N15:N52" si="1">B15</f>
        <v>1.1. 현황조사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SUM((ROUNDDOWN((D55:I55)*단가,0)))</f>
        <v>2723675</v>
      </c>
      <c r="X15" s="154"/>
      <c r="Y15" s="170" t="str">
        <f>IF(A55&gt;0, "제 " &amp;A55&amp; " 호표","")</f>
        <v>제 1 호표</v>
      </c>
      <c r="Z15" s="150"/>
    </row>
    <row r="16" spans="1:26" ht="18" customHeight="1">
      <c r="A16" s="279"/>
      <c r="B16" s="223" t="s">
        <v>2212</v>
      </c>
      <c r="C16" s="23"/>
      <c r="D16" s="197">
        <v>2</v>
      </c>
      <c r="E16" s="198">
        <v>3</v>
      </c>
      <c r="F16" s="198">
        <v>6</v>
      </c>
      <c r="G16" s="198">
        <v>12.6</v>
      </c>
      <c r="H16" s="198">
        <v>16.8</v>
      </c>
      <c r="I16" s="199">
        <v>22.8</v>
      </c>
      <c r="J16" s="389" t="s">
        <v>1090</v>
      </c>
      <c r="L16" s="233">
        <v>1</v>
      </c>
      <c r="N16" s="292" t="str">
        <f t="shared" si="1"/>
        <v>1.2. 경관자원조사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SUM((ROUNDDOWN((D56:I56)*단가,0)))</f>
        <v>8941798</v>
      </c>
      <c r="X16" s="154"/>
      <c r="Y16" s="170" t="str">
        <f t="shared" ref="Y16:Y52" si="2">IF(A56&gt;0, "제 " &amp;A56&amp; " 호표","")</f>
        <v>제 2 호표</v>
      </c>
      <c r="Z16" s="150"/>
    </row>
    <row r="17" spans="1:26" ht="18" customHeight="1">
      <c r="A17" s="279"/>
      <c r="B17" s="223" t="s">
        <v>2253</v>
      </c>
      <c r="C17" s="23"/>
      <c r="D17" s="197">
        <v>0.8</v>
      </c>
      <c r="E17" s="198">
        <v>1.2</v>
      </c>
      <c r="F17" s="198">
        <v>2.4</v>
      </c>
      <c r="G17" s="198">
        <v>2.1</v>
      </c>
      <c r="H17" s="198">
        <v>2.8</v>
      </c>
      <c r="I17" s="199">
        <v>3.8</v>
      </c>
      <c r="J17" s="389" t="s">
        <v>1090</v>
      </c>
      <c r="L17" s="233">
        <v>1</v>
      </c>
      <c r="N17" s="292" t="str">
        <f t="shared" si="1"/>
        <v>1.3. 경관구조분석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SUM((ROUNDDOWN((D57:I57)*단가,0)))</f>
        <v>1962037</v>
      </c>
      <c r="X17" s="154"/>
      <c r="Y17" s="170" t="str">
        <f t="shared" si="2"/>
        <v>제 3 호표</v>
      </c>
      <c r="Z17" s="150"/>
    </row>
    <row r="18" spans="1:26" ht="18" customHeight="1">
      <c r="A18" s="279"/>
      <c r="B18" s="223" t="s">
        <v>2254</v>
      </c>
      <c r="C18" s="23"/>
      <c r="D18" s="197">
        <v>0.4</v>
      </c>
      <c r="E18" s="198">
        <v>0.6</v>
      </c>
      <c r="F18" s="198">
        <v>1.2</v>
      </c>
      <c r="G18" s="198">
        <v>2.1</v>
      </c>
      <c r="H18" s="198">
        <v>2.8</v>
      </c>
      <c r="I18" s="199">
        <v>3.8</v>
      </c>
      <c r="J18" s="389" t="s">
        <v>1090</v>
      </c>
      <c r="L18" s="233">
        <v>1</v>
      </c>
      <c r="N18" s="292" t="str">
        <f t="shared" si="1"/>
        <v>1.4. 경관의식조사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SUM((ROUNDDOWN((D58:I58)*단가,0)))</f>
        <v>1556836</v>
      </c>
      <c r="X18" s="154"/>
      <c r="Y18" s="170" t="str">
        <f t="shared" si="2"/>
        <v>제 4 호표</v>
      </c>
      <c r="Z18" s="150"/>
    </row>
    <row r="19" spans="1:26" ht="18" customHeight="1">
      <c r="A19" s="279"/>
      <c r="B19" s="223" t="s">
        <v>2255</v>
      </c>
      <c r="C19" s="23"/>
      <c r="D19" s="197">
        <v>0.4</v>
      </c>
      <c r="E19" s="198">
        <v>0.6</v>
      </c>
      <c r="F19" s="198">
        <v>1.2</v>
      </c>
      <c r="G19" s="198">
        <v>2.1</v>
      </c>
      <c r="H19" s="198">
        <v>2.8</v>
      </c>
      <c r="I19" s="199">
        <v>3.8</v>
      </c>
      <c r="J19" s="389" t="s">
        <v>1090</v>
      </c>
      <c r="L19" s="233">
        <v>1</v>
      </c>
      <c r="N19" s="292" t="str">
        <f t="shared" si="1"/>
        <v>1.5. 관계법령/관련계획 및 사례분석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SUM((ROUNDDOWN((D59:I59)*단가,0)))</f>
        <v>1556836</v>
      </c>
      <c r="X19" s="154"/>
      <c r="Y19" s="170" t="str">
        <f t="shared" si="2"/>
        <v>제 5 호표</v>
      </c>
      <c r="Z19" s="150"/>
    </row>
    <row r="20" spans="1:26" ht="18" customHeight="1">
      <c r="A20" s="279"/>
      <c r="B20" s="223" t="s">
        <v>2256</v>
      </c>
      <c r="C20" s="23"/>
      <c r="D20" s="197">
        <v>0.8</v>
      </c>
      <c r="E20" s="198">
        <v>1.2</v>
      </c>
      <c r="F20" s="198">
        <v>2.4</v>
      </c>
      <c r="G20" s="198">
        <v>3.1</v>
      </c>
      <c r="H20" s="198">
        <v>4.5</v>
      </c>
      <c r="I20" s="199">
        <v>5.4</v>
      </c>
      <c r="J20" s="389" t="s">
        <v>1090</v>
      </c>
      <c r="L20" s="233">
        <v>1</v>
      </c>
      <c r="N20" s="292" t="str">
        <f t="shared" si="1"/>
        <v>1.6. 종합분석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SUM((ROUNDDOWN((D60:I60)*단가,0)))</f>
        <v>2528414</v>
      </c>
      <c r="X20" s="154"/>
      <c r="Y20" s="170" t="str">
        <f t="shared" si="2"/>
        <v>제 6 호표</v>
      </c>
      <c r="Z20" s="150"/>
    </row>
    <row r="21" spans="1:26" ht="18" customHeight="1">
      <c r="A21" s="279"/>
      <c r="B21" s="222" t="s">
        <v>2217</v>
      </c>
      <c r="C21" s="47"/>
      <c r="D21" s="48">
        <f t="shared" ref="D21:I21" si="3">SUBTOTAL(9,D22:D25)</f>
        <v>3.3</v>
      </c>
      <c r="E21" s="49">
        <f t="shared" si="3"/>
        <v>4.4000000000000004</v>
      </c>
      <c r="F21" s="49">
        <f t="shared" si="3"/>
        <v>6.6</v>
      </c>
      <c r="G21" s="49">
        <f t="shared" si="3"/>
        <v>11</v>
      </c>
      <c r="H21" s="49">
        <f t="shared" si="3"/>
        <v>22</v>
      </c>
      <c r="I21" s="50">
        <f t="shared" si="3"/>
        <v>33</v>
      </c>
      <c r="J21" s="389"/>
      <c r="L21" s="232"/>
      <c r="N21" s="354" t="str">
        <f t="shared" si="1"/>
        <v>2. 도시경관 구상</v>
      </c>
      <c r="O21" s="169"/>
      <c r="P21" s="169"/>
      <c r="Q21" s="169"/>
      <c r="R21" s="169"/>
      <c r="S21" s="169"/>
      <c r="T21" s="169"/>
      <c r="U21" s="226"/>
      <c r="V21" s="248"/>
      <c r="W21" s="193">
        <f ca="1">SUBTOTAL(9,W22:W25)</f>
        <v>11326245</v>
      </c>
      <c r="X21" s="194"/>
      <c r="Y21" s="170" t="str">
        <f t="shared" si="2"/>
        <v/>
      </c>
      <c r="Z21" s="170"/>
    </row>
    <row r="22" spans="1:26" ht="18" customHeight="1">
      <c r="A22" s="279"/>
      <c r="B22" s="223" t="s">
        <v>2218</v>
      </c>
      <c r="C22" s="23"/>
      <c r="D22" s="197">
        <v>0.8</v>
      </c>
      <c r="E22" s="198">
        <v>1.1000000000000001</v>
      </c>
      <c r="F22" s="198">
        <v>1.6</v>
      </c>
      <c r="G22" s="198">
        <v>2.7</v>
      </c>
      <c r="H22" s="198">
        <v>5.5</v>
      </c>
      <c r="I22" s="199">
        <v>8.1999999999999993</v>
      </c>
      <c r="J22" s="389" t="s">
        <v>1090</v>
      </c>
      <c r="L22" s="233">
        <v>1</v>
      </c>
      <c r="N22" s="292" t="str">
        <f t="shared" si="1"/>
        <v>2.1. 기본방향설정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SUM((ROUNDDOWN((D62:I62)*단가,0)))</f>
        <v>2803369</v>
      </c>
      <c r="X22" s="154"/>
      <c r="Y22" s="170" t="str">
        <f t="shared" si="2"/>
        <v>제 7 호표</v>
      </c>
      <c r="Z22" s="150"/>
    </row>
    <row r="23" spans="1:26" ht="18" customHeight="1">
      <c r="A23" s="279"/>
      <c r="B23" s="223" t="s">
        <v>2219</v>
      </c>
      <c r="C23" s="23"/>
      <c r="D23" s="197">
        <v>0.8</v>
      </c>
      <c r="E23" s="198">
        <v>1.1000000000000001</v>
      </c>
      <c r="F23" s="198">
        <v>1.6</v>
      </c>
      <c r="G23" s="198">
        <v>2.7</v>
      </c>
      <c r="H23" s="198">
        <v>5.5</v>
      </c>
      <c r="I23" s="199">
        <v>8.1999999999999993</v>
      </c>
      <c r="J23" s="389" t="s">
        <v>1090</v>
      </c>
      <c r="L23" s="233">
        <v>1</v>
      </c>
      <c r="N23" s="292" t="str">
        <f t="shared" si="1"/>
        <v>2.2. 미래상 설정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SUM((ROUNDDOWN((D63:I63)*단가,0)))</f>
        <v>2803369</v>
      </c>
      <c r="X23" s="154"/>
      <c r="Y23" s="170" t="str">
        <f t="shared" si="2"/>
        <v>제 8 호표</v>
      </c>
      <c r="Z23" s="150"/>
    </row>
    <row r="24" spans="1:26" ht="18" customHeight="1">
      <c r="A24" s="279"/>
      <c r="B24" s="223" t="s">
        <v>2220</v>
      </c>
      <c r="C24" s="23"/>
      <c r="D24" s="197">
        <v>0.9</v>
      </c>
      <c r="E24" s="198">
        <v>1.1000000000000001</v>
      </c>
      <c r="F24" s="198">
        <v>1.8</v>
      </c>
      <c r="G24" s="198">
        <v>2.9</v>
      </c>
      <c r="H24" s="198">
        <v>5.5</v>
      </c>
      <c r="I24" s="199">
        <v>8.4</v>
      </c>
      <c r="J24" s="389" t="s">
        <v>1090</v>
      </c>
      <c r="L24" s="233">
        <v>1</v>
      </c>
      <c r="N24" s="292" t="str">
        <f t="shared" si="1"/>
        <v>2.3. 경관구조 설정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SUM((ROUNDDOWN((D64:I64)*단가,0)))</f>
        <v>2916138</v>
      </c>
      <c r="X24" s="154"/>
      <c r="Y24" s="170" t="str">
        <f t="shared" si="2"/>
        <v>제 9 호표</v>
      </c>
      <c r="Z24" s="150"/>
    </row>
    <row r="25" spans="1:26" ht="18" customHeight="1">
      <c r="A25" s="279"/>
      <c r="B25" s="223" t="s">
        <v>2221</v>
      </c>
      <c r="C25" s="23"/>
      <c r="D25" s="197">
        <v>0.8</v>
      </c>
      <c r="E25" s="198">
        <v>1.1000000000000001</v>
      </c>
      <c r="F25" s="198">
        <v>1.6</v>
      </c>
      <c r="G25" s="198">
        <v>2.7</v>
      </c>
      <c r="H25" s="198">
        <v>5.5</v>
      </c>
      <c r="I25" s="199">
        <v>8.1999999999999993</v>
      </c>
      <c r="J25" s="389" t="s">
        <v>1090</v>
      </c>
      <c r="L25" s="233">
        <v>1</v>
      </c>
      <c r="N25" s="292" t="str">
        <f t="shared" si="1"/>
        <v>2.4. 추진전략 설정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SUM((ROUNDDOWN((D65:I65)*단가,0)))</f>
        <v>2803369</v>
      </c>
      <c r="X25" s="154"/>
      <c r="Y25" s="170" t="str">
        <f t="shared" si="2"/>
        <v>제 10 호표</v>
      </c>
      <c r="Z25" s="150"/>
    </row>
    <row r="26" spans="1:26" ht="18" customHeight="1">
      <c r="A26" s="279"/>
      <c r="B26" s="222" t="s">
        <v>2222</v>
      </c>
      <c r="C26" s="47"/>
      <c r="D26" s="48">
        <f t="shared" ref="D26:I26" si="4">SUBTOTAL(9,D27:D31)</f>
        <v>22.000000000000004</v>
      </c>
      <c r="E26" s="49">
        <f t="shared" si="4"/>
        <v>44.000000000000007</v>
      </c>
      <c r="F26" s="49">
        <f t="shared" si="4"/>
        <v>110</v>
      </c>
      <c r="G26" s="49">
        <f t="shared" si="4"/>
        <v>121</v>
      </c>
      <c r="H26" s="49">
        <f t="shared" si="4"/>
        <v>132</v>
      </c>
      <c r="I26" s="50">
        <f t="shared" si="4"/>
        <v>132</v>
      </c>
      <c r="J26" s="389"/>
      <c r="L26" s="232"/>
      <c r="N26" s="354" t="str">
        <f t="shared" si="1"/>
        <v>3. 경관기본 계획</v>
      </c>
      <c r="O26" s="169"/>
      <c r="P26" s="169"/>
      <c r="Q26" s="169"/>
      <c r="R26" s="169"/>
      <c r="S26" s="169"/>
      <c r="T26" s="169"/>
      <c r="U26" s="226"/>
      <c r="V26" s="248"/>
      <c r="W26" s="193">
        <f ca="1">SUBTOTAL(9,W27:W31)</f>
        <v>83081629</v>
      </c>
      <c r="X26" s="194"/>
      <c r="Y26" s="170" t="str">
        <f t="shared" si="2"/>
        <v/>
      </c>
      <c r="Z26" s="170"/>
    </row>
    <row r="27" spans="1:26" ht="18" customHeight="1">
      <c r="A27" s="279"/>
      <c r="B27" s="223" t="s">
        <v>2223</v>
      </c>
      <c r="C27" s="23"/>
      <c r="D27" s="197">
        <v>6.6</v>
      </c>
      <c r="E27" s="198">
        <v>13.2</v>
      </c>
      <c r="F27" s="198">
        <v>33</v>
      </c>
      <c r="G27" s="198">
        <v>36.200000000000003</v>
      </c>
      <c r="H27" s="198">
        <v>39.6</v>
      </c>
      <c r="I27" s="199">
        <v>39.6</v>
      </c>
      <c r="J27" s="389" t="s">
        <v>1090</v>
      </c>
      <c r="L27" s="233">
        <v>1</v>
      </c>
      <c r="N27" s="292" t="str">
        <f t="shared" si="1"/>
        <v>3.1. 경관권역계획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SUM((ROUNDDOWN((D67:I67)*단가,0)))</f>
        <v>24909985</v>
      </c>
      <c r="X27" s="154"/>
      <c r="Y27" s="170" t="str">
        <f t="shared" si="2"/>
        <v>제 11 호표</v>
      </c>
      <c r="Z27" s="150"/>
    </row>
    <row r="28" spans="1:26" ht="18" customHeight="1">
      <c r="A28" s="279"/>
      <c r="B28" s="223" t="s">
        <v>2224</v>
      </c>
      <c r="C28" s="23"/>
      <c r="D28" s="197">
        <v>4.4000000000000004</v>
      </c>
      <c r="E28" s="198">
        <v>8.8000000000000007</v>
      </c>
      <c r="F28" s="198">
        <v>22</v>
      </c>
      <c r="G28" s="198">
        <v>24.3</v>
      </c>
      <c r="H28" s="198">
        <v>26.4</v>
      </c>
      <c r="I28" s="199">
        <v>26.4</v>
      </c>
      <c r="J28" s="389" t="s">
        <v>1090</v>
      </c>
      <c r="L28" s="233">
        <v>1</v>
      </c>
      <c r="N28" s="292" t="str">
        <f t="shared" si="1"/>
        <v>3.2. 경관축계획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SUM((ROUNDDOWN((D68:I68)*단가,0)))</f>
        <v>16631376</v>
      </c>
      <c r="X28" s="154"/>
      <c r="Y28" s="170" t="str">
        <f t="shared" si="2"/>
        <v>제 12 호표</v>
      </c>
      <c r="Z28" s="150"/>
    </row>
    <row r="29" spans="1:26" ht="18" customHeight="1">
      <c r="A29" s="279"/>
      <c r="B29" s="223" t="s">
        <v>2225</v>
      </c>
      <c r="C29" s="23"/>
      <c r="D29" s="197">
        <v>3.3</v>
      </c>
      <c r="E29" s="198">
        <v>6.6</v>
      </c>
      <c r="F29" s="198">
        <v>16.5</v>
      </c>
      <c r="G29" s="198">
        <v>18.100000000000001</v>
      </c>
      <c r="H29" s="198">
        <v>19.8</v>
      </c>
      <c r="I29" s="199">
        <v>19.8</v>
      </c>
      <c r="J29" s="389" t="s">
        <v>1090</v>
      </c>
      <c r="L29" s="233">
        <v>1</v>
      </c>
      <c r="N29" s="292" t="str">
        <f t="shared" si="1"/>
        <v>3.3. 경관거점계획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SUM((ROUNDDOWN((D69:I69)*단가,0)))</f>
        <v>12454446</v>
      </c>
      <c r="X29" s="154"/>
      <c r="Y29" s="170" t="str">
        <f t="shared" si="2"/>
        <v>제 13 호표</v>
      </c>
      <c r="Z29" s="150"/>
    </row>
    <row r="30" spans="1:26" ht="18" customHeight="1">
      <c r="A30" s="279"/>
      <c r="B30" s="223" t="s">
        <v>2226</v>
      </c>
      <c r="C30" s="23"/>
      <c r="D30" s="197">
        <v>4.4000000000000004</v>
      </c>
      <c r="E30" s="198">
        <v>8.8000000000000007</v>
      </c>
      <c r="F30" s="198">
        <v>22</v>
      </c>
      <c r="G30" s="198">
        <v>24.3</v>
      </c>
      <c r="H30" s="198">
        <v>26.4</v>
      </c>
      <c r="I30" s="199">
        <v>26.4</v>
      </c>
      <c r="J30" s="389" t="s">
        <v>1090</v>
      </c>
      <c r="L30" s="233">
        <v>1</v>
      </c>
      <c r="N30" s="292" t="str">
        <f t="shared" si="1"/>
        <v>3.4. 중점경관관리구역계획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SUM((ROUNDDOWN((D70:I70)*단가,0)))</f>
        <v>16631376</v>
      </c>
      <c r="X30" s="154"/>
      <c r="Y30" s="170" t="str">
        <f t="shared" si="2"/>
        <v>제 14 호표</v>
      </c>
      <c r="Z30" s="150"/>
    </row>
    <row r="31" spans="1:26" ht="18" customHeight="1">
      <c r="A31" s="279"/>
      <c r="B31" s="223" t="s">
        <v>2227</v>
      </c>
      <c r="C31" s="23"/>
      <c r="D31" s="197">
        <v>3.3</v>
      </c>
      <c r="E31" s="198">
        <v>6.6</v>
      </c>
      <c r="F31" s="198">
        <v>16.5</v>
      </c>
      <c r="G31" s="198">
        <v>18.100000000000001</v>
      </c>
      <c r="H31" s="198">
        <v>19.8</v>
      </c>
      <c r="I31" s="199">
        <v>19.8</v>
      </c>
      <c r="J31" s="389" t="s">
        <v>1090</v>
      </c>
      <c r="L31" s="233">
        <v>1</v>
      </c>
      <c r="N31" s="292" t="str">
        <f t="shared" si="1"/>
        <v>3.5. 경관지구계획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SUM((ROUNDDOWN((D71:I71)*단가,0)))</f>
        <v>12454446</v>
      </c>
      <c r="X31" s="154"/>
      <c r="Y31" s="170" t="str">
        <f t="shared" si="2"/>
        <v>제 15 호표</v>
      </c>
      <c r="Z31" s="150"/>
    </row>
    <row r="32" spans="1:26" ht="18" customHeight="1">
      <c r="A32" s="279"/>
      <c r="B32" s="222" t="s">
        <v>567</v>
      </c>
      <c r="C32" s="47"/>
      <c r="D32" s="48">
        <f t="shared" ref="D32:I32" si="5">SUBTOTAL(9,D33:D35)</f>
        <v>5.5</v>
      </c>
      <c r="E32" s="49">
        <f t="shared" si="5"/>
        <v>11</v>
      </c>
      <c r="F32" s="49">
        <f t="shared" si="5"/>
        <v>22</v>
      </c>
      <c r="G32" s="49">
        <f t="shared" si="5"/>
        <v>34.1</v>
      </c>
      <c r="H32" s="49">
        <f t="shared" si="5"/>
        <v>45.5</v>
      </c>
      <c r="I32" s="50">
        <f t="shared" si="5"/>
        <v>52.4</v>
      </c>
      <c r="J32" s="389"/>
      <c r="L32" s="232"/>
      <c r="N32" s="354" t="str">
        <f t="shared" si="1"/>
        <v>4. 경관가이드라인</v>
      </c>
      <c r="O32" s="169"/>
      <c r="P32" s="169"/>
      <c r="Q32" s="169"/>
      <c r="R32" s="169"/>
      <c r="S32" s="169"/>
      <c r="T32" s="169"/>
      <c r="U32" s="226"/>
      <c r="V32" s="248"/>
      <c r="W32" s="193">
        <f ca="1">SUBTOTAL(9,W33:W35)</f>
        <v>24502451</v>
      </c>
      <c r="X32" s="194"/>
      <c r="Y32" s="170" t="str">
        <f t="shared" si="2"/>
        <v/>
      </c>
      <c r="Z32" s="170"/>
    </row>
    <row r="33" spans="1:26" ht="18" customHeight="1">
      <c r="A33" s="279"/>
      <c r="B33" s="223" t="s">
        <v>2228</v>
      </c>
      <c r="C33" s="23"/>
      <c r="D33" s="197">
        <v>1.1000000000000001</v>
      </c>
      <c r="E33" s="198">
        <v>2.1</v>
      </c>
      <c r="F33" s="198">
        <v>4.2</v>
      </c>
      <c r="G33" s="198">
        <v>6.6</v>
      </c>
      <c r="H33" s="198">
        <v>8.8000000000000007</v>
      </c>
      <c r="I33" s="199">
        <v>10.199999999999999</v>
      </c>
      <c r="J33" s="389" t="s">
        <v>1090</v>
      </c>
      <c r="L33" s="233">
        <v>1</v>
      </c>
      <c r="N33" s="292" t="str">
        <f t="shared" si="1"/>
        <v>4.1. 경관권역 등의 가이드라인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SUM((ROUNDDOWN((D73:I73)*단가,0)))</f>
        <v>4742216</v>
      </c>
      <c r="X33" s="154"/>
      <c r="Y33" s="170" t="str">
        <f t="shared" si="2"/>
        <v>제 16 호표</v>
      </c>
      <c r="Z33" s="150"/>
    </row>
    <row r="34" spans="1:26" ht="18" customHeight="1">
      <c r="A34" s="279"/>
      <c r="B34" s="223" t="s">
        <v>2229</v>
      </c>
      <c r="C34" s="23"/>
      <c r="D34" s="197">
        <v>0.9</v>
      </c>
      <c r="E34" s="198">
        <v>1.9</v>
      </c>
      <c r="F34" s="198">
        <v>3.9</v>
      </c>
      <c r="G34" s="198">
        <v>6.2</v>
      </c>
      <c r="H34" s="198">
        <v>8.1999999999999993</v>
      </c>
      <c r="I34" s="199">
        <v>9.4</v>
      </c>
      <c r="J34" s="389" t="s">
        <v>1090</v>
      </c>
      <c r="L34" s="233">
        <v>1</v>
      </c>
      <c r="N34" s="292" t="str">
        <f t="shared" si="1"/>
        <v>4.2. 경관·미관지구의 경관가이드라인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SUM((ROUNDDOWN((D74:I74)*단가,0)))</f>
        <v>4369828</v>
      </c>
      <c r="X34" s="154"/>
      <c r="Y34" s="170" t="str">
        <f t="shared" si="2"/>
        <v>제 17 호표</v>
      </c>
      <c r="Z34" s="150"/>
    </row>
    <row r="35" spans="1:26" ht="18" customHeight="1">
      <c r="A35" s="279"/>
      <c r="B35" s="223" t="s">
        <v>2230</v>
      </c>
      <c r="C35" s="23"/>
      <c r="D35" s="197">
        <v>3.5</v>
      </c>
      <c r="E35" s="198">
        <v>7</v>
      </c>
      <c r="F35" s="198">
        <v>13.9</v>
      </c>
      <c r="G35" s="198">
        <v>21.3</v>
      </c>
      <c r="H35" s="198">
        <v>28.5</v>
      </c>
      <c r="I35" s="199">
        <v>32.799999999999997</v>
      </c>
      <c r="J35" s="389" t="s">
        <v>1090</v>
      </c>
      <c r="L35" s="233">
        <v>1</v>
      </c>
      <c r="N35" s="292" t="str">
        <f t="shared" si="1"/>
        <v>4.3. 중점경관관리구역의 경관가이드라인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SUM((ROUNDDOWN((D75:I75)*단가,0)))</f>
        <v>15390407</v>
      </c>
      <c r="X35" s="154"/>
      <c r="Y35" s="170" t="str">
        <f t="shared" si="2"/>
        <v>제 18 호표</v>
      </c>
      <c r="Z35" s="150"/>
    </row>
    <row r="36" spans="1:26" ht="18" customHeight="1">
      <c r="A36" s="279"/>
      <c r="B36" s="222" t="s">
        <v>568</v>
      </c>
      <c r="C36" s="47"/>
      <c r="D36" s="48">
        <f t="shared" ref="D36:I36" si="6">SUBTOTAL(9,D37:D44)</f>
        <v>5.1999999999999993</v>
      </c>
      <c r="E36" s="49">
        <f t="shared" si="6"/>
        <v>8.1999999999999993</v>
      </c>
      <c r="F36" s="49">
        <f t="shared" si="6"/>
        <v>17.5</v>
      </c>
      <c r="G36" s="49">
        <f t="shared" si="6"/>
        <v>31.519999999999996</v>
      </c>
      <c r="H36" s="49">
        <f t="shared" si="6"/>
        <v>38.299999999999997</v>
      </c>
      <c r="I36" s="50">
        <f t="shared" si="6"/>
        <v>49.7</v>
      </c>
      <c r="J36" s="389"/>
      <c r="L36" s="232"/>
      <c r="N36" s="354" t="str">
        <f t="shared" si="1"/>
        <v>5. 실행계획</v>
      </c>
      <c r="O36" s="169"/>
      <c r="P36" s="169"/>
      <c r="Q36" s="169"/>
      <c r="R36" s="169"/>
      <c r="S36" s="169"/>
      <c r="T36" s="169"/>
      <c r="U36" s="226"/>
      <c r="V36" s="248"/>
      <c r="W36" s="193">
        <f ca="1">SUBTOTAL(9,W37:W44)</f>
        <v>21542091</v>
      </c>
      <c r="X36" s="194"/>
      <c r="Y36" s="170" t="str">
        <f t="shared" si="2"/>
        <v/>
      </c>
      <c r="Z36" s="170"/>
    </row>
    <row r="37" spans="1:26" ht="18" customHeight="1">
      <c r="A37" s="279"/>
      <c r="B37" s="223" t="s">
        <v>2231</v>
      </c>
      <c r="C37" s="23"/>
      <c r="D37" s="197">
        <v>0.3</v>
      </c>
      <c r="E37" s="198">
        <v>0.4</v>
      </c>
      <c r="F37" s="198">
        <v>0.9</v>
      </c>
      <c r="G37" s="198">
        <v>1.7</v>
      </c>
      <c r="H37" s="198">
        <v>2.2000000000000002</v>
      </c>
      <c r="I37" s="199">
        <v>3.2</v>
      </c>
      <c r="J37" s="389" t="s">
        <v>1090</v>
      </c>
      <c r="L37" s="233">
        <v>1</v>
      </c>
      <c r="N37" s="292" t="str">
        <f t="shared" si="1"/>
        <v>5.1. 경관관련 지구·구역 적용 및 연계방안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SUM((ROUNDDOWN((D77:I77)*단가,0)))</f>
        <v>1234379</v>
      </c>
      <c r="X37" s="154"/>
      <c r="Y37" s="170" t="str">
        <f t="shared" si="2"/>
        <v>제 19 호표</v>
      </c>
      <c r="Z37" s="150"/>
    </row>
    <row r="38" spans="1:26" ht="18" customHeight="1">
      <c r="A38" s="279"/>
      <c r="B38" s="223" t="s">
        <v>2232</v>
      </c>
      <c r="C38" s="23"/>
      <c r="D38" s="197">
        <v>0.3</v>
      </c>
      <c r="E38" s="198">
        <v>0.4</v>
      </c>
      <c r="F38" s="198">
        <v>0.9</v>
      </c>
      <c r="G38" s="198">
        <v>1.7</v>
      </c>
      <c r="H38" s="198">
        <v>2.2000000000000002</v>
      </c>
      <c r="I38" s="199">
        <v>3.2</v>
      </c>
      <c r="J38" s="389" t="s">
        <v>1090</v>
      </c>
      <c r="L38" s="233">
        <v>1</v>
      </c>
      <c r="N38" s="292" t="str">
        <f t="shared" si="1"/>
        <v>5.2. 관련 계획과의 연계방안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SUM((ROUNDDOWN((D78:I78)*단가,0)))</f>
        <v>1234379</v>
      </c>
      <c r="X38" s="154"/>
      <c r="Y38" s="170" t="str">
        <f t="shared" si="2"/>
        <v>제 20 호표</v>
      </c>
      <c r="Z38" s="150"/>
    </row>
    <row r="39" spans="1:26" ht="18" customHeight="1">
      <c r="A39" s="279"/>
      <c r="B39" s="223" t="s">
        <v>2233</v>
      </c>
      <c r="C39" s="23"/>
      <c r="D39" s="197">
        <v>1.8</v>
      </c>
      <c r="E39" s="198">
        <v>2.4</v>
      </c>
      <c r="F39" s="198">
        <v>5.4</v>
      </c>
      <c r="G39" s="198">
        <v>9.1</v>
      </c>
      <c r="H39" s="198">
        <v>12.1</v>
      </c>
      <c r="I39" s="199">
        <v>17</v>
      </c>
      <c r="J39" s="389" t="s">
        <v>1090</v>
      </c>
      <c r="L39" s="233">
        <v>1</v>
      </c>
      <c r="N39" s="292" t="str">
        <f t="shared" si="1"/>
        <v>5.3. 경관사업 및 단계별 추진계획</v>
      </c>
      <c r="O39" s="37"/>
      <c r="P39" s="37"/>
      <c r="Q39" s="37"/>
      <c r="R39" s="37"/>
      <c r="S39" s="37"/>
      <c r="T39" s="37"/>
      <c r="U39" s="227"/>
      <c r="V39" s="231"/>
      <c r="W39" s="153">
        <f t="array" aca="1" ref="W39" ca="1">SUM((ROUNDDOWN((D79:I79)*단가,0)))</f>
        <v>6824284</v>
      </c>
      <c r="X39" s="154"/>
      <c r="Y39" s="170" t="str">
        <f t="shared" si="2"/>
        <v>제 21 호표</v>
      </c>
      <c r="Z39" s="150"/>
    </row>
    <row r="40" spans="1:26" ht="18" customHeight="1">
      <c r="A40" s="279"/>
      <c r="B40" s="223" t="s">
        <v>2234</v>
      </c>
      <c r="C40" s="23"/>
      <c r="D40" s="197">
        <v>0.3</v>
      </c>
      <c r="E40" s="198">
        <v>0.4</v>
      </c>
      <c r="F40" s="198">
        <v>0.9</v>
      </c>
      <c r="G40" s="198">
        <v>1.7</v>
      </c>
      <c r="H40" s="198">
        <v>2.2000000000000002</v>
      </c>
      <c r="I40" s="199">
        <v>3.2</v>
      </c>
      <c r="J40" s="389" t="s">
        <v>1090</v>
      </c>
      <c r="L40" s="233">
        <v>1</v>
      </c>
      <c r="N40" s="292" t="str">
        <f t="shared" si="1"/>
        <v>5.4. 경관협정의 적용 및 운영</v>
      </c>
      <c r="O40" s="37"/>
      <c r="P40" s="37"/>
      <c r="Q40" s="37"/>
      <c r="R40" s="37"/>
      <c r="S40" s="37"/>
      <c r="T40" s="37"/>
      <c r="U40" s="227"/>
      <c r="V40" s="231"/>
      <c r="W40" s="153">
        <f t="array" aca="1" ref="W40" ca="1">SUM((ROUNDDOWN((D80:I80)*단가,0)))</f>
        <v>1234379</v>
      </c>
      <c r="X40" s="154"/>
      <c r="Y40" s="170" t="str">
        <f t="shared" si="2"/>
        <v>제 22 호표</v>
      </c>
      <c r="Z40" s="150"/>
    </row>
    <row r="41" spans="1:26" ht="18" customHeight="1">
      <c r="A41" s="279"/>
      <c r="B41" s="223" t="s">
        <v>2235</v>
      </c>
      <c r="C41" s="23"/>
      <c r="D41" s="197">
        <v>0.3</v>
      </c>
      <c r="E41" s="198">
        <v>0.4</v>
      </c>
      <c r="F41" s="198">
        <v>0.9</v>
      </c>
      <c r="G41" s="198">
        <v>1.7</v>
      </c>
      <c r="H41" s="198">
        <v>2.2000000000000002</v>
      </c>
      <c r="I41" s="199">
        <v>3.2</v>
      </c>
      <c r="J41" s="389" t="s">
        <v>1090</v>
      </c>
      <c r="L41" s="233">
        <v>1</v>
      </c>
      <c r="N41" s="292" t="str">
        <f t="shared" si="1"/>
        <v>5.5. 경관관리 실행조직 및 실행체계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SUM((ROUNDDOWN((D81:I81)*단가,0)))</f>
        <v>1234379</v>
      </c>
      <c r="X41" s="154"/>
      <c r="Y41" s="170" t="str">
        <f t="shared" si="2"/>
        <v>제 23 호표</v>
      </c>
      <c r="Z41" s="150"/>
    </row>
    <row r="42" spans="1:26" ht="18" customHeight="1">
      <c r="A42" s="279"/>
      <c r="B42" s="223" t="s">
        <v>2236</v>
      </c>
      <c r="C42" s="23"/>
      <c r="D42" s="197">
        <v>0.3</v>
      </c>
      <c r="E42" s="198">
        <v>0.4</v>
      </c>
      <c r="F42" s="198">
        <v>0.9</v>
      </c>
      <c r="G42" s="198">
        <v>1.7</v>
      </c>
      <c r="H42" s="198">
        <v>2.2000000000000002</v>
      </c>
      <c r="I42" s="199">
        <v>3.2</v>
      </c>
      <c r="J42" s="389" t="s">
        <v>1090</v>
      </c>
      <c r="L42" s="233">
        <v>1</v>
      </c>
      <c r="N42" s="292" t="str">
        <f t="shared" si="1"/>
        <v>5.6. 경관조례 및 경관관련 자문 및 심의</v>
      </c>
      <c r="O42" s="37"/>
      <c r="P42" s="37"/>
      <c r="Q42" s="37"/>
      <c r="R42" s="37"/>
      <c r="S42" s="37"/>
      <c r="T42" s="37"/>
      <c r="U42" s="227"/>
      <c r="V42" s="231"/>
      <c r="W42" s="153">
        <f t="array" aca="1" ref="W42" ca="1">SUM((ROUNDDOWN((D82:I82)*단가,0)))</f>
        <v>1234379</v>
      </c>
      <c r="X42" s="154"/>
      <c r="Y42" s="170" t="str">
        <f t="shared" si="2"/>
        <v>제 24 호표</v>
      </c>
      <c r="Z42" s="150"/>
    </row>
    <row r="43" spans="1:26" ht="18" customHeight="1">
      <c r="A43" s="279"/>
      <c r="B43" s="223" t="s">
        <v>2237</v>
      </c>
      <c r="C43" s="23"/>
      <c r="D43" s="197">
        <v>0.6</v>
      </c>
      <c r="E43" s="198">
        <v>1.1000000000000001</v>
      </c>
      <c r="F43" s="198">
        <v>2.2999999999999998</v>
      </c>
      <c r="G43" s="198">
        <v>4.22</v>
      </c>
      <c r="H43" s="198">
        <v>4.5999999999999996</v>
      </c>
      <c r="I43" s="199">
        <v>5</v>
      </c>
      <c r="J43" s="389" t="s">
        <v>1090</v>
      </c>
      <c r="L43" s="233">
        <v>1</v>
      </c>
      <c r="N43" s="292" t="str">
        <f t="shared" si="1"/>
        <v>5.7. 경관가이드라인</v>
      </c>
      <c r="O43" s="37"/>
      <c r="P43" s="37"/>
      <c r="Q43" s="37"/>
      <c r="R43" s="37"/>
      <c r="S43" s="37"/>
      <c r="T43" s="37"/>
      <c r="U43" s="227"/>
      <c r="V43" s="231"/>
      <c r="W43" s="153">
        <f t="array" aca="1" ref="W43" ca="1">SUM((ROUNDDOWN((D83:I83)*단가,0)))</f>
        <v>2576632</v>
      </c>
      <c r="X43" s="154"/>
      <c r="Y43" s="170" t="str">
        <f t="shared" si="2"/>
        <v>제 25 호표</v>
      </c>
      <c r="Z43" s="150"/>
    </row>
    <row r="44" spans="1:26" ht="18" customHeight="1">
      <c r="A44" s="279"/>
      <c r="B44" s="223" t="s">
        <v>2238</v>
      </c>
      <c r="C44" s="23"/>
      <c r="D44" s="197">
        <v>1.3</v>
      </c>
      <c r="E44" s="198">
        <v>2.7</v>
      </c>
      <c r="F44" s="198">
        <v>5.3</v>
      </c>
      <c r="G44" s="198">
        <v>9.6999999999999993</v>
      </c>
      <c r="H44" s="198">
        <v>10.6</v>
      </c>
      <c r="I44" s="199">
        <v>11.7</v>
      </c>
      <c r="J44" s="389" t="s">
        <v>1090</v>
      </c>
      <c r="L44" s="233">
        <v>1</v>
      </c>
      <c r="N44" s="292" t="str">
        <f t="shared" si="1"/>
        <v>5.8. 실행방안</v>
      </c>
      <c r="O44" s="37"/>
      <c r="P44" s="37"/>
      <c r="Q44" s="37"/>
      <c r="R44" s="37"/>
      <c r="S44" s="37"/>
      <c r="T44" s="37"/>
      <c r="U44" s="227"/>
      <c r="V44" s="231"/>
      <c r="W44" s="153">
        <f t="array" aca="1" ref="W44" ca="1">SUM((ROUNDDOWN((D84:I84)*단가,0)))</f>
        <v>5969280</v>
      </c>
      <c r="X44" s="154"/>
      <c r="Y44" s="170" t="str">
        <f t="shared" si="2"/>
        <v>제 26 호표</v>
      </c>
      <c r="Z44" s="150"/>
    </row>
    <row r="45" spans="1:26" ht="18" customHeight="1">
      <c r="A45" s="279"/>
      <c r="B45" s="222" t="s">
        <v>569</v>
      </c>
      <c r="C45" s="47"/>
      <c r="D45" s="48">
        <f t="shared" ref="D45:I45" si="7">SUBTOTAL(9,D46:D47)</f>
        <v>2.2000000000000002</v>
      </c>
      <c r="E45" s="49">
        <f t="shared" si="7"/>
        <v>3.3</v>
      </c>
      <c r="F45" s="49">
        <f t="shared" si="7"/>
        <v>7.7</v>
      </c>
      <c r="G45" s="49">
        <f t="shared" si="7"/>
        <v>13.2</v>
      </c>
      <c r="H45" s="49">
        <f t="shared" si="7"/>
        <v>16.5</v>
      </c>
      <c r="I45" s="50">
        <f t="shared" si="7"/>
        <v>16.5</v>
      </c>
      <c r="J45" s="389"/>
      <c r="L45" s="233"/>
      <c r="N45" s="354" t="str">
        <f t="shared" si="1"/>
        <v>6. 성과품작성</v>
      </c>
      <c r="O45" s="169"/>
      <c r="P45" s="169"/>
      <c r="Q45" s="169"/>
      <c r="R45" s="169"/>
      <c r="S45" s="169"/>
      <c r="T45" s="169"/>
      <c r="U45" s="226"/>
      <c r="V45" s="248"/>
      <c r="W45" s="193">
        <f ca="1">SUBTOTAL(9,W46:W47)</f>
        <v>8559587</v>
      </c>
      <c r="X45" s="257"/>
      <c r="Y45" s="170" t="str">
        <f t="shared" si="2"/>
        <v/>
      </c>
      <c r="Z45" s="169"/>
    </row>
    <row r="46" spans="1:26" ht="18" customHeight="1">
      <c r="A46" s="279"/>
      <c r="B46" s="223" t="s">
        <v>2239</v>
      </c>
      <c r="C46" s="23"/>
      <c r="D46" s="197">
        <v>1.8</v>
      </c>
      <c r="E46" s="198">
        <v>2.9</v>
      </c>
      <c r="F46" s="198">
        <v>6.7</v>
      </c>
      <c r="G46" s="198">
        <v>11.5</v>
      </c>
      <c r="H46" s="198">
        <v>14.4</v>
      </c>
      <c r="I46" s="199">
        <v>14.4</v>
      </c>
      <c r="J46" s="389" t="s">
        <v>1090</v>
      </c>
      <c r="L46" s="233">
        <v>1</v>
      </c>
      <c r="N46" s="292" t="str">
        <f t="shared" si="1"/>
        <v>6.1. 보고서작성 및 편집</v>
      </c>
      <c r="O46" s="37"/>
      <c r="P46" s="37"/>
      <c r="Q46" s="37"/>
      <c r="R46" s="37"/>
      <c r="S46" s="37"/>
      <c r="T46" s="37"/>
      <c r="U46" s="226"/>
      <c r="V46" s="248"/>
      <c r="W46" s="153">
        <f t="array" aca="1" ref="W46" ca="1">SUM((ROUNDDOWN((D86:I86)*단가,0)))</f>
        <v>7439756</v>
      </c>
      <c r="X46" s="113"/>
      <c r="Y46" s="170" t="str">
        <f t="shared" si="2"/>
        <v>제 27 호표</v>
      </c>
      <c r="Z46" s="37"/>
    </row>
    <row r="47" spans="1:26" ht="18" customHeight="1">
      <c r="A47" s="279"/>
      <c r="B47" s="223" t="s">
        <v>2240</v>
      </c>
      <c r="C47" s="43"/>
      <c r="D47" s="206">
        <v>0.4</v>
      </c>
      <c r="E47" s="207">
        <v>0.4</v>
      </c>
      <c r="F47" s="207">
        <v>1</v>
      </c>
      <c r="G47" s="207">
        <v>1.7</v>
      </c>
      <c r="H47" s="207">
        <v>2.1</v>
      </c>
      <c r="I47" s="208">
        <v>2.1</v>
      </c>
      <c r="J47" s="390" t="s">
        <v>1090</v>
      </c>
      <c r="L47" s="233">
        <v>1</v>
      </c>
      <c r="N47" s="292" t="str">
        <f t="shared" si="1"/>
        <v>6.2. 관련도서작성</v>
      </c>
      <c r="O47" s="37"/>
      <c r="P47" s="37"/>
      <c r="Q47" s="37"/>
      <c r="R47" s="37"/>
      <c r="S47" s="37"/>
      <c r="T47" s="37"/>
      <c r="U47" s="353"/>
      <c r="V47" s="248"/>
      <c r="W47" s="153">
        <f t="array" aca="1" ref="W47" ca="1">SUM((ROUNDDOWN((D87:I87)*단가,0)))</f>
        <v>1119831</v>
      </c>
      <c r="X47" s="113"/>
      <c r="Y47" s="170" t="str">
        <f t="shared" si="2"/>
        <v>제 28 호표</v>
      </c>
      <c r="Z47" s="37"/>
    </row>
    <row r="48" spans="1:26" ht="18" customHeight="1">
      <c r="A48" s="279"/>
      <c r="B48" s="222" t="s">
        <v>570</v>
      </c>
      <c r="C48" s="47"/>
      <c r="D48" s="48">
        <f t="shared" ref="D48:I48" si="8">SUBTOTAL(9,D49:D52)</f>
        <v>8</v>
      </c>
      <c r="E48" s="49">
        <f t="shared" si="8"/>
        <v>8</v>
      </c>
      <c r="F48" s="49">
        <f t="shared" si="8"/>
        <v>8</v>
      </c>
      <c r="G48" s="49">
        <f t="shared" si="8"/>
        <v>16</v>
      </c>
      <c r="H48" s="49">
        <f t="shared" si="8"/>
        <v>16</v>
      </c>
      <c r="I48" s="50">
        <f t="shared" si="8"/>
        <v>16</v>
      </c>
      <c r="J48" s="389"/>
      <c r="L48" s="232"/>
      <c r="N48" s="354" t="str">
        <f t="shared" si="1"/>
        <v>7. 기술협의</v>
      </c>
      <c r="O48" s="169"/>
      <c r="P48" s="169"/>
      <c r="Q48" s="169"/>
      <c r="R48" s="169"/>
      <c r="S48" s="169"/>
      <c r="T48" s="169"/>
      <c r="U48" s="226"/>
      <c r="V48" s="248"/>
      <c r="W48" s="193">
        <f ca="1">SUBTOTAL(9,W49:W52)</f>
        <v>21702576</v>
      </c>
      <c r="X48" s="194"/>
      <c r="Y48" s="170" t="str">
        <f t="shared" si="2"/>
        <v/>
      </c>
      <c r="Z48" s="170"/>
    </row>
    <row r="49" spans="1:26" ht="18" customHeight="1">
      <c r="A49" s="279"/>
      <c r="B49" s="223" t="s">
        <v>2140</v>
      </c>
      <c r="C49" s="23"/>
      <c r="D49" s="197">
        <v>2</v>
      </c>
      <c r="E49" s="198">
        <v>2</v>
      </c>
      <c r="F49" s="198">
        <v>2</v>
      </c>
      <c r="G49" s="198">
        <v>4</v>
      </c>
      <c r="H49" s="198">
        <v>4</v>
      </c>
      <c r="I49" s="199">
        <v>4</v>
      </c>
      <c r="J49" s="389" t="s">
        <v>2194</v>
      </c>
      <c r="L49" s="233">
        <v>1</v>
      </c>
      <c r="N49" s="292" t="str">
        <f t="shared" si="1"/>
        <v>7.1. 공청회/주민설명회</v>
      </c>
      <c r="O49" s="37"/>
      <c r="P49" s="37"/>
      <c r="Q49" s="37"/>
      <c r="R49" s="37"/>
      <c r="S49" s="37"/>
      <c r="T49" s="37"/>
      <c r="U49" s="227"/>
      <c r="V49" s="231"/>
      <c r="W49" s="153">
        <f t="array" aca="1" ref="W49" ca="1">SUM((ROUNDDOWN((D89:I89)*단가,0)))</f>
        <v>5425644</v>
      </c>
      <c r="X49" s="154"/>
      <c r="Y49" s="170" t="str">
        <f t="shared" si="2"/>
        <v>제 29 호표</v>
      </c>
      <c r="Z49" s="150"/>
    </row>
    <row r="50" spans="1:26" ht="18" customHeight="1">
      <c r="A50" s="279"/>
      <c r="B50" s="223" t="s">
        <v>2141</v>
      </c>
      <c r="C50" s="23"/>
      <c r="D50" s="197">
        <v>2</v>
      </c>
      <c r="E50" s="198">
        <v>2</v>
      </c>
      <c r="F50" s="198">
        <v>2</v>
      </c>
      <c r="G50" s="198">
        <v>4</v>
      </c>
      <c r="H50" s="198">
        <v>4</v>
      </c>
      <c r="I50" s="199">
        <v>4</v>
      </c>
      <c r="J50" s="389" t="s">
        <v>1094</v>
      </c>
      <c r="L50" s="233">
        <v>1</v>
      </c>
      <c r="N50" s="292" t="str">
        <f t="shared" si="1"/>
        <v>7.2. 주민간담회/시민계획단</v>
      </c>
      <c r="O50" s="37"/>
      <c r="P50" s="37"/>
      <c r="Q50" s="37"/>
      <c r="R50" s="37"/>
      <c r="S50" s="37"/>
      <c r="T50" s="37"/>
      <c r="U50" s="227"/>
      <c r="V50" s="231"/>
      <c r="W50" s="153">
        <f t="array" aca="1" ref="W50" ca="1">SUM((ROUNDDOWN((D90:I90)*단가,0)))</f>
        <v>5425644</v>
      </c>
      <c r="X50" s="154"/>
      <c r="Y50" s="170" t="str">
        <f t="shared" si="2"/>
        <v>제 30 호표</v>
      </c>
      <c r="Z50" s="150"/>
    </row>
    <row r="51" spans="1:26" ht="18" customHeight="1">
      <c r="A51" s="279"/>
      <c r="B51" s="223" t="s">
        <v>2241</v>
      </c>
      <c r="C51" s="23"/>
      <c r="D51" s="197">
        <v>2</v>
      </c>
      <c r="E51" s="198">
        <v>2</v>
      </c>
      <c r="F51" s="198">
        <v>2</v>
      </c>
      <c r="G51" s="198">
        <v>4</v>
      </c>
      <c r="H51" s="198">
        <v>4</v>
      </c>
      <c r="I51" s="199">
        <v>4</v>
      </c>
      <c r="J51" s="389" t="s">
        <v>1094</v>
      </c>
      <c r="L51" s="233">
        <v>1</v>
      </c>
      <c r="N51" s="292" t="str">
        <f t="shared" si="1"/>
        <v>7.3. 위원회심의 지원</v>
      </c>
      <c r="O51" s="37"/>
      <c r="P51" s="37"/>
      <c r="Q51" s="37"/>
      <c r="R51" s="37"/>
      <c r="S51" s="37"/>
      <c r="T51" s="37"/>
      <c r="U51" s="227"/>
      <c r="V51" s="231"/>
      <c r="W51" s="153">
        <f t="array" aca="1" ref="W51" ca="1">SUM((ROUNDDOWN((D91:I91)*단가,0)))</f>
        <v>5425644</v>
      </c>
      <c r="X51" s="154"/>
      <c r="Y51" s="170" t="str">
        <f t="shared" si="2"/>
        <v>제 31 호표</v>
      </c>
      <c r="Z51" s="150"/>
    </row>
    <row r="52" spans="1:26" ht="18" customHeight="1" thickBot="1">
      <c r="A52" s="279"/>
      <c r="B52" s="223" t="s">
        <v>2242</v>
      </c>
      <c r="C52" s="23"/>
      <c r="D52" s="197">
        <v>2</v>
      </c>
      <c r="E52" s="198">
        <v>2</v>
      </c>
      <c r="F52" s="198">
        <v>2</v>
      </c>
      <c r="G52" s="198">
        <v>4</v>
      </c>
      <c r="H52" s="198">
        <v>4</v>
      </c>
      <c r="I52" s="199">
        <v>4</v>
      </c>
      <c r="J52" s="612" t="s">
        <v>1094</v>
      </c>
      <c r="L52" s="233">
        <v>1</v>
      </c>
      <c r="N52" s="292" t="str">
        <f t="shared" si="1"/>
        <v>7.4. 관계기관 협의</v>
      </c>
      <c r="O52" s="37"/>
      <c r="P52" s="37"/>
      <c r="Q52" s="37"/>
      <c r="R52" s="37"/>
      <c r="S52" s="37"/>
      <c r="T52" s="37"/>
      <c r="U52" s="227"/>
      <c r="V52" s="231"/>
      <c r="W52" s="153">
        <f t="array" aca="1" ref="W52" ca="1">SUM((ROUNDDOWN((D92:I92)*단가,0)))</f>
        <v>5425644</v>
      </c>
      <c r="X52" s="154"/>
      <c r="Y52" s="170" t="str">
        <f t="shared" si="2"/>
        <v>제 32 호표</v>
      </c>
      <c r="Z52" s="150"/>
    </row>
    <row r="53" spans="1:26" ht="18" customHeight="1" thickBot="1">
      <c r="A53" s="279"/>
      <c r="B53" s="14" t="s">
        <v>30</v>
      </c>
      <c r="C53" s="16"/>
      <c r="D53" s="14" t="s">
        <v>12</v>
      </c>
      <c r="E53" s="15"/>
      <c r="F53" s="15"/>
      <c r="G53" s="15"/>
      <c r="H53" s="15"/>
      <c r="I53" s="16"/>
      <c r="J53" s="175" t="s">
        <v>31</v>
      </c>
      <c r="N53" s="8"/>
      <c r="P53" s="371"/>
      <c r="R53" s="357"/>
      <c r="S53" s="1"/>
      <c r="T53" s="1"/>
      <c r="U53" s="258"/>
      <c r="V53" s="372"/>
      <c r="W53" s="373"/>
      <c r="X53" s="374"/>
      <c r="Y53" s="375"/>
    </row>
    <row r="54" spans="1:26" ht="18" customHeight="1">
      <c r="A54" s="279"/>
      <c r="B54" s="222" t="s">
        <v>2210</v>
      </c>
      <c r="C54" s="47"/>
      <c r="D54" s="48">
        <f t="shared" ref="D54:I54" si="9">SUBTOTAL(9,D55:D60)</f>
        <v>2.4779999999999998</v>
      </c>
      <c r="E54" s="49">
        <f t="shared" si="9"/>
        <v>3.669</v>
      </c>
      <c r="F54" s="49">
        <f t="shared" si="9"/>
        <v>7.5449999999999999</v>
      </c>
      <c r="G54" s="49">
        <f t="shared" si="9"/>
        <v>13.594000000000001</v>
      </c>
      <c r="H54" s="49">
        <f t="shared" si="9"/>
        <v>18.297999999999998</v>
      </c>
      <c r="I54" s="50">
        <f t="shared" si="9"/>
        <v>24.294999999999998</v>
      </c>
      <c r="J54" s="74"/>
      <c r="N54" s="290" t="s">
        <v>10</v>
      </c>
      <c r="O54" s="129"/>
      <c r="P54" s="130"/>
      <c r="Q54" s="124"/>
      <c r="R54" s="131"/>
      <c r="S54" s="124"/>
      <c r="T54" s="124"/>
      <c r="U54" s="181"/>
      <c r="V54" s="181"/>
      <c r="W54" s="159">
        <f>SUBTOTAL(9,W55:W57)</f>
        <v>8000000</v>
      </c>
      <c r="X54" s="160"/>
      <c r="Y54" s="124"/>
      <c r="Z54" s="124"/>
    </row>
    <row r="55" spans="1:26" ht="18" customHeight="1">
      <c r="A55" s="278">
        <v>1</v>
      </c>
      <c r="B55" s="223" t="s">
        <v>2211</v>
      </c>
      <c r="C55" s="23"/>
      <c r="D55" s="197">
        <f t="array" ref="D55:I60">ROUNDDOWN(D15:I20*L15:L20*$D$5,3)</f>
        <v>0.20599999999999999</v>
      </c>
      <c r="E55" s="198">
        <v>0.25800000000000001</v>
      </c>
      <c r="F55" s="198">
        <v>0.72299999999999998</v>
      </c>
      <c r="G55" s="198">
        <v>2.2229999999999999</v>
      </c>
      <c r="H55" s="198">
        <v>2.9460000000000002</v>
      </c>
      <c r="I55" s="199">
        <v>3.8250000000000002</v>
      </c>
      <c r="J55" s="74"/>
      <c r="N55" s="128" t="str">
        <f>"여비("&amp;TEXT(R55,"#인 ×")&amp;TEXT(S55,"#일 ×")&amp;TEXT(T55,"###,###원)")</f>
        <v>여비(3인 ×10일 ×100,000원)</v>
      </c>
      <c r="O55" s="78"/>
      <c r="P55" s="52"/>
      <c r="Q55" s="51"/>
      <c r="R55" s="146">
        <v>3</v>
      </c>
      <c r="S55" s="146">
        <v>10</v>
      </c>
      <c r="T55" s="147">
        <v>100000</v>
      </c>
      <c r="U55" s="182"/>
      <c r="V55" s="182"/>
      <c r="W55" s="161">
        <f>R55*S55*T55</f>
        <v>3000000</v>
      </c>
      <c r="X55" s="162"/>
      <c r="Y55" s="51"/>
      <c r="Z55" s="51"/>
    </row>
    <row r="56" spans="1:26" ht="18" customHeight="1">
      <c r="A56" s="278">
        <v>2</v>
      </c>
      <c r="B56" s="223" t="s">
        <v>2212</v>
      </c>
      <c r="C56" s="23"/>
      <c r="D56" s="197">
        <v>1.034</v>
      </c>
      <c r="E56" s="198">
        <v>1.5509999999999999</v>
      </c>
      <c r="F56" s="198">
        <v>3.1019999999999999</v>
      </c>
      <c r="G56" s="198">
        <v>6.5140000000000002</v>
      </c>
      <c r="H56" s="198">
        <v>8.6850000000000005</v>
      </c>
      <c r="I56" s="199">
        <v>11.787000000000001</v>
      </c>
      <c r="J56" s="74"/>
      <c r="N56" s="79" t="s">
        <v>46</v>
      </c>
      <c r="O56" s="79"/>
      <c r="P56" s="39"/>
      <c r="Q56" s="37"/>
      <c r="R56" s="117"/>
      <c r="S56" s="37"/>
      <c r="T56" s="37"/>
      <c r="U56" s="180"/>
      <c r="V56" s="180"/>
      <c r="W56" s="157">
        <v>3000000</v>
      </c>
      <c r="X56" s="158"/>
      <c r="Y56" s="37"/>
      <c r="Z56" s="37"/>
    </row>
    <row r="57" spans="1:26" ht="18" customHeight="1">
      <c r="A57" s="278">
        <v>3</v>
      </c>
      <c r="B57" s="223" t="s">
        <v>2213</v>
      </c>
      <c r="C57" s="23"/>
      <c r="D57" s="197">
        <v>0.41299999999999998</v>
      </c>
      <c r="E57" s="198">
        <v>0.62</v>
      </c>
      <c r="F57" s="198">
        <v>1.24</v>
      </c>
      <c r="G57" s="198">
        <v>1.085</v>
      </c>
      <c r="H57" s="198">
        <v>1.4470000000000001</v>
      </c>
      <c r="I57" s="199">
        <v>1.964</v>
      </c>
      <c r="J57" s="74"/>
      <c r="N57" s="132" t="s">
        <v>13</v>
      </c>
      <c r="O57" s="132"/>
      <c r="P57" s="38"/>
      <c r="Q57" s="38"/>
      <c r="R57" s="116"/>
      <c r="S57" s="38"/>
      <c r="T57" s="38"/>
      <c r="U57" s="183"/>
      <c r="V57" s="183"/>
      <c r="W57" s="155">
        <v>2000000</v>
      </c>
      <c r="X57" s="156"/>
      <c r="Y57" s="38"/>
      <c r="Z57" s="38"/>
    </row>
    <row r="58" spans="1:26" ht="18" customHeight="1">
      <c r="A58" s="278">
        <v>4</v>
      </c>
      <c r="B58" s="223" t="s">
        <v>2214</v>
      </c>
      <c r="C58" s="23"/>
      <c r="D58" s="197">
        <v>0.20599999999999999</v>
      </c>
      <c r="E58" s="198">
        <v>0.31</v>
      </c>
      <c r="F58" s="198">
        <v>0.62</v>
      </c>
      <c r="G58" s="198">
        <v>1.085</v>
      </c>
      <c r="H58" s="198">
        <v>1.4470000000000001</v>
      </c>
      <c r="I58" s="199">
        <v>1.964</v>
      </c>
      <c r="J58" s="389"/>
      <c r="N58" s="127" t="s">
        <v>47</v>
      </c>
      <c r="O58" s="123"/>
      <c r="P58" s="123"/>
      <c r="Q58" s="123"/>
      <c r="R58" s="123"/>
      <c r="S58" s="123"/>
      <c r="T58" s="123"/>
      <c r="U58" s="184"/>
      <c r="V58" s="184"/>
      <c r="W58" s="163">
        <f ca="1">SUBTOTAL(9,W59:W60)</f>
        <v>341021593</v>
      </c>
      <c r="X58" s="164"/>
      <c r="Y58" s="123"/>
      <c r="Z58" s="123"/>
    </row>
    <row r="59" spans="1:26" ht="18" customHeight="1">
      <c r="A59" s="278">
        <v>5</v>
      </c>
      <c r="B59" s="223" t="s">
        <v>2215</v>
      </c>
      <c r="C59" s="23"/>
      <c r="D59" s="197">
        <v>0.20599999999999999</v>
      </c>
      <c r="E59" s="198">
        <v>0.31</v>
      </c>
      <c r="F59" s="198">
        <v>0.62</v>
      </c>
      <c r="G59" s="198">
        <v>1.085</v>
      </c>
      <c r="H59" s="198">
        <v>1.4470000000000001</v>
      </c>
      <c r="I59" s="199">
        <v>1.964</v>
      </c>
      <c r="J59" s="389"/>
      <c r="N59" s="133" t="s">
        <v>861</v>
      </c>
      <c r="O59" s="124"/>
      <c r="P59" s="134"/>
      <c r="Q59" s="124"/>
      <c r="R59" s="131"/>
      <c r="S59" s="124"/>
      <c r="T59" s="181"/>
      <c r="U59" s="181"/>
      <c r="V59" s="190">
        <v>1.1499999999999999</v>
      </c>
      <c r="W59" s="159">
        <f ca="1">ROUNDDOWN(W13*V59,0)</f>
        <v>218481801</v>
      </c>
      <c r="X59" s="160"/>
      <c r="Y59" s="124"/>
      <c r="Z59" s="124"/>
    </row>
    <row r="60" spans="1:26" ht="18" customHeight="1" thickBot="1">
      <c r="A60" s="278">
        <v>6</v>
      </c>
      <c r="B60" s="223" t="s">
        <v>2216</v>
      </c>
      <c r="C60" s="23"/>
      <c r="D60" s="197">
        <v>0.41299999999999998</v>
      </c>
      <c r="E60" s="198">
        <v>0.62</v>
      </c>
      <c r="F60" s="198">
        <v>1.24</v>
      </c>
      <c r="G60" s="198">
        <v>1.6020000000000001</v>
      </c>
      <c r="H60" s="198">
        <v>2.3260000000000001</v>
      </c>
      <c r="I60" s="199">
        <v>2.7909999999999999</v>
      </c>
      <c r="J60" s="389"/>
      <c r="N60" s="135" t="s">
        <v>862</v>
      </c>
      <c r="O60" s="136"/>
      <c r="P60" s="137"/>
      <c r="Q60" s="136"/>
      <c r="R60" s="138"/>
      <c r="S60" s="136"/>
      <c r="T60" s="185"/>
      <c r="U60" s="185"/>
      <c r="V60" s="191">
        <v>0.3</v>
      </c>
      <c r="W60" s="165">
        <f ca="1">ROUNDDOWN((W13+W59)*V60,0)</f>
        <v>122539792</v>
      </c>
      <c r="X60" s="166"/>
      <c r="Y60" s="136"/>
      <c r="Z60" s="136"/>
    </row>
    <row r="61" spans="1:26" ht="18" customHeight="1">
      <c r="A61" s="278"/>
      <c r="B61" s="222" t="s">
        <v>2217</v>
      </c>
      <c r="C61" s="47"/>
      <c r="D61" s="48">
        <f t="shared" ref="D61:I61" si="10">SUBTOTAL(9,D62:D65)</f>
        <v>1.704</v>
      </c>
      <c r="E61" s="49">
        <f t="shared" si="10"/>
        <v>2.2719999999999998</v>
      </c>
      <c r="F61" s="49">
        <f t="shared" si="10"/>
        <v>3.411</v>
      </c>
      <c r="G61" s="49">
        <f t="shared" si="10"/>
        <v>5.6839999999999993</v>
      </c>
      <c r="H61" s="49">
        <f t="shared" si="10"/>
        <v>11.372</v>
      </c>
      <c r="I61" s="50">
        <f t="shared" si="10"/>
        <v>17.059000000000001</v>
      </c>
      <c r="J61" s="74"/>
    </row>
    <row r="62" spans="1:26" ht="18" customHeight="1">
      <c r="A62" s="278">
        <v>7</v>
      </c>
      <c r="B62" s="223" t="s">
        <v>2218</v>
      </c>
      <c r="C62" s="23"/>
      <c r="D62" s="197">
        <f t="array" ref="D62:I65">ROUNDDOWN(D22:I25*L22:L25*$D$5,3)</f>
        <v>0.41299999999999998</v>
      </c>
      <c r="E62" s="198">
        <v>0.56799999999999995</v>
      </c>
      <c r="F62" s="198">
        <v>0.82699999999999996</v>
      </c>
      <c r="G62" s="198">
        <v>1.395</v>
      </c>
      <c r="H62" s="198">
        <v>2.843</v>
      </c>
      <c r="I62" s="199">
        <v>4.2389999999999999</v>
      </c>
      <c r="J62" s="74"/>
    </row>
    <row r="63" spans="1:26" ht="18" customHeight="1">
      <c r="A63" s="278">
        <v>8</v>
      </c>
      <c r="B63" s="223" t="s">
        <v>2219</v>
      </c>
      <c r="C63" s="23"/>
      <c r="D63" s="197">
        <v>0.41299999999999998</v>
      </c>
      <c r="E63" s="198">
        <v>0.56799999999999995</v>
      </c>
      <c r="F63" s="198">
        <v>0.82699999999999996</v>
      </c>
      <c r="G63" s="198">
        <v>1.395</v>
      </c>
      <c r="H63" s="198">
        <v>2.843</v>
      </c>
      <c r="I63" s="199">
        <v>4.2389999999999999</v>
      </c>
      <c r="J63" s="74"/>
      <c r="K63" s="171" t="s">
        <v>14</v>
      </c>
    </row>
    <row r="64" spans="1:26" ht="18" customHeight="1">
      <c r="A64" s="278">
        <v>9</v>
      </c>
      <c r="B64" s="223" t="s">
        <v>2220</v>
      </c>
      <c r="C64" s="23"/>
      <c r="D64" s="197">
        <v>0.46500000000000002</v>
      </c>
      <c r="E64" s="198">
        <v>0.56799999999999995</v>
      </c>
      <c r="F64" s="198">
        <v>0.93</v>
      </c>
      <c r="G64" s="198">
        <v>1.4990000000000001</v>
      </c>
      <c r="H64" s="198">
        <v>2.843</v>
      </c>
      <c r="I64" s="199">
        <v>4.3419999999999996</v>
      </c>
      <c r="J64" s="74"/>
      <c r="K64" s="171" t="s">
        <v>14</v>
      </c>
    </row>
    <row r="65" spans="1:26" ht="18" customHeight="1">
      <c r="A65" s="278">
        <v>10</v>
      </c>
      <c r="B65" s="223" t="s">
        <v>2221</v>
      </c>
      <c r="C65" s="23"/>
      <c r="D65" s="197">
        <v>0.41299999999999998</v>
      </c>
      <c r="E65" s="198">
        <v>0.56799999999999995</v>
      </c>
      <c r="F65" s="198">
        <v>0.82699999999999996</v>
      </c>
      <c r="G65" s="198">
        <v>1.395</v>
      </c>
      <c r="H65" s="198">
        <v>2.843</v>
      </c>
      <c r="I65" s="199">
        <v>4.2389999999999999</v>
      </c>
      <c r="J65" s="389"/>
      <c r="K65" s="171" t="s">
        <v>14</v>
      </c>
    </row>
    <row r="66" spans="1:26" ht="18" customHeight="1">
      <c r="A66" s="278"/>
      <c r="B66" s="222" t="s">
        <v>2222</v>
      </c>
      <c r="C66" s="47"/>
      <c r="D66" s="48">
        <f t="shared" ref="D66:I66" si="11">SUBTOTAL(9,D67:D71)</f>
        <v>11.372</v>
      </c>
      <c r="E66" s="49">
        <f t="shared" si="11"/>
        <v>22.745999999999999</v>
      </c>
      <c r="F66" s="49">
        <f t="shared" si="11"/>
        <v>56.869000000000007</v>
      </c>
      <c r="G66" s="49">
        <f t="shared" si="11"/>
        <v>62.555</v>
      </c>
      <c r="H66" s="49">
        <f t="shared" si="11"/>
        <v>68.241</v>
      </c>
      <c r="I66" s="50">
        <f t="shared" si="11"/>
        <v>68.241</v>
      </c>
      <c r="J66" s="74"/>
      <c r="K66" s="171" t="s">
        <v>14</v>
      </c>
      <c r="L66" s="171"/>
      <c r="R66" s="1"/>
      <c r="S66" s="1"/>
      <c r="T66" s="1"/>
      <c r="U66" s="1"/>
      <c r="V66" s="1"/>
      <c r="W66" s="1"/>
      <c r="X66" s="1"/>
      <c r="Y66" s="1"/>
    </row>
    <row r="67" spans="1:26" ht="18" customHeight="1">
      <c r="A67" s="278">
        <v>11</v>
      </c>
      <c r="B67" s="223" t="s">
        <v>2223</v>
      </c>
      <c r="C67" s="23"/>
      <c r="D67" s="197">
        <f t="array" ref="D67:I71">ROUNDDOWN(D27:I31*L27:L31*$D$5,3)</f>
        <v>3.4119999999999999</v>
      </c>
      <c r="E67" s="198">
        <v>6.8239999999999998</v>
      </c>
      <c r="F67" s="198">
        <v>17.061</v>
      </c>
      <c r="G67" s="198">
        <v>18.715</v>
      </c>
      <c r="H67" s="198">
        <v>20.472999999999999</v>
      </c>
      <c r="I67" s="199">
        <v>20.472999999999999</v>
      </c>
      <c r="J67" s="74"/>
      <c r="K67" s="171"/>
      <c r="L67" s="171"/>
      <c r="R67" s="1"/>
      <c r="S67" s="1"/>
      <c r="T67" s="1"/>
      <c r="U67" s="1"/>
      <c r="V67" s="1"/>
      <c r="W67" s="1"/>
      <c r="X67" s="1"/>
      <c r="Y67" s="1"/>
    </row>
    <row r="68" spans="1:26" ht="18" customHeight="1">
      <c r="A68" s="278">
        <v>12</v>
      </c>
      <c r="B68" s="223" t="s">
        <v>2224</v>
      </c>
      <c r="C68" s="23"/>
      <c r="D68" s="197">
        <v>2.274</v>
      </c>
      <c r="E68" s="198">
        <v>4.5490000000000004</v>
      </c>
      <c r="F68" s="198">
        <v>11.374000000000001</v>
      </c>
      <c r="G68" s="198">
        <v>12.563000000000001</v>
      </c>
      <c r="H68" s="198">
        <v>13.648</v>
      </c>
      <c r="I68" s="199">
        <v>13.648</v>
      </c>
      <c r="J68" s="74"/>
      <c r="K68" s="171" t="s">
        <v>14</v>
      </c>
      <c r="L68" s="171"/>
      <c r="R68" s="1"/>
      <c r="S68" s="1"/>
      <c r="T68" s="1"/>
      <c r="U68" s="1"/>
      <c r="V68" s="1"/>
      <c r="W68" s="1"/>
      <c r="X68" s="1"/>
      <c r="Y68" s="1"/>
    </row>
    <row r="69" spans="1:26" ht="18" customHeight="1" thickBot="1">
      <c r="A69" s="278">
        <v>13</v>
      </c>
      <c r="B69" s="223" t="s">
        <v>2225</v>
      </c>
      <c r="C69" s="23"/>
      <c r="D69" s="197">
        <v>1.706</v>
      </c>
      <c r="E69" s="198">
        <v>3.4119999999999999</v>
      </c>
      <c r="F69" s="198">
        <v>8.5299999999999994</v>
      </c>
      <c r="G69" s="198">
        <v>9.3569999999999993</v>
      </c>
      <c r="H69" s="198">
        <v>10.236000000000001</v>
      </c>
      <c r="I69" s="199">
        <v>10.236000000000001</v>
      </c>
      <c r="J69" s="74"/>
      <c r="K69" s="171" t="s">
        <v>14</v>
      </c>
      <c r="L69" s="171"/>
      <c r="N69" s="66" t="s">
        <v>18</v>
      </c>
      <c r="O69" s="2"/>
      <c r="P69" s="2"/>
      <c r="Q69" s="2"/>
      <c r="R69" s="3"/>
      <c r="S69" s="4"/>
      <c r="T69" s="3"/>
      <c r="U69" s="4"/>
      <c r="V69" s="3"/>
      <c r="W69" s="4"/>
      <c r="X69" s="3"/>
      <c r="Y69" s="4"/>
      <c r="Z69" s="2"/>
    </row>
    <row r="70" spans="1:26" ht="18" customHeight="1">
      <c r="A70" s="278">
        <v>14</v>
      </c>
      <c r="B70" s="223" t="s">
        <v>2226</v>
      </c>
      <c r="C70" s="23"/>
      <c r="D70" s="197">
        <v>2.274</v>
      </c>
      <c r="E70" s="198">
        <v>4.5490000000000004</v>
      </c>
      <c r="F70" s="198">
        <v>11.374000000000001</v>
      </c>
      <c r="G70" s="198">
        <v>12.563000000000001</v>
      </c>
      <c r="H70" s="198">
        <v>13.648</v>
      </c>
      <c r="I70" s="199">
        <v>13.648</v>
      </c>
      <c r="J70" s="389"/>
      <c r="K70" s="171" t="s">
        <v>14</v>
      </c>
      <c r="L70" s="171"/>
      <c r="N70" s="765" t="s">
        <v>19</v>
      </c>
      <c r="O70" s="755" t="s">
        <v>20</v>
      </c>
      <c r="P70" s="755" t="s">
        <v>21</v>
      </c>
      <c r="Q70" s="755" t="s">
        <v>16</v>
      </c>
      <c r="R70" s="5" t="s">
        <v>22</v>
      </c>
      <c r="S70" s="5"/>
      <c r="T70" s="5" t="s">
        <v>23</v>
      </c>
      <c r="U70" s="5"/>
      <c r="V70" s="5" t="s">
        <v>24</v>
      </c>
      <c r="W70" s="5"/>
      <c r="X70" s="5" t="s">
        <v>25</v>
      </c>
      <c r="Y70" s="5"/>
      <c r="Z70" s="755" t="s">
        <v>26</v>
      </c>
    </row>
    <row r="71" spans="1:26" ht="18" customHeight="1" thickBot="1">
      <c r="A71" s="278">
        <v>15</v>
      </c>
      <c r="B71" s="223" t="s">
        <v>2227</v>
      </c>
      <c r="C71" s="23"/>
      <c r="D71" s="197">
        <v>1.706</v>
      </c>
      <c r="E71" s="198">
        <v>3.4119999999999999</v>
      </c>
      <c r="F71" s="198">
        <v>8.5299999999999994</v>
      </c>
      <c r="G71" s="198">
        <v>9.3569999999999993</v>
      </c>
      <c r="H71" s="198">
        <v>10.236000000000001</v>
      </c>
      <c r="I71" s="199">
        <v>10.236000000000001</v>
      </c>
      <c r="J71" s="389"/>
      <c r="K71" s="171" t="s">
        <v>14</v>
      </c>
      <c r="L71" s="171"/>
      <c r="N71" s="766"/>
      <c r="O71" s="756"/>
      <c r="P71" s="756"/>
      <c r="Q71" s="756"/>
      <c r="R71" s="67" t="s">
        <v>27</v>
      </c>
      <c r="S71" s="67" t="s">
        <v>28</v>
      </c>
      <c r="T71" s="67" t="s">
        <v>27</v>
      </c>
      <c r="U71" s="67" t="s">
        <v>28</v>
      </c>
      <c r="V71" s="67" t="s">
        <v>27</v>
      </c>
      <c r="W71" s="67" t="s">
        <v>28</v>
      </c>
      <c r="X71" s="67" t="s">
        <v>27</v>
      </c>
      <c r="Y71" s="67" t="s">
        <v>28</v>
      </c>
      <c r="Z71" s="756"/>
    </row>
    <row r="72" spans="1:26" ht="18" customHeight="1" thickTop="1">
      <c r="A72" s="278"/>
      <c r="B72" s="222" t="s">
        <v>567</v>
      </c>
      <c r="C72" s="47"/>
      <c r="D72" s="48">
        <f t="shared" ref="D72:I72" si="12">SUBTOTAL(9,D73:D75)</f>
        <v>2.8419999999999996</v>
      </c>
      <c r="E72" s="49">
        <f t="shared" si="12"/>
        <v>5.6859999999999999</v>
      </c>
      <c r="F72" s="49">
        <f t="shared" si="12"/>
        <v>11.372999999999999</v>
      </c>
      <c r="G72" s="49">
        <f t="shared" si="12"/>
        <v>17.629000000000001</v>
      </c>
      <c r="H72" s="49">
        <f t="shared" si="12"/>
        <v>23.521999999999998</v>
      </c>
      <c r="I72" s="50">
        <f t="shared" si="12"/>
        <v>27.088999999999999</v>
      </c>
      <c r="J72" s="74"/>
      <c r="K72" s="171" t="s">
        <v>14</v>
      </c>
      <c r="L72" s="171"/>
      <c r="N72" s="318" t="str">
        <f ca="1">"제 " &amp; Z72 &amp; " 호표  "&amp; OFFSET($A$1,MATCH(Z72,$A:$A,0)-1,1)</f>
        <v>제 1 호표  1.1. 현황조사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v>1</v>
      </c>
    </row>
    <row r="73" spans="1:26" ht="18" customHeight="1">
      <c r="A73" s="278">
        <v>16</v>
      </c>
      <c r="B73" s="223" t="s">
        <v>2228</v>
      </c>
      <c r="C73" s="23"/>
      <c r="D73" s="197">
        <f t="array" ref="D73:I75">ROUNDDOWN(D33:I35*L33:L35*$D$5,3)</f>
        <v>0.56799999999999995</v>
      </c>
      <c r="E73" s="198">
        <v>1.085</v>
      </c>
      <c r="F73" s="198">
        <v>2.1709999999999998</v>
      </c>
      <c r="G73" s="198">
        <v>3.4119999999999999</v>
      </c>
      <c r="H73" s="198">
        <v>4.5490000000000004</v>
      </c>
      <c r="I73" s="199">
        <v>5.2729999999999997</v>
      </c>
      <c r="J73" s="74"/>
      <c r="K73" s="171" t="s">
        <v>14</v>
      </c>
      <c r="L73" s="171"/>
      <c r="N73" s="140" t="s">
        <v>43</v>
      </c>
      <c r="O73" s="172">
        <v>3</v>
      </c>
      <c r="P73" s="219">
        <f ca="1">OFFSET($A$1,MATCH(Z72,$A:$A,0)-1,O73)</f>
        <v>0.20599999999999999</v>
      </c>
      <c r="Q73" s="141" t="s">
        <v>29</v>
      </c>
      <c r="R73" s="142">
        <f t="shared" ref="R73:S78" ca="1" si="13">T73</f>
        <v>467217</v>
      </c>
      <c r="S73" s="142">
        <f t="shared" ca="1" si="13"/>
        <v>96246</v>
      </c>
      <c r="T73" s="142">
        <f ca="1">기술사</f>
        <v>467217</v>
      </c>
      <c r="U73" s="142">
        <f t="shared" ref="U73:U78" ca="1" si="14">ROUNDDOWN(P73*R73,0)</f>
        <v>96246</v>
      </c>
      <c r="V73" s="142"/>
      <c r="W73" s="142"/>
      <c r="X73" s="142"/>
      <c r="Y73" s="142"/>
      <c r="Z73" s="114"/>
    </row>
    <row r="74" spans="1:26" ht="18" customHeight="1">
      <c r="A74" s="278">
        <v>17</v>
      </c>
      <c r="B74" s="223" t="s">
        <v>2229</v>
      </c>
      <c r="C74" s="23"/>
      <c r="D74" s="197">
        <v>0.46500000000000002</v>
      </c>
      <c r="E74" s="198">
        <v>0.98199999999999998</v>
      </c>
      <c r="F74" s="198">
        <v>2.016</v>
      </c>
      <c r="G74" s="198">
        <v>3.2050000000000001</v>
      </c>
      <c r="H74" s="198">
        <v>4.2389999999999999</v>
      </c>
      <c r="I74" s="199">
        <v>4.859</v>
      </c>
      <c r="J74" s="74"/>
      <c r="K74" s="171" t="s">
        <v>14</v>
      </c>
      <c r="L74" s="171"/>
      <c r="N74" s="143" t="s">
        <v>32</v>
      </c>
      <c r="O74" s="173">
        <v>4</v>
      </c>
      <c r="P74" s="234">
        <f ca="1">OFFSET($A$1,MATCH(Z72,$A:$A,0)-1,O74)</f>
        <v>0.25800000000000001</v>
      </c>
      <c r="Q74" s="144" t="s">
        <v>29</v>
      </c>
      <c r="R74" s="118">
        <f t="shared" ca="1" si="13"/>
        <v>373353</v>
      </c>
      <c r="S74" s="118">
        <f t="shared" ca="1" si="13"/>
        <v>96325</v>
      </c>
      <c r="T74" s="118">
        <f ca="1">특급</f>
        <v>373353</v>
      </c>
      <c r="U74" s="118">
        <f t="shared" ca="1" si="14"/>
        <v>96325</v>
      </c>
      <c r="V74" s="118"/>
      <c r="W74" s="118"/>
      <c r="X74" s="118"/>
      <c r="Y74" s="118"/>
      <c r="Z74" s="115"/>
    </row>
    <row r="75" spans="1:26" ht="18" customHeight="1">
      <c r="A75" s="278">
        <v>18</v>
      </c>
      <c r="B75" s="223" t="s">
        <v>2230</v>
      </c>
      <c r="C75" s="23"/>
      <c r="D75" s="197">
        <v>1.8089999999999999</v>
      </c>
      <c r="E75" s="198">
        <v>3.6190000000000002</v>
      </c>
      <c r="F75" s="198">
        <v>7.1859999999999999</v>
      </c>
      <c r="G75" s="198">
        <v>11.012</v>
      </c>
      <c r="H75" s="198">
        <v>14.734</v>
      </c>
      <c r="I75" s="199">
        <v>16.957000000000001</v>
      </c>
      <c r="J75" s="74"/>
      <c r="K75" s="171" t="s">
        <v>14</v>
      </c>
      <c r="L75" s="171"/>
      <c r="N75" s="145" t="s">
        <v>39</v>
      </c>
      <c r="O75" s="173">
        <v>5</v>
      </c>
      <c r="P75" s="234">
        <f ca="1">OFFSET($A$1,MATCH(Z72,$A:$A,0)-1,O75)</f>
        <v>0.72299999999999998</v>
      </c>
      <c r="Q75" s="144" t="s">
        <v>29</v>
      </c>
      <c r="R75" s="118">
        <f t="shared" ca="1" si="13"/>
        <v>310884</v>
      </c>
      <c r="S75" s="118">
        <f t="shared" ca="1" si="13"/>
        <v>224769</v>
      </c>
      <c r="T75" s="118">
        <f ca="1">고급</f>
        <v>310884</v>
      </c>
      <c r="U75" s="118">
        <f t="shared" ca="1" si="14"/>
        <v>224769</v>
      </c>
      <c r="V75" s="118"/>
      <c r="W75" s="118"/>
      <c r="X75" s="118"/>
      <c r="Y75" s="118"/>
      <c r="Z75" s="115"/>
    </row>
    <row r="76" spans="1:26" ht="18" customHeight="1">
      <c r="A76" s="278"/>
      <c r="B76" s="222" t="s">
        <v>568</v>
      </c>
      <c r="C76" s="47"/>
      <c r="D76" s="48">
        <f t="shared" ref="D76:I76" si="15">SUBTOTAL(9,D77:D84)</f>
        <v>2.6870000000000003</v>
      </c>
      <c r="E76" s="49">
        <f t="shared" si="15"/>
        <v>4.2330000000000005</v>
      </c>
      <c r="F76" s="49">
        <f t="shared" si="15"/>
        <v>9.0449999999999999</v>
      </c>
      <c r="G76" s="49">
        <f t="shared" si="15"/>
        <v>16.288999999999998</v>
      </c>
      <c r="H76" s="49">
        <f t="shared" si="15"/>
        <v>19.798000000000002</v>
      </c>
      <c r="I76" s="50">
        <f t="shared" si="15"/>
        <v>25.692</v>
      </c>
      <c r="J76" s="74"/>
      <c r="K76" s="171" t="s">
        <v>14</v>
      </c>
      <c r="L76" s="171"/>
      <c r="N76" s="145" t="s">
        <v>40</v>
      </c>
      <c r="O76" s="173">
        <v>6</v>
      </c>
      <c r="P76" s="234">
        <f ca="1">OFFSET($A$1,MATCH(Z72,$A:$A,0)-1,O76)</f>
        <v>2.2229999999999999</v>
      </c>
      <c r="Q76" s="144" t="s">
        <v>29</v>
      </c>
      <c r="R76" s="118">
        <f t="shared" ca="1" si="13"/>
        <v>295138</v>
      </c>
      <c r="S76" s="118">
        <f t="shared" ca="1" si="13"/>
        <v>656091</v>
      </c>
      <c r="T76" s="118">
        <f ca="1">중급</f>
        <v>295138</v>
      </c>
      <c r="U76" s="118">
        <f t="shared" ca="1" si="14"/>
        <v>656091</v>
      </c>
      <c r="V76" s="118"/>
      <c r="W76" s="118"/>
      <c r="X76" s="118"/>
      <c r="Y76" s="118"/>
      <c r="Z76" s="115"/>
    </row>
    <row r="77" spans="1:26" ht="18" customHeight="1">
      <c r="A77" s="278">
        <v>19</v>
      </c>
      <c r="B77" s="223" t="s">
        <v>2231</v>
      </c>
      <c r="C77" s="23"/>
      <c r="D77" s="197">
        <f t="array" ref="D77:I84">ROUNDDOWN(D37:I44*L37:L44*$D$5,3)</f>
        <v>0.155</v>
      </c>
      <c r="E77" s="198">
        <v>0.20599999999999999</v>
      </c>
      <c r="F77" s="198">
        <v>0.46500000000000002</v>
      </c>
      <c r="G77" s="198">
        <v>0.878</v>
      </c>
      <c r="H77" s="198">
        <v>1.137</v>
      </c>
      <c r="I77" s="199">
        <v>1.6539999999999999</v>
      </c>
      <c r="J77" s="74"/>
      <c r="K77" s="171" t="s">
        <v>14</v>
      </c>
      <c r="L77" s="171"/>
      <c r="N77" s="145" t="s">
        <v>41</v>
      </c>
      <c r="O77" s="173">
        <v>7</v>
      </c>
      <c r="P77" s="234">
        <f ca="1">OFFSET($A$1,MATCH(Z72,$A:$A,0)-1,O77)</f>
        <v>2.9460000000000002</v>
      </c>
      <c r="Q77" s="144" t="s">
        <v>29</v>
      </c>
      <c r="R77" s="118">
        <f t="shared" ca="1" si="13"/>
        <v>235459</v>
      </c>
      <c r="S77" s="118">
        <f t="shared" ca="1" si="13"/>
        <v>693662</v>
      </c>
      <c r="T77" s="118">
        <f ca="1">초급</f>
        <v>235459</v>
      </c>
      <c r="U77" s="118">
        <f t="shared" ca="1" si="14"/>
        <v>693662</v>
      </c>
      <c r="V77" s="118"/>
      <c r="W77" s="118"/>
      <c r="X77" s="118"/>
      <c r="Y77" s="118"/>
      <c r="Z77" s="115"/>
    </row>
    <row r="78" spans="1:26" ht="18" customHeight="1">
      <c r="A78" s="278">
        <v>20</v>
      </c>
      <c r="B78" s="223" t="s">
        <v>2232</v>
      </c>
      <c r="C78" s="23"/>
      <c r="D78" s="197">
        <v>0.155</v>
      </c>
      <c r="E78" s="198">
        <v>0.20599999999999999</v>
      </c>
      <c r="F78" s="198">
        <v>0.46500000000000002</v>
      </c>
      <c r="G78" s="198">
        <v>0.878</v>
      </c>
      <c r="H78" s="198">
        <v>1.137</v>
      </c>
      <c r="I78" s="199">
        <v>1.6539999999999999</v>
      </c>
      <c r="J78" s="74"/>
      <c r="K78" s="171" t="s">
        <v>14</v>
      </c>
      <c r="L78" s="171"/>
      <c r="N78" s="319" t="s">
        <v>42</v>
      </c>
      <c r="O78" s="174">
        <v>8</v>
      </c>
      <c r="P78" s="235">
        <f ca="1">OFFSET($A$1,MATCH(Z72,$A:$A,0)-1,O78)</f>
        <v>3.8250000000000002</v>
      </c>
      <c r="Q78" s="322" t="s">
        <v>29</v>
      </c>
      <c r="R78" s="323">
        <f t="shared" ca="1" si="13"/>
        <v>250087</v>
      </c>
      <c r="S78" s="323">
        <f t="shared" ca="1" si="13"/>
        <v>956582</v>
      </c>
      <c r="T78" s="323">
        <f ca="1">보조원</f>
        <v>250087</v>
      </c>
      <c r="U78" s="323">
        <f t="shared" ca="1" si="14"/>
        <v>956582</v>
      </c>
      <c r="V78" s="323"/>
      <c r="W78" s="323"/>
      <c r="X78" s="323"/>
      <c r="Y78" s="323"/>
      <c r="Z78" s="324"/>
    </row>
    <row r="79" spans="1:26" ht="18" customHeight="1">
      <c r="A79" s="278">
        <v>21</v>
      </c>
      <c r="B79" s="223" t="s">
        <v>2233</v>
      </c>
      <c r="C79" s="23"/>
      <c r="D79" s="197">
        <v>0.93</v>
      </c>
      <c r="E79" s="198">
        <v>1.24</v>
      </c>
      <c r="F79" s="198">
        <v>2.7909999999999999</v>
      </c>
      <c r="G79" s="198">
        <v>4.7039999999999997</v>
      </c>
      <c r="H79" s="198">
        <v>6.2549999999999999</v>
      </c>
      <c r="I79" s="199">
        <v>8.7889999999999997</v>
      </c>
      <c r="J79" s="74"/>
      <c r="K79" s="171" t="s">
        <v>14</v>
      </c>
      <c r="L79" s="171"/>
      <c r="N79" s="139" t="s">
        <v>17</v>
      </c>
      <c r="O79" s="68"/>
      <c r="P79" s="69"/>
      <c r="Q79" s="70"/>
      <c r="R79" s="71"/>
      <c r="S79" s="71">
        <f ca="1">SUBTOTAL(9,S73:S78)</f>
        <v>2723675</v>
      </c>
      <c r="T79" s="71"/>
      <c r="U79" s="71">
        <f ca="1">SUBTOTAL(9,U73:U78)</f>
        <v>2723675</v>
      </c>
      <c r="V79" s="71"/>
      <c r="W79" s="71"/>
      <c r="X79" s="71"/>
      <c r="Y79" s="71"/>
      <c r="Z79" s="68"/>
    </row>
    <row r="80" spans="1:26" ht="18" customHeight="1">
      <c r="A80" s="278">
        <v>22</v>
      </c>
      <c r="B80" s="223" t="s">
        <v>2234</v>
      </c>
      <c r="C80" s="23"/>
      <c r="D80" s="197">
        <v>0.155</v>
      </c>
      <c r="E80" s="198">
        <v>0.20599999999999999</v>
      </c>
      <c r="F80" s="198">
        <v>0.46500000000000002</v>
      </c>
      <c r="G80" s="198">
        <v>0.878</v>
      </c>
      <c r="H80" s="198">
        <v>1.137</v>
      </c>
      <c r="I80" s="199">
        <v>1.6539999999999999</v>
      </c>
      <c r="J80" s="389"/>
      <c r="K80" s="171" t="s">
        <v>14</v>
      </c>
      <c r="L80" s="171"/>
      <c r="N80" s="318" t="str">
        <f ca="1">"제 " &amp; Z80 &amp; " 호표  "&amp; OFFSET($A$1,MATCH(Z80,$A:$A,0)-1,1)</f>
        <v>제 2 호표  1.2. 경관자원조사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2</v>
      </c>
    </row>
    <row r="81" spans="1:26" ht="18" customHeight="1">
      <c r="A81" s="278">
        <v>23</v>
      </c>
      <c r="B81" s="223" t="s">
        <v>2235</v>
      </c>
      <c r="C81" s="23"/>
      <c r="D81" s="197">
        <v>0.155</v>
      </c>
      <c r="E81" s="198">
        <v>0.20599999999999999</v>
      </c>
      <c r="F81" s="198">
        <v>0.46500000000000002</v>
      </c>
      <c r="G81" s="198">
        <v>0.878</v>
      </c>
      <c r="H81" s="198">
        <v>1.137</v>
      </c>
      <c r="I81" s="199">
        <v>1.6539999999999999</v>
      </c>
      <c r="J81" s="74"/>
      <c r="K81" s="171" t="s">
        <v>14</v>
      </c>
      <c r="L81" s="171"/>
      <c r="N81" s="140" t="s">
        <v>43</v>
      </c>
      <c r="O81" s="172">
        <v>3</v>
      </c>
      <c r="P81" s="219">
        <f ca="1">OFFSET($A$1,MATCH(Z80,$A:$A,0)-1,O81)</f>
        <v>1.034</v>
      </c>
      <c r="Q81" s="141" t="s">
        <v>29</v>
      </c>
      <c r="R81" s="142">
        <f t="shared" ref="R81:S86" ca="1" si="16">T81</f>
        <v>467217</v>
      </c>
      <c r="S81" s="142">
        <f t="shared" ca="1" si="16"/>
        <v>483102</v>
      </c>
      <c r="T81" s="142">
        <f ca="1">기술사</f>
        <v>467217</v>
      </c>
      <c r="U81" s="142">
        <f t="shared" ref="U81:U86" ca="1" si="17">ROUNDDOWN(P81*R81,0)</f>
        <v>483102</v>
      </c>
      <c r="V81" s="142"/>
      <c r="W81" s="142"/>
      <c r="X81" s="142"/>
      <c r="Y81" s="142"/>
      <c r="Z81" s="114"/>
    </row>
    <row r="82" spans="1:26" ht="18" customHeight="1">
      <c r="A82" s="278">
        <v>24</v>
      </c>
      <c r="B82" s="223" t="s">
        <v>2236</v>
      </c>
      <c r="C82" s="23"/>
      <c r="D82" s="197">
        <v>0.155</v>
      </c>
      <c r="E82" s="198">
        <v>0.20599999999999999</v>
      </c>
      <c r="F82" s="198">
        <v>0.46500000000000002</v>
      </c>
      <c r="G82" s="198">
        <v>0.878</v>
      </c>
      <c r="H82" s="198">
        <v>1.137</v>
      </c>
      <c r="I82" s="199">
        <v>1.6539999999999999</v>
      </c>
      <c r="J82" s="389"/>
      <c r="K82" s="171" t="s">
        <v>14</v>
      </c>
      <c r="L82" s="171"/>
      <c r="N82" s="143" t="s">
        <v>32</v>
      </c>
      <c r="O82" s="173">
        <v>4</v>
      </c>
      <c r="P82" s="234">
        <f ca="1">OFFSET($A$1,MATCH(Z80,$A:$A,0)-1,O82)</f>
        <v>1.5509999999999999</v>
      </c>
      <c r="Q82" s="144" t="s">
        <v>29</v>
      </c>
      <c r="R82" s="118">
        <f t="shared" ca="1" si="16"/>
        <v>373353</v>
      </c>
      <c r="S82" s="118">
        <f t="shared" ca="1" si="16"/>
        <v>579070</v>
      </c>
      <c r="T82" s="118">
        <f ca="1">특급</f>
        <v>373353</v>
      </c>
      <c r="U82" s="118">
        <f t="shared" ca="1" si="17"/>
        <v>579070</v>
      </c>
      <c r="V82" s="118"/>
      <c r="W82" s="118"/>
      <c r="X82" s="118"/>
      <c r="Y82" s="118"/>
      <c r="Z82" s="115"/>
    </row>
    <row r="83" spans="1:26" ht="18" customHeight="1">
      <c r="A83" s="278">
        <v>25</v>
      </c>
      <c r="B83" s="223" t="s">
        <v>2237</v>
      </c>
      <c r="C83" s="23"/>
      <c r="D83" s="197">
        <v>0.31</v>
      </c>
      <c r="E83" s="198">
        <v>0.56799999999999995</v>
      </c>
      <c r="F83" s="198">
        <v>1.1890000000000001</v>
      </c>
      <c r="G83" s="198">
        <v>2.181</v>
      </c>
      <c r="H83" s="198">
        <v>2.3780000000000001</v>
      </c>
      <c r="I83" s="199">
        <v>2.585</v>
      </c>
      <c r="J83" s="389"/>
      <c r="K83" s="171" t="s">
        <v>14</v>
      </c>
      <c r="L83" s="171"/>
      <c r="N83" s="145" t="s">
        <v>39</v>
      </c>
      <c r="O83" s="173">
        <v>5</v>
      </c>
      <c r="P83" s="234">
        <f ca="1">OFFSET($A$1,MATCH(Z80,$A:$A,0)-1,O83)</f>
        <v>3.1019999999999999</v>
      </c>
      <c r="Q83" s="144" t="s">
        <v>29</v>
      </c>
      <c r="R83" s="118">
        <f t="shared" ca="1" si="16"/>
        <v>310884</v>
      </c>
      <c r="S83" s="118">
        <f t="shared" ca="1" si="16"/>
        <v>964362</v>
      </c>
      <c r="T83" s="118">
        <f ca="1">고급</f>
        <v>310884</v>
      </c>
      <c r="U83" s="118">
        <f t="shared" ca="1" si="17"/>
        <v>964362</v>
      </c>
      <c r="V83" s="118"/>
      <c r="W83" s="118"/>
      <c r="X83" s="118"/>
      <c r="Y83" s="118"/>
      <c r="Z83" s="115"/>
    </row>
    <row r="84" spans="1:26" ht="18" customHeight="1">
      <c r="A84" s="278">
        <v>26</v>
      </c>
      <c r="B84" s="223" t="s">
        <v>2238</v>
      </c>
      <c r="C84" s="23"/>
      <c r="D84" s="197">
        <v>0.67200000000000004</v>
      </c>
      <c r="E84" s="198">
        <v>1.395</v>
      </c>
      <c r="F84" s="198">
        <v>2.74</v>
      </c>
      <c r="G84" s="198">
        <v>5.0140000000000002</v>
      </c>
      <c r="H84" s="198">
        <v>5.48</v>
      </c>
      <c r="I84" s="199">
        <v>6.048</v>
      </c>
      <c r="J84" s="389"/>
      <c r="K84" s="171" t="s">
        <v>14</v>
      </c>
      <c r="L84" s="171"/>
      <c r="N84" s="145" t="s">
        <v>40</v>
      </c>
      <c r="O84" s="173">
        <v>6</v>
      </c>
      <c r="P84" s="234">
        <f ca="1">OFFSET($A$1,MATCH(Z80,$A:$A,0)-1,O84)</f>
        <v>6.5140000000000002</v>
      </c>
      <c r="Q84" s="144" t="s">
        <v>29</v>
      </c>
      <c r="R84" s="118">
        <f t="shared" ca="1" si="16"/>
        <v>295138</v>
      </c>
      <c r="S84" s="118">
        <f t="shared" ca="1" si="16"/>
        <v>1922528</v>
      </c>
      <c r="T84" s="118">
        <f ca="1">중급</f>
        <v>295138</v>
      </c>
      <c r="U84" s="118">
        <f t="shared" ca="1" si="17"/>
        <v>1922528</v>
      </c>
      <c r="V84" s="118"/>
      <c r="W84" s="118"/>
      <c r="X84" s="118"/>
      <c r="Y84" s="118"/>
      <c r="Z84" s="115"/>
    </row>
    <row r="85" spans="1:26" ht="18" customHeight="1">
      <c r="A85" s="278"/>
      <c r="B85" s="222" t="s">
        <v>117</v>
      </c>
      <c r="C85" s="47"/>
      <c r="D85" s="48">
        <f t="shared" ref="D85:I85" si="18">SUBTOTAL(9,D86:D87)</f>
        <v>1.1360000000000001</v>
      </c>
      <c r="E85" s="49">
        <f t="shared" si="18"/>
        <v>1.7050000000000001</v>
      </c>
      <c r="F85" s="49">
        <f t="shared" si="18"/>
        <v>3.98</v>
      </c>
      <c r="G85" s="49">
        <f t="shared" si="18"/>
        <v>6.8230000000000004</v>
      </c>
      <c r="H85" s="49">
        <f t="shared" si="18"/>
        <v>8.5289999999999999</v>
      </c>
      <c r="I85" s="50">
        <f t="shared" si="18"/>
        <v>8.5289999999999999</v>
      </c>
      <c r="J85" s="74"/>
      <c r="K85" s="171" t="s">
        <v>14</v>
      </c>
      <c r="L85" s="171"/>
      <c r="N85" s="145" t="s">
        <v>41</v>
      </c>
      <c r="O85" s="173">
        <v>7</v>
      </c>
      <c r="P85" s="234">
        <f ca="1">OFFSET($A$1,MATCH(Z80,$A:$A,0)-1,O85)</f>
        <v>8.6850000000000005</v>
      </c>
      <c r="Q85" s="144" t="s">
        <v>29</v>
      </c>
      <c r="R85" s="118">
        <f t="shared" ca="1" si="16"/>
        <v>235459</v>
      </c>
      <c r="S85" s="118">
        <f t="shared" ca="1" si="16"/>
        <v>2044961</v>
      </c>
      <c r="T85" s="118">
        <f ca="1">초급</f>
        <v>235459</v>
      </c>
      <c r="U85" s="118">
        <f t="shared" ca="1" si="17"/>
        <v>2044961</v>
      </c>
      <c r="V85" s="118"/>
      <c r="W85" s="118"/>
      <c r="X85" s="118"/>
      <c r="Y85" s="118"/>
      <c r="Z85" s="115"/>
    </row>
    <row r="86" spans="1:26" ht="18" customHeight="1">
      <c r="A86" s="278">
        <v>27</v>
      </c>
      <c r="B86" s="223" t="s">
        <v>2239</v>
      </c>
      <c r="C86" s="23"/>
      <c r="D86" s="197">
        <f t="array" ref="D86:I87">ROUNDDOWN(D46:I47*L46:L47*$D$5,3)</f>
        <v>0.93</v>
      </c>
      <c r="E86" s="198">
        <v>1.4990000000000001</v>
      </c>
      <c r="F86" s="198">
        <v>3.4630000000000001</v>
      </c>
      <c r="G86" s="198">
        <v>5.9450000000000003</v>
      </c>
      <c r="H86" s="198">
        <v>7.444</v>
      </c>
      <c r="I86" s="199">
        <v>7.444</v>
      </c>
      <c r="J86" s="74"/>
      <c r="K86" s="171" t="s">
        <v>14</v>
      </c>
      <c r="L86" s="171"/>
      <c r="N86" s="319" t="s">
        <v>42</v>
      </c>
      <c r="O86" s="174">
        <v>8</v>
      </c>
      <c r="P86" s="235">
        <f ca="1">OFFSET($A$1,MATCH(Z80,$A:$A,0)-1,O86)</f>
        <v>11.787000000000001</v>
      </c>
      <c r="Q86" s="322" t="s">
        <v>29</v>
      </c>
      <c r="R86" s="323">
        <f t="shared" ca="1" si="16"/>
        <v>250087</v>
      </c>
      <c r="S86" s="323">
        <f t="shared" ca="1" si="16"/>
        <v>2947775</v>
      </c>
      <c r="T86" s="323">
        <f ca="1">보조원</f>
        <v>250087</v>
      </c>
      <c r="U86" s="323">
        <f t="shared" ca="1" si="17"/>
        <v>2947775</v>
      </c>
      <c r="V86" s="323"/>
      <c r="W86" s="323"/>
      <c r="X86" s="323"/>
      <c r="Y86" s="323"/>
      <c r="Z86" s="324"/>
    </row>
    <row r="87" spans="1:26" ht="18" customHeight="1">
      <c r="A87" s="278">
        <v>28</v>
      </c>
      <c r="B87" s="259" t="s">
        <v>2240</v>
      </c>
      <c r="C87" s="43"/>
      <c r="D87" s="206">
        <v>0.20599999999999999</v>
      </c>
      <c r="E87" s="207">
        <v>0.20599999999999999</v>
      </c>
      <c r="F87" s="207">
        <v>0.51700000000000002</v>
      </c>
      <c r="G87" s="207">
        <v>0.878</v>
      </c>
      <c r="H87" s="207">
        <v>1.085</v>
      </c>
      <c r="I87" s="208">
        <v>1.085</v>
      </c>
      <c r="J87" s="74"/>
      <c r="K87" s="171" t="s">
        <v>14</v>
      </c>
      <c r="L87" s="171"/>
      <c r="N87" s="139" t="s">
        <v>17</v>
      </c>
      <c r="O87" s="68"/>
      <c r="P87" s="69"/>
      <c r="Q87" s="70"/>
      <c r="R87" s="71"/>
      <c r="S87" s="71">
        <f ca="1">SUBTOTAL(9,S81:S86)</f>
        <v>8941798</v>
      </c>
      <c r="T87" s="71"/>
      <c r="U87" s="71">
        <f ca="1">SUBTOTAL(9,U81:U86)</f>
        <v>8941798</v>
      </c>
      <c r="V87" s="71"/>
      <c r="W87" s="71"/>
      <c r="X87" s="71"/>
      <c r="Y87" s="71"/>
      <c r="Z87" s="68"/>
    </row>
    <row r="88" spans="1:26" ht="18" customHeight="1">
      <c r="A88" s="278"/>
      <c r="B88" s="222" t="s">
        <v>562</v>
      </c>
      <c r="C88" s="47"/>
      <c r="D88" s="48">
        <f t="shared" ref="D88:I88" si="19">SUBTOTAL(9,D89:D92)</f>
        <v>8</v>
      </c>
      <c r="E88" s="49">
        <f t="shared" si="19"/>
        <v>8</v>
      </c>
      <c r="F88" s="49">
        <f t="shared" si="19"/>
        <v>8</v>
      </c>
      <c r="G88" s="49">
        <f t="shared" si="19"/>
        <v>16</v>
      </c>
      <c r="H88" s="49">
        <f t="shared" si="19"/>
        <v>16</v>
      </c>
      <c r="I88" s="50">
        <f t="shared" si="19"/>
        <v>16</v>
      </c>
      <c r="J88" s="74"/>
      <c r="K88" s="171" t="s">
        <v>14</v>
      </c>
      <c r="L88" s="171"/>
      <c r="N88" s="318" t="str">
        <f ca="1">"제 " &amp; Z88 &amp; " 호표  "&amp; OFFSET($A$1,MATCH(Z88,$A:$A,0)-1,1)</f>
        <v>제 3 호표  1-3. 경관구조분석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3</v>
      </c>
    </row>
    <row r="89" spans="1:26" ht="18" customHeight="1">
      <c r="A89" s="278">
        <v>29</v>
      </c>
      <c r="B89" s="223" t="s">
        <v>2140</v>
      </c>
      <c r="C89" s="23"/>
      <c r="D89" s="197">
        <f t="array" ref="D89:I92">ROUNDDOWN(D49:I52*L49:L52*I5,3)</f>
        <v>2</v>
      </c>
      <c r="E89" s="198">
        <v>2</v>
      </c>
      <c r="F89" s="198">
        <v>2</v>
      </c>
      <c r="G89" s="198">
        <v>4</v>
      </c>
      <c r="H89" s="198">
        <v>4</v>
      </c>
      <c r="I89" s="199">
        <v>4</v>
      </c>
      <c r="J89" s="74"/>
      <c r="K89" s="171" t="s">
        <v>14</v>
      </c>
      <c r="L89" s="171"/>
      <c r="N89" s="140" t="s">
        <v>43</v>
      </c>
      <c r="O89" s="172">
        <v>3</v>
      </c>
      <c r="P89" s="219">
        <f ca="1">OFFSET($A$1,MATCH(Z88,$A:$A,0)-1,O89)</f>
        <v>0.41299999999999998</v>
      </c>
      <c r="Q89" s="141" t="s">
        <v>29</v>
      </c>
      <c r="R89" s="142">
        <f t="shared" ref="R89:S94" ca="1" si="20">T89</f>
        <v>467217</v>
      </c>
      <c r="S89" s="142">
        <f t="shared" ca="1" si="20"/>
        <v>192960</v>
      </c>
      <c r="T89" s="142">
        <f ca="1">기술사</f>
        <v>467217</v>
      </c>
      <c r="U89" s="142">
        <f t="shared" ref="U89:U94" ca="1" si="21">ROUNDDOWN(P89*R89,0)</f>
        <v>192960</v>
      </c>
      <c r="V89" s="142"/>
      <c r="W89" s="142"/>
      <c r="X89" s="142"/>
      <c r="Y89" s="142"/>
      <c r="Z89" s="114"/>
    </row>
    <row r="90" spans="1:26" ht="18" customHeight="1">
      <c r="A90" s="278">
        <v>30</v>
      </c>
      <c r="B90" s="223" t="s">
        <v>2141</v>
      </c>
      <c r="C90" s="23"/>
      <c r="D90" s="197">
        <v>2</v>
      </c>
      <c r="E90" s="198">
        <v>2</v>
      </c>
      <c r="F90" s="198">
        <v>2</v>
      </c>
      <c r="G90" s="198">
        <v>4</v>
      </c>
      <c r="H90" s="198">
        <v>4</v>
      </c>
      <c r="I90" s="199">
        <v>4</v>
      </c>
      <c r="J90" s="74"/>
      <c r="K90" s="171" t="s">
        <v>14</v>
      </c>
      <c r="L90" s="171"/>
      <c r="N90" s="143" t="s">
        <v>32</v>
      </c>
      <c r="O90" s="173">
        <v>4</v>
      </c>
      <c r="P90" s="234">
        <f ca="1">OFFSET($A$1,MATCH(Z88,$A:$A,0)-1,O90)</f>
        <v>0.62</v>
      </c>
      <c r="Q90" s="144" t="s">
        <v>29</v>
      </c>
      <c r="R90" s="118">
        <f t="shared" ca="1" si="20"/>
        <v>373353</v>
      </c>
      <c r="S90" s="118">
        <f t="shared" ca="1" si="20"/>
        <v>231478</v>
      </c>
      <c r="T90" s="118">
        <f ca="1">특급</f>
        <v>373353</v>
      </c>
      <c r="U90" s="118">
        <f t="shared" ca="1" si="21"/>
        <v>231478</v>
      </c>
      <c r="V90" s="118"/>
      <c r="W90" s="118"/>
      <c r="X90" s="118"/>
      <c r="Y90" s="118"/>
      <c r="Z90" s="115"/>
    </row>
    <row r="91" spans="1:26" ht="18" customHeight="1">
      <c r="A91" s="278">
        <v>31</v>
      </c>
      <c r="B91" s="223" t="s">
        <v>2241</v>
      </c>
      <c r="C91" s="23"/>
      <c r="D91" s="197">
        <v>2</v>
      </c>
      <c r="E91" s="198">
        <v>2</v>
      </c>
      <c r="F91" s="198">
        <v>2</v>
      </c>
      <c r="G91" s="198">
        <v>4</v>
      </c>
      <c r="H91" s="198">
        <v>4</v>
      </c>
      <c r="I91" s="199">
        <v>4</v>
      </c>
      <c r="J91" s="74"/>
      <c r="K91" s="171" t="s">
        <v>14</v>
      </c>
      <c r="L91" s="171"/>
      <c r="N91" s="145" t="s">
        <v>39</v>
      </c>
      <c r="O91" s="173">
        <v>5</v>
      </c>
      <c r="P91" s="234">
        <f ca="1">OFFSET($A$1,MATCH(Z88,$A:$A,0)-1,O91)</f>
        <v>1.24</v>
      </c>
      <c r="Q91" s="144" t="s">
        <v>29</v>
      </c>
      <c r="R91" s="118">
        <f t="shared" ca="1" si="20"/>
        <v>310884</v>
      </c>
      <c r="S91" s="118">
        <f t="shared" ca="1" si="20"/>
        <v>385496</v>
      </c>
      <c r="T91" s="118">
        <f ca="1">고급</f>
        <v>310884</v>
      </c>
      <c r="U91" s="118">
        <f t="shared" ca="1" si="21"/>
        <v>385496</v>
      </c>
      <c r="V91" s="118"/>
      <c r="W91" s="118"/>
      <c r="X91" s="118"/>
      <c r="Y91" s="118"/>
      <c r="Z91" s="115"/>
    </row>
    <row r="92" spans="1:26" ht="18" customHeight="1" thickBot="1">
      <c r="A92" s="278">
        <v>32</v>
      </c>
      <c r="B92" s="388" t="s">
        <v>2242</v>
      </c>
      <c r="C92" s="342"/>
      <c r="D92" s="343">
        <v>2</v>
      </c>
      <c r="E92" s="344">
        <v>2</v>
      </c>
      <c r="F92" s="344">
        <v>2</v>
      </c>
      <c r="G92" s="344">
        <v>4</v>
      </c>
      <c r="H92" s="344">
        <v>4</v>
      </c>
      <c r="I92" s="345">
        <v>4</v>
      </c>
      <c r="J92" s="176"/>
      <c r="K92" s="171" t="s">
        <v>14</v>
      </c>
      <c r="L92" s="171"/>
      <c r="N92" s="145" t="s">
        <v>40</v>
      </c>
      <c r="O92" s="173">
        <v>6</v>
      </c>
      <c r="P92" s="234">
        <f ca="1">OFFSET($A$1,MATCH(Z88,$A:$A,0)-1,O92)</f>
        <v>1.085</v>
      </c>
      <c r="Q92" s="144" t="s">
        <v>29</v>
      </c>
      <c r="R92" s="118">
        <f t="shared" ca="1" si="20"/>
        <v>295138</v>
      </c>
      <c r="S92" s="118">
        <f t="shared" ca="1" si="20"/>
        <v>320224</v>
      </c>
      <c r="T92" s="118">
        <f ca="1">중급</f>
        <v>295138</v>
      </c>
      <c r="U92" s="118">
        <f t="shared" ca="1" si="21"/>
        <v>320224</v>
      </c>
      <c r="V92" s="118"/>
      <c r="W92" s="118"/>
      <c r="X92" s="118"/>
      <c r="Y92" s="118"/>
      <c r="Z92" s="115"/>
    </row>
    <row r="93" spans="1:26" ht="18" customHeight="1">
      <c r="A93" s="278"/>
      <c r="B93" s="80" t="s">
        <v>15</v>
      </c>
      <c r="C93" s="1" t="s">
        <v>2243</v>
      </c>
      <c r="E93" s="8"/>
      <c r="F93" s="8"/>
      <c r="G93" s="8"/>
      <c r="H93" s="8"/>
      <c r="I93" s="8"/>
      <c r="J93" s="10"/>
      <c r="K93" s="171" t="s">
        <v>14</v>
      </c>
      <c r="L93" s="171"/>
      <c r="N93" s="145" t="s">
        <v>41</v>
      </c>
      <c r="O93" s="173">
        <v>7</v>
      </c>
      <c r="P93" s="234">
        <f ca="1">OFFSET($A$1,MATCH(Z88,$A:$A,0)-1,O93)</f>
        <v>1.4470000000000001</v>
      </c>
      <c r="Q93" s="144" t="s">
        <v>29</v>
      </c>
      <c r="R93" s="118">
        <f t="shared" ca="1" si="20"/>
        <v>235459</v>
      </c>
      <c r="S93" s="118">
        <f t="shared" ca="1" si="20"/>
        <v>340709</v>
      </c>
      <c r="T93" s="118">
        <f ca="1">초급</f>
        <v>235459</v>
      </c>
      <c r="U93" s="118">
        <f t="shared" ca="1" si="21"/>
        <v>340709</v>
      </c>
      <c r="V93" s="118"/>
      <c r="W93" s="118"/>
      <c r="X93" s="118"/>
      <c r="Y93" s="118"/>
      <c r="Z93" s="115"/>
    </row>
    <row r="94" spans="1:26" ht="18" customHeight="1">
      <c r="A94" s="278"/>
      <c r="B94" s="80"/>
      <c r="C94" s="9" t="s">
        <v>2244</v>
      </c>
      <c r="J94" s="8"/>
      <c r="K94" s="171" t="s">
        <v>14</v>
      </c>
      <c r="L94" s="171"/>
      <c r="N94" s="319" t="s">
        <v>42</v>
      </c>
      <c r="O94" s="174">
        <v>8</v>
      </c>
      <c r="P94" s="235">
        <f ca="1">OFFSET($A$1,MATCH(Z88,$A:$A,0)-1,O94)</f>
        <v>1.964</v>
      </c>
      <c r="Q94" s="322" t="s">
        <v>29</v>
      </c>
      <c r="R94" s="323">
        <f t="shared" ca="1" si="20"/>
        <v>250087</v>
      </c>
      <c r="S94" s="323">
        <f t="shared" ca="1" si="20"/>
        <v>491170</v>
      </c>
      <c r="T94" s="323">
        <f ca="1">보조원</f>
        <v>250087</v>
      </c>
      <c r="U94" s="323">
        <f t="shared" ca="1" si="21"/>
        <v>491170</v>
      </c>
      <c r="V94" s="323"/>
      <c r="W94" s="323"/>
      <c r="X94" s="323"/>
      <c r="Y94" s="323"/>
      <c r="Z94" s="324"/>
    </row>
    <row r="95" spans="1:26" ht="18" customHeight="1">
      <c r="C95" s="1" t="s">
        <v>2245</v>
      </c>
      <c r="J95" s="8"/>
      <c r="K95" s="171" t="s">
        <v>14</v>
      </c>
      <c r="L95" s="171"/>
      <c r="N95" s="139" t="s">
        <v>17</v>
      </c>
      <c r="O95" s="68"/>
      <c r="P95" s="69"/>
      <c r="Q95" s="70"/>
      <c r="R95" s="71"/>
      <c r="S95" s="71">
        <f ca="1">SUBTOTAL(9,S89:S94)</f>
        <v>1962037</v>
      </c>
      <c r="T95" s="71"/>
      <c r="U95" s="71">
        <f ca="1">SUBTOTAL(9,U89:U94)</f>
        <v>1962037</v>
      </c>
      <c r="V95" s="71"/>
      <c r="W95" s="71"/>
      <c r="X95" s="71"/>
      <c r="Y95" s="71"/>
      <c r="Z95" s="68"/>
    </row>
    <row r="96" spans="1:26" ht="18" customHeight="1">
      <c r="C96" s="9" t="s">
        <v>2246</v>
      </c>
      <c r="J96" s="8"/>
      <c r="K96" s="171" t="s">
        <v>14</v>
      </c>
      <c r="L96" s="171"/>
      <c r="N96" s="318" t="str">
        <f ca="1">"제 " &amp; Z96 &amp; " 호표  "&amp; OFFSET($A$1,MATCH(Z96,$A:$A,0)-1,1)</f>
        <v>제 4 호표  1-4. 경관의식조사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4</v>
      </c>
    </row>
    <row r="97" spans="2:26" ht="18" customHeight="1">
      <c r="C97" s="9" t="s">
        <v>2247</v>
      </c>
      <c r="K97" s="171" t="s">
        <v>14</v>
      </c>
      <c r="L97" s="171"/>
      <c r="N97" s="140" t="s">
        <v>43</v>
      </c>
      <c r="O97" s="172">
        <v>3</v>
      </c>
      <c r="P97" s="219">
        <f ca="1">OFFSET($A$1,MATCH(Z96,$A:$A,0)-1,O97)</f>
        <v>0.20599999999999999</v>
      </c>
      <c r="Q97" s="141" t="s">
        <v>29</v>
      </c>
      <c r="R97" s="142">
        <f t="shared" ref="R97:S102" ca="1" si="22">T97</f>
        <v>467217</v>
      </c>
      <c r="S97" s="142">
        <f t="shared" ca="1" si="22"/>
        <v>96246</v>
      </c>
      <c r="T97" s="142">
        <f ca="1">기술사</f>
        <v>467217</v>
      </c>
      <c r="U97" s="142">
        <f t="shared" ref="U97:U102" ca="1" si="23">ROUNDDOWN(P97*R97,0)</f>
        <v>96246</v>
      </c>
      <c r="V97" s="142"/>
      <c r="W97" s="142"/>
      <c r="X97" s="142"/>
      <c r="Y97" s="142"/>
      <c r="Z97" s="114"/>
    </row>
    <row r="98" spans="2:26" ht="18" customHeight="1">
      <c r="C98" s="9" t="s">
        <v>2248</v>
      </c>
      <c r="K98" s="171" t="s">
        <v>14</v>
      </c>
      <c r="L98" s="171"/>
      <c r="N98" s="143" t="s">
        <v>32</v>
      </c>
      <c r="O98" s="173">
        <v>4</v>
      </c>
      <c r="P98" s="234">
        <f ca="1">OFFSET($A$1,MATCH(Z96,$A:$A,0)-1,O98)</f>
        <v>0.31</v>
      </c>
      <c r="Q98" s="144" t="s">
        <v>29</v>
      </c>
      <c r="R98" s="118">
        <f t="shared" ca="1" si="22"/>
        <v>373353</v>
      </c>
      <c r="S98" s="118">
        <f t="shared" ca="1" si="22"/>
        <v>115739</v>
      </c>
      <c r="T98" s="118">
        <f ca="1">특급</f>
        <v>373353</v>
      </c>
      <c r="U98" s="118">
        <f t="shared" ca="1" si="23"/>
        <v>115739</v>
      </c>
      <c r="V98" s="118"/>
      <c r="W98" s="118"/>
      <c r="X98" s="118"/>
      <c r="Y98" s="118"/>
      <c r="Z98" s="115"/>
    </row>
    <row r="99" spans="2:26" ht="18" customHeight="1">
      <c r="C99" s="9" t="s">
        <v>2249</v>
      </c>
      <c r="K99" s="171" t="s">
        <v>14</v>
      </c>
      <c r="L99" s="171"/>
      <c r="N99" s="145" t="s">
        <v>39</v>
      </c>
      <c r="O99" s="173">
        <v>5</v>
      </c>
      <c r="P99" s="234">
        <f ca="1">OFFSET($A$1,MATCH(Z96,$A:$A,0)-1,O99)</f>
        <v>0.62</v>
      </c>
      <c r="Q99" s="144" t="s">
        <v>29</v>
      </c>
      <c r="R99" s="118">
        <f t="shared" ca="1" si="22"/>
        <v>310884</v>
      </c>
      <c r="S99" s="118">
        <f t="shared" ca="1" si="22"/>
        <v>192748</v>
      </c>
      <c r="T99" s="118">
        <f ca="1">고급</f>
        <v>310884</v>
      </c>
      <c r="U99" s="118">
        <f t="shared" ca="1" si="23"/>
        <v>192748</v>
      </c>
      <c r="V99" s="118"/>
      <c r="W99" s="118"/>
      <c r="X99" s="118"/>
      <c r="Y99" s="118"/>
      <c r="Z99" s="115"/>
    </row>
    <row r="100" spans="2:26" ht="18" customHeight="1">
      <c r="C100" s="9" t="s">
        <v>2250</v>
      </c>
      <c r="K100" s="171" t="s">
        <v>14</v>
      </c>
      <c r="L100" s="171"/>
      <c r="N100" s="145" t="s">
        <v>40</v>
      </c>
      <c r="O100" s="173">
        <v>6</v>
      </c>
      <c r="P100" s="234">
        <f ca="1">OFFSET($A$1,MATCH(Z96,$A:$A,0)-1,O100)</f>
        <v>1.085</v>
      </c>
      <c r="Q100" s="144" t="s">
        <v>29</v>
      </c>
      <c r="R100" s="118">
        <f t="shared" ca="1" si="22"/>
        <v>295138</v>
      </c>
      <c r="S100" s="118">
        <f t="shared" ca="1" si="22"/>
        <v>320224</v>
      </c>
      <c r="T100" s="118">
        <f ca="1">중급</f>
        <v>295138</v>
      </c>
      <c r="U100" s="118">
        <f t="shared" ca="1" si="23"/>
        <v>320224</v>
      </c>
      <c r="V100" s="118"/>
      <c r="W100" s="118"/>
      <c r="X100" s="118"/>
      <c r="Y100" s="118"/>
      <c r="Z100" s="115"/>
    </row>
    <row r="101" spans="2:26" ht="18" customHeight="1">
      <c r="C101" s="1" t="s">
        <v>2251</v>
      </c>
      <c r="K101" s="171" t="s">
        <v>14</v>
      </c>
      <c r="L101" s="171"/>
      <c r="N101" s="145" t="s">
        <v>41</v>
      </c>
      <c r="O101" s="173">
        <v>7</v>
      </c>
      <c r="P101" s="234">
        <f ca="1">OFFSET($A$1,MATCH(Z96,$A:$A,0)-1,O101)</f>
        <v>1.4470000000000001</v>
      </c>
      <c r="Q101" s="144" t="s">
        <v>29</v>
      </c>
      <c r="R101" s="118">
        <f t="shared" ca="1" si="22"/>
        <v>235459</v>
      </c>
      <c r="S101" s="118">
        <f t="shared" ca="1" si="22"/>
        <v>340709</v>
      </c>
      <c r="T101" s="118">
        <f ca="1">초급</f>
        <v>235459</v>
      </c>
      <c r="U101" s="118">
        <f t="shared" ca="1" si="23"/>
        <v>340709</v>
      </c>
      <c r="V101" s="118"/>
      <c r="W101" s="118"/>
      <c r="X101" s="118"/>
      <c r="Y101" s="118"/>
      <c r="Z101" s="115"/>
    </row>
    <row r="102" spans="2:26" ht="18" customHeight="1">
      <c r="B102" s="9"/>
      <c r="C102" s="9" t="s">
        <v>2252</v>
      </c>
      <c r="K102" s="171" t="s">
        <v>14</v>
      </c>
      <c r="L102" s="171"/>
      <c r="N102" s="319" t="s">
        <v>42</v>
      </c>
      <c r="O102" s="174">
        <v>8</v>
      </c>
      <c r="P102" s="235">
        <f ca="1">OFFSET($A$1,MATCH(Z96,$A:$A,0)-1,O102)</f>
        <v>1.964</v>
      </c>
      <c r="Q102" s="322" t="s">
        <v>29</v>
      </c>
      <c r="R102" s="323">
        <f t="shared" ca="1" si="22"/>
        <v>250087</v>
      </c>
      <c r="S102" s="323">
        <f t="shared" ca="1" si="22"/>
        <v>491170</v>
      </c>
      <c r="T102" s="323">
        <f ca="1">보조원</f>
        <v>250087</v>
      </c>
      <c r="U102" s="323">
        <f t="shared" ca="1" si="23"/>
        <v>491170</v>
      </c>
      <c r="V102" s="323"/>
      <c r="W102" s="323"/>
      <c r="X102" s="323"/>
      <c r="Y102" s="323"/>
      <c r="Z102" s="324"/>
    </row>
    <row r="103" spans="2:26" ht="18" customHeight="1">
      <c r="B103" s="9"/>
      <c r="K103" s="171" t="s">
        <v>14</v>
      </c>
      <c r="L103" s="171"/>
      <c r="N103" s="139" t="s">
        <v>17</v>
      </c>
      <c r="O103" s="68"/>
      <c r="P103" s="69"/>
      <c r="Q103" s="70"/>
      <c r="R103" s="71"/>
      <c r="S103" s="71">
        <f ca="1">SUBTOTAL(9,S97:S102)</f>
        <v>1556836</v>
      </c>
      <c r="T103" s="71"/>
      <c r="U103" s="71">
        <f ca="1">SUBTOTAL(9,U97:U102)</f>
        <v>1556836</v>
      </c>
      <c r="V103" s="71"/>
      <c r="W103" s="71"/>
      <c r="X103" s="71"/>
      <c r="Y103" s="71"/>
      <c r="Z103" s="68"/>
    </row>
    <row r="104" spans="2:26" ht="18" customHeight="1">
      <c r="B104" s="9"/>
      <c r="K104" s="171" t="s">
        <v>14</v>
      </c>
      <c r="L104" s="171"/>
      <c r="N104" s="318" t="str">
        <f ca="1">"제 " &amp; Z104 &amp; " 호표  "&amp; OFFSET($A$1,MATCH(Z104,$A:$A,0)-1,1)</f>
        <v>제 5 호표  1-5. 관계법령/관련계획 및 사례분석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5</v>
      </c>
    </row>
    <row r="105" spans="2:26" ht="18" customHeight="1">
      <c r="B105" s="9"/>
      <c r="K105" s="171" t="s">
        <v>14</v>
      </c>
      <c r="L105" s="171"/>
      <c r="N105" s="140" t="s">
        <v>43</v>
      </c>
      <c r="O105" s="172">
        <v>3</v>
      </c>
      <c r="P105" s="219">
        <f ca="1">OFFSET($A$1,MATCH(Z104,$A:$A,0)-1,O105)</f>
        <v>0.20599999999999999</v>
      </c>
      <c r="Q105" s="141" t="s">
        <v>29</v>
      </c>
      <c r="R105" s="142">
        <f t="shared" ref="R105:S110" ca="1" si="24">T105</f>
        <v>467217</v>
      </c>
      <c r="S105" s="142">
        <f t="shared" ca="1" si="24"/>
        <v>96246</v>
      </c>
      <c r="T105" s="142">
        <f ca="1">기술사</f>
        <v>467217</v>
      </c>
      <c r="U105" s="142">
        <f t="shared" ref="U105:U110" ca="1" si="25">ROUNDDOWN(P105*R105,0)</f>
        <v>96246</v>
      </c>
      <c r="V105" s="142"/>
      <c r="W105" s="142"/>
      <c r="X105" s="142"/>
      <c r="Y105" s="142"/>
      <c r="Z105" s="114"/>
    </row>
    <row r="106" spans="2:26" ht="18" customHeight="1">
      <c r="B106" s="9"/>
      <c r="K106" s="171" t="s">
        <v>14</v>
      </c>
      <c r="L106" s="171"/>
      <c r="N106" s="143" t="s">
        <v>32</v>
      </c>
      <c r="O106" s="173">
        <v>4</v>
      </c>
      <c r="P106" s="234">
        <f ca="1">OFFSET($A$1,MATCH(Z104,$A:$A,0)-1,O106)</f>
        <v>0.31</v>
      </c>
      <c r="Q106" s="144" t="s">
        <v>29</v>
      </c>
      <c r="R106" s="118">
        <f t="shared" ca="1" si="24"/>
        <v>373353</v>
      </c>
      <c r="S106" s="118">
        <f t="shared" ca="1" si="24"/>
        <v>115739</v>
      </c>
      <c r="T106" s="118">
        <f ca="1">특급</f>
        <v>373353</v>
      </c>
      <c r="U106" s="118">
        <f t="shared" ca="1" si="25"/>
        <v>115739</v>
      </c>
      <c r="V106" s="118"/>
      <c r="W106" s="118"/>
      <c r="X106" s="118"/>
      <c r="Y106" s="118"/>
      <c r="Z106" s="115"/>
    </row>
    <row r="107" spans="2:26" ht="18" customHeight="1">
      <c r="B107" s="9"/>
      <c r="K107" s="171" t="s">
        <v>14</v>
      </c>
      <c r="L107" s="171"/>
      <c r="N107" s="145" t="s">
        <v>39</v>
      </c>
      <c r="O107" s="173">
        <v>5</v>
      </c>
      <c r="P107" s="234">
        <f ca="1">OFFSET($A$1,MATCH(Z104,$A:$A,0)-1,O107)</f>
        <v>0.62</v>
      </c>
      <c r="Q107" s="144" t="s">
        <v>29</v>
      </c>
      <c r="R107" s="118">
        <f t="shared" ca="1" si="24"/>
        <v>310884</v>
      </c>
      <c r="S107" s="118">
        <f t="shared" ca="1" si="24"/>
        <v>192748</v>
      </c>
      <c r="T107" s="118">
        <f ca="1">고급</f>
        <v>310884</v>
      </c>
      <c r="U107" s="118">
        <f t="shared" ca="1" si="25"/>
        <v>192748</v>
      </c>
      <c r="V107" s="118"/>
      <c r="W107" s="118"/>
      <c r="X107" s="118"/>
      <c r="Y107" s="118"/>
      <c r="Z107" s="115"/>
    </row>
    <row r="108" spans="2:26" ht="18" customHeight="1">
      <c r="B108" s="9"/>
      <c r="K108" s="171" t="s">
        <v>14</v>
      </c>
      <c r="L108" s="171"/>
      <c r="N108" s="145" t="s">
        <v>40</v>
      </c>
      <c r="O108" s="173">
        <v>6</v>
      </c>
      <c r="P108" s="234">
        <f ca="1">OFFSET($A$1,MATCH(Z104,$A:$A,0)-1,O108)</f>
        <v>1.085</v>
      </c>
      <c r="Q108" s="144" t="s">
        <v>29</v>
      </c>
      <c r="R108" s="118">
        <f t="shared" ca="1" si="24"/>
        <v>295138</v>
      </c>
      <c r="S108" s="118">
        <f t="shared" ca="1" si="24"/>
        <v>320224</v>
      </c>
      <c r="T108" s="118">
        <f ca="1">중급</f>
        <v>295138</v>
      </c>
      <c r="U108" s="118">
        <f t="shared" ca="1" si="25"/>
        <v>320224</v>
      </c>
      <c r="V108" s="118"/>
      <c r="W108" s="118"/>
      <c r="X108" s="118"/>
      <c r="Y108" s="118"/>
      <c r="Z108" s="115"/>
    </row>
    <row r="109" spans="2:26" ht="18" customHeight="1">
      <c r="K109" s="171" t="s">
        <v>14</v>
      </c>
      <c r="L109" s="171"/>
      <c r="N109" s="145" t="s">
        <v>41</v>
      </c>
      <c r="O109" s="173">
        <v>7</v>
      </c>
      <c r="P109" s="234">
        <f ca="1">OFFSET($A$1,MATCH(Z104,$A:$A,0)-1,O109)</f>
        <v>1.4470000000000001</v>
      </c>
      <c r="Q109" s="144" t="s">
        <v>29</v>
      </c>
      <c r="R109" s="118">
        <f t="shared" ca="1" si="24"/>
        <v>235459</v>
      </c>
      <c r="S109" s="118">
        <f t="shared" ca="1" si="24"/>
        <v>340709</v>
      </c>
      <c r="T109" s="118">
        <f ca="1">초급</f>
        <v>235459</v>
      </c>
      <c r="U109" s="118">
        <f t="shared" ca="1" si="25"/>
        <v>340709</v>
      </c>
      <c r="V109" s="118"/>
      <c r="W109" s="118"/>
      <c r="X109" s="118"/>
      <c r="Y109" s="118"/>
      <c r="Z109" s="115"/>
    </row>
    <row r="110" spans="2:26" ht="18" customHeight="1">
      <c r="K110" s="171" t="s">
        <v>14</v>
      </c>
      <c r="L110" s="171"/>
      <c r="N110" s="319" t="s">
        <v>42</v>
      </c>
      <c r="O110" s="174">
        <v>8</v>
      </c>
      <c r="P110" s="235">
        <f ca="1">OFFSET($A$1,MATCH(Z104,$A:$A,0)-1,O110)</f>
        <v>1.964</v>
      </c>
      <c r="Q110" s="322" t="s">
        <v>29</v>
      </c>
      <c r="R110" s="323">
        <f t="shared" ca="1" si="24"/>
        <v>250087</v>
      </c>
      <c r="S110" s="323">
        <f t="shared" ca="1" si="24"/>
        <v>491170</v>
      </c>
      <c r="T110" s="323">
        <f ca="1">보조원</f>
        <v>250087</v>
      </c>
      <c r="U110" s="323">
        <f t="shared" ca="1" si="25"/>
        <v>491170</v>
      </c>
      <c r="V110" s="323"/>
      <c r="W110" s="323"/>
      <c r="X110" s="323"/>
      <c r="Y110" s="323"/>
      <c r="Z110" s="324"/>
    </row>
    <row r="111" spans="2:26" ht="18" customHeight="1">
      <c r="K111" s="171" t="s">
        <v>14</v>
      </c>
      <c r="L111" s="171"/>
      <c r="N111" s="139" t="s">
        <v>17</v>
      </c>
      <c r="O111" s="68"/>
      <c r="P111" s="69"/>
      <c r="Q111" s="70"/>
      <c r="R111" s="71"/>
      <c r="S111" s="71">
        <f ca="1">SUBTOTAL(9,S105:S110)</f>
        <v>1556836</v>
      </c>
      <c r="T111" s="71"/>
      <c r="U111" s="71">
        <f ca="1">SUBTOTAL(9,U105:U110)</f>
        <v>1556836</v>
      </c>
      <c r="V111" s="71"/>
      <c r="W111" s="71"/>
      <c r="X111" s="71"/>
      <c r="Y111" s="71"/>
      <c r="Z111" s="68"/>
    </row>
    <row r="112" spans="2:26" ht="18" customHeight="1">
      <c r="K112" s="171" t="s">
        <v>14</v>
      </c>
      <c r="L112" s="171"/>
      <c r="N112" s="318" t="str">
        <f ca="1">"제 " &amp; Z112 &amp; " 호표  "&amp; OFFSET($A$1,MATCH(Z112,$A:$A,0)-1,1)</f>
        <v>제 6 호표  1-6. 종합분석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6</v>
      </c>
    </row>
    <row r="113" spans="11:26" ht="18" customHeight="1">
      <c r="K113" s="171" t="s">
        <v>14</v>
      </c>
      <c r="L113" s="171"/>
      <c r="N113" s="140" t="s">
        <v>43</v>
      </c>
      <c r="O113" s="172">
        <v>3</v>
      </c>
      <c r="P113" s="219">
        <f ca="1">OFFSET($A$1,MATCH(Z112,$A:$A,0)-1,O113)</f>
        <v>0.41299999999999998</v>
      </c>
      <c r="Q113" s="141" t="s">
        <v>29</v>
      </c>
      <c r="R113" s="142">
        <f t="shared" ref="R113:S118" ca="1" si="26">T113</f>
        <v>467217</v>
      </c>
      <c r="S113" s="142">
        <f t="shared" ca="1" si="26"/>
        <v>192960</v>
      </c>
      <c r="T113" s="142">
        <f ca="1">기술사</f>
        <v>467217</v>
      </c>
      <c r="U113" s="142">
        <f t="shared" ref="U113:U118" ca="1" si="27">ROUNDDOWN(P113*R113,0)</f>
        <v>192960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N114" s="143" t="s">
        <v>32</v>
      </c>
      <c r="O114" s="173">
        <v>4</v>
      </c>
      <c r="P114" s="234">
        <f ca="1">OFFSET($A$1,MATCH(Z112,$A:$A,0)-1,O114)</f>
        <v>0.62</v>
      </c>
      <c r="Q114" s="144" t="s">
        <v>29</v>
      </c>
      <c r="R114" s="118">
        <f t="shared" ca="1" si="26"/>
        <v>373353</v>
      </c>
      <c r="S114" s="118">
        <f t="shared" ca="1" si="26"/>
        <v>231478</v>
      </c>
      <c r="T114" s="118">
        <f ca="1">특급</f>
        <v>373353</v>
      </c>
      <c r="U114" s="118">
        <f t="shared" ca="1" si="27"/>
        <v>231478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39</v>
      </c>
      <c r="O115" s="173">
        <v>5</v>
      </c>
      <c r="P115" s="234">
        <f ca="1">OFFSET($A$1,MATCH(Z112,$A:$A,0)-1,O115)</f>
        <v>1.24</v>
      </c>
      <c r="Q115" s="144" t="s">
        <v>29</v>
      </c>
      <c r="R115" s="118">
        <f t="shared" ca="1" si="26"/>
        <v>310884</v>
      </c>
      <c r="S115" s="118">
        <f t="shared" ca="1" si="26"/>
        <v>385496</v>
      </c>
      <c r="T115" s="118">
        <f ca="1">고급</f>
        <v>310884</v>
      </c>
      <c r="U115" s="118">
        <f t="shared" ca="1" si="27"/>
        <v>385496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40</v>
      </c>
      <c r="O116" s="173">
        <v>6</v>
      </c>
      <c r="P116" s="234">
        <f ca="1">OFFSET($A$1,MATCH(Z112,$A:$A,0)-1,O116)</f>
        <v>1.6020000000000001</v>
      </c>
      <c r="Q116" s="144" t="s">
        <v>29</v>
      </c>
      <c r="R116" s="118">
        <f t="shared" ca="1" si="26"/>
        <v>295138</v>
      </c>
      <c r="S116" s="118">
        <f t="shared" ca="1" si="26"/>
        <v>472811</v>
      </c>
      <c r="T116" s="118">
        <f ca="1">중급</f>
        <v>295138</v>
      </c>
      <c r="U116" s="118">
        <f t="shared" ca="1" si="27"/>
        <v>472811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41</v>
      </c>
      <c r="O117" s="173">
        <v>7</v>
      </c>
      <c r="P117" s="234">
        <f ca="1">OFFSET($A$1,MATCH(Z112,$A:$A,0)-1,O117)</f>
        <v>2.3260000000000001</v>
      </c>
      <c r="Q117" s="144" t="s">
        <v>29</v>
      </c>
      <c r="R117" s="118">
        <f t="shared" ca="1" si="26"/>
        <v>235459</v>
      </c>
      <c r="S117" s="118">
        <f t="shared" ca="1" si="26"/>
        <v>547677</v>
      </c>
      <c r="T117" s="118">
        <f ca="1">초급</f>
        <v>235459</v>
      </c>
      <c r="U117" s="118">
        <f t="shared" ca="1" si="27"/>
        <v>547677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319" t="s">
        <v>42</v>
      </c>
      <c r="O118" s="174">
        <v>8</v>
      </c>
      <c r="P118" s="235">
        <f ca="1">OFFSET($A$1,MATCH(Z112,$A:$A,0)-1,O118)</f>
        <v>2.7909999999999999</v>
      </c>
      <c r="Q118" s="322" t="s">
        <v>29</v>
      </c>
      <c r="R118" s="323">
        <f t="shared" ca="1" si="26"/>
        <v>250087</v>
      </c>
      <c r="S118" s="323">
        <f t="shared" ca="1" si="26"/>
        <v>697992</v>
      </c>
      <c r="T118" s="323">
        <f ca="1">보조원</f>
        <v>250087</v>
      </c>
      <c r="U118" s="323">
        <f t="shared" ca="1" si="27"/>
        <v>697992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N119" s="139" t="s">
        <v>17</v>
      </c>
      <c r="O119" s="68"/>
      <c r="P119" s="69"/>
      <c r="Q119" s="70"/>
      <c r="R119" s="71"/>
      <c r="S119" s="71">
        <f ca="1">SUBTOTAL(9,S113:S118)</f>
        <v>2528414</v>
      </c>
      <c r="T119" s="71"/>
      <c r="U119" s="71">
        <f ca="1">SUBTOTAL(9,U113:U118)</f>
        <v>2528414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N120" s="318" t="str">
        <f ca="1">"제 " &amp; Z120 &amp; " 호표  "&amp; OFFSET($A$1,MATCH(Z120,$A:$A,0)-1,1)</f>
        <v>제 7 호표  2.1. 기본방향설정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7</v>
      </c>
    </row>
    <row r="121" spans="11:26" ht="18" customHeight="1">
      <c r="K121" s="171" t="s">
        <v>14</v>
      </c>
      <c r="L121" s="171"/>
      <c r="N121" s="140" t="s">
        <v>43</v>
      </c>
      <c r="O121" s="172">
        <v>3</v>
      </c>
      <c r="P121" s="219">
        <f ca="1">OFFSET($A$1,MATCH(Z120,$A:$A,0)-1,O121)</f>
        <v>0.41299999999999998</v>
      </c>
      <c r="Q121" s="141" t="s">
        <v>29</v>
      </c>
      <c r="R121" s="142">
        <f t="shared" ref="R121:S126" ca="1" si="28">T121</f>
        <v>467217</v>
      </c>
      <c r="S121" s="142">
        <f t="shared" ca="1" si="28"/>
        <v>192960</v>
      </c>
      <c r="T121" s="142">
        <f ca="1">기술사</f>
        <v>467217</v>
      </c>
      <c r="U121" s="142">
        <f t="shared" ref="U121:U126" ca="1" si="29">ROUNDDOWN(P121*R121,0)</f>
        <v>192960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N122" s="143" t="s">
        <v>32</v>
      </c>
      <c r="O122" s="173">
        <v>4</v>
      </c>
      <c r="P122" s="234">
        <f ca="1">OFFSET($A$1,MATCH(Z120,$A:$A,0)-1,O122)</f>
        <v>0.56799999999999995</v>
      </c>
      <c r="Q122" s="144" t="s">
        <v>29</v>
      </c>
      <c r="R122" s="118">
        <f t="shared" ca="1" si="28"/>
        <v>373353</v>
      </c>
      <c r="S122" s="118">
        <f t="shared" ca="1" si="28"/>
        <v>212064</v>
      </c>
      <c r="T122" s="118">
        <f ca="1">특급</f>
        <v>373353</v>
      </c>
      <c r="U122" s="118">
        <f t="shared" ca="1" si="29"/>
        <v>212064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39</v>
      </c>
      <c r="O123" s="173">
        <v>5</v>
      </c>
      <c r="P123" s="234">
        <f ca="1">OFFSET($A$1,MATCH(Z120,$A:$A,0)-1,O123)</f>
        <v>0.82699999999999996</v>
      </c>
      <c r="Q123" s="144" t="s">
        <v>29</v>
      </c>
      <c r="R123" s="118">
        <f t="shared" ca="1" si="28"/>
        <v>310884</v>
      </c>
      <c r="S123" s="118">
        <f t="shared" ca="1" si="28"/>
        <v>257101</v>
      </c>
      <c r="T123" s="118">
        <f ca="1">고급</f>
        <v>310884</v>
      </c>
      <c r="U123" s="118">
        <f t="shared" ca="1" si="29"/>
        <v>257101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145" t="s">
        <v>40</v>
      </c>
      <c r="O124" s="173">
        <v>6</v>
      </c>
      <c r="P124" s="234">
        <f ca="1">OFFSET($A$1,MATCH(Z120,$A:$A,0)-1,O124)</f>
        <v>1.395</v>
      </c>
      <c r="Q124" s="144" t="s">
        <v>29</v>
      </c>
      <c r="R124" s="118">
        <f t="shared" ca="1" si="28"/>
        <v>295138</v>
      </c>
      <c r="S124" s="118">
        <f t="shared" ca="1" si="28"/>
        <v>411717</v>
      </c>
      <c r="T124" s="118">
        <f ca="1">중급</f>
        <v>295138</v>
      </c>
      <c r="U124" s="118">
        <f t="shared" ca="1" si="29"/>
        <v>411717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N125" s="145" t="s">
        <v>41</v>
      </c>
      <c r="O125" s="173">
        <v>7</v>
      </c>
      <c r="P125" s="234">
        <f ca="1">OFFSET($A$1,MATCH(Z120,$A:$A,0)-1,O125)</f>
        <v>2.843</v>
      </c>
      <c r="Q125" s="144" t="s">
        <v>29</v>
      </c>
      <c r="R125" s="118">
        <f t="shared" ca="1" si="28"/>
        <v>235459</v>
      </c>
      <c r="S125" s="118">
        <f t="shared" ca="1" si="28"/>
        <v>669409</v>
      </c>
      <c r="T125" s="118">
        <f ca="1">초급</f>
        <v>235459</v>
      </c>
      <c r="U125" s="118">
        <f t="shared" ca="1" si="29"/>
        <v>669409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319" t="s">
        <v>42</v>
      </c>
      <c r="O126" s="174">
        <v>8</v>
      </c>
      <c r="P126" s="235">
        <f ca="1">OFFSET($A$1,MATCH(Z120,$A:$A,0)-1,O126)</f>
        <v>4.2389999999999999</v>
      </c>
      <c r="Q126" s="322" t="s">
        <v>29</v>
      </c>
      <c r="R126" s="323">
        <f t="shared" ca="1" si="28"/>
        <v>250087</v>
      </c>
      <c r="S126" s="323">
        <f t="shared" ca="1" si="28"/>
        <v>1060118</v>
      </c>
      <c r="T126" s="323">
        <f ca="1">보조원</f>
        <v>250087</v>
      </c>
      <c r="U126" s="323">
        <f t="shared" ca="1" si="29"/>
        <v>1060118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N127" s="139" t="s">
        <v>17</v>
      </c>
      <c r="O127" s="68"/>
      <c r="P127" s="69"/>
      <c r="Q127" s="70"/>
      <c r="R127" s="71"/>
      <c r="S127" s="71">
        <f ca="1">SUBTOTAL(9,S121:S126)</f>
        <v>2803369</v>
      </c>
      <c r="T127" s="71"/>
      <c r="U127" s="71">
        <f ca="1">SUBTOTAL(9,U121:U126)</f>
        <v>2803369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N128" s="318" t="str">
        <f ca="1">"제 " &amp; Z128 &amp; " 호표  "&amp; OFFSET($A$1,MATCH(Z128,$A:$A,0)-1,1)</f>
        <v>제 8 호표  2.2. 미래상 설정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8</v>
      </c>
    </row>
    <row r="129" spans="11:26" ht="18" customHeight="1">
      <c r="K129" s="171" t="s">
        <v>14</v>
      </c>
      <c r="L129" s="171"/>
      <c r="N129" s="140" t="s">
        <v>43</v>
      </c>
      <c r="O129" s="172">
        <v>3</v>
      </c>
      <c r="P129" s="219">
        <f ca="1">OFFSET($A$1,MATCH(Z128,$A:$A,0)-1,O129)</f>
        <v>0.41299999999999998</v>
      </c>
      <c r="Q129" s="141" t="s">
        <v>29</v>
      </c>
      <c r="R129" s="142">
        <f t="shared" ref="R129:S134" ca="1" si="30">T129</f>
        <v>467217</v>
      </c>
      <c r="S129" s="142">
        <f t="shared" ca="1" si="30"/>
        <v>192960</v>
      </c>
      <c r="T129" s="142">
        <f ca="1">기술사</f>
        <v>467217</v>
      </c>
      <c r="U129" s="142">
        <f t="shared" ref="U129:U134" ca="1" si="31">ROUNDDOWN(P129*R129,0)</f>
        <v>192960</v>
      </c>
      <c r="V129" s="142"/>
      <c r="W129" s="142"/>
      <c r="X129" s="142"/>
      <c r="Y129" s="142"/>
      <c r="Z129" s="114"/>
    </row>
    <row r="130" spans="11:26" ht="18" customHeight="1">
      <c r="K130" s="171" t="s">
        <v>14</v>
      </c>
      <c r="L130" s="171"/>
      <c r="N130" s="143" t="s">
        <v>32</v>
      </c>
      <c r="O130" s="173">
        <v>4</v>
      </c>
      <c r="P130" s="234">
        <f ca="1">OFFSET($A$1,MATCH(Z128,$A:$A,0)-1,O130)</f>
        <v>0.56799999999999995</v>
      </c>
      <c r="Q130" s="144" t="s">
        <v>29</v>
      </c>
      <c r="R130" s="118">
        <f t="shared" ca="1" si="30"/>
        <v>373353</v>
      </c>
      <c r="S130" s="118">
        <f t="shared" ca="1" si="30"/>
        <v>212064</v>
      </c>
      <c r="T130" s="118">
        <f ca="1">특급</f>
        <v>373353</v>
      </c>
      <c r="U130" s="118">
        <f t="shared" ca="1" si="31"/>
        <v>212064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145" t="s">
        <v>39</v>
      </c>
      <c r="O131" s="173">
        <v>5</v>
      </c>
      <c r="P131" s="234">
        <f ca="1">OFFSET($A$1,MATCH(Z128,$A:$A,0)-1,O131)</f>
        <v>0.82699999999999996</v>
      </c>
      <c r="Q131" s="144" t="s">
        <v>29</v>
      </c>
      <c r="R131" s="118">
        <f t="shared" ca="1" si="30"/>
        <v>310884</v>
      </c>
      <c r="S131" s="118">
        <f t="shared" ca="1" si="30"/>
        <v>257101</v>
      </c>
      <c r="T131" s="118">
        <f ca="1">고급</f>
        <v>310884</v>
      </c>
      <c r="U131" s="118">
        <f t="shared" ca="1" si="31"/>
        <v>257101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N132" s="145" t="s">
        <v>40</v>
      </c>
      <c r="O132" s="173">
        <v>6</v>
      </c>
      <c r="P132" s="234">
        <f ca="1">OFFSET($A$1,MATCH(Z128,$A:$A,0)-1,O132)</f>
        <v>1.395</v>
      </c>
      <c r="Q132" s="144" t="s">
        <v>29</v>
      </c>
      <c r="R132" s="118">
        <f t="shared" ca="1" si="30"/>
        <v>295138</v>
      </c>
      <c r="S132" s="118">
        <f t="shared" ca="1" si="30"/>
        <v>411717</v>
      </c>
      <c r="T132" s="118">
        <f ca="1">중급</f>
        <v>295138</v>
      </c>
      <c r="U132" s="118">
        <f t="shared" ca="1" si="31"/>
        <v>411717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N133" s="145" t="s">
        <v>41</v>
      </c>
      <c r="O133" s="173">
        <v>7</v>
      </c>
      <c r="P133" s="234">
        <f ca="1">OFFSET($A$1,MATCH(Z128,$A:$A,0)-1,O133)</f>
        <v>2.843</v>
      </c>
      <c r="Q133" s="144" t="s">
        <v>29</v>
      </c>
      <c r="R133" s="118">
        <f t="shared" ca="1" si="30"/>
        <v>235459</v>
      </c>
      <c r="S133" s="118">
        <f t="shared" ca="1" si="30"/>
        <v>669409</v>
      </c>
      <c r="T133" s="118">
        <f ca="1">초급</f>
        <v>235459</v>
      </c>
      <c r="U133" s="118">
        <f t="shared" ca="1" si="31"/>
        <v>669409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N134" s="319" t="s">
        <v>42</v>
      </c>
      <c r="O134" s="174">
        <v>8</v>
      </c>
      <c r="P134" s="235">
        <f ca="1">OFFSET($A$1,MATCH(Z128,$A:$A,0)-1,O134)</f>
        <v>4.2389999999999999</v>
      </c>
      <c r="Q134" s="322" t="s">
        <v>29</v>
      </c>
      <c r="R134" s="323">
        <f t="shared" ca="1" si="30"/>
        <v>250087</v>
      </c>
      <c r="S134" s="323">
        <f t="shared" ca="1" si="30"/>
        <v>1060118</v>
      </c>
      <c r="T134" s="323">
        <f ca="1">보조원</f>
        <v>250087</v>
      </c>
      <c r="U134" s="323">
        <f t="shared" ca="1" si="31"/>
        <v>1060118</v>
      </c>
      <c r="V134" s="323"/>
      <c r="W134" s="323"/>
      <c r="X134" s="323"/>
      <c r="Y134" s="323"/>
      <c r="Z134" s="324"/>
    </row>
    <row r="135" spans="11:26" ht="18" customHeight="1">
      <c r="K135" s="171" t="s">
        <v>14</v>
      </c>
      <c r="L135" s="171"/>
      <c r="N135" s="139" t="s">
        <v>17</v>
      </c>
      <c r="O135" s="68"/>
      <c r="P135" s="69"/>
      <c r="Q135" s="70"/>
      <c r="R135" s="71"/>
      <c r="S135" s="71">
        <f ca="1">SUBTOTAL(9,S129:S134)</f>
        <v>2803369</v>
      </c>
      <c r="T135" s="71"/>
      <c r="U135" s="71">
        <f ca="1">SUBTOTAL(9,U129:U134)</f>
        <v>2803369</v>
      </c>
      <c r="V135" s="71"/>
      <c r="W135" s="71"/>
      <c r="X135" s="71"/>
      <c r="Y135" s="71"/>
      <c r="Z135" s="68"/>
    </row>
    <row r="136" spans="11:26" ht="18" customHeight="1">
      <c r="K136" s="171" t="s">
        <v>14</v>
      </c>
      <c r="L136" s="171"/>
      <c r="N136" s="318" t="str">
        <f ca="1">"제 " &amp; Z136 &amp; " 호표  "&amp; OFFSET($A$1,MATCH(Z136,$A:$A,0)-1,1)</f>
        <v>제 9 호표  2.3. 경관구조 설정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9</v>
      </c>
    </row>
    <row r="137" spans="11:26" ht="18" customHeight="1">
      <c r="K137" s="171" t="s">
        <v>14</v>
      </c>
      <c r="L137" s="171"/>
      <c r="N137" s="140" t="s">
        <v>43</v>
      </c>
      <c r="O137" s="172">
        <v>3</v>
      </c>
      <c r="P137" s="219">
        <f ca="1">OFFSET($A$1,MATCH(Z136,$A:$A,0)-1,O137)</f>
        <v>0.46500000000000002</v>
      </c>
      <c r="Q137" s="141" t="s">
        <v>29</v>
      </c>
      <c r="R137" s="142">
        <f t="shared" ref="R137:S142" ca="1" si="32">T137</f>
        <v>467217</v>
      </c>
      <c r="S137" s="142">
        <f t="shared" ca="1" si="32"/>
        <v>217255</v>
      </c>
      <c r="T137" s="142">
        <f ca="1">기술사</f>
        <v>467217</v>
      </c>
      <c r="U137" s="142">
        <f t="shared" ref="U137:U142" ca="1" si="33">ROUNDDOWN(P137*R137,0)</f>
        <v>217255</v>
      </c>
      <c r="V137" s="142"/>
      <c r="W137" s="142"/>
      <c r="X137" s="142"/>
      <c r="Y137" s="142"/>
      <c r="Z137" s="114"/>
    </row>
    <row r="138" spans="11:26" ht="18" customHeight="1">
      <c r="K138" s="171" t="s">
        <v>14</v>
      </c>
      <c r="L138" s="171"/>
      <c r="N138" s="143" t="s">
        <v>32</v>
      </c>
      <c r="O138" s="173">
        <v>4</v>
      </c>
      <c r="P138" s="234">
        <f ca="1">OFFSET($A$1,MATCH(Z136,$A:$A,0)-1,O138)</f>
        <v>0.56799999999999995</v>
      </c>
      <c r="Q138" s="144" t="s">
        <v>29</v>
      </c>
      <c r="R138" s="118">
        <f t="shared" ca="1" si="32"/>
        <v>373353</v>
      </c>
      <c r="S138" s="118">
        <f t="shared" ca="1" si="32"/>
        <v>212064</v>
      </c>
      <c r="T138" s="118">
        <f ca="1">특급</f>
        <v>373353</v>
      </c>
      <c r="U138" s="118">
        <f t="shared" ca="1" si="33"/>
        <v>212064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N139" s="145" t="s">
        <v>39</v>
      </c>
      <c r="O139" s="173">
        <v>5</v>
      </c>
      <c r="P139" s="234">
        <f ca="1">OFFSET($A$1,MATCH(Z136,$A:$A,0)-1,O139)</f>
        <v>0.93</v>
      </c>
      <c r="Q139" s="144" t="s">
        <v>29</v>
      </c>
      <c r="R139" s="118">
        <f t="shared" ca="1" si="32"/>
        <v>310884</v>
      </c>
      <c r="S139" s="118">
        <f t="shared" ca="1" si="32"/>
        <v>289122</v>
      </c>
      <c r="T139" s="118">
        <f ca="1">고급</f>
        <v>310884</v>
      </c>
      <c r="U139" s="118">
        <f t="shared" ca="1" si="33"/>
        <v>289122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1.4990000000000001</v>
      </c>
      <c r="Q140" s="144" t="s">
        <v>29</v>
      </c>
      <c r="R140" s="118">
        <f t="shared" ca="1" si="32"/>
        <v>295138</v>
      </c>
      <c r="S140" s="118">
        <f t="shared" ca="1" si="32"/>
        <v>442411</v>
      </c>
      <c r="T140" s="118">
        <f ca="1">중급</f>
        <v>295138</v>
      </c>
      <c r="U140" s="118">
        <f t="shared" ca="1" si="33"/>
        <v>442411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2.843</v>
      </c>
      <c r="Q141" s="144" t="s">
        <v>29</v>
      </c>
      <c r="R141" s="118">
        <f t="shared" ca="1" si="32"/>
        <v>235459</v>
      </c>
      <c r="S141" s="118">
        <f t="shared" ca="1" si="32"/>
        <v>669409</v>
      </c>
      <c r="T141" s="118">
        <f ca="1">초급</f>
        <v>235459</v>
      </c>
      <c r="U141" s="118">
        <f t="shared" ca="1" si="33"/>
        <v>669409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4.3419999999999996</v>
      </c>
      <c r="Q142" s="322" t="s">
        <v>29</v>
      </c>
      <c r="R142" s="323">
        <f t="shared" ca="1" si="32"/>
        <v>250087</v>
      </c>
      <c r="S142" s="323">
        <f t="shared" ca="1" si="32"/>
        <v>1085877</v>
      </c>
      <c r="T142" s="323">
        <f ca="1">보조원</f>
        <v>250087</v>
      </c>
      <c r="U142" s="323">
        <f t="shared" ca="1" si="33"/>
        <v>1085877</v>
      </c>
      <c r="V142" s="323"/>
      <c r="W142" s="323"/>
      <c r="X142" s="323"/>
      <c r="Y142" s="323"/>
      <c r="Z142" s="324"/>
    </row>
    <row r="143" spans="11:26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2916138</v>
      </c>
      <c r="T143" s="71"/>
      <c r="U143" s="71">
        <f ca="1">SUBTOTAL(9,U137:U142)</f>
        <v>2916138</v>
      </c>
      <c r="V143" s="71"/>
      <c r="W143" s="71"/>
      <c r="X143" s="71"/>
      <c r="Y143" s="71"/>
      <c r="Z143" s="68"/>
    </row>
    <row r="144" spans="11:26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10 호표  2.4. 추진전략 설정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10</v>
      </c>
    </row>
    <row r="145" spans="11:26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0.41299999999999998</v>
      </c>
      <c r="Q145" s="141" t="s">
        <v>29</v>
      </c>
      <c r="R145" s="142">
        <f t="shared" ref="R145:S150" ca="1" si="34">T145</f>
        <v>467217</v>
      </c>
      <c r="S145" s="142">
        <f t="shared" ca="1" si="34"/>
        <v>192960</v>
      </c>
      <c r="T145" s="142">
        <f ca="1">기술사</f>
        <v>467217</v>
      </c>
      <c r="U145" s="142">
        <f t="shared" ref="U145:U150" ca="1" si="35">ROUNDDOWN(P145*R145,0)</f>
        <v>192960</v>
      </c>
      <c r="V145" s="142"/>
      <c r="W145" s="142"/>
      <c r="X145" s="142"/>
      <c r="Y145" s="142"/>
      <c r="Z145" s="114"/>
    </row>
    <row r="146" spans="11:26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0.56799999999999995</v>
      </c>
      <c r="Q146" s="144" t="s">
        <v>29</v>
      </c>
      <c r="R146" s="118">
        <f t="shared" ca="1" si="34"/>
        <v>373353</v>
      </c>
      <c r="S146" s="118">
        <f t="shared" ca="1" si="34"/>
        <v>212064</v>
      </c>
      <c r="T146" s="118">
        <f ca="1">특급</f>
        <v>373353</v>
      </c>
      <c r="U146" s="118">
        <f t="shared" ca="1" si="35"/>
        <v>212064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0.82699999999999996</v>
      </c>
      <c r="Q147" s="144" t="s">
        <v>29</v>
      </c>
      <c r="R147" s="118">
        <f t="shared" ca="1" si="34"/>
        <v>310884</v>
      </c>
      <c r="S147" s="118">
        <f t="shared" ca="1" si="34"/>
        <v>257101</v>
      </c>
      <c r="T147" s="118">
        <f ca="1">고급</f>
        <v>310884</v>
      </c>
      <c r="U147" s="118">
        <f t="shared" ca="1" si="35"/>
        <v>257101</v>
      </c>
      <c r="V147" s="118"/>
      <c r="W147" s="118"/>
      <c r="X147" s="118"/>
      <c r="Y147" s="118"/>
      <c r="Z147" s="115"/>
    </row>
    <row r="148" spans="11:26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1.395</v>
      </c>
      <c r="Q148" s="144" t="s">
        <v>29</v>
      </c>
      <c r="R148" s="118">
        <f t="shared" ca="1" si="34"/>
        <v>295138</v>
      </c>
      <c r="S148" s="118">
        <f t="shared" ca="1" si="34"/>
        <v>411717</v>
      </c>
      <c r="T148" s="118">
        <f ca="1">중급</f>
        <v>295138</v>
      </c>
      <c r="U148" s="118">
        <f t="shared" ca="1" si="35"/>
        <v>411717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2.843</v>
      </c>
      <c r="Q149" s="144" t="s">
        <v>29</v>
      </c>
      <c r="R149" s="118">
        <f t="shared" ca="1" si="34"/>
        <v>235459</v>
      </c>
      <c r="S149" s="118">
        <f t="shared" ca="1" si="34"/>
        <v>669409</v>
      </c>
      <c r="T149" s="118">
        <f ca="1">초급</f>
        <v>235459</v>
      </c>
      <c r="U149" s="118">
        <f t="shared" ca="1" si="35"/>
        <v>669409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4.2389999999999999</v>
      </c>
      <c r="Q150" s="322" t="s">
        <v>29</v>
      </c>
      <c r="R150" s="323">
        <f t="shared" ca="1" si="34"/>
        <v>250087</v>
      </c>
      <c r="S150" s="323">
        <f t="shared" ca="1" si="34"/>
        <v>1060118</v>
      </c>
      <c r="T150" s="323">
        <f ca="1">보조원</f>
        <v>250087</v>
      </c>
      <c r="U150" s="323">
        <f t="shared" ca="1" si="35"/>
        <v>1060118</v>
      </c>
      <c r="V150" s="323"/>
      <c r="W150" s="323"/>
      <c r="X150" s="323"/>
      <c r="Y150" s="323"/>
      <c r="Z150" s="324"/>
    </row>
    <row r="151" spans="11:26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2803369</v>
      </c>
      <c r="T151" s="71"/>
      <c r="U151" s="71">
        <f ca="1">SUBTOTAL(9,U145:U150)</f>
        <v>2803369</v>
      </c>
      <c r="V151" s="71"/>
      <c r="W151" s="71"/>
      <c r="X151" s="71"/>
      <c r="Y151" s="71"/>
      <c r="Z151" s="68"/>
    </row>
    <row r="152" spans="11:26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11 호표  3.1. 경관권역계획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11</v>
      </c>
    </row>
    <row r="153" spans="11:26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3.4119999999999999</v>
      </c>
      <c r="Q153" s="141" t="s">
        <v>29</v>
      </c>
      <c r="R153" s="142">
        <f t="shared" ref="R153:S158" ca="1" si="36">T153</f>
        <v>467217</v>
      </c>
      <c r="S153" s="142">
        <f t="shared" ca="1" si="36"/>
        <v>1594144</v>
      </c>
      <c r="T153" s="142">
        <f ca="1">기술사</f>
        <v>467217</v>
      </c>
      <c r="U153" s="142">
        <f t="shared" ref="U153:U158" ca="1" si="37">ROUNDDOWN(P153*R153,0)</f>
        <v>1594144</v>
      </c>
      <c r="V153" s="142"/>
      <c r="W153" s="142"/>
      <c r="X153" s="142"/>
      <c r="Y153" s="142"/>
      <c r="Z153" s="114"/>
    </row>
    <row r="154" spans="11:26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6.8239999999999998</v>
      </c>
      <c r="Q154" s="144" t="s">
        <v>29</v>
      </c>
      <c r="R154" s="118">
        <f t="shared" ca="1" si="36"/>
        <v>373353</v>
      </c>
      <c r="S154" s="118">
        <f t="shared" ca="1" si="36"/>
        <v>2547760</v>
      </c>
      <c r="T154" s="118">
        <f ca="1">특급</f>
        <v>373353</v>
      </c>
      <c r="U154" s="118">
        <f t="shared" ca="1" si="37"/>
        <v>2547760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17.061</v>
      </c>
      <c r="Q155" s="144" t="s">
        <v>29</v>
      </c>
      <c r="R155" s="118">
        <f t="shared" ca="1" si="36"/>
        <v>310884</v>
      </c>
      <c r="S155" s="118">
        <f t="shared" ca="1" si="36"/>
        <v>5303991</v>
      </c>
      <c r="T155" s="118">
        <f ca="1">고급</f>
        <v>310884</v>
      </c>
      <c r="U155" s="118">
        <f t="shared" ca="1" si="37"/>
        <v>5303991</v>
      </c>
      <c r="V155" s="118"/>
      <c r="W155" s="118"/>
      <c r="X155" s="118"/>
      <c r="Y155" s="118"/>
      <c r="Z155" s="115"/>
    </row>
    <row r="156" spans="11:26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18.715</v>
      </c>
      <c r="Q156" s="144" t="s">
        <v>29</v>
      </c>
      <c r="R156" s="118">
        <f t="shared" ca="1" si="36"/>
        <v>295138</v>
      </c>
      <c r="S156" s="118">
        <f t="shared" ca="1" si="36"/>
        <v>5523507</v>
      </c>
      <c r="T156" s="118">
        <f ca="1">중급</f>
        <v>295138</v>
      </c>
      <c r="U156" s="118">
        <f t="shared" ca="1" si="37"/>
        <v>5523507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20.472999999999999</v>
      </c>
      <c r="Q157" s="144" t="s">
        <v>29</v>
      </c>
      <c r="R157" s="118">
        <f t="shared" ca="1" si="36"/>
        <v>235459</v>
      </c>
      <c r="S157" s="118">
        <f t="shared" ca="1" si="36"/>
        <v>4820552</v>
      </c>
      <c r="T157" s="118">
        <f ca="1">초급</f>
        <v>235459</v>
      </c>
      <c r="U157" s="118">
        <f t="shared" ca="1" si="37"/>
        <v>4820552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20.472999999999999</v>
      </c>
      <c r="Q158" s="322" t="s">
        <v>29</v>
      </c>
      <c r="R158" s="323">
        <f t="shared" ca="1" si="36"/>
        <v>250087</v>
      </c>
      <c r="S158" s="323">
        <f t="shared" ca="1" si="36"/>
        <v>5120031</v>
      </c>
      <c r="T158" s="323">
        <f ca="1">보조원</f>
        <v>250087</v>
      </c>
      <c r="U158" s="323">
        <f t="shared" ca="1" si="37"/>
        <v>5120031</v>
      </c>
      <c r="V158" s="323"/>
      <c r="W158" s="323"/>
      <c r="X158" s="323"/>
      <c r="Y158" s="323"/>
      <c r="Z158" s="324"/>
    </row>
    <row r="159" spans="11:26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24909985</v>
      </c>
      <c r="T159" s="71"/>
      <c r="U159" s="71">
        <f ca="1">SUBTOTAL(9,U153:U158)</f>
        <v>24909985</v>
      </c>
      <c r="V159" s="71"/>
      <c r="W159" s="71"/>
      <c r="X159" s="71"/>
      <c r="Y159" s="71"/>
      <c r="Z159" s="68"/>
    </row>
    <row r="160" spans="11:26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12 호표  3.2. 경관축계획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12</v>
      </c>
    </row>
    <row r="161" spans="11:26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2.274</v>
      </c>
      <c r="Q161" s="141" t="s">
        <v>29</v>
      </c>
      <c r="R161" s="142">
        <f t="shared" ref="R161:S166" ca="1" si="38">T161</f>
        <v>467217</v>
      </c>
      <c r="S161" s="142">
        <f t="shared" ca="1" si="38"/>
        <v>1062451</v>
      </c>
      <c r="T161" s="142">
        <f ca="1">기술사</f>
        <v>467217</v>
      </c>
      <c r="U161" s="142">
        <f t="shared" ref="U161:U166" ca="1" si="39">ROUNDDOWN(P161*R161,0)</f>
        <v>1062451</v>
      </c>
      <c r="V161" s="142"/>
      <c r="W161" s="142"/>
      <c r="X161" s="142"/>
      <c r="Y161" s="142"/>
      <c r="Z161" s="114"/>
    </row>
    <row r="162" spans="11:26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4.5490000000000004</v>
      </c>
      <c r="Q162" s="144" t="s">
        <v>29</v>
      </c>
      <c r="R162" s="118">
        <f t="shared" ca="1" si="38"/>
        <v>373353</v>
      </c>
      <c r="S162" s="118">
        <f t="shared" ca="1" si="38"/>
        <v>1698382</v>
      </c>
      <c r="T162" s="118">
        <f ca="1">특급</f>
        <v>373353</v>
      </c>
      <c r="U162" s="118">
        <f t="shared" ca="1" si="39"/>
        <v>1698382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11.374000000000001</v>
      </c>
      <c r="Q163" s="144" t="s">
        <v>29</v>
      </c>
      <c r="R163" s="118">
        <f t="shared" ca="1" si="38"/>
        <v>310884</v>
      </c>
      <c r="S163" s="118">
        <f t="shared" ca="1" si="38"/>
        <v>3535994</v>
      </c>
      <c r="T163" s="118">
        <f ca="1">고급</f>
        <v>310884</v>
      </c>
      <c r="U163" s="118">
        <f t="shared" ca="1" si="39"/>
        <v>3535994</v>
      </c>
      <c r="V163" s="118"/>
      <c r="W163" s="118"/>
      <c r="X163" s="118"/>
      <c r="Y163" s="118"/>
      <c r="Z163" s="115"/>
    </row>
    <row r="164" spans="11:26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12.563000000000001</v>
      </c>
      <c r="Q164" s="144" t="s">
        <v>29</v>
      </c>
      <c r="R164" s="118">
        <f t="shared" ca="1" si="38"/>
        <v>295138</v>
      </c>
      <c r="S164" s="118">
        <f t="shared" ca="1" si="38"/>
        <v>3707818</v>
      </c>
      <c r="T164" s="118">
        <f ca="1">중급</f>
        <v>295138</v>
      </c>
      <c r="U164" s="118">
        <f t="shared" ca="1" si="39"/>
        <v>3707818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13.648</v>
      </c>
      <c r="Q165" s="144" t="s">
        <v>29</v>
      </c>
      <c r="R165" s="118">
        <f t="shared" ca="1" si="38"/>
        <v>235459</v>
      </c>
      <c r="S165" s="118">
        <f t="shared" ca="1" si="38"/>
        <v>3213544</v>
      </c>
      <c r="T165" s="118">
        <f ca="1">초급</f>
        <v>235459</v>
      </c>
      <c r="U165" s="118">
        <f t="shared" ca="1" si="39"/>
        <v>3213544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13.648</v>
      </c>
      <c r="Q166" s="322" t="s">
        <v>29</v>
      </c>
      <c r="R166" s="323">
        <f t="shared" ca="1" si="38"/>
        <v>250087</v>
      </c>
      <c r="S166" s="323">
        <f t="shared" ca="1" si="38"/>
        <v>3413187</v>
      </c>
      <c r="T166" s="323">
        <f ca="1">보조원</f>
        <v>250087</v>
      </c>
      <c r="U166" s="323">
        <f t="shared" ca="1" si="39"/>
        <v>3413187</v>
      </c>
      <c r="V166" s="323"/>
      <c r="W166" s="323"/>
      <c r="X166" s="323"/>
      <c r="Y166" s="323"/>
      <c r="Z166" s="324"/>
    </row>
    <row r="167" spans="11:26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16631376</v>
      </c>
      <c r="T167" s="71"/>
      <c r="U167" s="71">
        <f ca="1">SUBTOTAL(9,U161:U166)</f>
        <v>16631376</v>
      </c>
      <c r="V167" s="71"/>
      <c r="W167" s="71"/>
      <c r="X167" s="71"/>
      <c r="Y167" s="71"/>
      <c r="Z167" s="68"/>
    </row>
    <row r="168" spans="11:26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13 호표  3.3. 경관거점계획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13</v>
      </c>
    </row>
    <row r="169" spans="11:26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1.706</v>
      </c>
      <c r="Q169" s="141" t="s">
        <v>29</v>
      </c>
      <c r="R169" s="142">
        <f t="shared" ref="R169:S174" ca="1" si="40">T169</f>
        <v>467217</v>
      </c>
      <c r="S169" s="142">
        <f t="shared" ca="1" si="40"/>
        <v>797072</v>
      </c>
      <c r="T169" s="142">
        <f ca="1">기술사</f>
        <v>467217</v>
      </c>
      <c r="U169" s="142">
        <f t="shared" ref="U169:U174" ca="1" si="41">ROUNDDOWN(P169*R169,0)</f>
        <v>797072</v>
      </c>
      <c r="V169" s="142"/>
      <c r="W169" s="142"/>
      <c r="X169" s="142"/>
      <c r="Y169" s="142"/>
      <c r="Z169" s="114"/>
    </row>
    <row r="170" spans="11:26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3.4119999999999999</v>
      </c>
      <c r="Q170" s="144" t="s">
        <v>29</v>
      </c>
      <c r="R170" s="118">
        <f t="shared" ca="1" si="40"/>
        <v>373353</v>
      </c>
      <c r="S170" s="118">
        <f t="shared" ca="1" si="40"/>
        <v>1273880</v>
      </c>
      <c r="T170" s="118">
        <f ca="1">특급</f>
        <v>373353</v>
      </c>
      <c r="U170" s="118">
        <f t="shared" ca="1" si="41"/>
        <v>1273880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8.5299999999999994</v>
      </c>
      <c r="Q171" s="144" t="s">
        <v>29</v>
      </c>
      <c r="R171" s="118">
        <f t="shared" ca="1" si="40"/>
        <v>310884</v>
      </c>
      <c r="S171" s="118">
        <f t="shared" ca="1" si="40"/>
        <v>2651840</v>
      </c>
      <c r="T171" s="118">
        <f ca="1">고급</f>
        <v>310884</v>
      </c>
      <c r="U171" s="118">
        <f t="shared" ca="1" si="41"/>
        <v>2651840</v>
      </c>
      <c r="V171" s="118"/>
      <c r="W171" s="118"/>
      <c r="X171" s="118"/>
      <c r="Y171" s="118"/>
      <c r="Z171" s="115"/>
    </row>
    <row r="172" spans="11:26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9.3569999999999993</v>
      </c>
      <c r="Q172" s="144" t="s">
        <v>29</v>
      </c>
      <c r="R172" s="118">
        <f t="shared" ca="1" si="40"/>
        <v>295138</v>
      </c>
      <c r="S172" s="118">
        <f t="shared" ca="1" si="40"/>
        <v>2761606</v>
      </c>
      <c r="T172" s="118">
        <f ca="1">중급</f>
        <v>295138</v>
      </c>
      <c r="U172" s="118">
        <f t="shared" ca="1" si="41"/>
        <v>2761606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10.236000000000001</v>
      </c>
      <c r="Q173" s="144" t="s">
        <v>29</v>
      </c>
      <c r="R173" s="118">
        <f t="shared" ca="1" si="40"/>
        <v>235459</v>
      </c>
      <c r="S173" s="118">
        <f t="shared" ca="1" si="40"/>
        <v>2410158</v>
      </c>
      <c r="T173" s="118">
        <f ca="1">초급</f>
        <v>235459</v>
      </c>
      <c r="U173" s="118">
        <f t="shared" ca="1" si="41"/>
        <v>2410158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10.236000000000001</v>
      </c>
      <c r="Q174" s="322" t="s">
        <v>29</v>
      </c>
      <c r="R174" s="323">
        <f t="shared" ca="1" si="40"/>
        <v>250087</v>
      </c>
      <c r="S174" s="323">
        <f t="shared" ca="1" si="40"/>
        <v>2559890</v>
      </c>
      <c r="T174" s="323">
        <f ca="1">보조원</f>
        <v>250087</v>
      </c>
      <c r="U174" s="323">
        <f t="shared" ca="1" si="41"/>
        <v>2559890</v>
      </c>
      <c r="V174" s="323"/>
      <c r="W174" s="323"/>
      <c r="X174" s="323"/>
      <c r="Y174" s="323"/>
      <c r="Z174" s="324"/>
    </row>
    <row r="175" spans="11:26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12454446</v>
      </c>
      <c r="T175" s="71"/>
      <c r="U175" s="71">
        <f ca="1">SUBTOTAL(9,U169:U174)</f>
        <v>12454446</v>
      </c>
      <c r="V175" s="71"/>
      <c r="W175" s="71"/>
      <c r="X175" s="71"/>
      <c r="Y175" s="71"/>
      <c r="Z175" s="68"/>
    </row>
    <row r="176" spans="11:26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14 호표  3.4. 중점경관관리구역계획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14</v>
      </c>
    </row>
    <row r="177" spans="11:26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2.274</v>
      </c>
      <c r="Q177" s="141" t="s">
        <v>29</v>
      </c>
      <c r="R177" s="142">
        <f t="shared" ref="R177:S182" ca="1" si="42">T177</f>
        <v>467217</v>
      </c>
      <c r="S177" s="142">
        <f t="shared" ca="1" si="42"/>
        <v>1062451</v>
      </c>
      <c r="T177" s="142">
        <f ca="1">기술사</f>
        <v>467217</v>
      </c>
      <c r="U177" s="142">
        <f t="shared" ref="U177:U182" ca="1" si="43">ROUNDDOWN(P177*R177,0)</f>
        <v>1062451</v>
      </c>
      <c r="V177" s="142"/>
      <c r="W177" s="142"/>
      <c r="X177" s="142"/>
      <c r="Y177" s="142"/>
      <c r="Z177" s="114"/>
    </row>
    <row r="178" spans="11:26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4.5490000000000004</v>
      </c>
      <c r="Q178" s="144" t="s">
        <v>29</v>
      </c>
      <c r="R178" s="118">
        <f t="shared" ca="1" si="42"/>
        <v>373353</v>
      </c>
      <c r="S178" s="118">
        <f t="shared" ca="1" si="42"/>
        <v>1698382</v>
      </c>
      <c r="T178" s="118">
        <f ca="1">특급</f>
        <v>373353</v>
      </c>
      <c r="U178" s="118">
        <f t="shared" ca="1" si="43"/>
        <v>1698382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11.374000000000001</v>
      </c>
      <c r="Q179" s="144" t="s">
        <v>29</v>
      </c>
      <c r="R179" s="118">
        <f t="shared" ca="1" si="42"/>
        <v>310884</v>
      </c>
      <c r="S179" s="118">
        <f t="shared" ca="1" si="42"/>
        <v>3535994</v>
      </c>
      <c r="T179" s="118">
        <f ca="1">고급</f>
        <v>310884</v>
      </c>
      <c r="U179" s="118">
        <f t="shared" ca="1" si="43"/>
        <v>3535994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12.563000000000001</v>
      </c>
      <c r="Q180" s="144" t="s">
        <v>29</v>
      </c>
      <c r="R180" s="118">
        <f t="shared" ca="1" si="42"/>
        <v>295138</v>
      </c>
      <c r="S180" s="118">
        <f t="shared" ca="1" si="42"/>
        <v>3707818</v>
      </c>
      <c r="T180" s="118">
        <f ca="1">중급</f>
        <v>295138</v>
      </c>
      <c r="U180" s="118">
        <f t="shared" ca="1" si="43"/>
        <v>3707818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13.648</v>
      </c>
      <c r="Q181" s="144" t="s">
        <v>29</v>
      </c>
      <c r="R181" s="118">
        <f t="shared" ca="1" si="42"/>
        <v>235459</v>
      </c>
      <c r="S181" s="118">
        <f t="shared" ca="1" si="42"/>
        <v>3213544</v>
      </c>
      <c r="T181" s="118">
        <f ca="1">초급</f>
        <v>235459</v>
      </c>
      <c r="U181" s="118">
        <f t="shared" ca="1" si="43"/>
        <v>3213544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13.648</v>
      </c>
      <c r="Q182" s="322" t="s">
        <v>29</v>
      </c>
      <c r="R182" s="323">
        <f t="shared" ca="1" si="42"/>
        <v>250087</v>
      </c>
      <c r="S182" s="323">
        <f t="shared" ca="1" si="42"/>
        <v>3413187</v>
      </c>
      <c r="T182" s="323">
        <f ca="1">보조원</f>
        <v>250087</v>
      </c>
      <c r="U182" s="323">
        <f t="shared" ca="1" si="43"/>
        <v>3413187</v>
      </c>
      <c r="V182" s="323"/>
      <c r="W182" s="323"/>
      <c r="X182" s="323"/>
      <c r="Y182" s="323"/>
      <c r="Z182" s="324"/>
    </row>
    <row r="183" spans="11:26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16631376</v>
      </c>
      <c r="T183" s="71"/>
      <c r="U183" s="71">
        <f ca="1">SUBTOTAL(9,U177:U182)</f>
        <v>16631376</v>
      </c>
      <c r="V183" s="71"/>
      <c r="W183" s="71"/>
      <c r="X183" s="71"/>
      <c r="Y183" s="71"/>
      <c r="Z183" s="68"/>
    </row>
    <row r="184" spans="11:26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15 호표  3.5. 경관지구계획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15</v>
      </c>
    </row>
    <row r="185" spans="11:26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1.706</v>
      </c>
      <c r="Q185" s="141" t="s">
        <v>29</v>
      </c>
      <c r="R185" s="142">
        <f t="shared" ref="R185:S190" ca="1" si="44">T185</f>
        <v>467217</v>
      </c>
      <c r="S185" s="142">
        <f t="shared" ca="1" si="44"/>
        <v>797072</v>
      </c>
      <c r="T185" s="142">
        <f ca="1">기술사</f>
        <v>467217</v>
      </c>
      <c r="U185" s="142">
        <f t="shared" ref="U185:U190" ca="1" si="45">ROUNDDOWN(P185*R185,0)</f>
        <v>797072</v>
      </c>
      <c r="V185" s="142"/>
      <c r="W185" s="142"/>
      <c r="X185" s="142"/>
      <c r="Y185" s="142"/>
      <c r="Z185" s="114"/>
    </row>
    <row r="186" spans="11:26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3.4119999999999999</v>
      </c>
      <c r="Q186" s="144" t="s">
        <v>29</v>
      </c>
      <c r="R186" s="118">
        <f t="shared" ca="1" si="44"/>
        <v>373353</v>
      </c>
      <c r="S186" s="118">
        <f t="shared" ca="1" si="44"/>
        <v>1273880</v>
      </c>
      <c r="T186" s="118">
        <f ca="1">특급</f>
        <v>373353</v>
      </c>
      <c r="U186" s="118">
        <f t="shared" ca="1" si="45"/>
        <v>1273880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8.5299999999999994</v>
      </c>
      <c r="Q187" s="144" t="s">
        <v>29</v>
      </c>
      <c r="R187" s="118">
        <f t="shared" ca="1" si="44"/>
        <v>310884</v>
      </c>
      <c r="S187" s="118">
        <f t="shared" ca="1" si="44"/>
        <v>2651840</v>
      </c>
      <c r="T187" s="118">
        <f ca="1">고급</f>
        <v>310884</v>
      </c>
      <c r="U187" s="118">
        <f t="shared" ca="1" si="45"/>
        <v>2651840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9.3569999999999993</v>
      </c>
      <c r="Q188" s="144" t="s">
        <v>29</v>
      </c>
      <c r="R188" s="118">
        <f t="shared" ca="1" si="44"/>
        <v>295138</v>
      </c>
      <c r="S188" s="118">
        <f t="shared" ca="1" si="44"/>
        <v>2761606</v>
      </c>
      <c r="T188" s="118">
        <f ca="1">중급</f>
        <v>295138</v>
      </c>
      <c r="U188" s="118">
        <f t="shared" ca="1" si="45"/>
        <v>2761606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10.236000000000001</v>
      </c>
      <c r="Q189" s="144" t="s">
        <v>29</v>
      </c>
      <c r="R189" s="118">
        <f t="shared" ca="1" si="44"/>
        <v>235459</v>
      </c>
      <c r="S189" s="118">
        <f t="shared" ca="1" si="44"/>
        <v>2410158</v>
      </c>
      <c r="T189" s="118">
        <f ca="1">초급</f>
        <v>235459</v>
      </c>
      <c r="U189" s="118">
        <f t="shared" ca="1" si="45"/>
        <v>2410158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10.236000000000001</v>
      </c>
      <c r="Q190" s="322" t="s">
        <v>29</v>
      </c>
      <c r="R190" s="323">
        <f t="shared" ca="1" si="44"/>
        <v>250087</v>
      </c>
      <c r="S190" s="323">
        <f t="shared" ca="1" si="44"/>
        <v>2559890</v>
      </c>
      <c r="T190" s="323">
        <f ca="1">보조원</f>
        <v>250087</v>
      </c>
      <c r="U190" s="323">
        <f t="shared" ca="1" si="45"/>
        <v>2559890</v>
      </c>
      <c r="V190" s="323"/>
      <c r="W190" s="323"/>
      <c r="X190" s="323"/>
      <c r="Y190" s="323"/>
      <c r="Z190" s="324"/>
    </row>
    <row r="191" spans="11:26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12454446</v>
      </c>
      <c r="T191" s="71"/>
      <c r="U191" s="71">
        <f ca="1">SUBTOTAL(9,U185:U190)</f>
        <v>12454446</v>
      </c>
      <c r="V191" s="71"/>
      <c r="W191" s="71"/>
      <c r="X191" s="71"/>
      <c r="Y191" s="71"/>
      <c r="Z191" s="68"/>
    </row>
    <row r="192" spans="11:26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16 호표  4.1. 경관권역 등의 가이드라인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16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0.56799999999999995</v>
      </c>
      <c r="Q193" s="141" t="s">
        <v>29</v>
      </c>
      <c r="R193" s="142">
        <f t="shared" ref="R193:S198" ca="1" si="46">T193</f>
        <v>467217</v>
      </c>
      <c r="S193" s="142">
        <f t="shared" ca="1" si="46"/>
        <v>265379</v>
      </c>
      <c r="T193" s="142">
        <f ca="1">기술사</f>
        <v>467217</v>
      </c>
      <c r="U193" s="142">
        <f t="shared" ref="U193:U198" ca="1" si="47">ROUNDDOWN(P193*R193,0)</f>
        <v>265379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1.085</v>
      </c>
      <c r="Q194" s="144" t="s">
        <v>29</v>
      </c>
      <c r="R194" s="118">
        <f t="shared" ca="1" si="46"/>
        <v>373353</v>
      </c>
      <c r="S194" s="118">
        <f t="shared" ca="1" si="46"/>
        <v>405088</v>
      </c>
      <c r="T194" s="118">
        <f ca="1">특급</f>
        <v>373353</v>
      </c>
      <c r="U194" s="118">
        <f t="shared" ca="1" si="47"/>
        <v>405088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2.1709999999999998</v>
      </c>
      <c r="Q195" s="144" t="s">
        <v>29</v>
      </c>
      <c r="R195" s="118">
        <f t="shared" ca="1" si="46"/>
        <v>310884</v>
      </c>
      <c r="S195" s="118">
        <f t="shared" ca="1" si="46"/>
        <v>674929</v>
      </c>
      <c r="T195" s="118">
        <f ca="1">고급</f>
        <v>310884</v>
      </c>
      <c r="U195" s="118">
        <f t="shared" ca="1" si="47"/>
        <v>674929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3.4119999999999999</v>
      </c>
      <c r="Q196" s="144" t="s">
        <v>29</v>
      </c>
      <c r="R196" s="118">
        <f t="shared" ca="1" si="46"/>
        <v>295138</v>
      </c>
      <c r="S196" s="118">
        <f t="shared" ca="1" si="46"/>
        <v>1007010</v>
      </c>
      <c r="T196" s="118">
        <f ca="1">중급</f>
        <v>295138</v>
      </c>
      <c r="U196" s="118">
        <f t="shared" ca="1" si="47"/>
        <v>1007010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4.5490000000000004</v>
      </c>
      <c r="Q197" s="144" t="s">
        <v>29</v>
      </c>
      <c r="R197" s="118">
        <f t="shared" ca="1" si="46"/>
        <v>235459</v>
      </c>
      <c r="S197" s="118">
        <f t="shared" ca="1" si="46"/>
        <v>1071102</v>
      </c>
      <c r="T197" s="118">
        <f ca="1">초급</f>
        <v>235459</v>
      </c>
      <c r="U197" s="118">
        <f t="shared" ca="1" si="47"/>
        <v>1071102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5.2729999999999997</v>
      </c>
      <c r="Q198" s="322" t="s">
        <v>29</v>
      </c>
      <c r="R198" s="323">
        <f t="shared" ca="1" si="46"/>
        <v>250087</v>
      </c>
      <c r="S198" s="323">
        <f t="shared" ca="1" si="46"/>
        <v>1318708</v>
      </c>
      <c r="T198" s="323">
        <f ca="1">보조원</f>
        <v>250087</v>
      </c>
      <c r="U198" s="323">
        <f t="shared" ca="1" si="47"/>
        <v>1318708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4742216</v>
      </c>
      <c r="T199" s="71"/>
      <c r="U199" s="71">
        <f ca="1">SUBTOTAL(9,U193:U198)</f>
        <v>4742216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17 호표  4.2. 경관·미관지구의 경관가이드라인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17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0.46500000000000002</v>
      </c>
      <c r="Q201" s="141" t="s">
        <v>29</v>
      </c>
      <c r="R201" s="142">
        <f t="shared" ref="R201:S206" ca="1" si="48">T201</f>
        <v>467217</v>
      </c>
      <c r="S201" s="142">
        <f t="shared" ca="1" si="48"/>
        <v>217255</v>
      </c>
      <c r="T201" s="142">
        <f ca="1">기술사</f>
        <v>467217</v>
      </c>
      <c r="U201" s="142">
        <f t="shared" ref="U201:U206" ca="1" si="49">ROUNDDOWN(P201*R201,0)</f>
        <v>217255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0.98199999999999998</v>
      </c>
      <c r="Q202" s="144" t="s">
        <v>29</v>
      </c>
      <c r="R202" s="118">
        <f t="shared" ca="1" si="48"/>
        <v>373353</v>
      </c>
      <c r="S202" s="118">
        <f t="shared" ca="1" si="48"/>
        <v>366632</v>
      </c>
      <c r="T202" s="118">
        <f ca="1">특급</f>
        <v>373353</v>
      </c>
      <c r="U202" s="118">
        <f t="shared" ca="1" si="49"/>
        <v>366632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2.016</v>
      </c>
      <c r="Q203" s="144" t="s">
        <v>29</v>
      </c>
      <c r="R203" s="118">
        <f t="shared" ca="1" si="48"/>
        <v>310884</v>
      </c>
      <c r="S203" s="118">
        <f t="shared" ca="1" si="48"/>
        <v>626742</v>
      </c>
      <c r="T203" s="118">
        <f ca="1">고급</f>
        <v>310884</v>
      </c>
      <c r="U203" s="118">
        <f t="shared" ca="1" si="49"/>
        <v>626742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3.2050000000000001</v>
      </c>
      <c r="Q204" s="144" t="s">
        <v>29</v>
      </c>
      <c r="R204" s="118">
        <f t="shared" ca="1" si="48"/>
        <v>295138</v>
      </c>
      <c r="S204" s="118">
        <f t="shared" ca="1" si="48"/>
        <v>945917</v>
      </c>
      <c r="T204" s="118">
        <f ca="1">중급</f>
        <v>295138</v>
      </c>
      <c r="U204" s="118">
        <f t="shared" ca="1" si="49"/>
        <v>945917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4.2389999999999999</v>
      </c>
      <c r="Q205" s="144" t="s">
        <v>29</v>
      </c>
      <c r="R205" s="118">
        <f t="shared" ca="1" si="48"/>
        <v>235459</v>
      </c>
      <c r="S205" s="118">
        <f t="shared" ca="1" si="48"/>
        <v>998110</v>
      </c>
      <c r="T205" s="118">
        <f ca="1">초급</f>
        <v>235459</v>
      </c>
      <c r="U205" s="118">
        <f t="shared" ca="1" si="49"/>
        <v>998110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4.859</v>
      </c>
      <c r="Q206" s="322" t="s">
        <v>29</v>
      </c>
      <c r="R206" s="323">
        <f t="shared" ca="1" si="48"/>
        <v>250087</v>
      </c>
      <c r="S206" s="323">
        <f t="shared" ca="1" si="48"/>
        <v>1215172</v>
      </c>
      <c r="T206" s="323">
        <f ca="1">보조원</f>
        <v>250087</v>
      </c>
      <c r="U206" s="323">
        <f t="shared" ca="1" si="49"/>
        <v>1215172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4369828</v>
      </c>
      <c r="T207" s="71"/>
      <c r="U207" s="71">
        <f ca="1">SUBTOTAL(9,U201:U206)</f>
        <v>4369828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18 호표  4.3. 중점경관관리구역의 경관가이드라인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18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1.8089999999999999</v>
      </c>
      <c r="Q209" s="141" t="s">
        <v>29</v>
      </c>
      <c r="R209" s="142">
        <f t="shared" ref="R209:S214" ca="1" si="50">T209</f>
        <v>467217</v>
      </c>
      <c r="S209" s="142">
        <f t="shared" ca="1" si="50"/>
        <v>845195</v>
      </c>
      <c r="T209" s="142">
        <f ca="1">기술사</f>
        <v>467217</v>
      </c>
      <c r="U209" s="142">
        <f t="shared" ref="U209:U214" ca="1" si="51">ROUNDDOWN(P209*R209,0)</f>
        <v>845195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3.6190000000000002</v>
      </c>
      <c r="Q210" s="144" t="s">
        <v>29</v>
      </c>
      <c r="R210" s="118">
        <f t="shared" ca="1" si="50"/>
        <v>373353</v>
      </c>
      <c r="S210" s="118">
        <f t="shared" ca="1" si="50"/>
        <v>1351164</v>
      </c>
      <c r="T210" s="118">
        <f ca="1">특급</f>
        <v>373353</v>
      </c>
      <c r="U210" s="118">
        <f t="shared" ca="1" si="51"/>
        <v>1351164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7.1859999999999999</v>
      </c>
      <c r="Q211" s="144" t="s">
        <v>29</v>
      </c>
      <c r="R211" s="118">
        <f t="shared" ca="1" si="50"/>
        <v>310884</v>
      </c>
      <c r="S211" s="118">
        <f t="shared" ca="1" si="50"/>
        <v>2234012</v>
      </c>
      <c r="T211" s="118">
        <f ca="1">고급</f>
        <v>310884</v>
      </c>
      <c r="U211" s="118">
        <f t="shared" ca="1" si="51"/>
        <v>2234012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11.012</v>
      </c>
      <c r="Q212" s="144" t="s">
        <v>29</v>
      </c>
      <c r="R212" s="118">
        <f t="shared" ca="1" si="50"/>
        <v>295138</v>
      </c>
      <c r="S212" s="118">
        <f t="shared" ca="1" si="50"/>
        <v>3250059</v>
      </c>
      <c r="T212" s="118">
        <f ca="1">중급</f>
        <v>295138</v>
      </c>
      <c r="U212" s="118">
        <f t="shared" ca="1" si="51"/>
        <v>3250059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14.734</v>
      </c>
      <c r="Q213" s="144" t="s">
        <v>29</v>
      </c>
      <c r="R213" s="118">
        <f t="shared" ca="1" si="50"/>
        <v>235459</v>
      </c>
      <c r="S213" s="118">
        <f t="shared" ca="1" si="50"/>
        <v>3469252</v>
      </c>
      <c r="T213" s="118">
        <f ca="1">초급</f>
        <v>235459</v>
      </c>
      <c r="U213" s="118">
        <f t="shared" ca="1" si="51"/>
        <v>3469252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16.957000000000001</v>
      </c>
      <c r="Q214" s="322" t="s">
        <v>29</v>
      </c>
      <c r="R214" s="323">
        <f t="shared" ca="1" si="50"/>
        <v>250087</v>
      </c>
      <c r="S214" s="323">
        <f t="shared" ca="1" si="50"/>
        <v>4240725</v>
      </c>
      <c r="T214" s="323">
        <f ca="1">보조원</f>
        <v>250087</v>
      </c>
      <c r="U214" s="323">
        <f t="shared" ca="1" si="51"/>
        <v>4240725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15390407</v>
      </c>
      <c r="T215" s="71"/>
      <c r="U215" s="71">
        <f ca="1">SUBTOTAL(9,U209:U214)</f>
        <v>15390407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19 호표  5.1. 경관관련 지구·구역 적용 및 연계방안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19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0.155</v>
      </c>
      <c r="Q217" s="141" t="s">
        <v>29</v>
      </c>
      <c r="R217" s="142">
        <f t="shared" ref="R217:S222" ca="1" si="52">T217</f>
        <v>467217</v>
      </c>
      <c r="S217" s="142">
        <f t="shared" ca="1" si="52"/>
        <v>72418</v>
      </c>
      <c r="T217" s="142">
        <f ca="1">기술사</f>
        <v>467217</v>
      </c>
      <c r="U217" s="142">
        <f t="shared" ref="U217:U222" ca="1" si="53">ROUNDDOWN(P217*R217,0)</f>
        <v>72418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0.20599999999999999</v>
      </c>
      <c r="Q218" s="144" t="s">
        <v>29</v>
      </c>
      <c r="R218" s="118">
        <f t="shared" ca="1" si="52"/>
        <v>373353</v>
      </c>
      <c r="S218" s="118">
        <f t="shared" ca="1" si="52"/>
        <v>76910</v>
      </c>
      <c r="T218" s="118">
        <f ca="1">특급</f>
        <v>373353</v>
      </c>
      <c r="U218" s="118">
        <f t="shared" ca="1" si="53"/>
        <v>76910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0.46500000000000002</v>
      </c>
      <c r="Q219" s="144" t="s">
        <v>29</v>
      </c>
      <c r="R219" s="118">
        <f t="shared" ca="1" si="52"/>
        <v>310884</v>
      </c>
      <c r="S219" s="118">
        <f t="shared" ca="1" si="52"/>
        <v>144561</v>
      </c>
      <c r="T219" s="118">
        <f ca="1">고급</f>
        <v>310884</v>
      </c>
      <c r="U219" s="118">
        <f t="shared" ca="1" si="53"/>
        <v>144561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0.878</v>
      </c>
      <c r="Q220" s="144" t="s">
        <v>29</v>
      </c>
      <c r="R220" s="118">
        <f t="shared" ca="1" si="52"/>
        <v>295138</v>
      </c>
      <c r="S220" s="118">
        <f t="shared" ca="1" si="52"/>
        <v>259131</v>
      </c>
      <c r="T220" s="118">
        <f ca="1">중급</f>
        <v>295138</v>
      </c>
      <c r="U220" s="118">
        <f t="shared" ca="1" si="53"/>
        <v>259131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1.137</v>
      </c>
      <c r="Q221" s="144" t="s">
        <v>29</v>
      </c>
      <c r="R221" s="118">
        <f t="shared" ca="1" si="52"/>
        <v>235459</v>
      </c>
      <c r="S221" s="118">
        <f t="shared" ca="1" si="52"/>
        <v>267716</v>
      </c>
      <c r="T221" s="118">
        <f ca="1">초급</f>
        <v>235459</v>
      </c>
      <c r="U221" s="118">
        <f t="shared" ca="1" si="53"/>
        <v>267716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1.6539999999999999</v>
      </c>
      <c r="Q222" s="322" t="s">
        <v>29</v>
      </c>
      <c r="R222" s="323">
        <f t="shared" ca="1" si="52"/>
        <v>250087</v>
      </c>
      <c r="S222" s="323">
        <f t="shared" ca="1" si="52"/>
        <v>413643</v>
      </c>
      <c r="T222" s="323">
        <f ca="1">보조원</f>
        <v>250087</v>
      </c>
      <c r="U222" s="323">
        <f t="shared" ca="1" si="53"/>
        <v>413643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1234379</v>
      </c>
      <c r="T223" s="71"/>
      <c r="U223" s="71">
        <f ca="1">SUBTOTAL(9,U217:U222)</f>
        <v>1234379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  <c r="N224" s="318" t="str">
        <f ca="1">"제 " &amp; Z224 &amp; " 호표  "&amp; OFFSET($A$1,MATCH(Z224,$A:$A,0)-1,1)</f>
        <v>제 20 호표  5.2. 관련 계획과의 연계방안</v>
      </c>
      <c r="O224" s="221"/>
      <c r="P224" s="148"/>
      <c r="Q224" s="148"/>
      <c r="R224" s="149"/>
      <c r="S224" s="149"/>
      <c r="T224" s="149"/>
      <c r="U224" s="149"/>
      <c r="V224" s="149"/>
      <c r="W224" s="149"/>
      <c r="X224" s="149"/>
      <c r="Y224" s="149"/>
      <c r="Z224" s="325">
        <f>Z216+1</f>
        <v>20</v>
      </c>
    </row>
    <row r="225" spans="11:26" ht="18" customHeight="1">
      <c r="K225" s="171" t="s">
        <v>14</v>
      </c>
      <c r="L225" s="171"/>
      <c r="M225" s="171"/>
      <c r="N225" s="140" t="s">
        <v>43</v>
      </c>
      <c r="O225" s="172">
        <v>3</v>
      </c>
      <c r="P225" s="219">
        <f ca="1">OFFSET($A$1,MATCH(Z224,$A:$A,0)-1,O225)</f>
        <v>0.155</v>
      </c>
      <c r="Q225" s="141" t="s">
        <v>29</v>
      </c>
      <c r="R225" s="142">
        <f t="shared" ref="R225:S230" ca="1" si="54">T225</f>
        <v>467217</v>
      </c>
      <c r="S225" s="142">
        <f t="shared" ca="1" si="54"/>
        <v>72418</v>
      </c>
      <c r="T225" s="142">
        <f ca="1">기술사</f>
        <v>467217</v>
      </c>
      <c r="U225" s="142">
        <f t="shared" ref="U225:U230" ca="1" si="55">ROUNDDOWN(P225*R225,0)</f>
        <v>72418</v>
      </c>
      <c r="V225" s="142"/>
      <c r="W225" s="142"/>
      <c r="X225" s="142"/>
      <c r="Y225" s="142"/>
      <c r="Z225" s="114"/>
    </row>
    <row r="226" spans="11:26" ht="18" customHeight="1">
      <c r="K226" s="171" t="s">
        <v>14</v>
      </c>
      <c r="L226" s="171"/>
      <c r="M226" s="171"/>
      <c r="N226" s="143" t="s">
        <v>32</v>
      </c>
      <c r="O226" s="173">
        <v>4</v>
      </c>
      <c r="P226" s="234">
        <f ca="1">OFFSET($A$1,MATCH(Z224,$A:$A,0)-1,O226)</f>
        <v>0.20599999999999999</v>
      </c>
      <c r="Q226" s="144" t="s">
        <v>29</v>
      </c>
      <c r="R226" s="118">
        <f t="shared" ca="1" si="54"/>
        <v>373353</v>
      </c>
      <c r="S226" s="118">
        <f t="shared" ca="1" si="54"/>
        <v>76910</v>
      </c>
      <c r="T226" s="118">
        <f ca="1">특급</f>
        <v>373353</v>
      </c>
      <c r="U226" s="118">
        <f t="shared" ca="1" si="55"/>
        <v>76910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39</v>
      </c>
      <c r="O227" s="173">
        <v>5</v>
      </c>
      <c r="P227" s="234">
        <f ca="1">OFFSET($A$1,MATCH(Z224,$A:$A,0)-1,O227)</f>
        <v>0.46500000000000002</v>
      </c>
      <c r="Q227" s="144" t="s">
        <v>29</v>
      </c>
      <c r="R227" s="118">
        <f t="shared" ca="1" si="54"/>
        <v>310884</v>
      </c>
      <c r="S227" s="118">
        <f t="shared" ca="1" si="54"/>
        <v>144561</v>
      </c>
      <c r="T227" s="118">
        <f ca="1">고급</f>
        <v>310884</v>
      </c>
      <c r="U227" s="118">
        <f t="shared" ca="1" si="55"/>
        <v>144561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40</v>
      </c>
      <c r="O228" s="173">
        <v>6</v>
      </c>
      <c r="P228" s="234">
        <f ca="1">OFFSET($A$1,MATCH(Z224,$A:$A,0)-1,O228)</f>
        <v>0.878</v>
      </c>
      <c r="Q228" s="144" t="s">
        <v>29</v>
      </c>
      <c r="R228" s="118">
        <f t="shared" ca="1" si="54"/>
        <v>295138</v>
      </c>
      <c r="S228" s="118">
        <f t="shared" ca="1" si="54"/>
        <v>259131</v>
      </c>
      <c r="T228" s="118">
        <f ca="1">중급</f>
        <v>295138</v>
      </c>
      <c r="U228" s="118">
        <f t="shared" ca="1" si="55"/>
        <v>259131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41</v>
      </c>
      <c r="O229" s="173">
        <v>7</v>
      </c>
      <c r="P229" s="234">
        <f ca="1">OFFSET($A$1,MATCH(Z224,$A:$A,0)-1,O229)</f>
        <v>1.137</v>
      </c>
      <c r="Q229" s="144" t="s">
        <v>29</v>
      </c>
      <c r="R229" s="118">
        <f t="shared" ca="1" si="54"/>
        <v>235459</v>
      </c>
      <c r="S229" s="118">
        <f t="shared" ca="1" si="54"/>
        <v>267716</v>
      </c>
      <c r="T229" s="118">
        <f ca="1">초급</f>
        <v>235459</v>
      </c>
      <c r="U229" s="118">
        <f t="shared" ca="1" si="55"/>
        <v>267716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319" t="s">
        <v>42</v>
      </c>
      <c r="O230" s="174">
        <v>8</v>
      </c>
      <c r="P230" s="235">
        <f ca="1">OFFSET($A$1,MATCH(Z224,$A:$A,0)-1,O230)</f>
        <v>1.6539999999999999</v>
      </c>
      <c r="Q230" s="322" t="s">
        <v>29</v>
      </c>
      <c r="R230" s="323">
        <f t="shared" ca="1" si="54"/>
        <v>250087</v>
      </c>
      <c r="S230" s="323">
        <f t="shared" ca="1" si="54"/>
        <v>413643</v>
      </c>
      <c r="T230" s="323">
        <f ca="1">보조원</f>
        <v>250087</v>
      </c>
      <c r="U230" s="323">
        <f t="shared" ca="1" si="55"/>
        <v>413643</v>
      </c>
      <c r="V230" s="323"/>
      <c r="W230" s="323"/>
      <c r="X230" s="323"/>
      <c r="Y230" s="323"/>
      <c r="Z230" s="324"/>
    </row>
    <row r="231" spans="11:26" ht="18" customHeight="1">
      <c r="K231" s="171" t="s">
        <v>14</v>
      </c>
      <c r="L231" s="171"/>
      <c r="M231" s="171"/>
      <c r="N231" s="139" t="s">
        <v>17</v>
      </c>
      <c r="O231" s="68"/>
      <c r="P231" s="69"/>
      <c r="Q231" s="70"/>
      <c r="R231" s="71"/>
      <c r="S231" s="71">
        <f ca="1">SUBTOTAL(9,S225:S230)</f>
        <v>1234379</v>
      </c>
      <c r="T231" s="71"/>
      <c r="U231" s="71">
        <f ca="1">SUBTOTAL(9,U225:U230)</f>
        <v>1234379</v>
      </c>
      <c r="V231" s="71"/>
      <c r="W231" s="71"/>
      <c r="X231" s="71"/>
      <c r="Y231" s="71"/>
      <c r="Z231" s="68"/>
    </row>
    <row r="232" spans="11:26" ht="18" customHeight="1">
      <c r="K232" s="171" t="s">
        <v>14</v>
      </c>
      <c r="L232" s="171"/>
      <c r="M232" s="171"/>
      <c r="N232" s="318" t="str">
        <f ca="1">"제 " &amp; Z232 &amp; " 호표  "&amp; OFFSET($A$1,MATCH(Z232,$A:$A,0)-1,1)</f>
        <v>제 21 호표  5.3. 경관사업 및 단계별 추진계획</v>
      </c>
      <c r="O232" s="221"/>
      <c r="P232" s="148"/>
      <c r="Q232" s="148"/>
      <c r="R232" s="149"/>
      <c r="S232" s="149"/>
      <c r="T232" s="149"/>
      <c r="U232" s="149"/>
      <c r="V232" s="149"/>
      <c r="W232" s="149"/>
      <c r="X232" s="149"/>
      <c r="Y232" s="149"/>
      <c r="Z232" s="325">
        <f>Z224+1</f>
        <v>21</v>
      </c>
    </row>
    <row r="233" spans="11:26" ht="18" customHeight="1">
      <c r="K233" s="171" t="s">
        <v>14</v>
      </c>
      <c r="L233" s="171"/>
      <c r="M233" s="171"/>
      <c r="N233" s="140" t="s">
        <v>43</v>
      </c>
      <c r="O233" s="172">
        <v>3</v>
      </c>
      <c r="P233" s="219">
        <f ca="1">OFFSET($A$1,MATCH(Z232,$A:$A,0)-1,O233)</f>
        <v>0.93</v>
      </c>
      <c r="Q233" s="141" t="s">
        <v>29</v>
      </c>
      <c r="R233" s="142">
        <f t="shared" ref="R233:S238" ca="1" si="56">T233</f>
        <v>467217</v>
      </c>
      <c r="S233" s="142">
        <f t="shared" ca="1" si="56"/>
        <v>434511</v>
      </c>
      <c r="T233" s="142">
        <f ca="1">기술사</f>
        <v>467217</v>
      </c>
      <c r="U233" s="142">
        <f t="shared" ref="U233:U238" ca="1" si="57">ROUNDDOWN(P233*R233,0)</f>
        <v>434511</v>
      </c>
      <c r="V233" s="142"/>
      <c r="W233" s="142"/>
      <c r="X233" s="142"/>
      <c r="Y233" s="142"/>
      <c r="Z233" s="114"/>
    </row>
    <row r="234" spans="11:26" ht="18" customHeight="1">
      <c r="K234" s="171" t="s">
        <v>14</v>
      </c>
      <c r="L234" s="171"/>
      <c r="M234" s="171"/>
      <c r="N234" s="143" t="s">
        <v>32</v>
      </c>
      <c r="O234" s="173">
        <v>4</v>
      </c>
      <c r="P234" s="234">
        <f ca="1">OFFSET($A$1,MATCH(Z232,$A:$A,0)-1,O234)</f>
        <v>1.24</v>
      </c>
      <c r="Q234" s="144" t="s">
        <v>29</v>
      </c>
      <c r="R234" s="118">
        <f t="shared" ca="1" si="56"/>
        <v>373353</v>
      </c>
      <c r="S234" s="118">
        <f t="shared" ca="1" si="56"/>
        <v>462957</v>
      </c>
      <c r="T234" s="118">
        <f ca="1">특급</f>
        <v>373353</v>
      </c>
      <c r="U234" s="118">
        <f t="shared" ca="1" si="57"/>
        <v>462957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39</v>
      </c>
      <c r="O235" s="173">
        <v>5</v>
      </c>
      <c r="P235" s="234">
        <f ca="1">OFFSET($A$1,MATCH(Z232,$A:$A,0)-1,O235)</f>
        <v>2.7909999999999999</v>
      </c>
      <c r="Q235" s="144" t="s">
        <v>29</v>
      </c>
      <c r="R235" s="118">
        <f t="shared" ca="1" si="56"/>
        <v>310884</v>
      </c>
      <c r="S235" s="118">
        <f t="shared" ca="1" si="56"/>
        <v>867677</v>
      </c>
      <c r="T235" s="118">
        <f ca="1">고급</f>
        <v>310884</v>
      </c>
      <c r="U235" s="118">
        <f t="shared" ca="1" si="57"/>
        <v>867677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40</v>
      </c>
      <c r="O236" s="173">
        <v>6</v>
      </c>
      <c r="P236" s="234">
        <f ca="1">OFFSET($A$1,MATCH(Z232,$A:$A,0)-1,O236)</f>
        <v>4.7039999999999997</v>
      </c>
      <c r="Q236" s="144" t="s">
        <v>29</v>
      </c>
      <c r="R236" s="118">
        <f t="shared" ca="1" si="56"/>
        <v>295138</v>
      </c>
      <c r="S236" s="118">
        <f t="shared" ca="1" si="56"/>
        <v>1388329</v>
      </c>
      <c r="T236" s="118">
        <f ca="1">중급</f>
        <v>295138</v>
      </c>
      <c r="U236" s="118">
        <f t="shared" ca="1" si="57"/>
        <v>1388329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41</v>
      </c>
      <c r="O237" s="173">
        <v>7</v>
      </c>
      <c r="P237" s="234">
        <f ca="1">OFFSET($A$1,MATCH(Z232,$A:$A,0)-1,O237)</f>
        <v>6.2549999999999999</v>
      </c>
      <c r="Q237" s="144" t="s">
        <v>29</v>
      </c>
      <c r="R237" s="118">
        <f t="shared" ca="1" si="56"/>
        <v>235459</v>
      </c>
      <c r="S237" s="118">
        <f t="shared" ca="1" si="56"/>
        <v>1472796</v>
      </c>
      <c r="T237" s="118">
        <f ca="1">초급</f>
        <v>235459</v>
      </c>
      <c r="U237" s="118">
        <f t="shared" ca="1" si="57"/>
        <v>1472796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319" t="s">
        <v>42</v>
      </c>
      <c r="O238" s="174">
        <v>8</v>
      </c>
      <c r="P238" s="235">
        <f ca="1">OFFSET($A$1,MATCH(Z232,$A:$A,0)-1,O238)</f>
        <v>8.7889999999999997</v>
      </c>
      <c r="Q238" s="322" t="s">
        <v>29</v>
      </c>
      <c r="R238" s="323">
        <f t="shared" ca="1" si="56"/>
        <v>250087</v>
      </c>
      <c r="S238" s="323">
        <f t="shared" ca="1" si="56"/>
        <v>2198014</v>
      </c>
      <c r="T238" s="323">
        <f ca="1">보조원</f>
        <v>250087</v>
      </c>
      <c r="U238" s="323">
        <f t="shared" ca="1" si="57"/>
        <v>2198014</v>
      </c>
      <c r="V238" s="323"/>
      <c r="W238" s="323"/>
      <c r="X238" s="323"/>
      <c r="Y238" s="323"/>
      <c r="Z238" s="324"/>
    </row>
    <row r="239" spans="11:26" ht="18" customHeight="1">
      <c r="K239" s="171" t="s">
        <v>14</v>
      </c>
      <c r="L239" s="171"/>
      <c r="M239" s="171"/>
      <c r="N239" s="139" t="s">
        <v>17</v>
      </c>
      <c r="O239" s="68"/>
      <c r="P239" s="69"/>
      <c r="Q239" s="70"/>
      <c r="R239" s="71"/>
      <c r="S239" s="71">
        <f ca="1">SUBTOTAL(9,S233:S238)</f>
        <v>6824284</v>
      </c>
      <c r="T239" s="71"/>
      <c r="U239" s="71">
        <f ca="1">SUBTOTAL(9,U233:U238)</f>
        <v>6824284</v>
      </c>
      <c r="V239" s="71"/>
      <c r="W239" s="71"/>
      <c r="X239" s="71"/>
      <c r="Y239" s="71"/>
      <c r="Z239" s="68"/>
    </row>
    <row r="240" spans="11:26" ht="18" customHeight="1">
      <c r="K240" s="171" t="s">
        <v>14</v>
      </c>
      <c r="L240" s="171"/>
      <c r="M240" s="171"/>
      <c r="N240" s="318" t="str">
        <f ca="1">"제 " &amp; Z240 &amp; " 호표  "&amp; OFFSET($A$1,MATCH(Z240,$A:$A,0)-1,1)</f>
        <v>제 22 호표  5.4. 경관협정의 적용 및 운영</v>
      </c>
      <c r="O240" s="221"/>
      <c r="P240" s="148"/>
      <c r="Q240" s="148"/>
      <c r="R240" s="149"/>
      <c r="S240" s="149"/>
      <c r="T240" s="149"/>
      <c r="U240" s="149"/>
      <c r="V240" s="149"/>
      <c r="W240" s="149"/>
      <c r="X240" s="149"/>
      <c r="Y240" s="149"/>
      <c r="Z240" s="325">
        <f>Z232+1</f>
        <v>22</v>
      </c>
    </row>
    <row r="241" spans="11:26" ht="18" customHeight="1">
      <c r="K241" s="171" t="s">
        <v>14</v>
      </c>
      <c r="L241" s="171"/>
      <c r="M241" s="171"/>
      <c r="N241" s="140" t="s">
        <v>43</v>
      </c>
      <c r="O241" s="172">
        <v>3</v>
      </c>
      <c r="P241" s="219">
        <f ca="1">OFFSET($A$1,MATCH(Z240,$A:$A,0)-1,O241)</f>
        <v>0.155</v>
      </c>
      <c r="Q241" s="141" t="s">
        <v>29</v>
      </c>
      <c r="R241" s="142">
        <f t="shared" ref="R241:S246" ca="1" si="58">T241</f>
        <v>467217</v>
      </c>
      <c r="S241" s="142">
        <f t="shared" ca="1" si="58"/>
        <v>72418</v>
      </c>
      <c r="T241" s="142">
        <f ca="1">기술사</f>
        <v>467217</v>
      </c>
      <c r="U241" s="142">
        <f t="shared" ref="U241:U246" ca="1" si="59">ROUNDDOWN(P241*R241,0)</f>
        <v>72418</v>
      </c>
      <c r="V241" s="142"/>
      <c r="W241" s="142"/>
      <c r="X241" s="142"/>
      <c r="Y241" s="142"/>
      <c r="Z241" s="114"/>
    </row>
    <row r="242" spans="11:26" ht="18" customHeight="1">
      <c r="K242" s="171" t="s">
        <v>14</v>
      </c>
      <c r="L242" s="171"/>
      <c r="M242" s="171"/>
      <c r="N242" s="143" t="s">
        <v>32</v>
      </c>
      <c r="O242" s="173">
        <v>4</v>
      </c>
      <c r="P242" s="234">
        <f ca="1">OFFSET($A$1,MATCH(Z240,$A:$A,0)-1,O242)</f>
        <v>0.20599999999999999</v>
      </c>
      <c r="Q242" s="144" t="s">
        <v>29</v>
      </c>
      <c r="R242" s="118">
        <f t="shared" ca="1" si="58"/>
        <v>373353</v>
      </c>
      <c r="S242" s="118">
        <f t="shared" ca="1" si="58"/>
        <v>76910</v>
      </c>
      <c r="T242" s="118">
        <f ca="1">특급</f>
        <v>373353</v>
      </c>
      <c r="U242" s="118">
        <f t="shared" ca="1" si="59"/>
        <v>76910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145" t="s">
        <v>39</v>
      </c>
      <c r="O243" s="173">
        <v>5</v>
      </c>
      <c r="P243" s="234">
        <f ca="1">OFFSET($A$1,MATCH(Z240,$A:$A,0)-1,O243)</f>
        <v>0.46500000000000002</v>
      </c>
      <c r="Q243" s="144" t="s">
        <v>29</v>
      </c>
      <c r="R243" s="118">
        <f t="shared" ca="1" si="58"/>
        <v>310884</v>
      </c>
      <c r="S243" s="118">
        <f t="shared" ca="1" si="58"/>
        <v>144561</v>
      </c>
      <c r="T243" s="118">
        <f ca="1">고급</f>
        <v>310884</v>
      </c>
      <c r="U243" s="118">
        <f t="shared" ca="1" si="59"/>
        <v>144561</v>
      </c>
      <c r="V243" s="118"/>
      <c r="W243" s="118"/>
      <c r="X243" s="118"/>
      <c r="Y243" s="118"/>
      <c r="Z243" s="115"/>
    </row>
    <row r="244" spans="11:26" ht="18" customHeight="1">
      <c r="K244" s="171" t="s">
        <v>14</v>
      </c>
      <c r="L244" s="171"/>
      <c r="M244" s="171"/>
      <c r="N244" s="145" t="s">
        <v>40</v>
      </c>
      <c r="O244" s="173">
        <v>6</v>
      </c>
      <c r="P244" s="234">
        <f ca="1">OFFSET($A$1,MATCH(Z240,$A:$A,0)-1,O244)</f>
        <v>0.878</v>
      </c>
      <c r="Q244" s="144" t="s">
        <v>29</v>
      </c>
      <c r="R244" s="118">
        <f t="shared" ca="1" si="58"/>
        <v>295138</v>
      </c>
      <c r="S244" s="118">
        <f t="shared" ca="1" si="58"/>
        <v>259131</v>
      </c>
      <c r="T244" s="118">
        <f ca="1">중급</f>
        <v>295138</v>
      </c>
      <c r="U244" s="118">
        <f t="shared" ca="1" si="59"/>
        <v>259131</v>
      </c>
      <c r="V244" s="118"/>
      <c r="W244" s="118"/>
      <c r="X244" s="118"/>
      <c r="Y244" s="118"/>
      <c r="Z244" s="115"/>
    </row>
    <row r="245" spans="11:26" ht="18" customHeight="1">
      <c r="K245" s="171" t="s">
        <v>14</v>
      </c>
      <c r="L245" s="171"/>
      <c r="M245" s="171"/>
      <c r="N245" s="145" t="s">
        <v>41</v>
      </c>
      <c r="O245" s="173">
        <v>7</v>
      </c>
      <c r="P245" s="234">
        <f ca="1">OFFSET($A$1,MATCH(Z240,$A:$A,0)-1,O245)</f>
        <v>1.137</v>
      </c>
      <c r="Q245" s="144" t="s">
        <v>29</v>
      </c>
      <c r="R245" s="118">
        <f t="shared" ca="1" si="58"/>
        <v>235459</v>
      </c>
      <c r="S245" s="118">
        <f t="shared" ca="1" si="58"/>
        <v>267716</v>
      </c>
      <c r="T245" s="118">
        <f ca="1">초급</f>
        <v>235459</v>
      </c>
      <c r="U245" s="118">
        <f t="shared" ca="1" si="59"/>
        <v>267716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319" t="s">
        <v>42</v>
      </c>
      <c r="O246" s="174">
        <v>8</v>
      </c>
      <c r="P246" s="235">
        <f ca="1">OFFSET($A$1,MATCH(Z240,$A:$A,0)-1,O246)</f>
        <v>1.6539999999999999</v>
      </c>
      <c r="Q246" s="322" t="s">
        <v>29</v>
      </c>
      <c r="R246" s="323">
        <f t="shared" ca="1" si="58"/>
        <v>250087</v>
      </c>
      <c r="S246" s="323">
        <f t="shared" ca="1" si="58"/>
        <v>413643</v>
      </c>
      <c r="T246" s="323">
        <f ca="1">보조원</f>
        <v>250087</v>
      </c>
      <c r="U246" s="323">
        <f t="shared" ca="1" si="59"/>
        <v>413643</v>
      </c>
      <c r="V246" s="323"/>
      <c r="W246" s="323"/>
      <c r="X246" s="323"/>
      <c r="Y246" s="323"/>
      <c r="Z246" s="324"/>
    </row>
    <row r="247" spans="11:26" ht="18" customHeight="1">
      <c r="K247" s="171" t="s">
        <v>14</v>
      </c>
      <c r="L247" s="171"/>
      <c r="M247" s="171"/>
      <c r="N247" s="139" t="s">
        <v>17</v>
      </c>
      <c r="O247" s="68"/>
      <c r="P247" s="69"/>
      <c r="Q247" s="70"/>
      <c r="R247" s="71"/>
      <c r="S247" s="71">
        <f ca="1">SUBTOTAL(9,S241:S246)</f>
        <v>1234379</v>
      </c>
      <c r="T247" s="71"/>
      <c r="U247" s="71">
        <f ca="1">SUBTOTAL(9,U241:U246)</f>
        <v>1234379</v>
      </c>
      <c r="V247" s="71"/>
      <c r="W247" s="71"/>
      <c r="X247" s="71"/>
      <c r="Y247" s="71"/>
      <c r="Z247" s="68"/>
    </row>
    <row r="248" spans="11:26" ht="18" customHeight="1">
      <c r="K248" s="171" t="s">
        <v>14</v>
      </c>
      <c r="L248" s="171"/>
      <c r="M248" s="171"/>
      <c r="N248" s="318" t="str">
        <f ca="1">"제 " &amp; Z248 &amp; " 호표  "&amp; OFFSET($A$1,MATCH(Z248,$A:$A,0)-1,1)</f>
        <v>제 23 호표  5.5. 경관관리 실행조직 및 실행체계</v>
      </c>
      <c r="O248" s="221"/>
      <c r="P248" s="148"/>
      <c r="Q248" s="148"/>
      <c r="R248" s="149"/>
      <c r="S248" s="149"/>
      <c r="T248" s="149"/>
      <c r="U248" s="149"/>
      <c r="V248" s="149"/>
      <c r="W248" s="149"/>
      <c r="X248" s="149"/>
      <c r="Y248" s="149"/>
      <c r="Z248" s="325">
        <f>Z240+1</f>
        <v>23</v>
      </c>
    </row>
    <row r="249" spans="11:26" ht="18" customHeight="1">
      <c r="K249" s="171" t="s">
        <v>14</v>
      </c>
      <c r="L249" s="171"/>
      <c r="M249" s="171"/>
      <c r="N249" s="140" t="s">
        <v>43</v>
      </c>
      <c r="O249" s="172">
        <v>3</v>
      </c>
      <c r="P249" s="219">
        <f ca="1">OFFSET($A$1,MATCH(Z248,$A:$A,0)-1,O249)</f>
        <v>0.155</v>
      </c>
      <c r="Q249" s="141" t="s">
        <v>29</v>
      </c>
      <c r="R249" s="142">
        <f t="shared" ref="R249:S254" ca="1" si="60">T249</f>
        <v>467217</v>
      </c>
      <c r="S249" s="142">
        <f t="shared" ca="1" si="60"/>
        <v>72418</v>
      </c>
      <c r="T249" s="142">
        <f ca="1">기술사</f>
        <v>467217</v>
      </c>
      <c r="U249" s="142">
        <f t="shared" ref="U249:U254" ca="1" si="61">ROUNDDOWN(P249*R249,0)</f>
        <v>72418</v>
      </c>
      <c r="V249" s="142"/>
      <c r="W249" s="142"/>
      <c r="X249" s="142"/>
      <c r="Y249" s="142"/>
      <c r="Z249" s="114"/>
    </row>
    <row r="250" spans="11:26" ht="18" customHeight="1">
      <c r="K250" s="171" t="s">
        <v>14</v>
      </c>
      <c r="L250" s="171"/>
      <c r="M250" s="171"/>
      <c r="N250" s="143" t="s">
        <v>32</v>
      </c>
      <c r="O250" s="173">
        <v>4</v>
      </c>
      <c r="P250" s="234">
        <f ca="1">OFFSET($A$1,MATCH(Z248,$A:$A,0)-1,O250)</f>
        <v>0.20599999999999999</v>
      </c>
      <c r="Q250" s="144" t="s">
        <v>29</v>
      </c>
      <c r="R250" s="118">
        <f t="shared" ca="1" si="60"/>
        <v>373353</v>
      </c>
      <c r="S250" s="118">
        <f t="shared" ca="1" si="60"/>
        <v>76910</v>
      </c>
      <c r="T250" s="118">
        <f ca="1">특급</f>
        <v>373353</v>
      </c>
      <c r="U250" s="118">
        <f t="shared" ca="1" si="61"/>
        <v>76910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145" t="s">
        <v>39</v>
      </c>
      <c r="O251" s="173">
        <v>5</v>
      </c>
      <c r="P251" s="234">
        <f ca="1">OFFSET($A$1,MATCH(Z248,$A:$A,0)-1,O251)</f>
        <v>0.46500000000000002</v>
      </c>
      <c r="Q251" s="144" t="s">
        <v>29</v>
      </c>
      <c r="R251" s="118">
        <f t="shared" ca="1" si="60"/>
        <v>310884</v>
      </c>
      <c r="S251" s="118">
        <f t="shared" ca="1" si="60"/>
        <v>144561</v>
      </c>
      <c r="T251" s="118">
        <f ca="1">고급</f>
        <v>310884</v>
      </c>
      <c r="U251" s="118">
        <f t="shared" ca="1" si="61"/>
        <v>144561</v>
      </c>
      <c r="V251" s="118"/>
      <c r="W251" s="118"/>
      <c r="X251" s="118"/>
      <c r="Y251" s="118"/>
      <c r="Z251" s="115"/>
    </row>
    <row r="252" spans="11:26" ht="18" customHeight="1">
      <c r="K252" s="171" t="s">
        <v>14</v>
      </c>
      <c r="L252" s="171"/>
      <c r="M252" s="171"/>
      <c r="N252" s="145" t="s">
        <v>40</v>
      </c>
      <c r="O252" s="173">
        <v>6</v>
      </c>
      <c r="P252" s="234">
        <f ca="1">OFFSET($A$1,MATCH(Z248,$A:$A,0)-1,O252)</f>
        <v>0.878</v>
      </c>
      <c r="Q252" s="144" t="s">
        <v>29</v>
      </c>
      <c r="R252" s="118">
        <f t="shared" ca="1" si="60"/>
        <v>295138</v>
      </c>
      <c r="S252" s="118">
        <f t="shared" ca="1" si="60"/>
        <v>259131</v>
      </c>
      <c r="T252" s="118">
        <f ca="1">중급</f>
        <v>295138</v>
      </c>
      <c r="U252" s="118">
        <f t="shared" ca="1" si="61"/>
        <v>259131</v>
      </c>
      <c r="V252" s="118"/>
      <c r="W252" s="118"/>
      <c r="X252" s="118"/>
      <c r="Y252" s="118"/>
      <c r="Z252" s="115"/>
    </row>
    <row r="253" spans="11:26" ht="18" customHeight="1">
      <c r="K253" s="171" t="s">
        <v>14</v>
      </c>
      <c r="L253" s="171"/>
      <c r="M253" s="171"/>
      <c r="N253" s="145" t="s">
        <v>41</v>
      </c>
      <c r="O253" s="173">
        <v>7</v>
      </c>
      <c r="P253" s="234">
        <f ca="1">OFFSET($A$1,MATCH(Z248,$A:$A,0)-1,O253)</f>
        <v>1.137</v>
      </c>
      <c r="Q253" s="144" t="s">
        <v>29</v>
      </c>
      <c r="R253" s="118">
        <f t="shared" ca="1" si="60"/>
        <v>235459</v>
      </c>
      <c r="S253" s="118">
        <f t="shared" ca="1" si="60"/>
        <v>267716</v>
      </c>
      <c r="T253" s="118">
        <f ca="1">초급</f>
        <v>235459</v>
      </c>
      <c r="U253" s="118">
        <f t="shared" ca="1" si="61"/>
        <v>267716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319" t="s">
        <v>42</v>
      </c>
      <c r="O254" s="174">
        <v>8</v>
      </c>
      <c r="P254" s="235">
        <f ca="1">OFFSET($A$1,MATCH(Z248,$A:$A,0)-1,O254)</f>
        <v>1.6539999999999999</v>
      </c>
      <c r="Q254" s="322" t="s">
        <v>29</v>
      </c>
      <c r="R254" s="323">
        <f t="shared" ca="1" si="60"/>
        <v>250087</v>
      </c>
      <c r="S254" s="323">
        <f t="shared" ca="1" si="60"/>
        <v>413643</v>
      </c>
      <c r="T254" s="323">
        <f ca="1">보조원</f>
        <v>250087</v>
      </c>
      <c r="U254" s="323">
        <f t="shared" ca="1" si="61"/>
        <v>413643</v>
      </c>
      <c r="V254" s="323"/>
      <c r="W254" s="323"/>
      <c r="X254" s="323"/>
      <c r="Y254" s="323"/>
      <c r="Z254" s="324"/>
    </row>
    <row r="255" spans="11:26" ht="18" customHeight="1">
      <c r="K255" s="171" t="s">
        <v>14</v>
      </c>
      <c r="L255" s="171"/>
      <c r="M255" s="171"/>
      <c r="N255" s="139" t="s">
        <v>17</v>
      </c>
      <c r="O255" s="68"/>
      <c r="P255" s="69"/>
      <c r="Q255" s="70"/>
      <c r="R255" s="71"/>
      <c r="S255" s="71">
        <f ca="1">SUBTOTAL(9,S249:S254)</f>
        <v>1234379</v>
      </c>
      <c r="T255" s="71"/>
      <c r="U255" s="71">
        <f ca="1">SUBTOTAL(9,U249:U254)</f>
        <v>1234379</v>
      </c>
      <c r="V255" s="71"/>
      <c r="W255" s="71"/>
      <c r="X255" s="71"/>
      <c r="Y255" s="71"/>
      <c r="Z255" s="68"/>
    </row>
    <row r="256" spans="11:26" ht="18" customHeight="1">
      <c r="K256" s="171" t="s">
        <v>14</v>
      </c>
      <c r="L256" s="171"/>
      <c r="M256" s="171"/>
      <c r="N256" s="318" t="str">
        <f ca="1">"제 " &amp; Z256 &amp; " 호표  "&amp; OFFSET($A$1,MATCH(Z256,$A:$A,0)-1,1)</f>
        <v>제 24 호표  5.6. 경관조례 및 경관관련 자문 및 심의</v>
      </c>
      <c r="O256" s="221"/>
      <c r="P256" s="148"/>
      <c r="Q256" s="148"/>
      <c r="R256" s="149"/>
      <c r="S256" s="149"/>
      <c r="T256" s="149"/>
      <c r="U256" s="149"/>
      <c r="V256" s="149"/>
      <c r="W256" s="149"/>
      <c r="X256" s="149"/>
      <c r="Y256" s="149"/>
      <c r="Z256" s="325">
        <f>Z248+1</f>
        <v>24</v>
      </c>
    </row>
    <row r="257" spans="11:26" ht="18" customHeight="1">
      <c r="K257" s="171" t="s">
        <v>14</v>
      </c>
      <c r="L257" s="171"/>
      <c r="M257" s="171"/>
      <c r="N257" s="140" t="s">
        <v>43</v>
      </c>
      <c r="O257" s="172">
        <v>3</v>
      </c>
      <c r="P257" s="219">
        <f ca="1">OFFSET($A$1,MATCH(Z256,$A:$A,0)-1,O257)</f>
        <v>0.155</v>
      </c>
      <c r="Q257" s="141" t="s">
        <v>29</v>
      </c>
      <c r="R257" s="142">
        <f t="shared" ref="R257:R262" ca="1" si="62">T257</f>
        <v>467217</v>
      </c>
      <c r="S257" s="142">
        <f t="shared" ref="S257:S262" ca="1" si="63">U257</f>
        <v>72418</v>
      </c>
      <c r="T257" s="142">
        <f ca="1">기술사</f>
        <v>467217</v>
      </c>
      <c r="U257" s="142">
        <f t="shared" ref="U257:U262" ca="1" si="64">ROUNDDOWN(P257*R257,0)</f>
        <v>72418</v>
      </c>
      <c r="V257" s="142"/>
      <c r="W257" s="142"/>
      <c r="X257" s="142"/>
      <c r="Y257" s="142"/>
      <c r="Z257" s="114"/>
    </row>
    <row r="258" spans="11:26" ht="18" customHeight="1">
      <c r="K258" s="171" t="s">
        <v>14</v>
      </c>
      <c r="L258" s="171"/>
      <c r="M258" s="171"/>
      <c r="N258" s="143" t="s">
        <v>32</v>
      </c>
      <c r="O258" s="173">
        <v>4</v>
      </c>
      <c r="P258" s="234">
        <f ca="1">OFFSET($A$1,MATCH(Z256,$A:$A,0)-1,O258)</f>
        <v>0.20599999999999999</v>
      </c>
      <c r="Q258" s="144" t="s">
        <v>29</v>
      </c>
      <c r="R258" s="118">
        <f t="shared" ca="1" si="62"/>
        <v>373353</v>
      </c>
      <c r="S258" s="118">
        <f t="shared" ca="1" si="63"/>
        <v>76910</v>
      </c>
      <c r="T258" s="118">
        <f ca="1">특급</f>
        <v>373353</v>
      </c>
      <c r="U258" s="118">
        <f t="shared" ca="1" si="64"/>
        <v>76910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145" t="s">
        <v>39</v>
      </c>
      <c r="O259" s="173">
        <v>5</v>
      </c>
      <c r="P259" s="234">
        <f ca="1">OFFSET($A$1,MATCH(Z256,$A:$A,0)-1,O259)</f>
        <v>0.46500000000000002</v>
      </c>
      <c r="Q259" s="144" t="s">
        <v>29</v>
      </c>
      <c r="R259" s="118">
        <f t="shared" ca="1" si="62"/>
        <v>310884</v>
      </c>
      <c r="S259" s="118">
        <f t="shared" ca="1" si="63"/>
        <v>144561</v>
      </c>
      <c r="T259" s="118">
        <f ca="1">고급</f>
        <v>310884</v>
      </c>
      <c r="U259" s="118">
        <f t="shared" ca="1" si="64"/>
        <v>144561</v>
      </c>
      <c r="V259" s="118"/>
      <c r="W259" s="118"/>
      <c r="X259" s="118"/>
      <c r="Y259" s="118"/>
      <c r="Z259" s="115"/>
    </row>
    <row r="260" spans="11:26" ht="18" customHeight="1">
      <c r="K260" s="171" t="s">
        <v>14</v>
      </c>
      <c r="L260" s="171"/>
      <c r="M260" s="171"/>
      <c r="N260" s="145" t="s">
        <v>40</v>
      </c>
      <c r="O260" s="173">
        <v>6</v>
      </c>
      <c r="P260" s="234">
        <f ca="1">OFFSET($A$1,MATCH(Z256,$A:$A,0)-1,O260)</f>
        <v>0.878</v>
      </c>
      <c r="Q260" s="144" t="s">
        <v>29</v>
      </c>
      <c r="R260" s="118">
        <f t="shared" ca="1" si="62"/>
        <v>295138</v>
      </c>
      <c r="S260" s="118">
        <f t="shared" ca="1" si="63"/>
        <v>259131</v>
      </c>
      <c r="T260" s="118">
        <f ca="1">중급</f>
        <v>295138</v>
      </c>
      <c r="U260" s="118">
        <f t="shared" ca="1" si="64"/>
        <v>259131</v>
      </c>
      <c r="V260" s="118"/>
      <c r="W260" s="118"/>
      <c r="X260" s="118"/>
      <c r="Y260" s="118"/>
      <c r="Z260" s="115"/>
    </row>
    <row r="261" spans="11:26" ht="18" customHeight="1">
      <c r="K261" s="171" t="s">
        <v>14</v>
      </c>
      <c r="L261" s="171"/>
      <c r="M261" s="171"/>
      <c r="N261" s="145" t="s">
        <v>41</v>
      </c>
      <c r="O261" s="173">
        <v>7</v>
      </c>
      <c r="P261" s="234">
        <f ca="1">OFFSET($A$1,MATCH(Z256,$A:$A,0)-1,O261)</f>
        <v>1.137</v>
      </c>
      <c r="Q261" s="144" t="s">
        <v>29</v>
      </c>
      <c r="R261" s="118">
        <f t="shared" ca="1" si="62"/>
        <v>235459</v>
      </c>
      <c r="S261" s="118">
        <f t="shared" ca="1" si="63"/>
        <v>267716</v>
      </c>
      <c r="T261" s="118">
        <f ca="1">초급</f>
        <v>235459</v>
      </c>
      <c r="U261" s="118">
        <f t="shared" ca="1" si="64"/>
        <v>267716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319" t="s">
        <v>42</v>
      </c>
      <c r="O262" s="174">
        <v>8</v>
      </c>
      <c r="P262" s="235">
        <f ca="1">OFFSET($A$1,MATCH(Z256,$A:$A,0)-1,O262)</f>
        <v>1.6539999999999999</v>
      </c>
      <c r="Q262" s="322" t="s">
        <v>29</v>
      </c>
      <c r="R262" s="323">
        <f t="shared" ca="1" si="62"/>
        <v>250087</v>
      </c>
      <c r="S262" s="323">
        <f t="shared" ca="1" si="63"/>
        <v>413643</v>
      </c>
      <c r="T262" s="323">
        <f ca="1">보조원</f>
        <v>250087</v>
      </c>
      <c r="U262" s="323">
        <f t="shared" ca="1" si="64"/>
        <v>413643</v>
      </c>
      <c r="V262" s="323"/>
      <c r="W262" s="323"/>
      <c r="X262" s="323"/>
      <c r="Y262" s="323"/>
      <c r="Z262" s="324"/>
    </row>
    <row r="263" spans="11:26" ht="18" customHeight="1">
      <c r="K263" s="171" t="s">
        <v>14</v>
      </c>
      <c r="L263" s="171"/>
      <c r="M263" s="171"/>
      <c r="N263" s="139" t="s">
        <v>17</v>
      </c>
      <c r="O263" s="68"/>
      <c r="P263" s="69"/>
      <c r="Q263" s="70"/>
      <c r="R263" s="71"/>
      <c r="S263" s="71">
        <f ca="1">SUBTOTAL(9,S257:S262)</f>
        <v>1234379</v>
      </c>
      <c r="T263" s="71"/>
      <c r="U263" s="71">
        <f ca="1">SUBTOTAL(9,U257:U262)</f>
        <v>1234379</v>
      </c>
      <c r="V263" s="71"/>
      <c r="W263" s="71"/>
      <c r="X263" s="71"/>
      <c r="Y263" s="71"/>
      <c r="Z263" s="68"/>
    </row>
    <row r="264" spans="11:26" ht="18" customHeight="1">
      <c r="K264" s="171" t="s">
        <v>14</v>
      </c>
      <c r="L264" s="171"/>
      <c r="M264" s="171"/>
      <c r="N264" s="318" t="str">
        <f ca="1">"제 " &amp; Z264 &amp; " 호표  "&amp; OFFSET($A$1,MATCH(Z264,$A:$A,0)-1,1)</f>
        <v>제 25 호표  5.7. 경관가이드라인</v>
      </c>
      <c r="O264" s="221"/>
      <c r="P264" s="148"/>
      <c r="Q264" s="148"/>
      <c r="R264" s="149"/>
      <c r="S264" s="149"/>
      <c r="T264" s="149"/>
      <c r="U264" s="149"/>
      <c r="V264" s="149"/>
      <c r="W264" s="149"/>
      <c r="X264" s="149"/>
      <c r="Y264" s="149"/>
      <c r="Z264" s="325">
        <f>Z256+1</f>
        <v>25</v>
      </c>
    </row>
    <row r="265" spans="11:26" ht="18" customHeight="1">
      <c r="K265" s="171" t="s">
        <v>14</v>
      </c>
      <c r="L265" s="171"/>
      <c r="M265" s="171"/>
      <c r="N265" s="140" t="s">
        <v>43</v>
      </c>
      <c r="O265" s="172">
        <v>3</v>
      </c>
      <c r="P265" s="219">
        <f ca="1">OFFSET($A$1,MATCH(Z264,$A:$A,0)-1,O265)</f>
        <v>0.31</v>
      </c>
      <c r="Q265" s="141" t="s">
        <v>29</v>
      </c>
      <c r="R265" s="142">
        <f t="shared" ref="R265:R270" ca="1" si="65">T265</f>
        <v>467217</v>
      </c>
      <c r="S265" s="142">
        <f t="shared" ref="S265:S270" ca="1" si="66">U265</f>
        <v>144837</v>
      </c>
      <c r="T265" s="142">
        <f ca="1">기술사</f>
        <v>467217</v>
      </c>
      <c r="U265" s="142">
        <f t="shared" ref="U265:U270" ca="1" si="67">ROUNDDOWN(P265*R265,0)</f>
        <v>144837</v>
      </c>
      <c r="V265" s="142"/>
      <c r="W265" s="142"/>
      <c r="X265" s="142"/>
      <c r="Y265" s="142"/>
      <c r="Z265" s="114"/>
    </row>
    <row r="266" spans="11:26" ht="18" customHeight="1">
      <c r="K266" s="171" t="s">
        <v>14</v>
      </c>
      <c r="L266" s="171"/>
      <c r="M266" s="171"/>
      <c r="N266" s="143" t="s">
        <v>32</v>
      </c>
      <c r="O266" s="173">
        <v>4</v>
      </c>
      <c r="P266" s="234">
        <f ca="1">OFFSET($A$1,MATCH(Z264,$A:$A,0)-1,O266)</f>
        <v>0.56799999999999995</v>
      </c>
      <c r="Q266" s="144" t="s">
        <v>29</v>
      </c>
      <c r="R266" s="118">
        <f t="shared" ca="1" si="65"/>
        <v>373353</v>
      </c>
      <c r="S266" s="118">
        <f t="shared" ca="1" si="66"/>
        <v>212064</v>
      </c>
      <c r="T266" s="118">
        <f ca="1">특급</f>
        <v>373353</v>
      </c>
      <c r="U266" s="118">
        <f t="shared" ca="1" si="67"/>
        <v>212064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145" t="s">
        <v>39</v>
      </c>
      <c r="O267" s="173">
        <v>5</v>
      </c>
      <c r="P267" s="234">
        <f ca="1">OFFSET($A$1,MATCH(Z264,$A:$A,0)-1,O267)</f>
        <v>1.1890000000000001</v>
      </c>
      <c r="Q267" s="144" t="s">
        <v>29</v>
      </c>
      <c r="R267" s="118">
        <f t="shared" ca="1" si="65"/>
        <v>310884</v>
      </c>
      <c r="S267" s="118">
        <f t="shared" ca="1" si="66"/>
        <v>369641</v>
      </c>
      <c r="T267" s="118">
        <f ca="1">고급</f>
        <v>310884</v>
      </c>
      <c r="U267" s="118">
        <f t="shared" ca="1" si="67"/>
        <v>369641</v>
      </c>
      <c r="V267" s="118"/>
      <c r="W267" s="118"/>
      <c r="X267" s="118"/>
      <c r="Y267" s="118"/>
      <c r="Z267" s="115"/>
    </row>
    <row r="268" spans="11:26" ht="18" customHeight="1">
      <c r="K268" s="171" t="s">
        <v>14</v>
      </c>
      <c r="L268" s="171"/>
      <c r="M268" s="171"/>
      <c r="N268" s="145" t="s">
        <v>40</v>
      </c>
      <c r="O268" s="173">
        <v>6</v>
      </c>
      <c r="P268" s="234">
        <f ca="1">OFFSET($A$1,MATCH(Z264,$A:$A,0)-1,O268)</f>
        <v>2.181</v>
      </c>
      <c r="Q268" s="144" t="s">
        <v>29</v>
      </c>
      <c r="R268" s="118">
        <f t="shared" ca="1" si="65"/>
        <v>295138</v>
      </c>
      <c r="S268" s="118">
        <f t="shared" ca="1" si="66"/>
        <v>643695</v>
      </c>
      <c r="T268" s="118">
        <f ca="1">중급</f>
        <v>295138</v>
      </c>
      <c r="U268" s="118">
        <f t="shared" ca="1" si="67"/>
        <v>643695</v>
      </c>
      <c r="V268" s="118"/>
      <c r="W268" s="118"/>
      <c r="X268" s="118"/>
      <c r="Y268" s="118"/>
      <c r="Z268" s="115"/>
    </row>
    <row r="269" spans="11:26" ht="18" customHeight="1">
      <c r="K269" s="171" t="s">
        <v>14</v>
      </c>
      <c r="L269" s="171"/>
      <c r="M269" s="171"/>
      <c r="N269" s="145" t="s">
        <v>41</v>
      </c>
      <c r="O269" s="173">
        <v>7</v>
      </c>
      <c r="P269" s="234">
        <f ca="1">OFFSET($A$1,MATCH(Z264,$A:$A,0)-1,O269)</f>
        <v>2.3780000000000001</v>
      </c>
      <c r="Q269" s="144" t="s">
        <v>29</v>
      </c>
      <c r="R269" s="118">
        <f t="shared" ca="1" si="65"/>
        <v>235459</v>
      </c>
      <c r="S269" s="118">
        <f t="shared" ca="1" si="66"/>
        <v>559921</v>
      </c>
      <c r="T269" s="118">
        <f ca="1">초급</f>
        <v>235459</v>
      </c>
      <c r="U269" s="118">
        <f t="shared" ca="1" si="67"/>
        <v>559921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319" t="s">
        <v>42</v>
      </c>
      <c r="O270" s="174">
        <v>8</v>
      </c>
      <c r="P270" s="235">
        <f ca="1">OFFSET($A$1,MATCH(Z264,$A:$A,0)-1,O270)</f>
        <v>2.585</v>
      </c>
      <c r="Q270" s="322" t="s">
        <v>29</v>
      </c>
      <c r="R270" s="323">
        <f t="shared" ca="1" si="65"/>
        <v>250087</v>
      </c>
      <c r="S270" s="323">
        <f t="shared" ca="1" si="66"/>
        <v>646474</v>
      </c>
      <c r="T270" s="323">
        <f ca="1">보조원</f>
        <v>250087</v>
      </c>
      <c r="U270" s="323">
        <f t="shared" ca="1" si="67"/>
        <v>646474</v>
      </c>
      <c r="V270" s="323"/>
      <c r="W270" s="323"/>
      <c r="X270" s="323"/>
      <c r="Y270" s="323"/>
      <c r="Z270" s="324"/>
    </row>
    <row r="271" spans="11:26" ht="18" customHeight="1">
      <c r="K271" s="171" t="s">
        <v>14</v>
      </c>
      <c r="L271" s="171"/>
      <c r="M271" s="171"/>
      <c r="N271" s="139" t="s">
        <v>17</v>
      </c>
      <c r="O271" s="68"/>
      <c r="P271" s="69"/>
      <c r="Q271" s="70"/>
      <c r="R271" s="71"/>
      <c r="S271" s="71">
        <f ca="1">SUBTOTAL(9,S265:S270)</f>
        <v>2576632</v>
      </c>
      <c r="T271" s="71"/>
      <c r="U271" s="71">
        <f ca="1">SUBTOTAL(9,U265:U270)</f>
        <v>2576632</v>
      </c>
      <c r="V271" s="71"/>
      <c r="W271" s="71"/>
      <c r="X271" s="71"/>
      <c r="Y271" s="71"/>
      <c r="Z271" s="68"/>
    </row>
    <row r="272" spans="11:26" ht="18" customHeight="1">
      <c r="K272" s="171" t="s">
        <v>14</v>
      </c>
      <c r="L272" s="171"/>
      <c r="M272" s="171"/>
      <c r="N272" s="318" t="str">
        <f ca="1">"제 " &amp; Z272 &amp; " 호표  "&amp; OFFSET($A$1,MATCH(Z272,$A:$A,0)-1,1)</f>
        <v>제 26 호표  5.8. 실행방안</v>
      </c>
      <c r="O272" s="221"/>
      <c r="P272" s="148"/>
      <c r="Q272" s="148"/>
      <c r="R272" s="149"/>
      <c r="S272" s="149"/>
      <c r="T272" s="149"/>
      <c r="U272" s="149"/>
      <c r="V272" s="149"/>
      <c r="W272" s="149"/>
      <c r="X272" s="149"/>
      <c r="Y272" s="149"/>
      <c r="Z272" s="325">
        <f>Z264+1</f>
        <v>26</v>
      </c>
    </row>
    <row r="273" spans="11:26" ht="18" customHeight="1">
      <c r="K273" s="171" t="s">
        <v>14</v>
      </c>
      <c r="L273" s="171"/>
      <c r="M273" s="171"/>
      <c r="N273" s="140" t="s">
        <v>43</v>
      </c>
      <c r="O273" s="172">
        <v>3</v>
      </c>
      <c r="P273" s="219">
        <f ca="1">OFFSET($A$1,MATCH(Z272,$A:$A,0)-1,O273)</f>
        <v>0.67200000000000004</v>
      </c>
      <c r="Q273" s="141" t="s">
        <v>29</v>
      </c>
      <c r="R273" s="142">
        <f t="shared" ref="R273:R278" ca="1" si="68">T273</f>
        <v>467217</v>
      </c>
      <c r="S273" s="142">
        <f t="shared" ref="S273:S278" ca="1" si="69">U273</f>
        <v>313969</v>
      </c>
      <c r="T273" s="142">
        <f ca="1">기술사</f>
        <v>467217</v>
      </c>
      <c r="U273" s="142">
        <f t="shared" ref="U273:U278" ca="1" si="70">ROUNDDOWN(P273*R273,0)</f>
        <v>313969</v>
      </c>
      <c r="V273" s="142"/>
      <c r="W273" s="142"/>
      <c r="X273" s="142"/>
      <c r="Y273" s="142"/>
      <c r="Z273" s="114"/>
    </row>
    <row r="274" spans="11:26" ht="18" customHeight="1">
      <c r="K274" s="171" t="s">
        <v>14</v>
      </c>
      <c r="L274" s="171"/>
      <c r="M274" s="171"/>
      <c r="N274" s="143" t="s">
        <v>32</v>
      </c>
      <c r="O274" s="173">
        <v>4</v>
      </c>
      <c r="P274" s="234">
        <f ca="1">OFFSET($A$1,MATCH(Z272,$A:$A,0)-1,O274)</f>
        <v>1.395</v>
      </c>
      <c r="Q274" s="144" t="s">
        <v>29</v>
      </c>
      <c r="R274" s="118">
        <f t="shared" ca="1" si="68"/>
        <v>373353</v>
      </c>
      <c r="S274" s="118">
        <f t="shared" ca="1" si="69"/>
        <v>520827</v>
      </c>
      <c r="T274" s="118">
        <f ca="1">특급</f>
        <v>373353</v>
      </c>
      <c r="U274" s="118">
        <f t="shared" ca="1" si="70"/>
        <v>520827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145" t="s">
        <v>39</v>
      </c>
      <c r="O275" s="173">
        <v>5</v>
      </c>
      <c r="P275" s="234">
        <f ca="1">OFFSET($A$1,MATCH(Z272,$A:$A,0)-1,O275)</f>
        <v>2.74</v>
      </c>
      <c r="Q275" s="144" t="s">
        <v>29</v>
      </c>
      <c r="R275" s="118">
        <f t="shared" ca="1" si="68"/>
        <v>310884</v>
      </c>
      <c r="S275" s="118">
        <f t="shared" ca="1" si="69"/>
        <v>851822</v>
      </c>
      <c r="T275" s="118">
        <f ca="1">고급</f>
        <v>310884</v>
      </c>
      <c r="U275" s="118">
        <f t="shared" ca="1" si="70"/>
        <v>851822</v>
      </c>
      <c r="V275" s="118"/>
      <c r="W275" s="118"/>
      <c r="X275" s="118"/>
      <c r="Y275" s="118"/>
      <c r="Z275" s="115"/>
    </row>
    <row r="276" spans="11:26" ht="18" customHeight="1">
      <c r="K276" s="171" t="s">
        <v>14</v>
      </c>
      <c r="L276" s="171"/>
      <c r="M276" s="171"/>
      <c r="N276" s="145" t="s">
        <v>40</v>
      </c>
      <c r="O276" s="173">
        <v>6</v>
      </c>
      <c r="P276" s="234">
        <f ca="1">OFFSET($A$1,MATCH(Z272,$A:$A,0)-1,O276)</f>
        <v>5.0140000000000002</v>
      </c>
      <c r="Q276" s="144" t="s">
        <v>29</v>
      </c>
      <c r="R276" s="118">
        <f t="shared" ca="1" si="68"/>
        <v>295138</v>
      </c>
      <c r="S276" s="118">
        <f t="shared" ca="1" si="69"/>
        <v>1479821</v>
      </c>
      <c r="T276" s="118">
        <f ca="1">중급</f>
        <v>295138</v>
      </c>
      <c r="U276" s="118">
        <f t="shared" ca="1" si="70"/>
        <v>1479821</v>
      </c>
      <c r="V276" s="118"/>
      <c r="W276" s="118"/>
      <c r="X276" s="118"/>
      <c r="Y276" s="118"/>
      <c r="Z276" s="115"/>
    </row>
    <row r="277" spans="11:26" ht="18" customHeight="1">
      <c r="K277" s="171" t="s">
        <v>14</v>
      </c>
      <c r="L277" s="171"/>
      <c r="M277" s="171"/>
      <c r="N277" s="145" t="s">
        <v>41</v>
      </c>
      <c r="O277" s="173">
        <v>7</v>
      </c>
      <c r="P277" s="234">
        <f ca="1">OFFSET($A$1,MATCH(Z272,$A:$A,0)-1,O277)</f>
        <v>5.48</v>
      </c>
      <c r="Q277" s="144" t="s">
        <v>29</v>
      </c>
      <c r="R277" s="118">
        <f t="shared" ca="1" si="68"/>
        <v>235459</v>
      </c>
      <c r="S277" s="118">
        <f t="shared" ca="1" si="69"/>
        <v>1290315</v>
      </c>
      <c r="T277" s="118">
        <f ca="1">초급</f>
        <v>235459</v>
      </c>
      <c r="U277" s="118">
        <f t="shared" ca="1" si="70"/>
        <v>1290315</v>
      </c>
      <c r="V277" s="118"/>
      <c r="W277" s="118"/>
      <c r="X277" s="118"/>
      <c r="Y277" s="118"/>
      <c r="Z277" s="115"/>
    </row>
    <row r="278" spans="11:26" ht="18" customHeight="1">
      <c r="K278" s="171" t="s">
        <v>14</v>
      </c>
      <c r="L278" s="171"/>
      <c r="M278" s="171"/>
      <c r="N278" s="319" t="s">
        <v>42</v>
      </c>
      <c r="O278" s="174">
        <v>8</v>
      </c>
      <c r="P278" s="235">
        <f ca="1">OFFSET($A$1,MATCH(Z272,$A:$A,0)-1,O278)</f>
        <v>6.048</v>
      </c>
      <c r="Q278" s="322" t="s">
        <v>29</v>
      </c>
      <c r="R278" s="323">
        <f t="shared" ca="1" si="68"/>
        <v>250087</v>
      </c>
      <c r="S278" s="323">
        <f t="shared" ca="1" si="69"/>
        <v>1512526</v>
      </c>
      <c r="T278" s="323">
        <f ca="1">보조원</f>
        <v>250087</v>
      </c>
      <c r="U278" s="323">
        <f t="shared" ca="1" si="70"/>
        <v>1512526</v>
      </c>
      <c r="V278" s="323"/>
      <c r="W278" s="323"/>
      <c r="X278" s="323"/>
      <c r="Y278" s="323"/>
      <c r="Z278" s="324"/>
    </row>
    <row r="279" spans="11:26" ht="18" customHeight="1">
      <c r="K279" s="171" t="s">
        <v>14</v>
      </c>
      <c r="L279" s="171"/>
      <c r="M279" s="171"/>
      <c r="N279" s="139" t="s">
        <v>17</v>
      </c>
      <c r="O279" s="68"/>
      <c r="P279" s="69"/>
      <c r="Q279" s="70"/>
      <c r="R279" s="71"/>
      <c r="S279" s="71">
        <f ca="1">SUBTOTAL(9,S273:S278)</f>
        <v>5969280</v>
      </c>
      <c r="T279" s="71"/>
      <c r="U279" s="71">
        <f ca="1">SUBTOTAL(9,U273:U278)</f>
        <v>5969280</v>
      </c>
      <c r="V279" s="71"/>
      <c r="W279" s="71"/>
      <c r="X279" s="71"/>
      <c r="Y279" s="71"/>
      <c r="Z279" s="68"/>
    </row>
    <row r="280" spans="11:26" ht="18" customHeight="1">
      <c r="K280" s="171" t="s">
        <v>14</v>
      </c>
      <c r="L280" s="171"/>
      <c r="M280" s="171"/>
      <c r="N280" s="318" t="str">
        <f ca="1">"제 " &amp; Z280 &amp; " 호표  "&amp; OFFSET($A$1,MATCH(Z280,$A:$A,0)-1,1)</f>
        <v>제 27 호표  6.1. 보고서작성 및 편집</v>
      </c>
      <c r="O280" s="221"/>
      <c r="P280" s="148"/>
      <c r="Q280" s="148"/>
      <c r="R280" s="149"/>
      <c r="S280" s="149"/>
      <c r="T280" s="149"/>
      <c r="U280" s="149"/>
      <c r="V280" s="149"/>
      <c r="W280" s="149"/>
      <c r="X280" s="149"/>
      <c r="Y280" s="149"/>
      <c r="Z280" s="325">
        <f>Z272+1</f>
        <v>27</v>
      </c>
    </row>
    <row r="281" spans="11:26" ht="18" customHeight="1">
      <c r="K281" s="171" t="s">
        <v>14</v>
      </c>
      <c r="L281" s="171"/>
      <c r="M281" s="171"/>
      <c r="N281" s="140" t="s">
        <v>43</v>
      </c>
      <c r="O281" s="172">
        <v>3</v>
      </c>
      <c r="P281" s="219">
        <f ca="1">OFFSET($A$1,MATCH(Z280,$A:$A,0)-1,O281)</f>
        <v>0.93</v>
      </c>
      <c r="Q281" s="141" t="s">
        <v>29</v>
      </c>
      <c r="R281" s="142">
        <f t="shared" ref="R281:R286" ca="1" si="71">T281</f>
        <v>467217</v>
      </c>
      <c r="S281" s="142">
        <f t="shared" ref="S281:S286" ca="1" si="72">U281</f>
        <v>434511</v>
      </c>
      <c r="T281" s="142">
        <f ca="1">기술사</f>
        <v>467217</v>
      </c>
      <c r="U281" s="142">
        <f t="shared" ref="U281:U286" ca="1" si="73">ROUNDDOWN(P281*R281,0)</f>
        <v>434511</v>
      </c>
      <c r="V281" s="142"/>
      <c r="W281" s="142"/>
      <c r="X281" s="142"/>
      <c r="Y281" s="142"/>
      <c r="Z281" s="114"/>
    </row>
    <row r="282" spans="11:26" ht="18" customHeight="1">
      <c r="K282" s="171" t="s">
        <v>14</v>
      </c>
      <c r="L282" s="171"/>
      <c r="M282" s="171"/>
      <c r="N282" s="143" t="s">
        <v>32</v>
      </c>
      <c r="O282" s="173">
        <v>4</v>
      </c>
      <c r="P282" s="234">
        <f ca="1">OFFSET($A$1,MATCH(Z280,$A:$A,0)-1,O282)</f>
        <v>1.4990000000000001</v>
      </c>
      <c r="Q282" s="144" t="s">
        <v>29</v>
      </c>
      <c r="R282" s="118">
        <f t="shared" ca="1" si="71"/>
        <v>373353</v>
      </c>
      <c r="S282" s="118">
        <f t="shared" ca="1" si="72"/>
        <v>559656</v>
      </c>
      <c r="T282" s="118">
        <f ca="1">특급</f>
        <v>373353</v>
      </c>
      <c r="U282" s="118">
        <f t="shared" ca="1" si="73"/>
        <v>559656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145" t="s">
        <v>39</v>
      </c>
      <c r="O283" s="173">
        <v>5</v>
      </c>
      <c r="P283" s="234">
        <f ca="1">OFFSET($A$1,MATCH(Z280,$A:$A,0)-1,O283)</f>
        <v>3.4630000000000001</v>
      </c>
      <c r="Q283" s="144" t="s">
        <v>29</v>
      </c>
      <c r="R283" s="118">
        <f t="shared" ca="1" si="71"/>
        <v>310884</v>
      </c>
      <c r="S283" s="118">
        <f t="shared" ca="1" si="72"/>
        <v>1076591</v>
      </c>
      <c r="T283" s="118">
        <f ca="1">고급</f>
        <v>310884</v>
      </c>
      <c r="U283" s="118">
        <f t="shared" ca="1" si="73"/>
        <v>1076591</v>
      </c>
      <c r="V283" s="118"/>
      <c r="W283" s="118"/>
      <c r="X283" s="118"/>
      <c r="Y283" s="118"/>
      <c r="Z283" s="115"/>
    </row>
    <row r="284" spans="11:26" ht="18" customHeight="1">
      <c r="K284" s="171" t="s">
        <v>14</v>
      </c>
      <c r="L284" s="171"/>
      <c r="M284" s="171"/>
      <c r="N284" s="145" t="s">
        <v>40</v>
      </c>
      <c r="O284" s="173">
        <v>6</v>
      </c>
      <c r="P284" s="234">
        <f ca="1">OFFSET($A$1,MATCH(Z280,$A:$A,0)-1,O284)</f>
        <v>5.9450000000000003</v>
      </c>
      <c r="Q284" s="144" t="s">
        <v>29</v>
      </c>
      <c r="R284" s="118">
        <f t="shared" ca="1" si="71"/>
        <v>295138</v>
      </c>
      <c r="S284" s="118">
        <f t="shared" ca="1" si="72"/>
        <v>1754595</v>
      </c>
      <c r="T284" s="118">
        <f ca="1">중급</f>
        <v>295138</v>
      </c>
      <c r="U284" s="118">
        <f t="shared" ca="1" si="73"/>
        <v>1754595</v>
      </c>
      <c r="V284" s="118"/>
      <c r="W284" s="118"/>
      <c r="X284" s="118"/>
      <c r="Y284" s="118"/>
      <c r="Z284" s="115"/>
    </row>
    <row r="285" spans="11:26" ht="18" customHeight="1">
      <c r="K285" s="171" t="s">
        <v>14</v>
      </c>
      <c r="L285" s="171"/>
      <c r="M285" s="171"/>
      <c r="N285" s="145" t="s">
        <v>41</v>
      </c>
      <c r="O285" s="173">
        <v>7</v>
      </c>
      <c r="P285" s="234">
        <f ca="1">OFFSET($A$1,MATCH(Z280,$A:$A,0)-1,O285)</f>
        <v>7.444</v>
      </c>
      <c r="Q285" s="144" t="s">
        <v>29</v>
      </c>
      <c r="R285" s="118">
        <f t="shared" ca="1" si="71"/>
        <v>235459</v>
      </c>
      <c r="S285" s="118">
        <f t="shared" ca="1" si="72"/>
        <v>1752756</v>
      </c>
      <c r="T285" s="118">
        <f ca="1">초급</f>
        <v>235459</v>
      </c>
      <c r="U285" s="118">
        <f t="shared" ca="1" si="73"/>
        <v>1752756</v>
      </c>
      <c r="V285" s="118"/>
      <c r="W285" s="118"/>
      <c r="X285" s="118"/>
      <c r="Y285" s="118"/>
      <c r="Z285" s="115"/>
    </row>
    <row r="286" spans="11:26" ht="18" customHeight="1">
      <c r="K286" s="171" t="s">
        <v>14</v>
      </c>
      <c r="L286" s="171"/>
      <c r="M286" s="171"/>
      <c r="N286" s="319" t="s">
        <v>42</v>
      </c>
      <c r="O286" s="174">
        <v>8</v>
      </c>
      <c r="P286" s="235">
        <f ca="1">OFFSET($A$1,MATCH(Z280,$A:$A,0)-1,O286)</f>
        <v>7.444</v>
      </c>
      <c r="Q286" s="322" t="s">
        <v>29</v>
      </c>
      <c r="R286" s="323">
        <f t="shared" ca="1" si="71"/>
        <v>250087</v>
      </c>
      <c r="S286" s="323">
        <f t="shared" ca="1" si="72"/>
        <v>1861647</v>
      </c>
      <c r="T286" s="323">
        <f ca="1">보조원</f>
        <v>250087</v>
      </c>
      <c r="U286" s="323">
        <f t="shared" ca="1" si="73"/>
        <v>1861647</v>
      </c>
      <c r="V286" s="323"/>
      <c r="W286" s="323"/>
      <c r="X286" s="323"/>
      <c r="Y286" s="323"/>
      <c r="Z286" s="324"/>
    </row>
    <row r="287" spans="11:26" ht="18" customHeight="1">
      <c r="K287" s="171" t="s">
        <v>14</v>
      </c>
      <c r="L287" s="171"/>
      <c r="M287" s="171"/>
      <c r="N287" s="139" t="s">
        <v>17</v>
      </c>
      <c r="O287" s="68"/>
      <c r="P287" s="69"/>
      <c r="Q287" s="70"/>
      <c r="R287" s="71"/>
      <c r="S287" s="71">
        <f ca="1">SUBTOTAL(9,S281:S286)</f>
        <v>7439756</v>
      </c>
      <c r="T287" s="71"/>
      <c r="U287" s="71">
        <f ca="1">SUBTOTAL(9,U281:U286)</f>
        <v>7439756</v>
      </c>
      <c r="V287" s="71"/>
      <c r="W287" s="71"/>
      <c r="X287" s="71"/>
      <c r="Y287" s="71"/>
      <c r="Z287" s="68"/>
    </row>
    <row r="288" spans="11:26" ht="18" customHeight="1">
      <c r="K288" s="171" t="s">
        <v>14</v>
      </c>
      <c r="L288" s="171"/>
      <c r="M288" s="171"/>
      <c r="N288" s="318" t="str">
        <f ca="1">"제 " &amp; Z288 &amp; " 호표  "&amp; OFFSET($A$1,MATCH(Z288,$A:$A,0)-1,1)</f>
        <v>제 28 호표  6.2. 관련도서작성</v>
      </c>
      <c r="O288" s="221"/>
      <c r="P288" s="148"/>
      <c r="Q288" s="148"/>
      <c r="R288" s="149"/>
      <c r="S288" s="149"/>
      <c r="T288" s="149"/>
      <c r="U288" s="149"/>
      <c r="V288" s="149"/>
      <c r="W288" s="149"/>
      <c r="X288" s="149"/>
      <c r="Y288" s="149"/>
      <c r="Z288" s="325">
        <f>Z280+1</f>
        <v>28</v>
      </c>
    </row>
    <row r="289" spans="11:26" ht="18" customHeight="1">
      <c r="K289" s="171" t="s">
        <v>14</v>
      </c>
      <c r="L289" s="171"/>
      <c r="M289" s="171"/>
      <c r="N289" s="140" t="s">
        <v>43</v>
      </c>
      <c r="O289" s="172">
        <v>3</v>
      </c>
      <c r="P289" s="219">
        <f ca="1">OFFSET($A$1,MATCH(Z288,$A:$A,0)-1,O289)</f>
        <v>0.20599999999999999</v>
      </c>
      <c r="Q289" s="141" t="s">
        <v>29</v>
      </c>
      <c r="R289" s="142">
        <f t="shared" ref="R289:R294" ca="1" si="74">T289</f>
        <v>467217</v>
      </c>
      <c r="S289" s="142">
        <f t="shared" ref="S289:S294" ca="1" si="75">U289</f>
        <v>96246</v>
      </c>
      <c r="T289" s="142">
        <f ca="1">기술사</f>
        <v>467217</v>
      </c>
      <c r="U289" s="142">
        <f t="shared" ref="U289:U294" ca="1" si="76">ROUNDDOWN(P289*R289,0)</f>
        <v>96246</v>
      </c>
      <c r="V289" s="142"/>
      <c r="W289" s="142"/>
      <c r="X289" s="142"/>
      <c r="Y289" s="142"/>
      <c r="Z289" s="114"/>
    </row>
    <row r="290" spans="11:26" ht="18" customHeight="1">
      <c r="K290" s="171" t="s">
        <v>14</v>
      </c>
      <c r="L290" s="171"/>
      <c r="M290" s="171"/>
      <c r="N290" s="143" t="s">
        <v>32</v>
      </c>
      <c r="O290" s="173">
        <v>4</v>
      </c>
      <c r="P290" s="234">
        <f ca="1">OFFSET($A$1,MATCH(Z288,$A:$A,0)-1,O290)</f>
        <v>0.20599999999999999</v>
      </c>
      <c r="Q290" s="144" t="s">
        <v>29</v>
      </c>
      <c r="R290" s="118">
        <f t="shared" ca="1" si="74"/>
        <v>373353</v>
      </c>
      <c r="S290" s="118">
        <f t="shared" ca="1" si="75"/>
        <v>76910</v>
      </c>
      <c r="T290" s="118">
        <f ca="1">특급</f>
        <v>373353</v>
      </c>
      <c r="U290" s="118">
        <f t="shared" ca="1" si="76"/>
        <v>76910</v>
      </c>
      <c r="V290" s="118"/>
      <c r="W290" s="118"/>
      <c r="X290" s="118"/>
      <c r="Y290" s="118"/>
      <c r="Z290" s="115"/>
    </row>
    <row r="291" spans="11:26" ht="18" customHeight="1">
      <c r="K291" s="171" t="s">
        <v>14</v>
      </c>
      <c r="L291" s="171"/>
      <c r="M291" s="171"/>
      <c r="N291" s="145" t="s">
        <v>39</v>
      </c>
      <c r="O291" s="173">
        <v>5</v>
      </c>
      <c r="P291" s="234">
        <f ca="1">OFFSET($A$1,MATCH(Z288,$A:$A,0)-1,O291)</f>
        <v>0.51700000000000002</v>
      </c>
      <c r="Q291" s="144" t="s">
        <v>29</v>
      </c>
      <c r="R291" s="118">
        <f t="shared" ca="1" si="74"/>
        <v>310884</v>
      </c>
      <c r="S291" s="118">
        <f t="shared" ca="1" si="75"/>
        <v>160727</v>
      </c>
      <c r="T291" s="118">
        <f ca="1">고급</f>
        <v>310884</v>
      </c>
      <c r="U291" s="118">
        <f t="shared" ca="1" si="76"/>
        <v>160727</v>
      </c>
      <c r="V291" s="118"/>
      <c r="W291" s="118"/>
      <c r="X291" s="118"/>
      <c r="Y291" s="118"/>
      <c r="Z291" s="115"/>
    </row>
    <row r="292" spans="11:26" ht="18" customHeight="1">
      <c r="K292" s="171" t="s">
        <v>14</v>
      </c>
      <c r="L292" s="171"/>
      <c r="M292" s="171"/>
      <c r="N292" s="145" t="s">
        <v>40</v>
      </c>
      <c r="O292" s="173">
        <v>6</v>
      </c>
      <c r="P292" s="234">
        <f ca="1">OFFSET($A$1,MATCH(Z288,$A:$A,0)-1,O292)</f>
        <v>0.878</v>
      </c>
      <c r="Q292" s="144" t="s">
        <v>29</v>
      </c>
      <c r="R292" s="118">
        <f t="shared" ca="1" si="74"/>
        <v>295138</v>
      </c>
      <c r="S292" s="118">
        <f t="shared" ca="1" si="75"/>
        <v>259131</v>
      </c>
      <c r="T292" s="118">
        <f ca="1">중급</f>
        <v>295138</v>
      </c>
      <c r="U292" s="118">
        <f t="shared" ca="1" si="76"/>
        <v>259131</v>
      </c>
      <c r="V292" s="118"/>
      <c r="W292" s="118"/>
      <c r="X292" s="118"/>
      <c r="Y292" s="118"/>
      <c r="Z292" s="115"/>
    </row>
    <row r="293" spans="11:26" ht="18" customHeight="1">
      <c r="K293" s="171" t="s">
        <v>14</v>
      </c>
      <c r="L293" s="171"/>
      <c r="M293" s="171"/>
      <c r="N293" s="145" t="s">
        <v>41</v>
      </c>
      <c r="O293" s="173">
        <v>7</v>
      </c>
      <c r="P293" s="234">
        <f ca="1">OFFSET($A$1,MATCH(Z288,$A:$A,0)-1,O293)</f>
        <v>1.085</v>
      </c>
      <c r="Q293" s="144" t="s">
        <v>29</v>
      </c>
      <c r="R293" s="118">
        <f t="shared" ca="1" si="74"/>
        <v>235459</v>
      </c>
      <c r="S293" s="118">
        <f t="shared" ca="1" si="75"/>
        <v>255473</v>
      </c>
      <c r="T293" s="118">
        <f ca="1">초급</f>
        <v>235459</v>
      </c>
      <c r="U293" s="118">
        <f t="shared" ca="1" si="76"/>
        <v>255473</v>
      </c>
      <c r="V293" s="118"/>
      <c r="W293" s="118"/>
      <c r="X293" s="118"/>
      <c r="Y293" s="118"/>
      <c r="Z293" s="115"/>
    </row>
    <row r="294" spans="11:26" ht="18" customHeight="1">
      <c r="K294" s="171" t="s">
        <v>14</v>
      </c>
      <c r="L294" s="171"/>
      <c r="M294" s="171"/>
      <c r="N294" s="319" t="s">
        <v>42</v>
      </c>
      <c r="O294" s="174">
        <v>8</v>
      </c>
      <c r="P294" s="235">
        <f ca="1">OFFSET($A$1,MATCH(Z288,$A:$A,0)-1,O294)</f>
        <v>1.085</v>
      </c>
      <c r="Q294" s="322" t="s">
        <v>29</v>
      </c>
      <c r="R294" s="323">
        <f t="shared" ca="1" si="74"/>
        <v>250087</v>
      </c>
      <c r="S294" s="323">
        <f t="shared" ca="1" si="75"/>
        <v>271344</v>
      </c>
      <c r="T294" s="323">
        <f ca="1">보조원</f>
        <v>250087</v>
      </c>
      <c r="U294" s="323">
        <f t="shared" ca="1" si="76"/>
        <v>271344</v>
      </c>
      <c r="V294" s="323"/>
      <c r="W294" s="323"/>
      <c r="X294" s="323"/>
      <c r="Y294" s="323"/>
      <c r="Z294" s="324"/>
    </row>
    <row r="295" spans="11:26" ht="18" customHeight="1">
      <c r="K295" s="171" t="s">
        <v>14</v>
      </c>
      <c r="L295" s="171"/>
      <c r="M295" s="171"/>
      <c r="N295" s="139" t="s">
        <v>17</v>
      </c>
      <c r="O295" s="68"/>
      <c r="P295" s="69"/>
      <c r="Q295" s="70"/>
      <c r="R295" s="71"/>
      <c r="S295" s="71">
        <f ca="1">SUBTOTAL(9,S289:S294)</f>
        <v>1119831</v>
      </c>
      <c r="T295" s="71"/>
      <c r="U295" s="71">
        <f ca="1">SUBTOTAL(9,U289:U294)</f>
        <v>1119831</v>
      </c>
      <c r="V295" s="71"/>
      <c r="W295" s="71"/>
      <c r="X295" s="71"/>
      <c r="Y295" s="71"/>
      <c r="Z295" s="68"/>
    </row>
    <row r="296" spans="11:26" ht="18" customHeight="1">
      <c r="K296" s="171" t="s">
        <v>14</v>
      </c>
      <c r="L296" s="171"/>
      <c r="M296" s="171"/>
      <c r="N296" s="318" t="str">
        <f ca="1">"제 " &amp; Z296 &amp; " 호표  "&amp; OFFSET($A$1,MATCH(Z296,$A:$A,0)-1,1)</f>
        <v>제 29 호표  7.1. 공청회/주민설명회</v>
      </c>
      <c r="O296" s="221"/>
      <c r="P296" s="148"/>
      <c r="Q296" s="148"/>
      <c r="R296" s="149"/>
      <c r="S296" s="149"/>
      <c r="T296" s="149"/>
      <c r="U296" s="149"/>
      <c r="V296" s="149"/>
      <c r="W296" s="149"/>
      <c r="X296" s="149"/>
      <c r="Y296" s="149"/>
      <c r="Z296" s="325">
        <f>Z288+1</f>
        <v>29</v>
      </c>
    </row>
    <row r="297" spans="11:26" ht="18" customHeight="1">
      <c r="K297" s="171" t="s">
        <v>14</v>
      </c>
      <c r="L297" s="171"/>
      <c r="M297" s="171"/>
      <c r="N297" s="140" t="s">
        <v>43</v>
      </c>
      <c r="O297" s="172">
        <v>3</v>
      </c>
      <c r="P297" s="219">
        <f ca="1">OFFSET($A$1,MATCH(Z296,$A:$A,0)-1,O297)</f>
        <v>2</v>
      </c>
      <c r="Q297" s="141" t="s">
        <v>29</v>
      </c>
      <c r="R297" s="142">
        <f t="shared" ref="R297:R302" ca="1" si="77">T297</f>
        <v>467217</v>
      </c>
      <c r="S297" s="142">
        <f t="shared" ref="S297:S302" ca="1" si="78">U297</f>
        <v>934434</v>
      </c>
      <c r="T297" s="142">
        <f ca="1">기술사</f>
        <v>467217</v>
      </c>
      <c r="U297" s="142">
        <f t="shared" ref="U297:U302" ca="1" si="79">ROUNDDOWN(P297*R297,0)</f>
        <v>934434</v>
      </c>
      <c r="V297" s="142"/>
      <c r="W297" s="142"/>
      <c r="X297" s="142"/>
      <c r="Y297" s="142"/>
      <c r="Z297" s="114"/>
    </row>
    <row r="298" spans="11:26" ht="18" customHeight="1">
      <c r="K298" s="171" t="s">
        <v>14</v>
      </c>
      <c r="L298" s="171"/>
      <c r="M298" s="171"/>
      <c r="N298" s="143" t="s">
        <v>32</v>
      </c>
      <c r="O298" s="173">
        <v>4</v>
      </c>
      <c r="P298" s="234">
        <f ca="1">OFFSET($A$1,MATCH(Z296,$A:$A,0)-1,O298)</f>
        <v>2</v>
      </c>
      <c r="Q298" s="144" t="s">
        <v>29</v>
      </c>
      <c r="R298" s="118">
        <f t="shared" ca="1" si="77"/>
        <v>373353</v>
      </c>
      <c r="S298" s="118">
        <f t="shared" ca="1" si="78"/>
        <v>746706</v>
      </c>
      <c r="T298" s="118">
        <f ca="1">특급</f>
        <v>373353</v>
      </c>
      <c r="U298" s="118">
        <f t="shared" ca="1" si="79"/>
        <v>746706</v>
      </c>
      <c r="V298" s="118"/>
      <c r="W298" s="118"/>
      <c r="X298" s="118"/>
      <c r="Y298" s="118"/>
      <c r="Z298" s="115"/>
    </row>
    <row r="299" spans="11:26" ht="18" customHeight="1">
      <c r="K299" s="171" t="s">
        <v>14</v>
      </c>
      <c r="L299" s="171"/>
      <c r="M299" s="171"/>
      <c r="N299" s="145" t="s">
        <v>39</v>
      </c>
      <c r="O299" s="173">
        <v>5</v>
      </c>
      <c r="P299" s="234">
        <f ca="1">OFFSET($A$1,MATCH(Z296,$A:$A,0)-1,O299)</f>
        <v>2</v>
      </c>
      <c r="Q299" s="144" t="s">
        <v>29</v>
      </c>
      <c r="R299" s="118">
        <f t="shared" ca="1" si="77"/>
        <v>310884</v>
      </c>
      <c r="S299" s="118">
        <f t="shared" ca="1" si="78"/>
        <v>621768</v>
      </c>
      <c r="T299" s="118">
        <f ca="1">고급</f>
        <v>310884</v>
      </c>
      <c r="U299" s="118">
        <f t="shared" ca="1" si="79"/>
        <v>621768</v>
      </c>
      <c r="V299" s="118"/>
      <c r="W299" s="118"/>
      <c r="X299" s="118"/>
      <c r="Y299" s="118"/>
      <c r="Z299" s="115"/>
    </row>
    <row r="300" spans="11:26" ht="18" customHeight="1">
      <c r="K300" s="171" t="s">
        <v>14</v>
      </c>
      <c r="L300" s="171"/>
      <c r="M300" s="171"/>
      <c r="N300" s="145" t="s">
        <v>40</v>
      </c>
      <c r="O300" s="173">
        <v>6</v>
      </c>
      <c r="P300" s="234">
        <f ca="1">OFFSET($A$1,MATCH(Z296,$A:$A,0)-1,O300)</f>
        <v>4</v>
      </c>
      <c r="Q300" s="144" t="s">
        <v>29</v>
      </c>
      <c r="R300" s="118">
        <f t="shared" ca="1" si="77"/>
        <v>295138</v>
      </c>
      <c r="S300" s="118">
        <f t="shared" ca="1" si="78"/>
        <v>1180552</v>
      </c>
      <c r="T300" s="118">
        <f ca="1">중급</f>
        <v>295138</v>
      </c>
      <c r="U300" s="118">
        <f t="shared" ca="1" si="79"/>
        <v>1180552</v>
      </c>
      <c r="V300" s="118"/>
      <c r="W300" s="118"/>
      <c r="X300" s="118"/>
      <c r="Y300" s="118"/>
      <c r="Z300" s="115"/>
    </row>
    <row r="301" spans="11:26" ht="18" customHeight="1">
      <c r="K301" s="171" t="s">
        <v>14</v>
      </c>
      <c r="L301" s="171"/>
      <c r="M301" s="171"/>
      <c r="N301" s="145" t="s">
        <v>41</v>
      </c>
      <c r="O301" s="173">
        <v>7</v>
      </c>
      <c r="P301" s="234">
        <f ca="1">OFFSET($A$1,MATCH(Z296,$A:$A,0)-1,O301)</f>
        <v>4</v>
      </c>
      <c r="Q301" s="144" t="s">
        <v>29</v>
      </c>
      <c r="R301" s="118">
        <f t="shared" ca="1" si="77"/>
        <v>235459</v>
      </c>
      <c r="S301" s="118">
        <f t="shared" ca="1" si="78"/>
        <v>941836</v>
      </c>
      <c r="T301" s="118">
        <f ca="1">초급</f>
        <v>235459</v>
      </c>
      <c r="U301" s="118">
        <f t="shared" ca="1" si="79"/>
        <v>941836</v>
      </c>
      <c r="V301" s="118"/>
      <c r="W301" s="118"/>
      <c r="X301" s="118"/>
      <c r="Y301" s="118"/>
      <c r="Z301" s="115"/>
    </row>
    <row r="302" spans="11:26" ht="18" customHeight="1">
      <c r="K302" s="171" t="s">
        <v>14</v>
      </c>
      <c r="L302" s="171"/>
      <c r="M302" s="171"/>
      <c r="N302" s="319" t="s">
        <v>42</v>
      </c>
      <c r="O302" s="174">
        <v>8</v>
      </c>
      <c r="P302" s="235">
        <f ca="1">OFFSET($A$1,MATCH(Z296,$A:$A,0)-1,O302)</f>
        <v>4</v>
      </c>
      <c r="Q302" s="322" t="s">
        <v>29</v>
      </c>
      <c r="R302" s="323">
        <f t="shared" ca="1" si="77"/>
        <v>250087</v>
      </c>
      <c r="S302" s="323">
        <f t="shared" ca="1" si="78"/>
        <v>1000348</v>
      </c>
      <c r="T302" s="323">
        <f ca="1">보조원</f>
        <v>250087</v>
      </c>
      <c r="U302" s="323">
        <f t="shared" ca="1" si="79"/>
        <v>1000348</v>
      </c>
      <c r="V302" s="323"/>
      <c r="W302" s="323"/>
      <c r="X302" s="323"/>
      <c r="Y302" s="323"/>
      <c r="Z302" s="324"/>
    </row>
    <row r="303" spans="11:26" ht="18" customHeight="1">
      <c r="K303" s="171" t="s">
        <v>14</v>
      </c>
      <c r="L303" s="171"/>
      <c r="M303" s="171"/>
      <c r="N303" s="139" t="s">
        <v>17</v>
      </c>
      <c r="O303" s="68"/>
      <c r="P303" s="69"/>
      <c r="Q303" s="70"/>
      <c r="R303" s="71"/>
      <c r="S303" s="71">
        <f ca="1">SUBTOTAL(9,S297:S302)</f>
        <v>5425644</v>
      </c>
      <c r="T303" s="71"/>
      <c r="U303" s="71">
        <f ca="1">SUBTOTAL(9,U297:U302)</f>
        <v>5425644</v>
      </c>
      <c r="V303" s="71"/>
      <c r="W303" s="71"/>
      <c r="X303" s="71"/>
      <c r="Y303" s="71"/>
      <c r="Z303" s="68"/>
    </row>
    <row r="304" spans="11:26" ht="18" customHeight="1">
      <c r="K304" s="171" t="s">
        <v>14</v>
      </c>
      <c r="L304" s="171"/>
      <c r="M304" s="171"/>
      <c r="N304" s="318" t="str">
        <f ca="1">"제 " &amp; Z304 &amp; " 호표  "&amp; OFFSET($A$1,MATCH(Z304,$A:$A,0)-1,1)</f>
        <v>제 30 호표  7.2. 주민간담회/시민계획단</v>
      </c>
      <c r="O304" s="221"/>
      <c r="P304" s="148"/>
      <c r="Q304" s="148"/>
      <c r="R304" s="149"/>
      <c r="S304" s="149"/>
      <c r="T304" s="149"/>
      <c r="U304" s="149"/>
      <c r="V304" s="149"/>
      <c r="W304" s="149"/>
      <c r="X304" s="149"/>
      <c r="Y304" s="149"/>
      <c r="Z304" s="325">
        <f>Z296+1</f>
        <v>30</v>
      </c>
    </row>
    <row r="305" spans="11:26" ht="18" customHeight="1">
      <c r="K305" s="171" t="s">
        <v>14</v>
      </c>
      <c r="L305" s="171"/>
      <c r="M305" s="171"/>
      <c r="N305" s="140" t="s">
        <v>43</v>
      </c>
      <c r="O305" s="172">
        <v>3</v>
      </c>
      <c r="P305" s="219">
        <f ca="1">OFFSET($A$1,MATCH(Z304,$A:$A,0)-1,O305)</f>
        <v>2</v>
      </c>
      <c r="Q305" s="141" t="s">
        <v>29</v>
      </c>
      <c r="R305" s="142">
        <f t="shared" ref="R305:R310" ca="1" si="80">T305</f>
        <v>467217</v>
      </c>
      <c r="S305" s="142">
        <f t="shared" ref="S305:S310" ca="1" si="81">U305</f>
        <v>934434</v>
      </c>
      <c r="T305" s="142">
        <f ca="1">기술사</f>
        <v>467217</v>
      </c>
      <c r="U305" s="142">
        <f t="shared" ref="U305:U310" ca="1" si="82">ROUNDDOWN(P305*R305,0)</f>
        <v>934434</v>
      </c>
      <c r="V305" s="142"/>
      <c r="W305" s="142"/>
      <c r="X305" s="142"/>
      <c r="Y305" s="142"/>
      <c r="Z305" s="114"/>
    </row>
    <row r="306" spans="11:26" ht="18" customHeight="1">
      <c r="K306" s="171" t="s">
        <v>14</v>
      </c>
      <c r="L306" s="171"/>
      <c r="M306" s="171"/>
      <c r="N306" s="143" t="s">
        <v>32</v>
      </c>
      <c r="O306" s="173">
        <v>4</v>
      </c>
      <c r="P306" s="234">
        <f ca="1">OFFSET($A$1,MATCH(Z304,$A:$A,0)-1,O306)</f>
        <v>2</v>
      </c>
      <c r="Q306" s="144" t="s">
        <v>29</v>
      </c>
      <c r="R306" s="118">
        <f t="shared" ca="1" si="80"/>
        <v>373353</v>
      </c>
      <c r="S306" s="118">
        <f t="shared" ca="1" si="81"/>
        <v>746706</v>
      </c>
      <c r="T306" s="118">
        <f ca="1">특급</f>
        <v>373353</v>
      </c>
      <c r="U306" s="118">
        <f t="shared" ca="1" si="82"/>
        <v>746706</v>
      </c>
      <c r="V306" s="118"/>
      <c r="W306" s="118"/>
      <c r="X306" s="118"/>
      <c r="Y306" s="118"/>
      <c r="Z306" s="115"/>
    </row>
    <row r="307" spans="11:26" ht="18" customHeight="1">
      <c r="K307" s="171" t="s">
        <v>14</v>
      </c>
      <c r="L307" s="171"/>
      <c r="M307" s="171"/>
      <c r="N307" s="145" t="s">
        <v>39</v>
      </c>
      <c r="O307" s="173">
        <v>5</v>
      </c>
      <c r="P307" s="234">
        <f ca="1">OFFSET($A$1,MATCH(Z304,$A:$A,0)-1,O307)</f>
        <v>2</v>
      </c>
      <c r="Q307" s="144" t="s">
        <v>29</v>
      </c>
      <c r="R307" s="118">
        <f t="shared" ca="1" si="80"/>
        <v>310884</v>
      </c>
      <c r="S307" s="118">
        <f t="shared" ca="1" si="81"/>
        <v>621768</v>
      </c>
      <c r="T307" s="118">
        <f ca="1">고급</f>
        <v>310884</v>
      </c>
      <c r="U307" s="118">
        <f t="shared" ca="1" si="82"/>
        <v>621768</v>
      </c>
      <c r="V307" s="118"/>
      <c r="W307" s="118"/>
      <c r="X307" s="118"/>
      <c r="Y307" s="118"/>
      <c r="Z307" s="115"/>
    </row>
    <row r="308" spans="11:26" ht="18" customHeight="1">
      <c r="K308" s="171" t="s">
        <v>14</v>
      </c>
      <c r="L308" s="171"/>
      <c r="M308" s="171"/>
      <c r="N308" s="145" t="s">
        <v>40</v>
      </c>
      <c r="O308" s="173">
        <v>6</v>
      </c>
      <c r="P308" s="234">
        <f ca="1">OFFSET($A$1,MATCH(Z304,$A:$A,0)-1,O308)</f>
        <v>4</v>
      </c>
      <c r="Q308" s="144" t="s">
        <v>29</v>
      </c>
      <c r="R308" s="118">
        <f t="shared" ca="1" si="80"/>
        <v>295138</v>
      </c>
      <c r="S308" s="118">
        <f t="shared" ca="1" si="81"/>
        <v>1180552</v>
      </c>
      <c r="T308" s="118">
        <f ca="1">중급</f>
        <v>295138</v>
      </c>
      <c r="U308" s="118">
        <f t="shared" ca="1" si="82"/>
        <v>1180552</v>
      </c>
      <c r="V308" s="118"/>
      <c r="W308" s="118"/>
      <c r="X308" s="118"/>
      <c r="Y308" s="118"/>
      <c r="Z308" s="115"/>
    </row>
    <row r="309" spans="11:26" ht="18" customHeight="1">
      <c r="K309" s="171" t="s">
        <v>14</v>
      </c>
      <c r="L309" s="171"/>
      <c r="M309" s="171"/>
      <c r="N309" s="145" t="s">
        <v>41</v>
      </c>
      <c r="O309" s="173">
        <v>7</v>
      </c>
      <c r="P309" s="234">
        <f ca="1">OFFSET($A$1,MATCH(Z304,$A:$A,0)-1,O309)</f>
        <v>4</v>
      </c>
      <c r="Q309" s="144" t="s">
        <v>29</v>
      </c>
      <c r="R309" s="118">
        <f t="shared" ca="1" si="80"/>
        <v>235459</v>
      </c>
      <c r="S309" s="118">
        <f t="shared" ca="1" si="81"/>
        <v>941836</v>
      </c>
      <c r="T309" s="118">
        <f ca="1">초급</f>
        <v>235459</v>
      </c>
      <c r="U309" s="118">
        <f t="shared" ca="1" si="82"/>
        <v>941836</v>
      </c>
      <c r="V309" s="118"/>
      <c r="W309" s="118"/>
      <c r="X309" s="118"/>
      <c r="Y309" s="118"/>
      <c r="Z309" s="115"/>
    </row>
    <row r="310" spans="11:26" ht="18" customHeight="1">
      <c r="K310" s="171" t="s">
        <v>14</v>
      </c>
      <c r="L310" s="171"/>
      <c r="M310" s="171"/>
      <c r="N310" s="319" t="s">
        <v>42</v>
      </c>
      <c r="O310" s="174">
        <v>8</v>
      </c>
      <c r="P310" s="235">
        <f ca="1">OFFSET($A$1,MATCH(Z304,$A:$A,0)-1,O310)</f>
        <v>4</v>
      </c>
      <c r="Q310" s="322" t="s">
        <v>29</v>
      </c>
      <c r="R310" s="323">
        <f t="shared" ca="1" si="80"/>
        <v>250087</v>
      </c>
      <c r="S310" s="323">
        <f t="shared" ca="1" si="81"/>
        <v>1000348</v>
      </c>
      <c r="T310" s="323">
        <f ca="1">보조원</f>
        <v>250087</v>
      </c>
      <c r="U310" s="323">
        <f t="shared" ca="1" si="82"/>
        <v>1000348</v>
      </c>
      <c r="V310" s="323"/>
      <c r="W310" s="323"/>
      <c r="X310" s="323"/>
      <c r="Y310" s="323"/>
      <c r="Z310" s="324"/>
    </row>
    <row r="311" spans="11:26" ht="18" customHeight="1">
      <c r="K311" s="171" t="s">
        <v>14</v>
      </c>
      <c r="L311" s="171"/>
      <c r="M311" s="171"/>
      <c r="N311" s="139" t="s">
        <v>17</v>
      </c>
      <c r="O311" s="68"/>
      <c r="P311" s="69"/>
      <c r="Q311" s="70"/>
      <c r="R311" s="71"/>
      <c r="S311" s="71">
        <f ca="1">SUBTOTAL(9,S305:S310)</f>
        <v>5425644</v>
      </c>
      <c r="T311" s="71"/>
      <c r="U311" s="71">
        <f ca="1">SUBTOTAL(9,U305:U310)</f>
        <v>5425644</v>
      </c>
      <c r="V311" s="71"/>
      <c r="W311" s="71"/>
      <c r="X311" s="71"/>
      <c r="Y311" s="71"/>
      <c r="Z311" s="68"/>
    </row>
    <row r="312" spans="11:26" ht="18" customHeight="1">
      <c r="K312" s="171" t="s">
        <v>14</v>
      </c>
      <c r="L312" s="171"/>
      <c r="M312" s="171"/>
      <c r="N312" s="318" t="str">
        <f ca="1">"제 " &amp; Z312 &amp; " 호표  "&amp; OFFSET($A$1,MATCH(Z312,$A:$A,0)-1,1)</f>
        <v>제 31 호표  7.3. 위원회심의 지원</v>
      </c>
      <c r="O312" s="221"/>
      <c r="P312" s="148"/>
      <c r="Q312" s="148"/>
      <c r="R312" s="149"/>
      <c r="S312" s="149"/>
      <c r="T312" s="149"/>
      <c r="U312" s="149"/>
      <c r="V312" s="149"/>
      <c r="W312" s="149"/>
      <c r="X312" s="149"/>
      <c r="Y312" s="149"/>
      <c r="Z312" s="325">
        <f>Z304+1</f>
        <v>31</v>
      </c>
    </row>
    <row r="313" spans="11:26" ht="18" customHeight="1">
      <c r="K313" s="171" t="s">
        <v>14</v>
      </c>
      <c r="L313" s="171"/>
      <c r="M313" s="171"/>
      <c r="N313" s="140" t="s">
        <v>43</v>
      </c>
      <c r="O313" s="172">
        <v>3</v>
      </c>
      <c r="P313" s="219">
        <f ca="1">OFFSET($A$1,MATCH(Z312,$A:$A,0)-1,O313)</f>
        <v>2</v>
      </c>
      <c r="Q313" s="141" t="s">
        <v>29</v>
      </c>
      <c r="R313" s="142">
        <f t="shared" ref="R313:R318" ca="1" si="83">T313</f>
        <v>467217</v>
      </c>
      <c r="S313" s="142">
        <f t="shared" ref="S313:S318" ca="1" si="84">U313</f>
        <v>934434</v>
      </c>
      <c r="T313" s="142">
        <f ca="1">기술사</f>
        <v>467217</v>
      </c>
      <c r="U313" s="142">
        <f t="shared" ref="U313:U318" ca="1" si="85">ROUNDDOWN(P313*R313,0)</f>
        <v>934434</v>
      </c>
      <c r="V313" s="142"/>
      <c r="W313" s="142"/>
      <c r="X313" s="142"/>
      <c r="Y313" s="142"/>
      <c r="Z313" s="114"/>
    </row>
    <row r="314" spans="11:26" ht="18" customHeight="1">
      <c r="K314" s="171" t="s">
        <v>14</v>
      </c>
      <c r="L314" s="171"/>
      <c r="M314" s="171"/>
      <c r="N314" s="143" t="s">
        <v>32</v>
      </c>
      <c r="O314" s="173">
        <v>4</v>
      </c>
      <c r="P314" s="234">
        <f ca="1">OFFSET($A$1,MATCH(Z312,$A:$A,0)-1,O314)</f>
        <v>2</v>
      </c>
      <c r="Q314" s="144" t="s">
        <v>29</v>
      </c>
      <c r="R314" s="118">
        <f t="shared" ca="1" si="83"/>
        <v>373353</v>
      </c>
      <c r="S314" s="118">
        <f t="shared" ca="1" si="84"/>
        <v>746706</v>
      </c>
      <c r="T314" s="118">
        <f ca="1">특급</f>
        <v>373353</v>
      </c>
      <c r="U314" s="118">
        <f t="shared" ca="1" si="85"/>
        <v>746706</v>
      </c>
      <c r="V314" s="118"/>
      <c r="W314" s="118"/>
      <c r="X314" s="118"/>
      <c r="Y314" s="118"/>
      <c r="Z314" s="115"/>
    </row>
    <row r="315" spans="11:26" ht="18" customHeight="1">
      <c r="K315" s="171" t="s">
        <v>14</v>
      </c>
      <c r="L315" s="171"/>
      <c r="M315" s="171"/>
      <c r="N315" s="145" t="s">
        <v>39</v>
      </c>
      <c r="O315" s="173">
        <v>5</v>
      </c>
      <c r="P315" s="234">
        <f ca="1">OFFSET($A$1,MATCH(Z312,$A:$A,0)-1,O315)</f>
        <v>2</v>
      </c>
      <c r="Q315" s="144" t="s">
        <v>29</v>
      </c>
      <c r="R315" s="118">
        <f t="shared" ca="1" si="83"/>
        <v>310884</v>
      </c>
      <c r="S315" s="118">
        <f t="shared" ca="1" si="84"/>
        <v>621768</v>
      </c>
      <c r="T315" s="118">
        <f ca="1">고급</f>
        <v>310884</v>
      </c>
      <c r="U315" s="118">
        <f t="shared" ca="1" si="85"/>
        <v>621768</v>
      </c>
      <c r="V315" s="118"/>
      <c r="W315" s="118"/>
      <c r="X315" s="118"/>
      <c r="Y315" s="118"/>
      <c r="Z315" s="115"/>
    </row>
    <row r="316" spans="11:26" ht="18" customHeight="1">
      <c r="K316" s="171" t="s">
        <v>14</v>
      </c>
      <c r="L316" s="171"/>
      <c r="M316" s="171"/>
      <c r="N316" s="145" t="s">
        <v>40</v>
      </c>
      <c r="O316" s="173">
        <v>6</v>
      </c>
      <c r="P316" s="234">
        <f ca="1">OFFSET($A$1,MATCH(Z312,$A:$A,0)-1,O316)</f>
        <v>4</v>
      </c>
      <c r="Q316" s="144" t="s">
        <v>29</v>
      </c>
      <c r="R316" s="118">
        <f t="shared" ca="1" si="83"/>
        <v>295138</v>
      </c>
      <c r="S316" s="118">
        <f t="shared" ca="1" si="84"/>
        <v>1180552</v>
      </c>
      <c r="T316" s="118">
        <f ca="1">중급</f>
        <v>295138</v>
      </c>
      <c r="U316" s="118">
        <f t="shared" ca="1" si="85"/>
        <v>1180552</v>
      </c>
      <c r="V316" s="118"/>
      <c r="W316" s="118"/>
      <c r="X316" s="118"/>
      <c r="Y316" s="118"/>
      <c r="Z316" s="115"/>
    </row>
    <row r="317" spans="11:26" ht="18" customHeight="1">
      <c r="K317" s="171" t="s">
        <v>14</v>
      </c>
      <c r="L317" s="171"/>
      <c r="M317" s="171"/>
      <c r="N317" s="145" t="s">
        <v>41</v>
      </c>
      <c r="O317" s="173">
        <v>7</v>
      </c>
      <c r="P317" s="234">
        <f ca="1">OFFSET($A$1,MATCH(Z312,$A:$A,0)-1,O317)</f>
        <v>4</v>
      </c>
      <c r="Q317" s="144" t="s">
        <v>29</v>
      </c>
      <c r="R317" s="118">
        <f t="shared" ca="1" si="83"/>
        <v>235459</v>
      </c>
      <c r="S317" s="118">
        <f t="shared" ca="1" si="84"/>
        <v>941836</v>
      </c>
      <c r="T317" s="118">
        <f ca="1">초급</f>
        <v>235459</v>
      </c>
      <c r="U317" s="118">
        <f t="shared" ca="1" si="85"/>
        <v>941836</v>
      </c>
      <c r="V317" s="118"/>
      <c r="W317" s="118"/>
      <c r="X317" s="118"/>
      <c r="Y317" s="118"/>
      <c r="Z317" s="115"/>
    </row>
    <row r="318" spans="11:26" ht="18" customHeight="1">
      <c r="K318" s="171" t="s">
        <v>14</v>
      </c>
      <c r="L318" s="171"/>
      <c r="M318" s="171"/>
      <c r="N318" s="319" t="s">
        <v>42</v>
      </c>
      <c r="O318" s="174">
        <v>8</v>
      </c>
      <c r="P318" s="235">
        <f ca="1">OFFSET($A$1,MATCH(Z312,$A:$A,0)-1,O318)</f>
        <v>4</v>
      </c>
      <c r="Q318" s="322" t="s">
        <v>29</v>
      </c>
      <c r="R318" s="323">
        <f t="shared" ca="1" si="83"/>
        <v>250087</v>
      </c>
      <c r="S318" s="323">
        <f t="shared" ca="1" si="84"/>
        <v>1000348</v>
      </c>
      <c r="T318" s="323">
        <f ca="1">보조원</f>
        <v>250087</v>
      </c>
      <c r="U318" s="323">
        <f t="shared" ca="1" si="85"/>
        <v>1000348</v>
      </c>
      <c r="V318" s="323"/>
      <c r="W318" s="323"/>
      <c r="X318" s="323"/>
      <c r="Y318" s="323"/>
      <c r="Z318" s="324"/>
    </row>
    <row r="319" spans="11:26" ht="18" customHeight="1">
      <c r="K319" s="171" t="s">
        <v>14</v>
      </c>
      <c r="L319" s="171"/>
      <c r="M319" s="171"/>
      <c r="N319" s="139" t="s">
        <v>17</v>
      </c>
      <c r="O319" s="68"/>
      <c r="P319" s="69"/>
      <c r="Q319" s="70"/>
      <c r="R319" s="71"/>
      <c r="S319" s="71">
        <f ca="1">SUBTOTAL(9,S313:S318)</f>
        <v>5425644</v>
      </c>
      <c r="T319" s="71"/>
      <c r="U319" s="71">
        <f ca="1">SUBTOTAL(9,U313:U318)</f>
        <v>5425644</v>
      </c>
      <c r="V319" s="71"/>
      <c r="W319" s="71"/>
      <c r="X319" s="71"/>
      <c r="Y319" s="71"/>
      <c r="Z319" s="68"/>
    </row>
    <row r="320" spans="11:26" ht="18" customHeight="1">
      <c r="K320" s="171" t="s">
        <v>14</v>
      </c>
      <c r="L320" s="171"/>
      <c r="M320" s="171"/>
      <c r="N320" s="318" t="str">
        <f ca="1">"제 " &amp; Z320 &amp; " 호표  "&amp; OFFSET($A$1,MATCH(Z320,$A:$A,0)-1,1)</f>
        <v>제 32 호표  7.4. 관계기관 협의</v>
      </c>
      <c r="O320" s="221"/>
      <c r="P320" s="148"/>
      <c r="Q320" s="148"/>
      <c r="R320" s="149"/>
      <c r="S320" s="149"/>
      <c r="T320" s="149"/>
      <c r="U320" s="149"/>
      <c r="V320" s="149"/>
      <c r="W320" s="149"/>
      <c r="X320" s="149"/>
      <c r="Y320" s="149"/>
      <c r="Z320" s="325">
        <f>Z312+1</f>
        <v>32</v>
      </c>
    </row>
    <row r="321" spans="11:26" ht="18" customHeight="1">
      <c r="K321" s="171" t="s">
        <v>14</v>
      </c>
      <c r="L321" s="171"/>
      <c r="M321" s="171"/>
      <c r="N321" s="140" t="s">
        <v>43</v>
      </c>
      <c r="O321" s="172">
        <v>3</v>
      </c>
      <c r="P321" s="219">
        <f ca="1">OFFSET($A$1,MATCH(Z320,$A:$A,0)-1,O321)</f>
        <v>2</v>
      </c>
      <c r="Q321" s="141" t="s">
        <v>29</v>
      </c>
      <c r="R321" s="142">
        <f t="shared" ref="R321:R326" ca="1" si="86">T321</f>
        <v>467217</v>
      </c>
      <c r="S321" s="142">
        <f t="shared" ref="S321:S326" ca="1" si="87">U321</f>
        <v>934434</v>
      </c>
      <c r="T321" s="142">
        <f ca="1">기술사</f>
        <v>467217</v>
      </c>
      <c r="U321" s="142">
        <f t="shared" ref="U321:U326" ca="1" si="88">ROUNDDOWN(P321*R321,0)</f>
        <v>934434</v>
      </c>
      <c r="V321" s="142"/>
      <c r="W321" s="142"/>
      <c r="X321" s="142"/>
      <c r="Y321" s="142"/>
      <c r="Z321" s="114"/>
    </row>
    <row r="322" spans="11:26" ht="18" customHeight="1">
      <c r="K322" s="171" t="s">
        <v>14</v>
      </c>
      <c r="L322" s="171"/>
      <c r="M322" s="171"/>
      <c r="N322" s="143" t="s">
        <v>32</v>
      </c>
      <c r="O322" s="173">
        <v>4</v>
      </c>
      <c r="P322" s="234">
        <f ca="1">OFFSET($A$1,MATCH(Z320,$A:$A,0)-1,O322)</f>
        <v>2</v>
      </c>
      <c r="Q322" s="144" t="s">
        <v>29</v>
      </c>
      <c r="R322" s="118">
        <f t="shared" ca="1" si="86"/>
        <v>373353</v>
      </c>
      <c r="S322" s="118">
        <f t="shared" ca="1" si="87"/>
        <v>746706</v>
      </c>
      <c r="T322" s="118">
        <f ca="1">특급</f>
        <v>373353</v>
      </c>
      <c r="U322" s="118">
        <f t="shared" ca="1" si="88"/>
        <v>746706</v>
      </c>
      <c r="V322" s="118"/>
      <c r="W322" s="118"/>
      <c r="X322" s="118"/>
      <c r="Y322" s="118"/>
      <c r="Z322" s="115"/>
    </row>
    <row r="323" spans="11:26" ht="18" customHeight="1">
      <c r="K323" s="171" t="s">
        <v>14</v>
      </c>
      <c r="L323" s="171"/>
      <c r="M323" s="171"/>
      <c r="N323" s="145" t="s">
        <v>39</v>
      </c>
      <c r="O323" s="173">
        <v>5</v>
      </c>
      <c r="P323" s="234">
        <f ca="1">OFFSET($A$1,MATCH(Z320,$A:$A,0)-1,O323)</f>
        <v>2</v>
      </c>
      <c r="Q323" s="144" t="s">
        <v>29</v>
      </c>
      <c r="R323" s="118">
        <f t="shared" ca="1" si="86"/>
        <v>310884</v>
      </c>
      <c r="S323" s="118">
        <f t="shared" ca="1" si="87"/>
        <v>621768</v>
      </c>
      <c r="T323" s="118">
        <f ca="1">고급</f>
        <v>310884</v>
      </c>
      <c r="U323" s="118">
        <f t="shared" ca="1" si="88"/>
        <v>621768</v>
      </c>
      <c r="V323" s="118"/>
      <c r="W323" s="118"/>
      <c r="X323" s="118"/>
      <c r="Y323" s="118"/>
      <c r="Z323" s="115"/>
    </row>
    <row r="324" spans="11:26" ht="18" customHeight="1">
      <c r="K324" s="171" t="s">
        <v>14</v>
      </c>
      <c r="L324" s="171"/>
      <c r="M324" s="171"/>
      <c r="N324" s="145" t="s">
        <v>40</v>
      </c>
      <c r="O324" s="173">
        <v>6</v>
      </c>
      <c r="P324" s="234">
        <f ca="1">OFFSET($A$1,MATCH(Z320,$A:$A,0)-1,O324)</f>
        <v>4</v>
      </c>
      <c r="Q324" s="144" t="s">
        <v>29</v>
      </c>
      <c r="R324" s="118">
        <f t="shared" ca="1" si="86"/>
        <v>295138</v>
      </c>
      <c r="S324" s="118">
        <f t="shared" ca="1" si="87"/>
        <v>1180552</v>
      </c>
      <c r="T324" s="118">
        <f ca="1">중급</f>
        <v>295138</v>
      </c>
      <c r="U324" s="118">
        <f t="shared" ca="1" si="88"/>
        <v>1180552</v>
      </c>
      <c r="V324" s="118"/>
      <c r="W324" s="118"/>
      <c r="X324" s="118"/>
      <c r="Y324" s="118"/>
      <c r="Z324" s="115"/>
    </row>
    <row r="325" spans="11:26" ht="18" customHeight="1">
      <c r="K325" s="171" t="s">
        <v>14</v>
      </c>
      <c r="L325" s="171"/>
      <c r="M325" s="171"/>
      <c r="N325" s="145" t="s">
        <v>41</v>
      </c>
      <c r="O325" s="173">
        <v>7</v>
      </c>
      <c r="P325" s="234">
        <f ca="1">OFFSET($A$1,MATCH(Z320,$A:$A,0)-1,O325)</f>
        <v>4</v>
      </c>
      <c r="Q325" s="144" t="s">
        <v>29</v>
      </c>
      <c r="R325" s="118">
        <f t="shared" ca="1" si="86"/>
        <v>235459</v>
      </c>
      <c r="S325" s="118">
        <f t="shared" ca="1" si="87"/>
        <v>941836</v>
      </c>
      <c r="T325" s="118">
        <f ca="1">초급</f>
        <v>235459</v>
      </c>
      <c r="U325" s="118">
        <f t="shared" ca="1" si="88"/>
        <v>941836</v>
      </c>
      <c r="V325" s="118"/>
      <c r="W325" s="118"/>
      <c r="X325" s="118"/>
      <c r="Y325" s="118"/>
      <c r="Z325" s="115"/>
    </row>
    <row r="326" spans="11:26" ht="18" customHeight="1">
      <c r="K326" s="171" t="s">
        <v>14</v>
      </c>
      <c r="L326" s="171"/>
      <c r="M326" s="171"/>
      <c r="N326" s="319" t="s">
        <v>42</v>
      </c>
      <c r="O326" s="174">
        <v>8</v>
      </c>
      <c r="P326" s="235">
        <f ca="1">OFFSET($A$1,MATCH(Z320,$A:$A,0)-1,O326)</f>
        <v>4</v>
      </c>
      <c r="Q326" s="322" t="s">
        <v>29</v>
      </c>
      <c r="R326" s="323">
        <f t="shared" ca="1" si="86"/>
        <v>250087</v>
      </c>
      <c r="S326" s="323">
        <f t="shared" ca="1" si="87"/>
        <v>1000348</v>
      </c>
      <c r="T326" s="323">
        <f ca="1">보조원</f>
        <v>250087</v>
      </c>
      <c r="U326" s="323">
        <f t="shared" ca="1" si="88"/>
        <v>1000348</v>
      </c>
      <c r="V326" s="323"/>
      <c r="W326" s="323"/>
      <c r="X326" s="323"/>
      <c r="Y326" s="323"/>
      <c r="Z326" s="324"/>
    </row>
    <row r="327" spans="11:26" ht="18" customHeight="1">
      <c r="K327" s="171" t="s">
        <v>14</v>
      </c>
      <c r="L327" s="171"/>
      <c r="M327" s="171"/>
      <c r="N327" s="139" t="s">
        <v>17</v>
      </c>
      <c r="O327" s="68"/>
      <c r="P327" s="69"/>
      <c r="Q327" s="70"/>
      <c r="R327" s="71"/>
      <c r="S327" s="71">
        <f ca="1">SUBTOTAL(9,S321:S326)</f>
        <v>5425644</v>
      </c>
      <c r="T327" s="71"/>
      <c r="U327" s="71">
        <f ca="1">SUBTOTAL(9,U321:U326)</f>
        <v>5425644</v>
      </c>
      <c r="V327" s="71"/>
      <c r="W327" s="71"/>
      <c r="X327" s="71"/>
      <c r="Y327" s="71"/>
      <c r="Z327" s="68"/>
    </row>
    <row r="328" spans="11:26" ht="18" customHeight="1">
      <c r="K328" s="171" t="s">
        <v>14</v>
      </c>
      <c r="L328" s="171"/>
      <c r="M328" s="171"/>
    </row>
    <row r="329" spans="11:26" ht="18" customHeight="1">
      <c r="K329" s="171" t="s">
        <v>14</v>
      </c>
      <c r="L329" s="171"/>
      <c r="M329" s="171"/>
    </row>
    <row r="330" spans="11:26" ht="18" customHeight="1">
      <c r="K330" s="171" t="s">
        <v>14</v>
      </c>
      <c r="L330" s="171"/>
      <c r="M330" s="171"/>
    </row>
    <row r="331" spans="11:26" ht="18" customHeight="1">
      <c r="K331" s="171" t="s">
        <v>14</v>
      </c>
      <c r="L331" s="171"/>
      <c r="M331" s="171"/>
    </row>
    <row r="332" spans="11:26" ht="18" customHeight="1">
      <c r="K332" s="171" t="s">
        <v>14</v>
      </c>
      <c r="L332" s="171"/>
      <c r="M332" s="171"/>
    </row>
    <row r="333" spans="11:26" ht="18" customHeight="1">
      <c r="K333" s="171" t="s">
        <v>14</v>
      </c>
      <c r="L333" s="171"/>
      <c r="M333" s="171"/>
    </row>
    <row r="334" spans="11:26" ht="18" customHeight="1">
      <c r="K334" s="171" t="s">
        <v>14</v>
      </c>
      <c r="L334" s="171"/>
      <c r="M334" s="171"/>
    </row>
    <row r="335" spans="11:26" ht="18" customHeight="1">
      <c r="K335" s="171" t="s">
        <v>14</v>
      </c>
      <c r="L335" s="171"/>
      <c r="M335" s="171"/>
    </row>
    <row r="336" spans="11:26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  <c r="M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K839" s="171" t="s">
        <v>14</v>
      </c>
      <c r="L839" s="171"/>
    </row>
    <row r="840" spans="11:12" ht="18" customHeight="1">
      <c r="K840" s="171" t="s">
        <v>14</v>
      </c>
      <c r="L840" s="171"/>
    </row>
    <row r="841" spans="11:12" ht="18" customHeight="1">
      <c r="K841" s="171" t="s">
        <v>14</v>
      </c>
      <c r="L841" s="171"/>
    </row>
    <row r="842" spans="11:12" ht="18" customHeight="1">
      <c r="K842" s="171" t="s">
        <v>14</v>
      </c>
      <c r="L842" s="171"/>
    </row>
    <row r="843" spans="11:12" ht="18" customHeight="1">
      <c r="K843" s="171" t="s">
        <v>14</v>
      </c>
      <c r="L843" s="171"/>
    </row>
    <row r="844" spans="11:12" ht="18" customHeight="1">
      <c r="K844" s="171" t="s">
        <v>14</v>
      </c>
      <c r="L844" s="171"/>
    </row>
    <row r="845" spans="11:12" ht="18" customHeight="1">
      <c r="K845" s="171" t="s">
        <v>14</v>
      </c>
      <c r="L845" s="171"/>
    </row>
    <row r="846" spans="11:12" ht="18" customHeight="1">
      <c r="K846" s="171" t="s">
        <v>14</v>
      </c>
      <c r="L846" s="171"/>
    </row>
    <row r="847" spans="11:12" ht="18" customHeight="1">
      <c r="L847" s="171"/>
    </row>
    <row r="848" spans="11:12" ht="18" customHeight="1">
      <c r="L848" s="171"/>
    </row>
    <row r="849" spans="12:12" ht="18" customHeight="1">
      <c r="L849" s="171"/>
    </row>
  </sheetData>
  <mergeCells count="17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B12:C13"/>
    <mergeCell ref="J12:J13"/>
    <mergeCell ref="L12:L13"/>
    <mergeCell ref="Z70:Z71"/>
    <mergeCell ref="N70:N71"/>
    <mergeCell ref="O70:O71"/>
    <mergeCell ref="P70:P71"/>
    <mergeCell ref="Q70:Q71"/>
  </mergeCells>
  <phoneticPr fontId="14" type="noConversion"/>
  <conditionalFormatting sqref="V14:V53">
    <cfRule type="cellIs" dxfId="36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82">
    <tabColor rgb="FF7030A0"/>
    <pageSetUpPr fitToPage="1"/>
  </sheetPr>
  <dimension ref="A1:Z853"/>
  <sheetViews>
    <sheetView showGridLines="0" zoomScale="85" zoomScaleNormal="85" zoomScaleSheetLayoutView="75" workbookViewId="0">
      <selection activeCell="E1" sqref="E1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2257</v>
      </c>
    </row>
    <row r="2" spans="1:26" ht="19.5" thickBot="1">
      <c r="B2" s="66" t="s">
        <v>1</v>
      </c>
      <c r="F2" s="1">
        <v>1</v>
      </c>
    </row>
    <row r="3" spans="1:26" ht="19.5" customHeight="1">
      <c r="B3" s="773" t="s">
        <v>578</v>
      </c>
      <c r="C3" s="774"/>
      <c r="D3" s="775">
        <f>CHOOSE(F2,10,30,20)</f>
        <v>10</v>
      </c>
      <c r="E3" s="776"/>
      <c r="F3" s="44" t="s">
        <v>577</v>
      </c>
      <c r="G3" s="838" t="s">
        <v>1104</v>
      </c>
      <c r="H3" s="839"/>
      <c r="I3" s="656">
        <v>2</v>
      </c>
      <c r="J3" s="669" t="s">
        <v>794</v>
      </c>
      <c r="N3" s="391" t="s">
        <v>2258</v>
      </c>
    </row>
    <row r="4" spans="1:26" ht="21.75" customHeight="1">
      <c r="B4" s="777" t="s">
        <v>2306</v>
      </c>
      <c r="C4" s="778"/>
      <c r="D4" s="779">
        <v>20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N4" s="391" t="s">
        <v>2259</v>
      </c>
    </row>
    <row r="5" spans="1:26" ht="24" customHeight="1" thickBot="1">
      <c r="B5" s="781" t="str">
        <f>CHOOSE(F2,"보정계수(α) = (A/10)^0.6 :","보정계수(α) = (A/30)0.6 :","보정계수(α) = (A/20)0.6 :")</f>
        <v>보정계수(α) = (A/10)^0.6 :</v>
      </c>
      <c r="C5" s="782"/>
      <c r="D5" s="783">
        <f>CHOOSE(F2,ROUNDDOWN((IF(D4&lt;=3,3,D4)/D3)^0.6,3),ROUNDDOWN((IF(D4&lt;=10,10,D4)/D3)^0.6,3),ROUNDDOWN((IF(D4&lt;=10,10,D4)/D3)^0.6,3))</f>
        <v>1.5149999999999999</v>
      </c>
      <c r="E5" s="784"/>
      <c r="F5" s="45"/>
      <c r="G5" s="817" t="s">
        <v>1102</v>
      </c>
      <c r="H5" s="818"/>
      <c r="I5" s="646">
        <f>ROUND(I4/I3,3)</f>
        <v>1</v>
      </c>
      <c r="J5" s="671"/>
      <c r="N5" s="391" t="s">
        <v>2260</v>
      </c>
    </row>
    <row r="6" spans="1:26" ht="23.25" customHeight="1">
      <c r="B6" s="1" t="s">
        <v>2261</v>
      </c>
      <c r="C6" s="677"/>
      <c r="D6" s="64"/>
      <c r="E6" s="64"/>
      <c r="F6" s="171"/>
      <c r="G6" s="9" t="s">
        <v>1107</v>
      </c>
      <c r="J6" s="36"/>
    </row>
    <row r="7" spans="1:26" ht="18" customHeight="1">
      <c r="B7" s="9"/>
      <c r="C7" s="9" t="s">
        <v>2262</v>
      </c>
      <c r="D7" s="64"/>
      <c r="E7" s="64"/>
      <c r="R7" s="1"/>
      <c r="S7" s="1"/>
      <c r="T7" s="1"/>
    </row>
    <row r="8" spans="1:26" ht="18" customHeight="1">
      <c r="B8" s="9"/>
      <c r="C8" s="9" t="s">
        <v>2263</v>
      </c>
      <c r="D8" s="64"/>
      <c r="E8" s="64"/>
      <c r="R8" s="1"/>
      <c r="S8" s="1"/>
      <c r="T8" s="1"/>
    </row>
    <row r="9" spans="1:26" ht="18" customHeight="1">
      <c r="B9" s="9"/>
      <c r="C9" s="9"/>
      <c r="D9" s="64"/>
      <c r="E9" s="64"/>
      <c r="R9" s="1"/>
      <c r="S9" s="1"/>
      <c r="T9" s="1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SUBTOTAL(9,W13:W57)</f>
        <v>532691934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SUBTOTAL(9,W14:W54)</f>
        <v>195725200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SUBTOTAL(9,W15:W49)</f>
        <v>187725200</v>
      </c>
      <c r="X14" s="256"/>
      <c r="Y14" s="220"/>
      <c r="Z14" s="220"/>
    </row>
    <row r="15" spans="1:26" ht="18" customHeight="1">
      <c r="A15" s="279"/>
      <c r="B15" s="222" t="s">
        <v>2264</v>
      </c>
      <c r="C15" s="47"/>
      <c r="D15" s="48">
        <f t="shared" ref="D15:I15" si="0">SUBTOTAL(9,D16:D18)</f>
        <v>0.7</v>
      </c>
      <c r="E15" s="49">
        <f t="shared" si="0"/>
        <v>1.4</v>
      </c>
      <c r="F15" s="49">
        <f t="shared" si="0"/>
        <v>2</v>
      </c>
      <c r="G15" s="49">
        <f t="shared" si="0"/>
        <v>3.1</v>
      </c>
      <c r="H15" s="49">
        <f t="shared" si="0"/>
        <v>4.3999999999999995</v>
      </c>
      <c r="I15" s="50">
        <f t="shared" si="0"/>
        <v>6</v>
      </c>
      <c r="J15" s="74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SUBTOTAL(9,W16:W19)</f>
        <v>8549282</v>
      </c>
      <c r="X15" s="194"/>
      <c r="Y15" s="170" t="str">
        <f>IF(A51&gt;0, "제 " &amp;A51&amp; " 호표","")</f>
        <v/>
      </c>
      <c r="Z15" s="170"/>
    </row>
    <row r="16" spans="1:26" ht="18" customHeight="1">
      <c r="A16" s="279"/>
      <c r="B16" s="223" t="s">
        <v>2268</v>
      </c>
      <c r="C16" s="23"/>
      <c r="D16" s="197">
        <v>0.5</v>
      </c>
      <c r="E16" s="198">
        <v>1</v>
      </c>
      <c r="F16" s="198">
        <v>1</v>
      </c>
      <c r="G16" s="198">
        <v>1.5</v>
      </c>
      <c r="H16" s="198">
        <v>2</v>
      </c>
      <c r="I16" s="199">
        <v>3</v>
      </c>
      <c r="J16" s="389" t="s">
        <v>2265</v>
      </c>
      <c r="L16" s="233">
        <v>1</v>
      </c>
      <c r="N16" s="292" t="str">
        <f t="shared" ref="N16:N49" si="1">B16</f>
        <v>1.1. 일반현황조사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SUM((ROUNDDOWN((D52:I52)*단가,0)))</f>
        <v>3910939</v>
      </c>
      <c r="X16" s="154"/>
      <c r="Y16" s="170" t="str">
        <f>IF(A52&gt;0, "제 " &amp;A52&amp; " 호표","")</f>
        <v>제 1 호표</v>
      </c>
      <c r="Z16" s="150"/>
    </row>
    <row r="17" spans="1:26" ht="18" customHeight="1">
      <c r="A17" s="279"/>
      <c r="B17" s="223" t="s">
        <v>2267</v>
      </c>
      <c r="C17" s="23"/>
      <c r="D17" s="197">
        <v>0.1</v>
      </c>
      <c r="E17" s="198">
        <v>0.2</v>
      </c>
      <c r="F17" s="198">
        <v>0.6</v>
      </c>
      <c r="G17" s="198">
        <v>1.2</v>
      </c>
      <c r="H17" s="198">
        <v>1.8</v>
      </c>
      <c r="I17" s="199">
        <v>2.2000000000000002</v>
      </c>
      <c r="J17" s="389" t="s">
        <v>1090</v>
      </c>
      <c r="L17" s="233">
        <v>1</v>
      </c>
      <c r="N17" s="292" t="str">
        <f t="shared" si="1"/>
        <v>1.2. 경관자원 및 특성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SUM((ROUNDDOWN((D53:I53)*단가,0)))</f>
        <v>2478462</v>
      </c>
      <c r="X17" s="154"/>
      <c r="Y17" s="170" t="str">
        <f t="shared" ref="Y17:Y49" si="2">IF(A53&gt;0, "제 " &amp;A53&amp; " 호표","")</f>
        <v>제 2 호표</v>
      </c>
      <c r="Z17" s="150"/>
    </row>
    <row r="18" spans="1:26" ht="18" customHeight="1">
      <c r="A18" s="279"/>
      <c r="B18" s="223" t="s">
        <v>2266</v>
      </c>
      <c r="C18" s="23"/>
      <c r="D18" s="197">
        <v>0.1</v>
      </c>
      <c r="E18" s="198">
        <v>0.2</v>
      </c>
      <c r="F18" s="198">
        <v>0.4</v>
      </c>
      <c r="G18" s="198">
        <v>0.4</v>
      </c>
      <c r="H18" s="198">
        <v>0.6</v>
      </c>
      <c r="I18" s="199">
        <v>0.8</v>
      </c>
      <c r="J18" s="389" t="s">
        <v>1090</v>
      </c>
      <c r="L18" s="233">
        <v>1</v>
      </c>
      <c r="N18" s="292" t="str">
        <f t="shared" si="1"/>
        <v>1.3. 관련 법규 및 계획(유사사례 검토)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SUM((ROUNDDOWN((D54:I54)*단가,0)))</f>
        <v>1068059</v>
      </c>
      <c r="X18" s="154"/>
      <c r="Y18" s="170" t="str">
        <f t="shared" si="2"/>
        <v>제 3 호표</v>
      </c>
      <c r="Z18" s="150"/>
    </row>
    <row r="19" spans="1:26" ht="18" customHeight="1">
      <c r="A19" s="279"/>
      <c r="B19" s="223" t="s">
        <v>2269</v>
      </c>
      <c r="C19" s="23"/>
      <c r="D19" s="197">
        <v>0.2</v>
      </c>
      <c r="E19" s="198">
        <v>0.2</v>
      </c>
      <c r="F19" s="198">
        <v>0.3</v>
      </c>
      <c r="G19" s="198">
        <v>0.4</v>
      </c>
      <c r="H19" s="198">
        <v>0.6</v>
      </c>
      <c r="I19" s="199">
        <v>0.8</v>
      </c>
      <c r="J19" s="389" t="s">
        <v>1090</v>
      </c>
      <c r="L19" s="233">
        <v>1</v>
      </c>
      <c r="N19" s="292" t="str">
        <f t="shared" si="1"/>
        <v>1.4. 경관 종합분석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SUM((ROUNDDOWN((D55:I55)*단가,0)))</f>
        <v>1091822</v>
      </c>
      <c r="X19" s="154"/>
      <c r="Y19" s="170" t="str">
        <f t="shared" si="2"/>
        <v>제 4 호표</v>
      </c>
      <c r="Z19" s="150"/>
    </row>
    <row r="20" spans="1:26" ht="18" customHeight="1">
      <c r="A20" s="279"/>
      <c r="B20" s="222" t="s">
        <v>579</v>
      </c>
      <c r="C20" s="47"/>
      <c r="D20" s="48">
        <f t="shared" ref="D20:I20" si="3">SUBTOTAL(9,D21:D22)</f>
        <v>0.30000000000000004</v>
      </c>
      <c r="E20" s="49">
        <f t="shared" si="3"/>
        <v>0.4</v>
      </c>
      <c r="F20" s="49">
        <f t="shared" si="3"/>
        <v>0.8</v>
      </c>
      <c r="G20" s="49">
        <f t="shared" si="3"/>
        <v>1.2999999999999998</v>
      </c>
      <c r="H20" s="49">
        <f t="shared" si="3"/>
        <v>1.8</v>
      </c>
      <c r="I20" s="50">
        <f t="shared" si="3"/>
        <v>2.5</v>
      </c>
      <c r="J20" s="389"/>
      <c r="L20" s="232"/>
      <c r="N20" s="354" t="str">
        <f t="shared" si="1"/>
        <v>2. 기본방향 및 목표</v>
      </c>
      <c r="O20" s="169"/>
      <c r="P20" s="169"/>
      <c r="Q20" s="169"/>
      <c r="R20" s="169"/>
      <c r="S20" s="169"/>
      <c r="T20" s="169"/>
      <c r="U20" s="226"/>
      <c r="V20" s="248"/>
      <c r="W20" s="193">
        <f ca="1">SUBTOTAL(9,W21:W22)</f>
        <v>2985220</v>
      </c>
      <c r="X20" s="194"/>
      <c r="Y20" s="170" t="str">
        <f t="shared" si="2"/>
        <v/>
      </c>
      <c r="Z20" s="170"/>
    </row>
    <row r="21" spans="1:26" ht="18" customHeight="1">
      <c r="A21" s="279"/>
      <c r="B21" s="223" t="s">
        <v>2270</v>
      </c>
      <c r="C21" s="23"/>
      <c r="D21" s="197">
        <v>0.2</v>
      </c>
      <c r="E21" s="198">
        <v>0.2</v>
      </c>
      <c r="F21" s="198">
        <v>0.4</v>
      </c>
      <c r="G21" s="198">
        <v>0.7</v>
      </c>
      <c r="H21" s="198">
        <v>0.9</v>
      </c>
      <c r="I21" s="199">
        <v>1.3</v>
      </c>
      <c r="J21" s="389" t="s">
        <v>1090</v>
      </c>
      <c r="L21" s="233">
        <v>1</v>
      </c>
      <c r="N21" s="292" t="str">
        <f t="shared" si="1"/>
        <v>2.1. 기본방향 및 목표설정(미래상설정)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SUM((ROUNDDOWN((D57:I57)*단가,0)))</f>
        <v>1569283</v>
      </c>
      <c r="X21" s="154"/>
      <c r="Y21" s="170" t="str">
        <f t="shared" si="2"/>
        <v>제 5 호표</v>
      </c>
      <c r="Z21" s="150"/>
    </row>
    <row r="22" spans="1:26" ht="18" customHeight="1">
      <c r="A22" s="279"/>
      <c r="B22" s="223" t="s">
        <v>2271</v>
      </c>
      <c r="C22" s="23"/>
      <c r="D22" s="197">
        <v>0.1</v>
      </c>
      <c r="E22" s="198">
        <v>0.2</v>
      </c>
      <c r="F22" s="198">
        <v>0.4</v>
      </c>
      <c r="G22" s="198">
        <v>0.6</v>
      </c>
      <c r="H22" s="198">
        <v>0.9</v>
      </c>
      <c r="I22" s="199">
        <v>1.2</v>
      </c>
      <c r="J22" s="389" t="s">
        <v>1090</v>
      </c>
      <c r="L22" s="233">
        <v>1</v>
      </c>
      <c r="N22" s="292" t="str">
        <f t="shared" si="1"/>
        <v>2.2. 경관형성전략 수립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SUM((ROUNDDOWN((D58:I58)*단가,0)))</f>
        <v>1415937</v>
      </c>
      <c r="X22" s="154"/>
      <c r="Y22" s="170" t="str">
        <f t="shared" si="2"/>
        <v>제 6 호표</v>
      </c>
      <c r="Z22" s="150"/>
    </row>
    <row r="23" spans="1:26" ht="18" customHeight="1">
      <c r="A23" s="279"/>
      <c r="B23" s="222" t="s">
        <v>2272</v>
      </c>
      <c r="C23" s="47"/>
      <c r="D23" s="48">
        <f t="shared" ref="D23:I23" si="4">SUBTOTAL(9,D24:D28)</f>
        <v>1</v>
      </c>
      <c r="E23" s="49">
        <f t="shared" si="4"/>
        <v>1.5</v>
      </c>
      <c r="F23" s="49">
        <f t="shared" si="4"/>
        <v>3</v>
      </c>
      <c r="G23" s="49">
        <f t="shared" si="4"/>
        <v>5.1999999999999993</v>
      </c>
      <c r="H23" s="49">
        <f t="shared" si="4"/>
        <v>7.1</v>
      </c>
      <c r="I23" s="50">
        <f t="shared" si="4"/>
        <v>10.3</v>
      </c>
      <c r="J23" s="389"/>
      <c r="L23" s="232"/>
      <c r="N23" s="354" t="str">
        <f t="shared" si="1"/>
        <v>3. 경관 기본 구상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SUBTOTAL(9,W24:W28)</f>
        <v>11727392</v>
      </c>
      <c r="X23" s="194"/>
      <c r="Y23" s="170" t="str">
        <f t="shared" si="2"/>
        <v/>
      </c>
      <c r="Z23" s="170"/>
    </row>
    <row r="24" spans="1:26" ht="18" customHeight="1">
      <c r="A24" s="279"/>
      <c r="B24" s="223" t="s">
        <v>2273</v>
      </c>
      <c r="C24" s="23"/>
      <c r="D24" s="197">
        <v>0.1</v>
      </c>
      <c r="E24" s="198">
        <v>0.2</v>
      </c>
      <c r="F24" s="198">
        <v>0.4</v>
      </c>
      <c r="G24" s="198">
        <v>0.6</v>
      </c>
      <c r="H24" s="198">
        <v>0.9</v>
      </c>
      <c r="I24" s="199">
        <v>1.3</v>
      </c>
      <c r="J24" s="389" t="s">
        <v>1090</v>
      </c>
      <c r="L24" s="233">
        <v>1</v>
      </c>
      <c r="N24" s="292" t="str">
        <f t="shared" si="1"/>
        <v>3.1. 경관구조 설정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SUM((ROUNDDOWN((D60:I60)*단가,0)))</f>
        <v>1453700</v>
      </c>
      <c r="X24" s="154"/>
      <c r="Y24" s="170" t="str">
        <f t="shared" si="2"/>
        <v>제 7 호표</v>
      </c>
      <c r="Z24" s="150"/>
    </row>
    <row r="25" spans="1:26" ht="18" customHeight="1">
      <c r="A25" s="279"/>
      <c r="B25" s="223" t="s">
        <v>2274</v>
      </c>
      <c r="C25" s="23"/>
      <c r="D25" s="197">
        <v>0.2</v>
      </c>
      <c r="E25" s="198">
        <v>0.2</v>
      </c>
      <c r="F25" s="198">
        <v>0.4</v>
      </c>
      <c r="G25" s="198">
        <v>0.8</v>
      </c>
      <c r="H25" s="198">
        <v>1.1000000000000001</v>
      </c>
      <c r="I25" s="199">
        <v>1.4</v>
      </c>
      <c r="J25" s="389" t="s">
        <v>1090</v>
      </c>
      <c r="L25" s="233">
        <v>1</v>
      </c>
      <c r="N25" s="292" t="str">
        <f t="shared" si="1"/>
        <v>3.2. 경관권역 기본구상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SUM((ROUNDDOWN((D61:I61)*단가,0)))</f>
        <v>1723501</v>
      </c>
      <c r="X25" s="154"/>
      <c r="Y25" s="170" t="str">
        <f t="shared" si="2"/>
        <v>제 8 호표</v>
      </c>
      <c r="Z25" s="150"/>
    </row>
    <row r="26" spans="1:26" ht="18" customHeight="1">
      <c r="A26" s="279"/>
      <c r="B26" s="223" t="s">
        <v>2275</v>
      </c>
      <c r="C26" s="23"/>
      <c r="D26" s="197">
        <v>0.1</v>
      </c>
      <c r="E26" s="198">
        <v>0.2</v>
      </c>
      <c r="F26" s="198">
        <v>0.4</v>
      </c>
      <c r="G26" s="198">
        <v>0.7</v>
      </c>
      <c r="H26" s="198">
        <v>0.9</v>
      </c>
      <c r="I26" s="199">
        <v>1.4</v>
      </c>
      <c r="J26" s="389" t="s">
        <v>1090</v>
      </c>
      <c r="L26" s="233">
        <v>1</v>
      </c>
      <c r="N26" s="292" t="str">
        <f t="shared" si="1"/>
        <v>3.3. 경관축 기본구상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SUM((ROUNDDOWN((D62:I62)*단가,0)))</f>
        <v>1536279</v>
      </c>
      <c r="X26" s="154"/>
      <c r="Y26" s="170" t="str">
        <f t="shared" si="2"/>
        <v>제 9 호표</v>
      </c>
      <c r="Z26" s="150"/>
    </row>
    <row r="27" spans="1:26" ht="18" customHeight="1">
      <c r="A27" s="279"/>
      <c r="B27" s="223" t="s">
        <v>2276</v>
      </c>
      <c r="C27" s="23"/>
      <c r="D27" s="197">
        <v>0.1</v>
      </c>
      <c r="E27" s="198">
        <v>0.2</v>
      </c>
      <c r="F27" s="198">
        <v>0.4</v>
      </c>
      <c r="G27" s="198">
        <v>0.7</v>
      </c>
      <c r="H27" s="198">
        <v>0.9</v>
      </c>
      <c r="I27" s="199">
        <v>1.4</v>
      </c>
      <c r="J27" s="389" t="s">
        <v>1090</v>
      </c>
      <c r="L27" s="233">
        <v>1</v>
      </c>
      <c r="N27" s="292" t="str">
        <f t="shared" si="1"/>
        <v>3.4. 경관거점 기본구상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SUM((ROUNDDOWN((D63:I63)*단가,0)))</f>
        <v>1536279</v>
      </c>
      <c r="X27" s="154"/>
      <c r="Y27" s="170" t="str">
        <f t="shared" si="2"/>
        <v>제 10 호표</v>
      </c>
      <c r="Z27" s="150"/>
    </row>
    <row r="28" spans="1:26" ht="18" customHeight="1">
      <c r="A28" s="279"/>
      <c r="B28" s="223" t="s">
        <v>2277</v>
      </c>
      <c r="C28" s="23"/>
      <c r="D28" s="197">
        <v>0.5</v>
      </c>
      <c r="E28" s="198">
        <v>0.7</v>
      </c>
      <c r="F28" s="198">
        <v>1.4</v>
      </c>
      <c r="G28" s="198">
        <v>2.4</v>
      </c>
      <c r="H28" s="198">
        <v>3.3</v>
      </c>
      <c r="I28" s="199">
        <v>4.8</v>
      </c>
      <c r="J28" s="389" t="s">
        <v>2265</v>
      </c>
      <c r="L28" s="233">
        <v>1</v>
      </c>
      <c r="N28" s="292" t="str">
        <f t="shared" si="1"/>
        <v>3.5. 블록(장소)별 세부구조 설정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SUM((ROUNDDOWN((D64:I64)*단가,0)))</f>
        <v>5477633</v>
      </c>
      <c r="X28" s="154"/>
      <c r="Y28" s="170" t="str">
        <f t="shared" si="2"/>
        <v>제 11 호표</v>
      </c>
      <c r="Z28" s="150"/>
    </row>
    <row r="29" spans="1:26" ht="18" customHeight="1">
      <c r="A29" s="279"/>
      <c r="B29" s="222" t="s">
        <v>2278</v>
      </c>
      <c r="C29" s="47"/>
      <c r="D29" s="48">
        <f t="shared" ref="D29:I29" si="5">SUBTOTAL(9,D30:D36)</f>
        <v>11.2</v>
      </c>
      <c r="E29" s="49">
        <f t="shared" si="5"/>
        <v>23.1</v>
      </c>
      <c r="F29" s="49">
        <f t="shared" si="5"/>
        <v>55.7</v>
      </c>
      <c r="G29" s="49">
        <f t="shared" si="5"/>
        <v>61.300000000000004</v>
      </c>
      <c r="H29" s="49">
        <f t="shared" si="5"/>
        <v>67.300000000000011</v>
      </c>
      <c r="I29" s="50">
        <f t="shared" si="5"/>
        <v>72.199999999999989</v>
      </c>
      <c r="J29" s="389"/>
      <c r="L29" s="232"/>
      <c r="N29" s="354" t="str">
        <f t="shared" si="1"/>
        <v>4. 경관 부문별 계획</v>
      </c>
      <c r="O29" s="169"/>
      <c r="P29" s="169"/>
      <c r="Q29" s="169"/>
      <c r="R29" s="169"/>
      <c r="S29" s="169"/>
      <c r="T29" s="169"/>
      <c r="U29" s="226"/>
      <c r="V29" s="248"/>
      <c r="W29" s="193">
        <f ca="1">SUBTOTAL(9,W30:W36)</f>
        <v>125996240</v>
      </c>
      <c r="X29" s="194"/>
      <c r="Y29" s="170" t="str">
        <f t="shared" si="2"/>
        <v/>
      </c>
      <c r="Z29" s="170"/>
    </row>
    <row r="30" spans="1:26" ht="18" customHeight="1">
      <c r="A30" s="279"/>
      <c r="B30" s="223" t="s">
        <v>2279</v>
      </c>
      <c r="C30" s="23"/>
      <c r="D30" s="197">
        <v>1.2</v>
      </c>
      <c r="E30" s="198">
        <v>2.6</v>
      </c>
      <c r="F30" s="198">
        <v>6.4</v>
      </c>
      <c r="G30" s="198">
        <v>6.6</v>
      </c>
      <c r="H30" s="198">
        <v>7.3</v>
      </c>
      <c r="I30" s="199">
        <v>7.9</v>
      </c>
      <c r="J30" s="389" t="s">
        <v>1090</v>
      </c>
      <c r="L30" s="233">
        <v>1</v>
      </c>
      <c r="N30" s="292" t="str">
        <f t="shared" si="1"/>
        <v>4.1. 요소별 기본구상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SUM((ROUNDDOWN((D66:I66)*단가,0)))</f>
        <v>13882434</v>
      </c>
      <c r="X30" s="154"/>
      <c r="Y30" s="170" t="str">
        <f t="shared" si="2"/>
        <v>제 12 호표</v>
      </c>
      <c r="Z30" s="150"/>
    </row>
    <row r="31" spans="1:26" ht="18" customHeight="1">
      <c r="A31" s="279"/>
      <c r="B31" s="223" t="s">
        <v>2280</v>
      </c>
      <c r="C31" s="23"/>
      <c r="D31" s="197">
        <v>3</v>
      </c>
      <c r="E31" s="198">
        <v>5</v>
      </c>
      <c r="F31" s="198">
        <v>10</v>
      </c>
      <c r="G31" s="198">
        <v>11</v>
      </c>
      <c r="H31" s="198">
        <v>12</v>
      </c>
      <c r="I31" s="199">
        <v>13</v>
      </c>
      <c r="J31" s="389" t="s">
        <v>1090</v>
      </c>
      <c r="L31" s="233">
        <v>1</v>
      </c>
      <c r="N31" s="292" t="str">
        <f t="shared" si="1"/>
        <v>4.2. 요소별 계획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SUM((ROUNDDOWN((D67:I67)*단가,0)))</f>
        <v>23786122</v>
      </c>
      <c r="X31" s="154"/>
      <c r="Y31" s="170" t="str">
        <f t="shared" si="2"/>
        <v>제 13 호표</v>
      </c>
      <c r="Z31" s="150"/>
    </row>
    <row r="32" spans="1:26" ht="18" customHeight="1">
      <c r="A32" s="279"/>
      <c r="B32" s="223" t="s">
        <v>2281</v>
      </c>
      <c r="C32" s="23"/>
      <c r="D32" s="197">
        <v>1.1000000000000001</v>
      </c>
      <c r="E32" s="198">
        <v>2.2999999999999998</v>
      </c>
      <c r="F32" s="198">
        <v>5.5</v>
      </c>
      <c r="G32" s="198">
        <v>5.7</v>
      </c>
      <c r="H32" s="198">
        <v>6.3</v>
      </c>
      <c r="I32" s="199">
        <v>6.9</v>
      </c>
      <c r="J32" s="389" t="s">
        <v>1090</v>
      </c>
      <c r="L32" s="233">
        <v>1</v>
      </c>
      <c r="N32" s="292" t="str">
        <f t="shared" si="1"/>
        <v>4.3. 건축물 경관계획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SUM((ROUNDDOWN((D68:I68)*단가,0)))</f>
        <v>12079324</v>
      </c>
      <c r="X32" s="154"/>
      <c r="Y32" s="170" t="str">
        <f t="shared" si="2"/>
        <v>제 14 호표</v>
      </c>
      <c r="Z32" s="150"/>
    </row>
    <row r="33" spans="1:26" ht="18" customHeight="1">
      <c r="A33" s="279"/>
      <c r="B33" s="223" t="s">
        <v>2282</v>
      </c>
      <c r="C33" s="23"/>
      <c r="D33" s="197">
        <v>1.1000000000000001</v>
      </c>
      <c r="E33" s="198">
        <v>2.2999999999999998</v>
      </c>
      <c r="F33" s="198">
        <v>5.5</v>
      </c>
      <c r="G33" s="198">
        <v>5.7</v>
      </c>
      <c r="H33" s="198">
        <v>6.3</v>
      </c>
      <c r="I33" s="199">
        <v>6.9</v>
      </c>
      <c r="J33" s="389" t="s">
        <v>1090</v>
      </c>
      <c r="L33" s="233">
        <v>1</v>
      </c>
      <c r="N33" s="292" t="str">
        <f t="shared" si="1"/>
        <v>4.4. 가로경관계획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SUM((ROUNDDOWN((D69:I69)*단가,0)))</f>
        <v>12079324</v>
      </c>
      <c r="X33" s="154"/>
      <c r="Y33" s="170" t="str">
        <f t="shared" si="2"/>
        <v>제 15 호표</v>
      </c>
      <c r="Z33" s="150"/>
    </row>
    <row r="34" spans="1:26" ht="18" customHeight="1">
      <c r="A34" s="279"/>
      <c r="B34" s="223" t="s">
        <v>2283</v>
      </c>
      <c r="C34" s="23"/>
      <c r="D34" s="197">
        <v>1.1000000000000001</v>
      </c>
      <c r="E34" s="198">
        <v>2.2999999999999998</v>
      </c>
      <c r="F34" s="198">
        <v>5.5</v>
      </c>
      <c r="G34" s="198">
        <v>5.7</v>
      </c>
      <c r="H34" s="198">
        <v>6.3</v>
      </c>
      <c r="I34" s="199">
        <v>6.9</v>
      </c>
      <c r="J34" s="389" t="s">
        <v>1090</v>
      </c>
      <c r="L34" s="233">
        <v>1</v>
      </c>
      <c r="N34" s="292" t="str">
        <f t="shared" si="1"/>
        <v>4.5. 공원 및 녹지 경관계획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SUM((ROUNDDOWN((D70:I70)*단가,0)))</f>
        <v>12079324</v>
      </c>
      <c r="X34" s="154"/>
      <c r="Y34" s="170" t="str">
        <f t="shared" si="2"/>
        <v>제 16 호표</v>
      </c>
      <c r="Z34" s="150"/>
    </row>
    <row r="35" spans="1:26" ht="18" customHeight="1">
      <c r="A35" s="279"/>
      <c r="B35" s="223" t="s">
        <v>2284</v>
      </c>
      <c r="C35" s="23"/>
      <c r="D35" s="197">
        <v>2</v>
      </c>
      <c r="E35" s="198">
        <v>4.2</v>
      </c>
      <c r="F35" s="198">
        <v>11.8</v>
      </c>
      <c r="G35" s="198">
        <v>14.6</v>
      </c>
      <c r="H35" s="198">
        <v>16.100000000000001</v>
      </c>
      <c r="I35" s="199">
        <v>17.600000000000001</v>
      </c>
      <c r="J35" s="389" t="s">
        <v>1090</v>
      </c>
      <c r="L35" s="233">
        <v>1</v>
      </c>
      <c r="N35" s="292" t="str">
        <f t="shared" si="1"/>
        <v>4.6. 색채 등 경관계획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SUM((ROUNDDOWN((D71:I71)*단가,0)))</f>
        <v>28288541</v>
      </c>
      <c r="X35" s="154"/>
      <c r="Y35" s="170" t="str">
        <f t="shared" si="2"/>
        <v>제 17 호표</v>
      </c>
      <c r="Z35" s="150"/>
    </row>
    <row r="36" spans="1:26" ht="18" customHeight="1">
      <c r="A36" s="279"/>
      <c r="B36" s="223" t="s">
        <v>2285</v>
      </c>
      <c r="C36" s="23"/>
      <c r="D36" s="197">
        <v>1.7</v>
      </c>
      <c r="E36" s="198">
        <v>4.4000000000000004</v>
      </c>
      <c r="F36" s="198">
        <v>11</v>
      </c>
      <c r="G36" s="198">
        <v>12</v>
      </c>
      <c r="H36" s="198">
        <v>13</v>
      </c>
      <c r="I36" s="199">
        <v>13</v>
      </c>
      <c r="J36" s="389" t="s">
        <v>1090</v>
      </c>
      <c r="L36" s="233">
        <v>1</v>
      </c>
      <c r="N36" s="292" t="str">
        <f t="shared" si="1"/>
        <v>4.7. 기타 계획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SUM((ROUNDDOWN((D72:I72)*단가,0)))</f>
        <v>23801171</v>
      </c>
      <c r="X36" s="154"/>
      <c r="Y36" s="170" t="str">
        <f t="shared" si="2"/>
        <v>제 18 호표</v>
      </c>
      <c r="Z36" s="150"/>
    </row>
    <row r="37" spans="1:26" ht="18" customHeight="1">
      <c r="A37" s="279"/>
      <c r="B37" s="222" t="s">
        <v>2286</v>
      </c>
      <c r="C37" s="47"/>
      <c r="D37" s="48">
        <f t="shared" ref="D37:I37" si="6">SUBTOTAL(9,D38:D39)</f>
        <v>0.8</v>
      </c>
      <c r="E37" s="49">
        <f t="shared" si="6"/>
        <v>1.2000000000000002</v>
      </c>
      <c r="F37" s="49">
        <f t="shared" si="6"/>
        <v>2.4</v>
      </c>
      <c r="G37" s="49">
        <f t="shared" si="6"/>
        <v>4.3</v>
      </c>
      <c r="H37" s="49">
        <f t="shared" si="6"/>
        <v>4</v>
      </c>
      <c r="I37" s="50">
        <f t="shared" si="6"/>
        <v>4.5999999999999996</v>
      </c>
      <c r="J37" s="389"/>
      <c r="L37" s="233"/>
      <c r="N37" s="354" t="str">
        <f t="shared" si="1"/>
        <v>5. 경관지침</v>
      </c>
      <c r="O37" s="169"/>
      <c r="P37" s="169"/>
      <c r="Q37" s="169"/>
      <c r="R37" s="169"/>
      <c r="S37" s="169"/>
      <c r="T37" s="169"/>
      <c r="U37" s="226"/>
      <c r="V37" s="248"/>
      <c r="W37" s="193">
        <f ca="1">SUBTOTAL(9,W38:W39)</f>
        <v>7466628</v>
      </c>
      <c r="X37" s="257"/>
      <c r="Y37" s="170" t="str">
        <f t="shared" si="2"/>
        <v/>
      </c>
      <c r="Z37" s="169"/>
    </row>
    <row r="38" spans="1:26" ht="18" customHeight="1">
      <c r="A38" s="279"/>
      <c r="B38" s="223" t="s">
        <v>2287</v>
      </c>
      <c r="C38" s="23"/>
      <c r="D38" s="197">
        <v>0.3</v>
      </c>
      <c r="E38" s="198">
        <v>0.4</v>
      </c>
      <c r="F38" s="198">
        <v>0.9</v>
      </c>
      <c r="G38" s="198">
        <v>1.8</v>
      </c>
      <c r="H38" s="198">
        <v>2</v>
      </c>
      <c r="I38" s="199">
        <v>2.1</v>
      </c>
      <c r="J38" s="389" t="s">
        <v>1090</v>
      </c>
      <c r="L38" s="233">
        <v>1</v>
      </c>
      <c r="N38" s="292" t="str">
        <f t="shared" si="1"/>
        <v>5.1. 종합계획 및 통합지침도 작성</v>
      </c>
      <c r="O38" s="37"/>
      <c r="P38" s="37"/>
      <c r="Q38" s="37"/>
      <c r="R38" s="37"/>
      <c r="S38" s="37"/>
      <c r="T38" s="37"/>
      <c r="U38" s="226"/>
      <c r="V38" s="248"/>
      <c r="W38" s="153">
        <f t="array" aca="1" ref="W38" ca="1">SUM((ROUNDDOWN((D74:I74)*단가,0)))</f>
        <v>3175908</v>
      </c>
      <c r="X38" s="113"/>
      <c r="Y38" s="170" t="str">
        <f t="shared" si="2"/>
        <v>제 19 호표</v>
      </c>
      <c r="Z38" s="37"/>
    </row>
    <row r="39" spans="1:26" ht="18" customHeight="1">
      <c r="A39" s="279"/>
      <c r="B39" s="223" t="s">
        <v>2288</v>
      </c>
      <c r="C39" s="43"/>
      <c r="D39" s="206">
        <v>0.5</v>
      </c>
      <c r="E39" s="207">
        <v>0.8</v>
      </c>
      <c r="F39" s="207">
        <v>1.5</v>
      </c>
      <c r="G39" s="207">
        <v>2.5</v>
      </c>
      <c r="H39" s="207">
        <v>2</v>
      </c>
      <c r="I39" s="208">
        <v>2.5</v>
      </c>
      <c r="J39" s="443" t="s">
        <v>1090</v>
      </c>
      <c r="L39" s="233">
        <v>1</v>
      </c>
      <c r="N39" s="292" t="str">
        <f t="shared" si="1"/>
        <v>5.2. 장소별 지침, 요소별 지침</v>
      </c>
      <c r="O39" s="37"/>
      <c r="P39" s="37"/>
      <c r="Q39" s="37"/>
      <c r="R39" s="37"/>
      <c r="S39" s="37"/>
      <c r="T39" s="37"/>
      <c r="U39" s="353"/>
      <c r="V39" s="248"/>
      <c r="W39" s="153">
        <f t="array" aca="1" ref="W39" ca="1">SUM((ROUNDDOWN((D75:I75)*단가,0)))</f>
        <v>4290720</v>
      </c>
      <c r="X39" s="113"/>
      <c r="Y39" s="170" t="str">
        <f t="shared" si="2"/>
        <v>제 20 호표</v>
      </c>
      <c r="Z39" s="37"/>
    </row>
    <row r="40" spans="1:26" ht="18" customHeight="1">
      <c r="A40" s="279"/>
      <c r="B40" s="222" t="s">
        <v>2289</v>
      </c>
      <c r="C40" s="47"/>
      <c r="D40" s="48">
        <f t="shared" ref="D40:I40" si="7">SUBTOTAL(9,D41)</f>
        <v>0.3</v>
      </c>
      <c r="E40" s="49">
        <f t="shared" si="7"/>
        <v>0.5</v>
      </c>
      <c r="F40" s="49">
        <f t="shared" si="7"/>
        <v>1.2</v>
      </c>
      <c r="G40" s="49">
        <f t="shared" si="7"/>
        <v>1.8</v>
      </c>
      <c r="H40" s="49">
        <f t="shared" si="7"/>
        <v>2</v>
      </c>
      <c r="I40" s="50">
        <f t="shared" si="7"/>
        <v>2.2000000000000002</v>
      </c>
      <c r="J40" s="389"/>
      <c r="L40" s="233"/>
      <c r="N40" s="354" t="str">
        <f t="shared" si="1"/>
        <v>6. 경관시뮬레이션 구상</v>
      </c>
      <c r="O40" s="169"/>
      <c r="P40" s="169"/>
      <c r="Q40" s="169"/>
      <c r="R40" s="169"/>
      <c r="S40" s="169"/>
      <c r="T40" s="169"/>
      <c r="U40" s="226"/>
      <c r="V40" s="248"/>
      <c r="W40" s="193">
        <f ca="1">SUBTOTAL(9,W41)</f>
        <v>3411751</v>
      </c>
      <c r="X40" s="257"/>
      <c r="Y40" s="170" t="str">
        <f t="shared" si="2"/>
        <v/>
      </c>
      <c r="Z40" s="169"/>
    </row>
    <row r="41" spans="1:26" ht="18" customHeight="1">
      <c r="A41" s="279"/>
      <c r="B41" s="223" t="s">
        <v>2290</v>
      </c>
      <c r="C41" s="23"/>
      <c r="D41" s="197">
        <v>0.3</v>
      </c>
      <c r="E41" s="198">
        <v>0.5</v>
      </c>
      <c r="F41" s="198">
        <v>1.2</v>
      </c>
      <c r="G41" s="198">
        <v>1.8</v>
      </c>
      <c r="H41" s="198">
        <v>2</v>
      </c>
      <c r="I41" s="199">
        <v>2.2000000000000002</v>
      </c>
      <c r="J41" s="725" t="s">
        <v>1090</v>
      </c>
      <c r="L41" s="233">
        <v>1</v>
      </c>
      <c r="N41" s="292" t="str">
        <f t="shared" si="1"/>
        <v>6.1. 경관시뮬레이션</v>
      </c>
      <c r="O41" s="37"/>
      <c r="P41" s="37"/>
      <c r="Q41" s="37"/>
      <c r="R41" s="37"/>
      <c r="S41" s="37"/>
      <c r="T41" s="37"/>
      <c r="U41" s="226"/>
      <c r="V41" s="248"/>
      <c r="W41" s="153">
        <f t="array" aca="1" ref="W41" ca="1">SUM((ROUNDDOWN((D77:I77)*단가,0)))</f>
        <v>3411751</v>
      </c>
      <c r="X41" s="113"/>
      <c r="Y41" s="170" t="str">
        <f t="shared" si="2"/>
        <v>제 21 호표</v>
      </c>
      <c r="Z41" s="37"/>
    </row>
    <row r="42" spans="1:26" ht="18" customHeight="1">
      <c r="A42" s="279"/>
      <c r="B42" s="222" t="s">
        <v>2291</v>
      </c>
      <c r="C42" s="47"/>
      <c r="D42" s="48">
        <f t="shared" ref="D42:I42" si="8">SUBTOTAL(9,D43:D44)</f>
        <v>0.5</v>
      </c>
      <c r="E42" s="49">
        <f t="shared" si="8"/>
        <v>0.8</v>
      </c>
      <c r="F42" s="49">
        <f t="shared" si="8"/>
        <v>1.7999999999999998</v>
      </c>
      <c r="G42" s="49">
        <f t="shared" si="8"/>
        <v>3.2</v>
      </c>
      <c r="H42" s="49">
        <f t="shared" si="8"/>
        <v>3.5</v>
      </c>
      <c r="I42" s="50">
        <f t="shared" si="8"/>
        <v>4.0999999999999996</v>
      </c>
      <c r="J42" s="389"/>
      <c r="L42" s="233"/>
      <c r="N42" s="354" t="str">
        <f t="shared" si="1"/>
        <v>7. 성과품작성</v>
      </c>
      <c r="O42" s="169"/>
      <c r="P42" s="169"/>
      <c r="Q42" s="169"/>
      <c r="R42" s="169"/>
      <c r="S42" s="169"/>
      <c r="T42" s="169"/>
      <c r="U42" s="226"/>
      <c r="V42" s="248"/>
      <c r="W42" s="193">
        <f ca="1">SUBTOTAL(9,W43:W44)</f>
        <v>5886111</v>
      </c>
      <c r="X42" s="257"/>
      <c r="Y42" s="170" t="str">
        <f t="shared" si="2"/>
        <v/>
      </c>
      <c r="Z42" s="169"/>
    </row>
    <row r="43" spans="1:26" ht="18" customHeight="1">
      <c r="A43" s="279"/>
      <c r="B43" s="223" t="s">
        <v>2292</v>
      </c>
      <c r="C43" s="23"/>
      <c r="D43" s="197">
        <v>0.3</v>
      </c>
      <c r="E43" s="198">
        <v>0.5</v>
      </c>
      <c r="F43" s="198">
        <v>1.2</v>
      </c>
      <c r="G43" s="198">
        <v>1.8</v>
      </c>
      <c r="H43" s="198">
        <v>2</v>
      </c>
      <c r="I43" s="199">
        <v>2.2000000000000002</v>
      </c>
      <c r="J43" s="389" t="s">
        <v>1090</v>
      </c>
      <c r="L43" s="233">
        <v>1</v>
      </c>
      <c r="N43" s="292" t="str">
        <f t="shared" si="1"/>
        <v>7.1. 보고서작성 및 편집</v>
      </c>
      <c r="O43" s="37"/>
      <c r="P43" s="37"/>
      <c r="Q43" s="37"/>
      <c r="R43" s="37"/>
      <c r="S43" s="37"/>
      <c r="T43" s="37"/>
      <c r="U43" s="226"/>
      <c r="V43" s="248"/>
      <c r="W43" s="153">
        <f t="array" aca="1" ref="W43" ca="1">SUM((ROUNDDOWN((D79:I79)*단가,0)))</f>
        <v>3411751</v>
      </c>
      <c r="X43" s="113"/>
      <c r="Y43" s="170" t="str">
        <f t="shared" si="2"/>
        <v>제 22 호표</v>
      </c>
      <c r="Z43" s="37"/>
    </row>
    <row r="44" spans="1:26" ht="18" customHeight="1">
      <c r="A44" s="279"/>
      <c r="B44" s="223" t="s">
        <v>2293</v>
      </c>
      <c r="C44" s="43"/>
      <c r="D44" s="206">
        <v>0.2</v>
      </c>
      <c r="E44" s="207">
        <v>0.3</v>
      </c>
      <c r="F44" s="207">
        <v>0.6</v>
      </c>
      <c r="G44" s="207">
        <v>1.4</v>
      </c>
      <c r="H44" s="207">
        <v>1.5</v>
      </c>
      <c r="I44" s="208">
        <v>1.9</v>
      </c>
      <c r="J44" s="443" t="s">
        <v>1090</v>
      </c>
      <c r="L44" s="233">
        <v>1</v>
      </c>
      <c r="N44" s="292" t="str">
        <f t="shared" si="1"/>
        <v>7.2. 관련도서작성</v>
      </c>
      <c r="O44" s="37"/>
      <c r="P44" s="37"/>
      <c r="Q44" s="37"/>
      <c r="R44" s="37"/>
      <c r="S44" s="37"/>
      <c r="T44" s="37"/>
      <c r="U44" s="353"/>
      <c r="V44" s="248"/>
      <c r="W44" s="153">
        <f t="array" aca="1" ref="W44" ca="1">SUM((ROUNDDOWN((D80:I80)*단가,0)))</f>
        <v>2474360</v>
      </c>
      <c r="X44" s="113"/>
      <c r="Y44" s="170" t="str">
        <f t="shared" si="2"/>
        <v>제 23 호표</v>
      </c>
      <c r="Z44" s="37"/>
    </row>
    <row r="45" spans="1:26" ht="18" customHeight="1">
      <c r="A45" s="279"/>
      <c r="B45" s="222" t="s">
        <v>2295</v>
      </c>
      <c r="C45" s="47"/>
      <c r="D45" s="48">
        <f t="shared" ref="D45:I45" si="9">SUBTOTAL(9,D46:D49)</f>
        <v>8</v>
      </c>
      <c r="E45" s="49">
        <f t="shared" si="9"/>
        <v>8</v>
      </c>
      <c r="F45" s="49">
        <f t="shared" si="9"/>
        <v>8</v>
      </c>
      <c r="G45" s="49">
        <f t="shared" si="9"/>
        <v>16</v>
      </c>
      <c r="H45" s="49">
        <f t="shared" si="9"/>
        <v>16</v>
      </c>
      <c r="I45" s="50">
        <f t="shared" si="9"/>
        <v>16</v>
      </c>
      <c r="J45" s="389"/>
      <c r="L45" s="232"/>
      <c r="N45" s="354" t="str">
        <f t="shared" si="1"/>
        <v>8. 기술협의</v>
      </c>
      <c r="O45" s="169"/>
      <c r="P45" s="169"/>
      <c r="Q45" s="169"/>
      <c r="R45" s="169"/>
      <c r="S45" s="169"/>
      <c r="T45" s="169"/>
      <c r="U45" s="226"/>
      <c r="V45" s="248"/>
      <c r="W45" s="193">
        <f ca="1">SUBTOTAL(9,W46:W49)</f>
        <v>21702576</v>
      </c>
      <c r="X45" s="194"/>
      <c r="Y45" s="170" t="str">
        <f t="shared" si="2"/>
        <v/>
      </c>
      <c r="Z45" s="170"/>
    </row>
    <row r="46" spans="1:26" ht="18" customHeight="1">
      <c r="A46" s="279"/>
      <c r="B46" s="223" t="s">
        <v>2296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389" t="s">
        <v>2294</v>
      </c>
      <c r="L46" s="233">
        <v>1</v>
      </c>
      <c r="N46" s="292" t="str">
        <f t="shared" si="1"/>
        <v>8.1. 공청회/주민설명회</v>
      </c>
      <c r="O46" s="37"/>
      <c r="P46" s="37"/>
      <c r="Q46" s="37"/>
      <c r="R46" s="37"/>
      <c r="S46" s="37"/>
      <c r="T46" s="37"/>
      <c r="U46" s="227"/>
      <c r="V46" s="231"/>
      <c r="W46" s="153">
        <f t="array" aca="1" ref="W46" ca="1">SUM((ROUNDDOWN((D82:I82)*단가,0)))</f>
        <v>5425644</v>
      </c>
      <c r="X46" s="154"/>
      <c r="Y46" s="170" t="str">
        <f t="shared" si="2"/>
        <v>제 24 호표</v>
      </c>
      <c r="Z46" s="150"/>
    </row>
    <row r="47" spans="1:26" ht="18" customHeight="1">
      <c r="A47" s="279"/>
      <c r="B47" s="223" t="s">
        <v>2297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389" t="s">
        <v>1094</v>
      </c>
      <c r="L47" s="233">
        <v>1</v>
      </c>
      <c r="N47" s="292" t="str">
        <f t="shared" si="1"/>
        <v>8.2. 주민간담회/시민계획단</v>
      </c>
      <c r="O47" s="37"/>
      <c r="P47" s="37"/>
      <c r="Q47" s="37"/>
      <c r="R47" s="37"/>
      <c r="S47" s="37"/>
      <c r="T47" s="37"/>
      <c r="U47" s="227"/>
      <c r="V47" s="231"/>
      <c r="W47" s="153">
        <f t="array" aca="1" ref="W47" ca="1">SUM((ROUNDDOWN((D83:I83)*단가,0)))</f>
        <v>5425644</v>
      </c>
      <c r="X47" s="154"/>
      <c r="Y47" s="170" t="str">
        <f t="shared" si="2"/>
        <v>제 25 호표</v>
      </c>
      <c r="Z47" s="150"/>
    </row>
    <row r="48" spans="1:26" ht="18" customHeight="1">
      <c r="A48" s="279"/>
      <c r="B48" s="223" t="s">
        <v>2298</v>
      </c>
      <c r="C48" s="23"/>
      <c r="D48" s="197">
        <v>2</v>
      </c>
      <c r="E48" s="198">
        <v>2</v>
      </c>
      <c r="F48" s="198">
        <v>2</v>
      </c>
      <c r="G48" s="198">
        <v>4</v>
      </c>
      <c r="H48" s="198">
        <v>4</v>
      </c>
      <c r="I48" s="199">
        <v>4</v>
      </c>
      <c r="J48" s="389" t="s">
        <v>1094</v>
      </c>
      <c r="L48" s="233">
        <v>1</v>
      </c>
      <c r="N48" s="292" t="str">
        <f t="shared" si="1"/>
        <v>8.3. 위원회심의 지원</v>
      </c>
      <c r="O48" s="37"/>
      <c r="P48" s="37"/>
      <c r="Q48" s="37"/>
      <c r="R48" s="37"/>
      <c r="S48" s="37"/>
      <c r="T48" s="37"/>
      <c r="U48" s="227"/>
      <c r="V48" s="231"/>
      <c r="W48" s="153">
        <f t="array" aca="1" ref="W48" ca="1">SUM((ROUNDDOWN((D84:I84)*단가,0)))</f>
        <v>5425644</v>
      </c>
      <c r="X48" s="154"/>
      <c r="Y48" s="170" t="str">
        <f t="shared" si="2"/>
        <v>제 26 호표</v>
      </c>
      <c r="Z48" s="150"/>
    </row>
    <row r="49" spans="1:26" ht="18" customHeight="1" thickBot="1">
      <c r="A49" s="279"/>
      <c r="B49" s="223" t="s">
        <v>2299</v>
      </c>
      <c r="C49" s="23"/>
      <c r="D49" s="197">
        <v>2</v>
      </c>
      <c r="E49" s="198">
        <v>2</v>
      </c>
      <c r="F49" s="198">
        <v>2</v>
      </c>
      <c r="G49" s="198">
        <v>4</v>
      </c>
      <c r="H49" s="198">
        <v>4</v>
      </c>
      <c r="I49" s="199">
        <v>4</v>
      </c>
      <c r="J49" s="612" t="s">
        <v>1094</v>
      </c>
      <c r="L49" s="233">
        <v>1</v>
      </c>
      <c r="N49" s="292" t="str">
        <f t="shared" si="1"/>
        <v>8.4. 관계기관 협의</v>
      </c>
      <c r="O49" s="37"/>
      <c r="P49" s="37"/>
      <c r="Q49" s="37"/>
      <c r="R49" s="37"/>
      <c r="S49" s="37"/>
      <c r="T49" s="37"/>
      <c r="U49" s="227"/>
      <c r="V49" s="231"/>
      <c r="W49" s="153">
        <f t="array" aca="1" ref="W49" ca="1">SUM((ROUNDDOWN((D85:I85)*단가,0)))</f>
        <v>5425644</v>
      </c>
      <c r="X49" s="154"/>
      <c r="Y49" s="170" t="str">
        <f t="shared" si="2"/>
        <v>제 27 호표</v>
      </c>
      <c r="Z49" s="150"/>
    </row>
    <row r="50" spans="1:26" ht="18" customHeight="1" thickBot="1">
      <c r="A50" s="279"/>
      <c r="B50" s="14" t="s">
        <v>30</v>
      </c>
      <c r="C50" s="16"/>
      <c r="D50" s="14" t="s">
        <v>12</v>
      </c>
      <c r="E50" s="15"/>
      <c r="F50" s="15"/>
      <c r="G50" s="15"/>
      <c r="H50" s="15"/>
      <c r="I50" s="16"/>
      <c r="J50" s="175" t="s">
        <v>31</v>
      </c>
      <c r="N50" s="8"/>
      <c r="P50" s="371"/>
      <c r="R50" s="357"/>
      <c r="S50" s="1"/>
      <c r="T50" s="1"/>
      <c r="U50" s="258"/>
      <c r="V50" s="372"/>
      <c r="W50" s="373"/>
      <c r="X50" s="374"/>
      <c r="Y50" s="170" t="str">
        <f>IF(A86&gt;0, "제 " &amp;A86&amp; " 호표","")</f>
        <v/>
      </c>
    </row>
    <row r="51" spans="1:26" ht="18" customHeight="1">
      <c r="A51" s="279"/>
      <c r="B51" s="222" t="s">
        <v>2264</v>
      </c>
      <c r="C51" s="47"/>
      <c r="D51" s="48">
        <f t="shared" ref="D51:I51" si="10">SUBTOTAL(9,D52:D55)</f>
        <v>1.3619999999999999</v>
      </c>
      <c r="E51" s="49">
        <f t="shared" si="10"/>
        <v>2.4239999999999999</v>
      </c>
      <c r="F51" s="49">
        <f t="shared" si="10"/>
        <v>3.484</v>
      </c>
      <c r="G51" s="49">
        <f t="shared" si="10"/>
        <v>5.3019999999999996</v>
      </c>
      <c r="H51" s="49">
        <f t="shared" si="10"/>
        <v>7.5749999999999993</v>
      </c>
      <c r="I51" s="50">
        <f t="shared" si="10"/>
        <v>10.302</v>
      </c>
      <c r="J51" s="74"/>
      <c r="N51" s="290" t="s">
        <v>10</v>
      </c>
      <c r="O51" s="129"/>
      <c r="P51" s="130"/>
      <c r="Q51" s="124"/>
      <c r="R51" s="131"/>
      <c r="S51" s="124"/>
      <c r="T51" s="124"/>
      <c r="U51" s="181"/>
      <c r="V51" s="181"/>
      <c r="W51" s="159">
        <f>SUBTOTAL(9,W52:W54)</f>
        <v>8000000</v>
      </c>
      <c r="X51" s="160"/>
      <c r="Y51" s="124"/>
      <c r="Z51" s="124"/>
    </row>
    <row r="52" spans="1:26" ht="18" customHeight="1">
      <c r="A52" s="278">
        <v>1</v>
      </c>
      <c r="B52" s="223" t="s">
        <v>2268</v>
      </c>
      <c r="C52" s="23"/>
      <c r="D52" s="197">
        <f t="array" ref="D52:I55">ROUNDDOWN(D16:I19*$D$5*L16:L19,3)</f>
        <v>0.75700000000000001</v>
      </c>
      <c r="E52" s="198">
        <v>1.5149999999999999</v>
      </c>
      <c r="F52" s="198">
        <v>1.5149999999999999</v>
      </c>
      <c r="G52" s="198">
        <v>2.2719999999999998</v>
      </c>
      <c r="H52" s="198">
        <v>3.03</v>
      </c>
      <c r="I52" s="199">
        <v>4.5449999999999999</v>
      </c>
      <c r="J52" s="74"/>
      <c r="N52" s="128" t="str">
        <f>"여비("&amp;TEXT(R52,"#인 ×")&amp;TEXT(S52,"#일 ×")&amp;TEXT(T52,"###,###원)")</f>
        <v>여비(3인 ×10일 ×100,000원)</v>
      </c>
      <c r="O52" s="78"/>
      <c r="P52" s="52"/>
      <c r="Q52" s="51"/>
      <c r="R52" s="146">
        <v>3</v>
      </c>
      <c r="S52" s="146">
        <v>10</v>
      </c>
      <c r="T52" s="147">
        <v>100000</v>
      </c>
      <c r="U52" s="182"/>
      <c r="V52" s="182"/>
      <c r="W52" s="161">
        <f>R52*S52*T52</f>
        <v>3000000</v>
      </c>
      <c r="X52" s="162"/>
      <c r="Y52" s="51"/>
      <c r="Z52" s="51"/>
    </row>
    <row r="53" spans="1:26" ht="18" customHeight="1">
      <c r="A53" s="278">
        <v>2</v>
      </c>
      <c r="B53" s="223" t="s">
        <v>2267</v>
      </c>
      <c r="C53" s="23"/>
      <c r="D53" s="197">
        <v>0.151</v>
      </c>
      <c r="E53" s="198">
        <v>0.30299999999999999</v>
      </c>
      <c r="F53" s="198">
        <v>0.90900000000000003</v>
      </c>
      <c r="G53" s="198">
        <v>1.8180000000000001</v>
      </c>
      <c r="H53" s="198">
        <v>2.7269999999999999</v>
      </c>
      <c r="I53" s="199">
        <v>3.3330000000000002</v>
      </c>
      <c r="J53" s="74"/>
      <c r="N53" s="79" t="s">
        <v>46</v>
      </c>
      <c r="O53" s="79"/>
      <c r="P53" s="39"/>
      <c r="Q53" s="37"/>
      <c r="R53" s="117"/>
      <c r="S53" s="37"/>
      <c r="T53" s="37"/>
      <c r="U53" s="180"/>
      <c r="V53" s="180"/>
      <c r="W53" s="157">
        <v>3000000</v>
      </c>
      <c r="X53" s="158"/>
      <c r="Y53" s="37"/>
      <c r="Z53" s="37"/>
    </row>
    <row r="54" spans="1:26" ht="18" customHeight="1">
      <c r="A54" s="278">
        <v>3</v>
      </c>
      <c r="B54" s="223" t="s">
        <v>2266</v>
      </c>
      <c r="C54" s="23"/>
      <c r="D54" s="197">
        <v>0.151</v>
      </c>
      <c r="E54" s="198">
        <v>0.30299999999999999</v>
      </c>
      <c r="F54" s="198">
        <v>0.60599999999999998</v>
      </c>
      <c r="G54" s="198">
        <v>0.60599999999999998</v>
      </c>
      <c r="H54" s="198">
        <v>0.90900000000000003</v>
      </c>
      <c r="I54" s="199">
        <v>1.212</v>
      </c>
      <c r="J54" s="74"/>
      <c r="N54" s="132" t="s">
        <v>13</v>
      </c>
      <c r="O54" s="132"/>
      <c r="P54" s="38"/>
      <c r="Q54" s="38"/>
      <c r="R54" s="116"/>
      <c r="S54" s="38"/>
      <c r="T54" s="38"/>
      <c r="U54" s="183"/>
      <c r="V54" s="183"/>
      <c r="W54" s="155">
        <v>2000000</v>
      </c>
      <c r="X54" s="156"/>
      <c r="Y54" s="38"/>
      <c r="Z54" s="38"/>
    </row>
    <row r="55" spans="1:26" ht="18" customHeight="1">
      <c r="A55" s="278">
        <v>4</v>
      </c>
      <c r="B55" s="223" t="s">
        <v>2269</v>
      </c>
      <c r="C55" s="23"/>
      <c r="D55" s="197">
        <v>0.30299999999999999</v>
      </c>
      <c r="E55" s="198">
        <v>0.30299999999999999</v>
      </c>
      <c r="F55" s="198">
        <v>0.45400000000000001</v>
      </c>
      <c r="G55" s="198">
        <v>0.60599999999999998</v>
      </c>
      <c r="H55" s="198">
        <v>0.90900000000000003</v>
      </c>
      <c r="I55" s="199">
        <v>1.212</v>
      </c>
      <c r="J55" s="74"/>
      <c r="N55" s="127" t="s">
        <v>47</v>
      </c>
      <c r="O55" s="123"/>
      <c r="P55" s="123"/>
      <c r="Q55" s="123"/>
      <c r="R55" s="123"/>
      <c r="S55" s="123"/>
      <c r="T55" s="123"/>
      <c r="U55" s="184"/>
      <c r="V55" s="184"/>
      <c r="W55" s="163">
        <f ca="1">SUBTOTAL(9,W56:W57)</f>
        <v>336966734</v>
      </c>
      <c r="X55" s="164"/>
      <c r="Y55" s="123"/>
      <c r="Z55" s="123"/>
    </row>
    <row r="56" spans="1:26" ht="18" customHeight="1">
      <c r="A56" s="278"/>
      <c r="B56" s="222" t="s">
        <v>579</v>
      </c>
      <c r="C56" s="47"/>
      <c r="D56" s="48">
        <f t="shared" ref="D56:I56" si="11">SUBTOTAL(9,D57:D58)</f>
        <v>0.45399999999999996</v>
      </c>
      <c r="E56" s="49">
        <f t="shared" si="11"/>
        <v>0.60599999999999998</v>
      </c>
      <c r="F56" s="49">
        <f t="shared" si="11"/>
        <v>1.212</v>
      </c>
      <c r="G56" s="49">
        <f t="shared" si="11"/>
        <v>1.9690000000000001</v>
      </c>
      <c r="H56" s="49">
        <f t="shared" si="11"/>
        <v>2.726</v>
      </c>
      <c r="I56" s="50">
        <f t="shared" si="11"/>
        <v>3.7869999999999999</v>
      </c>
      <c r="J56" s="74"/>
      <c r="N56" s="133" t="s">
        <v>861</v>
      </c>
      <c r="O56" s="124"/>
      <c r="P56" s="134"/>
      <c r="Q56" s="124"/>
      <c r="R56" s="131"/>
      <c r="S56" s="124"/>
      <c r="T56" s="181"/>
      <c r="U56" s="181"/>
      <c r="V56" s="190">
        <v>1.1499999999999999</v>
      </c>
      <c r="W56" s="159">
        <f ca="1">ROUNDDOWN(W14*V56,0)</f>
        <v>215883980</v>
      </c>
      <c r="X56" s="160"/>
      <c r="Y56" s="124"/>
      <c r="Z56" s="124"/>
    </row>
    <row r="57" spans="1:26" ht="18" customHeight="1" thickBot="1">
      <c r="A57" s="278">
        <v>5</v>
      </c>
      <c r="B57" s="223" t="s">
        <v>2270</v>
      </c>
      <c r="C57" s="23"/>
      <c r="D57" s="197">
        <f t="array" ref="D57:I58">ROUNDDOWN(D21:I22*L21:L22*$D$5,3)</f>
        <v>0.30299999999999999</v>
      </c>
      <c r="E57" s="198">
        <v>0.30299999999999999</v>
      </c>
      <c r="F57" s="198">
        <v>0.60599999999999998</v>
      </c>
      <c r="G57" s="198">
        <v>1.06</v>
      </c>
      <c r="H57" s="198">
        <v>1.363</v>
      </c>
      <c r="I57" s="199">
        <v>1.9690000000000001</v>
      </c>
      <c r="J57" s="74"/>
      <c r="N57" s="135" t="s">
        <v>862</v>
      </c>
      <c r="O57" s="136"/>
      <c r="P57" s="137"/>
      <c r="Q57" s="136"/>
      <c r="R57" s="138"/>
      <c r="S57" s="136"/>
      <c r="T57" s="185"/>
      <c r="U57" s="185"/>
      <c r="V57" s="191">
        <v>0.3</v>
      </c>
      <c r="W57" s="165">
        <f ca="1">ROUNDDOWN((W14+W56)*V57,0)</f>
        <v>121082754</v>
      </c>
      <c r="X57" s="166"/>
      <c r="Y57" s="136"/>
      <c r="Z57" s="136"/>
    </row>
    <row r="58" spans="1:26" ht="18" customHeight="1">
      <c r="A58" s="278">
        <v>6</v>
      </c>
      <c r="B58" s="223" t="s">
        <v>2271</v>
      </c>
      <c r="C58" s="23"/>
      <c r="D58" s="197">
        <v>0.151</v>
      </c>
      <c r="E58" s="198">
        <v>0.30299999999999999</v>
      </c>
      <c r="F58" s="198">
        <v>0.60599999999999998</v>
      </c>
      <c r="G58" s="198">
        <v>0.90900000000000003</v>
      </c>
      <c r="H58" s="198">
        <v>1.363</v>
      </c>
      <c r="I58" s="199">
        <v>1.8180000000000001</v>
      </c>
      <c r="J58" s="74"/>
    </row>
    <row r="59" spans="1:26" ht="18" customHeight="1">
      <c r="A59" s="278"/>
      <c r="B59" s="222" t="s">
        <v>2272</v>
      </c>
      <c r="C59" s="47"/>
      <c r="D59" s="48">
        <f t="shared" ref="D59:I59" si="12">SUBTOTAL(9,D60:D64)</f>
        <v>1.5129999999999999</v>
      </c>
      <c r="E59" s="49">
        <f t="shared" si="12"/>
        <v>2.2720000000000002</v>
      </c>
      <c r="F59" s="49">
        <f t="shared" si="12"/>
        <v>4.5449999999999999</v>
      </c>
      <c r="G59" s="49">
        <f t="shared" si="12"/>
        <v>7.8769999999999998</v>
      </c>
      <c r="H59" s="49">
        <f t="shared" si="12"/>
        <v>10.753999999999998</v>
      </c>
      <c r="I59" s="50">
        <f t="shared" si="12"/>
        <v>15.604000000000001</v>
      </c>
      <c r="J59" s="74"/>
    </row>
    <row r="60" spans="1:26" ht="18" customHeight="1">
      <c r="A60" s="278">
        <v>7</v>
      </c>
      <c r="B60" s="223" t="s">
        <v>2273</v>
      </c>
      <c r="C60" s="23"/>
      <c r="D60" s="197">
        <f t="array" ref="D60:I64">ROUNDDOWN(D24:I28*L24:L28*$D$5,3)</f>
        <v>0.151</v>
      </c>
      <c r="E60" s="198">
        <v>0.30299999999999999</v>
      </c>
      <c r="F60" s="198">
        <v>0.60599999999999998</v>
      </c>
      <c r="G60" s="198">
        <v>0.90900000000000003</v>
      </c>
      <c r="H60" s="198">
        <v>1.363</v>
      </c>
      <c r="I60" s="199">
        <v>1.9690000000000001</v>
      </c>
      <c r="J60" s="74"/>
      <c r="K60" s="171" t="s">
        <v>14</v>
      </c>
    </row>
    <row r="61" spans="1:26" ht="18" customHeight="1">
      <c r="A61" s="278">
        <v>8</v>
      </c>
      <c r="B61" s="223" t="s">
        <v>2274</v>
      </c>
      <c r="C61" s="23"/>
      <c r="D61" s="197">
        <v>0.30299999999999999</v>
      </c>
      <c r="E61" s="198">
        <v>0.30299999999999999</v>
      </c>
      <c r="F61" s="198">
        <v>0.60599999999999998</v>
      </c>
      <c r="G61" s="198">
        <v>1.212</v>
      </c>
      <c r="H61" s="198">
        <v>1.6659999999999999</v>
      </c>
      <c r="I61" s="199">
        <v>2.121</v>
      </c>
      <c r="J61" s="74"/>
      <c r="K61" s="171" t="s">
        <v>14</v>
      </c>
    </row>
    <row r="62" spans="1:26" ht="18" customHeight="1">
      <c r="A62" s="278">
        <v>9</v>
      </c>
      <c r="B62" s="223" t="s">
        <v>2275</v>
      </c>
      <c r="C62" s="23"/>
      <c r="D62" s="197">
        <v>0.151</v>
      </c>
      <c r="E62" s="198">
        <v>0.30299999999999999</v>
      </c>
      <c r="F62" s="198">
        <v>0.60599999999999998</v>
      </c>
      <c r="G62" s="198">
        <v>1.06</v>
      </c>
      <c r="H62" s="198">
        <v>1.363</v>
      </c>
      <c r="I62" s="199">
        <v>2.121</v>
      </c>
      <c r="J62" s="74"/>
      <c r="K62" s="171" t="s">
        <v>14</v>
      </c>
    </row>
    <row r="63" spans="1:26" ht="18" customHeight="1">
      <c r="A63" s="278">
        <v>10</v>
      </c>
      <c r="B63" s="223" t="s">
        <v>2276</v>
      </c>
      <c r="C63" s="23"/>
      <c r="D63" s="197">
        <v>0.151</v>
      </c>
      <c r="E63" s="198">
        <v>0.30299999999999999</v>
      </c>
      <c r="F63" s="198">
        <v>0.60599999999999998</v>
      </c>
      <c r="G63" s="198">
        <v>1.06</v>
      </c>
      <c r="H63" s="198">
        <v>1.363</v>
      </c>
      <c r="I63" s="199">
        <v>2.121</v>
      </c>
      <c r="J63" s="389"/>
      <c r="K63" s="171" t="s">
        <v>14</v>
      </c>
      <c r="L63" s="171"/>
      <c r="R63" s="1"/>
      <c r="S63" s="1"/>
      <c r="T63" s="1"/>
      <c r="U63" s="1"/>
      <c r="V63" s="1"/>
      <c r="W63" s="1"/>
      <c r="X63" s="1"/>
      <c r="Y63" s="1"/>
    </row>
    <row r="64" spans="1:26" ht="18" customHeight="1">
      <c r="A64" s="278">
        <v>11</v>
      </c>
      <c r="B64" s="223" t="s">
        <v>2277</v>
      </c>
      <c r="C64" s="23"/>
      <c r="D64" s="197">
        <v>0.75700000000000001</v>
      </c>
      <c r="E64" s="198">
        <v>1.06</v>
      </c>
      <c r="F64" s="198">
        <v>2.121</v>
      </c>
      <c r="G64" s="198">
        <v>3.6360000000000001</v>
      </c>
      <c r="H64" s="198">
        <v>4.9989999999999997</v>
      </c>
      <c r="I64" s="199">
        <v>7.2720000000000002</v>
      </c>
      <c r="J64" s="389"/>
      <c r="K64" s="171" t="s">
        <v>14</v>
      </c>
      <c r="L64" s="171"/>
      <c r="R64" s="1"/>
      <c r="S64" s="1"/>
      <c r="T64" s="1"/>
      <c r="U64" s="1"/>
      <c r="V64" s="1"/>
      <c r="W64" s="1"/>
      <c r="X64" s="1"/>
      <c r="Y64" s="1"/>
    </row>
    <row r="65" spans="1:26" ht="18" customHeight="1">
      <c r="A65" s="278"/>
      <c r="B65" s="222" t="s">
        <v>2278</v>
      </c>
      <c r="C65" s="47"/>
      <c r="D65" s="48">
        <f t="shared" ref="D65:I65" si="13">SUBTOTAL(9,D66:D72)</f>
        <v>16.966000000000001</v>
      </c>
      <c r="E65" s="49">
        <f t="shared" si="13"/>
        <v>34.995000000000005</v>
      </c>
      <c r="F65" s="49">
        <f t="shared" si="13"/>
        <v>84.383999999999986</v>
      </c>
      <c r="G65" s="49">
        <f t="shared" si="13"/>
        <v>92.867999999999995</v>
      </c>
      <c r="H65" s="49">
        <f t="shared" si="13"/>
        <v>101.95699999999999</v>
      </c>
      <c r="I65" s="50">
        <f t="shared" si="13"/>
        <v>109.381</v>
      </c>
      <c r="J65" s="74"/>
      <c r="K65" s="171"/>
      <c r="L65" s="171"/>
      <c r="R65" s="1"/>
      <c r="S65" s="1"/>
      <c r="T65" s="1"/>
      <c r="U65" s="1"/>
      <c r="V65" s="1"/>
      <c r="W65" s="1"/>
      <c r="X65" s="1"/>
      <c r="Y65" s="1"/>
    </row>
    <row r="66" spans="1:26" ht="18" customHeight="1" thickBot="1">
      <c r="A66" s="278">
        <v>12</v>
      </c>
      <c r="B66" s="223" t="s">
        <v>2279</v>
      </c>
      <c r="C66" s="23"/>
      <c r="D66" s="197">
        <f t="array" ref="D66:I72">ROUNDDOWN(D30:I36*L30:L36*$D$5,3)</f>
        <v>1.8180000000000001</v>
      </c>
      <c r="E66" s="198">
        <v>3.9390000000000001</v>
      </c>
      <c r="F66" s="198">
        <v>9.6959999999999997</v>
      </c>
      <c r="G66" s="198">
        <v>9.9990000000000006</v>
      </c>
      <c r="H66" s="198">
        <v>11.058999999999999</v>
      </c>
      <c r="I66" s="199">
        <v>11.968</v>
      </c>
      <c r="J66" s="74"/>
      <c r="K66" s="171" t="s">
        <v>14</v>
      </c>
      <c r="L66" s="171"/>
      <c r="N66" s="66" t="s">
        <v>18</v>
      </c>
      <c r="O66" s="2"/>
      <c r="P66" s="2"/>
      <c r="Q66" s="2"/>
      <c r="R66" s="3"/>
      <c r="S66" s="4"/>
      <c r="T66" s="3"/>
      <c r="U66" s="4"/>
      <c r="V66" s="3"/>
      <c r="W66" s="4"/>
      <c r="X66" s="3"/>
      <c r="Y66" s="4"/>
      <c r="Z66" s="2"/>
    </row>
    <row r="67" spans="1:26" ht="18" customHeight="1">
      <c r="A67" s="278">
        <v>13</v>
      </c>
      <c r="B67" s="223" t="s">
        <v>2280</v>
      </c>
      <c r="C67" s="23"/>
      <c r="D67" s="197">
        <v>4.5449999999999999</v>
      </c>
      <c r="E67" s="198">
        <v>7.5750000000000002</v>
      </c>
      <c r="F67" s="198">
        <v>15.15</v>
      </c>
      <c r="G67" s="198">
        <v>16.664999999999999</v>
      </c>
      <c r="H67" s="198">
        <v>18.18</v>
      </c>
      <c r="I67" s="199">
        <v>19.695</v>
      </c>
      <c r="J67" s="74"/>
      <c r="K67" s="171" t="s">
        <v>14</v>
      </c>
      <c r="L67" s="171"/>
      <c r="N67" s="765" t="s">
        <v>19</v>
      </c>
      <c r="O67" s="755" t="s">
        <v>20</v>
      </c>
      <c r="P67" s="755" t="s">
        <v>21</v>
      </c>
      <c r="Q67" s="755" t="s">
        <v>16</v>
      </c>
      <c r="R67" s="5" t="s">
        <v>22</v>
      </c>
      <c r="S67" s="5"/>
      <c r="T67" s="5" t="s">
        <v>23</v>
      </c>
      <c r="U67" s="5"/>
      <c r="V67" s="5" t="s">
        <v>24</v>
      </c>
      <c r="W67" s="5"/>
      <c r="X67" s="5" t="s">
        <v>25</v>
      </c>
      <c r="Y67" s="5"/>
      <c r="Z67" s="755" t="s">
        <v>26</v>
      </c>
    </row>
    <row r="68" spans="1:26" ht="18" customHeight="1" thickBot="1">
      <c r="A68" s="278">
        <v>14</v>
      </c>
      <c r="B68" s="223" t="s">
        <v>2281</v>
      </c>
      <c r="C68" s="23"/>
      <c r="D68" s="197">
        <v>1.6659999999999999</v>
      </c>
      <c r="E68" s="198">
        <v>3.484</v>
      </c>
      <c r="F68" s="198">
        <v>8.3320000000000007</v>
      </c>
      <c r="G68" s="198">
        <v>8.6349999999999998</v>
      </c>
      <c r="H68" s="198">
        <v>9.5440000000000005</v>
      </c>
      <c r="I68" s="199">
        <v>10.452999999999999</v>
      </c>
      <c r="J68" s="74"/>
      <c r="K68" s="171" t="s">
        <v>14</v>
      </c>
      <c r="L68" s="171"/>
      <c r="N68" s="766"/>
      <c r="O68" s="756"/>
      <c r="P68" s="756"/>
      <c r="Q68" s="756"/>
      <c r="R68" s="67" t="s">
        <v>27</v>
      </c>
      <c r="S68" s="67" t="s">
        <v>28</v>
      </c>
      <c r="T68" s="67" t="s">
        <v>27</v>
      </c>
      <c r="U68" s="67" t="s">
        <v>28</v>
      </c>
      <c r="V68" s="67" t="s">
        <v>27</v>
      </c>
      <c r="W68" s="67" t="s">
        <v>28</v>
      </c>
      <c r="X68" s="67" t="s">
        <v>27</v>
      </c>
      <c r="Y68" s="67" t="s">
        <v>28</v>
      </c>
      <c r="Z68" s="756"/>
    </row>
    <row r="69" spans="1:26" ht="18" customHeight="1" thickTop="1">
      <c r="A69" s="278">
        <v>15</v>
      </c>
      <c r="B69" s="223" t="s">
        <v>2282</v>
      </c>
      <c r="C69" s="23"/>
      <c r="D69" s="197">
        <v>1.6659999999999999</v>
      </c>
      <c r="E69" s="198">
        <v>3.484</v>
      </c>
      <c r="F69" s="198">
        <v>8.3320000000000007</v>
      </c>
      <c r="G69" s="198">
        <v>8.6349999999999998</v>
      </c>
      <c r="H69" s="198">
        <v>9.5440000000000005</v>
      </c>
      <c r="I69" s="199">
        <v>10.452999999999999</v>
      </c>
      <c r="J69" s="74"/>
      <c r="K69" s="171" t="s">
        <v>14</v>
      </c>
      <c r="L69" s="171"/>
      <c r="N69" s="318" t="str">
        <f ca="1">"제 " &amp; Z69 &amp; " 호표  "&amp; OFFSET($A$1,MATCH(Z69,$A:$A,0)-1,1)</f>
        <v>제 1 호표  1.1. 일반현황조사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v>1</v>
      </c>
    </row>
    <row r="70" spans="1:26" ht="18" customHeight="1">
      <c r="A70" s="278">
        <v>16</v>
      </c>
      <c r="B70" s="223" t="s">
        <v>2283</v>
      </c>
      <c r="C70" s="23"/>
      <c r="D70" s="197">
        <v>1.6659999999999999</v>
      </c>
      <c r="E70" s="198">
        <v>3.484</v>
      </c>
      <c r="F70" s="198">
        <v>8.3320000000000007</v>
      </c>
      <c r="G70" s="198">
        <v>8.6349999999999998</v>
      </c>
      <c r="H70" s="198">
        <v>9.5440000000000005</v>
      </c>
      <c r="I70" s="199">
        <v>10.452999999999999</v>
      </c>
      <c r="J70" s="74"/>
      <c r="K70" s="171" t="s">
        <v>14</v>
      </c>
      <c r="L70" s="171"/>
      <c r="N70" s="140" t="s">
        <v>43</v>
      </c>
      <c r="O70" s="172">
        <v>3</v>
      </c>
      <c r="P70" s="219">
        <f ca="1">OFFSET($A$1,MATCH(Z69,$A:$A,0)-1,O70)</f>
        <v>0.75700000000000001</v>
      </c>
      <c r="Q70" s="141" t="s">
        <v>29</v>
      </c>
      <c r="R70" s="142">
        <f t="shared" ref="R70:S75" ca="1" si="14">T70</f>
        <v>467217</v>
      </c>
      <c r="S70" s="142">
        <f t="shared" ca="1" si="14"/>
        <v>353683</v>
      </c>
      <c r="T70" s="142">
        <f ca="1">기술사</f>
        <v>467217</v>
      </c>
      <c r="U70" s="142">
        <f t="shared" ref="U70:U75" ca="1" si="15">ROUNDDOWN(P70*R70,0)</f>
        <v>353683</v>
      </c>
      <c r="V70" s="142"/>
      <c r="W70" s="142"/>
      <c r="X70" s="142"/>
      <c r="Y70" s="142"/>
      <c r="Z70" s="114"/>
    </row>
    <row r="71" spans="1:26" ht="18" customHeight="1">
      <c r="A71" s="278">
        <v>17</v>
      </c>
      <c r="B71" s="223" t="s">
        <v>2284</v>
      </c>
      <c r="C71" s="23"/>
      <c r="D71" s="197">
        <v>3.03</v>
      </c>
      <c r="E71" s="198">
        <v>6.3630000000000004</v>
      </c>
      <c r="F71" s="198">
        <v>17.876999999999999</v>
      </c>
      <c r="G71" s="198">
        <v>22.119</v>
      </c>
      <c r="H71" s="198">
        <v>24.390999999999998</v>
      </c>
      <c r="I71" s="199">
        <v>26.664000000000001</v>
      </c>
      <c r="J71" s="74"/>
      <c r="K71" s="171" t="s">
        <v>14</v>
      </c>
      <c r="L71" s="171"/>
      <c r="N71" s="143" t="s">
        <v>32</v>
      </c>
      <c r="O71" s="173">
        <v>4</v>
      </c>
      <c r="P71" s="234">
        <f ca="1">OFFSET($A$1,MATCH(Z69,$A:$A,0)-1,O71)</f>
        <v>1.5149999999999999</v>
      </c>
      <c r="Q71" s="144" t="s">
        <v>29</v>
      </c>
      <c r="R71" s="118">
        <f t="shared" ca="1" si="14"/>
        <v>373353</v>
      </c>
      <c r="S71" s="118">
        <f t="shared" ca="1" si="14"/>
        <v>565629</v>
      </c>
      <c r="T71" s="118">
        <f ca="1">특급</f>
        <v>373353</v>
      </c>
      <c r="U71" s="118">
        <f t="shared" ca="1" si="15"/>
        <v>565629</v>
      </c>
      <c r="V71" s="118"/>
      <c r="W71" s="118"/>
      <c r="X71" s="118"/>
      <c r="Y71" s="118"/>
      <c r="Z71" s="115"/>
    </row>
    <row r="72" spans="1:26" ht="18" customHeight="1">
      <c r="A72" s="278">
        <v>18</v>
      </c>
      <c r="B72" s="223" t="s">
        <v>2285</v>
      </c>
      <c r="C72" s="23"/>
      <c r="D72" s="197">
        <v>2.5750000000000002</v>
      </c>
      <c r="E72" s="198">
        <v>6.6660000000000004</v>
      </c>
      <c r="F72" s="198">
        <v>16.664999999999999</v>
      </c>
      <c r="G72" s="198">
        <v>18.18</v>
      </c>
      <c r="H72" s="198">
        <v>19.695</v>
      </c>
      <c r="I72" s="199">
        <v>19.695</v>
      </c>
      <c r="J72" s="74"/>
      <c r="K72" s="171" t="s">
        <v>14</v>
      </c>
      <c r="L72" s="171"/>
      <c r="N72" s="145" t="s">
        <v>39</v>
      </c>
      <c r="O72" s="173">
        <v>5</v>
      </c>
      <c r="P72" s="234">
        <f ca="1">OFFSET($A$1,MATCH(Z69,$A:$A,0)-1,O72)</f>
        <v>1.5149999999999999</v>
      </c>
      <c r="Q72" s="144" t="s">
        <v>29</v>
      </c>
      <c r="R72" s="118">
        <f t="shared" ca="1" si="14"/>
        <v>310884</v>
      </c>
      <c r="S72" s="118">
        <f t="shared" ca="1" si="14"/>
        <v>470989</v>
      </c>
      <c r="T72" s="118">
        <f ca="1">고급</f>
        <v>310884</v>
      </c>
      <c r="U72" s="118">
        <f t="shared" ca="1" si="15"/>
        <v>470989</v>
      </c>
      <c r="V72" s="118"/>
      <c r="W72" s="118"/>
      <c r="X72" s="118"/>
      <c r="Y72" s="118"/>
      <c r="Z72" s="115"/>
    </row>
    <row r="73" spans="1:26" ht="18" customHeight="1">
      <c r="A73" s="278"/>
      <c r="B73" s="222" t="s">
        <v>2286</v>
      </c>
      <c r="C73" s="47"/>
      <c r="D73" s="48">
        <f t="shared" ref="D73:I73" si="16">SUBTOTAL(9,D74:D75)</f>
        <v>1.2110000000000001</v>
      </c>
      <c r="E73" s="49">
        <f t="shared" si="16"/>
        <v>1.8180000000000001</v>
      </c>
      <c r="F73" s="49">
        <f t="shared" si="16"/>
        <v>3.6349999999999998</v>
      </c>
      <c r="G73" s="49">
        <f t="shared" si="16"/>
        <v>6.5139999999999993</v>
      </c>
      <c r="H73" s="49">
        <f t="shared" si="16"/>
        <v>6.06</v>
      </c>
      <c r="I73" s="50">
        <f t="shared" si="16"/>
        <v>6.968</v>
      </c>
      <c r="J73" s="74"/>
      <c r="K73" s="171"/>
      <c r="L73" s="171"/>
      <c r="N73" s="145" t="s">
        <v>40</v>
      </c>
      <c r="O73" s="173">
        <v>6</v>
      </c>
      <c r="P73" s="234">
        <f ca="1">OFFSET($A$1,MATCH(Z69,$A:$A,0)-1,O73)</f>
        <v>2.2719999999999998</v>
      </c>
      <c r="Q73" s="144" t="s">
        <v>29</v>
      </c>
      <c r="R73" s="118">
        <f t="shared" ca="1" si="14"/>
        <v>295138</v>
      </c>
      <c r="S73" s="118">
        <f t="shared" ca="1" si="14"/>
        <v>670553</v>
      </c>
      <c r="T73" s="118">
        <f ca="1">중급</f>
        <v>295138</v>
      </c>
      <c r="U73" s="118">
        <f t="shared" ca="1" si="15"/>
        <v>670553</v>
      </c>
      <c r="V73" s="118"/>
      <c r="W73" s="118"/>
      <c r="X73" s="118"/>
      <c r="Y73" s="118"/>
      <c r="Z73" s="115"/>
    </row>
    <row r="74" spans="1:26" ht="18" customHeight="1">
      <c r="A74" s="278">
        <v>19</v>
      </c>
      <c r="B74" s="223" t="s">
        <v>2287</v>
      </c>
      <c r="C74" s="23"/>
      <c r="D74" s="197">
        <f t="array" ref="D74:I75">ROUNDDOWN(D38:I39*L38:L39*$D$5,3)</f>
        <v>0.45400000000000001</v>
      </c>
      <c r="E74" s="198">
        <v>0.60599999999999998</v>
      </c>
      <c r="F74" s="198">
        <v>1.363</v>
      </c>
      <c r="G74" s="198">
        <v>2.7269999999999999</v>
      </c>
      <c r="H74" s="198">
        <v>3.03</v>
      </c>
      <c r="I74" s="199">
        <v>3.181</v>
      </c>
      <c r="J74" s="74"/>
      <c r="K74" s="171" t="s">
        <v>14</v>
      </c>
      <c r="L74" s="171"/>
      <c r="N74" s="145" t="s">
        <v>41</v>
      </c>
      <c r="O74" s="173">
        <v>7</v>
      </c>
      <c r="P74" s="234">
        <f ca="1">OFFSET($A$1,MATCH(Z69,$A:$A,0)-1,O74)</f>
        <v>3.03</v>
      </c>
      <c r="Q74" s="144" t="s">
        <v>29</v>
      </c>
      <c r="R74" s="118">
        <f t="shared" ca="1" si="14"/>
        <v>235459</v>
      </c>
      <c r="S74" s="118">
        <f t="shared" ca="1" si="14"/>
        <v>713440</v>
      </c>
      <c r="T74" s="118">
        <f ca="1">초급</f>
        <v>235459</v>
      </c>
      <c r="U74" s="118">
        <f t="shared" ca="1" si="15"/>
        <v>713440</v>
      </c>
      <c r="V74" s="118"/>
      <c r="W74" s="118"/>
      <c r="X74" s="118"/>
      <c r="Y74" s="118"/>
      <c r="Z74" s="115"/>
    </row>
    <row r="75" spans="1:26" ht="18" customHeight="1">
      <c r="A75" s="278">
        <v>20</v>
      </c>
      <c r="B75" s="223" t="s">
        <v>2288</v>
      </c>
      <c r="C75" s="23"/>
      <c r="D75" s="197">
        <v>0.75700000000000001</v>
      </c>
      <c r="E75" s="198">
        <v>1.212</v>
      </c>
      <c r="F75" s="198">
        <v>2.2719999999999998</v>
      </c>
      <c r="G75" s="198">
        <v>3.7869999999999999</v>
      </c>
      <c r="H75" s="198">
        <v>3.03</v>
      </c>
      <c r="I75" s="199">
        <v>3.7869999999999999</v>
      </c>
      <c r="J75" s="74"/>
      <c r="K75" s="171" t="s">
        <v>14</v>
      </c>
      <c r="L75" s="171"/>
      <c r="N75" s="319" t="s">
        <v>42</v>
      </c>
      <c r="O75" s="174">
        <v>8</v>
      </c>
      <c r="P75" s="235">
        <f ca="1">OFFSET($A$1,MATCH(Z69,$A:$A,0)-1,O75)</f>
        <v>4.5449999999999999</v>
      </c>
      <c r="Q75" s="322" t="s">
        <v>29</v>
      </c>
      <c r="R75" s="323">
        <f t="shared" ca="1" si="14"/>
        <v>250087</v>
      </c>
      <c r="S75" s="323">
        <f t="shared" ca="1" si="14"/>
        <v>1136645</v>
      </c>
      <c r="T75" s="323">
        <f ca="1">보조원</f>
        <v>250087</v>
      </c>
      <c r="U75" s="323">
        <f t="shared" ca="1" si="15"/>
        <v>1136645</v>
      </c>
      <c r="V75" s="323"/>
      <c r="W75" s="323"/>
      <c r="X75" s="323"/>
      <c r="Y75" s="323"/>
      <c r="Z75" s="324"/>
    </row>
    <row r="76" spans="1:26" ht="18" customHeight="1">
      <c r="A76" s="278"/>
      <c r="B76" s="222" t="s">
        <v>2289</v>
      </c>
      <c r="C76" s="47"/>
      <c r="D76" s="48">
        <f t="shared" ref="D76:I76" si="17">SUBTOTAL(9,D77)</f>
        <v>0.45400000000000001</v>
      </c>
      <c r="E76" s="49">
        <f t="shared" si="17"/>
        <v>0.75700000000000001</v>
      </c>
      <c r="F76" s="49">
        <f t="shared" si="17"/>
        <v>1.8180000000000001</v>
      </c>
      <c r="G76" s="49">
        <f t="shared" si="17"/>
        <v>2.7269999999999999</v>
      </c>
      <c r="H76" s="49">
        <f t="shared" si="17"/>
        <v>3.03</v>
      </c>
      <c r="I76" s="50">
        <f t="shared" si="17"/>
        <v>3.3330000000000002</v>
      </c>
      <c r="J76" s="74"/>
      <c r="K76" s="171"/>
      <c r="L76" s="171"/>
      <c r="N76" s="139" t="s">
        <v>17</v>
      </c>
      <c r="O76" s="68"/>
      <c r="P76" s="69"/>
      <c r="Q76" s="70"/>
      <c r="R76" s="71"/>
      <c r="S76" s="71">
        <f ca="1">SUBTOTAL(9,S70:S75)</f>
        <v>3910939</v>
      </c>
      <c r="T76" s="71"/>
      <c r="U76" s="71">
        <f ca="1">SUBTOTAL(9,U70:U75)</f>
        <v>3910939</v>
      </c>
      <c r="V76" s="71"/>
      <c r="W76" s="71"/>
      <c r="X76" s="71"/>
      <c r="Y76" s="71"/>
      <c r="Z76" s="68"/>
    </row>
    <row r="77" spans="1:26" ht="18" customHeight="1">
      <c r="A77" s="278">
        <v>21</v>
      </c>
      <c r="B77" s="223" t="s">
        <v>2290</v>
      </c>
      <c r="C77" s="23"/>
      <c r="D77" s="197">
        <f t="array" ref="D77:I77">ROUNDDOWN(D41:I41*L41*$D$5,3)</f>
        <v>0.45400000000000001</v>
      </c>
      <c r="E77" s="198">
        <v>0.75700000000000001</v>
      </c>
      <c r="F77" s="198">
        <v>1.8180000000000001</v>
      </c>
      <c r="G77" s="198">
        <v>2.7269999999999999</v>
      </c>
      <c r="H77" s="198">
        <v>3.03</v>
      </c>
      <c r="I77" s="199">
        <v>3.3330000000000002</v>
      </c>
      <c r="J77" s="74"/>
      <c r="K77" s="171" t="s">
        <v>14</v>
      </c>
      <c r="L77" s="171"/>
      <c r="N77" s="318" t="str">
        <f ca="1">"제 " &amp; Z77 &amp; " 호표  "&amp; OFFSET($A$1,MATCH(Z77,$A:$A,0)-1,1)</f>
        <v>제 2 호표  1.2. 경관자원 및 특성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2</v>
      </c>
    </row>
    <row r="78" spans="1:26" ht="18" customHeight="1">
      <c r="A78" s="278"/>
      <c r="B78" s="222" t="s">
        <v>2291</v>
      </c>
      <c r="C78" s="47"/>
      <c r="D78" s="48">
        <f t="shared" ref="D78:I78" si="18">SUBTOTAL(9,D79:D80)</f>
        <v>0.75700000000000001</v>
      </c>
      <c r="E78" s="49">
        <f t="shared" si="18"/>
        <v>1.2110000000000001</v>
      </c>
      <c r="F78" s="49">
        <f t="shared" si="18"/>
        <v>2.7270000000000003</v>
      </c>
      <c r="G78" s="49">
        <f t="shared" si="18"/>
        <v>4.8479999999999999</v>
      </c>
      <c r="H78" s="49">
        <f t="shared" si="18"/>
        <v>5.3019999999999996</v>
      </c>
      <c r="I78" s="50">
        <f t="shared" si="18"/>
        <v>6.2110000000000003</v>
      </c>
      <c r="J78" s="74"/>
      <c r="K78" s="171"/>
      <c r="L78" s="171"/>
      <c r="N78" s="140" t="s">
        <v>43</v>
      </c>
      <c r="O78" s="172">
        <v>3</v>
      </c>
      <c r="P78" s="219">
        <f ca="1">OFFSET($A$1,MATCH(Z77,$A:$A,0)-1,O78)</f>
        <v>0.151</v>
      </c>
      <c r="Q78" s="141" t="s">
        <v>29</v>
      </c>
      <c r="R78" s="142">
        <f t="shared" ref="R78:S83" ca="1" si="19">T78</f>
        <v>467217</v>
      </c>
      <c r="S78" s="142">
        <f t="shared" ca="1" si="19"/>
        <v>70549</v>
      </c>
      <c r="T78" s="142">
        <f ca="1">기술사</f>
        <v>467217</v>
      </c>
      <c r="U78" s="142">
        <f t="shared" ref="U78:U83" ca="1" si="20">ROUNDDOWN(P78*R78,0)</f>
        <v>70549</v>
      </c>
      <c r="V78" s="142"/>
      <c r="W78" s="142"/>
      <c r="X78" s="142"/>
      <c r="Y78" s="142"/>
      <c r="Z78" s="114"/>
    </row>
    <row r="79" spans="1:26" ht="18" customHeight="1">
      <c r="A79" s="278">
        <v>22</v>
      </c>
      <c r="B79" s="223" t="s">
        <v>2292</v>
      </c>
      <c r="C79" s="23"/>
      <c r="D79" s="197">
        <f t="array" ref="D79:I80">ROUNDDOWN(D43:I44*L43:L44*$D$5,3)</f>
        <v>0.45400000000000001</v>
      </c>
      <c r="E79" s="198">
        <v>0.75700000000000001</v>
      </c>
      <c r="F79" s="198">
        <v>1.8180000000000001</v>
      </c>
      <c r="G79" s="198">
        <v>2.7269999999999999</v>
      </c>
      <c r="H79" s="198">
        <v>3.03</v>
      </c>
      <c r="I79" s="199">
        <v>3.3330000000000002</v>
      </c>
      <c r="J79" s="74"/>
      <c r="K79" s="171" t="s">
        <v>14</v>
      </c>
      <c r="L79" s="171"/>
      <c r="N79" s="143" t="s">
        <v>32</v>
      </c>
      <c r="O79" s="173">
        <v>4</v>
      </c>
      <c r="P79" s="234">
        <f ca="1">OFFSET($A$1,MATCH(Z77,$A:$A,0)-1,O79)</f>
        <v>0.30299999999999999</v>
      </c>
      <c r="Q79" s="144" t="s">
        <v>29</v>
      </c>
      <c r="R79" s="118">
        <f t="shared" ca="1" si="19"/>
        <v>373353</v>
      </c>
      <c r="S79" s="118">
        <f t="shared" ca="1" si="19"/>
        <v>113125</v>
      </c>
      <c r="T79" s="118">
        <f ca="1">특급</f>
        <v>373353</v>
      </c>
      <c r="U79" s="118">
        <f t="shared" ca="1" si="20"/>
        <v>113125</v>
      </c>
      <c r="V79" s="118"/>
      <c r="W79" s="118"/>
      <c r="X79" s="118"/>
      <c r="Y79" s="118"/>
      <c r="Z79" s="115"/>
    </row>
    <row r="80" spans="1:26" ht="18" customHeight="1">
      <c r="A80" s="278">
        <v>23</v>
      </c>
      <c r="B80" s="223" t="s">
        <v>2293</v>
      </c>
      <c r="C80" s="23"/>
      <c r="D80" s="197">
        <v>0.30299999999999999</v>
      </c>
      <c r="E80" s="198">
        <v>0.45400000000000001</v>
      </c>
      <c r="F80" s="198">
        <v>0.90900000000000003</v>
      </c>
      <c r="G80" s="198">
        <v>2.121</v>
      </c>
      <c r="H80" s="198">
        <v>2.2719999999999998</v>
      </c>
      <c r="I80" s="199">
        <v>2.8780000000000001</v>
      </c>
      <c r="J80" s="74"/>
      <c r="K80" s="171" t="s">
        <v>14</v>
      </c>
      <c r="L80" s="171"/>
      <c r="N80" s="145" t="s">
        <v>39</v>
      </c>
      <c r="O80" s="173">
        <v>5</v>
      </c>
      <c r="P80" s="234">
        <f ca="1">OFFSET($A$1,MATCH(Z77,$A:$A,0)-1,O80)</f>
        <v>0.90900000000000003</v>
      </c>
      <c r="Q80" s="144" t="s">
        <v>29</v>
      </c>
      <c r="R80" s="118">
        <f t="shared" ca="1" si="19"/>
        <v>310884</v>
      </c>
      <c r="S80" s="118">
        <f t="shared" ca="1" si="19"/>
        <v>282593</v>
      </c>
      <c r="T80" s="118">
        <f ca="1">고급</f>
        <v>310884</v>
      </c>
      <c r="U80" s="118">
        <f t="shared" ca="1" si="20"/>
        <v>282593</v>
      </c>
      <c r="V80" s="118"/>
      <c r="W80" s="118"/>
      <c r="X80" s="118"/>
      <c r="Y80" s="118"/>
      <c r="Z80" s="115"/>
    </row>
    <row r="81" spans="1:26" ht="18" customHeight="1">
      <c r="A81" s="278"/>
      <c r="B81" s="222" t="s">
        <v>2295</v>
      </c>
      <c r="C81" s="47"/>
      <c r="D81" s="48">
        <f t="shared" ref="D81:I81" si="21">SUBTOTAL(9,D82:D85)</f>
        <v>8</v>
      </c>
      <c r="E81" s="49">
        <f t="shared" si="21"/>
        <v>8</v>
      </c>
      <c r="F81" s="49">
        <f t="shared" si="21"/>
        <v>8</v>
      </c>
      <c r="G81" s="49">
        <f t="shared" si="21"/>
        <v>16</v>
      </c>
      <c r="H81" s="49">
        <f t="shared" si="21"/>
        <v>16</v>
      </c>
      <c r="I81" s="50">
        <f t="shared" si="21"/>
        <v>16</v>
      </c>
      <c r="J81" s="74"/>
      <c r="K81" s="171" t="s">
        <v>14</v>
      </c>
      <c r="L81" s="171"/>
      <c r="N81" s="145" t="s">
        <v>40</v>
      </c>
      <c r="O81" s="173">
        <v>6</v>
      </c>
      <c r="P81" s="234">
        <f ca="1">OFFSET($A$1,MATCH(Z77,$A:$A,0)-1,O81)</f>
        <v>1.8180000000000001</v>
      </c>
      <c r="Q81" s="144" t="s">
        <v>29</v>
      </c>
      <c r="R81" s="118">
        <f t="shared" ca="1" si="19"/>
        <v>295138</v>
      </c>
      <c r="S81" s="118">
        <f t="shared" ca="1" si="19"/>
        <v>536560</v>
      </c>
      <c r="T81" s="118">
        <f ca="1">중급</f>
        <v>295138</v>
      </c>
      <c r="U81" s="118">
        <f t="shared" ca="1" si="20"/>
        <v>536560</v>
      </c>
      <c r="V81" s="118"/>
      <c r="W81" s="118"/>
      <c r="X81" s="118"/>
      <c r="Y81" s="118"/>
      <c r="Z81" s="115"/>
    </row>
    <row r="82" spans="1:26" ht="18" customHeight="1">
      <c r="A82" s="278">
        <v>24</v>
      </c>
      <c r="B82" s="223" t="s">
        <v>2296</v>
      </c>
      <c r="C82" s="23"/>
      <c r="D82" s="197">
        <f t="array" ref="D82:I85">ROUNDDOWN(D46:I49*L46:L49*I5,3)</f>
        <v>2</v>
      </c>
      <c r="E82" s="198">
        <v>2</v>
      </c>
      <c r="F82" s="198">
        <v>2</v>
      </c>
      <c r="G82" s="198">
        <v>4</v>
      </c>
      <c r="H82" s="198">
        <v>4</v>
      </c>
      <c r="I82" s="199">
        <v>4</v>
      </c>
      <c r="J82" s="74"/>
      <c r="K82" s="171" t="s">
        <v>14</v>
      </c>
      <c r="L82" s="171"/>
      <c r="N82" s="145" t="s">
        <v>41</v>
      </c>
      <c r="O82" s="173">
        <v>7</v>
      </c>
      <c r="P82" s="234">
        <f ca="1">OFFSET($A$1,MATCH(Z77,$A:$A,0)-1,O82)</f>
        <v>2.7269999999999999</v>
      </c>
      <c r="Q82" s="144" t="s">
        <v>29</v>
      </c>
      <c r="R82" s="118">
        <f t="shared" ca="1" si="19"/>
        <v>235459</v>
      </c>
      <c r="S82" s="118">
        <f t="shared" ca="1" si="19"/>
        <v>642096</v>
      </c>
      <c r="T82" s="118">
        <f ca="1">초급</f>
        <v>235459</v>
      </c>
      <c r="U82" s="118">
        <f t="shared" ca="1" si="20"/>
        <v>642096</v>
      </c>
      <c r="V82" s="118"/>
      <c r="W82" s="118"/>
      <c r="X82" s="118"/>
      <c r="Y82" s="118"/>
      <c r="Z82" s="115"/>
    </row>
    <row r="83" spans="1:26" ht="18" customHeight="1">
      <c r="A83" s="278">
        <v>25</v>
      </c>
      <c r="B83" s="223" t="s">
        <v>2297</v>
      </c>
      <c r="C83" s="23"/>
      <c r="D83" s="197">
        <v>2</v>
      </c>
      <c r="E83" s="198">
        <v>2</v>
      </c>
      <c r="F83" s="198">
        <v>2</v>
      </c>
      <c r="G83" s="198">
        <v>4</v>
      </c>
      <c r="H83" s="198">
        <v>4</v>
      </c>
      <c r="I83" s="199">
        <v>4</v>
      </c>
      <c r="J83" s="74"/>
      <c r="K83" s="171" t="s">
        <v>14</v>
      </c>
      <c r="L83" s="171"/>
      <c r="N83" s="319" t="s">
        <v>42</v>
      </c>
      <c r="O83" s="174">
        <v>8</v>
      </c>
      <c r="P83" s="235">
        <f ca="1">OFFSET($A$1,MATCH(Z77,$A:$A,0)-1,O83)</f>
        <v>3.3330000000000002</v>
      </c>
      <c r="Q83" s="322" t="s">
        <v>29</v>
      </c>
      <c r="R83" s="323">
        <f t="shared" ca="1" si="19"/>
        <v>250087</v>
      </c>
      <c r="S83" s="323">
        <f t="shared" ca="1" si="19"/>
        <v>833539</v>
      </c>
      <c r="T83" s="323">
        <f ca="1">보조원</f>
        <v>250087</v>
      </c>
      <c r="U83" s="323">
        <f t="shared" ca="1" si="20"/>
        <v>833539</v>
      </c>
      <c r="V83" s="323"/>
      <c r="W83" s="323"/>
      <c r="X83" s="323"/>
      <c r="Y83" s="323"/>
      <c r="Z83" s="324"/>
    </row>
    <row r="84" spans="1:26" ht="18" customHeight="1">
      <c r="A84" s="278">
        <v>26</v>
      </c>
      <c r="B84" s="223" t="s">
        <v>2298</v>
      </c>
      <c r="C84" s="23"/>
      <c r="D84" s="197">
        <v>2</v>
      </c>
      <c r="E84" s="198">
        <v>2</v>
      </c>
      <c r="F84" s="198">
        <v>2</v>
      </c>
      <c r="G84" s="198">
        <v>4</v>
      </c>
      <c r="H84" s="198">
        <v>4</v>
      </c>
      <c r="I84" s="199">
        <v>4</v>
      </c>
      <c r="J84" s="74"/>
      <c r="K84" s="171" t="s">
        <v>14</v>
      </c>
      <c r="L84" s="171"/>
      <c r="N84" s="139" t="s">
        <v>17</v>
      </c>
      <c r="O84" s="68"/>
      <c r="P84" s="69"/>
      <c r="Q84" s="70"/>
      <c r="R84" s="71"/>
      <c r="S84" s="71">
        <f ca="1">SUBTOTAL(9,S78:S83)</f>
        <v>2478462</v>
      </c>
      <c r="T84" s="71"/>
      <c r="U84" s="71">
        <f ca="1">SUBTOTAL(9,U78:U83)</f>
        <v>2478462</v>
      </c>
      <c r="V84" s="71"/>
      <c r="W84" s="71"/>
      <c r="X84" s="71"/>
      <c r="Y84" s="71"/>
      <c r="Z84" s="68"/>
    </row>
    <row r="85" spans="1:26" ht="18" customHeight="1" thickBot="1">
      <c r="A85" s="278">
        <v>27</v>
      </c>
      <c r="B85" s="388" t="s">
        <v>2299</v>
      </c>
      <c r="C85" s="342"/>
      <c r="D85" s="343">
        <v>2</v>
      </c>
      <c r="E85" s="344">
        <v>2</v>
      </c>
      <c r="F85" s="344">
        <v>2</v>
      </c>
      <c r="G85" s="344">
        <v>4</v>
      </c>
      <c r="H85" s="344">
        <v>4</v>
      </c>
      <c r="I85" s="345">
        <v>4</v>
      </c>
      <c r="J85" s="176"/>
      <c r="K85" s="171" t="s">
        <v>14</v>
      </c>
      <c r="L85" s="171"/>
      <c r="N85" s="318" t="str">
        <f ca="1">"제 " &amp; Z85 &amp; " 호표  "&amp; OFFSET($A$1,MATCH(Z85,$A:$A,0)-1,1)</f>
        <v>제 3 호표  1.3. 관련 법규 및 계획(유사사례 검토)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3</v>
      </c>
    </row>
    <row r="86" spans="1:26" ht="18" customHeight="1">
      <c r="A86" s="278"/>
      <c r="B86" s="80" t="s">
        <v>2300</v>
      </c>
      <c r="C86" s="1" t="s">
        <v>2301</v>
      </c>
      <c r="E86" s="8"/>
      <c r="F86" s="8"/>
      <c r="G86" s="8"/>
      <c r="H86" s="8"/>
      <c r="I86" s="8"/>
      <c r="J86" s="10"/>
      <c r="K86" s="171" t="s">
        <v>14</v>
      </c>
      <c r="L86" s="171"/>
      <c r="N86" s="140" t="s">
        <v>43</v>
      </c>
      <c r="O86" s="172">
        <v>3</v>
      </c>
      <c r="P86" s="219">
        <f ca="1">OFFSET($A$1,MATCH(Z85,$A:$A,0)-1,O86)</f>
        <v>0.151</v>
      </c>
      <c r="Q86" s="141" t="s">
        <v>29</v>
      </c>
      <c r="R86" s="142">
        <f t="shared" ref="R86:S91" ca="1" si="22">T86</f>
        <v>467217</v>
      </c>
      <c r="S86" s="142">
        <f t="shared" ca="1" si="22"/>
        <v>70549</v>
      </c>
      <c r="T86" s="142">
        <f ca="1">기술사</f>
        <v>467217</v>
      </c>
      <c r="U86" s="142">
        <f t="shared" ref="U86:U91" ca="1" si="23">ROUNDDOWN(P86*R86,0)</f>
        <v>70549</v>
      </c>
      <c r="V86" s="142"/>
      <c r="W86" s="142"/>
      <c r="X86" s="142"/>
      <c r="Y86" s="142"/>
      <c r="Z86" s="114"/>
    </row>
    <row r="87" spans="1:26" ht="18" customHeight="1">
      <c r="A87" s="278"/>
      <c r="B87" s="80"/>
      <c r="C87" s="1" t="s">
        <v>1217</v>
      </c>
      <c r="J87" s="8"/>
      <c r="K87" s="171" t="s">
        <v>14</v>
      </c>
      <c r="L87" s="171"/>
      <c r="N87" s="143" t="s">
        <v>32</v>
      </c>
      <c r="O87" s="173">
        <v>4</v>
      </c>
      <c r="P87" s="234">
        <f ca="1">OFFSET($A$1,MATCH(Z85,$A:$A,0)-1,O87)</f>
        <v>0.30299999999999999</v>
      </c>
      <c r="Q87" s="144" t="s">
        <v>29</v>
      </c>
      <c r="R87" s="118">
        <f t="shared" ca="1" si="22"/>
        <v>373353</v>
      </c>
      <c r="S87" s="118">
        <f t="shared" ca="1" si="22"/>
        <v>113125</v>
      </c>
      <c r="T87" s="118">
        <f ca="1">특급</f>
        <v>373353</v>
      </c>
      <c r="U87" s="118">
        <f t="shared" ca="1" si="23"/>
        <v>113125</v>
      </c>
      <c r="V87" s="118"/>
      <c r="W87" s="118"/>
      <c r="X87" s="118"/>
      <c r="Y87" s="118"/>
      <c r="Z87" s="115"/>
    </row>
    <row r="88" spans="1:26" ht="18" customHeight="1">
      <c r="A88" s="278"/>
      <c r="C88" s="1" t="s">
        <v>1218</v>
      </c>
      <c r="J88" s="8"/>
      <c r="K88" s="171" t="s">
        <v>14</v>
      </c>
      <c r="L88" s="171"/>
      <c r="N88" s="145" t="s">
        <v>39</v>
      </c>
      <c r="O88" s="173">
        <v>5</v>
      </c>
      <c r="P88" s="234">
        <f ca="1">OFFSET($A$1,MATCH(Z85,$A:$A,0)-1,O88)</f>
        <v>0.60599999999999998</v>
      </c>
      <c r="Q88" s="144" t="s">
        <v>29</v>
      </c>
      <c r="R88" s="118">
        <f t="shared" ca="1" si="22"/>
        <v>310884</v>
      </c>
      <c r="S88" s="118">
        <f t="shared" ca="1" si="22"/>
        <v>188395</v>
      </c>
      <c r="T88" s="118">
        <f ca="1">고급</f>
        <v>310884</v>
      </c>
      <c r="U88" s="118">
        <f t="shared" ca="1" si="23"/>
        <v>188395</v>
      </c>
      <c r="V88" s="118"/>
      <c r="W88" s="118"/>
      <c r="X88" s="118"/>
      <c r="Y88" s="118"/>
      <c r="Z88" s="115"/>
    </row>
    <row r="89" spans="1:26" ht="18" customHeight="1">
      <c r="A89" s="278"/>
      <c r="C89" s="9" t="s">
        <v>2302</v>
      </c>
      <c r="J89" s="8"/>
      <c r="K89" s="171" t="s">
        <v>14</v>
      </c>
      <c r="L89" s="171"/>
      <c r="N89" s="145" t="s">
        <v>40</v>
      </c>
      <c r="O89" s="173">
        <v>6</v>
      </c>
      <c r="P89" s="234">
        <f ca="1">OFFSET($A$1,MATCH(Z85,$A:$A,0)-1,O89)</f>
        <v>0.60599999999999998</v>
      </c>
      <c r="Q89" s="144" t="s">
        <v>29</v>
      </c>
      <c r="R89" s="118">
        <f t="shared" ca="1" si="22"/>
        <v>295138</v>
      </c>
      <c r="S89" s="118">
        <f t="shared" ca="1" si="22"/>
        <v>178853</v>
      </c>
      <c r="T89" s="118">
        <f ca="1">중급</f>
        <v>295138</v>
      </c>
      <c r="U89" s="118">
        <f t="shared" ca="1" si="23"/>
        <v>178853</v>
      </c>
      <c r="V89" s="118"/>
      <c r="W89" s="118"/>
      <c r="X89" s="118"/>
      <c r="Y89" s="118"/>
      <c r="Z89" s="115"/>
    </row>
    <row r="90" spans="1:26" ht="18" customHeight="1">
      <c r="A90" s="278"/>
      <c r="C90" s="1" t="s">
        <v>2303</v>
      </c>
      <c r="K90" s="171" t="s">
        <v>14</v>
      </c>
      <c r="L90" s="171"/>
      <c r="N90" s="145" t="s">
        <v>41</v>
      </c>
      <c r="O90" s="173">
        <v>7</v>
      </c>
      <c r="P90" s="234">
        <f ca="1">OFFSET($A$1,MATCH(Z85,$A:$A,0)-1,O90)</f>
        <v>0.90900000000000003</v>
      </c>
      <c r="Q90" s="144" t="s">
        <v>29</v>
      </c>
      <c r="R90" s="118">
        <f t="shared" ca="1" si="22"/>
        <v>235459</v>
      </c>
      <c r="S90" s="118">
        <f t="shared" ca="1" si="22"/>
        <v>214032</v>
      </c>
      <c r="T90" s="118">
        <f ca="1">초급</f>
        <v>235459</v>
      </c>
      <c r="U90" s="118">
        <f t="shared" ca="1" si="23"/>
        <v>214032</v>
      </c>
      <c r="V90" s="118"/>
      <c r="W90" s="118"/>
      <c r="X90" s="118"/>
      <c r="Y90" s="118"/>
      <c r="Z90" s="115"/>
    </row>
    <row r="91" spans="1:26" ht="18" customHeight="1">
      <c r="A91" s="278"/>
      <c r="C91" s="9"/>
      <c r="K91" s="171" t="s">
        <v>14</v>
      </c>
      <c r="L91" s="171"/>
      <c r="N91" s="319" t="s">
        <v>42</v>
      </c>
      <c r="O91" s="174">
        <v>8</v>
      </c>
      <c r="P91" s="235">
        <f ca="1">OFFSET($A$1,MATCH(Z85,$A:$A,0)-1,O91)</f>
        <v>1.212</v>
      </c>
      <c r="Q91" s="322" t="s">
        <v>29</v>
      </c>
      <c r="R91" s="323">
        <f t="shared" ca="1" si="22"/>
        <v>250087</v>
      </c>
      <c r="S91" s="323">
        <f t="shared" ca="1" si="22"/>
        <v>303105</v>
      </c>
      <c r="T91" s="323">
        <f ca="1">보조원</f>
        <v>250087</v>
      </c>
      <c r="U91" s="323">
        <f t="shared" ca="1" si="23"/>
        <v>303105</v>
      </c>
      <c r="V91" s="323"/>
      <c r="W91" s="323"/>
      <c r="X91" s="323"/>
      <c r="Y91" s="323"/>
      <c r="Z91" s="324"/>
    </row>
    <row r="92" spans="1:26" ht="18" customHeight="1">
      <c r="A92" s="278"/>
      <c r="C92" s="9"/>
      <c r="K92" s="171" t="s">
        <v>14</v>
      </c>
      <c r="L92" s="171"/>
      <c r="N92" s="139" t="s">
        <v>17</v>
      </c>
      <c r="O92" s="68"/>
      <c r="P92" s="69"/>
      <c r="Q92" s="70"/>
      <c r="R92" s="71"/>
      <c r="S92" s="71">
        <f ca="1">SUBTOTAL(9,S86:S91)</f>
        <v>1068059</v>
      </c>
      <c r="T92" s="71"/>
      <c r="U92" s="71">
        <f ca="1">SUBTOTAL(9,U86:U91)</f>
        <v>1068059</v>
      </c>
      <c r="V92" s="71"/>
      <c r="W92" s="71"/>
      <c r="X92" s="71"/>
      <c r="Y92" s="71"/>
      <c r="Z92" s="68"/>
    </row>
    <row r="93" spans="1:26" ht="18" customHeight="1">
      <c r="A93" s="278"/>
      <c r="C93" s="9"/>
      <c r="K93" s="171" t="s">
        <v>14</v>
      </c>
      <c r="L93" s="171"/>
      <c r="N93" s="318" t="str">
        <f ca="1">"제 " &amp; Z93 &amp; " 호표  "&amp; OFFSET($A$1,MATCH(Z93,$A:$A,0)-1,1)</f>
        <v>제 4 호표  1.4. 경관 종합분석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4</v>
      </c>
    </row>
    <row r="94" spans="1:26" ht="18" customHeight="1">
      <c r="A94" s="278"/>
      <c r="K94" s="171" t="s">
        <v>14</v>
      </c>
      <c r="L94" s="171"/>
      <c r="N94" s="140" t="s">
        <v>43</v>
      </c>
      <c r="O94" s="172">
        <v>3</v>
      </c>
      <c r="P94" s="219">
        <f ca="1">OFFSET($A$1,MATCH(Z93,$A:$A,0)-1,O94)</f>
        <v>0.30299999999999999</v>
      </c>
      <c r="Q94" s="141" t="s">
        <v>29</v>
      </c>
      <c r="R94" s="142">
        <f t="shared" ref="R94:S99" ca="1" si="24">T94</f>
        <v>467217</v>
      </c>
      <c r="S94" s="142">
        <f t="shared" ca="1" si="24"/>
        <v>141566</v>
      </c>
      <c r="T94" s="142">
        <f ca="1">기술사</f>
        <v>467217</v>
      </c>
      <c r="U94" s="142">
        <f t="shared" ref="U94:U99" ca="1" si="25">ROUNDDOWN(P94*R94,0)</f>
        <v>141566</v>
      </c>
      <c r="V94" s="142"/>
      <c r="W94" s="142"/>
      <c r="X94" s="142"/>
      <c r="Y94" s="142"/>
      <c r="Z94" s="114"/>
    </row>
    <row r="95" spans="1:26" ht="18" customHeight="1">
      <c r="A95" s="278"/>
      <c r="B95" s="9"/>
      <c r="C95" s="9"/>
      <c r="K95" s="171" t="s">
        <v>14</v>
      </c>
      <c r="L95" s="171"/>
      <c r="N95" s="143" t="s">
        <v>32</v>
      </c>
      <c r="O95" s="173">
        <v>4</v>
      </c>
      <c r="P95" s="234">
        <f ca="1">OFFSET($A$1,MATCH(Z93,$A:$A,0)-1,O95)</f>
        <v>0.30299999999999999</v>
      </c>
      <c r="Q95" s="144" t="s">
        <v>29</v>
      </c>
      <c r="R95" s="118">
        <f t="shared" ca="1" si="24"/>
        <v>373353</v>
      </c>
      <c r="S95" s="118">
        <f t="shared" ca="1" si="24"/>
        <v>113125</v>
      </c>
      <c r="T95" s="118">
        <f ca="1">특급</f>
        <v>373353</v>
      </c>
      <c r="U95" s="118">
        <f t="shared" ca="1" si="25"/>
        <v>113125</v>
      </c>
      <c r="V95" s="118"/>
      <c r="W95" s="118"/>
      <c r="X95" s="118"/>
      <c r="Y95" s="118"/>
      <c r="Z95" s="115"/>
    </row>
    <row r="96" spans="1:26" ht="18" customHeight="1">
      <c r="A96" s="278"/>
      <c r="B96" s="9"/>
      <c r="K96" s="171" t="s">
        <v>14</v>
      </c>
      <c r="L96" s="171"/>
      <c r="N96" s="145" t="s">
        <v>39</v>
      </c>
      <c r="O96" s="173">
        <v>5</v>
      </c>
      <c r="P96" s="234">
        <f ca="1">OFFSET($A$1,MATCH(Z93,$A:$A,0)-1,O96)</f>
        <v>0.45400000000000001</v>
      </c>
      <c r="Q96" s="144" t="s">
        <v>29</v>
      </c>
      <c r="R96" s="118">
        <f t="shared" ca="1" si="24"/>
        <v>310884</v>
      </c>
      <c r="S96" s="118">
        <f t="shared" ca="1" si="24"/>
        <v>141141</v>
      </c>
      <c r="T96" s="118">
        <f ca="1">고급</f>
        <v>310884</v>
      </c>
      <c r="U96" s="118">
        <f t="shared" ca="1" si="25"/>
        <v>141141</v>
      </c>
      <c r="V96" s="118"/>
      <c r="W96" s="118"/>
      <c r="X96" s="118"/>
      <c r="Y96" s="118"/>
      <c r="Z96" s="115"/>
    </row>
    <row r="97" spans="1:26" ht="18" customHeight="1">
      <c r="A97" s="278"/>
      <c r="B97" s="9"/>
      <c r="K97" s="171" t="s">
        <v>14</v>
      </c>
      <c r="L97" s="171"/>
      <c r="N97" s="145" t="s">
        <v>40</v>
      </c>
      <c r="O97" s="173">
        <v>6</v>
      </c>
      <c r="P97" s="234">
        <f ca="1">OFFSET($A$1,MATCH(Z93,$A:$A,0)-1,O97)</f>
        <v>0.60599999999999998</v>
      </c>
      <c r="Q97" s="144" t="s">
        <v>29</v>
      </c>
      <c r="R97" s="118">
        <f t="shared" ca="1" si="24"/>
        <v>295138</v>
      </c>
      <c r="S97" s="118">
        <f t="shared" ca="1" si="24"/>
        <v>178853</v>
      </c>
      <c r="T97" s="118">
        <f ca="1">중급</f>
        <v>295138</v>
      </c>
      <c r="U97" s="118">
        <f t="shared" ca="1" si="25"/>
        <v>178853</v>
      </c>
      <c r="V97" s="118"/>
      <c r="W97" s="118"/>
      <c r="X97" s="118"/>
      <c r="Y97" s="118"/>
      <c r="Z97" s="115"/>
    </row>
    <row r="98" spans="1:26" ht="18" customHeight="1">
      <c r="A98" s="278"/>
      <c r="B98" s="9"/>
      <c r="K98" s="171" t="s">
        <v>14</v>
      </c>
      <c r="L98" s="171"/>
      <c r="N98" s="145" t="s">
        <v>41</v>
      </c>
      <c r="O98" s="173">
        <v>7</v>
      </c>
      <c r="P98" s="234">
        <f ca="1">OFFSET($A$1,MATCH(Z93,$A:$A,0)-1,O98)</f>
        <v>0.90900000000000003</v>
      </c>
      <c r="Q98" s="144" t="s">
        <v>29</v>
      </c>
      <c r="R98" s="118">
        <f t="shared" ca="1" si="24"/>
        <v>235459</v>
      </c>
      <c r="S98" s="118">
        <f t="shared" ca="1" si="24"/>
        <v>214032</v>
      </c>
      <c r="T98" s="118">
        <f ca="1">초급</f>
        <v>235459</v>
      </c>
      <c r="U98" s="118">
        <f t="shared" ca="1" si="25"/>
        <v>214032</v>
      </c>
      <c r="V98" s="118"/>
      <c r="W98" s="118"/>
      <c r="X98" s="118"/>
      <c r="Y98" s="118"/>
      <c r="Z98" s="115"/>
    </row>
    <row r="99" spans="1:26" ht="18" customHeight="1">
      <c r="B99" s="9"/>
      <c r="K99" s="171" t="s">
        <v>14</v>
      </c>
      <c r="L99" s="171"/>
      <c r="N99" s="319" t="s">
        <v>42</v>
      </c>
      <c r="O99" s="174">
        <v>8</v>
      </c>
      <c r="P99" s="235">
        <f ca="1">OFFSET($A$1,MATCH(Z93,$A:$A,0)-1,O99)</f>
        <v>1.212</v>
      </c>
      <c r="Q99" s="322" t="s">
        <v>29</v>
      </c>
      <c r="R99" s="323">
        <f t="shared" ca="1" si="24"/>
        <v>250087</v>
      </c>
      <c r="S99" s="323">
        <f t="shared" ca="1" si="24"/>
        <v>303105</v>
      </c>
      <c r="T99" s="323">
        <f ca="1">보조원</f>
        <v>250087</v>
      </c>
      <c r="U99" s="323">
        <f t="shared" ca="1" si="25"/>
        <v>303105</v>
      </c>
      <c r="V99" s="323"/>
      <c r="W99" s="323"/>
      <c r="X99" s="323"/>
      <c r="Y99" s="323"/>
      <c r="Z99" s="324"/>
    </row>
    <row r="100" spans="1:26" ht="18" customHeight="1">
      <c r="B100" s="9"/>
      <c r="K100" s="171" t="s">
        <v>14</v>
      </c>
      <c r="L100" s="171"/>
      <c r="N100" s="139" t="s">
        <v>17</v>
      </c>
      <c r="O100" s="68"/>
      <c r="P100" s="69"/>
      <c r="Q100" s="70"/>
      <c r="R100" s="71"/>
      <c r="S100" s="71">
        <f ca="1">SUBTOTAL(9,S94:S99)</f>
        <v>1091822</v>
      </c>
      <c r="T100" s="71"/>
      <c r="U100" s="71">
        <f ca="1">SUBTOTAL(9,U94:U99)</f>
        <v>1091822</v>
      </c>
      <c r="V100" s="71"/>
      <c r="W100" s="71"/>
      <c r="X100" s="71"/>
      <c r="Y100" s="71"/>
      <c r="Z100" s="68"/>
    </row>
    <row r="101" spans="1:26" ht="18" customHeight="1">
      <c r="B101" s="9"/>
      <c r="K101" s="171" t="s">
        <v>14</v>
      </c>
      <c r="L101" s="171"/>
      <c r="N101" s="318" t="str">
        <f ca="1">"제 " &amp; Z101 &amp; " 호표  "&amp; OFFSET($A$1,MATCH(Z101,$A:$A,0)-1,1)</f>
        <v>제 5 호표  2.1. 기본방향 및 목표설정(미래상설정)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5</v>
      </c>
    </row>
    <row r="102" spans="1:26" ht="18" customHeight="1">
      <c r="K102" s="171" t="s">
        <v>14</v>
      </c>
      <c r="L102" s="171"/>
      <c r="N102" s="140" t="s">
        <v>43</v>
      </c>
      <c r="O102" s="172">
        <v>3</v>
      </c>
      <c r="P102" s="219">
        <f ca="1">OFFSET($A$1,MATCH(Z101,$A:$A,0)-1,O102)</f>
        <v>0.30299999999999999</v>
      </c>
      <c r="Q102" s="141" t="s">
        <v>29</v>
      </c>
      <c r="R102" s="142">
        <f t="shared" ref="R102:S107" ca="1" si="26">T102</f>
        <v>467217</v>
      </c>
      <c r="S102" s="142">
        <f t="shared" ca="1" si="26"/>
        <v>141566</v>
      </c>
      <c r="T102" s="142">
        <f ca="1">기술사</f>
        <v>467217</v>
      </c>
      <c r="U102" s="142">
        <f t="shared" ref="U102:U107" ca="1" si="27">ROUNDDOWN(P102*R102,0)</f>
        <v>141566</v>
      </c>
      <c r="V102" s="142"/>
      <c r="W102" s="142"/>
      <c r="X102" s="142"/>
      <c r="Y102" s="142"/>
      <c r="Z102" s="114"/>
    </row>
    <row r="103" spans="1:26" ht="18" customHeight="1">
      <c r="K103" s="171" t="s">
        <v>14</v>
      </c>
      <c r="L103" s="171"/>
      <c r="N103" s="143" t="s">
        <v>32</v>
      </c>
      <c r="O103" s="173">
        <v>4</v>
      </c>
      <c r="P103" s="234">
        <f ca="1">OFFSET($A$1,MATCH(Z101,$A:$A,0)-1,O103)</f>
        <v>0.30299999999999999</v>
      </c>
      <c r="Q103" s="144" t="s">
        <v>29</v>
      </c>
      <c r="R103" s="118">
        <f t="shared" ca="1" si="26"/>
        <v>373353</v>
      </c>
      <c r="S103" s="118">
        <f t="shared" ca="1" si="26"/>
        <v>113125</v>
      </c>
      <c r="T103" s="118">
        <f ca="1">특급</f>
        <v>373353</v>
      </c>
      <c r="U103" s="118">
        <f t="shared" ca="1" si="27"/>
        <v>113125</v>
      </c>
      <c r="V103" s="118"/>
      <c r="W103" s="118"/>
      <c r="X103" s="118"/>
      <c r="Y103" s="118"/>
      <c r="Z103" s="115"/>
    </row>
    <row r="104" spans="1:26" ht="18" customHeight="1">
      <c r="K104" s="171" t="s">
        <v>14</v>
      </c>
      <c r="L104" s="171"/>
      <c r="N104" s="145" t="s">
        <v>39</v>
      </c>
      <c r="O104" s="173">
        <v>5</v>
      </c>
      <c r="P104" s="234">
        <f ca="1">OFFSET($A$1,MATCH(Z101,$A:$A,0)-1,O104)</f>
        <v>0.60599999999999998</v>
      </c>
      <c r="Q104" s="144" t="s">
        <v>29</v>
      </c>
      <c r="R104" s="118">
        <f t="shared" ca="1" si="26"/>
        <v>310884</v>
      </c>
      <c r="S104" s="118">
        <f t="shared" ca="1" si="26"/>
        <v>188395</v>
      </c>
      <c r="T104" s="118">
        <f ca="1">고급</f>
        <v>310884</v>
      </c>
      <c r="U104" s="118">
        <f t="shared" ca="1" si="27"/>
        <v>188395</v>
      </c>
      <c r="V104" s="118"/>
      <c r="W104" s="118"/>
      <c r="X104" s="118"/>
      <c r="Y104" s="118"/>
      <c r="Z104" s="115"/>
    </row>
    <row r="105" spans="1:26" ht="18" customHeight="1">
      <c r="K105" s="171" t="s">
        <v>14</v>
      </c>
      <c r="L105" s="171"/>
      <c r="N105" s="145" t="s">
        <v>40</v>
      </c>
      <c r="O105" s="173">
        <v>6</v>
      </c>
      <c r="P105" s="234">
        <f ca="1">OFFSET($A$1,MATCH(Z101,$A:$A,0)-1,O105)</f>
        <v>1.06</v>
      </c>
      <c r="Q105" s="144" t="s">
        <v>29</v>
      </c>
      <c r="R105" s="118">
        <f t="shared" ca="1" si="26"/>
        <v>295138</v>
      </c>
      <c r="S105" s="118">
        <f t="shared" ca="1" si="26"/>
        <v>312846</v>
      </c>
      <c r="T105" s="118">
        <f ca="1">중급</f>
        <v>295138</v>
      </c>
      <c r="U105" s="118">
        <f t="shared" ca="1" si="27"/>
        <v>312846</v>
      </c>
      <c r="V105" s="118"/>
      <c r="W105" s="118"/>
      <c r="X105" s="118"/>
      <c r="Y105" s="118"/>
      <c r="Z105" s="115"/>
    </row>
    <row r="106" spans="1:26" ht="18" customHeight="1">
      <c r="K106" s="171" t="s">
        <v>14</v>
      </c>
      <c r="L106" s="171"/>
      <c r="N106" s="145" t="s">
        <v>41</v>
      </c>
      <c r="O106" s="173">
        <v>7</v>
      </c>
      <c r="P106" s="234">
        <f ca="1">OFFSET($A$1,MATCH(Z101,$A:$A,0)-1,O106)</f>
        <v>1.363</v>
      </c>
      <c r="Q106" s="144" t="s">
        <v>29</v>
      </c>
      <c r="R106" s="118">
        <f t="shared" ca="1" si="26"/>
        <v>235459</v>
      </c>
      <c r="S106" s="118">
        <f t="shared" ca="1" si="26"/>
        <v>320930</v>
      </c>
      <c r="T106" s="118">
        <f ca="1">초급</f>
        <v>235459</v>
      </c>
      <c r="U106" s="118">
        <f t="shared" ca="1" si="27"/>
        <v>320930</v>
      </c>
      <c r="V106" s="118"/>
      <c r="W106" s="118"/>
      <c r="X106" s="118"/>
      <c r="Y106" s="118"/>
      <c r="Z106" s="115"/>
    </row>
    <row r="107" spans="1:26" ht="18" customHeight="1">
      <c r="K107" s="171" t="s">
        <v>14</v>
      </c>
      <c r="L107" s="171"/>
      <c r="N107" s="319" t="s">
        <v>42</v>
      </c>
      <c r="O107" s="174">
        <v>8</v>
      </c>
      <c r="P107" s="235">
        <f ca="1">OFFSET($A$1,MATCH(Z101,$A:$A,0)-1,O107)</f>
        <v>1.9690000000000001</v>
      </c>
      <c r="Q107" s="322" t="s">
        <v>29</v>
      </c>
      <c r="R107" s="323">
        <f t="shared" ca="1" si="26"/>
        <v>250087</v>
      </c>
      <c r="S107" s="323">
        <f t="shared" ca="1" si="26"/>
        <v>492421</v>
      </c>
      <c r="T107" s="323">
        <f ca="1">보조원</f>
        <v>250087</v>
      </c>
      <c r="U107" s="323">
        <f t="shared" ca="1" si="27"/>
        <v>492421</v>
      </c>
      <c r="V107" s="323"/>
      <c r="W107" s="323"/>
      <c r="X107" s="323"/>
      <c r="Y107" s="323"/>
      <c r="Z107" s="324"/>
    </row>
    <row r="108" spans="1:26" ht="18" customHeight="1">
      <c r="K108" s="171" t="s">
        <v>14</v>
      </c>
      <c r="L108" s="171"/>
      <c r="N108" s="139" t="s">
        <v>17</v>
      </c>
      <c r="O108" s="68"/>
      <c r="P108" s="69"/>
      <c r="Q108" s="70"/>
      <c r="R108" s="71"/>
      <c r="S108" s="71">
        <f ca="1">SUBTOTAL(9,S102:S107)</f>
        <v>1569283</v>
      </c>
      <c r="T108" s="71"/>
      <c r="U108" s="71">
        <f ca="1">SUBTOTAL(9,U102:U107)</f>
        <v>1569283</v>
      </c>
      <c r="V108" s="71"/>
      <c r="W108" s="71"/>
      <c r="X108" s="71"/>
      <c r="Y108" s="71"/>
      <c r="Z108" s="68"/>
    </row>
    <row r="109" spans="1:26" ht="18" customHeight="1">
      <c r="K109" s="171" t="s">
        <v>14</v>
      </c>
      <c r="L109" s="171"/>
      <c r="N109" s="318" t="str">
        <f ca="1">"제 " &amp; Z109 &amp; " 호표  "&amp; OFFSET($A$1,MATCH(Z109,$A:$A,0)-1,1)</f>
        <v>제 6 호표  2.2. 경관형성전략 수립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6</v>
      </c>
    </row>
    <row r="110" spans="1:26" ht="18" customHeight="1">
      <c r="K110" s="171" t="s">
        <v>14</v>
      </c>
      <c r="L110" s="171"/>
      <c r="N110" s="140" t="s">
        <v>43</v>
      </c>
      <c r="O110" s="172">
        <v>3</v>
      </c>
      <c r="P110" s="219">
        <f ca="1">OFFSET($A$1,MATCH(Z109,$A:$A,0)-1,O110)</f>
        <v>0.151</v>
      </c>
      <c r="Q110" s="141" t="s">
        <v>29</v>
      </c>
      <c r="R110" s="142">
        <f t="shared" ref="R110:S115" ca="1" si="28">T110</f>
        <v>467217</v>
      </c>
      <c r="S110" s="142">
        <f t="shared" ca="1" si="28"/>
        <v>70549</v>
      </c>
      <c r="T110" s="142">
        <f ca="1">기술사</f>
        <v>467217</v>
      </c>
      <c r="U110" s="142">
        <f t="shared" ref="U110:U115" ca="1" si="29">ROUNDDOWN(P110*R110,0)</f>
        <v>70549</v>
      </c>
      <c r="V110" s="142"/>
      <c r="W110" s="142"/>
      <c r="X110" s="142"/>
      <c r="Y110" s="142"/>
      <c r="Z110" s="114"/>
    </row>
    <row r="111" spans="1:26" ht="18" customHeight="1">
      <c r="K111" s="171" t="s">
        <v>14</v>
      </c>
      <c r="L111" s="171"/>
      <c r="N111" s="143" t="s">
        <v>32</v>
      </c>
      <c r="O111" s="173">
        <v>4</v>
      </c>
      <c r="P111" s="234">
        <f ca="1">OFFSET($A$1,MATCH(Z109,$A:$A,0)-1,O111)</f>
        <v>0.30299999999999999</v>
      </c>
      <c r="Q111" s="144" t="s">
        <v>29</v>
      </c>
      <c r="R111" s="118">
        <f t="shared" ca="1" si="28"/>
        <v>373353</v>
      </c>
      <c r="S111" s="118">
        <f t="shared" ca="1" si="28"/>
        <v>113125</v>
      </c>
      <c r="T111" s="118">
        <f ca="1">특급</f>
        <v>373353</v>
      </c>
      <c r="U111" s="118">
        <f t="shared" ca="1" si="29"/>
        <v>113125</v>
      </c>
      <c r="V111" s="118"/>
      <c r="W111" s="118"/>
      <c r="X111" s="118"/>
      <c r="Y111" s="118"/>
      <c r="Z111" s="115"/>
    </row>
    <row r="112" spans="1:26" ht="18" customHeight="1">
      <c r="K112" s="171" t="s">
        <v>14</v>
      </c>
      <c r="L112" s="171"/>
      <c r="N112" s="145" t="s">
        <v>39</v>
      </c>
      <c r="O112" s="173">
        <v>5</v>
      </c>
      <c r="P112" s="234">
        <f ca="1">OFFSET($A$1,MATCH(Z109,$A:$A,0)-1,O112)</f>
        <v>0.60599999999999998</v>
      </c>
      <c r="Q112" s="144" t="s">
        <v>29</v>
      </c>
      <c r="R112" s="118">
        <f t="shared" ca="1" si="28"/>
        <v>310884</v>
      </c>
      <c r="S112" s="118">
        <f t="shared" ca="1" si="28"/>
        <v>188395</v>
      </c>
      <c r="T112" s="118">
        <f ca="1">고급</f>
        <v>310884</v>
      </c>
      <c r="U112" s="118">
        <f t="shared" ca="1" si="29"/>
        <v>188395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40</v>
      </c>
      <c r="O113" s="173">
        <v>6</v>
      </c>
      <c r="P113" s="234">
        <f ca="1">OFFSET($A$1,MATCH(Z109,$A:$A,0)-1,O113)</f>
        <v>0.90900000000000003</v>
      </c>
      <c r="Q113" s="144" t="s">
        <v>29</v>
      </c>
      <c r="R113" s="118">
        <f t="shared" ca="1" si="28"/>
        <v>295138</v>
      </c>
      <c r="S113" s="118">
        <f t="shared" ca="1" si="28"/>
        <v>268280</v>
      </c>
      <c r="T113" s="118">
        <f ca="1">중급</f>
        <v>295138</v>
      </c>
      <c r="U113" s="118">
        <f t="shared" ca="1" si="29"/>
        <v>268280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41</v>
      </c>
      <c r="O114" s="173">
        <v>7</v>
      </c>
      <c r="P114" s="234">
        <f ca="1">OFFSET($A$1,MATCH(Z109,$A:$A,0)-1,O114)</f>
        <v>1.363</v>
      </c>
      <c r="Q114" s="144" t="s">
        <v>29</v>
      </c>
      <c r="R114" s="118">
        <f t="shared" ca="1" si="28"/>
        <v>235459</v>
      </c>
      <c r="S114" s="118">
        <f t="shared" ca="1" si="28"/>
        <v>320930</v>
      </c>
      <c r="T114" s="118">
        <f ca="1">초급</f>
        <v>235459</v>
      </c>
      <c r="U114" s="118">
        <f t="shared" ca="1" si="29"/>
        <v>320930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319" t="s">
        <v>42</v>
      </c>
      <c r="O115" s="174">
        <v>8</v>
      </c>
      <c r="P115" s="235">
        <f ca="1">OFFSET($A$1,MATCH(Z109,$A:$A,0)-1,O115)</f>
        <v>1.8180000000000001</v>
      </c>
      <c r="Q115" s="322" t="s">
        <v>29</v>
      </c>
      <c r="R115" s="323">
        <f t="shared" ca="1" si="28"/>
        <v>250087</v>
      </c>
      <c r="S115" s="323">
        <f t="shared" ca="1" si="28"/>
        <v>454658</v>
      </c>
      <c r="T115" s="323">
        <f ca="1">보조원</f>
        <v>250087</v>
      </c>
      <c r="U115" s="323">
        <f t="shared" ca="1" si="29"/>
        <v>454658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N116" s="139" t="s">
        <v>17</v>
      </c>
      <c r="O116" s="68"/>
      <c r="P116" s="69"/>
      <c r="Q116" s="70"/>
      <c r="R116" s="71"/>
      <c r="S116" s="71">
        <f ca="1">SUBTOTAL(9,S110:S115)</f>
        <v>1415937</v>
      </c>
      <c r="T116" s="71"/>
      <c r="U116" s="71">
        <f ca="1">SUBTOTAL(9,U110:U115)</f>
        <v>1415937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N117" s="318" t="str">
        <f ca="1">"제 " &amp; Z117 &amp; " 호표  "&amp; OFFSET($A$1,MATCH(Z117,$A:$A,0)-1,1)</f>
        <v>제 7 호표  3.1. 경관구조 설정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7</v>
      </c>
    </row>
    <row r="118" spans="11:26" ht="18" customHeight="1">
      <c r="K118" s="171" t="s">
        <v>14</v>
      </c>
      <c r="L118" s="171"/>
      <c r="N118" s="140" t="s">
        <v>43</v>
      </c>
      <c r="O118" s="172">
        <v>3</v>
      </c>
      <c r="P118" s="219">
        <f ca="1">OFFSET($A$1,MATCH(Z117,$A:$A,0)-1,O118)</f>
        <v>0.151</v>
      </c>
      <c r="Q118" s="141" t="s">
        <v>29</v>
      </c>
      <c r="R118" s="142">
        <f t="shared" ref="R118:S123" ca="1" si="30">T118</f>
        <v>467217</v>
      </c>
      <c r="S118" s="142">
        <f t="shared" ca="1" si="30"/>
        <v>70549</v>
      </c>
      <c r="T118" s="142">
        <f ca="1">기술사</f>
        <v>467217</v>
      </c>
      <c r="U118" s="142">
        <f t="shared" ref="U118:U123" ca="1" si="31">ROUNDDOWN(P118*R118,0)</f>
        <v>70549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N119" s="143" t="s">
        <v>32</v>
      </c>
      <c r="O119" s="173">
        <v>4</v>
      </c>
      <c r="P119" s="234">
        <f ca="1">OFFSET($A$1,MATCH(Z117,$A:$A,0)-1,O119)</f>
        <v>0.30299999999999999</v>
      </c>
      <c r="Q119" s="144" t="s">
        <v>29</v>
      </c>
      <c r="R119" s="118">
        <f t="shared" ca="1" si="30"/>
        <v>373353</v>
      </c>
      <c r="S119" s="118">
        <f t="shared" ca="1" si="30"/>
        <v>113125</v>
      </c>
      <c r="T119" s="118">
        <f ca="1">특급</f>
        <v>373353</v>
      </c>
      <c r="U119" s="118">
        <f t="shared" ca="1" si="31"/>
        <v>113125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39</v>
      </c>
      <c r="O120" s="173">
        <v>5</v>
      </c>
      <c r="P120" s="234">
        <f ca="1">OFFSET($A$1,MATCH(Z117,$A:$A,0)-1,O120)</f>
        <v>0.60599999999999998</v>
      </c>
      <c r="Q120" s="144" t="s">
        <v>29</v>
      </c>
      <c r="R120" s="118">
        <f t="shared" ca="1" si="30"/>
        <v>310884</v>
      </c>
      <c r="S120" s="118">
        <f t="shared" ca="1" si="30"/>
        <v>188395</v>
      </c>
      <c r="T120" s="118">
        <f ca="1">고급</f>
        <v>310884</v>
      </c>
      <c r="U120" s="118">
        <f t="shared" ca="1" si="31"/>
        <v>188395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40</v>
      </c>
      <c r="O121" s="173">
        <v>6</v>
      </c>
      <c r="P121" s="234">
        <f ca="1">OFFSET($A$1,MATCH(Z117,$A:$A,0)-1,O121)</f>
        <v>0.90900000000000003</v>
      </c>
      <c r="Q121" s="144" t="s">
        <v>29</v>
      </c>
      <c r="R121" s="118">
        <f t="shared" ca="1" si="30"/>
        <v>295138</v>
      </c>
      <c r="S121" s="118">
        <f t="shared" ca="1" si="30"/>
        <v>268280</v>
      </c>
      <c r="T121" s="118">
        <f ca="1">중급</f>
        <v>295138</v>
      </c>
      <c r="U121" s="118">
        <f t="shared" ca="1" si="31"/>
        <v>268280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41</v>
      </c>
      <c r="O122" s="173">
        <v>7</v>
      </c>
      <c r="P122" s="234">
        <f ca="1">OFFSET($A$1,MATCH(Z117,$A:$A,0)-1,O122)</f>
        <v>1.363</v>
      </c>
      <c r="Q122" s="144" t="s">
        <v>29</v>
      </c>
      <c r="R122" s="118">
        <f t="shared" ca="1" si="30"/>
        <v>235459</v>
      </c>
      <c r="S122" s="118">
        <f t="shared" ca="1" si="30"/>
        <v>320930</v>
      </c>
      <c r="T122" s="118">
        <f ca="1">초급</f>
        <v>235459</v>
      </c>
      <c r="U122" s="118">
        <f t="shared" ca="1" si="31"/>
        <v>320930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319" t="s">
        <v>42</v>
      </c>
      <c r="O123" s="174">
        <v>8</v>
      </c>
      <c r="P123" s="235">
        <f ca="1">OFFSET($A$1,MATCH(Z117,$A:$A,0)-1,O123)</f>
        <v>1.9690000000000001</v>
      </c>
      <c r="Q123" s="322" t="s">
        <v>29</v>
      </c>
      <c r="R123" s="323">
        <f t="shared" ca="1" si="30"/>
        <v>250087</v>
      </c>
      <c r="S123" s="323">
        <f t="shared" ca="1" si="30"/>
        <v>492421</v>
      </c>
      <c r="T123" s="323">
        <f ca="1">보조원</f>
        <v>250087</v>
      </c>
      <c r="U123" s="323">
        <f t="shared" ca="1" si="31"/>
        <v>492421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N124" s="139" t="s">
        <v>17</v>
      </c>
      <c r="O124" s="68"/>
      <c r="P124" s="69"/>
      <c r="Q124" s="70"/>
      <c r="R124" s="71"/>
      <c r="S124" s="71">
        <f ca="1">SUBTOTAL(9,S118:S123)</f>
        <v>1453700</v>
      </c>
      <c r="T124" s="71"/>
      <c r="U124" s="71">
        <f ca="1">SUBTOTAL(9,U118:U123)</f>
        <v>1453700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N125" s="318" t="str">
        <f ca="1">"제 " &amp; Z125 &amp; " 호표  "&amp; OFFSET($A$1,MATCH(Z125,$A:$A,0)-1,1)</f>
        <v>제 8 호표  3.2. 경관권역 기본구상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8</v>
      </c>
    </row>
    <row r="126" spans="11:26" ht="18" customHeight="1">
      <c r="K126" s="171" t="s">
        <v>14</v>
      </c>
      <c r="L126" s="171"/>
      <c r="N126" s="140" t="s">
        <v>43</v>
      </c>
      <c r="O126" s="172">
        <v>3</v>
      </c>
      <c r="P126" s="219">
        <f ca="1">OFFSET($A$1,MATCH(Z125,$A:$A,0)-1,O126)</f>
        <v>0.30299999999999999</v>
      </c>
      <c r="Q126" s="141" t="s">
        <v>29</v>
      </c>
      <c r="R126" s="142">
        <f t="shared" ref="R126:S131" ca="1" si="32">T126</f>
        <v>467217</v>
      </c>
      <c r="S126" s="142">
        <f t="shared" ca="1" si="32"/>
        <v>141566</v>
      </c>
      <c r="T126" s="142">
        <f ca="1">기술사</f>
        <v>467217</v>
      </c>
      <c r="U126" s="142">
        <f t="shared" ref="U126:U131" ca="1" si="33">ROUNDDOWN(P126*R126,0)</f>
        <v>141566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N127" s="143" t="s">
        <v>32</v>
      </c>
      <c r="O127" s="173">
        <v>4</v>
      </c>
      <c r="P127" s="234">
        <f ca="1">OFFSET($A$1,MATCH(Z125,$A:$A,0)-1,O127)</f>
        <v>0.30299999999999999</v>
      </c>
      <c r="Q127" s="144" t="s">
        <v>29</v>
      </c>
      <c r="R127" s="118">
        <f t="shared" ca="1" si="32"/>
        <v>373353</v>
      </c>
      <c r="S127" s="118">
        <f t="shared" ca="1" si="32"/>
        <v>113125</v>
      </c>
      <c r="T127" s="118">
        <f ca="1">특급</f>
        <v>373353</v>
      </c>
      <c r="U127" s="118">
        <f t="shared" ca="1" si="33"/>
        <v>113125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N128" s="145" t="s">
        <v>39</v>
      </c>
      <c r="O128" s="173">
        <v>5</v>
      </c>
      <c r="P128" s="234">
        <f ca="1">OFFSET($A$1,MATCH(Z125,$A:$A,0)-1,O128)</f>
        <v>0.60599999999999998</v>
      </c>
      <c r="Q128" s="144" t="s">
        <v>29</v>
      </c>
      <c r="R128" s="118">
        <f t="shared" ca="1" si="32"/>
        <v>310884</v>
      </c>
      <c r="S128" s="118">
        <f t="shared" ca="1" si="32"/>
        <v>188395</v>
      </c>
      <c r="T128" s="118">
        <f ca="1">고급</f>
        <v>310884</v>
      </c>
      <c r="U128" s="118">
        <f t="shared" ca="1" si="33"/>
        <v>188395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40</v>
      </c>
      <c r="O129" s="173">
        <v>6</v>
      </c>
      <c r="P129" s="234">
        <f ca="1">OFFSET($A$1,MATCH(Z125,$A:$A,0)-1,O129)</f>
        <v>1.212</v>
      </c>
      <c r="Q129" s="144" t="s">
        <v>29</v>
      </c>
      <c r="R129" s="118">
        <f t="shared" ca="1" si="32"/>
        <v>295138</v>
      </c>
      <c r="S129" s="118">
        <f t="shared" ca="1" si="32"/>
        <v>357707</v>
      </c>
      <c r="T129" s="118">
        <f ca="1">중급</f>
        <v>295138</v>
      </c>
      <c r="U129" s="118">
        <f t="shared" ca="1" si="33"/>
        <v>357707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145" t="s">
        <v>41</v>
      </c>
      <c r="O130" s="173">
        <v>7</v>
      </c>
      <c r="P130" s="234">
        <f ca="1">OFFSET($A$1,MATCH(Z125,$A:$A,0)-1,O130)</f>
        <v>1.6659999999999999</v>
      </c>
      <c r="Q130" s="144" t="s">
        <v>29</v>
      </c>
      <c r="R130" s="118">
        <f t="shared" ca="1" si="32"/>
        <v>235459</v>
      </c>
      <c r="S130" s="118">
        <f t="shared" ca="1" si="32"/>
        <v>392274</v>
      </c>
      <c r="T130" s="118">
        <f ca="1">초급</f>
        <v>235459</v>
      </c>
      <c r="U130" s="118">
        <f t="shared" ca="1" si="33"/>
        <v>392274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319" t="s">
        <v>42</v>
      </c>
      <c r="O131" s="174">
        <v>8</v>
      </c>
      <c r="P131" s="235">
        <f ca="1">OFFSET($A$1,MATCH(Z125,$A:$A,0)-1,O131)</f>
        <v>2.121</v>
      </c>
      <c r="Q131" s="322" t="s">
        <v>29</v>
      </c>
      <c r="R131" s="323">
        <f t="shared" ca="1" si="32"/>
        <v>250087</v>
      </c>
      <c r="S131" s="323">
        <f t="shared" ca="1" si="32"/>
        <v>530434</v>
      </c>
      <c r="T131" s="323">
        <f ca="1">보조원</f>
        <v>250087</v>
      </c>
      <c r="U131" s="323">
        <f t="shared" ca="1" si="33"/>
        <v>530434</v>
      </c>
      <c r="V131" s="323"/>
      <c r="W131" s="323"/>
      <c r="X131" s="323"/>
      <c r="Y131" s="323"/>
      <c r="Z131" s="324"/>
    </row>
    <row r="132" spans="11:26" ht="18" customHeight="1">
      <c r="K132" s="171" t="s">
        <v>14</v>
      </c>
      <c r="L132" s="171"/>
      <c r="N132" s="139" t="s">
        <v>17</v>
      </c>
      <c r="O132" s="68"/>
      <c r="P132" s="69"/>
      <c r="Q132" s="70"/>
      <c r="R132" s="71"/>
      <c r="S132" s="71">
        <f ca="1">SUBTOTAL(9,S126:S131)</f>
        <v>1723501</v>
      </c>
      <c r="T132" s="71"/>
      <c r="U132" s="71">
        <f ca="1">SUBTOTAL(9,U126:U131)</f>
        <v>1723501</v>
      </c>
      <c r="V132" s="71"/>
      <c r="W132" s="71"/>
      <c r="X132" s="71"/>
      <c r="Y132" s="71"/>
      <c r="Z132" s="68"/>
    </row>
    <row r="133" spans="11:26" ht="18" customHeight="1">
      <c r="K133" s="171" t="s">
        <v>14</v>
      </c>
      <c r="L133" s="171"/>
      <c r="N133" s="318" t="str">
        <f ca="1">"제 " &amp; Z133 &amp; " 호표  "&amp; OFFSET($A$1,MATCH(Z133,$A:$A,0)-1,1)</f>
        <v>제 9 호표  3.3. 경관축 기본구상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9</v>
      </c>
    </row>
    <row r="134" spans="11:26" ht="18" customHeight="1">
      <c r="K134" s="171" t="s">
        <v>14</v>
      </c>
      <c r="L134" s="171"/>
      <c r="N134" s="140" t="s">
        <v>43</v>
      </c>
      <c r="O134" s="172">
        <v>3</v>
      </c>
      <c r="P134" s="219">
        <f ca="1">OFFSET($A$1,MATCH(Z133,$A:$A,0)-1,O134)</f>
        <v>0.151</v>
      </c>
      <c r="Q134" s="141" t="s">
        <v>29</v>
      </c>
      <c r="R134" s="142">
        <f t="shared" ref="R134:S139" ca="1" si="34">T134</f>
        <v>467217</v>
      </c>
      <c r="S134" s="142">
        <f t="shared" ca="1" si="34"/>
        <v>70549</v>
      </c>
      <c r="T134" s="142">
        <f ca="1">기술사</f>
        <v>467217</v>
      </c>
      <c r="U134" s="142">
        <f t="shared" ref="U134:U139" ca="1" si="35">ROUNDDOWN(P134*R134,0)</f>
        <v>70549</v>
      </c>
      <c r="V134" s="142"/>
      <c r="W134" s="142"/>
      <c r="X134" s="142"/>
      <c r="Y134" s="142"/>
      <c r="Z134" s="114"/>
    </row>
    <row r="135" spans="11:26" ht="18" customHeight="1">
      <c r="K135" s="171" t="s">
        <v>14</v>
      </c>
      <c r="L135" s="171"/>
      <c r="N135" s="143" t="s">
        <v>32</v>
      </c>
      <c r="O135" s="173">
        <v>4</v>
      </c>
      <c r="P135" s="234">
        <f ca="1">OFFSET($A$1,MATCH(Z133,$A:$A,0)-1,O135)</f>
        <v>0.30299999999999999</v>
      </c>
      <c r="Q135" s="144" t="s">
        <v>29</v>
      </c>
      <c r="R135" s="118">
        <f t="shared" ca="1" si="34"/>
        <v>373353</v>
      </c>
      <c r="S135" s="118">
        <f t="shared" ca="1" si="34"/>
        <v>113125</v>
      </c>
      <c r="T135" s="118">
        <f ca="1">특급</f>
        <v>373353</v>
      </c>
      <c r="U135" s="118">
        <f t="shared" ca="1" si="35"/>
        <v>113125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N136" s="145" t="s">
        <v>39</v>
      </c>
      <c r="O136" s="173">
        <v>5</v>
      </c>
      <c r="P136" s="234">
        <f ca="1">OFFSET($A$1,MATCH(Z133,$A:$A,0)-1,O136)</f>
        <v>0.60599999999999998</v>
      </c>
      <c r="Q136" s="144" t="s">
        <v>29</v>
      </c>
      <c r="R136" s="118">
        <f t="shared" ca="1" si="34"/>
        <v>310884</v>
      </c>
      <c r="S136" s="118">
        <f t="shared" ca="1" si="34"/>
        <v>188395</v>
      </c>
      <c r="T136" s="118">
        <f ca="1">고급</f>
        <v>310884</v>
      </c>
      <c r="U136" s="118">
        <f t="shared" ca="1" si="35"/>
        <v>188395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145" t="s">
        <v>40</v>
      </c>
      <c r="O137" s="173">
        <v>6</v>
      </c>
      <c r="P137" s="234">
        <f ca="1">OFFSET($A$1,MATCH(Z133,$A:$A,0)-1,O137)</f>
        <v>1.06</v>
      </c>
      <c r="Q137" s="144" t="s">
        <v>29</v>
      </c>
      <c r="R137" s="118">
        <f t="shared" ca="1" si="34"/>
        <v>295138</v>
      </c>
      <c r="S137" s="118">
        <f t="shared" ca="1" si="34"/>
        <v>312846</v>
      </c>
      <c r="T137" s="118">
        <f ca="1">중급</f>
        <v>295138</v>
      </c>
      <c r="U137" s="118">
        <f t="shared" ca="1" si="35"/>
        <v>312846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N138" s="145" t="s">
        <v>41</v>
      </c>
      <c r="O138" s="173">
        <v>7</v>
      </c>
      <c r="P138" s="234">
        <f ca="1">OFFSET($A$1,MATCH(Z133,$A:$A,0)-1,O138)</f>
        <v>1.363</v>
      </c>
      <c r="Q138" s="144" t="s">
        <v>29</v>
      </c>
      <c r="R138" s="118">
        <f t="shared" ca="1" si="34"/>
        <v>235459</v>
      </c>
      <c r="S138" s="118">
        <f t="shared" ca="1" si="34"/>
        <v>320930</v>
      </c>
      <c r="T138" s="118">
        <f ca="1">초급</f>
        <v>235459</v>
      </c>
      <c r="U138" s="118">
        <f t="shared" ca="1" si="35"/>
        <v>320930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N139" s="319" t="s">
        <v>42</v>
      </c>
      <c r="O139" s="174">
        <v>8</v>
      </c>
      <c r="P139" s="235">
        <f ca="1">OFFSET($A$1,MATCH(Z133,$A:$A,0)-1,O139)</f>
        <v>2.121</v>
      </c>
      <c r="Q139" s="322" t="s">
        <v>29</v>
      </c>
      <c r="R139" s="323">
        <f t="shared" ca="1" si="34"/>
        <v>250087</v>
      </c>
      <c r="S139" s="323">
        <f t="shared" ca="1" si="34"/>
        <v>530434</v>
      </c>
      <c r="T139" s="323">
        <f ca="1">보조원</f>
        <v>250087</v>
      </c>
      <c r="U139" s="323">
        <f t="shared" ca="1" si="35"/>
        <v>530434</v>
      </c>
      <c r="V139" s="323"/>
      <c r="W139" s="323"/>
      <c r="X139" s="323"/>
      <c r="Y139" s="323"/>
      <c r="Z139" s="324"/>
    </row>
    <row r="140" spans="11:26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1536279</v>
      </c>
      <c r="T140" s="71"/>
      <c r="U140" s="71">
        <f ca="1">SUBTOTAL(9,U134:U139)</f>
        <v>1536279</v>
      </c>
      <c r="V140" s="71"/>
      <c r="W140" s="71"/>
      <c r="X140" s="71"/>
      <c r="Y140" s="71"/>
      <c r="Z140" s="68"/>
    </row>
    <row r="141" spans="11:26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10 호표  3.4. 경관거점 기본구상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10</v>
      </c>
    </row>
    <row r="142" spans="11:26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0.151</v>
      </c>
      <c r="Q142" s="141" t="s">
        <v>29</v>
      </c>
      <c r="R142" s="142">
        <f t="shared" ref="R142:S147" ca="1" si="36">T142</f>
        <v>467217</v>
      </c>
      <c r="S142" s="142">
        <f t="shared" ca="1" si="36"/>
        <v>70549</v>
      </c>
      <c r="T142" s="142">
        <f ca="1">기술사</f>
        <v>467217</v>
      </c>
      <c r="U142" s="142">
        <f t="shared" ref="U142:U147" ca="1" si="37">ROUNDDOWN(P142*R142,0)</f>
        <v>70549</v>
      </c>
      <c r="V142" s="142"/>
      <c r="W142" s="142"/>
      <c r="X142" s="142"/>
      <c r="Y142" s="142"/>
      <c r="Z142" s="114"/>
    </row>
    <row r="143" spans="11:26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0.30299999999999999</v>
      </c>
      <c r="Q143" s="144" t="s">
        <v>29</v>
      </c>
      <c r="R143" s="118">
        <f t="shared" ca="1" si="36"/>
        <v>373353</v>
      </c>
      <c r="S143" s="118">
        <f t="shared" ca="1" si="36"/>
        <v>113125</v>
      </c>
      <c r="T143" s="118">
        <f ca="1">특급</f>
        <v>373353</v>
      </c>
      <c r="U143" s="118">
        <f t="shared" ca="1" si="37"/>
        <v>113125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0.60599999999999998</v>
      </c>
      <c r="Q144" s="144" t="s">
        <v>29</v>
      </c>
      <c r="R144" s="118">
        <f t="shared" ca="1" si="36"/>
        <v>310884</v>
      </c>
      <c r="S144" s="118">
        <f t="shared" ca="1" si="36"/>
        <v>188395</v>
      </c>
      <c r="T144" s="118">
        <f ca="1">고급</f>
        <v>310884</v>
      </c>
      <c r="U144" s="118">
        <f t="shared" ca="1" si="37"/>
        <v>188395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1.06</v>
      </c>
      <c r="Q145" s="144" t="s">
        <v>29</v>
      </c>
      <c r="R145" s="118">
        <f t="shared" ca="1" si="36"/>
        <v>295138</v>
      </c>
      <c r="S145" s="118">
        <f t="shared" ca="1" si="36"/>
        <v>312846</v>
      </c>
      <c r="T145" s="118">
        <f ca="1">중급</f>
        <v>295138</v>
      </c>
      <c r="U145" s="118">
        <f t="shared" ca="1" si="37"/>
        <v>312846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1.363</v>
      </c>
      <c r="Q146" s="144" t="s">
        <v>29</v>
      </c>
      <c r="R146" s="118">
        <f t="shared" ca="1" si="36"/>
        <v>235459</v>
      </c>
      <c r="S146" s="118">
        <f t="shared" ca="1" si="36"/>
        <v>320930</v>
      </c>
      <c r="T146" s="118">
        <f ca="1">초급</f>
        <v>235459</v>
      </c>
      <c r="U146" s="118">
        <f t="shared" ca="1" si="37"/>
        <v>320930</v>
      </c>
      <c r="V146" s="118"/>
      <c r="W146" s="118"/>
      <c r="X146" s="118"/>
      <c r="Y146" s="118"/>
      <c r="Z146" s="115"/>
    </row>
    <row r="147" spans="11:26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2.121</v>
      </c>
      <c r="Q147" s="322" t="s">
        <v>29</v>
      </c>
      <c r="R147" s="323">
        <f t="shared" ca="1" si="36"/>
        <v>250087</v>
      </c>
      <c r="S147" s="323">
        <f t="shared" ca="1" si="36"/>
        <v>530434</v>
      </c>
      <c r="T147" s="323">
        <f ca="1">보조원</f>
        <v>250087</v>
      </c>
      <c r="U147" s="323">
        <f t="shared" ca="1" si="37"/>
        <v>530434</v>
      </c>
      <c r="V147" s="323"/>
      <c r="W147" s="323"/>
      <c r="X147" s="323"/>
      <c r="Y147" s="323"/>
      <c r="Z147" s="324"/>
    </row>
    <row r="148" spans="11:26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1536279</v>
      </c>
      <c r="T148" s="71"/>
      <c r="U148" s="71">
        <f ca="1">SUBTOTAL(9,U142:U147)</f>
        <v>1536279</v>
      </c>
      <c r="V148" s="71"/>
      <c r="W148" s="71"/>
      <c r="X148" s="71"/>
      <c r="Y148" s="71"/>
      <c r="Z148" s="68"/>
    </row>
    <row r="149" spans="11:26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11 호표  3.5. 블록(장소)별 세부구조 설정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11</v>
      </c>
    </row>
    <row r="150" spans="11:26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0.75700000000000001</v>
      </c>
      <c r="Q150" s="141" t="s">
        <v>29</v>
      </c>
      <c r="R150" s="142">
        <f t="shared" ref="R150:S155" ca="1" si="38">T150</f>
        <v>467217</v>
      </c>
      <c r="S150" s="142">
        <f t="shared" ca="1" si="38"/>
        <v>353683</v>
      </c>
      <c r="T150" s="142">
        <f ca="1">기술사</f>
        <v>467217</v>
      </c>
      <c r="U150" s="142">
        <f t="shared" ref="U150:U155" ca="1" si="39">ROUNDDOWN(P150*R150,0)</f>
        <v>353683</v>
      </c>
      <c r="V150" s="142"/>
      <c r="W150" s="142"/>
      <c r="X150" s="142"/>
      <c r="Y150" s="142"/>
      <c r="Z150" s="114"/>
    </row>
    <row r="151" spans="11:26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1.06</v>
      </c>
      <c r="Q151" s="144" t="s">
        <v>29</v>
      </c>
      <c r="R151" s="118">
        <f t="shared" ca="1" si="38"/>
        <v>373353</v>
      </c>
      <c r="S151" s="118">
        <f t="shared" ca="1" si="38"/>
        <v>395754</v>
      </c>
      <c r="T151" s="118">
        <f ca="1">특급</f>
        <v>373353</v>
      </c>
      <c r="U151" s="118">
        <f t="shared" ca="1" si="39"/>
        <v>395754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2.121</v>
      </c>
      <c r="Q152" s="144" t="s">
        <v>29</v>
      </c>
      <c r="R152" s="118">
        <f t="shared" ca="1" si="38"/>
        <v>310884</v>
      </c>
      <c r="S152" s="118">
        <f t="shared" ca="1" si="38"/>
        <v>659384</v>
      </c>
      <c r="T152" s="118">
        <f ca="1">고급</f>
        <v>310884</v>
      </c>
      <c r="U152" s="118">
        <f t="shared" ca="1" si="39"/>
        <v>659384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3.6360000000000001</v>
      </c>
      <c r="Q153" s="144" t="s">
        <v>29</v>
      </c>
      <c r="R153" s="118">
        <f t="shared" ca="1" si="38"/>
        <v>295138</v>
      </c>
      <c r="S153" s="118">
        <f t="shared" ca="1" si="38"/>
        <v>1073121</v>
      </c>
      <c r="T153" s="118">
        <f ca="1">중급</f>
        <v>295138</v>
      </c>
      <c r="U153" s="118">
        <f t="shared" ca="1" si="39"/>
        <v>1073121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4.9989999999999997</v>
      </c>
      <c r="Q154" s="144" t="s">
        <v>29</v>
      </c>
      <c r="R154" s="118">
        <f t="shared" ca="1" si="38"/>
        <v>235459</v>
      </c>
      <c r="S154" s="118">
        <f t="shared" ca="1" si="38"/>
        <v>1177059</v>
      </c>
      <c r="T154" s="118">
        <f ca="1">초급</f>
        <v>235459</v>
      </c>
      <c r="U154" s="118">
        <f t="shared" ca="1" si="39"/>
        <v>1177059</v>
      </c>
      <c r="V154" s="118"/>
      <c r="W154" s="118"/>
      <c r="X154" s="118"/>
      <c r="Y154" s="118"/>
      <c r="Z154" s="115"/>
    </row>
    <row r="155" spans="11:26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7.2720000000000002</v>
      </c>
      <c r="Q155" s="322" t="s">
        <v>29</v>
      </c>
      <c r="R155" s="323">
        <f t="shared" ca="1" si="38"/>
        <v>250087</v>
      </c>
      <c r="S155" s="323">
        <f t="shared" ca="1" si="38"/>
        <v>1818632</v>
      </c>
      <c r="T155" s="323">
        <f ca="1">보조원</f>
        <v>250087</v>
      </c>
      <c r="U155" s="323">
        <f t="shared" ca="1" si="39"/>
        <v>1818632</v>
      </c>
      <c r="V155" s="323"/>
      <c r="W155" s="323"/>
      <c r="X155" s="323"/>
      <c r="Y155" s="323"/>
      <c r="Z155" s="324"/>
    </row>
    <row r="156" spans="11:26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5477633</v>
      </c>
      <c r="T156" s="71"/>
      <c r="U156" s="71">
        <f ca="1">SUBTOTAL(9,U150:U155)</f>
        <v>5477633</v>
      </c>
      <c r="V156" s="71"/>
      <c r="W156" s="71"/>
      <c r="X156" s="71"/>
      <c r="Y156" s="71"/>
      <c r="Z156" s="68"/>
    </row>
    <row r="157" spans="11:26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12 호표  4.1. 요소별 기본구상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12</v>
      </c>
    </row>
    <row r="158" spans="11:26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1.8180000000000001</v>
      </c>
      <c r="Q158" s="141" t="s">
        <v>29</v>
      </c>
      <c r="R158" s="142">
        <f t="shared" ref="R158:S163" ca="1" si="40">T158</f>
        <v>467217</v>
      </c>
      <c r="S158" s="142">
        <f t="shared" ca="1" si="40"/>
        <v>849400</v>
      </c>
      <c r="T158" s="142">
        <f ca="1">기술사</f>
        <v>467217</v>
      </c>
      <c r="U158" s="142">
        <f t="shared" ref="U158:U163" ca="1" si="41">ROUNDDOWN(P158*R158,0)</f>
        <v>849400</v>
      </c>
      <c r="V158" s="142"/>
      <c r="W158" s="142"/>
      <c r="X158" s="142"/>
      <c r="Y158" s="142"/>
      <c r="Z158" s="114"/>
    </row>
    <row r="159" spans="11:26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3.9390000000000001</v>
      </c>
      <c r="Q159" s="144" t="s">
        <v>29</v>
      </c>
      <c r="R159" s="118">
        <f t="shared" ca="1" si="40"/>
        <v>373353</v>
      </c>
      <c r="S159" s="118">
        <f t="shared" ca="1" si="40"/>
        <v>1470637</v>
      </c>
      <c r="T159" s="118">
        <f ca="1">특급</f>
        <v>373353</v>
      </c>
      <c r="U159" s="118">
        <f t="shared" ca="1" si="41"/>
        <v>1470637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9.6959999999999997</v>
      </c>
      <c r="Q160" s="144" t="s">
        <v>29</v>
      </c>
      <c r="R160" s="118">
        <f t="shared" ca="1" si="40"/>
        <v>310884</v>
      </c>
      <c r="S160" s="118">
        <f t="shared" ca="1" si="40"/>
        <v>3014331</v>
      </c>
      <c r="T160" s="118">
        <f ca="1">고급</f>
        <v>310884</v>
      </c>
      <c r="U160" s="118">
        <f t="shared" ca="1" si="41"/>
        <v>3014331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9.9990000000000006</v>
      </c>
      <c r="Q161" s="144" t="s">
        <v>29</v>
      </c>
      <c r="R161" s="118">
        <f t="shared" ca="1" si="40"/>
        <v>295138</v>
      </c>
      <c r="S161" s="118">
        <f t="shared" ca="1" si="40"/>
        <v>2951084</v>
      </c>
      <c r="T161" s="118">
        <f ca="1">중급</f>
        <v>295138</v>
      </c>
      <c r="U161" s="118">
        <f t="shared" ca="1" si="41"/>
        <v>2951084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11.058999999999999</v>
      </c>
      <c r="Q162" s="144" t="s">
        <v>29</v>
      </c>
      <c r="R162" s="118">
        <f t="shared" ca="1" si="40"/>
        <v>235459</v>
      </c>
      <c r="S162" s="118">
        <f t="shared" ca="1" si="40"/>
        <v>2603941</v>
      </c>
      <c r="T162" s="118">
        <f ca="1">초급</f>
        <v>235459</v>
      </c>
      <c r="U162" s="118">
        <f t="shared" ca="1" si="41"/>
        <v>2603941</v>
      </c>
      <c r="V162" s="118"/>
      <c r="W162" s="118"/>
      <c r="X162" s="118"/>
      <c r="Y162" s="118"/>
      <c r="Z162" s="115"/>
    </row>
    <row r="163" spans="11:26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11.968</v>
      </c>
      <c r="Q163" s="322" t="s">
        <v>29</v>
      </c>
      <c r="R163" s="323">
        <f t="shared" ca="1" si="40"/>
        <v>250087</v>
      </c>
      <c r="S163" s="323">
        <f t="shared" ca="1" si="40"/>
        <v>2993041</v>
      </c>
      <c r="T163" s="323">
        <f ca="1">보조원</f>
        <v>250087</v>
      </c>
      <c r="U163" s="323">
        <f t="shared" ca="1" si="41"/>
        <v>2993041</v>
      </c>
      <c r="V163" s="323"/>
      <c r="W163" s="323"/>
      <c r="X163" s="323"/>
      <c r="Y163" s="323"/>
      <c r="Z163" s="324"/>
    </row>
    <row r="164" spans="11:26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13882434</v>
      </c>
      <c r="T164" s="71"/>
      <c r="U164" s="71">
        <f ca="1">SUBTOTAL(9,U158:U163)</f>
        <v>13882434</v>
      </c>
      <c r="V164" s="71"/>
      <c r="W164" s="71"/>
      <c r="X164" s="71"/>
      <c r="Y164" s="71"/>
      <c r="Z164" s="68"/>
    </row>
    <row r="165" spans="11:26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13 호표  4.2. 요소별 계획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13</v>
      </c>
    </row>
    <row r="166" spans="11:26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4.5449999999999999</v>
      </c>
      <c r="Q166" s="141" t="s">
        <v>29</v>
      </c>
      <c r="R166" s="142">
        <f t="shared" ref="R166:S171" ca="1" si="42">T166</f>
        <v>467217</v>
      </c>
      <c r="S166" s="142">
        <f t="shared" ca="1" si="42"/>
        <v>2123501</v>
      </c>
      <c r="T166" s="142">
        <f ca="1">기술사</f>
        <v>467217</v>
      </c>
      <c r="U166" s="142">
        <f t="shared" ref="U166:U171" ca="1" si="43">ROUNDDOWN(P166*R166,0)</f>
        <v>2123501</v>
      </c>
      <c r="V166" s="142"/>
      <c r="W166" s="142"/>
      <c r="X166" s="142"/>
      <c r="Y166" s="142"/>
      <c r="Z166" s="114"/>
    </row>
    <row r="167" spans="11:26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7.5750000000000002</v>
      </c>
      <c r="Q167" s="144" t="s">
        <v>29</v>
      </c>
      <c r="R167" s="118">
        <f t="shared" ca="1" si="42"/>
        <v>373353</v>
      </c>
      <c r="S167" s="118">
        <f t="shared" ca="1" si="42"/>
        <v>2828148</v>
      </c>
      <c r="T167" s="118">
        <f ca="1">특급</f>
        <v>373353</v>
      </c>
      <c r="U167" s="118">
        <f t="shared" ca="1" si="43"/>
        <v>2828148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15.15</v>
      </c>
      <c r="Q168" s="144" t="s">
        <v>29</v>
      </c>
      <c r="R168" s="118">
        <f t="shared" ca="1" si="42"/>
        <v>310884</v>
      </c>
      <c r="S168" s="118">
        <f t="shared" ca="1" si="42"/>
        <v>4709892</v>
      </c>
      <c r="T168" s="118">
        <f ca="1">고급</f>
        <v>310884</v>
      </c>
      <c r="U168" s="118">
        <f t="shared" ca="1" si="43"/>
        <v>4709892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16.664999999999999</v>
      </c>
      <c r="Q169" s="144" t="s">
        <v>29</v>
      </c>
      <c r="R169" s="118">
        <f t="shared" ca="1" si="42"/>
        <v>295138</v>
      </c>
      <c r="S169" s="118">
        <f t="shared" ca="1" si="42"/>
        <v>4918474</v>
      </c>
      <c r="T169" s="118">
        <f ca="1">중급</f>
        <v>295138</v>
      </c>
      <c r="U169" s="118">
        <f t="shared" ca="1" si="43"/>
        <v>4918474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18.18</v>
      </c>
      <c r="Q170" s="144" t="s">
        <v>29</v>
      </c>
      <c r="R170" s="118">
        <f t="shared" ca="1" si="42"/>
        <v>235459</v>
      </c>
      <c r="S170" s="118">
        <f t="shared" ca="1" si="42"/>
        <v>4280644</v>
      </c>
      <c r="T170" s="118">
        <f ca="1">초급</f>
        <v>235459</v>
      </c>
      <c r="U170" s="118">
        <f t="shared" ca="1" si="43"/>
        <v>4280644</v>
      </c>
      <c r="V170" s="118"/>
      <c r="W170" s="118"/>
      <c r="X170" s="118"/>
      <c r="Y170" s="118"/>
      <c r="Z170" s="115"/>
    </row>
    <row r="171" spans="11:26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19.695</v>
      </c>
      <c r="Q171" s="322" t="s">
        <v>29</v>
      </c>
      <c r="R171" s="323">
        <f t="shared" ca="1" si="42"/>
        <v>250087</v>
      </c>
      <c r="S171" s="323">
        <f t="shared" ca="1" si="42"/>
        <v>4925463</v>
      </c>
      <c r="T171" s="323">
        <f ca="1">보조원</f>
        <v>250087</v>
      </c>
      <c r="U171" s="323">
        <f t="shared" ca="1" si="43"/>
        <v>4925463</v>
      </c>
      <c r="V171" s="323"/>
      <c r="W171" s="323"/>
      <c r="X171" s="323"/>
      <c r="Y171" s="323"/>
      <c r="Z171" s="324"/>
    </row>
    <row r="172" spans="11:26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23786122</v>
      </c>
      <c r="T172" s="71"/>
      <c r="U172" s="71">
        <f ca="1">SUBTOTAL(9,U166:U171)</f>
        <v>23786122</v>
      </c>
      <c r="V172" s="71"/>
      <c r="W172" s="71"/>
      <c r="X172" s="71"/>
      <c r="Y172" s="71"/>
      <c r="Z172" s="68"/>
    </row>
    <row r="173" spans="11:26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14 호표  4.3. 건축물 경관계획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14</v>
      </c>
    </row>
    <row r="174" spans="11:26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1.6659999999999999</v>
      </c>
      <c r="Q174" s="141" t="s">
        <v>29</v>
      </c>
      <c r="R174" s="142">
        <f t="shared" ref="R174:S179" ca="1" si="44">T174</f>
        <v>467217</v>
      </c>
      <c r="S174" s="142">
        <f t="shared" ca="1" si="44"/>
        <v>778383</v>
      </c>
      <c r="T174" s="142">
        <f ca="1">기술사</f>
        <v>467217</v>
      </c>
      <c r="U174" s="142">
        <f t="shared" ref="U174:U179" ca="1" si="45">ROUNDDOWN(P174*R174,0)</f>
        <v>778383</v>
      </c>
      <c r="V174" s="142"/>
      <c r="W174" s="142"/>
      <c r="X174" s="142"/>
      <c r="Y174" s="142"/>
      <c r="Z174" s="114"/>
    </row>
    <row r="175" spans="11:26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3.484</v>
      </c>
      <c r="Q175" s="144" t="s">
        <v>29</v>
      </c>
      <c r="R175" s="118">
        <f t="shared" ca="1" si="44"/>
        <v>373353</v>
      </c>
      <c r="S175" s="118">
        <f t="shared" ca="1" si="44"/>
        <v>1300761</v>
      </c>
      <c r="T175" s="118">
        <f ca="1">특급</f>
        <v>373353</v>
      </c>
      <c r="U175" s="118">
        <f t="shared" ca="1" si="45"/>
        <v>1300761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8.3320000000000007</v>
      </c>
      <c r="Q176" s="144" t="s">
        <v>29</v>
      </c>
      <c r="R176" s="118">
        <f t="shared" ca="1" si="44"/>
        <v>310884</v>
      </c>
      <c r="S176" s="118">
        <f t="shared" ca="1" si="44"/>
        <v>2590285</v>
      </c>
      <c r="T176" s="118">
        <f ca="1">고급</f>
        <v>310884</v>
      </c>
      <c r="U176" s="118">
        <f t="shared" ca="1" si="45"/>
        <v>2590285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8.6349999999999998</v>
      </c>
      <c r="Q177" s="144" t="s">
        <v>29</v>
      </c>
      <c r="R177" s="118">
        <f t="shared" ca="1" si="44"/>
        <v>295138</v>
      </c>
      <c r="S177" s="118">
        <f t="shared" ca="1" si="44"/>
        <v>2548516</v>
      </c>
      <c r="T177" s="118">
        <f ca="1">중급</f>
        <v>295138</v>
      </c>
      <c r="U177" s="118">
        <f t="shared" ca="1" si="45"/>
        <v>2548516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9.5440000000000005</v>
      </c>
      <c r="Q178" s="144" t="s">
        <v>29</v>
      </c>
      <c r="R178" s="118">
        <f t="shared" ca="1" si="44"/>
        <v>235459</v>
      </c>
      <c r="S178" s="118">
        <f t="shared" ca="1" si="44"/>
        <v>2247220</v>
      </c>
      <c r="T178" s="118">
        <f ca="1">초급</f>
        <v>235459</v>
      </c>
      <c r="U178" s="118">
        <f t="shared" ca="1" si="45"/>
        <v>2247220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10.452999999999999</v>
      </c>
      <c r="Q179" s="322" t="s">
        <v>29</v>
      </c>
      <c r="R179" s="323">
        <f t="shared" ca="1" si="44"/>
        <v>250087</v>
      </c>
      <c r="S179" s="323">
        <f t="shared" ca="1" si="44"/>
        <v>2614159</v>
      </c>
      <c r="T179" s="323">
        <f ca="1">보조원</f>
        <v>250087</v>
      </c>
      <c r="U179" s="323">
        <f t="shared" ca="1" si="45"/>
        <v>2614159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12079324</v>
      </c>
      <c r="T180" s="71"/>
      <c r="U180" s="71">
        <f ca="1">SUBTOTAL(9,U174:U179)</f>
        <v>12079324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15 호표  4.4. 가로경관계획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15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1.6659999999999999</v>
      </c>
      <c r="Q182" s="141" t="s">
        <v>29</v>
      </c>
      <c r="R182" s="142">
        <f t="shared" ref="R182:S187" ca="1" si="46">T182</f>
        <v>467217</v>
      </c>
      <c r="S182" s="142">
        <f t="shared" ca="1" si="46"/>
        <v>778383</v>
      </c>
      <c r="T182" s="142">
        <f ca="1">기술사</f>
        <v>467217</v>
      </c>
      <c r="U182" s="142">
        <f t="shared" ref="U182:U187" ca="1" si="47">ROUNDDOWN(P182*R182,0)</f>
        <v>778383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3.484</v>
      </c>
      <c r="Q183" s="144" t="s">
        <v>29</v>
      </c>
      <c r="R183" s="118">
        <f t="shared" ca="1" si="46"/>
        <v>373353</v>
      </c>
      <c r="S183" s="118">
        <f t="shared" ca="1" si="46"/>
        <v>1300761</v>
      </c>
      <c r="T183" s="118">
        <f ca="1">특급</f>
        <v>373353</v>
      </c>
      <c r="U183" s="118">
        <f t="shared" ca="1" si="47"/>
        <v>1300761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8.3320000000000007</v>
      </c>
      <c r="Q184" s="144" t="s">
        <v>29</v>
      </c>
      <c r="R184" s="118">
        <f t="shared" ca="1" si="46"/>
        <v>310884</v>
      </c>
      <c r="S184" s="118">
        <f t="shared" ca="1" si="46"/>
        <v>2590285</v>
      </c>
      <c r="T184" s="118">
        <f ca="1">고급</f>
        <v>310884</v>
      </c>
      <c r="U184" s="118">
        <f t="shared" ca="1" si="47"/>
        <v>2590285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8.6349999999999998</v>
      </c>
      <c r="Q185" s="144" t="s">
        <v>29</v>
      </c>
      <c r="R185" s="118">
        <f t="shared" ca="1" si="46"/>
        <v>295138</v>
      </c>
      <c r="S185" s="118">
        <f t="shared" ca="1" si="46"/>
        <v>2548516</v>
      </c>
      <c r="T185" s="118">
        <f ca="1">중급</f>
        <v>295138</v>
      </c>
      <c r="U185" s="118">
        <f t="shared" ca="1" si="47"/>
        <v>2548516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9.5440000000000005</v>
      </c>
      <c r="Q186" s="144" t="s">
        <v>29</v>
      </c>
      <c r="R186" s="118">
        <f t="shared" ca="1" si="46"/>
        <v>235459</v>
      </c>
      <c r="S186" s="118">
        <f t="shared" ca="1" si="46"/>
        <v>2247220</v>
      </c>
      <c r="T186" s="118">
        <f ca="1">초급</f>
        <v>235459</v>
      </c>
      <c r="U186" s="118">
        <f t="shared" ca="1" si="47"/>
        <v>2247220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10.452999999999999</v>
      </c>
      <c r="Q187" s="322" t="s">
        <v>29</v>
      </c>
      <c r="R187" s="323">
        <f t="shared" ca="1" si="46"/>
        <v>250087</v>
      </c>
      <c r="S187" s="323">
        <f t="shared" ca="1" si="46"/>
        <v>2614159</v>
      </c>
      <c r="T187" s="323">
        <f ca="1">보조원</f>
        <v>250087</v>
      </c>
      <c r="U187" s="323">
        <f t="shared" ca="1" si="47"/>
        <v>2614159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12079324</v>
      </c>
      <c r="T188" s="71"/>
      <c r="U188" s="71">
        <f ca="1">SUBTOTAL(9,U182:U187)</f>
        <v>12079324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16 호표  4.5. 공원 및 녹지 경관계획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16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1.6659999999999999</v>
      </c>
      <c r="Q190" s="141" t="s">
        <v>29</v>
      </c>
      <c r="R190" s="142">
        <f t="shared" ref="R190:S195" ca="1" si="48">T190</f>
        <v>467217</v>
      </c>
      <c r="S190" s="142">
        <f t="shared" ca="1" si="48"/>
        <v>778383</v>
      </c>
      <c r="T190" s="142">
        <f ca="1">기술사</f>
        <v>467217</v>
      </c>
      <c r="U190" s="142">
        <f t="shared" ref="U190:U195" ca="1" si="49">ROUNDDOWN(P190*R190,0)</f>
        <v>778383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3.484</v>
      </c>
      <c r="Q191" s="144" t="s">
        <v>29</v>
      </c>
      <c r="R191" s="118">
        <f t="shared" ca="1" si="48"/>
        <v>373353</v>
      </c>
      <c r="S191" s="118">
        <f t="shared" ca="1" si="48"/>
        <v>1300761</v>
      </c>
      <c r="T191" s="118">
        <f ca="1">특급</f>
        <v>373353</v>
      </c>
      <c r="U191" s="118">
        <f t="shared" ca="1" si="49"/>
        <v>1300761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8.3320000000000007</v>
      </c>
      <c r="Q192" s="144" t="s">
        <v>29</v>
      </c>
      <c r="R192" s="118">
        <f t="shared" ca="1" si="48"/>
        <v>310884</v>
      </c>
      <c r="S192" s="118">
        <f t="shared" ca="1" si="48"/>
        <v>2590285</v>
      </c>
      <c r="T192" s="118">
        <f ca="1">고급</f>
        <v>310884</v>
      </c>
      <c r="U192" s="118">
        <f t="shared" ca="1" si="49"/>
        <v>2590285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8.6349999999999998</v>
      </c>
      <c r="Q193" s="144" t="s">
        <v>29</v>
      </c>
      <c r="R193" s="118">
        <f t="shared" ca="1" si="48"/>
        <v>295138</v>
      </c>
      <c r="S193" s="118">
        <f t="shared" ca="1" si="48"/>
        <v>2548516</v>
      </c>
      <c r="T193" s="118">
        <f ca="1">중급</f>
        <v>295138</v>
      </c>
      <c r="U193" s="118">
        <f t="shared" ca="1" si="49"/>
        <v>2548516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9.5440000000000005</v>
      </c>
      <c r="Q194" s="144" t="s">
        <v>29</v>
      </c>
      <c r="R194" s="118">
        <f t="shared" ca="1" si="48"/>
        <v>235459</v>
      </c>
      <c r="S194" s="118">
        <f t="shared" ca="1" si="48"/>
        <v>2247220</v>
      </c>
      <c r="T194" s="118">
        <f ca="1">초급</f>
        <v>235459</v>
      </c>
      <c r="U194" s="118">
        <f t="shared" ca="1" si="49"/>
        <v>2247220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10.452999999999999</v>
      </c>
      <c r="Q195" s="322" t="s">
        <v>29</v>
      </c>
      <c r="R195" s="323">
        <f t="shared" ca="1" si="48"/>
        <v>250087</v>
      </c>
      <c r="S195" s="323">
        <f t="shared" ca="1" si="48"/>
        <v>2614159</v>
      </c>
      <c r="T195" s="323">
        <f ca="1">보조원</f>
        <v>250087</v>
      </c>
      <c r="U195" s="323">
        <f t="shared" ca="1" si="49"/>
        <v>2614159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12079324</v>
      </c>
      <c r="T196" s="71"/>
      <c r="U196" s="71">
        <f ca="1">SUBTOTAL(9,U190:U195)</f>
        <v>12079324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OFFSET($A$1,MATCH(Z197,$A:$A,0)-1,1)</f>
        <v>제 17 호표  4.6. 색채 등 경관계획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17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3.03</v>
      </c>
      <c r="Q198" s="141" t="s">
        <v>29</v>
      </c>
      <c r="R198" s="142">
        <f t="shared" ref="R198:S203" ca="1" si="50">T198</f>
        <v>467217</v>
      </c>
      <c r="S198" s="142">
        <f t="shared" ca="1" si="50"/>
        <v>1415667</v>
      </c>
      <c r="T198" s="142">
        <f ca="1">기술사</f>
        <v>467217</v>
      </c>
      <c r="U198" s="142">
        <f t="shared" ref="U198:U203" ca="1" si="51">ROUNDDOWN(P198*R198,0)</f>
        <v>1415667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6.3630000000000004</v>
      </c>
      <c r="Q199" s="144" t="s">
        <v>29</v>
      </c>
      <c r="R199" s="118">
        <f t="shared" ca="1" si="50"/>
        <v>373353</v>
      </c>
      <c r="S199" s="118">
        <f t="shared" ca="1" si="50"/>
        <v>2375645</v>
      </c>
      <c r="T199" s="118">
        <f ca="1">특급</f>
        <v>373353</v>
      </c>
      <c r="U199" s="118">
        <f t="shared" ca="1" si="51"/>
        <v>2375645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17.876999999999999</v>
      </c>
      <c r="Q200" s="144" t="s">
        <v>29</v>
      </c>
      <c r="R200" s="118">
        <f t="shared" ca="1" si="50"/>
        <v>310884</v>
      </c>
      <c r="S200" s="118">
        <f t="shared" ca="1" si="50"/>
        <v>5557673</v>
      </c>
      <c r="T200" s="118">
        <f ca="1">고급</f>
        <v>310884</v>
      </c>
      <c r="U200" s="118">
        <f t="shared" ca="1" si="51"/>
        <v>5557673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22.119</v>
      </c>
      <c r="Q201" s="144" t="s">
        <v>29</v>
      </c>
      <c r="R201" s="118">
        <f t="shared" ca="1" si="50"/>
        <v>295138</v>
      </c>
      <c r="S201" s="118">
        <f t="shared" ca="1" si="50"/>
        <v>6528157</v>
      </c>
      <c r="T201" s="118">
        <f ca="1">중급</f>
        <v>295138</v>
      </c>
      <c r="U201" s="118">
        <f t="shared" ca="1" si="51"/>
        <v>6528157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24.390999999999998</v>
      </c>
      <c r="Q202" s="144" t="s">
        <v>29</v>
      </c>
      <c r="R202" s="118">
        <f t="shared" ca="1" si="50"/>
        <v>235459</v>
      </c>
      <c r="S202" s="118">
        <f t="shared" ca="1" si="50"/>
        <v>5743080</v>
      </c>
      <c r="T202" s="118">
        <f ca="1">초급</f>
        <v>235459</v>
      </c>
      <c r="U202" s="118">
        <f t="shared" ca="1" si="51"/>
        <v>5743080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26.664000000000001</v>
      </c>
      <c r="Q203" s="322" t="s">
        <v>29</v>
      </c>
      <c r="R203" s="323">
        <f t="shared" ca="1" si="50"/>
        <v>250087</v>
      </c>
      <c r="S203" s="323">
        <f t="shared" ca="1" si="50"/>
        <v>6668319</v>
      </c>
      <c r="T203" s="323">
        <f ca="1">보조원</f>
        <v>250087</v>
      </c>
      <c r="U203" s="323">
        <f t="shared" ca="1" si="51"/>
        <v>6668319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28288541</v>
      </c>
      <c r="T204" s="71"/>
      <c r="U204" s="71">
        <f ca="1">SUBTOTAL(9,U198:U203)</f>
        <v>28288541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OFFSET($A$1,MATCH(Z205,$A:$A,0)-1,1)</f>
        <v>제 18 호표  4.7. 기타 계획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18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2.5750000000000002</v>
      </c>
      <c r="Q206" s="141" t="s">
        <v>29</v>
      </c>
      <c r="R206" s="142">
        <f t="shared" ref="R206:S211" ca="1" si="52">T206</f>
        <v>467217</v>
      </c>
      <c r="S206" s="142">
        <f t="shared" ca="1" si="52"/>
        <v>1203083</v>
      </c>
      <c r="T206" s="142">
        <f ca="1">기술사</f>
        <v>467217</v>
      </c>
      <c r="U206" s="142">
        <f t="shared" ref="U206:U211" ca="1" si="53">ROUNDDOWN(P206*R206,0)</f>
        <v>1203083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6.6660000000000004</v>
      </c>
      <c r="Q207" s="144" t="s">
        <v>29</v>
      </c>
      <c r="R207" s="118">
        <f t="shared" ca="1" si="52"/>
        <v>373353</v>
      </c>
      <c r="S207" s="118">
        <f t="shared" ca="1" si="52"/>
        <v>2488771</v>
      </c>
      <c r="T207" s="118">
        <f ca="1">특급</f>
        <v>373353</v>
      </c>
      <c r="U207" s="118">
        <f t="shared" ca="1" si="53"/>
        <v>2488771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16.664999999999999</v>
      </c>
      <c r="Q208" s="144" t="s">
        <v>29</v>
      </c>
      <c r="R208" s="118">
        <f t="shared" ca="1" si="52"/>
        <v>310884</v>
      </c>
      <c r="S208" s="118">
        <f t="shared" ca="1" si="52"/>
        <v>5180881</v>
      </c>
      <c r="T208" s="118">
        <f ca="1">고급</f>
        <v>310884</v>
      </c>
      <c r="U208" s="118">
        <f t="shared" ca="1" si="53"/>
        <v>5180881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18.18</v>
      </c>
      <c r="Q209" s="144" t="s">
        <v>29</v>
      </c>
      <c r="R209" s="118">
        <f t="shared" ca="1" si="52"/>
        <v>295138</v>
      </c>
      <c r="S209" s="118">
        <f t="shared" ca="1" si="52"/>
        <v>5365608</v>
      </c>
      <c r="T209" s="118">
        <f ca="1">중급</f>
        <v>295138</v>
      </c>
      <c r="U209" s="118">
        <f t="shared" ca="1" si="53"/>
        <v>5365608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19.695</v>
      </c>
      <c r="Q210" s="144" t="s">
        <v>29</v>
      </c>
      <c r="R210" s="118">
        <f t="shared" ca="1" si="52"/>
        <v>235459</v>
      </c>
      <c r="S210" s="118">
        <f t="shared" ca="1" si="52"/>
        <v>4637365</v>
      </c>
      <c r="T210" s="118">
        <f ca="1">초급</f>
        <v>235459</v>
      </c>
      <c r="U210" s="118">
        <f t="shared" ca="1" si="53"/>
        <v>4637365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19.695</v>
      </c>
      <c r="Q211" s="322" t="s">
        <v>29</v>
      </c>
      <c r="R211" s="323">
        <f t="shared" ca="1" si="52"/>
        <v>250087</v>
      </c>
      <c r="S211" s="323">
        <f t="shared" ca="1" si="52"/>
        <v>4925463</v>
      </c>
      <c r="T211" s="323">
        <f ca="1">보조원</f>
        <v>250087</v>
      </c>
      <c r="U211" s="323">
        <f t="shared" ca="1" si="53"/>
        <v>4925463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23801171</v>
      </c>
      <c r="T212" s="71"/>
      <c r="U212" s="71">
        <f ca="1">SUBTOTAL(9,U206:U211)</f>
        <v>23801171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318" t="str">
        <f ca="1">"제 " &amp; Z213 &amp; " 호표  "&amp; OFFSET($A$1,MATCH(Z213,$A:$A,0)-1,1)</f>
        <v>제 19 호표  5.1. 종합계획 및 통합지침도 작성</v>
      </c>
      <c r="O213" s="221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19</v>
      </c>
    </row>
    <row r="214" spans="11:26" ht="18" customHeight="1">
      <c r="K214" s="171" t="s">
        <v>14</v>
      </c>
      <c r="L214" s="171"/>
      <c r="M214" s="171"/>
      <c r="N214" s="140" t="s">
        <v>43</v>
      </c>
      <c r="O214" s="172">
        <v>3</v>
      </c>
      <c r="P214" s="219">
        <f ca="1">OFFSET($A$1,MATCH(Z213,$A:$A,0)-1,O214)</f>
        <v>0.45400000000000001</v>
      </c>
      <c r="Q214" s="141" t="s">
        <v>29</v>
      </c>
      <c r="R214" s="142">
        <f t="shared" ref="R214:S219" ca="1" si="54">T214</f>
        <v>467217</v>
      </c>
      <c r="S214" s="142">
        <f t="shared" ca="1" si="54"/>
        <v>212116</v>
      </c>
      <c r="T214" s="142">
        <f ca="1">기술사</f>
        <v>467217</v>
      </c>
      <c r="U214" s="142">
        <f t="shared" ref="U214:U219" ca="1" si="55">ROUNDDOWN(P214*R214,0)</f>
        <v>212116</v>
      </c>
      <c r="V214" s="142"/>
      <c r="W214" s="142"/>
      <c r="X214" s="142"/>
      <c r="Y214" s="142"/>
      <c r="Z214" s="114"/>
    </row>
    <row r="215" spans="11:26" ht="18" customHeight="1">
      <c r="K215" s="171" t="s">
        <v>14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0.60599999999999998</v>
      </c>
      <c r="Q215" s="144" t="s">
        <v>29</v>
      </c>
      <c r="R215" s="118">
        <f t="shared" ca="1" si="54"/>
        <v>373353</v>
      </c>
      <c r="S215" s="118">
        <f t="shared" ca="1" si="54"/>
        <v>226251</v>
      </c>
      <c r="T215" s="118">
        <f ca="1">특급</f>
        <v>373353</v>
      </c>
      <c r="U215" s="118">
        <f t="shared" ca="1" si="55"/>
        <v>226251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1.363</v>
      </c>
      <c r="Q216" s="144" t="s">
        <v>29</v>
      </c>
      <c r="R216" s="118">
        <f t="shared" ca="1" si="54"/>
        <v>310884</v>
      </c>
      <c r="S216" s="118">
        <f t="shared" ca="1" si="54"/>
        <v>423734</v>
      </c>
      <c r="T216" s="118">
        <f ca="1">고급</f>
        <v>310884</v>
      </c>
      <c r="U216" s="118">
        <f t="shared" ca="1" si="55"/>
        <v>423734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2.7269999999999999</v>
      </c>
      <c r="Q217" s="144" t="s">
        <v>29</v>
      </c>
      <c r="R217" s="118">
        <f t="shared" ca="1" si="54"/>
        <v>295138</v>
      </c>
      <c r="S217" s="118">
        <f t="shared" ca="1" si="54"/>
        <v>804841</v>
      </c>
      <c r="T217" s="118">
        <f ca="1">중급</f>
        <v>295138</v>
      </c>
      <c r="U217" s="118">
        <f t="shared" ca="1" si="55"/>
        <v>804841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3.03</v>
      </c>
      <c r="Q218" s="144" t="s">
        <v>29</v>
      </c>
      <c r="R218" s="118">
        <f t="shared" ca="1" si="54"/>
        <v>235459</v>
      </c>
      <c r="S218" s="118">
        <f t="shared" ca="1" si="54"/>
        <v>713440</v>
      </c>
      <c r="T218" s="118">
        <f ca="1">초급</f>
        <v>235459</v>
      </c>
      <c r="U218" s="118">
        <f t="shared" ca="1" si="55"/>
        <v>713440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3.181</v>
      </c>
      <c r="Q219" s="322" t="s">
        <v>29</v>
      </c>
      <c r="R219" s="323">
        <f t="shared" ca="1" si="54"/>
        <v>250087</v>
      </c>
      <c r="S219" s="323">
        <f t="shared" ca="1" si="54"/>
        <v>795526</v>
      </c>
      <c r="T219" s="323">
        <f ca="1">보조원</f>
        <v>250087</v>
      </c>
      <c r="U219" s="323">
        <f t="shared" ca="1" si="55"/>
        <v>795526</v>
      </c>
      <c r="V219" s="323"/>
      <c r="W219" s="323"/>
      <c r="X219" s="323"/>
      <c r="Y219" s="323"/>
      <c r="Z219" s="324"/>
    </row>
    <row r="220" spans="11:26" ht="18" customHeight="1">
      <c r="K220" s="171" t="s">
        <v>14</v>
      </c>
      <c r="L220" s="171"/>
      <c r="M220" s="171"/>
      <c r="N220" s="139" t="s">
        <v>17</v>
      </c>
      <c r="O220" s="68"/>
      <c r="P220" s="69"/>
      <c r="Q220" s="70"/>
      <c r="R220" s="71"/>
      <c r="S220" s="71">
        <f ca="1">SUBTOTAL(9,S214:S219)</f>
        <v>3175908</v>
      </c>
      <c r="T220" s="71"/>
      <c r="U220" s="71">
        <f ca="1">SUBTOTAL(9,U214:U219)</f>
        <v>3175908</v>
      </c>
      <c r="V220" s="71"/>
      <c r="W220" s="71"/>
      <c r="X220" s="71"/>
      <c r="Y220" s="71"/>
      <c r="Z220" s="68"/>
    </row>
    <row r="221" spans="11:26" ht="18" customHeight="1">
      <c r="K221" s="171" t="s">
        <v>14</v>
      </c>
      <c r="L221" s="171"/>
      <c r="M221" s="171"/>
      <c r="N221" s="318" t="str">
        <f ca="1">"제 " &amp; Z221 &amp; " 호표  "&amp; OFFSET($A$1,MATCH(Z221,$A:$A,0)-1,1)</f>
        <v>제 20 호표  5.2. 장소별 지침, 요소별 지침</v>
      </c>
      <c r="O221" s="221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20</v>
      </c>
    </row>
    <row r="222" spans="11:26" ht="18" customHeight="1">
      <c r="K222" s="171" t="s">
        <v>14</v>
      </c>
      <c r="L222" s="171"/>
      <c r="M222" s="171"/>
      <c r="N222" s="140" t="s">
        <v>43</v>
      </c>
      <c r="O222" s="172">
        <v>3</v>
      </c>
      <c r="P222" s="219">
        <f ca="1">OFFSET($A$1,MATCH(Z221,$A:$A,0)-1,O222)</f>
        <v>0.75700000000000001</v>
      </c>
      <c r="Q222" s="141" t="s">
        <v>29</v>
      </c>
      <c r="R222" s="142">
        <f t="shared" ref="R222:R227" ca="1" si="56">T222</f>
        <v>467217</v>
      </c>
      <c r="S222" s="142">
        <f t="shared" ref="S222:S227" ca="1" si="57">U222</f>
        <v>353683</v>
      </c>
      <c r="T222" s="142">
        <f ca="1">기술사</f>
        <v>467217</v>
      </c>
      <c r="U222" s="142">
        <f t="shared" ref="U222:U227" ca="1" si="58">ROUNDDOWN(P222*R222,0)</f>
        <v>353683</v>
      </c>
      <c r="V222" s="142"/>
      <c r="W222" s="142"/>
      <c r="X222" s="142"/>
      <c r="Y222" s="142"/>
      <c r="Z222" s="114"/>
    </row>
    <row r="223" spans="11:26" ht="18" customHeight="1">
      <c r="K223" s="171" t="s">
        <v>14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1.212</v>
      </c>
      <c r="Q223" s="144" t="s">
        <v>29</v>
      </c>
      <c r="R223" s="118">
        <f t="shared" ca="1" si="56"/>
        <v>373353</v>
      </c>
      <c r="S223" s="118">
        <f t="shared" ca="1" si="57"/>
        <v>452503</v>
      </c>
      <c r="T223" s="118">
        <f ca="1">특급</f>
        <v>373353</v>
      </c>
      <c r="U223" s="118">
        <f t="shared" ca="1" si="58"/>
        <v>452503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2.2719999999999998</v>
      </c>
      <c r="Q224" s="144" t="s">
        <v>29</v>
      </c>
      <c r="R224" s="118">
        <f t="shared" ca="1" si="56"/>
        <v>310884</v>
      </c>
      <c r="S224" s="118">
        <f t="shared" ca="1" si="57"/>
        <v>706328</v>
      </c>
      <c r="T224" s="118">
        <f ca="1">고급</f>
        <v>310884</v>
      </c>
      <c r="U224" s="118">
        <f t="shared" ca="1" si="58"/>
        <v>706328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3.7869999999999999</v>
      </c>
      <c r="Q225" s="144" t="s">
        <v>29</v>
      </c>
      <c r="R225" s="118">
        <f t="shared" ca="1" si="56"/>
        <v>295138</v>
      </c>
      <c r="S225" s="118">
        <f t="shared" ca="1" si="57"/>
        <v>1117687</v>
      </c>
      <c r="T225" s="118">
        <f ca="1">중급</f>
        <v>295138</v>
      </c>
      <c r="U225" s="118">
        <f t="shared" ca="1" si="58"/>
        <v>1117687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3.03</v>
      </c>
      <c r="Q226" s="144" t="s">
        <v>29</v>
      </c>
      <c r="R226" s="118">
        <f t="shared" ca="1" si="56"/>
        <v>235459</v>
      </c>
      <c r="S226" s="118">
        <f t="shared" ca="1" si="57"/>
        <v>713440</v>
      </c>
      <c r="T226" s="118">
        <f ca="1">초급</f>
        <v>235459</v>
      </c>
      <c r="U226" s="118">
        <f t="shared" ca="1" si="58"/>
        <v>713440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3.7869999999999999</v>
      </c>
      <c r="Q227" s="322" t="s">
        <v>29</v>
      </c>
      <c r="R227" s="323">
        <f t="shared" ca="1" si="56"/>
        <v>250087</v>
      </c>
      <c r="S227" s="323">
        <f t="shared" ca="1" si="57"/>
        <v>947079</v>
      </c>
      <c r="T227" s="323">
        <f ca="1">보조원</f>
        <v>250087</v>
      </c>
      <c r="U227" s="323">
        <f t="shared" ca="1" si="58"/>
        <v>947079</v>
      </c>
      <c r="V227" s="323"/>
      <c r="W227" s="323"/>
      <c r="X227" s="323"/>
      <c r="Y227" s="323"/>
      <c r="Z227" s="324"/>
    </row>
    <row r="228" spans="11:26" ht="18" customHeight="1">
      <c r="K228" s="171" t="s">
        <v>14</v>
      </c>
      <c r="L228" s="171"/>
      <c r="M228" s="171"/>
      <c r="N228" s="139" t="s">
        <v>17</v>
      </c>
      <c r="O228" s="68"/>
      <c r="P228" s="69"/>
      <c r="Q228" s="70"/>
      <c r="R228" s="71"/>
      <c r="S228" s="71">
        <f ca="1">SUBTOTAL(9,S222:S227)</f>
        <v>4290720</v>
      </c>
      <c r="T228" s="71"/>
      <c r="U228" s="71">
        <f ca="1">SUBTOTAL(9,U222:U227)</f>
        <v>4290720</v>
      </c>
      <c r="V228" s="71"/>
      <c r="W228" s="71"/>
      <c r="X228" s="71"/>
      <c r="Y228" s="71"/>
      <c r="Z228" s="68"/>
    </row>
    <row r="229" spans="11:26" ht="18" customHeight="1">
      <c r="K229" s="171" t="s">
        <v>14</v>
      </c>
      <c r="L229" s="171"/>
      <c r="M229" s="171"/>
      <c r="N229" s="318" t="str">
        <f ca="1">"제 " &amp; Z229 &amp; " 호표  "&amp; OFFSET($A$1,MATCH(Z229,$A:$A,0)-1,1)</f>
        <v>제 21 호표  6.1. 경관시뮬레이션</v>
      </c>
      <c r="O229" s="221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21</v>
      </c>
    </row>
    <row r="230" spans="11:26" ht="18" customHeight="1">
      <c r="K230" s="171" t="s">
        <v>14</v>
      </c>
      <c r="L230" s="171"/>
      <c r="M230" s="171"/>
      <c r="N230" s="140" t="s">
        <v>43</v>
      </c>
      <c r="O230" s="172">
        <v>3</v>
      </c>
      <c r="P230" s="219">
        <f ca="1">OFFSET($A$1,MATCH(Z229,$A:$A,0)-1,O230)</f>
        <v>0.45400000000000001</v>
      </c>
      <c r="Q230" s="141" t="s">
        <v>29</v>
      </c>
      <c r="R230" s="142">
        <f t="shared" ref="R230:R235" ca="1" si="59">T230</f>
        <v>467217</v>
      </c>
      <c r="S230" s="142">
        <f t="shared" ref="S230:S235" ca="1" si="60">U230</f>
        <v>212116</v>
      </c>
      <c r="T230" s="142">
        <f ca="1">기술사</f>
        <v>467217</v>
      </c>
      <c r="U230" s="142">
        <f t="shared" ref="U230:U235" ca="1" si="61">ROUNDDOWN(P230*R230,0)</f>
        <v>212116</v>
      </c>
      <c r="V230" s="142"/>
      <c r="W230" s="142"/>
      <c r="X230" s="142"/>
      <c r="Y230" s="142"/>
      <c r="Z230" s="114"/>
    </row>
    <row r="231" spans="11:26" ht="18" customHeight="1">
      <c r="K231" s="171" t="s">
        <v>14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0.75700000000000001</v>
      </c>
      <c r="Q231" s="144" t="s">
        <v>29</v>
      </c>
      <c r="R231" s="118">
        <f t="shared" ca="1" si="59"/>
        <v>373353</v>
      </c>
      <c r="S231" s="118">
        <f t="shared" ca="1" si="60"/>
        <v>282628</v>
      </c>
      <c r="T231" s="118">
        <f ca="1">특급</f>
        <v>373353</v>
      </c>
      <c r="U231" s="118">
        <f t="shared" ca="1" si="61"/>
        <v>282628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1.8180000000000001</v>
      </c>
      <c r="Q232" s="144" t="s">
        <v>29</v>
      </c>
      <c r="R232" s="118">
        <f t="shared" ca="1" si="59"/>
        <v>310884</v>
      </c>
      <c r="S232" s="118">
        <f t="shared" ca="1" si="60"/>
        <v>565187</v>
      </c>
      <c r="T232" s="118">
        <f ca="1">고급</f>
        <v>310884</v>
      </c>
      <c r="U232" s="118">
        <f t="shared" ca="1" si="61"/>
        <v>565187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2.7269999999999999</v>
      </c>
      <c r="Q233" s="144" t="s">
        <v>29</v>
      </c>
      <c r="R233" s="118">
        <f t="shared" ca="1" si="59"/>
        <v>295138</v>
      </c>
      <c r="S233" s="118">
        <f t="shared" ca="1" si="60"/>
        <v>804841</v>
      </c>
      <c r="T233" s="118">
        <f ca="1">중급</f>
        <v>295138</v>
      </c>
      <c r="U233" s="118">
        <f t="shared" ca="1" si="61"/>
        <v>804841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3.03</v>
      </c>
      <c r="Q234" s="144" t="s">
        <v>29</v>
      </c>
      <c r="R234" s="118">
        <f t="shared" ca="1" si="59"/>
        <v>235459</v>
      </c>
      <c r="S234" s="118">
        <f t="shared" ca="1" si="60"/>
        <v>713440</v>
      </c>
      <c r="T234" s="118">
        <f ca="1">초급</f>
        <v>235459</v>
      </c>
      <c r="U234" s="118">
        <f t="shared" ca="1" si="61"/>
        <v>713440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3.3330000000000002</v>
      </c>
      <c r="Q235" s="322" t="s">
        <v>29</v>
      </c>
      <c r="R235" s="323">
        <f t="shared" ca="1" si="59"/>
        <v>250087</v>
      </c>
      <c r="S235" s="323">
        <f t="shared" ca="1" si="60"/>
        <v>833539</v>
      </c>
      <c r="T235" s="323">
        <f ca="1">보조원</f>
        <v>250087</v>
      </c>
      <c r="U235" s="323">
        <f t="shared" ca="1" si="61"/>
        <v>833539</v>
      </c>
      <c r="V235" s="323"/>
      <c r="W235" s="323"/>
      <c r="X235" s="323"/>
      <c r="Y235" s="323"/>
      <c r="Z235" s="324"/>
    </row>
    <row r="236" spans="11:26" ht="18" customHeight="1">
      <c r="K236" s="171" t="s">
        <v>14</v>
      </c>
      <c r="L236" s="171"/>
      <c r="M236" s="171"/>
      <c r="N236" s="139" t="s">
        <v>17</v>
      </c>
      <c r="O236" s="68"/>
      <c r="P236" s="69"/>
      <c r="Q236" s="70"/>
      <c r="R236" s="71"/>
      <c r="S236" s="71">
        <f ca="1">SUBTOTAL(9,S230:S235)</f>
        <v>3411751</v>
      </c>
      <c r="T236" s="71"/>
      <c r="U236" s="71">
        <f ca="1">SUBTOTAL(9,U230:U235)</f>
        <v>3411751</v>
      </c>
      <c r="V236" s="71"/>
      <c r="W236" s="71"/>
      <c r="X236" s="71"/>
      <c r="Y236" s="71"/>
      <c r="Z236" s="68"/>
    </row>
    <row r="237" spans="11:26" ht="18" customHeight="1">
      <c r="K237" s="171" t="s">
        <v>14</v>
      </c>
      <c r="L237" s="171"/>
      <c r="M237" s="171"/>
      <c r="N237" s="318" t="str">
        <f ca="1">"제 " &amp; Z237 &amp; " 호표  "&amp; OFFSET($A$1,MATCH(Z237,$A:$A,0)-1,1)</f>
        <v>제 22 호표  7.1. 보고서작성 및 편집</v>
      </c>
      <c r="O237" s="221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22</v>
      </c>
    </row>
    <row r="238" spans="11:26" ht="18" customHeight="1">
      <c r="K238" s="171" t="s">
        <v>14</v>
      </c>
      <c r="L238" s="171"/>
      <c r="M238" s="171"/>
      <c r="N238" s="140" t="s">
        <v>43</v>
      </c>
      <c r="O238" s="172">
        <v>3</v>
      </c>
      <c r="P238" s="219">
        <f ca="1">OFFSET($A$1,MATCH(Z237,$A:$A,0)-1,O238)</f>
        <v>0.45400000000000001</v>
      </c>
      <c r="Q238" s="141" t="s">
        <v>29</v>
      </c>
      <c r="R238" s="142">
        <f t="shared" ref="R238:R243" ca="1" si="62">T238</f>
        <v>467217</v>
      </c>
      <c r="S238" s="142">
        <f t="shared" ref="S238:S243" ca="1" si="63">U238</f>
        <v>212116</v>
      </c>
      <c r="T238" s="142">
        <f ca="1">기술사</f>
        <v>467217</v>
      </c>
      <c r="U238" s="142">
        <f t="shared" ref="U238:U243" ca="1" si="64">ROUNDDOWN(P238*R238,0)</f>
        <v>212116</v>
      </c>
      <c r="V238" s="142"/>
      <c r="W238" s="142"/>
      <c r="X238" s="142"/>
      <c r="Y238" s="142"/>
      <c r="Z238" s="114"/>
    </row>
    <row r="239" spans="11:26" ht="18" customHeight="1">
      <c r="K239" s="171" t="s">
        <v>14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0.75700000000000001</v>
      </c>
      <c r="Q239" s="144" t="s">
        <v>29</v>
      </c>
      <c r="R239" s="118">
        <f t="shared" ca="1" si="62"/>
        <v>373353</v>
      </c>
      <c r="S239" s="118">
        <f t="shared" ca="1" si="63"/>
        <v>282628</v>
      </c>
      <c r="T239" s="118">
        <f ca="1">특급</f>
        <v>373353</v>
      </c>
      <c r="U239" s="118">
        <f t="shared" ca="1" si="64"/>
        <v>282628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1.8180000000000001</v>
      </c>
      <c r="Q240" s="144" t="s">
        <v>29</v>
      </c>
      <c r="R240" s="118">
        <f t="shared" ca="1" si="62"/>
        <v>310884</v>
      </c>
      <c r="S240" s="118">
        <f t="shared" ca="1" si="63"/>
        <v>565187</v>
      </c>
      <c r="T240" s="118">
        <f ca="1">고급</f>
        <v>310884</v>
      </c>
      <c r="U240" s="118">
        <f t="shared" ca="1" si="64"/>
        <v>565187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2.7269999999999999</v>
      </c>
      <c r="Q241" s="144" t="s">
        <v>29</v>
      </c>
      <c r="R241" s="118">
        <f t="shared" ca="1" si="62"/>
        <v>295138</v>
      </c>
      <c r="S241" s="118">
        <f t="shared" ca="1" si="63"/>
        <v>804841</v>
      </c>
      <c r="T241" s="118">
        <f ca="1">중급</f>
        <v>295138</v>
      </c>
      <c r="U241" s="118">
        <f t="shared" ca="1" si="64"/>
        <v>804841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3.03</v>
      </c>
      <c r="Q242" s="144" t="s">
        <v>29</v>
      </c>
      <c r="R242" s="118">
        <f t="shared" ca="1" si="62"/>
        <v>235459</v>
      </c>
      <c r="S242" s="118">
        <f t="shared" ca="1" si="63"/>
        <v>713440</v>
      </c>
      <c r="T242" s="118">
        <f ca="1">초급</f>
        <v>235459</v>
      </c>
      <c r="U242" s="118">
        <f t="shared" ca="1" si="64"/>
        <v>713440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3.3330000000000002</v>
      </c>
      <c r="Q243" s="322" t="s">
        <v>29</v>
      </c>
      <c r="R243" s="323">
        <f t="shared" ca="1" si="62"/>
        <v>250087</v>
      </c>
      <c r="S243" s="323">
        <f t="shared" ca="1" si="63"/>
        <v>833539</v>
      </c>
      <c r="T243" s="323">
        <f ca="1">보조원</f>
        <v>250087</v>
      </c>
      <c r="U243" s="323">
        <f t="shared" ca="1" si="64"/>
        <v>833539</v>
      </c>
      <c r="V243" s="323"/>
      <c r="W243" s="323"/>
      <c r="X243" s="323"/>
      <c r="Y243" s="323"/>
      <c r="Z243" s="324"/>
    </row>
    <row r="244" spans="11:26" ht="18" customHeight="1">
      <c r="K244" s="171" t="s">
        <v>14</v>
      </c>
      <c r="L244" s="171"/>
      <c r="M244" s="171"/>
      <c r="N244" s="139" t="s">
        <v>17</v>
      </c>
      <c r="O244" s="68"/>
      <c r="P244" s="69"/>
      <c r="Q244" s="70"/>
      <c r="R244" s="71"/>
      <c r="S244" s="71">
        <f ca="1">SUBTOTAL(9,S238:S243)</f>
        <v>3411751</v>
      </c>
      <c r="T244" s="71"/>
      <c r="U244" s="71">
        <f ca="1">SUBTOTAL(9,U238:U243)</f>
        <v>3411751</v>
      </c>
      <c r="V244" s="71"/>
      <c r="W244" s="71"/>
      <c r="X244" s="71"/>
      <c r="Y244" s="71"/>
      <c r="Z244" s="68"/>
    </row>
    <row r="245" spans="11:26" ht="18" customHeight="1">
      <c r="K245" s="171" t="s">
        <v>14</v>
      </c>
      <c r="L245" s="171"/>
      <c r="M245" s="171"/>
      <c r="N245" s="318" t="str">
        <f ca="1">"제 " &amp; Z245 &amp; " 호표  "&amp; OFFSET($A$1,MATCH(Z245,$A:$A,0)-1,1)</f>
        <v>제 23 호표  7.2. 관련도서작성</v>
      </c>
      <c r="O245" s="221"/>
      <c r="P245" s="148"/>
      <c r="Q245" s="148"/>
      <c r="R245" s="149"/>
      <c r="S245" s="149"/>
      <c r="T245" s="149"/>
      <c r="U245" s="149"/>
      <c r="V245" s="149"/>
      <c r="W245" s="149"/>
      <c r="X245" s="149"/>
      <c r="Y245" s="149"/>
      <c r="Z245" s="325">
        <f>Z237+1</f>
        <v>23</v>
      </c>
    </row>
    <row r="246" spans="11:26" ht="18" customHeight="1">
      <c r="K246" s="171" t="s">
        <v>14</v>
      </c>
      <c r="L246" s="171"/>
      <c r="M246" s="171"/>
      <c r="N246" s="140" t="s">
        <v>43</v>
      </c>
      <c r="O246" s="172">
        <v>3</v>
      </c>
      <c r="P246" s="219">
        <f ca="1">OFFSET($A$1,MATCH(Z245,$A:$A,0)-1,O246)</f>
        <v>0.30299999999999999</v>
      </c>
      <c r="Q246" s="141" t="s">
        <v>29</v>
      </c>
      <c r="R246" s="142">
        <f t="shared" ref="R246:R251" ca="1" si="65">T246</f>
        <v>467217</v>
      </c>
      <c r="S246" s="142">
        <f t="shared" ref="S246:S251" ca="1" si="66">U246</f>
        <v>141566</v>
      </c>
      <c r="T246" s="142">
        <f ca="1">기술사</f>
        <v>467217</v>
      </c>
      <c r="U246" s="142">
        <f t="shared" ref="U246:U251" ca="1" si="67">ROUNDDOWN(P246*R246,0)</f>
        <v>141566</v>
      </c>
      <c r="V246" s="142"/>
      <c r="W246" s="142"/>
      <c r="X246" s="142"/>
      <c r="Y246" s="142"/>
      <c r="Z246" s="114"/>
    </row>
    <row r="247" spans="11:26" ht="18" customHeight="1">
      <c r="K247" s="171" t="s">
        <v>14</v>
      </c>
      <c r="L247" s="171"/>
      <c r="M247" s="171"/>
      <c r="N247" s="143" t="s">
        <v>32</v>
      </c>
      <c r="O247" s="173">
        <v>4</v>
      </c>
      <c r="P247" s="234">
        <f ca="1">OFFSET($A$1,MATCH(Z245,$A:$A,0)-1,O247)</f>
        <v>0.45400000000000001</v>
      </c>
      <c r="Q247" s="144" t="s">
        <v>29</v>
      </c>
      <c r="R247" s="118">
        <f t="shared" ca="1" si="65"/>
        <v>373353</v>
      </c>
      <c r="S247" s="118">
        <f t="shared" ca="1" si="66"/>
        <v>169502</v>
      </c>
      <c r="T247" s="118">
        <f ca="1">특급</f>
        <v>373353</v>
      </c>
      <c r="U247" s="118">
        <f t="shared" ca="1" si="67"/>
        <v>169502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39</v>
      </c>
      <c r="O248" s="173">
        <v>5</v>
      </c>
      <c r="P248" s="234">
        <f ca="1">OFFSET($A$1,MATCH(Z245,$A:$A,0)-1,O248)</f>
        <v>0.90900000000000003</v>
      </c>
      <c r="Q248" s="144" t="s">
        <v>29</v>
      </c>
      <c r="R248" s="118">
        <f t="shared" ca="1" si="65"/>
        <v>310884</v>
      </c>
      <c r="S248" s="118">
        <f t="shared" ca="1" si="66"/>
        <v>282593</v>
      </c>
      <c r="T248" s="118">
        <f ca="1">고급</f>
        <v>310884</v>
      </c>
      <c r="U248" s="118">
        <f t="shared" ca="1" si="67"/>
        <v>282593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145" t="s">
        <v>40</v>
      </c>
      <c r="O249" s="173">
        <v>6</v>
      </c>
      <c r="P249" s="234">
        <f ca="1">OFFSET($A$1,MATCH(Z245,$A:$A,0)-1,O249)</f>
        <v>2.121</v>
      </c>
      <c r="Q249" s="144" t="s">
        <v>29</v>
      </c>
      <c r="R249" s="118">
        <f t="shared" ca="1" si="65"/>
        <v>295138</v>
      </c>
      <c r="S249" s="118">
        <f t="shared" ca="1" si="66"/>
        <v>625987</v>
      </c>
      <c r="T249" s="118">
        <f ca="1">중급</f>
        <v>295138</v>
      </c>
      <c r="U249" s="118">
        <f t="shared" ca="1" si="67"/>
        <v>625987</v>
      </c>
      <c r="V249" s="118"/>
      <c r="W249" s="118"/>
      <c r="X249" s="118"/>
      <c r="Y249" s="118"/>
      <c r="Z249" s="115"/>
    </row>
    <row r="250" spans="11:26" ht="18" customHeight="1">
      <c r="K250" s="171" t="s">
        <v>14</v>
      </c>
      <c r="L250" s="171"/>
      <c r="M250" s="171"/>
      <c r="N250" s="145" t="s">
        <v>41</v>
      </c>
      <c r="O250" s="173">
        <v>7</v>
      </c>
      <c r="P250" s="234">
        <f ca="1">OFFSET($A$1,MATCH(Z245,$A:$A,0)-1,O250)</f>
        <v>2.2719999999999998</v>
      </c>
      <c r="Q250" s="144" t="s">
        <v>29</v>
      </c>
      <c r="R250" s="118">
        <f t="shared" ca="1" si="65"/>
        <v>235459</v>
      </c>
      <c r="S250" s="118">
        <f t="shared" ca="1" si="66"/>
        <v>534962</v>
      </c>
      <c r="T250" s="118">
        <f ca="1">초급</f>
        <v>235459</v>
      </c>
      <c r="U250" s="118">
        <f t="shared" ca="1" si="67"/>
        <v>534962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319" t="s">
        <v>42</v>
      </c>
      <c r="O251" s="174">
        <v>8</v>
      </c>
      <c r="P251" s="235">
        <f ca="1">OFFSET($A$1,MATCH(Z245,$A:$A,0)-1,O251)</f>
        <v>2.8780000000000001</v>
      </c>
      <c r="Q251" s="322" t="s">
        <v>29</v>
      </c>
      <c r="R251" s="323">
        <f t="shared" ca="1" si="65"/>
        <v>250087</v>
      </c>
      <c r="S251" s="323">
        <f t="shared" ca="1" si="66"/>
        <v>719750</v>
      </c>
      <c r="T251" s="323">
        <f ca="1">보조원</f>
        <v>250087</v>
      </c>
      <c r="U251" s="323">
        <f t="shared" ca="1" si="67"/>
        <v>719750</v>
      </c>
      <c r="V251" s="323"/>
      <c r="W251" s="323"/>
      <c r="X251" s="323"/>
      <c r="Y251" s="323"/>
      <c r="Z251" s="324"/>
    </row>
    <row r="252" spans="11:26" ht="18" customHeight="1">
      <c r="K252" s="171" t="s">
        <v>14</v>
      </c>
      <c r="L252" s="171"/>
      <c r="M252" s="171"/>
      <c r="N252" s="139" t="s">
        <v>17</v>
      </c>
      <c r="O252" s="68"/>
      <c r="P252" s="69"/>
      <c r="Q252" s="70"/>
      <c r="R252" s="71"/>
      <c r="S252" s="71">
        <f ca="1">SUBTOTAL(9,S246:S251)</f>
        <v>2474360</v>
      </c>
      <c r="T252" s="71"/>
      <c r="U252" s="71">
        <f ca="1">SUBTOTAL(9,U246:U251)</f>
        <v>2474360</v>
      </c>
      <c r="V252" s="71"/>
      <c r="W252" s="71"/>
      <c r="X252" s="71"/>
      <c r="Y252" s="71"/>
      <c r="Z252" s="68"/>
    </row>
    <row r="253" spans="11:26" ht="18" customHeight="1">
      <c r="K253" s="171" t="s">
        <v>14</v>
      </c>
      <c r="L253" s="171"/>
      <c r="M253" s="171"/>
      <c r="N253" s="318" t="str">
        <f ca="1">"제 " &amp; Z253 &amp; " 호표  "&amp; OFFSET($A$1,MATCH(Z253,$A:$A,0)-1,1)</f>
        <v>제 24 호표  8.1. 공청회/주민설명회</v>
      </c>
      <c r="O253" s="221"/>
      <c r="P253" s="148"/>
      <c r="Q253" s="148"/>
      <c r="R253" s="149"/>
      <c r="S253" s="149"/>
      <c r="T253" s="149"/>
      <c r="U253" s="149"/>
      <c r="V253" s="149"/>
      <c r="W253" s="149"/>
      <c r="X253" s="149"/>
      <c r="Y253" s="149"/>
      <c r="Z253" s="325">
        <f>Z245+1</f>
        <v>24</v>
      </c>
    </row>
    <row r="254" spans="11:26" ht="18" customHeight="1">
      <c r="K254" s="171" t="s">
        <v>14</v>
      </c>
      <c r="L254" s="171"/>
      <c r="M254" s="171"/>
      <c r="N254" s="140" t="s">
        <v>43</v>
      </c>
      <c r="O254" s="172">
        <v>3</v>
      </c>
      <c r="P254" s="219">
        <f ca="1">OFFSET($A$1,MATCH(Z253,$A:$A,0)-1,O254)</f>
        <v>2</v>
      </c>
      <c r="Q254" s="141" t="s">
        <v>29</v>
      </c>
      <c r="R254" s="142">
        <f t="shared" ref="R254:R259" ca="1" si="68">T254</f>
        <v>467217</v>
      </c>
      <c r="S254" s="142">
        <f t="shared" ref="S254:S259" ca="1" si="69">U254</f>
        <v>934434</v>
      </c>
      <c r="T254" s="142">
        <f ca="1">기술사</f>
        <v>467217</v>
      </c>
      <c r="U254" s="142">
        <f t="shared" ref="U254:U259" ca="1" si="70">ROUNDDOWN(P254*R254,0)</f>
        <v>934434</v>
      </c>
      <c r="V254" s="142"/>
      <c r="W254" s="142"/>
      <c r="X254" s="142"/>
      <c r="Y254" s="142"/>
      <c r="Z254" s="114"/>
    </row>
    <row r="255" spans="11:26" ht="18" customHeight="1">
      <c r="K255" s="171" t="s">
        <v>14</v>
      </c>
      <c r="L255" s="171"/>
      <c r="M255" s="171"/>
      <c r="N255" s="143" t="s">
        <v>32</v>
      </c>
      <c r="O255" s="173">
        <v>4</v>
      </c>
      <c r="P255" s="234">
        <f ca="1">OFFSET($A$1,MATCH(Z253,$A:$A,0)-1,O255)</f>
        <v>2</v>
      </c>
      <c r="Q255" s="144" t="s">
        <v>29</v>
      </c>
      <c r="R255" s="118">
        <f t="shared" ca="1" si="68"/>
        <v>373353</v>
      </c>
      <c r="S255" s="118">
        <f t="shared" ca="1" si="69"/>
        <v>746706</v>
      </c>
      <c r="T255" s="118">
        <f ca="1">특급</f>
        <v>373353</v>
      </c>
      <c r="U255" s="118">
        <f t="shared" ca="1" si="70"/>
        <v>746706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39</v>
      </c>
      <c r="O256" s="173">
        <v>5</v>
      </c>
      <c r="P256" s="234">
        <f ca="1">OFFSET($A$1,MATCH(Z253,$A:$A,0)-1,O256)</f>
        <v>2</v>
      </c>
      <c r="Q256" s="144" t="s">
        <v>29</v>
      </c>
      <c r="R256" s="118">
        <f t="shared" ca="1" si="68"/>
        <v>310884</v>
      </c>
      <c r="S256" s="118">
        <f t="shared" ca="1" si="69"/>
        <v>621768</v>
      </c>
      <c r="T256" s="118">
        <f ca="1">고급</f>
        <v>310884</v>
      </c>
      <c r="U256" s="118">
        <f t="shared" ca="1" si="70"/>
        <v>621768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145" t="s">
        <v>40</v>
      </c>
      <c r="O257" s="173">
        <v>6</v>
      </c>
      <c r="P257" s="234">
        <f ca="1">OFFSET($A$1,MATCH(Z253,$A:$A,0)-1,O257)</f>
        <v>4</v>
      </c>
      <c r="Q257" s="144" t="s">
        <v>29</v>
      </c>
      <c r="R257" s="118">
        <f t="shared" ca="1" si="68"/>
        <v>295138</v>
      </c>
      <c r="S257" s="118">
        <f t="shared" ca="1" si="69"/>
        <v>1180552</v>
      </c>
      <c r="T257" s="118">
        <f ca="1">중급</f>
        <v>295138</v>
      </c>
      <c r="U257" s="118">
        <f t="shared" ca="1" si="70"/>
        <v>1180552</v>
      </c>
      <c r="V257" s="118"/>
      <c r="W257" s="118"/>
      <c r="X257" s="118"/>
      <c r="Y257" s="118"/>
      <c r="Z257" s="115"/>
    </row>
    <row r="258" spans="11:26" ht="18" customHeight="1">
      <c r="K258" s="171" t="s">
        <v>14</v>
      </c>
      <c r="L258" s="171"/>
      <c r="M258" s="171"/>
      <c r="N258" s="145" t="s">
        <v>41</v>
      </c>
      <c r="O258" s="173">
        <v>7</v>
      </c>
      <c r="P258" s="234">
        <f ca="1">OFFSET($A$1,MATCH(Z253,$A:$A,0)-1,O258)</f>
        <v>4</v>
      </c>
      <c r="Q258" s="144" t="s">
        <v>29</v>
      </c>
      <c r="R258" s="118">
        <f t="shared" ca="1" si="68"/>
        <v>235459</v>
      </c>
      <c r="S258" s="118">
        <f t="shared" ca="1" si="69"/>
        <v>941836</v>
      </c>
      <c r="T258" s="118">
        <f ca="1">초급</f>
        <v>235459</v>
      </c>
      <c r="U258" s="118">
        <f t="shared" ca="1" si="70"/>
        <v>941836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319" t="s">
        <v>42</v>
      </c>
      <c r="O259" s="174">
        <v>8</v>
      </c>
      <c r="P259" s="235">
        <f ca="1">OFFSET($A$1,MATCH(Z253,$A:$A,0)-1,O259)</f>
        <v>4</v>
      </c>
      <c r="Q259" s="322" t="s">
        <v>29</v>
      </c>
      <c r="R259" s="323">
        <f t="shared" ca="1" si="68"/>
        <v>250087</v>
      </c>
      <c r="S259" s="323">
        <f t="shared" ca="1" si="69"/>
        <v>1000348</v>
      </c>
      <c r="T259" s="323">
        <f ca="1">보조원</f>
        <v>250087</v>
      </c>
      <c r="U259" s="323">
        <f t="shared" ca="1" si="70"/>
        <v>1000348</v>
      </c>
      <c r="V259" s="323"/>
      <c r="W259" s="323"/>
      <c r="X259" s="323"/>
      <c r="Y259" s="323"/>
      <c r="Z259" s="324"/>
    </row>
    <row r="260" spans="11:26" ht="18" customHeight="1">
      <c r="K260" s="171" t="s">
        <v>14</v>
      </c>
      <c r="L260" s="171"/>
      <c r="M260" s="171"/>
      <c r="N260" s="139" t="s">
        <v>17</v>
      </c>
      <c r="O260" s="68"/>
      <c r="P260" s="69"/>
      <c r="Q260" s="70"/>
      <c r="R260" s="71"/>
      <c r="S260" s="71">
        <f ca="1">SUBTOTAL(9,S254:S259)</f>
        <v>5425644</v>
      </c>
      <c r="T260" s="71"/>
      <c r="U260" s="71">
        <f ca="1">SUBTOTAL(9,U254:U259)</f>
        <v>5425644</v>
      </c>
      <c r="V260" s="71"/>
      <c r="W260" s="71"/>
      <c r="X260" s="71"/>
      <c r="Y260" s="71"/>
      <c r="Z260" s="68"/>
    </row>
    <row r="261" spans="11:26" ht="18" customHeight="1">
      <c r="K261" s="171" t="s">
        <v>14</v>
      </c>
      <c r="L261" s="171"/>
      <c r="M261" s="171"/>
      <c r="N261" s="318" t="str">
        <f ca="1">"제 " &amp; Z261 &amp; " 호표  "&amp; OFFSET($A$1,MATCH(Z261,$A:$A,0)-1,1)</f>
        <v>제 25 호표  8.2. 주민간담회/시민계획단</v>
      </c>
      <c r="O261" s="221"/>
      <c r="P261" s="148"/>
      <c r="Q261" s="148"/>
      <c r="R261" s="149"/>
      <c r="S261" s="149"/>
      <c r="T261" s="149"/>
      <c r="U261" s="149"/>
      <c r="V261" s="149"/>
      <c r="W261" s="149"/>
      <c r="X261" s="149"/>
      <c r="Y261" s="149"/>
      <c r="Z261" s="325">
        <f>Z253+1</f>
        <v>25</v>
      </c>
    </row>
    <row r="262" spans="11:26" ht="18" customHeight="1">
      <c r="K262" s="171" t="s">
        <v>14</v>
      </c>
      <c r="L262" s="171"/>
      <c r="M262" s="171"/>
      <c r="N262" s="140" t="s">
        <v>43</v>
      </c>
      <c r="O262" s="172">
        <v>3</v>
      </c>
      <c r="P262" s="219">
        <f ca="1">OFFSET($A$1,MATCH(Z261,$A:$A,0)-1,O262)</f>
        <v>2</v>
      </c>
      <c r="Q262" s="141" t="s">
        <v>29</v>
      </c>
      <c r="R262" s="142">
        <f t="shared" ref="R262:R267" ca="1" si="71">T262</f>
        <v>467217</v>
      </c>
      <c r="S262" s="142">
        <f t="shared" ref="S262:S267" ca="1" si="72">U262</f>
        <v>934434</v>
      </c>
      <c r="T262" s="142">
        <f ca="1">기술사</f>
        <v>467217</v>
      </c>
      <c r="U262" s="142">
        <f t="shared" ref="U262:U267" ca="1" si="73">ROUNDDOWN(P262*R262,0)</f>
        <v>934434</v>
      </c>
      <c r="V262" s="142"/>
      <c r="W262" s="142"/>
      <c r="X262" s="142"/>
      <c r="Y262" s="142"/>
      <c r="Z262" s="114"/>
    </row>
    <row r="263" spans="11:26" ht="18" customHeight="1">
      <c r="K263" s="171" t="s">
        <v>14</v>
      </c>
      <c r="L263" s="171"/>
      <c r="M263" s="171"/>
      <c r="N263" s="143" t="s">
        <v>32</v>
      </c>
      <c r="O263" s="173">
        <v>4</v>
      </c>
      <c r="P263" s="234">
        <f ca="1">OFFSET($A$1,MATCH(Z261,$A:$A,0)-1,O263)</f>
        <v>2</v>
      </c>
      <c r="Q263" s="144" t="s">
        <v>29</v>
      </c>
      <c r="R263" s="118">
        <f t="shared" ca="1" si="71"/>
        <v>373353</v>
      </c>
      <c r="S263" s="118">
        <f t="shared" ca="1" si="72"/>
        <v>746706</v>
      </c>
      <c r="T263" s="118">
        <f ca="1">특급</f>
        <v>373353</v>
      </c>
      <c r="U263" s="118">
        <f t="shared" ca="1" si="73"/>
        <v>746706</v>
      </c>
      <c r="V263" s="118"/>
      <c r="W263" s="118"/>
      <c r="X263" s="118"/>
      <c r="Y263" s="118"/>
      <c r="Z263" s="115"/>
    </row>
    <row r="264" spans="11:26" ht="18" customHeight="1">
      <c r="K264" s="171" t="s">
        <v>14</v>
      </c>
      <c r="L264" s="171"/>
      <c r="M264" s="171"/>
      <c r="N264" s="145" t="s">
        <v>39</v>
      </c>
      <c r="O264" s="173">
        <v>5</v>
      </c>
      <c r="P264" s="234">
        <f ca="1">OFFSET($A$1,MATCH(Z261,$A:$A,0)-1,O264)</f>
        <v>2</v>
      </c>
      <c r="Q264" s="144" t="s">
        <v>29</v>
      </c>
      <c r="R264" s="118">
        <f t="shared" ca="1" si="71"/>
        <v>310884</v>
      </c>
      <c r="S264" s="118">
        <f t="shared" ca="1" si="72"/>
        <v>621768</v>
      </c>
      <c r="T264" s="118">
        <f ca="1">고급</f>
        <v>310884</v>
      </c>
      <c r="U264" s="118">
        <f t="shared" ca="1" si="73"/>
        <v>621768</v>
      </c>
      <c r="V264" s="118"/>
      <c r="W264" s="118"/>
      <c r="X264" s="118"/>
      <c r="Y264" s="118"/>
      <c r="Z264" s="115"/>
    </row>
    <row r="265" spans="11:26" ht="18" customHeight="1">
      <c r="K265" s="171" t="s">
        <v>14</v>
      </c>
      <c r="L265" s="171"/>
      <c r="M265" s="171"/>
      <c r="N265" s="145" t="s">
        <v>40</v>
      </c>
      <c r="O265" s="173">
        <v>6</v>
      </c>
      <c r="P265" s="234">
        <f ca="1">OFFSET($A$1,MATCH(Z261,$A:$A,0)-1,O265)</f>
        <v>4</v>
      </c>
      <c r="Q265" s="144" t="s">
        <v>29</v>
      </c>
      <c r="R265" s="118">
        <f t="shared" ca="1" si="71"/>
        <v>295138</v>
      </c>
      <c r="S265" s="118">
        <f t="shared" ca="1" si="72"/>
        <v>1180552</v>
      </c>
      <c r="T265" s="118">
        <f ca="1">중급</f>
        <v>295138</v>
      </c>
      <c r="U265" s="118">
        <f t="shared" ca="1" si="73"/>
        <v>1180552</v>
      </c>
      <c r="V265" s="118"/>
      <c r="W265" s="118"/>
      <c r="X265" s="118"/>
      <c r="Y265" s="118"/>
      <c r="Z265" s="115"/>
    </row>
    <row r="266" spans="11:26" ht="18" customHeight="1">
      <c r="K266" s="171" t="s">
        <v>14</v>
      </c>
      <c r="L266" s="171"/>
      <c r="M266" s="171"/>
      <c r="N266" s="145" t="s">
        <v>41</v>
      </c>
      <c r="O266" s="173">
        <v>7</v>
      </c>
      <c r="P266" s="234">
        <f ca="1">OFFSET($A$1,MATCH(Z261,$A:$A,0)-1,O266)</f>
        <v>4</v>
      </c>
      <c r="Q266" s="144" t="s">
        <v>29</v>
      </c>
      <c r="R266" s="118">
        <f t="shared" ca="1" si="71"/>
        <v>235459</v>
      </c>
      <c r="S266" s="118">
        <f t="shared" ca="1" si="72"/>
        <v>941836</v>
      </c>
      <c r="T266" s="118">
        <f ca="1">초급</f>
        <v>235459</v>
      </c>
      <c r="U266" s="118">
        <f t="shared" ca="1" si="73"/>
        <v>941836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319" t="s">
        <v>42</v>
      </c>
      <c r="O267" s="174">
        <v>8</v>
      </c>
      <c r="P267" s="235">
        <f ca="1">OFFSET($A$1,MATCH(Z261,$A:$A,0)-1,O267)</f>
        <v>4</v>
      </c>
      <c r="Q267" s="322" t="s">
        <v>29</v>
      </c>
      <c r="R267" s="323">
        <f t="shared" ca="1" si="71"/>
        <v>250087</v>
      </c>
      <c r="S267" s="323">
        <f t="shared" ca="1" si="72"/>
        <v>1000348</v>
      </c>
      <c r="T267" s="323">
        <f ca="1">보조원</f>
        <v>250087</v>
      </c>
      <c r="U267" s="323">
        <f t="shared" ca="1" si="73"/>
        <v>1000348</v>
      </c>
      <c r="V267" s="323"/>
      <c r="W267" s="323"/>
      <c r="X267" s="323"/>
      <c r="Y267" s="323"/>
      <c r="Z267" s="324"/>
    </row>
    <row r="268" spans="11:26" ht="18" customHeight="1">
      <c r="K268" s="171" t="s">
        <v>14</v>
      </c>
      <c r="L268" s="171"/>
      <c r="M268" s="171"/>
      <c r="N268" s="139" t="s">
        <v>17</v>
      </c>
      <c r="O268" s="68"/>
      <c r="P268" s="69"/>
      <c r="Q268" s="70"/>
      <c r="R268" s="71"/>
      <c r="S268" s="71">
        <f ca="1">SUBTOTAL(9,S262:S267)</f>
        <v>5425644</v>
      </c>
      <c r="T268" s="71"/>
      <c r="U268" s="71">
        <f ca="1">SUBTOTAL(9,U262:U267)</f>
        <v>5425644</v>
      </c>
      <c r="V268" s="71"/>
      <c r="W268" s="71"/>
      <c r="X268" s="71"/>
      <c r="Y268" s="71"/>
      <c r="Z268" s="68"/>
    </row>
    <row r="269" spans="11:26" ht="18" customHeight="1">
      <c r="K269" s="171" t="s">
        <v>14</v>
      </c>
      <c r="L269" s="171"/>
      <c r="M269" s="171"/>
      <c r="N269" s="318" t="str">
        <f ca="1">"제 " &amp; Z269 &amp; " 호표  "&amp; OFFSET($A$1,MATCH(Z269,$A:$A,0)-1,1)</f>
        <v>제 26 호표  8.3. 위원회심의 지원</v>
      </c>
      <c r="O269" s="221"/>
      <c r="P269" s="148"/>
      <c r="Q269" s="148"/>
      <c r="R269" s="149"/>
      <c r="S269" s="149"/>
      <c r="T269" s="149"/>
      <c r="U269" s="149"/>
      <c r="V269" s="149"/>
      <c r="W269" s="149"/>
      <c r="X269" s="149"/>
      <c r="Y269" s="149"/>
      <c r="Z269" s="325">
        <f>Z261+1</f>
        <v>26</v>
      </c>
    </row>
    <row r="270" spans="11:26" ht="18" customHeight="1">
      <c r="K270" s="171" t="s">
        <v>14</v>
      </c>
      <c r="L270" s="171"/>
      <c r="M270" s="171"/>
      <c r="N270" s="140" t="s">
        <v>43</v>
      </c>
      <c r="O270" s="172">
        <v>3</v>
      </c>
      <c r="P270" s="219">
        <f ca="1">OFFSET($A$1,MATCH(Z269,$A:$A,0)-1,O270)</f>
        <v>2</v>
      </c>
      <c r="Q270" s="141" t="s">
        <v>29</v>
      </c>
      <c r="R270" s="142">
        <f t="shared" ref="R270:R275" ca="1" si="74">T270</f>
        <v>467217</v>
      </c>
      <c r="S270" s="142">
        <f t="shared" ref="S270:S275" ca="1" si="75">U270</f>
        <v>934434</v>
      </c>
      <c r="T270" s="142">
        <f ca="1">기술사</f>
        <v>467217</v>
      </c>
      <c r="U270" s="142">
        <f t="shared" ref="U270:U275" ca="1" si="76">ROUNDDOWN(P270*R270,0)</f>
        <v>934434</v>
      </c>
      <c r="V270" s="142"/>
      <c r="W270" s="142"/>
      <c r="X270" s="142"/>
      <c r="Y270" s="142"/>
      <c r="Z270" s="114"/>
    </row>
    <row r="271" spans="11:26" ht="18" customHeight="1">
      <c r="K271" s="171" t="s">
        <v>14</v>
      </c>
      <c r="L271" s="171"/>
      <c r="M271" s="171"/>
      <c r="N271" s="143" t="s">
        <v>32</v>
      </c>
      <c r="O271" s="173">
        <v>4</v>
      </c>
      <c r="P271" s="234">
        <f ca="1">OFFSET($A$1,MATCH(Z269,$A:$A,0)-1,O271)</f>
        <v>2</v>
      </c>
      <c r="Q271" s="144" t="s">
        <v>29</v>
      </c>
      <c r="R271" s="118">
        <f t="shared" ca="1" si="74"/>
        <v>373353</v>
      </c>
      <c r="S271" s="118">
        <f t="shared" ca="1" si="75"/>
        <v>746706</v>
      </c>
      <c r="T271" s="118">
        <f ca="1">특급</f>
        <v>373353</v>
      </c>
      <c r="U271" s="118">
        <f t="shared" ca="1" si="76"/>
        <v>746706</v>
      </c>
      <c r="V271" s="118"/>
      <c r="W271" s="118"/>
      <c r="X271" s="118"/>
      <c r="Y271" s="118"/>
      <c r="Z271" s="115"/>
    </row>
    <row r="272" spans="11:26" ht="18" customHeight="1">
      <c r="K272" s="171" t="s">
        <v>14</v>
      </c>
      <c r="L272" s="171"/>
      <c r="M272" s="171"/>
      <c r="N272" s="145" t="s">
        <v>39</v>
      </c>
      <c r="O272" s="173">
        <v>5</v>
      </c>
      <c r="P272" s="234">
        <f ca="1">OFFSET($A$1,MATCH(Z269,$A:$A,0)-1,O272)</f>
        <v>2</v>
      </c>
      <c r="Q272" s="144" t="s">
        <v>29</v>
      </c>
      <c r="R272" s="118">
        <f t="shared" ca="1" si="74"/>
        <v>310884</v>
      </c>
      <c r="S272" s="118">
        <f t="shared" ca="1" si="75"/>
        <v>621768</v>
      </c>
      <c r="T272" s="118">
        <f ca="1">고급</f>
        <v>310884</v>
      </c>
      <c r="U272" s="118">
        <f t="shared" ca="1" si="76"/>
        <v>621768</v>
      </c>
      <c r="V272" s="118"/>
      <c r="W272" s="118"/>
      <c r="X272" s="118"/>
      <c r="Y272" s="118"/>
      <c r="Z272" s="115"/>
    </row>
    <row r="273" spans="11:26" ht="18" customHeight="1">
      <c r="K273" s="171" t="s">
        <v>14</v>
      </c>
      <c r="L273" s="171"/>
      <c r="M273" s="171"/>
      <c r="N273" s="145" t="s">
        <v>40</v>
      </c>
      <c r="O273" s="173">
        <v>6</v>
      </c>
      <c r="P273" s="234">
        <f ca="1">OFFSET($A$1,MATCH(Z269,$A:$A,0)-1,O273)</f>
        <v>4</v>
      </c>
      <c r="Q273" s="144" t="s">
        <v>29</v>
      </c>
      <c r="R273" s="118">
        <f t="shared" ca="1" si="74"/>
        <v>295138</v>
      </c>
      <c r="S273" s="118">
        <f t="shared" ca="1" si="75"/>
        <v>1180552</v>
      </c>
      <c r="T273" s="118">
        <f ca="1">중급</f>
        <v>295138</v>
      </c>
      <c r="U273" s="118">
        <f t="shared" ca="1" si="76"/>
        <v>1180552</v>
      </c>
      <c r="V273" s="118"/>
      <c r="W273" s="118"/>
      <c r="X273" s="118"/>
      <c r="Y273" s="118"/>
      <c r="Z273" s="115"/>
    </row>
    <row r="274" spans="11:26" ht="18" customHeight="1">
      <c r="K274" s="171" t="s">
        <v>14</v>
      </c>
      <c r="L274" s="171"/>
      <c r="M274" s="171"/>
      <c r="N274" s="145" t="s">
        <v>41</v>
      </c>
      <c r="O274" s="173">
        <v>7</v>
      </c>
      <c r="P274" s="234">
        <f ca="1">OFFSET($A$1,MATCH(Z269,$A:$A,0)-1,O274)</f>
        <v>4</v>
      </c>
      <c r="Q274" s="144" t="s">
        <v>29</v>
      </c>
      <c r="R274" s="118">
        <f t="shared" ca="1" si="74"/>
        <v>235459</v>
      </c>
      <c r="S274" s="118">
        <f t="shared" ca="1" si="75"/>
        <v>941836</v>
      </c>
      <c r="T274" s="118">
        <f ca="1">초급</f>
        <v>235459</v>
      </c>
      <c r="U274" s="118">
        <f t="shared" ca="1" si="76"/>
        <v>941836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319" t="s">
        <v>42</v>
      </c>
      <c r="O275" s="174">
        <v>8</v>
      </c>
      <c r="P275" s="235">
        <f ca="1">OFFSET($A$1,MATCH(Z269,$A:$A,0)-1,O275)</f>
        <v>4</v>
      </c>
      <c r="Q275" s="322" t="s">
        <v>29</v>
      </c>
      <c r="R275" s="323">
        <f t="shared" ca="1" si="74"/>
        <v>250087</v>
      </c>
      <c r="S275" s="323">
        <f t="shared" ca="1" si="75"/>
        <v>1000348</v>
      </c>
      <c r="T275" s="323">
        <f ca="1">보조원</f>
        <v>250087</v>
      </c>
      <c r="U275" s="323">
        <f t="shared" ca="1" si="76"/>
        <v>1000348</v>
      </c>
      <c r="V275" s="323"/>
      <c r="W275" s="323"/>
      <c r="X275" s="323"/>
      <c r="Y275" s="323"/>
      <c r="Z275" s="324"/>
    </row>
    <row r="276" spans="11:26" ht="18" customHeight="1">
      <c r="K276" s="171" t="s">
        <v>14</v>
      </c>
      <c r="L276" s="171"/>
      <c r="M276" s="171"/>
      <c r="N276" s="139" t="s">
        <v>17</v>
      </c>
      <c r="O276" s="68"/>
      <c r="P276" s="69"/>
      <c r="Q276" s="70"/>
      <c r="R276" s="71"/>
      <c r="S276" s="71">
        <f ca="1">SUBTOTAL(9,S270:S275)</f>
        <v>5425644</v>
      </c>
      <c r="T276" s="71"/>
      <c r="U276" s="71">
        <f ca="1">SUBTOTAL(9,U270:U275)</f>
        <v>5425644</v>
      </c>
      <c r="V276" s="71"/>
      <c r="W276" s="71"/>
      <c r="X276" s="71"/>
      <c r="Y276" s="71"/>
      <c r="Z276" s="68"/>
    </row>
    <row r="277" spans="11:26" ht="18" customHeight="1">
      <c r="K277" s="171" t="s">
        <v>14</v>
      </c>
      <c r="L277" s="171"/>
      <c r="M277" s="171"/>
      <c r="N277" s="318" t="str">
        <f ca="1">"제 " &amp; Z277 &amp; " 호표  "&amp; OFFSET($A$1,MATCH(Z277,$A:$A,0)-1,1)</f>
        <v>제 27 호표  8.4. 관계기관 협의</v>
      </c>
      <c r="O277" s="221"/>
      <c r="P277" s="148"/>
      <c r="Q277" s="148"/>
      <c r="R277" s="149"/>
      <c r="S277" s="149"/>
      <c r="T277" s="149"/>
      <c r="U277" s="149"/>
      <c r="V277" s="149"/>
      <c r="W277" s="149"/>
      <c r="X277" s="149"/>
      <c r="Y277" s="149"/>
      <c r="Z277" s="325">
        <f>Z269+1</f>
        <v>27</v>
      </c>
    </row>
    <row r="278" spans="11:26" ht="18" customHeight="1">
      <c r="K278" s="171" t="s">
        <v>14</v>
      </c>
      <c r="L278" s="171"/>
      <c r="M278" s="171"/>
      <c r="N278" s="140" t="s">
        <v>43</v>
      </c>
      <c r="O278" s="172">
        <v>3</v>
      </c>
      <c r="P278" s="219">
        <f ca="1">OFFSET($A$1,MATCH(Z277,$A:$A,0)-1,O278)</f>
        <v>2</v>
      </c>
      <c r="Q278" s="141" t="s">
        <v>29</v>
      </c>
      <c r="R278" s="142">
        <f t="shared" ref="R278:R283" ca="1" si="77">T278</f>
        <v>467217</v>
      </c>
      <c r="S278" s="142">
        <f t="shared" ref="S278:S283" ca="1" si="78">U278</f>
        <v>934434</v>
      </c>
      <c r="T278" s="142">
        <f ca="1">기술사</f>
        <v>467217</v>
      </c>
      <c r="U278" s="142">
        <f t="shared" ref="U278:U283" ca="1" si="79">ROUNDDOWN(P278*R278,0)</f>
        <v>934434</v>
      </c>
      <c r="V278" s="142"/>
      <c r="W278" s="142"/>
      <c r="X278" s="142"/>
      <c r="Y278" s="142"/>
      <c r="Z278" s="114"/>
    </row>
    <row r="279" spans="11:26" ht="18" customHeight="1">
      <c r="K279" s="171" t="s">
        <v>14</v>
      </c>
      <c r="L279" s="171"/>
      <c r="M279" s="171"/>
      <c r="N279" s="143" t="s">
        <v>32</v>
      </c>
      <c r="O279" s="173">
        <v>4</v>
      </c>
      <c r="P279" s="234">
        <f ca="1">OFFSET($A$1,MATCH(Z277,$A:$A,0)-1,O279)</f>
        <v>2</v>
      </c>
      <c r="Q279" s="144" t="s">
        <v>29</v>
      </c>
      <c r="R279" s="118">
        <f t="shared" ca="1" si="77"/>
        <v>373353</v>
      </c>
      <c r="S279" s="118">
        <f t="shared" ca="1" si="78"/>
        <v>746706</v>
      </c>
      <c r="T279" s="118">
        <f ca="1">특급</f>
        <v>373353</v>
      </c>
      <c r="U279" s="118">
        <f t="shared" ca="1" si="79"/>
        <v>746706</v>
      </c>
      <c r="V279" s="118"/>
      <c r="W279" s="118"/>
      <c r="X279" s="118"/>
      <c r="Y279" s="118"/>
      <c r="Z279" s="115"/>
    </row>
    <row r="280" spans="11:26" ht="18" customHeight="1">
      <c r="K280" s="171" t="s">
        <v>14</v>
      </c>
      <c r="L280" s="171"/>
      <c r="M280" s="171"/>
      <c r="N280" s="145" t="s">
        <v>39</v>
      </c>
      <c r="O280" s="173">
        <v>5</v>
      </c>
      <c r="P280" s="234">
        <f ca="1">OFFSET($A$1,MATCH(Z277,$A:$A,0)-1,O280)</f>
        <v>2</v>
      </c>
      <c r="Q280" s="144" t="s">
        <v>29</v>
      </c>
      <c r="R280" s="118">
        <f t="shared" ca="1" si="77"/>
        <v>310884</v>
      </c>
      <c r="S280" s="118">
        <f t="shared" ca="1" si="78"/>
        <v>621768</v>
      </c>
      <c r="T280" s="118">
        <f ca="1">고급</f>
        <v>310884</v>
      </c>
      <c r="U280" s="118">
        <f t="shared" ca="1" si="79"/>
        <v>621768</v>
      </c>
      <c r="V280" s="118"/>
      <c r="W280" s="118"/>
      <c r="X280" s="118"/>
      <c r="Y280" s="118"/>
      <c r="Z280" s="115"/>
    </row>
    <row r="281" spans="11:26" ht="18" customHeight="1">
      <c r="K281" s="171" t="s">
        <v>14</v>
      </c>
      <c r="L281" s="171"/>
      <c r="M281" s="171"/>
      <c r="N281" s="145" t="s">
        <v>40</v>
      </c>
      <c r="O281" s="173">
        <v>6</v>
      </c>
      <c r="P281" s="234">
        <f ca="1">OFFSET($A$1,MATCH(Z277,$A:$A,0)-1,O281)</f>
        <v>4</v>
      </c>
      <c r="Q281" s="144" t="s">
        <v>29</v>
      </c>
      <c r="R281" s="118">
        <f t="shared" ca="1" si="77"/>
        <v>295138</v>
      </c>
      <c r="S281" s="118">
        <f t="shared" ca="1" si="78"/>
        <v>1180552</v>
      </c>
      <c r="T281" s="118">
        <f ca="1">중급</f>
        <v>295138</v>
      </c>
      <c r="U281" s="118">
        <f t="shared" ca="1" si="79"/>
        <v>1180552</v>
      </c>
      <c r="V281" s="118"/>
      <c r="W281" s="118"/>
      <c r="X281" s="118"/>
      <c r="Y281" s="118"/>
      <c r="Z281" s="115"/>
    </row>
    <row r="282" spans="11:26" ht="18" customHeight="1">
      <c r="K282" s="171" t="s">
        <v>14</v>
      </c>
      <c r="L282" s="171"/>
      <c r="M282" s="171"/>
      <c r="N282" s="145" t="s">
        <v>41</v>
      </c>
      <c r="O282" s="173">
        <v>7</v>
      </c>
      <c r="P282" s="234">
        <f ca="1">OFFSET($A$1,MATCH(Z277,$A:$A,0)-1,O282)</f>
        <v>4</v>
      </c>
      <c r="Q282" s="144" t="s">
        <v>29</v>
      </c>
      <c r="R282" s="118">
        <f t="shared" ca="1" si="77"/>
        <v>235459</v>
      </c>
      <c r="S282" s="118">
        <f t="shared" ca="1" si="78"/>
        <v>941836</v>
      </c>
      <c r="T282" s="118">
        <f ca="1">초급</f>
        <v>235459</v>
      </c>
      <c r="U282" s="118">
        <f t="shared" ca="1" si="79"/>
        <v>941836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319" t="s">
        <v>42</v>
      </c>
      <c r="O283" s="174">
        <v>8</v>
      </c>
      <c r="P283" s="235">
        <f ca="1">OFFSET($A$1,MATCH(Z277,$A:$A,0)-1,O283)</f>
        <v>4</v>
      </c>
      <c r="Q283" s="322" t="s">
        <v>29</v>
      </c>
      <c r="R283" s="323">
        <f t="shared" ca="1" si="77"/>
        <v>250087</v>
      </c>
      <c r="S283" s="323">
        <f t="shared" ca="1" si="78"/>
        <v>1000348</v>
      </c>
      <c r="T283" s="323">
        <f ca="1">보조원</f>
        <v>250087</v>
      </c>
      <c r="U283" s="323">
        <f t="shared" ca="1" si="79"/>
        <v>1000348</v>
      </c>
      <c r="V283" s="323"/>
      <c r="W283" s="323"/>
      <c r="X283" s="323"/>
      <c r="Y283" s="323"/>
      <c r="Z283" s="324"/>
    </row>
    <row r="284" spans="11:26" ht="18" customHeight="1">
      <c r="K284" s="171" t="s">
        <v>14</v>
      </c>
      <c r="L284" s="171"/>
      <c r="M284" s="171"/>
      <c r="N284" s="139" t="s">
        <v>17</v>
      </c>
      <c r="O284" s="68"/>
      <c r="P284" s="69"/>
      <c r="Q284" s="70"/>
      <c r="R284" s="71"/>
      <c r="S284" s="71">
        <f ca="1">SUBTOTAL(9,S278:S283)</f>
        <v>5425644</v>
      </c>
      <c r="T284" s="71"/>
      <c r="U284" s="71">
        <f ca="1">SUBTOTAL(9,U278:U283)</f>
        <v>5425644</v>
      </c>
      <c r="V284" s="71"/>
      <c r="W284" s="71"/>
      <c r="X284" s="71"/>
      <c r="Y284" s="71"/>
      <c r="Z284" s="68"/>
    </row>
    <row r="285" spans="11:26" ht="18" customHeight="1">
      <c r="K285" s="171" t="s">
        <v>14</v>
      </c>
      <c r="L285" s="171"/>
      <c r="M285" s="171"/>
    </row>
    <row r="286" spans="11:26" ht="18" customHeight="1">
      <c r="K286" s="171" t="s">
        <v>14</v>
      </c>
      <c r="L286" s="171"/>
      <c r="M286" s="171"/>
    </row>
    <row r="287" spans="11:26" ht="18" customHeight="1">
      <c r="K287" s="171" t="s">
        <v>14</v>
      </c>
      <c r="L287" s="171"/>
      <c r="M287" s="171"/>
    </row>
    <row r="288" spans="11:26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  <c r="M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K839" s="171" t="s">
        <v>14</v>
      </c>
      <c r="L839" s="171"/>
    </row>
    <row r="840" spans="11:12" ht="18" customHeight="1">
      <c r="K840" s="171" t="s">
        <v>14</v>
      </c>
      <c r="L840" s="171"/>
    </row>
    <row r="841" spans="11:12" ht="18" customHeight="1">
      <c r="K841" s="171" t="s">
        <v>14</v>
      </c>
      <c r="L841" s="171"/>
    </row>
    <row r="842" spans="11:12" ht="18" customHeight="1">
      <c r="K842" s="171" t="s">
        <v>14</v>
      </c>
      <c r="L842" s="171"/>
    </row>
    <row r="843" spans="11:12" ht="18" customHeight="1">
      <c r="K843" s="171" t="s">
        <v>14</v>
      </c>
      <c r="L843" s="171"/>
    </row>
    <row r="844" spans="11:12" ht="18" customHeight="1">
      <c r="K844" s="171" t="s">
        <v>14</v>
      </c>
      <c r="L844" s="171"/>
    </row>
    <row r="845" spans="11:12" ht="18" customHeight="1">
      <c r="K845" s="171" t="s">
        <v>14</v>
      </c>
      <c r="L845" s="171"/>
    </row>
    <row r="846" spans="11:12" ht="18" customHeight="1">
      <c r="K846" s="171" t="s">
        <v>14</v>
      </c>
      <c r="L846" s="171"/>
    </row>
    <row r="847" spans="11:12" ht="18" customHeight="1">
      <c r="K847" s="171" t="s">
        <v>14</v>
      </c>
      <c r="L847" s="171"/>
    </row>
    <row r="848" spans="11:12" ht="18" customHeight="1">
      <c r="K848" s="171" t="s">
        <v>14</v>
      </c>
      <c r="L848" s="171"/>
    </row>
    <row r="849" spans="11:12" ht="18" customHeight="1">
      <c r="K849" s="171" t="s">
        <v>14</v>
      </c>
      <c r="L849" s="171"/>
    </row>
    <row r="850" spans="11:12" ht="18" customHeight="1">
      <c r="K850" s="171" t="s">
        <v>14</v>
      </c>
      <c r="L850" s="171"/>
    </row>
    <row r="851" spans="11:12" ht="18" customHeight="1">
      <c r="L851" s="171"/>
    </row>
    <row r="852" spans="11:12" ht="18" customHeight="1">
      <c r="L852" s="171"/>
    </row>
    <row r="853" spans="11:12" ht="18" customHeight="1">
      <c r="L853" s="171"/>
    </row>
  </sheetData>
  <mergeCells count="17">
    <mergeCell ref="B13:C14"/>
    <mergeCell ref="J13:J14"/>
    <mergeCell ref="L13:L14"/>
    <mergeCell ref="B3:C3"/>
    <mergeCell ref="D3:E3"/>
    <mergeCell ref="B4:C4"/>
    <mergeCell ref="D4:E4"/>
    <mergeCell ref="B5:C5"/>
    <mergeCell ref="D5:E5"/>
    <mergeCell ref="G3:H3"/>
    <mergeCell ref="G4:H4"/>
    <mergeCell ref="G5:H5"/>
    <mergeCell ref="Q67:Q68"/>
    <mergeCell ref="Z67:Z68"/>
    <mergeCell ref="N67:N68"/>
    <mergeCell ref="O67:O68"/>
    <mergeCell ref="P67:P68"/>
  </mergeCells>
  <phoneticPr fontId="14" type="noConversion"/>
  <conditionalFormatting sqref="V15:V50">
    <cfRule type="cellIs" dxfId="35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4993" r:id="rId4" name="Drop Down 1">
              <controlPr locked="0" defaultSize="0" autoLine="0" autoPict="0">
                <anchor moveWithCells="1">
                  <from>
                    <xdr:col>2</xdr:col>
                    <xdr:colOff>1895475</xdr:colOff>
                    <xdr:row>0</xdr:row>
                    <xdr:rowOff>180975</xdr:rowOff>
                  </from>
                  <to>
                    <xdr:col>5</xdr:col>
                    <xdr:colOff>657225</xdr:colOff>
                    <xdr:row>1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85">
    <tabColor rgb="FF7030A0"/>
    <pageSetUpPr fitToPage="1"/>
  </sheetPr>
  <dimension ref="A1:AB814"/>
  <sheetViews>
    <sheetView showGridLines="0" zoomScale="85" zoomScaleNormal="85" zoomScaleSheetLayoutView="75" workbookViewId="0">
      <selection activeCell="G3" sqref="G3:J6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9" width="11.832031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580</v>
      </c>
    </row>
    <row r="2" spans="1:27" ht="19.5" thickBot="1">
      <c r="B2" s="66" t="s">
        <v>1</v>
      </c>
    </row>
    <row r="3" spans="1:27" ht="18" customHeight="1">
      <c r="B3" s="773" t="s">
        <v>581</v>
      </c>
      <c r="C3" s="774"/>
      <c r="D3" s="809">
        <v>150</v>
      </c>
      <c r="E3" s="810"/>
      <c r="F3" s="44" t="s">
        <v>582</v>
      </c>
      <c r="G3" s="838" t="s">
        <v>1104</v>
      </c>
      <c r="H3" s="839"/>
      <c r="I3" s="656">
        <v>2</v>
      </c>
      <c r="J3" s="669" t="s">
        <v>794</v>
      </c>
    </row>
    <row r="4" spans="1:27" ht="18" customHeight="1">
      <c r="B4" s="777" t="s">
        <v>2305</v>
      </c>
      <c r="C4" s="778"/>
      <c r="D4" s="811">
        <v>150</v>
      </c>
      <c r="E4" s="812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7" ht="18" customHeight="1" thickBot="1">
      <c r="B5" s="781" t="s">
        <v>564</v>
      </c>
      <c r="C5" s="782"/>
      <c r="D5" s="783">
        <f>ROUND((IF(D4&lt;=40,40,D4)/D3)^0.6,3)</f>
        <v>1</v>
      </c>
      <c r="E5" s="813"/>
      <c r="F5" s="244"/>
      <c r="G5" s="817" t="s">
        <v>1102</v>
      </c>
      <c r="H5" s="818"/>
      <c r="I5" s="646">
        <f>ROUND(I4/I3,3)</f>
        <v>1</v>
      </c>
      <c r="J5" s="671"/>
      <c r="U5" s="6">
        <f t="array" aca="1" ref="U5" ca="1">SUM((N66:N193=N73)*S66:S193)</f>
        <v>111116347</v>
      </c>
    </row>
    <row r="6" spans="1:27" ht="18" customHeight="1">
      <c r="B6" s="9" t="s">
        <v>2304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G7" s="36"/>
      <c r="W7" s="188" t="s">
        <v>3</v>
      </c>
      <c r="X7" s="189"/>
    </row>
    <row r="8" spans="1:27" ht="18" customHeight="1" thickBot="1">
      <c r="B8" s="66" t="s">
        <v>4</v>
      </c>
      <c r="C8" s="9"/>
      <c r="D8" s="64"/>
      <c r="E8" s="64"/>
      <c r="G8" s="36"/>
      <c r="N8" s="66" t="s">
        <v>5</v>
      </c>
    </row>
    <row r="9" spans="1:27" ht="18" customHeight="1" thickBot="1"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SUBTOTAL(9,W10:W40)</f>
        <v>315070189</v>
      </c>
      <c r="X9" s="187"/>
      <c r="Y9" s="177"/>
      <c r="Z9" s="167"/>
    </row>
    <row r="10" spans="1:27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SUBTOTAL(9,W11:W37)</f>
        <v>115616347</v>
      </c>
      <c r="X10" s="164"/>
      <c r="Y10" s="178" t="s">
        <v>9</v>
      </c>
      <c r="Z10" s="179"/>
    </row>
    <row r="11" spans="1:27" ht="18" customHeight="1" thickBot="1">
      <c r="A11" s="326"/>
      <c r="B11" s="759"/>
      <c r="C11" s="760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218"/>
      <c r="W11" s="159">
        <f ca="1">SUBTOTAL(9,W12:W33)</f>
        <v>111116347</v>
      </c>
      <c r="X11" s="160"/>
      <c r="Y11" s="168"/>
      <c r="Z11" s="168"/>
    </row>
    <row r="12" spans="1:27" ht="18" customHeight="1">
      <c r="A12" s="355"/>
      <c r="B12" s="73" t="s">
        <v>1110</v>
      </c>
      <c r="C12" s="72"/>
      <c r="D12" s="30">
        <f t="shared" ref="D12:I12" si="0">SUBTOTAL(9,D13:D16)</f>
        <v>5.5</v>
      </c>
      <c r="E12" s="31">
        <f t="shared" si="0"/>
        <v>12.5</v>
      </c>
      <c r="F12" s="31">
        <f t="shared" si="0"/>
        <v>17</v>
      </c>
      <c r="G12" s="31">
        <f t="shared" si="0"/>
        <v>24</v>
      </c>
      <c r="H12" s="31">
        <f t="shared" si="0"/>
        <v>29.5</v>
      </c>
      <c r="I12" s="32">
        <f t="shared" si="0"/>
        <v>32.5</v>
      </c>
      <c r="J12" s="678"/>
      <c r="L12" s="232"/>
      <c r="N12" s="354" t="str">
        <f>B12</f>
        <v>1. 조사 및 분석</v>
      </c>
      <c r="O12" s="169"/>
      <c r="P12" s="169"/>
      <c r="Q12" s="169"/>
      <c r="R12" s="169"/>
      <c r="S12" s="169"/>
      <c r="T12" s="169"/>
      <c r="U12" s="226"/>
      <c r="V12" s="248"/>
      <c r="W12" s="193">
        <f ca="1">SUBTOTAL(9,W13:W16)</f>
        <v>34678810</v>
      </c>
      <c r="X12" s="194"/>
      <c r="Y12" s="170" t="str">
        <f>IF(A34&gt;0, "제 " &amp;A34&amp; " 호표","")</f>
        <v/>
      </c>
      <c r="Z12" s="170"/>
      <c r="AA12" s="229"/>
    </row>
    <row r="13" spans="1:27" ht="18" customHeight="1">
      <c r="A13" s="355"/>
      <c r="B13" s="409" t="s">
        <v>2307</v>
      </c>
      <c r="C13" s="237"/>
      <c r="D13" s="20">
        <v>0.5</v>
      </c>
      <c r="E13" s="21">
        <v>1</v>
      </c>
      <c r="F13" s="21">
        <v>1</v>
      </c>
      <c r="G13" s="21">
        <v>1.5</v>
      </c>
      <c r="H13" s="21">
        <v>2</v>
      </c>
      <c r="I13" s="22">
        <v>3</v>
      </c>
      <c r="J13" s="389" t="s">
        <v>2320</v>
      </c>
      <c r="L13" s="233">
        <v>1</v>
      </c>
      <c r="N13" s="292" t="str">
        <f t="shared" ref="N13:N33" si="1">B13</f>
        <v>1.1. 일반현황조사</v>
      </c>
      <c r="O13" s="37"/>
      <c r="P13" s="37"/>
      <c r="Q13" s="37"/>
      <c r="R13" s="37"/>
      <c r="S13" s="37"/>
      <c r="T13" s="37"/>
      <c r="U13" s="227"/>
      <c r="V13" s="231"/>
      <c r="W13" s="153">
        <f t="array" aca="1" ref="W13" ca="1">SUM((ROUNDDOWN((D36:I36)*단가,0)))</f>
        <v>2581731</v>
      </c>
      <c r="X13" s="154"/>
      <c r="Y13" s="170" t="str">
        <f t="shared" ref="Y13:Y33" si="2">IF(A36&gt;0, "제 " &amp;A36&amp; " 호표","")</f>
        <v>제 1 호표</v>
      </c>
      <c r="Z13" s="150"/>
    </row>
    <row r="14" spans="1:27" ht="18" customHeight="1">
      <c r="A14" s="355"/>
      <c r="B14" s="409" t="s">
        <v>2308</v>
      </c>
      <c r="C14" s="237"/>
      <c r="D14" s="20">
        <v>3</v>
      </c>
      <c r="E14" s="21">
        <v>8</v>
      </c>
      <c r="F14" s="21">
        <v>10.5</v>
      </c>
      <c r="G14" s="21">
        <v>15.5</v>
      </c>
      <c r="H14" s="21">
        <v>18.5</v>
      </c>
      <c r="I14" s="22">
        <v>18.5</v>
      </c>
      <c r="J14" s="389" t="s">
        <v>1090</v>
      </c>
      <c r="L14" s="233">
        <v>1</v>
      </c>
      <c r="N14" s="292" t="str">
        <f t="shared" si="1"/>
        <v>1.2. 경관현황조사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SUM((ROUNDDOWN((D37:I37)*단가,0)))</f>
        <v>21209996</v>
      </c>
      <c r="X14" s="154"/>
      <c r="Y14" s="170" t="str">
        <f t="shared" si="2"/>
        <v>제 2 호표</v>
      </c>
      <c r="Z14" s="150"/>
    </row>
    <row r="15" spans="1:27" ht="18" customHeight="1">
      <c r="A15" s="355"/>
      <c r="B15" s="409" t="s">
        <v>2309</v>
      </c>
      <c r="C15" s="237"/>
      <c r="D15" s="20">
        <v>1.5</v>
      </c>
      <c r="E15" s="21">
        <v>2</v>
      </c>
      <c r="F15" s="21">
        <v>4</v>
      </c>
      <c r="G15" s="21">
        <v>4</v>
      </c>
      <c r="H15" s="21">
        <v>6</v>
      </c>
      <c r="I15" s="22">
        <v>6.5</v>
      </c>
      <c r="J15" s="389" t="s">
        <v>1090</v>
      </c>
      <c r="L15" s="233">
        <v>1</v>
      </c>
      <c r="N15" s="292" t="str">
        <f t="shared" si="1"/>
        <v>1.3. 경관의식조사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SUM((ROUNDDOWN((D38:I38)*단가,0)))</f>
        <v>6909938</v>
      </c>
      <c r="X15" s="154"/>
      <c r="Y15" s="170" t="str">
        <f t="shared" si="2"/>
        <v>제 3 호표</v>
      </c>
      <c r="Z15" s="150"/>
    </row>
    <row r="16" spans="1:27" ht="18" customHeight="1">
      <c r="A16" s="355"/>
      <c r="B16" s="410" t="s">
        <v>2310</v>
      </c>
      <c r="C16" s="237"/>
      <c r="D16" s="20">
        <v>0.5</v>
      </c>
      <c r="E16" s="21">
        <v>1.5</v>
      </c>
      <c r="F16" s="21">
        <v>1.5</v>
      </c>
      <c r="G16" s="21">
        <v>3</v>
      </c>
      <c r="H16" s="21">
        <v>3</v>
      </c>
      <c r="I16" s="22">
        <v>4.5</v>
      </c>
      <c r="J16" s="443" t="s">
        <v>1090</v>
      </c>
      <c r="L16" s="233">
        <v>1</v>
      </c>
      <c r="N16" s="292" t="str">
        <f t="shared" si="1"/>
        <v>1.4. 종합분석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SUM((ROUNDDOWN((D39:I39)*단가,0)))</f>
        <v>3977145</v>
      </c>
      <c r="X16" s="154"/>
      <c r="Y16" s="170" t="str">
        <f t="shared" si="2"/>
        <v>제 4 호표</v>
      </c>
      <c r="Z16" s="150"/>
    </row>
    <row r="17" spans="1:26" ht="18" customHeight="1">
      <c r="A17" s="355"/>
      <c r="B17" s="222" t="s">
        <v>583</v>
      </c>
      <c r="C17" s="47"/>
      <c r="D17" s="33">
        <f t="shared" ref="D17:I17" si="3">SUBTOTAL(9,D18:D19)</f>
        <v>2</v>
      </c>
      <c r="E17" s="34">
        <f t="shared" si="3"/>
        <v>3.52</v>
      </c>
      <c r="F17" s="34">
        <f t="shared" si="3"/>
        <v>5</v>
      </c>
      <c r="G17" s="34">
        <f t="shared" si="3"/>
        <v>4</v>
      </c>
      <c r="H17" s="34">
        <f t="shared" si="3"/>
        <v>6.5</v>
      </c>
      <c r="I17" s="35">
        <f t="shared" si="3"/>
        <v>8</v>
      </c>
      <c r="J17" s="594"/>
      <c r="L17" s="233"/>
      <c r="N17" s="79" t="str">
        <f t="shared" si="1"/>
        <v>2. 경관구상</v>
      </c>
      <c r="O17" s="37"/>
      <c r="P17" s="37"/>
      <c r="Q17" s="37"/>
      <c r="R17" s="37"/>
      <c r="S17" s="37"/>
      <c r="T17" s="37"/>
      <c r="U17" s="227"/>
      <c r="V17" s="231"/>
      <c r="W17" s="193">
        <f ca="1">SUBTOTAL(9,W18:W19)</f>
        <v>8514787</v>
      </c>
      <c r="X17" s="154"/>
      <c r="Y17" s="170" t="str">
        <f t="shared" si="2"/>
        <v/>
      </c>
      <c r="Z17" s="150"/>
    </row>
    <row r="18" spans="1:26" ht="18" customHeight="1">
      <c r="A18" s="355"/>
      <c r="B18" s="223" t="s">
        <v>2311</v>
      </c>
      <c r="C18" s="237"/>
      <c r="D18" s="20">
        <v>1</v>
      </c>
      <c r="E18" s="21">
        <v>1.52</v>
      </c>
      <c r="F18" s="21">
        <v>2</v>
      </c>
      <c r="G18" s="21">
        <v>2</v>
      </c>
      <c r="H18" s="21">
        <v>3</v>
      </c>
      <c r="I18" s="22">
        <v>4</v>
      </c>
      <c r="J18" s="389" t="s">
        <v>1090</v>
      </c>
      <c r="L18" s="233">
        <v>1</v>
      </c>
      <c r="N18" s="292" t="str">
        <f t="shared" si="1"/>
        <v>2.1. 기본방향 및 미래상 설정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SUM((ROUNDDOWN((D41:I41)*단가,0)))</f>
        <v>3953482</v>
      </c>
      <c r="X18" s="154"/>
      <c r="Y18" s="170" t="str">
        <f t="shared" si="2"/>
        <v>제 5 호표</v>
      </c>
      <c r="Z18" s="150"/>
    </row>
    <row r="19" spans="1:26" ht="18" customHeight="1">
      <c r="A19" s="355"/>
      <c r="B19" s="223" t="s">
        <v>2312</v>
      </c>
      <c r="C19" s="237"/>
      <c r="D19" s="20">
        <v>1</v>
      </c>
      <c r="E19" s="21">
        <v>2</v>
      </c>
      <c r="F19" s="21">
        <v>3</v>
      </c>
      <c r="G19" s="21">
        <v>2</v>
      </c>
      <c r="H19" s="21">
        <v>3.5</v>
      </c>
      <c r="I19" s="22">
        <v>4</v>
      </c>
      <c r="J19" s="389" t="s">
        <v>1090</v>
      </c>
      <c r="L19" s="233">
        <v>1</v>
      </c>
      <c r="N19" s="292" t="str">
        <f t="shared" si="1"/>
        <v>2.2. 경관구조 설정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SUM((ROUNDDOWN((D42:I42)*단가,0)))</f>
        <v>4561305</v>
      </c>
      <c r="X19" s="154"/>
      <c r="Y19" s="170" t="str">
        <f t="shared" si="2"/>
        <v>제 6 호표</v>
      </c>
      <c r="Z19" s="150"/>
    </row>
    <row r="20" spans="1:26" ht="18" customHeight="1">
      <c r="A20" s="355"/>
      <c r="B20" s="222" t="s">
        <v>584</v>
      </c>
      <c r="C20" s="47"/>
      <c r="D20" s="33">
        <f t="shared" ref="D20:I20" si="4">SUBTOTAL(9,D21:D22)</f>
        <v>5</v>
      </c>
      <c r="E20" s="34">
        <f t="shared" si="4"/>
        <v>10</v>
      </c>
      <c r="F20" s="34">
        <f t="shared" si="4"/>
        <v>19</v>
      </c>
      <c r="G20" s="34">
        <f t="shared" si="4"/>
        <v>21</v>
      </c>
      <c r="H20" s="34">
        <f t="shared" si="4"/>
        <v>24</v>
      </c>
      <c r="I20" s="35">
        <f t="shared" si="4"/>
        <v>25</v>
      </c>
      <c r="J20" s="594"/>
      <c r="L20" s="233"/>
      <c r="N20" s="79" t="str">
        <f t="shared" si="1"/>
        <v>3. 부문별 경관계획</v>
      </c>
      <c r="O20" s="37"/>
      <c r="P20" s="37"/>
      <c r="Q20" s="37"/>
      <c r="R20" s="37"/>
      <c r="S20" s="37"/>
      <c r="T20" s="37"/>
      <c r="U20" s="227"/>
      <c r="V20" s="231"/>
      <c r="W20" s="193">
        <f ca="1">SUBTOTAL(9,W21:W22)</f>
        <v>30077500</v>
      </c>
      <c r="X20" s="154"/>
      <c r="Y20" s="170" t="str">
        <f t="shared" si="2"/>
        <v/>
      </c>
      <c r="Z20" s="150"/>
    </row>
    <row r="21" spans="1:26" ht="18" customHeight="1">
      <c r="A21" s="355"/>
      <c r="B21" s="223" t="s">
        <v>2313</v>
      </c>
      <c r="C21" s="237"/>
      <c r="D21" s="20">
        <v>2</v>
      </c>
      <c r="E21" s="21">
        <v>5</v>
      </c>
      <c r="F21" s="21">
        <v>9</v>
      </c>
      <c r="G21" s="21">
        <v>10</v>
      </c>
      <c r="H21" s="21">
        <v>12</v>
      </c>
      <c r="I21" s="22">
        <v>12</v>
      </c>
      <c r="J21" s="389" t="s">
        <v>1090</v>
      </c>
      <c r="L21" s="233">
        <v>1</v>
      </c>
      <c r="N21" s="292" t="str">
        <f t="shared" si="1"/>
        <v>3.1. 경관권역, 축, 거점계획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SUM((ROUNDDOWN((D44:I44)*단가,0)))</f>
        <v>14377087</v>
      </c>
      <c r="X21" s="154"/>
      <c r="Y21" s="170" t="str">
        <f t="shared" si="2"/>
        <v>제 7 호표</v>
      </c>
      <c r="Z21" s="150"/>
    </row>
    <row r="22" spans="1:26" ht="18" customHeight="1">
      <c r="A22" s="355"/>
      <c r="B22" s="223" t="s">
        <v>2314</v>
      </c>
      <c r="C22" s="237"/>
      <c r="D22" s="20">
        <v>3</v>
      </c>
      <c r="E22" s="21">
        <v>5</v>
      </c>
      <c r="F22" s="21">
        <v>10</v>
      </c>
      <c r="G22" s="21">
        <v>11</v>
      </c>
      <c r="H22" s="21">
        <v>12</v>
      </c>
      <c r="I22" s="22">
        <v>13</v>
      </c>
      <c r="J22" s="389" t="s">
        <v>1090</v>
      </c>
      <c r="L22" s="233">
        <v>1</v>
      </c>
      <c r="N22" s="292" t="str">
        <f t="shared" si="1"/>
        <v>3.2. 요소별 계획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SUM((ROUNDDOWN((D45:I45)*단가,0)))</f>
        <v>15700413</v>
      </c>
      <c r="X22" s="154"/>
      <c r="Y22" s="170" t="str">
        <f t="shared" si="2"/>
        <v>제 8 호표</v>
      </c>
      <c r="Z22" s="150"/>
    </row>
    <row r="23" spans="1:26" ht="18" customHeight="1">
      <c r="A23" s="355"/>
      <c r="B23" s="222" t="s">
        <v>2315</v>
      </c>
      <c r="C23" s="47"/>
      <c r="D23" s="33">
        <f t="shared" ref="D23:I23" si="5">SUBTOTAL(9,D24:D25)</f>
        <v>2</v>
      </c>
      <c r="E23" s="34">
        <f t="shared" si="5"/>
        <v>2.5</v>
      </c>
      <c r="F23" s="34">
        <f t="shared" si="5"/>
        <v>4.5</v>
      </c>
      <c r="G23" s="34">
        <f t="shared" si="5"/>
        <v>5.5</v>
      </c>
      <c r="H23" s="34">
        <f t="shared" si="5"/>
        <v>9</v>
      </c>
      <c r="I23" s="35">
        <f t="shared" si="5"/>
        <v>10.5</v>
      </c>
      <c r="J23" s="594"/>
      <c r="L23" s="233"/>
      <c r="N23" s="79" t="str">
        <f t="shared" si="1"/>
        <v>4. 실행계획</v>
      </c>
      <c r="O23" s="37"/>
      <c r="P23" s="37"/>
      <c r="Q23" s="37"/>
      <c r="R23" s="37"/>
      <c r="S23" s="37"/>
      <c r="T23" s="37"/>
      <c r="U23" s="227"/>
      <c r="V23" s="231"/>
      <c r="W23" s="193">
        <f ca="1">SUBTOTAL(9,W24:W25)</f>
        <v>9635096</v>
      </c>
      <c r="X23" s="154"/>
      <c r="Y23" s="170" t="str">
        <f t="shared" si="2"/>
        <v/>
      </c>
      <c r="Z23" s="150"/>
    </row>
    <row r="24" spans="1:26" ht="18" customHeight="1">
      <c r="A24" s="355"/>
      <c r="B24" s="223" t="s">
        <v>2316</v>
      </c>
      <c r="C24" s="237"/>
      <c r="D24" s="20">
        <v>1.5</v>
      </c>
      <c r="E24" s="21">
        <v>1.5</v>
      </c>
      <c r="F24" s="21">
        <v>3</v>
      </c>
      <c r="G24" s="21">
        <v>3</v>
      </c>
      <c r="H24" s="21">
        <v>7</v>
      </c>
      <c r="I24" s="22">
        <v>8</v>
      </c>
      <c r="J24" s="389" t="s">
        <v>1090</v>
      </c>
      <c r="L24" s="233">
        <v>1</v>
      </c>
      <c r="N24" s="292" t="str">
        <f t="shared" si="1"/>
        <v>4.1. 실행계획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SUM((ROUNDDOWN((D47:I47)*단가,0)))</f>
        <v>6727829</v>
      </c>
      <c r="X24" s="154"/>
      <c r="Y24" s="170" t="str">
        <f t="shared" si="2"/>
        <v>제 9 호표</v>
      </c>
      <c r="Z24" s="150"/>
    </row>
    <row r="25" spans="1:26" ht="18" customHeight="1">
      <c r="A25" s="355"/>
      <c r="B25" s="223" t="s">
        <v>2317</v>
      </c>
      <c r="C25" s="237"/>
      <c r="D25" s="20">
        <v>0.5</v>
      </c>
      <c r="E25" s="21">
        <v>1</v>
      </c>
      <c r="F25" s="21">
        <v>1.5</v>
      </c>
      <c r="G25" s="21">
        <v>2.5</v>
      </c>
      <c r="H25" s="21">
        <v>2</v>
      </c>
      <c r="I25" s="22">
        <v>2.5</v>
      </c>
      <c r="J25" s="389" t="s">
        <v>1090</v>
      </c>
      <c r="L25" s="233">
        <v>1</v>
      </c>
      <c r="N25" s="292" t="str">
        <f t="shared" si="1"/>
        <v>4.2. 경관시뮬레이션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SUM((ROUNDDOWN((D48:I48)*단가,0)))</f>
        <v>2907267</v>
      </c>
      <c r="X25" s="154"/>
      <c r="Y25" s="170" t="str">
        <f t="shared" si="2"/>
        <v>제 10 호표</v>
      </c>
      <c r="Z25" s="150"/>
    </row>
    <row r="26" spans="1:26" ht="18" customHeight="1">
      <c r="A26" s="355"/>
      <c r="B26" s="222" t="s">
        <v>585</v>
      </c>
      <c r="C26" s="47"/>
      <c r="D26" s="33">
        <f t="shared" ref="D26:I26" si="6">SUBTOTAL(9,D27:D28)</f>
        <v>1.5</v>
      </c>
      <c r="E26" s="34">
        <f t="shared" si="6"/>
        <v>1.5</v>
      </c>
      <c r="F26" s="34">
        <f t="shared" si="6"/>
        <v>3</v>
      </c>
      <c r="G26" s="34">
        <f t="shared" si="6"/>
        <v>3.5</v>
      </c>
      <c r="H26" s="34">
        <f t="shared" si="6"/>
        <v>6.5</v>
      </c>
      <c r="I26" s="35">
        <f t="shared" si="6"/>
        <v>7</v>
      </c>
      <c r="J26" s="620"/>
      <c r="L26" s="233"/>
      <c r="N26" s="79" t="str">
        <f t="shared" si="1"/>
        <v>5. 성과품작성</v>
      </c>
      <c r="O26" s="37"/>
      <c r="P26" s="39"/>
      <c r="Q26" s="37"/>
      <c r="R26" s="117"/>
      <c r="S26" s="37"/>
      <c r="T26" s="37"/>
      <c r="U26" s="228"/>
      <c r="V26" s="231"/>
      <c r="W26" s="193">
        <f ca="1">SUBTOTAL(9,W27:W28)</f>
        <v>6507578</v>
      </c>
      <c r="X26" s="154"/>
      <c r="Y26" s="170" t="str">
        <f t="shared" si="2"/>
        <v/>
      </c>
      <c r="Z26" s="150"/>
    </row>
    <row r="27" spans="1:26" ht="18" customHeight="1">
      <c r="A27" s="355"/>
      <c r="B27" s="223" t="s">
        <v>2318</v>
      </c>
      <c r="C27" s="237"/>
      <c r="D27" s="20">
        <v>1</v>
      </c>
      <c r="E27" s="21">
        <v>1</v>
      </c>
      <c r="F27" s="21">
        <v>1.5</v>
      </c>
      <c r="G27" s="21">
        <v>1.8</v>
      </c>
      <c r="H27" s="21">
        <v>3.3</v>
      </c>
      <c r="I27" s="22">
        <v>3.5</v>
      </c>
      <c r="J27" s="389" t="s">
        <v>1090</v>
      </c>
      <c r="L27" s="233">
        <v>1</v>
      </c>
      <c r="N27" s="292" t="str">
        <f t="shared" si="1"/>
        <v>5.1. 보고서 작성 및 편집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SUM((ROUNDDOWN((D50:I50)*단가,0)))</f>
        <v>3490462</v>
      </c>
      <c r="X27" s="154"/>
      <c r="Y27" s="170" t="str">
        <f t="shared" si="2"/>
        <v>제 11 호표</v>
      </c>
      <c r="Z27" s="150"/>
    </row>
    <row r="28" spans="1:26" ht="18" customHeight="1">
      <c r="A28" s="355"/>
      <c r="B28" s="259" t="s">
        <v>2319</v>
      </c>
      <c r="C28" s="264"/>
      <c r="D28" s="40">
        <v>0.5</v>
      </c>
      <c r="E28" s="41">
        <v>0.5</v>
      </c>
      <c r="F28" s="41">
        <v>1.5</v>
      </c>
      <c r="G28" s="41">
        <v>1.7</v>
      </c>
      <c r="H28" s="41">
        <v>3.2</v>
      </c>
      <c r="I28" s="42">
        <v>3.5</v>
      </c>
      <c r="J28" s="390" t="s">
        <v>1090</v>
      </c>
      <c r="L28" s="233">
        <v>1</v>
      </c>
      <c r="N28" s="292" t="str">
        <f t="shared" si="1"/>
        <v>5.2. 관련 도서 작성</v>
      </c>
      <c r="O28" s="37"/>
      <c r="P28" s="39"/>
      <c r="Q28" s="37"/>
      <c r="R28" s="117"/>
      <c r="S28" s="37"/>
      <c r="T28" s="37"/>
      <c r="U28" s="228"/>
      <c r="V28" s="231"/>
      <c r="W28" s="153">
        <f t="array" aca="1" ref="W28" ca="1">SUM((ROUNDDOWN((D51:I51)*단가,0)))</f>
        <v>3017116</v>
      </c>
      <c r="X28" s="154"/>
      <c r="Y28" s="170" t="str">
        <f t="shared" si="2"/>
        <v>제 12 호표</v>
      </c>
      <c r="Z28" s="150"/>
    </row>
    <row r="29" spans="1:26" ht="18" customHeight="1">
      <c r="A29" s="326"/>
      <c r="B29" s="222" t="s">
        <v>586</v>
      </c>
      <c r="C29" s="47"/>
      <c r="D29" s="48">
        <f t="shared" ref="D29:I29" si="7">SUBTOTAL(9,D30:D33)</f>
        <v>8</v>
      </c>
      <c r="E29" s="49">
        <f t="shared" si="7"/>
        <v>8</v>
      </c>
      <c r="F29" s="49">
        <f t="shared" si="7"/>
        <v>8</v>
      </c>
      <c r="G29" s="49">
        <f t="shared" si="7"/>
        <v>16</v>
      </c>
      <c r="H29" s="49">
        <f t="shared" si="7"/>
        <v>16</v>
      </c>
      <c r="I29" s="50">
        <f t="shared" si="7"/>
        <v>16</v>
      </c>
      <c r="J29" s="620"/>
      <c r="L29" s="233"/>
      <c r="N29" s="79" t="str">
        <f t="shared" si="1"/>
        <v>6. 기술협의</v>
      </c>
      <c r="O29" s="37"/>
      <c r="P29" s="39"/>
      <c r="Q29" s="37"/>
      <c r="R29" s="117"/>
      <c r="S29" s="37"/>
      <c r="T29" s="37"/>
      <c r="U29" s="228"/>
      <c r="V29" s="231"/>
      <c r="W29" s="193">
        <f ca="1">SUBTOTAL(9,W30:W33)</f>
        <v>21702576</v>
      </c>
      <c r="X29" s="154"/>
      <c r="Y29" s="170" t="str">
        <f t="shared" si="2"/>
        <v/>
      </c>
      <c r="Z29" s="150"/>
    </row>
    <row r="30" spans="1:26" ht="18" customHeight="1">
      <c r="A30" s="326"/>
      <c r="B30" s="223" t="s">
        <v>587</v>
      </c>
      <c r="C30" s="237"/>
      <c r="D30" s="197">
        <v>2</v>
      </c>
      <c r="E30" s="198">
        <v>2</v>
      </c>
      <c r="F30" s="198">
        <v>2</v>
      </c>
      <c r="G30" s="198">
        <v>4</v>
      </c>
      <c r="H30" s="198">
        <v>4</v>
      </c>
      <c r="I30" s="199">
        <v>4</v>
      </c>
      <c r="J30" s="389" t="s">
        <v>2321</v>
      </c>
      <c r="L30" s="233">
        <v>1</v>
      </c>
      <c r="N30" s="292" t="str">
        <f t="shared" si="1"/>
        <v>6-1. 공청회/주민설명회</v>
      </c>
      <c r="O30" s="37"/>
      <c r="P30" s="39"/>
      <c r="Q30" s="37"/>
      <c r="R30" s="117"/>
      <c r="S30" s="37"/>
      <c r="T30" s="37"/>
      <c r="U30" s="228"/>
      <c r="V30" s="231"/>
      <c r="W30" s="153">
        <f t="array" aca="1" ref="W30" ca="1">SUM((ROUNDDOWN((D53:I53)*단가,0)))</f>
        <v>5425644</v>
      </c>
      <c r="X30" s="154"/>
      <c r="Y30" s="170" t="str">
        <f t="shared" si="2"/>
        <v>제 13 호표</v>
      </c>
      <c r="Z30" s="150"/>
    </row>
    <row r="31" spans="1:26" ht="18" customHeight="1">
      <c r="A31" s="326"/>
      <c r="B31" s="223" t="s">
        <v>588</v>
      </c>
      <c r="C31" s="237"/>
      <c r="D31" s="197">
        <v>2</v>
      </c>
      <c r="E31" s="198">
        <v>2</v>
      </c>
      <c r="F31" s="198">
        <v>2</v>
      </c>
      <c r="G31" s="198">
        <v>4</v>
      </c>
      <c r="H31" s="198">
        <v>4</v>
      </c>
      <c r="I31" s="199">
        <v>4</v>
      </c>
      <c r="J31" s="389" t="s">
        <v>1094</v>
      </c>
      <c r="L31" s="233">
        <v>1</v>
      </c>
      <c r="N31" s="292" t="str">
        <f t="shared" si="1"/>
        <v>6-2. 주민간담회/시민계획단</v>
      </c>
      <c r="O31" s="37"/>
      <c r="P31" s="39"/>
      <c r="Q31" s="37"/>
      <c r="R31" s="117"/>
      <c r="S31" s="37"/>
      <c r="T31" s="37"/>
      <c r="U31" s="228"/>
      <c r="V31" s="231"/>
      <c r="W31" s="153">
        <f t="array" aca="1" ref="W31" ca="1">SUM((ROUNDDOWN((D54:I54)*단가,0)))</f>
        <v>5425644</v>
      </c>
      <c r="X31" s="154"/>
      <c r="Y31" s="170" t="str">
        <f t="shared" si="2"/>
        <v>제 14 호표</v>
      </c>
      <c r="Z31" s="150"/>
    </row>
    <row r="32" spans="1:26" ht="18" customHeight="1">
      <c r="A32" s="326"/>
      <c r="B32" s="223" t="s">
        <v>589</v>
      </c>
      <c r="C32" s="237"/>
      <c r="D32" s="197">
        <v>2</v>
      </c>
      <c r="E32" s="198">
        <v>2</v>
      </c>
      <c r="F32" s="198">
        <v>2</v>
      </c>
      <c r="G32" s="198">
        <v>4</v>
      </c>
      <c r="H32" s="198">
        <v>4</v>
      </c>
      <c r="I32" s="199">
        <v>4</v>
      </c>
      <c r="J32" s="389" t="s">
        <v>1094</v>
      </c>
      <c r="L32" s="233">
        <v>1</v>
      </c>
      <c r="N32" s="292" t="str">
        <f t="shared" si="1"/>
        <v>6-3. 위원회심의 지원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SUM((ROUNDDOWN((D55:I55)*단가,0)))</f>
        <v>5425644</v>
      </c>
      <c r="X32" s="154"/>
      <c r="Y32" s="170" t="str">
        <f t="shared" si="2"/>
        <v>제 15 호표</v>
      </c>
      <c r="Z32" s="150"/>
    </row>
    <row r="33" spans="1:26" ht="18" customHeight="1" thickBot="1">
      <c r="A33" s="355"/>
      <c r="B33" s="223" t="s">
        <v>590</v>
      </c>
      <c r="C33" s="237"/>
      <c r="D33" s="197">
        <v>2</v>
      </c>
      <c r="E33" s="198">
        <v>2</v>
      </c>
      <c r="F33" s="198">
        <v>2</v>
      </c>
      <c r="G33" s="198">
        <v>4</v>
      </c>
      <c r="H33" s="198">
        <v>4</v>
      </c>
      <c r="I33" s="199">
        <v>4</v>
      </c>
      <c r="J33" s="612" t="s">
        <v>1094</v>
      </c>
      <c r="L33" s="233">
        <v>1</v>
      </c>
      <c r="N33" s="292" t="str">
        <f t="shared" si="1"/>
        <v>6-4. 관계기관 협의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SUM((ROUNDDOWN((D56:I56)*단가,0)))</f>
        <v>5425644</v>
      </c>
      <c r="X33" s="154"/>
      <c r="Y33" s="170" t="str">
        <f t="shared" si="2"/>
        <v>제 16 호표</v>
      </c>
      <c r="Z33" s="150"/>
    </row>
    <row r="34" spans="1:26" ht="18" customHeight="1" thickBot="1">
      <c r="A34" s="326"/>
      <c r="B34" s="14" t="s">
        <v>30</v>
      </c>
      <c r="C34" s="250"/>
      <c r="D34" s="249" t="s">
        <v>12</v>
      </c>
      <c r="E34" s="251"/>
      <c r="F34" s="251"/>
      <c r="G34" s="251"/>
      <c r="H34" s="251"/>
      <c r="I34" s="250"/>
      <c r="J34" s="175" t="s">
        <v>31</v>
      </c>
      <c r="N34" s="290" t="s">
        <v>10</v>
      </c>
      <c r="O34" s="129"/>
      <c r="P34" s="130"/>
      <c r="Q34" s="124"/>
      <c r="R34" s="131"/>
      <c r="S34" s="124"/>
      <c r="T34" s="124"/>
      <c r="U34" s="181"/>
      <c r="V34" s="181"/>
      <c r="W34" s="159">
        <f>SUBTOTAL(9,W35:W37)</f>
        <v>4500000</v>
      </c>
      <c r="X34" s="160"/>
      <c r="Y34" s="124"/>
      <c r="Z34" s="124"/>
    </row>
    <row r="35" spans="1:26" ht="18" customHeight="1">
      <c r="A35" s="326"/>
      <c r="B35" s="73" t="s">
        <v>1110</v>
      </c>
      <c r="C35" s="72"/>
      <c r="D35" s="30">
        <f t="shared" ref="D35:I35" si="8">SUBTOTAL(9,D36:D39)</f>
        <v>5.5</v>
      </c>
      <c r="E35" s="31">
        <f t="shared" si="8"/>
        <v>12.5</v>
      </c>
      <c r="F35" s="31">
        <f t="shared" si="8"/>
        <v>17</v>
      </c>
      <c r="G35" s="31">
        <f t="shared" si="8"/>
        <v>24</v>
      </c>
      <c r="H35" s="31">
        <f t="shared" si="8"/>
        <v>29.5</v>
      </c>
      <c r="I35" s="32">
        <f t="shared" si="8"/>
        <v>32.5</v>
      </c>
      <c r="J35" s="28"/>
      <c r="N35" s="128" t="str">
        <f>"여비("&amp;TEXT(R35,"#인 ×")&amp;TEXT(S35,"#일 ×")&amp;TEXT(T35,"###,###원)")</f>
        <v>여비(3인 ×5일 ×100,000원)</v>
      </c>
      <c r="O35" s="78"/>
      <c r="P35" s="52"/>
      <c r="Q35" s="51"/>
      <c r="R35" s="146">
        <v>3</v>
      </c>
      <c r="S35" s="146">
        <v>5</v>
      </c>
      <c r="T35" s="147">
        <v>100000</v>
      </c>
      <c r="U35" s="182"/>
      <c r="V35" s="182"/>
      <c r="W35" s="161">
        <f>R35*S35*T35</f>
        <v>1500000</v>
      </c>
      <c r="X35" s="162"/>
      <c r="Y35" s="51"/>
      <c r="Z35" s="51"/>
    </row>
    <row r="36" spans="1:26" ht="18" customHeight="1">
      <c r="A36" s="326">
        <v>1</v>
      </c>
      <c r="B36" s="409" t="s">
        <v>2307</v>
      </c>
      <c r="C36" s="237"/>
      <c r="D36" s="20">
        <f t="array" ref="D36:I39">ROUNDDOWN(D13:I16*L13:L16*$D$5,3)</f>
        <v>0.5</v>
      </c>
      <c r="E36" s="21">
        <v>1</v>
      </c>
      <c r="F36" s="21">
        <v>1</v>
      </c>
      <c r="G36" s="21">
        <v>1.5</v>
      </c>
      <c r="H36" s="21">
        <v>2</v>
      </c>
      <c r="I36" s="22">
        <v>3</v>
      </c>
      <c r="J36" s="74"/>
      <c r="N36" s="79" t="s">
        <v>46</v>
      </c>
      <c r="O36" s="79"/>
      <c r="P36" s="39"/>
      <c r="Q36" s="37"/>
      <c r="R36" s="117"/>
      <c r="S36" s="37"/>
      <c r="T36" s="37"/>
      <c r="U36" s="180"/>
      <c r="V36" s="180"/>
      <c r="W36" s="157">
        <v>2000000</v>
      </c>
      <c r="X36" s="158"/>
      <c r="Y36" s="37"/>
      <c r="Z36" s="37"/>
    </row>
    <row r="37" spans="1:26" ht="18" customHeight="1">
      <c r="A37" s="326">
        <v>2</v>
      </c>
      <c r="B37" s="409" t="s">
        <v>2308</v>
      </c>
      <c r="C37" s="237"/>
      <c r="D37" s="20">
        <v>3</v>
      </c>
      <c r="E37" s="21">
        <v>8</v>
      </c>
      <c r="F37" s="21">
        <v>10.5</v>
      </c>
      <c r="G37" s="21">
        <v>15.5</v>
      </c>
      <c r="H37" s="21">
        <v>18.5</v>
      </c>
      <c r="I37" s="22">
        <v>18.5</v>
      </c>
      <c r="J37" s="74"/>
      <c r="N37" s="132" t="s">
        <v>13</v>
      </c>
      <c r="O37" s="132"/>
      <c r="P37" s="38"/>
      <c r="Q37" s="38"/>
      <c r="R37" s="116"/>
      <c r="S37" s="38"/>
      <c r="T37" s="38"/>
      <c r="U37" s="183"/>
      <c r="V37" s="183"/>
      <c r="W37" s="155">
        <v>1000000</v>
      </c>
      <c r="X37" s="156"/>
      <c r="Y37" s="38"/>
      <c r="Z37" s="38"/>
    </row>
    <row r="38" spans="1:26" ht="18" customHeight="1">
      <c r="A38" s="326">
        <v>3</v>
      </c>
      <c r="B38" s="409" t="s">
        <v>2309</v>
      </c>
      <c r="C38" s="237"/>
      <c r="D38" s="20">
        <v>1.5</v>
      </c>
      <c r="E38" s="21">
        <v>2</v>
      </c>
      <c r="F38" s="21">
        <v>4</v>
      </c>
      <c r="G38" s="21">
        <v>4</v>
      </c>
      <c r="H38" s="21">
        <v>6</v>
      </c>
      <c r="I38" s="22">
        <v>6.5</v>
      </c>
      <c r="J38" s="74"/>
      <c r="N38" s="127" t="s">
        <v>47</v>
      </c>
      <c r="O38" s="123"/>
      <c r="P38" s="123"/>
      <c r="Q38" s="123"/>
      <c r="R38" s="123"/>
      <c r="S38" s="123"/>
      <c r="T38" s="123"/>
      <c r="U38" s="184"/>
      <c r="V38" s="184"/>
      <c r="W38" s="163">
        <f ca="1">SUBTOTAL(9,W39:W40)</f>
        <v>199453842</v>
      </c>
      <c r="X38" s="164"/>
      <c r="Y38" s="123"/>
      <c r="Z38" s="123"/>
    </row>
    <row r="39" spans="1:26" ht="18" customHeight="1">
      <c r="A39" s="326">
        <v>4</v>
      </c>
      <c r="B39" s="410" t="s">
        <v>2310</v>
      </c>
      <c r="C39" s="237"/>
      <c r="D39" s="20">
        <v>0.5</v>
      </c>
      <c r="E39" s="21">
        <v>1.5</v>
      </c>
      <c r="F39" s="21">
        <v>1.5</v>
      </c>
      <c r="G39" s="21">
        <v>3</v>
      </c>
      <c r="H39" s="21">
        <v>3</v>
      </c>
      <c r="I39" s="22">
        <v>4.5</v>
      </c>
      <c r="J39" s="75"/>
      <c r="N39" s="133" t="s">
        <v>861</v>
      </c>
      <c r="O39" s="124"/>
      <c r="P39" s="134"/>
      <c r="Q39" s="124"/>
      <c r="R39" s="131"/>
      <c r="S39" s="124"/>
      <c r="T39" s="181"/>
      <c r="U39" s="181"/>
      <c r="V39" s="190">
        <v>1.1499999999999999</v>
      </c>
      <c r="W39" s="159">
        <f ca="1">ROUNDDOWN(W11*V39,0)</f>
        <v>127783799</v>
      </c>
      <c r="X39" s="160"/>
      <c r="Y39" s="124"/>
      <c r="Z39" s="124"/>
    </row>
    <row r="40" spans="1:26" ht="18" customHeight="1" thickBot="1">
      <c r="A40" s="326"/>
      <c r="B40" s="222" t="s">
        <v>583</v>
      </c>
      <c r="C40" s="47"/>
      <c r="D40" s="33">
        <f t="shared" ref="D40:I40" si="9">SUBTOTAL(9,D41:D42)</f>
        <v>2</v>
      </c>
      <c r="E40" s="34">
        <f t="shared" si="9"/>
        <v>3.52</v>
      </c>
      <c r="F40" s="34">
        <f t="shared" si="9"/>
        <v>5</v>
      </c>
      <c r="G40" s="34">
        <f t="shared" si="9"/>
        <v>4</v>
      </c>
      <c r="H40" s="34">
        <f t="shared" si="9"/>
        <v>6.5</v>
      </c>
      <c r="I40" s="35">
        <f t="shared" si="9"/>
        <v>8</v>
      </c>
      <c r="J40" s="13"/>
      <c r="N40" s="135" t="s">
        <v>862</v>
      </c>
      <c r="O40" s="136"/>
      <c r="P40" s="137"/>
      <c r="Q40" s="136"/>
      <c r="R40" s="138"/>
      <c r="S40" s="136"/>
      <c r="T40" s="185"/>
      <c r="U40" s="185"/>
      <c r="V40" s="191">
        <v>0.3</v>
      </c>
      <c r="W40" s="165">
        <f ca="1">ROUNDDOWN((W11+W39)*V40,0)</f>
        <v>71670043</v>
      </c>
      <c r="X40" s="166"/>
      <c r="Y40" s="136"/>
      <c r="Z40" s="136"/>
    </row>
    <row r="41" spans="1:26" ht="18" customHeight="1">
      <c r="A41" s="326">
        <v>5</v>
      </c>
      <c r="B41" s="223" t="s">
        <v>2311</v>
      </c>
      <c r="C41" s="237"/>
      <c r="D41" s="20">
        <f t="array" ref="D41:I42">ROUNDDOWN(D18:I19*L18:L19*$D$5,3)</f>
        <v>1</v>
      </c>
      <c r="E41" s="21">
        <v>1.52</v>
      </c>
      <c r="F41" s="21">
        <v>2</v>
      </c>
      <c r="G41" s="21">
        <v>2</v>
      </c>
      <c r="H41" s="21">
        <v>3</v>
      </c>
      <c r="I41" s="22">
        <v>4</v>
      </c>
      <c r="J41" s="74"/>
    </row>
    <row r="42" spans="1:26" ht="18" customHeight="1">
      <c r="A42" s="326">
        <v>6</v>
      </c>
      <c r="B42" s="223" t="s">
        <v>2312</v>
      </c>
      <c r="C42" s="237"/>
      <c r="D42" s="20">
        <v>1</v>
      </c>
      <c r="E42" s="21">
        <v>2</v>
      </c>
      <c r="F42" s="21">
        <v>3</v>
      </c>
      <c r="G42" s="21">
        <v>2</v>
      </c>
      <c r="H42" s="21">
        <v>3.5</v>
      </c>
      <c r="I42" s="22">
        <v>4</v>
      </c>
      <c r="J42" s="74"/>
    </row>
    <row r="43" spans="1:26" ht="18" customHeight="1">
      <c r="A43" s="326"/>
      <c r="B43" s="222" t="s">
        <v>584</v>
      </c>
      <c r="C43" s="47"/>
      <c r="D43" s="33">
        <f t="shared" ref="D43:I43" si="10">SUBTOTAL(9,D44:D45)</f>
        <v>5</v>
      </c>
      <c r="E43" s="34">
        <f t="shared" si="10"/>
        <v>10</v>
      </c>
      <c r="F43" s="34">
        <f t="shared" si="10"/>
        <v>19</v>
      </c>
      <c r="G43" s="34">
        <f t="shared" si="10"/>
        <v>21</v>
      </c>
      <c r="H43" s="34">
        <f t="shared" si="10"/>
        <v>24</v>
      </c>
      <c r="I43" s="35">
        <f t="shared" si="10"/>
        <v>25</v>
      </c>
      <c r="J43" s="13"/>
    </row>
    <row r="44" spans="1:26" ht="18" customHeight="1">
      <c r="A44" s="326">
        <v>7</v>
      </c>
      <c r="B44" s="223" t="s">
        <v>2313</v>
      </c>
      <c r="C44" s="237"/>
      <c r="D44" s="20">
        <f t="array" ref="D44:I45">ROUNDDOWN(D21:I22*L21:L22*$D$5,3)</f>
        <v>2</v>
      </c>
      <c r="E44" s="21">
        <v>5</v>
      </c>
      <c r="F44" s="21">
        <v>9</v>
      </c>
      <c r="G44" s="21">
        <v>10</v>
      </c>
      <c r="H44" s="21">
        <v>12</v>
      </c>
      <c r="I44" s="22">
        <v>12</v>
      </c>
      <c r="J44" s="74"/>
    </row>
    <row r="45" spans="1:26" ht="18" customHeight="1">
      <c r="A45" s="326">
        <v>8</v>
      </c>
      <c r="B45" s="223" t="s">
        <v>2314</v>
      </c>
      <c r="C45" s="237"/>
      <c r="D45" s="20">
        <v>3</v>
      </c>
      <c r="E45" s="21">
        <v>5</v>
      </c>
      <c r="F45" s="21">
        <v>10</v>
      </c>
      <c r="G45" s="21">
        <v>11</v>
      </c>
      <c r="H45" s="21">
        <v>12</v>
      </c>
      <c r="I45" s="22">
        <v>13</v>
      </c>
      <c r="J45" s="74"/>
    </row>
    <row r="46" spans="1:26" ht="18" customHeight="1">
      <c r="A46" s="326"/>
      <c r="B46" s="222" t="s">
        <v>2315</v>
      </c>
      <c r="C46" s="47"/>
      <c r="D46" s="33">
        <f t="shared" ref="D46:I46" si="11">SUBTOTAL(9,D47:D48)</f>
        <v>2</v>
      </c>
      <c r="E46" s="34">
        <f t="shared" si="11"/>
        <v>2.5</v>
      </c>
      <c r="F46" s="34">
        <f t="shared" si="11"/>
        <v>4.5</v>
      </c>
      <c r="G46" s="34">
        <f t="shared" si="11"/>
        <v>5.5</v>
      </c>
      <c r="H46" s="34">
        <f t="shared" si="11"/>
        <v>9</v>
      </c>
      <c r="I46" s="35">
        <f t="shared" si="11"/>
        <v>10.5</v>
      </c>
      <c r="J46" s="13"/>
    </row>
    <row r="47" spans="1:26" ht="18" customHeight="1">
      <c r="A47" s="326">
        <v>9</v>
      </c>
      <c r="B47" s="223" t="s">
        <v>2316</v>
      </c>
      <c r="C47" s="237"/>
      <c r="D47" s="20">
        <f t="array" ref="D47:I48">ROUNDDOWN(D24:I25*L24:L25*$D$5,3)</f>
        <v>1.5</v>
      </c>
      <c r="E47" s="21">
        <v>1.5</v>
      </c>
      <c r="F47" s="21">
        <v>3</v>
      </c>
      <c r="G47" s="21">
        <v>3</v>
      </c>
      <c r="H47" s="21">
        <v>7</v>
      </c>
      <c r="I47" s="22">
        <v>8</v>
      </c>
      <c r="J47" s="74"/>
    </row>
    <row r="48" spans="1:26" ht="18" customHeight="1">
      <c r="A48" s="326">
        <v>10</v>
      </c>
      <c r="B48" s="223" t="s">
        <v>2317</v>
      </c>
      <c r="C48" s="237"/>
      <c r="D48" s="20">
        <v>0.5</v>
      </c>
      <c r="E48" s="21">
        <v>1</v>
      </c>
      <c r="F48" s="21">
        <v>1.5</v>
      </c>
      <c r="G48" s="21">
        <v>2.5</v>
      </c>
      <c r="H48" s="21">
        <v>2</v>
      </c>
      <c r="I48" s="22">
        <v>2.5</v>
      </c>
      <c r="J48" s="74"/>
    </row>
    <row r="49" spans="1:26" ht="18" customHeight="1">
      <c r="A49" s="326"/>
      <c r="B49" s="222" t="s">
        <v>571</v>
      </c>
      <c r="C49" s="47"/>
      <c r="D49" s="33">
        <f t="shared" ref="D49:I49" si="12">SUBTOTAL(9,D50:D51)</f>
        <v>1.5</v>
      </c>
      <c r="E49" s="34">
        <f t="shared" si="12"/>
        <v>1.5</v>
      </c>
      <c r="F49" s="34">
        <f t="shared" si="12"/>
        <v>3</v>
      </c>
      <c r="G49" s="34">
        <f t="shared" si="12"/>
        <v>3.5</v>
      </c>
      <c r="H49" s="34">
        <f t="shared" si="12"/>
        <v>6.5</v>
      </c>
      <c r="I49" s="35">
        <f t="shared" si="12"/>
        <v>7</v>
      </c>
      <c r="J49" s="13"/>
    </row>
    <row r="50" spans="1:26" ht="18" customHeight="1">
      <c r="A50" s="326">
        <v>11</v>
      </c>
      <c r="B50" s="223" t="s">
        <v>2318</v>
      </c>
      <c r="C50" s="237"/>
      <c r="D50" s="20">
        <f t="array" ref="D50:I51">ROUNDDOWN(D27:I28*L27:L28*$D$5,3)</f>
        <v>1</v>
      </c>
      <c r="E50" s="21">
        <v>1</v>
      </c>
      <c r="F50" s="21">
        <v>1.5</v>
      </c>
      <c r="G50" s="21">
        <v>1.8</v>
      </c>
      <c r="H50" s="21">
        <v>3.3</v>
      </c>
      <c r="I50" s="22">
        <v>3.5</v>
      </c>
      <c r="J50" s="74"/>
    </row>
    <row r="51" spans="1:26" ht="18" customHeight="1">
      <c r="A51" s="326">
        <v>12</v>
      </c>
      <c r="B51" s="259" t="s">
        <v>2319</v>
      </c>
      <c r="C51" s="237"/>
      <c r="D51" s="20">
        <v>0.5</v>
      </c>
      <c r="E51" s="21">
        <v>0.5</v>
      </c>
      <c r="F51" s="21">
        <v>1.5</v>
      </c>
      <c r="G51" s="21">
        <v>1.7</v>
      </c>
      <c r="H51" s="21">
        <v>3.2</v>
      </c>
      <c r="I51" s="22">
        <v>3.5</v>
      </c>
      <c r="J51" s="75"/>
    </row>
    <row r="52" spans="1:26" ht="18" customHeight="1">
      <c r="A52" s="326"/>
      <c r="B52" s="222" t="s">
        <v>572</v>
      </c>
      <c r="C52" s="47"/>
      <c r="D52" s="48">
        <f t="shared" ref="D52:I52" si="13">SUBTOTAL(9,D53:D56)</f>
        <v>8</v>
      </c>
      <c r="E52" s="49">
        <f t="shared" si="13"/>
        <v>8</v>
      </c>
      <c r="F52" s="49">
        <f t="shared" si="13"/>
        <v>8</v>
      </c>
      <c r="G52" s="49">
        <f t="shared" si="13"/>
        <v>16</v>
      </c>
      <c r="H52" s="49">
        <f t="shared" si="13"/>
        <v>16</v>
      </c>
      <c r="I52" s="50">
        <f t="shared" si="13"/>
        <v>16</v>
      </c>
      <c r="J52" s="287"/>
      <c r="L52" s="171"/>
    </row>
    <row r="53" spans="1:26" ht="18" customHeight="1">
      <c r="A53" s="326">
        <v>13</v>
      </c>
      <c r="B53" s="223" t="s">
        <v>573</v>
      </c>
      <c r="C53" s="237"/>
      <c r="D53" s="20">
        <f t="array" ref="D53:I56">ROUNDDOWN(D30:I33*L30:L33*I5,3)</f>
        <v>2</v>
      </c>
      <c r="E53" s="198">
        <v>2</v>
      </c>
      <c r="F53" s="198">
        <v>2</v>
      </c>
      <c r="G53" s="198">
        <v>4</v>
      </c>
      <c r="H53" s="198">
        <v>4</v>
      </c>
      <c r="I53" s="199">
        <v>4</v>
      </c>
      <c r="J53" s="74"/>
      <c r="L53" s="171"/>
    </row>
    <row r="54" spans="1:26" ht="18" customHeight="1">
      <c r="A54" s="326">
        <v>14</v>
      </c>
      <c r="B54" s="223" t="s">
        <v>574</v>
      </c>
      <c r="C54" s="237"/>
      <c r="D54" s="197">
        <v>2</v>
      </c>
      <c r="E54" s="198">
        <v>2</v>
      </c>
      <c r="F54" s="198">
        <v>2</v>
      </c>
      <c r="G54" s="198">
        <v>4</v>
      </c>
      <c r="H54" s="198">
        <v>4</v>
      </c>
      <c r="I54" s="199">
        <v>4</v>
      </c>
      <c r="J54" s="74"/>
      <c r="L54" s="171"/>
    </row>
    <row r="55" spans="1:26" ht="18" customHeight="1">
      <c r="A55" s="326">
        <v>15</v>
      </c>
      <c r="B55" s="223" t="s">
        <v>575</v>
      </c>
      <c r="C55" s="237"/>
      <c r="D55" s="197">
        <v>2</v>
      </c>
      <c r="E55" s="198">
        <v>2</v>
      </c>
      <c r="F55" s="198">
        <v>2</v>
      </c>
      <c r="G55" s="198">
        <v>4</v>
      </c>
      <c r="H55" s="198">
        <v>4</v>
      </c>
      <c r="I55" s="199">
        <v>4</v>
      </c>
      <c r="J55" s="74"/>
      <c r="L55" s="171"/>
    </row>
    <row r="56" spans="1:26" ht="18" customHeight="1" thickBot="1">
      <c r="A56" s="326">
        <v>16</v>
      </c>
      <c r="B56" s="388" t="s">
        <v>576</v>
      </c>
      <c r="C56" s="401"/>
      <c r="D56" s="343">
        <v>2</v>
      </c>
      <c r="E56" s="344">
        <v>2</v>
      </c>
      <c r="F56" s="344">
        <v>2</v>
      </c>
      <c r="G56" s="344">
        <v>4</v>
      </c>
      <c r="H56" s="344">
        <v>4</v>
      </c>
      <c r="I56" s="345">
        <v>4</v>
      </c>
      <c r="J56" s="176"/>
      <c r="L56" s="171"/>
    </row>
    <row r="57" spans="1:26" ht="18" customHeight="1">
      <c r="A57" s="326"/>
      <c r="B57" s="85" t="s">
        <v>15</v>
      </c>
      <c r="C57" s="9" t="s">
        <v>2322</v>
      </c>
      <c r="K57" s="171" t="s">
        <v>14</v>
      </c>
      <c r="L57" s="171"/>
    </row>
    <row r="58" spans="1:26" ht="18" customHeight="1">
      <c r="A58" s="326"/>
      <c r="B58" s="8"/>
      <c r="C58" s="9" t="s">
        <v>1654</v>
      </c>
      <c r="K58" s="171" t="s">
        <v>14</v>
      </c>
      <c r="L58" s="171"/>
    </row>
    <row r="59" spans="1:26" ht="18" customHeight="1">
      <c r="A59" s="326"/>
      <c r="B59" s="80"/>
      <c r="C59" s="9" t="s">
        <v>2323</v>
      </c>
      <c r="K59" s="171" t="s">
        <v>14</v>
      </c>
      <c r="L59" s="171"/>
    </row>
    <row r="60" spans="1:26" ht="18" customHeight="1">
      <c r="A60" s="326"/>
      <c r="C60" s="9" t="s">
        <v>2324</v>
      </c>
      <c r="K60" s="171" t="s">
        <v>14</v>
      </c>
      <c r="L60" s="171"/>
    </row>
    <row r="61" spans="1:26" ht="18" customHeight="1">
      <c r="A61" s="326"/>
      <c r="C61" s="9"/>
      <c r="K61" s="171" t="s">
        <v>14</v>
      </c>
      <c r="L61" s="171"/>
    </row>
    <row r="62" spans="1:26" ht="18" customHeight="1">
      <c r="A62" s="355"/>
      <c r="C62" s="9"/>
      <c r="K62" s="171" t="s">
        <v>14</v>
      </c>
      <c r="L62" s="171"/>
    </row>
    <row r="63" spans="1:26" ht="18" customHeight="1" thickBot="1">
      <c r="A63" s="355"/>
      <c r="C63" s="9"/>
      <c r="K63" s="171" t="s">
        <v>14</v>
      </c>
      <c r="L63" s="171"/>
      <c r="M63" s="171"/>
      <c r="N63" s="66" t="s">
        <v>18</v>
      </c>
      <c r="O63" s="2"/>
      <c r="P63" s="2"/>
      <c r="Q63" s="2"/>
      <c r="R63" s="3"/>
      <c r="S63" s="4"/>
      <c r="T63" s="3"/>
      <c r="U63" s="4"/>
      <c r="V63" s="3"/>
      <c r="W63" s="4"/>
      <c r="X63" s="3"/>
      <c r="Y63" s="4"/>
      <c r="Z63" s="2"/>
    </row>
    <row r="64" spans="1:26" ht="18" customHeight="1">
      <c r="A64" s="355"/>
      <c r="C64" s="9"/>
      <c r="K64" s="171" t="s">
        <v>14</v>
      </c>
      <c r="L64" s="171"/>
      <c r="M64" s="171"/>
      <c r="N64" s="765" t="s">
        <v>19</v>
      </c>
      <c r="O64" s="755" t="s">
        <v>20</v>
      </c>
      <c r="P64" s="755" t="s">
        <v>21</v>
      </c>
      <c r="Q64" s="755" t="s">
        <v>16</v>
      </c>
      <c r="R64" s="5" t="s">
        <v>22</v>
      </c>
      <c r="S64" s="5"/>
      <c r="T64" s="5" t="s">
        <v>23</v>
      </c>
      <c r="U64" s="5"/>
      <c r="V64" s="5" t="s">
        <v>24</v>
      </c>
      <c r="W64" s="5"/>
      <c r="X64" s="5" t="s">
        <v>25</v>
      </c>
      <c r="Y64" s="5"/>
      <c r="Z64" s="755" t="s">
        <v>26</v>
      </c>
    </row>
    <row r="65" spans="1:26" ht="18" customHeight="1" thickBot="1">
      <c r="A65" s="326"/>
      <c r="C65" s="9"/>
      <c r="K65" s="171" t="s">
        <v>14</v>
      </c>
      <c r="L65" s="171"/>
      <c r="M65" s="171"/>
      <c r="N65" s="766"/>
      <c r="O65" s="756"/>
      <c r="P65" s="756"/>
      <c r="Q65" s="756"/>
      <c r="R65" s="67" t="s">
        <v>27</v>
      </c>
      <c r="S65" s="67" t="s">
        <v>28</v>
      </c>
      <c r="T65" s="67" t="s">
        <v>27</v>
      </c>
      <c r="U65" s="67" t="s">
        <v>28</v>
      </c>
      <c r="V65" s="67" t="s">
        <v>27</v>
      </c>
      <c r="W65" s="67" t="s">
        <v>28</v>
      </c>
      <c r="X65" s="67" t="s">
        <v>27</v>
      </c>
      <c r="Y65" s="67" t="s">
        <v>28</v>
      </c>
      <c r="Z65" s="756"/>
    </row>
    <row r="66" spans="1:26" ht="18" customHeight="1" thickTop="1">
      <c r="A66" s="326"/>
      <c r="K66" s="171" t="s">
        <v>14</v>
      </c>
      <c r="L66" s="171"/>
      <c r="M66" s="171"/>
      <c r="N66" s="318" t="str">
        <f ca="1">"제 " &amp; Z66 &amp; " 호표  "&amp; OFFSET($A$1,MATCH(Z66,$A:$A,0)-1,1)</f>
        <v>제 1 호표  1.1. 일반현황조사</v>
      </c>
      <c r="O66" s="221"/>
      <c r="P66" s="148"/>
      <c r="Q66" s="148"/>
      <c r="R66" s="149"/>
      <c r="S66" s="149"/>
      <c r="T66" s="149"/>
      <c r="U66" s="149"/>
      <c r="V66" s="149"/>
      <c r="W66" s="149"/>
      <c r="X66" s="149"/>
      <c r="Y66" s="149"/>
      <c r="Z66" s="325">
        <v>1</v>
      </c>
    </row>
    <row r="67" spans="1:26" ht="18" customHeight="1">
      <c r="A67" s="326"/>
      <c r="K67" s="171" t="s">
        <v>14</v>
      </c>
      <c r="L67" s="171"/>
      <c r="M67" s="171"/>
      <c r="N67" s="140" t="s">
        <v>43</v>
      </c>
      <c r="O67" s="172">
        <v>3</v>
      </c>
      <c r="P67" s="219">
        <f ca="1">OFFSET($A$1,MATCH(Z66,$A:$A,0)-1,O67)</f>
        <v>0.5</v>
      </c>
      <c r="Q67" s="141" t="s">
        <v>29</v>
      </c>
      <c r="R67" s="142">
        <f t="shared" ref="R67:S72" ca="1" si="14">T67</f>
        <v>467217</v>
      </c>
      <c r="S67" s="142">
        <f t="shared" ca="1" si="14"/>
        <v>233608</v>
      </c>
      <c r="T67" s="142">
        <f ca="1">기술사</f>
        <v>467217</v>
      </c>
      <c r="U67" s="142">
        <f t="shared" ref="U67:U72" ca="1" si="15">ROUNDDOWN(P67*R67,0)</f>
        <v>233608</v>
      </c>
      <c r="V67" s="142"/>
      <c r="W67" s="142"/>
      <c r="X67" s="142"/>
      <c r="Y67" s="142"/>
      <c r="Z67" s="114"/>
    </row>
    <row r="68" spans="1:26" ht="18" customHeight="1">
      <c r="A68" s="326"/>
      <c r="K68" s="171" t="s">
        <v>14</v>
      </c>
      <c r="L68" s="171"/>
      <c r="M68" s="171"/>
      <c r="N68" s="143" t="s">
        <v>32</v>
      </c>
      <c r="O68" s="173">
        <v>4</v>
      </c>
      <c r="P68" s="234">
        <f ca="1">OFFSET($A$1,MATCH(Z66,$A:$A,0)-1,O68)</f>
        <v>1</v>
      </c>
      <c r="Q68" s="144" t="s">
        <v>29</v>
      </c>
      <c r="R68" s="118">
        <f t="shared" ca="1" si="14"/>
        <v>373353</v>
      </c>
      <c r="S68" s="118">
        <f t="shared" ca="1" si="14"/>
        <v>373353</v>
      </c>
      <c r="T68" s="118">
        <f ca="1">특급</f>
        <v>373353</v>
      </c>
      <c r="U68" s="118">
        <f t="shared" ca="1" si="15"/>
        <v>373353</v>
      </c>
      <c r="V68" s="118"/>
      <c r="W68" s="118"/>
      <c r="X68" s="118"/>
      <c r="Y68" s="118"/>
      <c r="Z68" s="115"/>
    </row>
    <row r="69" spans="1:26" ht="18" customHeight="1">
      <c r="A69" s="326"/>
      <c r="K69" s="171" t="s">
        <v>14</v>
      </c>
      <c r="L69" s="171"/>
      <c r="M69" s="171"/>
      <c r="N69" s="145" t="s">
        <v>39</v>
      </c>
      <c r="O69" s="173">
        <v>5</v>
      </c>
      <c r="P69" s="234">
        <f ca="1">OFFSET($A$1,MATCH(Z66,$A:$A,0)-1,O69)</f>
        <v>1</v>
      </c>
      <c r="Q69" s="144" t="s">
        <v>29</v>
      </c>
      <c r="R69" s="118">
        <f t="shared" ca="1" si="14"/>
        <v>310884</v>
      </c>
      <c r="S69" s="118">
        <f t="shared" ca="1" si="14"/>
        <v>310884</v>
      </c>
      <c r="T69" s="118">
        <f ca="1">고급</f>
        <v>310884</v>
      </c>
      <c r="U69" s="118">
        <f t="shared" ca="1" si="15"/>
        <v>310884</v>
      </c>
      <c r="V69" s="118"/>
      <c r="W69" s="118"/>
      <c r="X69" s="118"/>
      <c r="Y69" s="118"/>
      <c r="Z69" s="115"/>
    </row>
    <row r="70" spans="1:26" ht="18" customHeight="1">
      <c r="A70" s="326"/>
      <c r="K70" s="171" t="s">
        <v>14</v>
      </c>
      <c r="L70" s="171"/>
      <c r="M70" s="171"/>
      <c r="N70" s="145" t="s">
        <v>40</v>
      </c>
      <c r="O70" s="173">
        <v>6</v>
      </c>
      <c r="P70" s="234">
        <f ca="1">OFFSET($A$1,MATCH(Z66,$A:$A,0)-1,O70)</f>
        <v>1.5</v>
      </c>
      <c r="Q70" s="144" t="s">
        <v>29</v>
      </c>
      <c r="R70" s="118">
        <f t="shared" ca="1" si="14"/>
        <v>295138</v>
      </c>
      <c r="S70" s="118">
        <f t="shared" ca="1" si="14"/>
        <v>442707</v>
      </c>
      <c r="T70" s="118">
        <f ca="1">중급</f>
        <v>295138</v>
      </c>
      <c r="U70" s="118">
        <f t="shared" ca="1" si="15"/>
        <v>442707</v>
      </c>
      <c r="V70" s="118"/>
      <c r="W70" s="118"/>
      <c r="X70" s="118"/>
      <c r="Y70" s="118"/>
      <c r="Z70" s="115"/>
    </row>
    <row r="71" spans="1:26" ht="18" customHeight="1">
      <c r="A71" s="326"/>
      <c r="K71" s="171" t="s">
        <v>14</v>
      </c>
      <c r="L71" s="171"/>
      <c r="M71" s="171"/>
      <c r="N71" s="145" t="s">
        <v>41</v>
      </c>
      <c r="O71" s="173">
        <v>7</v>
      </c>
      <c r="P71" s="234">
        <f ca="1">OFFSET($A$1,MATCH(Z66,$A:$A,0)-1,O71)</f>
        <v>2</v>
      </c>
      <c r="Q71" s="144" t="s">
        <v>29</v>
      </c>
      <c r="R71" s="118">
        <f t="shared" ca="1" si="14"/>
        <v>235459</v>
      </c>
      <c r="S71" s="118">
        <f t="shared" ca="1" si="14"/>
        <v>470918</v>
      </c>
      <c r="T71" s="118">
        <f ca="1">초급</f>
        <v>235459</v>
      </c>
      <c r="U71" s="118">
        <f t="shared" ca="1" si="15"/>
        <v>470918</v>
      </c>
      <c r="V71" s="118"/>
      <c r="W71" s="118"/>
      <c r="X71" s="118"/>
      <c r="Y71" s="118"/>
      <c r="Z71" s="115"/>
    </row>
    <row r="72" spans="1:26" ht="18" customHeight="1">
      <c r="A72" s="326"/>
      <c r="K72" s="171" t="s">
        <v>14</v>
      </c>
      <c r="L72" s="171"/>
      <c r="M72" s="171"/>
      <c r="N72" s="319" t="s">
        <v>42</v>
      </c>
      <c r="O72" s="174">
        <v>8</v>
      </c>
      <c r="P72" s="235">
        <f ca="1">OFFSET($A$1,MATCH(Z66,$A:$A,0)-1,O72)</f>
        <v>3</v>
      </c>
      <c r="Q72" s="322" t="s">
        <v>29</v>
      </c>
      <c r="R72" s="323">
        <f t="shared" ca="1" si="14"/>
        <v>250087</v>
      </c>
      <c r="S72" s="323">
        <f t="shared" ca="1" si="14"/>
        <v>750261</v>
      </c>
      <c r="T72" s="323">
        <f ca="1">보조원</f>
        <v>250087</v>
      </c>
      <c r="U72" s="323">
        <f t="shared" ca="1" si="15"/>
        <v>750261</v>
      </c>
      <c r="V72" s="323"/>
      <c r="W72" s="323"/>
      <c r="X72" s="323"/>
      <c r="Y72" s="323"/>
      <c r="Z72" s="324"/>
    </row>
    <row r="73" spans="1:26" ht="18" customHeight="1">
      <c r="A73" s="326"/>
      <c r="K73" s="171" t="s">
        <v>14</v>
      </c>
      <c r="L73" s="171"/>
      <c r="M73" s="171"/>
      <c r="N73" s="139" t="s">
        <v>17</v>
      </c>
      <c r="O73" s="68"/>
      <c r="P73" s="69"/>
      <c r="Q73" s="70"/>
      <c r="R73" s="71"/>
      <c r="S73" s="71">
        <f ca="1">SUBTOTAL(9,S67:S72)</f>
        <v>2581731</v>
      </c>
      <c r="T73" s="71"/>
      <c r="U73" s="71">
        <f ca="1">SUBTOTAL(9,U67:U72)</f>
        <v>2581731</v>
      </c>
      <c r="V73" s="71"/>
      <c r="W73" s="71"/>
      <c r="X73" s="71"/>
      <c r="Y73" s="71"/>
      <c r="Z73" s="68"/>
    </row>
    <row r="74" spans="1:26" ht="18" customHeight="1">
      <c r="A74" s="326"/>
      <c r="K74" s="171" t="s">
        <v>14</v>
      </c>
      <c r="L74" s="171"/>
      <c r="M74" s="171"/>
      <c r="N74" s="318" t="str">
        <f ca="1">"제 " &amp; Z74 &amp; " 호표  "&amp; OFFSET($A$1,MATCH(Z74,$A:$A,0)-1,1)</f>
        <v>제 2 호표  1.2. 경관현황조사</v>
      </c>
      <c r="O74" s="221"/>
      <c r="P74" s="148"/>
      <c r="Q74" s="148"/>
      <c r="R74" s="149"/>
      <c r="S74" s="149"/>
      <c r="T74" s="149"/>
      <c r="U74" s="149"/>
      <c r="V74" s="149"/>
      <c r="W74" s="149"/>
      <c r="X74" s="149"/>
      <c r="Y74" s="149"/>
      <c r="Z74" s="325">
        <f>Z66+1</f>
        <v>2</v>
      </c>
    </row>
    <row r="75" spans="1:26" ht="18" customHeight="1">
      <c r="A75" s="326"/>
      <c r="K75" s="171" t="s">
        <v>14</v>
      </c>
      <c r="L75" s="171"/>
      <c r="M75" s="171"/>
      <c r="N75" s="140" t="s">
        <v>43</v>
      </c>
      <c r="O75" s="172">
        <v>3</v>
      </c>
      <c r="P75" s="219">
        <f ca="1">OFFSET($A$1,MATCH(Z74,$A:$A,0)-1,O75)</f>
        <v>3</v>
      </c>
      <c r="Q75" s="141" t="s">
        <v>29</v>
      </c>
      <c r="R75" s="142">
        <f t="shared" ref="R75:S80" ca="1" si="16">T75</f>
        <v>467217</v>
      </c>
      <c r="S75" s="142">
        <f t="shared" ca="1" si="16"/>
        <v>1401651</v>
      </c>
      <c r="T75" s="142">
        <f ca="1">기술사</f>
        <v>467217</v>
      </c>
      <c r="U75" s="142">
        <f t="shared" ref="U75:U80" ca="1" si="17">ROUNDDOWN(P75*R75,0)</f>
        <v>1401651</v>
      </c>
      <c r="V75" s="142"/>
      <c r="W75" s="142"/>
      <c r="X75" s="142"/>
      <c r="Y75" s="142"/>
      <c r="Z75" s="114"/>
    </row>
    <row r="76" spans="1:26" ht="18" customHeight="1">
      <c r="A76" s="326"/>
      <c r="K76" s="171" t="s">
        <v>14</v>
      </c>
      <c r="L76" s="171"/>
      <c r="M76" s="171"/>
      <c r="N76" s="143" t="s">
        <v>32</v>
      </c>
      <c r="O76" s="173">
        <v>4</v>
      </c>
      <c r="P76" s="234">
        <f ca="1">OFFSET($A$1,MATCH(Z74,$A:$A,0)-1,O76)</f>
        <v>8</v>
      </c>
      <c r="Q76" s="144" t="s">
        <v>29</v>
      </c>
      <c r="R76" s="118">
        <f t="shared" ca="1" si="16"/>
        <v>373353</v>
      </c>
      <c r="S76" s="118">
        <f t="shared" ca="1" si="16"/>
        <v>2986824</v>
      </c>
      <c r="T76" s="118">
        <f ca="1">특급</f>
        <v>373353</v>
      </c>
      <c r="U76" s="118">
        <f t="shared" ca="1" si="17"/>
        <v>2986824</v>
      </c>
      <c r="V76" s="118"/>
      <c r="W76" s="118"/>
      <c r="X76" s="118"/>
      <c r="Y76" s="118"/>
      <c r="Z76" s="115"/>
    </row>
    <row r="77" spans="1:26" ht="18" customHeight="1">
      <c r="A77" s="326"/>
      <c r="K77" s="171" t="s">
        <v>14</v>
      </c>
      <c r="L77" s="171"/>
      <c r="M77" s="171"/>
      <c r="N77" s="145" t="s">
        <v>39</v>
      </c>
      <c r="O77" s="173">
        <v>5</v>
      </c>
      <c r="P77" s="234">
        <f ca="1">OFFSET($A$1,MATCH(Z74,$A:$A,0)-1,O77)</f>
        <v>10.5</v>
      </c>
      <c r="Q77" s="144" t="s">
        <v>29</v>
      </c>
      <c r="R77" s="118">
        <f t="shared" ca="1" si="16"/>
        <v>310884</v>
      </c>
      <c r="S77" s="118">
        <f t="shared" ca="1" si="16"/>
        <v>3264282</v>
      </c>
      <c r="T77" s="118">
        <f ca="1">고급</f>
        <v>310884</v>
      </c>
      <c r="U77" s="118">
        <f t="shared" ca="1" si="17"/>
        <v>3264282</v>
      </c>
      <c r="V77" s="118"/>
      <c r="W77" s="118"/>
      <c r="X77" s="118"/>
      <c r="Y77" s="118"/>
      <c r="Z77" s="115"/>
    </row>
    <row r="78" spans="1:26" ht="18" customHeight="1">
      <c r="A78" s="326"/>
      <c r="K78" s="171" t="s">
        <v>14</v>
      </c>
      <c r="L78" s="171"/>
      <c r="M78" s="171"/>
      <c r="N78" s="145" t="s">
        <v>40</v>
      </c>
      <c r="O78" s="173">
        <v>6</v>
      </c>
      <c r="P78" s="234">
        <f ca="1">OFFSET($A$1,MATCH(Z74,$A:$A,0)-1,O78)</f>
        <v>15.5</v>
      </c>
      <c r="Q78" s="144" t="s">
        <v>29</v>
      </c>
      <c r="R78" s="118">
        <f t="shared" ca="1" si="16"/>
        <v>295138</v>
      </c>
      <c r="S78" s="118">
        <f t="shared" ca="1" si="16"/>
        <v>4574639</v>
      </c>
      <c r="T78" s="118">
        <f ca="1">중급</f>
        <v>295138</v>
      </c>
      <c r="U78" s="118">
        <f t="shared" ca="1" si="17"/>
        <v>4574639</v>
      </c>
      <c r="V78" s="118"/>
      <c r="W78" s="118"/>
      <c r="X78" s="118"/>
      <c r="Y78" s="118"/>
      <c r="Z78" s="115"/>
    </row>
    <row r="79" spans="1:26" ht="18" customHeight="1">
      <c r="A79" s="326"/>
      <c r="K79" s="171" t="s">
        <v>14</v>
      </c>
      <c r="L79" s="171"/>
      <c r="M79" s="171"/>
      <c r="N79" s="145" t="s">
        <v>41</v>
      </c>
      <c r="O79" s="173">
        <v>7</v>
      </c>
      <c r="P79" s="234">
        <f ca="1">OFFSET($A$1,MATCH(Z74,$A:$A,0)-1,O79)</f>
        <v>18.5</v>
      </c>
      <c r="Q79" s="144" t="s">
        <v>29</v>
      </c>
      <c r="R79" s="118">
        <f t="shared" ca="1" si="16"/>
        <v>235459</v>
      </c>
      <c r="S79" s="118">
        <f t="shared" ca="1" si="16"/>
        <v>4355991</v>
      </c>
      <c r="T79" s="118">
        <f ca="1">초급</f>
        <v>235459</v>
      </c>
      <c r="U79" s="118">
        <f t="shared" ca="1" si="17"/>
        <v>4355991</v>
      </c>
      <c r="V79" s="118"/>
      <c r="W79" s="118"/>
      <c r="X79" s="118"/>
      <c r="Y79" s="118"/>
      <c r="Z79" s="115"/>
    </row>
    <row r="80" spans="1:26" ht="18" customHeight="1">
      <c r="A80" s="326"/>
      <c r="K80" s="171" t="s">
        <v>14</v>
      </c>
      <c r="L80" s="171"/>
      <c r="M80" s="171"/>
      <c r="N80" s="319" t="s">
        <v>42</v>
      </c>
      <c r="O80" s="174">
        <v>8</v>
      </c>
      <c r="P80" s="235">
        <f ca="1">OFFSET($A$1,MATCH(Z74,$A:$A,0)-1,O80)</f>
        <v>18.5</v>
      </c>
      <c r="Q80" s="322" t="s">
        <v>29</v>
      </c>
      <c r="R80" s="323">
        <f t="shared" ca="1" si="16"/>
        <v>250087</v>
      </c>
      <c r="S80" s="323">
        <f t="shared" ca="1" si="16"/>
        <v>4626609</v>
      </c>
      <c r="T80" s="323">
        <f ca="1">보조원</f>
        <v>250087</v>
      </c>
      <c r="U80" s="323">
        <f t="shared" ca="1" si="17"/>
        <v>4626609</v>
      </c>
      <c r="V80" s="323"/>
      <c r="W80" s="323"/>
      <c r="X80" s="323"/>
      <c r="Y80" s="323"/>
      <c r="Z80" s="324"/>
    </row>
    <row r="81" spans="1:26" ht="18" customHeight="1">
      <c r="A81" s="326"/>
      <c r="K81" s="171" t="s">
        <v>14</v>
      </c>
      <c r="L81" s="171"/>
      <c r="M81" s="171"/>
      <c r="N81" s="139" t="s">
        <v>17</v>
      </c>
      <c r="O81" s="68"/>
      <c r="P81" s="69"/>
      <c r="Q81" s="70"/>
      <c r="R81" s="71"/>
      <c r="S81" s="71">
        <f ca="1">SUBTOTAL(9,S75:S80)</f>
        <v>21209996</v>
      </c>
      <c r="T81" s="71"/>
      <c r="U81" s="71">
        <f ca="1">SUBTOTAL(9,U75:U80)</f>
        <v>21209996</v>
      </c>
      <c r="V81" s="71"/>
      <c r="W81" s="71"/>
      <c r="X81" s="71"/>
      <c r="Y81" s="71"/>
      <c r="Z81" s="68"/>
    </row>
    <row r="82" spans="1:26" ht="18" customHeight="1">
      <c r="A82" s="326"/>
      <c r="K82" s="171" t="s">
        <v>14</v>
      </c>
      <c r="L82" s="171"/>
      <c r="M82" s="171"/>
      <c r="N82" s="318" t="str">
        <f ca="1">"제 " &amp; Z82 &amp; " 호표  "&amp; OFFSET($A$1,MATCH(Z82,$A:$A,0)-1,1)</f>
        <v>제 3 호표  1.3. 경관의식조사</v>
      </c>
      <c r="O82" s="221"/>
      <c r="P82" s="148"/>
      <c r="Q82" s="148"/>
      <c r="R82" s="149"/>
      <c r="S82" s="149"/>
      <c r="T82" s="149"/>
      <c r="U82" s="149"/>
      <c r="V82" s="149"/>
      <c r="W82" s="149"/>
      <c r="X82" s="149"/>
      <c r="Y82" s="149"/>
      <c r="Z82" s="325">
        <f>Z74+1</f>
        <v>3</v>
      </c>
    </row>
    <row r="83" spans="1:26" ht="18" customHeight="1">
      <c r="K83" s="171" t="s">
        <v>14</v>
      </c>
      <c r="L83" s="171"/>
      <c r="M83" s="171"/>
      <c r="N83" s="140" t="s">
        <v>43</v>
      </c>
      <c r="O83" s="172">
        <v>3</v>
      </c>
      <c r="P83" s="219">
        <f ca="1">OFFSET($A$1,MATCH(Z82,$A:$A,0)-1,O83)</f>
        <v>1.5</v>
      </c>
      <c r="Q83" s="141" t="s">
        <v>29</v>
      </c>
      <c r="R83" s="142">
        <f t="shared" ref="R83:S88" ca="1" si="18">T83</f>
        <v>467217</v>
      </c>
      <c r="S83" s="142">
        <f t="shared" ca="1" si="18"/>
        <v>700825</v>
      </c>
      <c r="T83" s="142">
        <f ca="1">기술사</f>
        <v>467217</v>
      </c>
      <c r="U83" s="142">
        <f t="shared" ref="U83:U88" ca="1" si="19">ROUNDDOWN(P83*R83,0)</f>
        <v>700825</v>
      </c>
      <c r="V83" s="142"/>
      <c r="W83" s="142"/>
      <c r="X83" s="142"/>
      <c r="Y83" s="142"/>
      <c r="Z83" s="114"/>
    </row>
    <row r="84" spans="1:26" ht="18" customHeight="1">
      <c r="K84" s="171" t="s">
        <v>14</v>
      </c>
      <c r="L84" s="171"/>
      <c r="M84" s="171"/>
      <c r="N84" s="143" t="s">
        <v>32</v>
      </c>
      <c r="O84" s="173">
        <v>4</v>
      </c>
      <c r="P84" s="234">
        <f ca="1">OFFSET($A$1,MATCH(Z82,$A:$A,0)-1,O84)</f>
        <v>2</v>
      </c>
      <c r="Q84" s="144" t="s">
        <v>29</v>
      </c>
      <c r="R84" s="118">
        <f t="shared" ca="1" si="18"/>
        <v>373353</v>
      </c>
      <c r="S84" s="118">
        <f t="shared" ca="1" si="18"/>
        <v>746706</v>
      </c>
      <c r="T84" s="118">
        <f ca="1">특급</f>
        <v>373353</v>
      </c>
      <c r="U84" s="118">
        <f t="shared" ca="1" si="19"/>
        <v>746706</v>
      </c>
      <c r="V84" s="118"/>
      <c r="W84" s="118"/>
      <c r="X84" s="118"/>
      <c r="Y84" s="118"/>
      <c r="Z84" s="115"/>
    </row>
    <row r="85" spans="1:26" ht="18" customHeight="1">
      <c r="K85" s="171" t="s">
        <v>14</v>
      </c>
      <c r="L85" s="171"/>
      <c r="M85" s="171"/>
      <c r="N85" s="145" t="s">
        <v>39</v>
      </c>
      <c r="O85" s="173">
        <v>5</v>
      </c>
      <c r="P85" s="234">
        <f ca="1">OFFSET($A$1,MATCH(Z82,$A:$A,0)-1,O85)</f>
        <v>4</v>
      </c>
      <c r="Q85" s="144" t="s">
        <v>29</v>
      </c>
      <c r="R85" s="118">
        <f t="shared" ca="1" si="18"/>
        <v>310884</v>
      </c>
      <c r="S85" s="118">
        <f t="shared" ca="1" si="18"/>
        <v>1243536</v>
      </c>
      <c r="T85" s="118">
        <f ca="1">고급</f>
        <v>310884</v>
      </c>
      <c r="U85" s="118">
        <f t="shared" ca="1" si="19"/>
        <v>1243536</v>
      </c>
      <c r="V85" s="118"/>
      <c r="W85" s="118"/>
      <c r="X85" s="118"/>
      <c r="Y85" s="118"/>
      <c r="Z85" s="115"/>
    </row>
    <row r="86" spans="1:26" ht="18" customHeight="1">
      <c r="K86" s="171" t="s">
        <v>14</v>
      </c>
      <c r="L86" s="171"/>
      <c r="M86" s="171"/>
      <c r="N86" s="145" t="s">
        <v>40</v>
      </c>
      <c r="O86" s="173">
        <v>6</v>
      </c>
      <c r="P86" s="234">
        <f ca="1">OFFSET($A$1,MATCH(Z82,$A:$A,0)-1,O86)</f>
        <v>4</v>
      </c>
      <c r="Q86" s="144" t="s">
        <v>29</v>
      </c>
      <c r="R86" s="118">
        <f t="shared" ca="1" si="18"/>
        <v>295138</v>
      </c>
      <c r="S86" s="118">
        <f t="shared" ca="1" si="18"/>
        <v>1180552</v>
      </c>
      <c r="T86" s="118">
        <f ca="1">중급</f>
        <v>295138</v>
      </c>
      <c r="U86" s="118">
        <f t="shared" ca="1" si="19"/>
        <v>1180552</v>
      </c>
      <c r="V86" s="118"/>
      <c r="W86" s="118"/>
      <c r="X86" s="118"/>
      <c r="Y86" s="118"/>
      <c r="Z86" s="115"/>
    </row>
    <row r="87" spans="1:26" ht="18" customHeight="1">
      <c r="K87" s="171" t="s">
        <v>14</v>
      </c>
      <c r="L87" s="171"/>
      <c r="M87" s="171"/>
      <c r="N87" s="145" t="s">
        <v>41</v>
      </c>
      <c r="O87" s="173">
        <v>7</v>
      </c>
      <c r="P87" s="234">
        <f ca="1">OFFSET($A$1,MATCH(Z82,$A:$A,0)-1,O87)</f>
        <v>6</v>
      </c>
      <c r="Q87" s="144" t="s">
        <v>29</v>
      </c>
      <c r="R87" s="118">
        <f t="shared" ca="1" si="18"/>
        <v>235459</v>
      </c>
      <c r="S87" s="118">
        <f t="shared" ca="1" si="18"/>
        <v>1412754</v>
      </c>
      <c r="T87" s="118">
        <f ca="1">초급</f>
        <v>235459</v>
      </c>
      <c r="U87" s="118">
        <f t="shared" ca="1" si="19"/>
        <v>1412754</v>
      </c>
      <c r="V87" s="118"/>
      <c r="W87" s="118"/>
      <c r="X87" s="118"/>
      <c r="Y87" s="118"/>
      <c r="Z87" s="115"/>
    </row>
    <row r="88" spans="1:26" ht="18" customHeight="1">
      <c r="K88" s="171" t="s">
        <v>14</v>
      </c>
      <c r="L88" s="171"/>
      <c r="M88" s="171"/>
      <c r="N88" s="319" t="s">
        <v>42</v>
      </c>
      <c r="O88" s="174">
        <v>8</v>
      </c>
      <c r="P88" s="235">
        <f ca="1">OFFSET($A$1,MATCH(Z82,$A:$A,0)-1,O88)</f>
        <v>6.5</v>
      </c>
      <c r="Q88" s="322" t="s">
        <v>29</v>
      </c>
      <c r="R88" s="323">
        <f t="shared" ca="1" si="18"/>
        <v>250087</v>
      </c>
      <c r="S88" s="323">
        <f t="shared" ca="1" si="18"/>
        <v>1625565</v>
      </c>
      <c r="T88" s="323">
        <f ca="1">보조원</f>
        <v>250087</v>
      </c>
      <c r="U88" s="323">
        <f t="shared" ca="1" si="19"/>
        <v>1625565</v>
      </c>
      <c r="V88" s="323"/>
      <c r="W88" s="323"/>
      <c r="X88" s="323"/>
      <c r="Y88" s="323"/>
      <c r="Z88" s="324"/>
    </row>
    <row r="89" spans="1:26" ht="18" customHeight="1">
      <c r="K89" s="171" t="s">
        <v>14</v>
      </c>
      <c r="L89" s="171"/>
      <c r="M89" s="171"/>
      <c r="N89" s="139" t="s">
        <v>17</v>
      </c>
      <c r="O89" s="68"/>
      <c r="P89" s="69"/>
      <c r="Q89" s="70"/>
      <c r="R89" s="71"/>
      <c r="S89" s="71">
        <f ca="1">SUBTOTAL(9,S83:S88)</f>
        <v>6909938</v>
      </c>
      <c r="T89" s="71"/>
      <c r="U89" s="71">
        <f ca="1">SUBTOTAL(9,U83:U88)</f>
        <v>6909938</v>
      </c>
      <c r="V89" s="71"/>
      <c r="W89" s="71"/>
      <c r="X89" s="71"/>
      <c r="Y89" s="71"/>
      <c r="Z89" s="68"/>
    </row>
    <row r="90" spans="1:26" ht="18" customHeight="1">
      <c r="K90" s="171" t="s">
        <v>14</v>
      </c>
      <c r="L90" s="171"/>
      <c r="M90" s="171"/>
      <c r="N90" s="318" t="str">
        <f ca="1">"제 " &amp; Z90 &amp; " 호표  "&amp; OFFSET($A$1,MATCH(Z90,$A:$A,0)-1,1)</f>
        <v>제 4 호표  1.4. 종합분석</v>
      </c>
      <c r="O90" s="221"/>
      <c r="P90" s="148"/>
      <c r="Q90" s="148"/>
      <c r="R90" s="149"/>
      <c r="S90" s="149"/>
      <c r="T90" s="149"/>
      <c r="U90" s="149"/>
      <c r="V90" s="149"/>
      <c r="W90" s="149"/>
      <c r="X90" s="149"/>
      <c r="Y90" s="149"/>
      <c r="Z90" s="325">
        <f>Z82+1</f>
        <v>4</v>
      </c>
    </row>
    <row r="91" spans="1:26" ht="18" customHeight="1">
      <c r="K91" s="171" t="s">
        <v>14</v>
      </c>
      <c r="L91" s="171"/>
      <c r="M91" s="171"/>
      <c r="N91" s="140" t="s">
        <v>43</v>
      </c>
      <c r="O91" s="172">
        <v>3</v>
      </c>
      <c r="P91" s="219">
        <f ca="1">OFFSET($A$1,MATCH(Z90,$A:$A,0)-1,O91)</f>
        <v>0.5</v>
      </c>
      <c r="Q91" s="141" t="s">
        <v>29</v>
      </c>
      <c r="R91" s="142">
        <f t="shared" ref="R91:S96" ca="1" si="20">T91</f>
        <v>467217</v>
      </c>
      <c r="S91" s="142">
        <f t="shared" ca="1" si="20"/>
        <v>233608</v>
      </c>
      <c r="T91" s="142">
        <f ca="1">기술사</f>
        <v>467217</v>
      </c>
      <c r="U91" s="142">
        <f t="shared" ref="U91:U96" ca="1" si="21">ROUNDDOWN(P91*R91,0)</f>
        <v>233608</v>
      </c>
      <c r="V91" s="142"/>
      <c r="W91" s="142"/>
      <c r="X91" s="142"/>
      <c r="Y91" s="142"/>
      <c r="Z91" s="114"/>
    </row>
    <row r="92" spans="1:26" ht="18" customHeight="1">
      <c r="K92" s="171" t="s">
        <v>14</v>
      </c>
      <c r="L92" s="171"/>
      <c r="M92" s="171"/>
      <c r="N92" s="143" t="s">
        <v>32</v>
      </c>
      <c r="O92" s="173">
        <v>4</v>
      </c>
      <c r="P92" s="234">
        <f ca="1">OFFSET($A$1,MATCH(Z90,$A:$A,0)-1,O92)</f>
        <v>1.5</v>
      </c>
      <c r="Q92" s="144" t="s">
        <v>29</v>
      </c>
      <c r="R92" s="118">
        <f t="shared" ca="1" si="20"/>
        <v>373353</v>
      </c>
      <c r="S92" s="118">
        <f t="shared" ca="1" si="20"/>
        <v>560029</v>
      </c>
      <c r="T92" s="118">
        <f ca="1">특급</f>
        <v>373353</v>
      </c>
      <c r="U92" s="118">
        <f t="shared" ca="1" si="21"/>
        <v>560029</v>
      </c>
      <c r="V92" s="118"/>
      <c r="W92" s="118"/>
      <c r="X92" s="118"/>
      <c r="Y92" s="118"/>
      <c r="Z92" s="115"/>
    </row>
    <row r="93" spans="1:26" ht="18" customHeight="1">
      <c r="K93" s="171" t="s">
        <v>14</v>
      </c>
      <c r="L93" s="171"/>
      <c r="M93" s="171"/>
      <c r="N93" s="145" t="s">
        <v>39</v>
      </c>
      <c r="O93" s="173">
        <v>5</v>
      </c>
      <c r="P93" s="234">
        <f ca="1">OFFSET($A$1,MATCH(Z90,$A:$A,0)-1,O93)</f>
        <v>1.5</v>
      </c>
      <c r="Q93" s="144" t="s">
        <v>29</v>
      </c>
      <c r="R93" s="118">
        <f t="shared" ca="1" si="20"/>
        <v>310884</v>
      </c>
      <c r="S93" s="118">
        <f t="shared" ca="1" si="20"/>
        <v>466326</v>
      </c>
      <c r="T93" s="118">
        <f ca="1">고급</f>
        <v>310884</v>
      </c>
      <c r="U93" s="118">
        <f t="shared" ca="1" si="21"/>
        <v>466326</v>
      </c>
      <c r="V93" s="118"/>
      <c r="W93" s="118"/>
      <c r="X93" s="118"/>
      <c r="Y93" s="118"/>
      <c r="Z93" s="115"/>
    </row>
    <row r="94" spans="1:26" ht="18" customHeight="1">
      <c r="K94" s="171" t="s">
        <v>14</v>
      </c>
      <c r="L94" s="171"/>
      <c r="M94" s="171"/>
      <c r="N94" s="145" t="s">
        <v>40</v>
      </c>
      <c r="O94" s="173">
        <v>6</v>
      </c>
      <c r="P94" s="234">
        <f ca="1">OFFSET($A$1,MATCH(Z90,$A:$A,0)-1,O94)</f>
        <v>3</v>
      </c>
      <c r="Q94" s="144" t="s">
        <v>29</v>
      </c>
      <c r="R94" s="118">
        <f t="shared" ca="1" si="20"/>
        <v>295138</v>
      </c>
      <c r="S94" s="118">
        <f t="shared" ca="1" si="20"/>
        <v>885414</v>
      </c>
      <c r="T94" s="118">
        <f ca="1">중급</f>
        <v>295138</v>
      </c>
      <c r="U94" s="118">
        <f t="shared" ca="1" si="21"/>
        <v>885414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M95" s="171"/>
      <c r="N95" s="145" t="s">
        <v>41</v>
      </c>
      <c r="O95" s="173">
        <v>7</v>
      </c>
      <c r="P95" s="234">
        <f ca="1">OFFSET($A$1,MATCH(Z90,$A:$A,0)-1,O95)</f>
        <v>3</v>
      </c>
      <c r="Q95" s="144" t="s">
        <v>29</v>
      </c>
      <c r="R95" s="118">
        <f t="shared" ca="1" si="20"/>
        <v>235459</v>
      </c>
      <c r="S95" s="118">
        <f t="shared" ca="1" si="20"/>
        <v>706377</v>
      </c>
      <c r="T95" s="118">
        <f ca="1">초급</f>
        <v>235459</v>
      </c>
      <c r="U95" s="118">
        <f t="shared" ca="1" si="21"/>
        <v>706377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M96" s="171"/>
      <c r="N96" s="319" t="s">
        <v>42</v>
      </c>
      <c r="O96" s="174">
        <v>8</v>
      </c>
      <c r="P96" s="235">
        <f ca="1">OFFSET($A$1,MATCH(Z90,$A:$A,0)-1,O96)</f>
        <v>4.5</v>
      </c>
      <c r="Q96" s="322" t="s">
        <v>29</v>
      </c>
      <c r="R96" s="323">
        <f t="shared" ca="1" si="20"/>
        <v>250087</v>
      </c>
      <c r="S96" s="323">
        <f t="shared" ca="1" si="20"/>
        <v>1125391</v>
      </c>
      <c r="T96" s="323">
        <f ca="1">보조원</f>
        <v>250087</v>
      </c>
      <c r="U96" s="323">
        <f t="shared" ca="1" si="21"/>
        <v>1125391</v>
      </c>
      <c r="V96" s="323"/>
      <c r="W96" s="323"/>
      <c r="X96" s="323"/>
      <c r="Y96" s="323"/>
      <c r="Z96" s="324"/>
    </row>
    <row r="97" spans="11:26" ht="18" customHeight="1">
      <c r="K97" s="171" t="s">
        <v>14</v>
      </c>
      <c r="L97" s="171"/>
      <c r="M97" s="171"/>
      <c r="N97" s="139" t="s">
        <v>17</v>
      </c>
      <c r="O97" s="68"/>
      <c r="P97" s="69"/>
      <c r="Q97" s="70"/>
      <c r="R97" s="71"/>
      <c r="S97" s="71">
        <f ca="1">SUBTOTAL(9,S91:S96)</f>
        <v>3977145</v>
      </c>
      <c r="T97" s="71"/>
      <c r="U97" s="71">
        <f ca="1">SUBTOTAL(9,U91:U96)</f>
        <v>3977145</v>
      </c>
      <c r="V97" s="71"/>
      <c r="W97" s="71"/>
      <c r="X97" s="71"/>
      <c r="Y97" s="71"/>
      <c r="Z97" s="68"/>
    </row>
    <row r="98" spans="11:26" ht="18" customHeight="1">
      <c r="K98" s="171" t="s">
        <v>14</v>
      </c>
      <c r="L98" s="171"/>
      <c r="M98" s="171"/>
      <c r="N98" s="318" t="str">
        <f ca="1">"제 " &amp; Z98 &amp; " 호표  "&amp; OFFSET($A$1,MATCH(Z98,$A:$A,0)-1,1)</f>
        <v>제 5 호표  2.1. 기본방향 및 미래상 설정</v>
      </c>
      <c r="O98" s="221"/>
      <c r="P98" s="148"/>
      <c r="Q98" s="148"/>
      <c r="R98" s="149"/>
      <c r="S98" s="149"/>
      <c r="T98" s="149"/>
      <c r="U98" s="149"/>
      <c r="V98" s="149"/>
      <c r="W98" s="149"/>
      <c r="X98" s="149"/>
      <c r="Y98" s="149"/>
      <c r="Z98" s="325">
        <f>Z90+1</f>
        <v>5</v>
      </c>
    </row>
    <row r="99" spans="11:26" ht="18" customHeight="1">
      <c r="K99" s="171" t="s">
        <v>14</v>
      </c>
      <c r="L99" s="171"/>
      <c r="M99" s="171"/>
      <c r="N99" s="140" t="s">
        <v>43</v>
      </c>
      <c r="O99" s="172">
        <v>3</v>
      </c>
      <c r="P99" s="219">
        <f ca="1">OFFSET($A$1,MATCH(Z98,$A:$A,0)-1,O99)</f>
        <v>1</v>
      </c>
      <c r="Q99" s="141" t="s">
        <v>29</v>
      </c>
      <c r="R99" s="142">
        <f t="shared" ref="R99:S104" ca="1" si="22">T99</f>
        <v>467217</v>
      </c>
      <c r="S99" s="142">
        <f t="shared" ca="1" si="22"/>
        <v>467217</v>
      </c>
      <c r="T99" s="142">
        <f ca="1">기술사</f>
        <v>467217</v>
      </c>
      <c r="U99" s="142">
        <f t="shared" ref="U99:U104" ca="1" si="23">ROUNDDOWN(P99*R99,0)</f>
        <v>467217</v>
      </c>
      <c r="V99" s="142"/>
      <c r="W99" s="142"/>
      <c r="X99" s="142"/>
      <c r="Y99" s="142"/>
      <c r="Z99" s="114"/>
    </row>
    <row r="100" spans="11:26" ht="18" customHeight="1">
      <c r="K100" s="171" t="s">
        <v>14</v>
      </c>
      <c r="L100" s="171"/>
      <c r="M100" s="171"/>
      <c r="N100" s="143" t="s">
        <v>32</v>
      </c>
      <c r="O100" s="173">
        <v>4</v>
      </c>
      <c r="P100" s="234">
        <f ca="1">OFFSET($A$1,MATCH(Z98,$A:$A,0)-1,O100)</f>
        <v>1.52</v>
      </c>
      <c r="Q100" s="144" t="s">
        <v>29</v>
      </c>
      <c r="R100" s="118">
        <f t="shared" ca="1" si="22"/>
        <v>373353</v>
      </c>
      <c r="S100" s="118">
        <f t="shared" ca="1" si="22"/>
        <v>567496</v>
      </c>
      <c r="T100" s="118">
        <f ca="1">특급</f>
        <v>373353</v>
      </c>
      <c r="U100" s="118">
        <f t="shared" ca="1" si="23"/>
        <v>567496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145" t="s">
        <v>39</v>
      </c>
      <c r="O101" s="173">
        <v>5</v>
      </c>
      <c r="P101" s="234">
        <f ca="1">OFFSET($A$1,MATCH(Z98,$A:$A,0)-1,O101)</f>
        <v>2</v>
      </c>
      <c r="Q101" s="144" t="s">
        <v>29</v>
      </c>
      <c r="R101" s="118">
        <f t="shared" ca="1" si="22"/>
        <v>310884</v>
      </c>
      <c r="S101" s="118">
        <f t="shared" ca="1" si="22"/>
        <v>621768</v>
      </c>
      <c r="T101" s="118">
        <f ca="1">고급</f>
        <v>310884</v>
      </c>
      <c r="U101" s="118">
        <f t="shared" ca="1" si="23"/>
        <v>621768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145" t="s">
        <v>40</v>
      </c>
      <c r="O102" s="173">
        <v>6</v>
      </c>
      <c r="P102" s="234">
        <f ca="1">OFFSET($A$1,MATCH(Z98,$A:$A,0)-1,O102)</f>
        <v>2</v>
      </c>
      <c r="Q102" s="144" t="s">
        <v>29</v>
      </c>
      <c r="R102" s="118">
        <f t="shared" ca="1" si="22"/>
        <v>295138</v>
      </c>
      <c r="S102" s="118">
        <f t="shared" ca="1" si="22"/>
        <v>590276</v>
      </c>
      <c r="T102" s="118">
        <f ca="1">중급</f>
        <v>295138</v>
      </c>
      <c r="U102" s="118">
        <f t="shared" ca="1" si="23"/>
        <v>590276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41</v>
      </c>
      <c r="O103" s="173">
        <v>7</v>
      </c>
      <c r="P103" s="234">
        <f ca="1">OFFSET($A$1,MATCH(Z98,$A:$A,0)-1,O103)</f>
        <v>3</v>
      </c>
      <c r="Q103" s="144" t="s">
        <v>29</v>
      </c>
      <c r="R103" s="118">
        <f t="shared" ca="1" si="22"/>
        <v>235459</v>
      </c>
      <c r="S103" s="118">
        <f t="shared" ca="1" si="22"/>
        <v>706377</v>
      </c>
      <c r="T103" s="118">
        <f ca="1">초급</f>
        <v>235459</v>
      </c>
      <c r="U103" s="118">
        <f t="shared" ca="1" si="23"/>
        <v>706377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319" t="s">
        <v>42</v>
      </c>
      <c r="O104" s="174">
        <v>8</v>
      </c>
      <c r="P104" s="235">
        <f ca="1">OFFSET($A$1,MATCH(Z98,$A:$A,0)-1,O104)</f>
        <v>4</v>
      </c>
      <c r="Q104" s="322" t="s">
        <v>29</v>
      </c>
      <c r="R104" s="323">
        <f t="shared" ca="1" si="22"/>
        <v>250087</v>
      </c>
      <c r="S104" s="323">
        <f t="shared" ca="1" si="22"/>
        <v>1000348</v>
      </c>
      <c r="T104" s="323">
        <f ca="1">보조원</f>
        <v>250087</v>
      </c>
      <c r="U104" s="323">
        <f t="shared" ca="1" si="23"/>
        <v>1000348</v>
      </c>
      <c r="V104" s="323"/>
      <c r="W104" s="323"/>
      <c r="X104" s="323"/>
      <c r="Y104" s="323"/>
      <c r="Z104" s="324"/>
    </row>
    <row r="105" spans="11:26" ht="18" customHeight="1">
      <c r="K105" s="171" t="s">
        <v>14</v>
      </c>
      <c r="L105" s="171"/>
      <c r="M105" s="171"/>
      <c r="N105" s="139" t="s">
        <v>17</v>
      </c>
      <c r="O105" s="68"/>
      <c r="P105" s="69"/>
      <c r="Q105" s="70"/>
      <c r="R105" s="71"/>
      <c r="S105" s="71">
        <f ca="1">SUBTOTAL(9,S99:S104)</f>
        <v>3953482</v>
      </c>
      <c r="T105" s="71"/>
      <c r="U105" s="71">
        <f ca="1">SUBTOTAL(9,U99:U104)</f>
        <v>3953482</v>
      </c>
      <c r="V105" s="71"/>
      <c r="W105" s="71"/>
      <c r="X105" s="71"/>
      <c r="Y105" s="71"/>
      <c r="Z105" s="68"/>
    </row>
    <row r="106" spans="11:26" ht="18" customHeight="1">
      <c r="K106" s="171" t="s">
        <v>14</v>
      </c>
      <c r="L106" s="171"/>
      <c r="M106" s="171"/>
      <c r="N106" s="318" t="str">
        <f ca="1">"제 " &amp; Z106 &amp; " 호표  "&amp; OFFSET($A$1,MATCH(Z106,$A:$A,0)-1,1)</f>
        <v>제 6 호표  2.2. 경관구조 설정</v>
      </c>
      <c r="O106" s="221"/>
      <c r="P106" s="148"/>
      <c r="Q106" s="148"/>
      <c r="R106" s="149"/>
      <c r="S106" s="149"/>
      <c r="T106" s="149"/>
      <c r="U106" s="149"/>
      <c r="V106" s="149"/>
      <c r="W106" s="149"/>
      <c r="X106" s="149"/>
      <c r="Y106" s="149"/>
      <c r="Z106" s="325">
        <f>Z98+1</f>
        <v>6</v>
      </c>
    </row>
    <row r="107" spans="11:26" ht="18" customHeight="1">
      <c r="K107" s="171" t="s">
        <v>14</v>
      </c>
      <c r="L107" s="171"/>
      <c r="M107" s="171"/>
      <c r="N107" s="140" t="s">
        <v>43</v>
      </c>
      <c r="O107" s="172">
        <v>3</v>
      </c>
      <c r="P107" s="219">
        <f ca="1">OFFSET($A$1,MATCH(Z106,$A:$A,0)-1,O107)</f>
        <v>1</v>
      </c>
      <c r="Q107" s="141" t="s">
        <v>29</v>
      </c>
      <c r="R107" s="142">
        <f t="shared" ref="R107:S112" ca="1" si="24">T107</f>
        <v>467217</v>
      </c>
      <c r="S107" s="142">
        <f t="shared" ca="1" si="24"/>
        <v>467217</v>
      </c>
      <c r="T107" s="142">
        <f ca="1">기술사</f>
        <v>467217</v>
      </c>
      <c r="U107" s="142">
        <f t="shared" ref="U107:U112" ca="1" si="25">ROUNDDOWN(P107*R107,0)</f>
        <v>467217</v>
      </c>
      <c r="V107" s="142"/>
      <c r="W107" s="142"/>
      <c r="X107" s="142"/>
      <c r="Y107" s="142"/>
      <c r="Z107" s="114"/>
    </row>
    <row r="108" spans="11:26" ht="18" customHeight="1">
      <c r="K108" s="171" t="s">
        <v>14</v>
      </c>
      <c r="L108" s="171"/>
      <c r="M108" s="171"/>
      <c r="N108" s="143" t="s">
        <v>32</v>
      </c>
      <c r="O108" s="173">
        <v>4</v>
      </c>
      <c r="P108" s="234">
        <f ca="1">OFFSET($A$1,MATCH(Z106,$A:$A,0)-1,O108)</f>
        <v>2</v>
      </c>
      <c r="Q108" s="144" t="s">
        <v>29</v>
      </c>
      <c r="R108" s="118">
        <f t="shared" ca="1" si="24"/>
        <v>373353</v>
      </c>
      <c r="S108" s="118">
        <f t="shared" ca="1" si="24"/>
        <v>746706</v>
      </c>
      <c r="T108" s="118">
        <f ca="1">특급</f>
        <v>373353</v>
      </c>
      <c r="U108" s="118">
        <f t="shared" ca="1" si="25"/>
        <v>746706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145" t="s">
        <v>39</v>
      </c>
      <c r="O109" s="173">
        <v>5</v>
      </c>
      <c r="P109" s="234">
        <f ca="1">OFFSET($A$1,MATCH(Z106,$A:$A,0)-1,O109)</f>
        <v>3</v>
      </c>
      <c r="Q109" s="144" t="s">
        <v>29</v>
      </c>
      <c r="R109" s="118">
        <f t="shared" ca="1" si="24"/>
        <v>310884</v>
      </c>
      <c r="S109" s="118">
        <f t="shared" ca="1" si="24"/>
        <v>932652</v>
      </c>
      <c r="T109" s="118">
        <f ca="1">고급</f>
        <v>310884</v>
      </c>
      <c r="U109" s="118">
        <f t="shared" ca="1" si="25"/>
        <v>932652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40</v>
      </c>
      <c r="O110" s="173">
        <v>6</v>
      </c>
      <c r="P110" s="234">
        <f ca="1">OFFSET($A$1,MATCH(Z106,$A:$A,0)-1,O110)</f>
        <v>2</v>
      </c>
      <c r="Q110" s="144" t="s">
        <v>29</v>
      </c>
      <c r="R110" s="118">
        <f t="shared" ca="1" si="24"/>
        <v>295138</v>
      </c>
      <c r="S110" s="118">
        <f t="shared" ca="1" si="24"/>
        <v>590276</v>
      </c>
      <c r="T110" s="118">
        <f ca="1">중급</f>
        <v>295138</v>
      </c>
      <c r="U110" s="118">
        <f t="shared" ca="1" si="25"/>
        <v>590276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41</v>
      </c>
      <c r="O111" s="173">
        <v>7</v>
      </c>
      <c r="P111" s="234">
        <f ca="1">OFFSET($A$1,MATCH(Z106,$A:$A,0)-1,O111)</f>
        <v>3.5</v>
      </c>
      <c r="Q111" s="144" t="s">
        <v>29</v>
      </c>
      <c r="R111" s="118">
        <f t="shared" ca="1" si="24"/>
        <v>235459</v>
      </c>
      <c r="S111" s="118">
        <f t="shared" ca="1" si="24"/>
        <v>824106</v>
      </c>
      <c r="T111" s="118">
        <f ca="1">초급</f>
        <v>235459</v>
      </c>
      <c r="U111" s="118">
        <f t="shared" ca="1" si="25"/>
        <v>824106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319" t="s">
        <v>42</v>
      </c>
      <c r="O112" s="174">
        <v>8</v>
      </c>
      <c r="P112" s="235">
        <f ca="1">OFFSET($A$1,MATCH(Z106,$A:$A,0)-1,O112)</f>
        <v>4</v>
      </c>
      <c r="Q112" s="322" t="s">
        <v>29</v>
      </c>
      <c r="R112" s="323">
        <f t="shared" ca="1" si="24"/>
        <v>250087</v>
      </c>
      <c r="S112" s="323">
        <f t="shared" ca="1" si="24"/>
        <v>1000348</v>
      </c>
      <c r="T112" s="323">
        <f ca="1">보조원</f>
        <v>250087</v>
      </c>
      <c r="U112" s="323">
        <f t="shared" ca="1" si="25"/>
        <v>1000348</v>
      </c>
      <c r="V112" s="323"/>
      <c r="W112" s="323"/>
      <c r="X112" s="323"/>
      <c r="Y112" s="323"/>
      <c r="Z112" s="324"/>
    </row>
    <row r="113" spans="11:26" ht="18" customHeight="1">
      <c r="K113" s="171" t="s">
        <v>14</v>
      </c>
      <c r="L113" s="171"/>
      <c r="M113" s="171"/>
      <c r="N113" s="139" t="s">
        <v>17</v>
      </c>
      <c r="O113" s="68"/>
      <c r="P113" s="69"/>
      <c r="Q113" s="70"/>
      <c r="R113" s="71"/>
      <c r="S113" s="71">
        <f ca="1">SUBTOTAL(9,S107:S112)</f>
        <v>4561305</v>
      </c>
      <c r="T113" s="71"/>
      <c r="U113" s="71">
        <f ca="1">SUBTOTAL(9,U107:U112)</f>
        <v>4561305</v>
      </c>
      <c r="V113" s="71"/>
      <c r="W113" s="71"/>
      <c r="X113" s="71"/>
      <c r="Y113" s="71"/>
      <c r="Z113" s="68"/>
    </row>
    <row r="114" spans="11:26" ht="18" customHeight="1">
      <c r="K114" s="171" t="s">
        <v>14</v>
      </c>
      <c r="L114" s="171"/>
      <c r="M114" s="171"/>
      <c r="N114" s="318" t="str">
        <f ca="1">"제 " &amp; Z114 &amp; " 호표  "&amp; OFFSET($A$1,MATCH(Z114,$A:$A,0)-1,1)</f>
        <v>제 7 호표  3.1. 경관권역, 축, 거점계획</v>
      </c>
      <c r="O114" s="221"/>
      <c r="P114" s="148"/>
      <c r="Q114" s="148"/>
      <c r="R114" s="149"/>
      <c r="S114" s="149"/>
      <c r="T114" s="149"/>
      <c r="U114" s="149"/>
      <c r="V114" s="149"/>
      <c r="W114" s="149"/>
      <c r="X114" s="149"/>
      <c r="Y114" s="149"/>
      <c r="Z114" s="325">
        <f>Z106+1</f>
        <v>7</v>
      </c>
    </row>
    <row r="115" spans="11:26" ht="18" customHeight="1">
      <c r="K115" s="171" t="s">
        <v>14</v>
      </c>
      <c r="L115" s="171"/>
      <c r="M115" s="171"/>
      <c r="N115" s="140" t="s">
        <v>43</v>
      </c>
      <c r="O115" s="172">
        <v>3</v>
      </c>
      <c r="P115" s="219">
        <f ca="1">OFFSET($A$1,MATCH(Z114,$A:$A,0)-1,O115)</f>
        <v>2</v>
      </c>
      <c r="Q115" s="141" t="s">
        <v>29</v>
      </c>
      <c r="R115" s="142">
        <f t="shared" ref="R115:S120" ca="1" si="26">T115</f>
        <v>467217</v>
      </c>
      <c r="S115" s="142">
        <f t="shared" ca="1" si="26"/>
        <v>934434</v>
      </c>
      <c r="T115" s="142">
        <f ca="1">기술사</f>
        <v>467217</v>
      </c>
      <c r="U115" s="142">
        <f t="shared" ref="U115:U120" ca="1" si="27">ROUNDDOWN(P115*R115,0)</f>
        <v>934434</v>
      </c>
      <c r="V115" s="142"/>
      <c r="W115" s="142"/>
      <c r="X115" s="142"/>
      <c r="Y115" s="142"/>
      <c r="Z115" s="114"/>
    </row>
    <row r="116" spans="11:26" ht="18" customHeight="1">
      <c r="K116" s="171" t="s">
        <v>14</v>
      </c>
      <c r="L116" s="171"/>
      <c r="M116" s="171"/>
      <c r="N116" s="143" t="s">
        <v>32</v>
      </c>
      <c r="O116" s="173">
        <v>4</v>
      </c>
      <c r="P116" s="234">
        <f ca="1">OFFSET($A$1,MATCH(Z114,$A:$A,0)-1,O116)</f>
        <v>5</v>
      </c>
      <c r="Q116" s="144" t="s">
        <v>29</v>
      </c>
      <c r="R116" s="118">
        <f t="shared" ca="1" si="26"/>
        <v>373353</v>
      </c>
      <c r="S116" s="118">
        <f t="shared" ca="1" si="26"/>
        <v>1866765</v>
      </c>
      <c r="T116" s="118">
        <f ca="1">특급</f>
        <v>373353</v>
      </c>
      <c r="U116" s="118">
        <f t="shared" ca="1" si="27"/>
        <v>1866765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39</v>
      </c>
      <c r="O117" s="173">
        <v>5</v>
      </c>
      <c r="P117" s="234">
        <f ca="1">OFFSET($A$1,MATCH(Z114,$A:$A,0)-1,O117)</f>
        <v>9</v>
      </c>
      <c r="Q117" s="144" t="s">
        <v>29</v>
      </c>
      <c r="R117" s="118">
        <f t="shared" ca="1" si="26"/>
        <v>310884</v>
      </c>
      <c r="S117" s="118">
        <f t="shared" ca="1" si="26"/>
        <v>2797956</v>
      </c>
      <c r="T117" s="118">
        <f ca="1">고급</f>
        <v>310884</v>
      </c>
      <c r="U117" s="118">
        <f t="shared" ca="1" si="27"/>
        <v>2797956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40</v>
      </c>
      <c r="O118" s="173">
        <v>6</v>
      </c>
      <c r="P118" s="234">
        <f ca="1">OFFSET($A$1,MATCH(Z114,$A:$A,0)-1,O118)</f>
        <v>10</v>
      </c>
      <c r="Q118" s="144" t="s">
        <v>29</v>
      </c>
      <c r="R118" s="118">
        <f t="shared" ca="1" si="26"/>
        <v>295138</v>
      </c>
      <c r="S118" s="118">
        <f t="shared" ca="1" si="26"/>
        <v>2951380</v>
      </c>
      <c r="T118" s="118">
        <f ca="1">중급</f>
        <v>295138</v>
      </c>
      <c r="U118" s="118">
        <f t="shared" ca="1" si="27"/>
        <v>2951380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41</v>
      </c>
      <c r="O119" s="173">
        <v>7</v>
      </c>
      <c r="P119" s="234">
        <f ca="1">OFFSET($A$1,MATCH(Z114,$A:$A,0)-1,O119)</f>
        <v>12</v>
      </c>
      <c r="Q119" s="144" t="s">
        <v>29</v>
      </c>
      <c r="R119" s="118">
        <f t="shared" ca="1" si="26"/>
        <v>235459</v>
      </c>
      <c r="S119" s="118">
        <f t="shared" ca="1" si="26"/>
        <v>2825508</v>
      </c>
      <c r="T119" s="118">
        <f ca="1">초급</f>
        <v>235459</v>
      </c>
      <c r="U119" s="118">
        <f t="shared" ca="1" si="27"/>
        <v>2825508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319" t="s">
        <v>42</v>
      </c>
      <c r="O120" s="174">
        <v>8</v>
      </c>
      <c r="P120" s="235">
        <f ca="1">OFFSET($A$1,MATCH(Z114,$A:$A,0)-1,O120)</f>
        <v>12</v>
      </c>
      <c r="Q120" s="322" t="s">
        <v>29</v>
      </c>
      <c r="R120" s="323">
        <f t="shared" ca="1" si="26"/>
        <v>250087</v>
      </c>
      <c r="S120" s="323">
        <f t="shared" ca="1" si="26"/>
        <v>3001044</v>
      </c>
      <c r="T120" s="323">
        <f ca="1">보조원</f>
        <v>250087</v>
      </c>
      <c r="U120" s="323">
        <f t="shared" ca="1" si="27"/>
        <v>3001044</v>
      </c>
      <c r="V120" s="323"/>
      <c r="W120" s="323"/>
      <c r="X120" s="323"/>
      <c r="Y120" s="323"/>
      <c r="Z120" s="324"/>
    </row>
    <row r="121" spans="11:26" ht="18" customHeight="1">
      <c r="K121" s="171" t="s">
        <v>14</v>
      </c>
      <c r="L121" s="171"/>
      <c r="M121" s="171"/>
      <c r="N121" s="139" t="s">
        <v>17</v>
      </c>
      <c r="O121" s="68"/>
      <c r="P121" s="69"/>
      <c r="Q121" s="70"/>
      <c r="R121" s="71"/>
      <c r="S121" s="71">
        <f ca="1">SUBTOTAL(9,S115:S120)</f>
        <v>14377087</v>
      </c>
      <c r="T121" s="71"/>
      <c r="U121" s="71">
        <f ca="1">SUBTOTAL(9,U115:U120)</f>
        <v>14377087</v>
      </c>
      <c r="V121" s="71"/>
      <c r="W121" s="71"/>
      <c r="X121" s="71"/>
      <c r="Y121" s="71"/>
      <c r="Z121" s="68"/>
    </row>
    <row r="122" spans="11:26" ht="18" customHeight="1">
      <c r="K122" s="171" t="s">
        <v>14</v>
      </c>
      <c r="L122" s="171"/>
      <c r="M122" s="171"/>
      <c r="N122" s="318" t="str">
        <f ca="1">"제 " &amp; Z122 &amp; " 호표  "&amp; OFFSET($A$1,MATCH(Z122,$A:$A,0)-1,1)</f>
        <v>제 8 호표  3.2. 요소별 계획</v>
      </c>
      <c r="O122" s="221"/>
      <c r="P122" s="148"/>
      <c r="Q122" s="148"/>
      <c r="R122" s="149"/>
      <c r="S122" s="149"/>
      <c r="T122" s="149"/>
      <c r="U122" s="149"/>
      <c r="V122" s="149"/>
      <c r="W122" s="149"/>
      <c r="X122" s="149"/>
      <c r="Y122" s="149"/>
      <c r="Z122" s="325">
        <f>Z114+1</f>
        <v>8</v>
      </c>
    </row>
    <row r="123" spans="11:26" ht="18" customHeight="1">
      <c r="K123" s="171" t="s">
        <v>14</v>
      </c>
      <c r="L123" s="171"/>
      <c r="M123" s="171"/>
      <c r="N123" s="140" t="s">
        <v>43</v>
      </c>
      <c r="O123" s="172">
        <v>3</v>
      </c>
      <c r="P123" s="219">
        <f ca="1">OFFSET($A$1,MATCH(Z122,$A:$A,0)-1,O123)</f>
        <v>3</v>
      </c>
      <c r="Q123" s="141" t="s">
        <v>29</v>
      </c>
      <c r="R123" s="142">
        <f t="shared" ref="R123:S128" ca="1" si="28">T123</f>
        <v>467217</v>
      </c>
      <c r="S123" s="142">
        <f t="shared" ca="1" si="28"/>
        <v>1401651</v>
      </c>
      <c r="T123" s="142">
        <f ca="1">기술사</f>
        <v>467217</v>
      </c>
      <c r="U123" s="142">
        <f t="shared" ref="U123:U128" ca="1" si="29">ROUNDDOWN(P123*R123,0)</f>
        <v>1401651</v>
      </c>
      <c r="V123" s="142"/>
      <c r="W123" s="142"/>
      <c r="X123" s="142"/>
      <c r="Y123" s="142"/>
      <c r="Z123" s="114"/>
    </row>
    <row r="124" spans="11:26" ht="18" customHeight="1">
      <c r="K124" s="171" t="s">
        <v>14</v>
      </c>
      <c r="L124" s="171"/>
      <c r="M124" s="171"/>
      <c r="N124" s="143" t="s">
        <v>32</v>
      </c>
      <c r="O124" s="173">
        <v>4</v>
      </c>
      <c r="P124" s="234">
        <f ca="1">OFFSET($A$1,MATCH(Z122,$A:$A,0)-1,O124)</f>
        <v>5</v>
      </c>
      <c r="Q124" s="144" t="s">
        <v>29</v>
      </c>
      <c r="R124" s="118">
        <f t="shared" ca="1" si="28"/>
        <v>373353</v>
      </c>
      <c r="S124" s="118">
        <f t="shared" ca="1" si="28"/>
        <v>1866765</v>
      </c>
      <c r="T124" s="118">
        <f ca="1">특급</f>
        <v>373353</v>
      </c>
      <c r="U124" s="118">
        <f t="shared" ca="1" si="29"/>
        <v>1866765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39</v>
      </c>
      <c r="O125" s="173">
        <v>5</v>
      </c>
      <c r="P125" s="234">
        <f ca="1">OFFSET($A$1,MATCH(Z122,$A:$A,0)-1,O125)</f>
        <v>10</v>
      </c>
      <c r="Q125" s="144" t="s">
        <v>29</v>
      </c>
      <c r="R125" s="118">
        <f t="shared" ca="1" si="28"/>
        <v>310884</v>
      </c>
      <c r="S125" s="118">
        <f t="shared" ca="1" si="28"/>
        <v>3108840</v>
      </c>
      <c r="T125" s="118">
        <f ca="1">고급</f>
        <v>310884</v>
      </c>
      <c r="U125" s="118">
        <f t="shared" ca="1" si="29"/>
        <v>3108840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40</v>
      </c>
      <c r="O126" s="173">
        <v>6</v>
      </c>
      <c r="P126" s="234">
        <f ca="1">OFFSET($A$1,MATCH(Z122,$A:$A,0)-1,O126)</f>
        <v>11</v>
      </c>
      <c r="Q126" s="144" t="s">
        <v>29</v>
      </c>
      <c r="R126" s="118">
        <f t="shared" ca="1" si="28"/>
        <v>295138</v>
      </c>
      <c r="S126" s="118">
        <f t="shared" ca="1" si="28"/>
        <v>3246518</v>
      </c>
      <c r="T126" s="118">
        <f ca="1">중급</f>
        <v>295138</v>
      </c>
      <c r="U126" s="118">
        <f t="shared" ca="1" si="29"/>
        <v>3246518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41</v>
      </c>
      <c r="O127" s="173">
        <v>7</v>
      </c>
      <c r="P127" s="234">
        <f ca="1">OFFSET($A$1,MATCH(Z122,$A:$A,0)-1,O127)</f>
        <v>12</v>
      </c>
      <c r="Q127" s="144" t="s">
        <v>29</v>
      </c>
      <c r="R127" s="118">
        <f t="shared" ca="1" si="28"/>
        <v>235459</v>
      </c>
      <c r="S127" s="118">
        <f t="shared" ca="1" si="28"/>
        <v>2825508</v>
      </c>
      <c r="T127" s="118">
        <f ca="1">초급</f>
        <v>235459</v>
      </c>
      <c r="U127" s="118">
        <f t="shared" ca="1" si="29"/>
        <v>2825508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319" t="s">
        <v>42</v>
      </c>
      <c r="O128" s="174">
        <v>8</v>
      </c>
      <c r="P128" s="235">
        <f ca="1">OFFSET($A$1,MATCH(Z122,$A:$A,0)-1,O128)</f>
        <v>13</v>
      </c>
      <c r="Q128" s="322" t="s">
        <v>29</v>
      </c>
      <c r="R128" s="323">
        <f t="shared" ca="1" si="28"/>
        <v>250087</v>
      </c>
      <c r="S128" s="323">
        <f t="shared" ca="1" si="28"/>
        <v>3251131</v>
      </c>
      <c r="T128" s="323">
        <f ca="1">보조원</f>
        <v>250087</v>
      </c>
      <c r="U128" s="323">
        <f t="shared" ca="1" si="29"/>
        <v>3251131</v>
      </c>
      <c r="V128" s="323"/>
      <c r="W128" s="323"/>
      <c r="X128" s="323"/>
      <c r="Y128" s="323"/>
      <c r="Z128" s="324"/>
    </row>
    <row r="129" spans="11:26" ht="18" customHeight="1">
      <c r="K129" s="171" t="s">
        <v>14</v>
      </c>
      <c r="L129" s="171"/>
      <c r="M129" s="171"/>
      <c r="N129" s="139" t="s">
        <v>17</v>
      </c>
      <c r="O129" s="68"/>
      <c r="P129" s="69"/>
      <c r="Q129" s="70"/>
      <c r="R129" s="71"/>
      <c r="S129" s="71">
        <f ca="1">SUBTOTAL(9,S123:S128)</f>
        <v>15700413</v>
      </c>
      <c r="T129" s="71"/>
      <c r="U129" s="71">
        <f ca="1">SUBTOTAL(9,U123:U128)</f>
        <v>15700413</v>
      </c>
      <c r="V129" s="71"/>
      <c r="W129" s="71"/>
      <c r="X129" s="71"/>
      <c r="Y129" s="71"/>
      <c r="Z129" s="68"/>
    </row>
    <row r="130" spans="11:26" ht="18" customHeight="1">
      <c r="K130" s="171" t="s">
        <v>14</v>
      </c>
      <c r="L130" s="171"/>
      <c r="M130" s="171"/>
      <c r="N130" s="318" t="str">
        <f ca="1">"제 " &amp; Z130 &amp; " 호표  "&amp; OFFSET($A$1,MATCH(Z130,$A:$A,0)-1,1)</f>
        <v>제 9 호표  4.1. 실행계획</v>
      </c>
      <c r="O130" s="221"/>
      <c r="P130" s="148"/>
      <c r="Q130" s="148"/>
      <c r="R130" s="149"/>
      <c r="S130" s="149"/>
      <c r="T130" s="149"/>
      <c r="U130" s="149"/>
      <c r="V130" s="149"/>
      <c r="W130" s="149"/>
      <c r="X130" s="149"/>
      <c r="Y130" s="149"/>
      <c r="Z130" s="325">
        <f>Z122+1</f>
        <v>9</v>
      </c>
    </row>
    <row r="131" spans="11:26" ht="18" customHeight="1">
      <c r="K131" s="171" t="s">
        <v>14</v>
      </c>
      <c r="L131" s="171"/>
      <c r="M131" s="171"/>
      <c r="N131" s="140" t="s">
        <v>43</v>
      </c>
      <c r="O131" s="172">
        <v>3</v>
      </c>
      <c r="P131" s="219">
        <f ca="1">OFFSET($A$1,MATCH(Z130,$A:$A,0)-1,O131)</f>
        <v>1.5</v>
      </c>
      <c r="Q131" s="141" t="s">
        <v>29</v>
      </c>
      <c r="R131" s="142">
        <f t="shared" ref="R131:S136" ca="1" si="30">T131</f>
        <v>467217</v>
      </c>
      <c r="S131" s="142">
        <f t="shared" ca="1" si="30"/>
        <v>700825</v>
      </c>
      <c r="T131" s="142">
        <f ca="1">기술사</f>
        <v>467217</v>
      </c>
      <c r="U131" s="142">
        <f t="shared" ref="U131:U136" ca="1" si="31">ROUNDDOWN(P131*R131,0)</f>
        <v>700825</v>
      </c>
      <c r="V131" s="142"/>
      <c r="W131" s="142"/>
      <c r="X131" s="142"/>
      <c r="Y131" s="142"/>
      <c r="Z131" s="114"/>
    </row>
    <row r="132" spans="11:26" ht="18" customHeight="1">
      <c r="K132" s="171" t="s">
        <v>14</v>
      </c>
      <c r="L132" s="171"/>
      <c r="M132" s="171"/>
      <c r="N132" s="143" t="s">
        <v>32</v>
      </c>
      <c r="O132" s="173">
        <v>4</v>
      </c>
      <c r="P132" s="234">
        <f ca="1">OFFSET($A$1,MATCH(Z130,$A:$A,0)-1,O132)</f>
        <v>1.5</v>
      </c>
      <c r="Q132" s="144" t="s">
        <v>29</v>
      </c>
      <c r="R132" s="118">
        <f t="shared" ca="1" si="30"/>
        <v>373353</v>
      </c>
      <c r="S132" s="118">
        <f t="shared" ca="1" si="30"/>
        <v>560029</v>
      </c>
      <c r="T132" s="118">
        <f ca="1">특급</f>
        <v>373353</v>
      </c>
      <c r="U132" s="118">
        <f t="shared" ca="1" si="31"/>
        <v>560029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39</v>
      </c>
      <c r="O133" s="173">
        <v>5</v>
      </c>
      <c r="P133" s="234">
        <f ca="1">OFFSET($A$1,MATCH(Z130,$A:$A,0)-1,O133)</f>
        <v>3</v>
      </c>
      <c r="Q133" s="144" t="s">
        <v>29</v>
      </c>
      <c r="R133" s="118">
        <f t="shared" ca="1" si="30"/>
        <v>310884</v>
      </c>
      <c r="S133" s="118">
        <f t="shared" ca="1" si="30"/>
        <v>932652</v>
      </c>
      <c r="T133" s="118">
        <f ca="1">고급</f>
        <v>310884</v>
      </c>
      <c r="U133" s="118">
        <f t="shared" ca="1" si="31"/>
        <v>932652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40</v>
      </c>
      <c r="O134" s="173">
        <v>6</v>
      </c>
      <c r="P134" s="234">
        <f ca="1">OFFSET($A$1,MATCH(Z130,$A:$A,0)-1,O134)</f>
        <v>3</v>
      </c>
      <c r="Q134" s="144" t="s">
        <v>29</v>
      </c>
      <c r="R134" s="118">
        <f t="shared" ca="1" si="30"/>
        <v>295138</v>
      </c>
      <c r="S134" s="118">
        <f t="shared" ca="1" si="30"/>
        <v>885414</v>
      </c>
      <c r="T134" s="118">
        <f ca="1">중급</f>
        <v>295138</v>
      </c>
      <c r="U134" s="118">
        <f t="shared" ca="1" si="31"/>
        <v>885414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41</v>
      </c>
      <c r="O135" s="173">
        <v>7</v>
      </c>
      <c r="P135" s="234">
        <f ca="1">OFFSET($A$1,MATCH(Z130,$A:$A,0)-1,O135)</f>
        <v>7</v>
      </c>
      <c r="Q135" s="144" t="s">
        <v>29</v>
      </c>
      <c r="R135" s="118">
        <f t="shared" ca="1" si="30"/>
        <v>235459</v>
      </c>
      <c r="S135" s="118">
        <f t="shared" ca="1" si="30"/>
        <v>1648213</v>
      </c>
      <c r="T135" s="118">
        <f ca="1">초급</f>
        <v>235459</v>
      </c>
      <c r="U135" s="118">
        <f t="shared" ca="1" si="31"/>
        <v>1648213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319" t="s">
        <v>42</v>
      </c>
      <c r="O136" s="174">
        <v>8</v>
      </c>
      <c r="P136" s="235">
        <f ca="1">OFFSET($A$1,MATCH(Z130,$A:$A,0)-1,O136)</f>
        <v>8</v>
      </c>
      <c r="Q136" s="322" t="s">
        <v>29</v>
      </c>
      <c r="R136" s="323">
        <f t="shared" ca="1" si="30"/>
        <v>250087</v>
      </c>
      <c r="S136" s="323">
        <f t="shared" ca="1" si="30"/>
        <v>2000696</v>
      </c>
      <c r="T136" s="323">
        <f ca="1">보조원</f>
        <v>250087</v>
      </c>
      <c r="U136" s="323">
        <f t="shared" ca="1" si="31"/>
        <v>2000696</v>
      </c>
      <c r="V136" s="323"/>
      <c r="W136" s="323"/>
      <c r="X136" s="323"/>
      <c r="Y136" s="323"/>
      <c r="Z136" s="324"/>
    </row>
    <row r="137" spans="11:26" ht="18" customHeight="1">
      <c r="K137" s="171" t="s">
        <v>14</v>
      </c>
      <c r="L137" s="171"/>
      <c r="M137" s="171"/>
      <c r="N137" s="139" t="s">
        <v>17</v>
      </c>
      <c r="O137" s="68"/>
      <c r="P137" s="69"/>
      <c r="Q137" s="70"/>
      <c r="R137" s="71"/>
      <c r="S137" s="71">
        <f ca="1">SUBTOTAL(9,S131:S136)</f>
        <v>6727829</v>
      </c>
      <c r="T137" s="71"/>
      <c r="U137" s="71">
        <f ca="1">SUBTOTAL(9,U131:U136)</f>
        <v>6727829</v>
      </c>
      <c r="V137" s="71"/>
      <c r="W137" s="71"/>
      <c r="X137" s="71"/>
      <c r="Y137" s="71"/>
      <c r="Z137" s="68"/>
    </row>
    <row r="138" spans="11:26" ht="18" customHeight="1">
      <c r="K138" s="171" t="s">
        <v>14</v>
      </c>
      <c r="L138" s="171"/>
      <c r="M138" s="171"/>
      <c r="N138" s="318" t="str">
        <f ca="1">"제 " &amp; Z138 &amp; " 호표  "&amp; OFFSET($A$1,MATCH(Z138,$A:$A,0)-1,1)</f>
        <v>제 10 호표  4.2. 경관시뮬레이션</v>
      </c>
      <c r="O138" s="221"/>
      <c r="P138" s="148"/>
      <c r="Q138" s="148"/>
      <c r="R138" s="149"/>
      <c r="S138" s="149"/>
      <c r="T138" s="149"/>
      <c r="U138" s="149"/>
      <c r="V138" s="149"/>
      <c r="W138" s="149"/>
      <c r="X138" s="149"/>
      <c r="Y138" s="149"/>
      <c r="Z138" s="325">
        <f>Z130+1</f>
        <v>10</v>
      </c>
    </row>
    <row r="139" spans="11:26" ht="18" customHeight="1">
      <c r="K139" s="171" t="s">
        <v>14</v>
      </c>
      <c r="L139" s="171"/>
      <c r="M139" s="171"/>
      <c r="N139" s="140" t="s">
        <v>43</v>
      </c>
      <c r="O139" s="172">
        <v>3</v>
      </c>
      <c r="P139" s="219">
        <f ca="1">OFFSET($A$1,MATCH(Z138,$A:$A,0)-1,O139)</f>
        <v>0.5</v>
      </c>
      <c r="Q139" s="141" t="s">
        <v>29</v>
      </c>
      <c r="R139" s="142">
        <f t="shared" ref="R139:S144" ca="1" si="32">T139</f>
        <v>467217</v>
      </c>
      <c r="S139" s="142">
        <f t="shared" ca="1" si="32"/>
        <v>233608</v>
      </c>
      <c r="T139" s="142">
        <f ca="1">기술사</f>
        <v>467217</v>
      </c>
      <c r="U139" s="142">
        <f t="shared" ref="U139:U144" ca="1" si="33">ROUNDDOWN(P139*R139,0)</f>
        <v>233608</v>
      </c>
      <c r="V139" s="142"/>
      <c r="W139" s="142"/>
      <c r="X139" s="142"/>
      <c r="Y139" s="142"/>
      <c r="Z139" s="114"/>
    </row>
    <row r="140" spans="11:26" ht="18" customHeight="1">
      <c r="K140" s="171" t="s">
        <v>14</v>
      </c>
      <c r="L140" s="171"/>
      <c r="M140" s="171"/>
      <c r="N140" s="143" t="s">
        <v>32</v>
      </c>
      <c r="O140" s="173">
        <v>4</v>
      </c>
      <c r="P140" s="234">
        <f ca="1">OFFSET($A$1,MATCH(Z138,$A:$A,0)-1,O140)</f>
        <v>1</v>
      </c>
      <c r="Q140" s="144" t="s">
        <v>29</v>
      </c>
      <c r="R140" s="118">
        <f t="shared" ca="1" si="32"/>
        <v>373353</v>
      </c>
      <c r="S140" s="118">
        <f t="shared" ca="1" si="32"/>
        <v>373353</v>
      </c>
      <c r="T140" s="118">
        <f ca="1">특급</f>
        <v>373353</v>
      </c>
      <c r="U140" s="118">
        <f t="shared" ca="1" si="33"/>
        <v>373353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39</v>
      </c>
      <c r="O141" s="173">
        <v>5</v>
      </c>
      <c r="P141" s="234">
        <f ca="1">OFFSET($A$1,MATCH(Z138,$A:$A,0)-1,O141)</f>
        <v>1.5</v>
      </c>
      <c r="Q141" s="144" t="s">
        <v>29</v>
      </c>
      <c r="R141" s="118">
        <f t="shared" ca="1" si="32"/>
        <v>310884</v>
      </c>
      <c r="S141" s="118">
        <f t="shared" ca="1" si="32"/>
        <v>466326</v>
      </c>
      <c r="T141" s="118">
        <f ca="1">고급</f>
        <v>310884</v>
      </c>
      <c r="U141" s="118">
        <f t="shared" ca="1" si="33"/>
        <v>466326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40</v>
      </c>
      <c r="O142" s="173">
        <v>6</v>
      </c>
      <c r="P142" s="234">
        <f ca="1">OFFSET($A$1,MATCH(Z138,$A:$A,0)-1,O142)</f>
        <v>2.5</v>
      </c>
      <c r="Q142" s="144" t="s">
        <v>29</v>
      </c>
      <c r="R142" s="118">
        <f t="shared" ca="1" si="32"/>
        <v>295138</v>
      </c>
      <c r="S142" s="118">
        <f t="shared" ca="1" si="32"/>
        <v>737845</v>
      </c>
      <c r="T142" s="118">
        <f ca="1">중급</f>
        <v>295138</v>
      </c>
      <c r="U142" s="118">
        <f t="shared" ca="1" si="33"/>
        <v>737845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41</v>
      </c>
      <c r="O143" s="173">
        <v>7</v>
      </c>
      <c r="P143" s="234">
        <f ca="1">OFFSET($A$1,MATCH(Z138,$A:$A,0)-1,O143)</f>
        <v>2</v>
      </c>
      <c r="Q143" s="144" t="s">
        <v>29</v>
      </c>
      <c r="R143" s="118">
        <f t="shared" ca="1" si="32"/>
        <v>235459</v>
      </c>
      <c r="S143" s="118">
        <f t="shared" ca="1" si="32"/>
        <v>470918</v>
      </c>
      <c r="T143" s="118">
        <f ca="1">초급</f>
        <v>235459</v>
      </c>
      <c r="U143" s="118">
        <f t="shared" ca="1" si="33"/>
        <v>470918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319" t="s">
        <v>42</v>
      </c>
      <c r="O144" s="174">
        <v>8</v>
      </c>
      <c r="P144" s="235">
        <f ca="1">OFFSET($A$1,MATCH(Z138,$A:$A,0)-1,O144)</f>
        <v>2.5</v>
      </c>
      <c r="Q144" s="322" t="s">
        <v>29</v>
      </c>
      <c r="R144" s="323">
        <f t="shared" ca="1" si="32"/>
        <v>250087</v>
      </c>
      <c r="S144" s="323">
        <f t="shared" ca="1" si="32"/>
        <v>625217</v>
      </c>
      <c r="T144" s="323">
        <f ca="1">보조원</f>
        <v>250087</v>
      </c>
      <c r="U144" s="323">
        <f t="shared" ca="1" si="33"/>
        <v>625217</v>
      </c>
      <c r="V144" s="323"/>
      <c r="W144" s="323"/>
      <c r="X144" s="323"/>
      <c r="Y144" s="323"/>
      <c r="Z144" s="324"/>
    </row>
    <row r="145" spans="11:26" ht="18" customHeight="1">
      <c r="K145" s="171" t="s">
        <v>14</v>
      </c>
      <c r="L145" s="171"/>
      <c r="M145" s="171"/>
      <c r="N145" s="139" t="s">
        <v>17</v>
      </c>
      <c r="O145" s="68"/>
      <c r="P145" s="69"/>
      <c r="Q145" s="70"/>
      <c r="R145" s="71"/>
      <c r="S145" s="71">
        <f ca="1">SUBTOTAL(9,S139:S144)</f>
        <v>2907267</v>
      </c>
      <c r="T145" s="71"/>
      <c r="U145" s="71">
        <f ca="1">SUBTOTAL(9,U139:U144)</f>
        <v>2907267</v>
      </c>
      <c r="V145" s="71"/>
      <c r="W145" s="71"/>
      <c r="X145" s="71"/>
      <c r="Y145" s="71"/>
      <c r="Z145" s="68"/>
    </row>
    <row r="146" spans="11:26" ht="18" customHeight="1">
      <c r="K146" s="171" t="s">
        <v>14</v>
      </c>
      <c r="L146" s="171"/>
      <c r="M146" s="171"/>
      <c r="N146" s="318" t="str">
        <f ca="1">"제 " &amp; Z146 &amp; " 호표  "&amp; OFFSET($A$1,MATCH(Z146,$A:$A,0)-1,1)</f>
        <v>제 11 호표  5.1. 보고서 작성 및 편집</v>
      </c>
      <c r="O146" s="221"/>
      <c r="P146" s="148"/>
      <c r="Q146" s="148"/>
      <c r="R146" s="149"/>
      <c r="S146" s="149"/>
      <c r="T146" s="149"/>
      <c r="U146" s="149"/>
      <c r="V146" s="149"/>
      <c r="W146" s="149"/>
      <c r="X146" s="149"/>
      <c r="Y146" s="149"/>
      <c r="Z146" s="325">
        <f>Z138+1</f>
        <v>11</v>
      </c>
    </row>
    <row r="147" spans="11:26" ht="18" customHeight="1">
      <c r="K147" s="171" t="s">
        <v>14</v>
      </c>
      <c r="L147" s="171"/>
      <c r="M147" s="171"/>
      <c r="N147" s="140" t="s">
        <v>43</v>
      </c>
      <c r="O147" s="172">
        <v>3</v>
      </c>
      <c r="P147" s="219">
        <f ca="1">OFFSET($A$1,MATCH(Z146,$A:$A,0)-1,O147)</f>
        <v>1</v>
      </c>
      <c r="Q147" s="141" t="s">
        <v>29</v>
      </c>
      <c r="R147" s="142">
        <f t="shared" ref="R147:S152" ca="1" si="34">T147</f>
        <v>467217</v>
      </c>
      <c r="S147" s="142">
        <f t="shared" ca="1" si="34"/>
        <v>467217</v>
      </c>
      <c r="T147" s="142">
        <f ca="1">기술사</f>
        <v>467217</v>
      </c>
      <c r="U147" s="142">
        <f t="shared" ref="U147:U152" ca="1" si="35">ROUNDDOWN(P147*R147,0)</f>
        <v>467217</v>
      </c>
      <c r="V147" s="142"/>
      <c r="W147" s="142"/>
      <c r="X147" s="142"/>
      <c r="Y147" s="142"/>
      <c r="Z147" s="114"/>
    </row>
    <row r="148" spans="11:26" ht="18" customHeight="1">
      <c r="K148" s="171" t="s">
        <v>14</v>
      </c>
      <c r="L148" s="171"/>
      <c r="M148" s="171"/>
      <c r="N148" s="143" t="s">
        <v>32</v>
      </c>
      <c r="O148" s="173">
        <v>4</v>
      </c>
      <c r="P148" s="234">
        <f ca="1">OFFSET($A$1,MATCH(Z146,$A:$A,0)-1,O148)</f>
        <v>1</v>
      </c>
      <c r="Q148" s="144" t="s">
        <v>29</v>
      </c>
      <c r="R148" s="118">
        <f t="shared" ca="1" si="34"/>
        <v>373353</v>
      </c>
      <c r="S148" s="118">
        <f t="shared" ca="1" si="34"/>
        <v>373353</v>
      </c>
      <c r="T148" s="118">
        <f ca="1">특급</f>
        <v>373353</v>
      </c>
      <c r="U148" s="118">
        <f t="shared" ca="1" si="35"/>
        <v>373353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39</v>
      </c>
      <c r="O149" s="173">
        <v>5</v>
      </c>
      <c r="P149" s="234">
        <f ca="1">OFFSET($A$1,MATCH(Z146,$A:$A,0)-1,O149)</f>
        <v>1.5</v>
      </c>
      <c r="Q149" s="144" t="s">
        <v>29</v>
      </c>
      <c r="R149" s="118">
        <f t="shared" ca="1" si="34"/>
        <v>310884</v>
      </c>
      <c r="S149" s="118">
        <f t="shared" ca="1" si="34"/>
        <v>466326</v>
      </c>
      <c r="T149" s="118">
        <f ca="1">고급</f>
        <v>310884</v>
      </c>
      <c r="U149" s="118">
        <f t="shared" ca="1" si="35"/>
        <v>466326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40</v>
      </c>
      <c r="O150" s="173">
        <v>6</v>
      </c>
      <c r="P150" s="234">
        <f ca="1">OFFSET($A$1,MATCH(Z146,$A:$A,0)-1,O150)</f>
        <v>1.8</v>
      </c>
      <c r="Q150" s="144" t="s">
        <v>29</v>
      </c>
      <c r="R150" s="118">
        <f t="shared" ca="1" si="34"/>
        <v>295138</v>
      </c>
      <c r="S150" s="118">
        <f t="shared" ca="1" si="34"/>
        <v>531248</v>
      </c>
      <c r="T150" s="118">
        <f ca="1">중급</f>
        <v>295138</v>
      </c>
      <c r="U150" s="118">
        <f t="shared" ca="1" si="35"/>
        <v>531248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41</v>
      </c>
      <c r="O151" s="173">
        <v>7</v>
      </c>
      <c r="P151" s="234">
        <f ca="1">OFFSET($A$1,MATCH(Z146,$A:$A,0)-1,O151)</f>
        <v>3.3</v>
      </c>
      <c r="Q151" s="144" t="s">
        <v>29</v>
      </c>
      <c r="R151" s="118">
        <f t="shared" ca="1" si="34"/>
        <v>235459</v>
      </c>
      <c r="S151" s="118">
        <f t="shared" ca="1" si="34"/>
        <v>777014</v>
      </c>
      <c r="T151" s="118">
        <f ca="1">초급</f>
        <v>235459</v>
      </c>
      <c r="U151" s="118">
        <f t="shared" ca="1" si="35"/>
        <v>777014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319" t="s">
        <v>42</v>
      </c>
      <c r="O152" s="174">
        <v>8</v>
      </c>
      <c r="P152" s="235">
        <f ca="1">OFFSET($A$1,MATCH(Z146,$A:$A,0)-1,O152)</f>
        <v>3.5</v>
      </c>
      <c r="Q152" s="322" t="s">
        <v>29</v>
      </c>
      <c r="R152" s="323">
        <f t="shared" ca="1" si="34"/>
        <v>250087</v>
      </c>
      <c r="S152" s="323">
        <f t="shared" ca="1" si="34"/>
        <v>875304</v>
      </c>
      <c r="T152" s="323">
        <f ca="1">보조원</f>
        <v>250087</v>
      </c>
      <c r="U152" s="323">
        <f t="shared" ca="1" si="35"/>
        <v>875304</v>
      </c>
      <c r="V152" s="323"/>
      <c r="W152" s="323"/>
      <c r="X152" s="323"/>
      <c r="Y152" s="323"/>
      <c r="Z152" s="324"/>
    </row>
    <row r="153" spans="11:26" ht="18" customHeight="1">
      <c r="K153" s="171" t="s">
        <v>14</v>
      </c>
      <c r="L153" s="171"/>
      <c r="M153" s="171"/>
      <c r="N153" s="139" t="s">
        <v>17</v>
      </c>
      <c r="O153" s="68"/>
      <c r="P153" s="69"/>
      <c r="Q153" s="70"/>
      <c r="R153" s="71"/>
      <c r="S153" s="71">
        <f ca="1">SUBTOTAL(9,S147:S152)</f>
        <v>3490462</v>
      </c>
      <c r="T153" s="71"/>
      <c r="U153" s="71">
        <f ca="1">SUBTOTAL(9,U147:U152)</f>
        <v>3490462</v>
      </c>
      <c r="V153" s="71"/>
      <c r="W153" s="71"/>
      <c r="X153" s="71"/>
      <c r="Y153" s="71"/>
      <c r="Z153" s="68"/>
    </row>
    <row r="154" spans="11:26" ht="18" customHeight="1">
      <c r="K154" s="171" t="s">
        <v>14</v>
      </c>
      <c r="L154" s="171"/>
      <c r="M154" s="171"/>
      <c r="N154" s="318" t="str">
        <f ca="1">"제 " &amp; Z154 &amp; " 호표  "&amp; OFFSET($A$1,MATCH(Z154,$A:$A,0)-1,1)</f>
        <v>제 12 호표  5.2. 관련 도서 작성</v>
      </c>
      <c r="O154" s="221"/>
      <c r="P154" s="148"/>
      <c r="Q154" s="148"/>
      <c r="R154" s="149"/>
      <c r="S154" s="149"/>
      <c r="T154" s="149"/>
      <c r="U154" s="149"/>
      <c r="V154" s="149"/>
      <c r="W154" s="149"/>
      <c r="X154" s="149"/>
      <c r="Y154" s="149"/>
      <c r="Z154" s="325">
        <f>Z146+1</f>
        <v>12</v>
      </c>
    </row>
    <row r="155" spans="11:26" ht="18" customHeight="1">
      <c r="K155" s="171" t="s">
        <v>14</v>
      </c>
      <c r="L155" s="171"/>
      <c r="M155" s="171"/>
      <c r="N155" s="140" t="s">
        <v>43</v>
      </c>
      <c r="O155" s="172">
        <v>3</v>
      </c>
      <c r="P155" s="219">
        <f ca="1">OFFSET($A$1,MATCH(Z154,$A:$A,0)-1,O155)</f>
        <v>0.5</v>
      </c>
      <c r="Q155" s="141" t="s">
        <v>29</v>
      </c>
      <c r="R155" s="142">
        <f t="shared" ref="R155:S160" ca="1" si="36">T155</f>
        <v>467217</v>
      </c>
      <c r="S155" s="142">
        <f t="shared" ca="1" si="36"/>
        <v>233608</v>
      </c>
      <c r="T155" s="142">
        <f ca="1">기술사</f>
        <v>467217</v>
      </c>
      <c r="U155" s="142">
        <f t="shared" ref="U155:U160" ca="1" si="37">ROUNDDOWN(P155*R155,0)</f>
        <v>233608</v>
      </c>
      <c r="V155" s="142"/>
      <c r="W155" s="142"/>
      <c r="X155" s="142"/>
      <c r="Y155" s="142"/>
      <c r="Z155" s="114"/>
    </row>
    <row r="156" spans="11:26" ht="18" customHeight="1">
      <c r="K156" s="171" t="s">
        <v>14</v>
      </c>
      <c r="L156" s="171"/>
      <c r="M156" s="171"/>
      <c r="N156" s="143" t="s">
        <v>32</v>
      </c>
      <c r="O156" s="173">
        <v>4</v>
      </c>
      <c r="P156" s="234">
        <f ca="1">OFFSET($A$1,MATCH(Z154,$A:$A,0)-1,O156)</f>
        <v>0.5</v>
      </c>
      <c r="Q156" s="144" t="s">
        <v>29</v>
      </c>
      <c r="R156" s="118">
        <f t="shared" ca="1" si="36"/>
        <v>373353</v>
      </c>
      <c r="S156" s="118">
        <f t="shared" ca="1" si="36"/>
        <v>186676</v>
      </c>
      <c r="T156" s="118">
        <f ca="1">특급</f>
        <v>373353</v>
      </c>
      <c r="U156" s="118">
        <f t="shared" ca="1" si="37"/>
        <v>186676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39</v>
      </c>
      <c r="O157" s="173">
        <v>5</v>
      </c>
      <c r="P157" s="234">
        <f ca="1">OFFSET($A$1,MATCH(Z154,$A:$A,0)-1,O157)</f>
        <v>1.5</v>
      </c>
      <c r="Q157" s="144" t="s">
        <v>29</v>
      </c>
      <c r="R157" s="118">
        <f t="shared" ca="1" si="36"/>
        <v>310884</v>
      </c>
      <c r="S157" s="118">
        <f t="shared" ca="1" si="36"/>
        <v>466326</v>
      </c>
      <c r="T157" s="118">
        <f ca="1">고급</f>
        <v>310884</v>
      </c>
      <c r="U157" s="118">
        <f t="shared" ca="1" si="37"/>
        <v>466326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40</v>
      </c>
      <c r="O158" s="173">
        <v>6</v>
      </c>
      <c r="P158" s="234">
        <f ca="1">OFFSET($A$1,MATCH(Z154,$A:$A,0)-1,O158)</f>
        <v>1.7</v>
      </c>
      <c r="Q158" s="144" t="s">
        <v>29</v>
      </c>
      <c r="R158" s="118">
        <f t="shared" ca="1" si="36"/>
        <v>295138</v>
      </c>
      <c r="S158" s="118">
        <f t="shared" ca="1" si="36"/>
        <v>501734</v>
      </c>
      <c r="T158" s="118">
        <f ca="1">중급</f>
        <v>295138</v>
      </c>
      <c r="U158" s="118">
        <f t="shared" ca="1" si="37"/>
        <v>501734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41</v>
      </c>
      <c r="O159" s="173">
        <v>7</v>
      </c>
      <c r="P159" s="234">
        <f ca="1">OFFSET($A$1,MATCH(Z154,$A:$A,0)-1,O159)</f>
        <v>3.2</v>
      </c>
      <c r="Q159" s="144" t="s">
        <v>29</v>
      </c>
      <c r="R159" s="118">
        <f t="shared" ca="1" si="36"/>
        <v>235459</v>
      </c>
      <c r="S159" s="118">
        <f t="shared" ca="1" si="36"/>
        <v>753468</v>
      </c>
      <c r="T159" s="118">
        <f ca="1">초급</f>
        <v>235459</v>
      </c>
      <c r="U159" s="118">
        <f t="shared" ca="1" si="37"/>
        <v>753468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319" t="s">
        <v>42</v>
      </c>
      <c r="O160" s="174">
        <v>8</v>
      </c>
      <c r="P160" s="235">
        <f ca="1">OFFSET($A$1,MATCH(Z154,$A:$A,0)-1,O160)</f>
        <v>3.5</v>
      </c>
      <c r="Q160" s="322" t="s">
        <v>29</v>
      </c>
      <c r="R160" s="323">
        <f t="shared" ca="1" si="36"/>
        <v>250087</v>
      </c>
      <c r="S160" s="323">
        <f t="shared" ca="1" si="36"/>
        <v>875304</v>
      </c>
      <c r="T160" s="323">
        <f ca="1">보조원</f>
        <v>250087</v>
      </c>
      <c r="U160" s="323">
        <f t="shared" ca="1" si="37"/>
        <v>875304</v>
      </c>
      <c r="V160" s="323"/>
      <c r="W160" s="323"/>
      <c r="X160" s="323"/>
      <c r="Y160" s="323"/>
      <c r="Z160" s="324"/>
    </row>
    <row r="161" spans="11:26" ht="18" customHeight="1">
      <c r="K161" s="171" t="s">
        <v>14</v>
      </c>
      <c r="L161" s="171"/>
      <c r="M161" s="171"/>
      <c r="N161" s="139" t="s">
        <v>17</v>
      </c>
      <c r="O161" s="68"/>
      <c r="P161" s="69"/>
      <c r="Q161" s="70"/>
      <c r="R161" s="71"/>
      <c r="S161" s="71">
        <f ca="1">SUBTOTAL(9,S155:S160)</f>
        <v>3017116</v>
      </c>
      <c r="T161" s="71"/>
      <c r="U161" s="71">
        <f ca="1">SUBTOTAL(9,U155:U160)</f>
        <v>3017116</v>
      </c>
      <c r="V161" s="71"/>
      <c r="W161" s="71"/>
      <c r="X161" s="71"/>
      <c r="Y161" s="71"/>
      <c r="Z161" s="68"/>
    </row>
    <row r="162" spans="11:26" ht="18" customHeight="1">
      <c r="K162" s="171" t="s">
        <v>14</v>
      </c>
      <c r="L162" s="171"/>
      <c r="M162" s="171"/>
      <c r="N162" s="318" t="str">
        <f ca="1">"제 " &amp; Z162 &amp; " 호표  "&amp; OFFSET($A$1,MATCH(Z162,$A:$A,0)-1,1)</f>
        <v>제 13 호표  6-1. 공청회/주민설명회</v>
      </c>
      <c r="O162" s="221"/>
      <c r="P162" s="148"/>
      <c r="Q162" s="148"/>
      <c r="R162" s="149"/>
      <c r="S162" s="149"/>
      <c r="T162" s="149"/>
      <c r="U162" s="149"/>
      <c r="V162" s="149"/>
      <c r="W162" s="149"/>
      <c r="X162" s="149"/>
      <c r="Y162" s="149"/>
      <c r="Z162" s="325">
        <f>Z154+1</f>
        <v>13</v>
      </c>
    </row>
    <row r="163" spans="11:26" ht="18" customHeight="1">
      <c r="K163" s="171" t="s">
        <v>14</v>
      </c>
      <c r="L163" s="171"/>
      <c r="M163" s="171"/>
      <c r="N163" s="140" t="s">
        <v>43</v>
      </c>
      <c r="O163" s="172">
        <v>3</v>
      </c>
      <c r="P163" s="219">
        <f ca="1">OFFSET($A$1,MATCH(Z162,$A:$A,0)-1,O163)</f>
        <v>2</v>
      </c>
      <c r="Q163" s="141" t="s">
        <v>29</v>
      </c>
      <c r="R163" s="142">
        <f t="shared" ref="R163:S168" ca="1" si="38">T163</f>
        <v>467217</v>
      </c>
      <c r="S163" s="142">
        <f t="shared" ca="1" si="38"/>
        <v>934434</v>
      </c>
      <c r="T163" s="142">
        <f ca="1">기술사</f>
        <v>467217</v>
      </c>
      <c r="U163" s="142">
        <f t="shared" ref="U163:U168" ca="1" si="39">ROUNDDOWN(P163*R163,0)</f>
        <v>934434</v>
      </c>
      <c r="V163" s="142"/>
      <c r="W163" s="142"/>
      <c r="X163" s="142"/>
      <c r="Y163" s="142"/>
      <c r="Z163" s="114"/>
    </row>
    <row r="164" spans="11:26" ht="18" customHeight="1">
      <c r="K164" s="171" t="s">
        <v>14</v>
      </c>
      <c r="L164" s="171"/>
      <c r="M164" s="171"/>
      <c r="N164" s="143" t="s">
        <v>32</v>
      </c>
      <c r="O164" s="173">
        <v>4</v>
      </c>
      <c r="P164" s="234">
        <f ca="1">OFFSET($A$1,MATCH(Z162,$A:$A,0)-1,O164)</f>
        <v>2</v>
      </c>
      <c r="Q164" s="144" t="s">
        <v>29</v>
      </c>
      <c r="R164" s="118">
        <f t="shared" ca="1" si="38"/>
        <v>373353</v>
      </c>
      <c r="S164" s="118">
        <f t="shared" ca="1" si="38"/>
        <v>746706</v>
      </c>
      <c r="T164" s="118">
        <f ca="1">특급</f>
        <v>373353</v>
      </c>
      <c r="U164" s="118">
        <f t="shared" ca="1" si="39"/>
        <v>746706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39</v>
      </c>
      <c r="O165" s="173">
        <v>5</v>
      </c>
      <c r="P165" s="234">
        <f ca="1">OFFSET($A$1,MATCH(Z162,$A:$A,0)-1,O165)</f>
        <v>2</v>
      </c>
      <c r="Q165" s="144" t="s">
        <v>29</v>
      </c>
      <c r="R165" s="118">
        <f t="shared" ca="1" si="38"/>
        <v>310884</v>
      </c>
      <c r="S165" s="118">
        <f t="shared" ca="1" si="38"/>
        <v>621768</v>
      </c>
      <c r="T165" s="118">
        <f ca="1">고급</f>
        <v>310884</v>
      </c>
      <c r="U165" s="118">
        <f t="shared" ca="1" si="39"/>
        <v>621768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40</v>
      </c>
      <c r="O166" s="173">
        <v>6</v>
      </c>
      <c r="P166" s="234">
        <f ca="1">OFFSET($A$1,MATCH(Z162,$A:$A,0)-1,O166)</f>
        <v>4</v>
      </c>
      <c r="Q166" s="144" t="s">
        <v>29</v>
      </c>
      <c r="R166" s="118">
        <f t="shared" ca="1" si="38"/>
        <v>295138</v>
      </c>
      <c r="S166" s="118">
        <f t="shared" ca="1" si="38"/>
        <v>1180552</v>
      </c>
      <c r="T166" s="118">
        <f ca="1">중급</f>
        <v>295138</v>
      </c>
      <c r="U166" s="118">
        <f t="shared" ca="1" si="39"/>
        <v>1180552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41</v>
      </c>
      <c r="O167" s="173">
        <v>7</v>
      </c>
      <c r="P167" s="234">
        <f ca="1">OFFSET($A$1,MATCH(Z162,$A:$A,0)-1,O167)</f>
        <v>4</v>
      </c>
      <c r="Q167" s="144" t="s">
        <v>29</v>
      </c>
      <c r="R167" s="118">
        <f t="shared" ca="1" si="38"/>
        <v>235459</v>
      </c>
      <c r="S167" s="118">
        <f t="shared" ca="1" si="38"/>
        <v>941836</v>
      </c>
      <c r="T167" s="118">
        <f ca="1">초급</f>
        <v>235459</v>
      </c>
      <c r="U167" s="118">
        <f t="shared" ca="1" si="39"/>
        <v>941836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319" t="s">
        <v>42</v>
      </c>
      <c r="O168" s="174">
        <v>8</v>
      </c>
      <c r="P168" s="235">
        <f ca="1">OFFSET($A$1,MATCH(Z162,$A:$A,0)-1,O168)</f>
        <v>4</v>
      </c>
      <c r="Q168" s="322" t="s">
        <v>29</v>
      </c>
      <c r="R168" s="323">
        <f t="shared" ca="1" si="38"/>
        <v>250087</v>
      </c>
      <c r="S168" s="323">
        <f t="shared" ca="1" si="38"/>
        <v>1000348</v>
      </c>
      <c r="T168" s="323">
        <f ca="1">보조원</f>
        <v>250087</v>
      </c>
      <c r="U168" s="323">
        <f t="shared" ca="1" si="39"/>
        <v>1000348</v>
      </c>
      <c r="V168" s="323"/>
      <c r="W168" s="323"/>
      <c r="X168" s="323"/>
      <c r="Y168" s="323"/>
      <c r="Z168" s="324"/>
    </row>
    <row r="169" spans="11:26" ht="18" customHeight="1">
      <c r="K169" s="171" t="s">
        <v>14</v>
      </c>
      <c r="L169" s="171"/>
      <c r="M169" s="171"/>
      <c r="N169" s="139" t="s">
        <v>17</v>
      </c>
      <c r="O169" s="68"/>
      <c r="P169" s="69"/>
      <c r="Q169" s="70"/>
      <c r="R169" s="71"/>
      <c r="S169" s="71">
        <f ca="1">SUBTOTAL(9,S163:S168)</f>
        <v>5425644</v>
      </c>
      <c r="T169" s="71"/>
      <c r="U169" s="71">
        <f ca="1">SUBTOTAL(9,U163:U168)</f>
        <v>5425644</v>
      </c>
      <c r="V169" s="71"/>
      <c r="W169" s="71"/>
      <c r="X169" s="71"/>
      <c r="Y169" s="71"/>
      <c r="Z169" s="68"/>
    </row>
    <row r="170" spans="11:26" ht="18" customHeight="1">
      <c r="K170" s="171" t="s">
        <v>14</v>
      </c>
      <c r="L170" s="171"/>
      <c r="M170" s="171"/>
      <c r="N170" s="318" t="str">
        <f ca="1">"제 " &amp; Z170 &amp; " 호표  "&amp; OFFSET($A$1,MATCH(Z170,$A:$A,0)-1,1)</f>
        <v>제 14 호표  6-2. 주민간담회/시민계획단</v>
      </c>
      <c r="O170" s="221"/>
      <c r="P170" s="148"/>
      <c r="Q170" s="148"/>
      <c r="R170" s="149"/>
      <c r="S170" s="149"/>
      <c r="T170" s="149"/>
      <c r="U170" s="149"/>
      <c r="V170" s="149"/>
      <c r="W170" s="149"/>
      <c r="X170" s="149"/>
      <c r="Y170" s="149"/>
      <c r="Z170" s="325">
        <f>Z162+1</f>
        <v>14</v>
      </c>
    </row>
    <row r="171" spans="11:26" ht="18" customHeight="1">
      <c r="K171" s="171" t="s">
        <v>14</v>
      </c>
      <c r="L171" s="171"/>
      <c r="M171" s="171"/>
      <c r="N171" s="140" t="s">
        <v>43</v>
      </c>
      <c r="O171" s="172">
        <v>3</v>
      </c>
      <c r="P171" s="219">
        <f ca="1">OFFSET($A$1,MATCH(Z170,$A:$A,0)-1,O171)</f>
        <v>2</v>
      </c>
      <c r="Q171" s="141" t="s">
        <v>29</v>
      </c>
      <c r="R171" s="142">
        <f t="shared" ref="R171:S176" ca="1" si="40">T171</f>
        <v>467217</v>
      </c>
      <c r="S171" s="142">
        <f t="shared" ca="1" si="40"/>
        <v>934434</v>
      </c>
      <c r="T171" s="142">
        <f ca="1">기술사</f>
        <v>467217</v>
      </c>
      <c r="U171" s="142">
        <f t="shared" ref="U171:U176" ca="1" si="41">ROUNDDOWN(P171*R171,0)</f>
        <v>934434</v>
      </c>
      <c r="V171" s="142"/>
      <c r="W171" s="142"/>
      <c r="X171" s="142"/>
      <c r="Y171" s="142"/>
      <c r="Z171" s="114"/>
    </row>
    <row r="172" spans="11:26" ht="18" customHeight="1">
      <c r="K172" s="171" t="s">
        <v>14</v>
      </c>
      <c r="L172" s="171"/>
      <c r="M172" s="171"/>
      <c r="N172" s="143" t="s">
        <v>32</v>
      </c>
      <c r="O172" s="173">
        <v>4</v>
      </c>
      <c r="P172" s="234">
        <f ca="1">OFFSET($A$1,MATCH(Z170,$A:$A,0)-1,O172)</f>
        <v>2</v>
      </c>
      <c r="Q172" s="144" t="s">
        <v>29</v>
      </c>
      <c r="R172" s="118">
        <f t="shared" ca="1" si="40"/>
        <v>373353</v>
      </c>
      <c r="S172" s="118">
        <f t="shared" ca="1" si="40"/>
        <v>746706</v>
      </c>
      <c r="T172" s="118">
        <f ca="1">특급</f>
        <v>373353</v>
      </c>
      <c r="U172" s="118">
        <f t="shared" ca="1" si="41"/>
        <v>746706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39</v>
      </c>
      <c r="O173" s="173">
        <v>5</v>
      </c>
      <c r="P173" s="234">
        <f ca="1">OFFSET($A$1,MATCH(Z170,$A:$A,0)-1,O173)</f>
        <v>2</v>
      </c>
      <c r="Q173" s="144" t="s">
        <v>29</v>
      </c>
      <c r="R173" s="118">
        <f t="shared" ca="1" si="40"/>
        <v>310884</v>
      </c>
      <c r="S173" s="118">
        <f t="shared" ca="1" si="40"/>
        <v>621768</v>
      </c>
      <c r="T173" s="118">
        <f ca="1">고급</f>
        <v>310884</v>
      </c>
      <c r="U173" s="118">
        <f t="shared" ca="1" si="41"/>
        <v>621768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40</v>
      </c>
      <c r="O174" s="173">
        <v>6</v>
      </c>
      <c r="P174" s="234">
        <f ca="1">OFFSET($A$1,MATCH(Z170,$A:$A,0)-1,O174)</f>
        <v>4</v>
      </c>
      <c r="Q174" s="144" t="s">
        <v>29</v>
      </c>
      <c r="R174" s="118">
        <f t="shared" ca="1" si="40"/>
        <v>295138</v>
      </c>
      <c r="S174" s="118">
        <f t="shared" ca="1" si="40"/>
        <v>1180552</v>
      </c>
      <c r="T174" s="118">
        <f ca="1">중급</f>
        <v>295138</v>
      </c>
      <c r="U174" s="118">
        <f t="shared" ca="1" si="41"/>
        <v>1180552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41</v>
      </c>
      <c r="O175" s="173">
        <v>7</v>
      </c>
      <c r="P175" s="234">
        <f ca="1">OFFSET($A$1,MATCH(Z170,$A:$A,0)-1,O175)</f>
        <v>4</v>
      </c>
      <c r="Q175" s="144" t="s">
        <v>29</v>
      </c>
      <c r="R175" s="118">
        <f t="shared" ca="1" si="40"/>
        <v>235459</v>
      </c>
      <c r="S175" s="118">
        <f t="shared" ca="1" si="40"/>
        <v>941836</v>
      </c>
      <c r="T175" s="118">
        <f ca="1">초급</f>
        <v>235459</v>
      </c>
      <c r="U175" s="118">
        <f t="shared" ca="1" si="41"/>
        <v>941836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319" t="s">
        <v>42</v>
      </c>
      <c r="O176" s="174">
        <v>8</v>
      </c>
      <c r="P176" s="235">
        <f ca="1">OFFSET($A$1,MATCH(Z170,$A:$A,0)-1,O176)</f>
        <v>4</v>
      </c>
      <c r="Q176" s="322" t="s">
        <v>29</v>
      </c>
      <c r="R176" s="323">
        <f t="shared" ca="1" si="40"/>
        <v>250087</v>
      </c>
      <c r="S176" s="323">
        <f t="shared" ca="1" si="40"/>
        <v>1000348</v>
      </c>
      <c r="T176" s="323">
        <f ca="1">보조원</f>
        <v>250087</v>
      </c>
      <c r="U176" s="323">
        <f t="shared" ca="1" si="41"/>
        <v>1000348</v>
      </c>
      <c r="V176" s="323"/>
      <c r="W176" s="323"/>
      <c r="X176" s="323"/>
      <c r="Y176" s="323"/>
      <c r="Z176" s="324"/>
    </row>
    <row r="177" spans="11:26" ht="18" customHeight="1">
      <c r="K177" s="171" t="s">
        <v>14</v>
      </c>
      <c r="L177" s="171"/>
      <c r="M177" s="171"/>
      <c r="N177" s="139" t="s">
        <v>17</v>
      </c>
      <c r="O177" s="68"/>
      <c r="P177" s="69"/>
      <c r="Q177" s="70"/>
      <c r="R177" s="71"/>
      <c r="S177" s="71">
        <f ca="1">SUBTOTAL(9,S171:S176)</f>
        <v>5425644</v>
      </c>
      <c r="T177" s="71"/>
      <c r="U177" s="71">
        <f ca="1">SUBTOTAL(9,U171:U176)</f>
        <v>5425644</v>
      </c>
      <c r="V177" s="71"/>
      <c r="W177" s="71"/>
      <c r="X177" s="71"/>
      <c r="Y177" s="71"/>
      <c r="Z177" s="68"/>
    </row>
    <row r="178" spans="11:26" ht="18" customHeight="1">
      <c r="K178" s="171" t="s">
        <v>14</v>
      </c>
      <c r="L178" s="171"/>
      <c r="M178" s="171"/>
      <c r="N178" s="318" t="str">
        <f ca="1">"제 " &amp; Z178 &amp; " 호표  "&amp; OFFSET($A$1,MATCH(Z178,$A:$A,0)-1,1)</f>
        <v>제 15 호표  6-3. 위원회심의 지원</v>
      </c>
      <c r="O178" s="221"/>
      <c r="P178" s="148"/>
      <c r="Q178" s="148"/>
      <c r="R178" s="149"/>
      <c r="S178" s="149"/>
      <c r="T178" s="149"/>
      <c r="U178" s="149"/>
      <c r="V178" s="149"/>
      <c r="W178" s="149"/>
      <c r="X178" s="149"/>
      <c r="Y178" s="149"/>
      <c r="Z178" s="325">
        <f>Z170+1</f>
        <v>15</v>
      </c>
    </row>
    <row r="179" spans="11:26" ht="18" customHeight="1">
      <c r="K179" s="171" t="s">
        <v>14</v>
      </c>
      <c r="L179" s="171"/>
      <c r="M179" s="171"/>
      <c r="N179" s="140" t="s">
        <v>43</v>
      </c>
      <c r="O179" s="172">
        <v>3</v>
      </c>
      <c r="P179" s="219">
        <f ca="1">OFFSET($A$1,MATCH(Z178,$A:$A,0)-1,O179)</f>
        <v>2</v>
      </c>
      <c r="Q179" s="141" t="s">
        <v>29</v>
      </c>
      <c r="R179" s="142">
        <f t="shared" ref="R179:S184" ca="1" si="42">T179</f>
        <v>467217</v>
      </c>
      <c r="S179" s="142">
        <f t="shared" ca="1" si="42"/>
        <v>934434</v>
      </c>
      <c r="T179" s="142">
        <f ca="1">기술사</f>
        <v>467217</v>
      </c>
      <c r="U179" s="142">
        <f t="shared" ref="U179:U184" ca="1" si="43">ROUNDDOWN(P179*R179,0)</f>
        <v>934434</v>
      </c>
      <c r="V179" s="142"/>
      <c r="W179" s="142"/>
      <c r="X179" s="142"/>
      <c r="Y179" s="142"/>
      <c r="Z179" s="114"/>
    </row>
    <row r="180" spans="11:26" ht="18" customHeight="1">
      <c r="K180" s="171" t="s">
        <v>14</v>
      </c>
      <c r="L180" s="171"/>
      <c r="M180" s="171"/>
      <c r="N180" s="143" t="s">
        <v>32</v>
      </c>
      <c r="O180" s="173">
        <v>4</v>
      </c>
      <c r="P180" s="234">
        <f ca="1">OFFSET($A$1,MATCH(Z178,$A:$A,0)-1,O180)</f>
        <v>2</v>
      </c>
      <c r="Q180" s="144" t="s">
        <v>29</v>
      </c>
      <c r="R180" s="118">
        <f t="shared" ca="1" si="42"/>
        <v>373353</v>
      </c>
      <c r="S180" s="118">
        <f t="shared" ca="1" si="42"/>
        <v>746706</v>
      </c>
      <c r="T180" s="118">
        <f ca="1">특급</f>
        <v>373353</v>
      </c>
      <c r="U180" s="118">
        <f t="shared" ca="1" si="43"/>
        <v>746706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39</v>
      </c>
      <c r="O181" s="173">
        <v>5</v>
      </c>
      <c r="P181" s="234">
        <f ca="1">OFFSET($A$1,MATCH(Z178,$A:$A,0)-1,O181)</f>
        <v>2</v>
      </c>
      <c r="Q181" s="144" t="s">
        <v>29</v>
      </c>
      <c r="R181" s="118">
        <f t="shared" ca="1" si="42"/>
        <v>310884</v>
      </c>
      <c r="S181" s="118">
        <f t="shared" ca="1" si="42"/>
        <v>621768</v>
      </c>
      <c r="T181" s="118">
        <f ca="1">고급</f>
        <v>310884</v>
      </c>
      <c r="U181" s="118">
        <f t="shared" ca="1" si="43"/>
        <v>621768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40</v>
      </c>
      <c r="O182" s="173">
        <v>6</v>
      </c>
      <c r="P182" s="234">
        <f ca="1">OFFSET($A$1,MATCH(Z178,$A:$A,0)-1,O182)</f>
        <v>4</v>
      </c>
      <c r="Q182" s="144" t="s">
        <v>29</v>
      </c>
      <c r="R182" s="118">
        <f t="shared" ca="1" si="42"/>
        <v>295138</v>
      </c>
      <c r="S182" s="118">
        <f t="shared" ca="1" si="42"/>
        <v>1180552</v>
      </c>
      <c r="T182" s="118">
        <f ca="1">중급</f>
        <v>295138</v>
      </c>
      <c r="U182" s="118">
        <f t="shared" ca="1" si="43"/>
        <v>1180552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41</v>
      </c>
      <c r="O183" s="173">
        <v>7</v>
      </c>
      <c r="P183" s="234">
        <f ca="1">OFFSET($A$1,MATCH(Z178,$A:$A,0)-1,O183)</f>
        <v>4</v>
      </c>
      <c r="Q183" s="144" t="s">
        <v>29</v>
      </c>
      <c r="R183" s="118">
        <f t="shared" ca="1" si="42"/>
        <v>235459</v>
      </c>
      <c r="S183" s="118">
        <f t="shared" ca="1" si="42"/>
        <v>941836</v>
      </c>
      <c r="T183" s="118">
        <f ca="1">초급</f>
        <v>235459</v>
      </c>
      <c r="U183" s="118">
        <f t="shared" ca="1" si="43"/>
        <v>941836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319" t="s">
        <v>42</v>
      </c>
      <c r="O184" s="174">
        <v>8</v>
      </c>
      <c r="P184" s="235">
        <f ca="1">OFFSET($A$1,MATCH(Z178,$A:$A,0)-1,O184)</f>
        <v>4</v>
      </c>
      <c r="Q184" s="322" t="s">
        <v>29</v>
      </c>
      <c r="R184" s="323">
        <f t="shared" ca="1" si="42"/>
        <v>250087</v>
      </c>
      <c r="S184" s="323">
        <f t="shared" ca="1" si="42"/>
        <v>1000348</v>
      </c>
      <c r="T184" s="323">
        <f ca="1">보조원</f>
        <v>250087</v>
      </c>
      <c r="U184" s="323">
        <f t="shared" ca="1" si="43"/>
        <v>1000348</v>
      </c>
      <c r="V184" s="323"/>
      <c r="W184" s="323"/>
      <c r="X184" s="323"/>
      <c r="Y184" s="323"/>
      <c r="Z184" s="324"/>
    </row>
    <row r="185" spans="11:26" ht="18" customHeight="1">
      <c r="K185" s="171" t="s">
        <v>14</v>
      </c>
      <c r="L185" s="171"/>
      <c r="M185" s="171"/>
      <c r="N185" s="139" t="s">
        <v>17</v>
      </c>
      <c r="O185" s="68"/>
      <c r="P185" s="69"/>
      <c r="Q185" s="70"/>
      <c r="R185" s="71"/>
      <c r="S185" s="71">
        <f ca="1">SUBTOTAL(9,S179:S184)</f>
        <v>5425644</v>
      </c>
      <c r="T185" s="71"/>
      <c r="U185" s="71">
        <f ca="1">SUBTOTAL(9,U179:U184)</f>
        <v>5425644</v>
      </c>
      <c r="V185" s="71"/>
      <c r="W185" s="71"/>
      <c r="X185" s="71"/>
      <c r="Y185" s="71"/>
      <c r="Z185" s="68"/>
    </row>
    <row r="186" spans="11:26" ht="18" customHeight="1">
      <c r="K186" s="171" t="s">
        <v>14</v>
      </c>
      <c r="L186" s="171"/>
      <c r="M186" s="171"/>
      <c r="N186" s="318" t="str">
        <f ca="1">"제 " &amp; Z186 &amp; " 호표  "&amp; OFFSET($A$1,MATCH(Z186,$A:$A,0)-1,1)</f>
        <v>제 16 호표  6-4. 관계기관 협의</v>
      </c>
      <c r="O186" s="221"/>
      <c r="P186" s="148"/>
      <c r="Q186" s="148"/>
      <c r="R186" s="149"/>
      <c r="S186" s="149"/>
      <c r="T186" s="149"/>
      <c r="U186" s="149"/>
      <c r="V186" s="149"/>
      <c r="W186" s="149"/>
      <c r="X186" s="149"/>
      <c r="Y186" s="149"/>
      <c r="Z186" s="325">
        <f>Z178+1</f>
        <v>16</v>
      </c>
    </row>
    <row r="187" spans="11:26" ht="18" customHeight="1">
      <c r="K187" s="171" t="s">
        <v>14</v>
      </c>
      <c r="L187" s="171"/>
      <c r="M187" s="171"/>
      <c r="N187" s="140" t="s">
        <v>43</v>
      </c>
      <c r="O187" s="172">
        <v>3</v>
      </c>
      <c r="P187" s="219">
        <f ca="1">OFFSET($A$1,MATCH(Z186,$A:$A,0)-1,O187)</f>
        <v>2</v>
      </c>
      <c r="Q187" s="141" t="s">
        <v>29</v>
      </c>
      <c r="R187" s="142">
        <f t="shared" ref="R187:S192" ca="1" si="44">T187</f>
        <v>467217</v>
      </c>
      <c r="S187" s="142">
        <f t="shared" ca="1" si="44"/>
        <v>934434</v>
      </c>
      <c r="T187" s="142">
        <f ca="1">기술사</f>
        <v>467217</v>
      </c>
      <c r="U187" s="142">
        <f t="shared" ref="U187:U192" ca="1" si="45">ROUNDDOWN(P187*R187,0)</f>
        <v>934434</v>
      </c>
      <c r="V187" s="142"/>
      <c r="W187" s="142"/>
      <c r="X187" s="142"/>
      <c r="Y187" s="142"/>
      <c r="Z187" s="114"/>
    </row>
    <row r="188" spans="11:26" ht="18" customHeight="1">
      <c r="K188" s="171" t="s">
        <v>14</v>
      </c>
      <c r="L188" s="171"/>
      <c r="M188" s="171"/>
      <c r="N188" s="143" t="s">
        <v>32</v>
      </c>
      <c r="O188" s="173">
        <v>4</v>
      </c>
      <c r="P188" s="234">
        <f ca="1">OFFSET($A$1,MATCH(Z186,$A:$A,0)-1,O188)</f>
        <v>2</v>
      </c>
      <c r="Q188" s="144" t="s">
        <v>29</v>
      </c>
      <c r="R188" s="118">
        <f t="shared" ca="1" si="44"/>
        <v>373353</v>
      </c>
      <c r="S188" s="118">
        <f t="shared" ca="1" si="44"/>
        <v>746706</v>
      </c>
      <c r="T188" s="118">
        <f ca="1">특급</f>
        <v>373353</v>
      </c>
      <c r="U188" s="118">
        <f t="shared" ca="1" si="45"/>
        <v>746706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39</v>
      </c>
      <c r="O189" s="173">
        <v>5</v>
      </c>
      <c r="P189" s="234">
        <f ca="1">OFFSET($A$1,MATCH(Z186,$A:$A,0)-1,O189)</f>
        <v>2</v>
      </c>
      <c r="Q189" s="144" t="s">
        <v>29</v>
      </c>
      <c r="R189" s="118">
        <f t="shared" ca="1" si="44"/>
        <v>310884</v>
      </c>
      <c r="S189" s="118">
        <f t="shared" ca="1" si="44"/>
        <v>621768</v>
      </c>
      <c r="T189" s="118">
        <f ca="1">고급</f>
        <v>310884</v>
      </c>
      <c r="U189" s="118">
        <f t="shared" ca="1" si="45"/>
        <v>621768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40</v>
      </c>
      <c r="O190" s="173">
        <v>6</v>
      </c>
      <c r="P190" s="234">
        <f ca="1">OFFSET($A$1,MATCH(Z186,$A:$A,0)-1,O190)</f>
        <v>4</v>
      </c>
      <c r="Q190" s="144" t="s">
        <v>29</v>
      </c>
      <c r="R190" s="118">
        <f t="shared" ca="1" si="44"/>
        <v>295138</v>
      </c>
      <c r="S190" s="118">
        <f t="shared" ca="1" si="44"/>
        <v>1180552</v>
      </c>
      <c r="T190" s="118">
        <f ca="1">중급</f>
        <v>295138</v>
      </c>
      <c r="U190" s="118">
        <f t="shared" ca="1" si="45"/>
        <v>1180552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41</v>
      </c>
      <c r="O191" s="173">
        <v>7</v>
      </c>
      <c r="P191" s="234">
        <f ca="1">OFFSET($A$1,MATCH(Z186,$A:$A,0)-1,O191)</f>
        <v>4</v>
      </c>
      <c r="Q191" s="144" t="s">
        <v>29</v>
      </c>
      <c r="R191" s="118">
        <f t="shared" ca="1" si="44"/>
        <v>235459</v>
      </c>
      <c r="S191" s="118">
        <f t="shared" ca="1" si="44"/>
        <v>941836</v>
      </c>
      <c r="T191" s="118">
        <f ca="1">초급</f>
        <v>235459</v>
      </c>
      <c r="U191" s="118">
        <f t="shared" ca="1" si="45"/>
        <v>941836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319" t="s">
        <v>42</v>
      </c>
      <c r="O192" s="174">
        <v>8</v>
      </c>
      <c r="P192" s="235">
        <f ca="1">OFFSET($A$1,MATCH(Z186,$A:$A,0)-1,O192)</f>
        <v>4</v>
      </c>
      <c r="Q192" s="322" t="s">
        <v>29</v>
      </c>
      <c r="R192" s="323">
        <f t="shared" ca="1" si="44"/>
        <v>250087</v>
      </c>
      <c r="S192" s="323">
        <f t="shared" ca="1" si="44"/>
        <v>1000348</v>
      </c>
      <c r="T192" s="323">
        <f ca="1">보조원</f>
        <v>250087</v>
      </c>
      <c r="U192" s="323">
        <f t="shared" ca="1" si="45"/>
        <v>1000348</v>
      </c>
      <c r="V192" s="323"/>
      <c r="W192" s="323"/>
      <c r="X192" s="323"/>
      <c r="Y192" s="323"/>
      <c r="Z192" s="324"/>
    </row>
    <row r="193" spans="11:26" ht="18" customHeight="1">
      <c r="K193" s="171" t="s">
        <v>14</v>
      </c>
      <c r="L193" s="171"/>
      <c r="M193" s="171"/>
      <c r="N193" s="139" t="s">
        <v>17</v>
      </c>
      <c r="O193" s="68"/>
      <c r="P193" s="69"/>
      <c r="Q193" s="70"/>
      <c r="R193" s="71"/>
      <c r="S193" s="71">
        <f ca="1">SUBTOTAL(9,S187:S192)</f>
        <v>5425644</v>
      </c>
      <c r="T193" s="71"/>
      <c r="U193" s="71">
        <f ca="1">SUBTOTAL(9,U187:U192)</f>
        <v>5425644</v>
      </c>
      <c r="V193" s="71"/>
      <c r="W193" s="71"/>
      <c r="X193" s="71"/>
      <c r="Y193" s="71"/>
      <c r="Z193" s="68"/>
    </row>
    <row r="194" spans="11:26" ht="18" customHeight="1">
      <c r="K194" s="171" t="s">
        <v>14</v>
      </c>
      <c r="L194" s="171"/>
      <c r="M194" s="171"/>
      <c r="P194" s="236"/>
    </row>
    <row r="195" spans="11:26" ht="18" customHeight="1">
      <c r="K195" s="171" t="s">
        <v>14</v>
      </c>
      <c r="L195" s="171"/>
      <c r="M195" s="171"/>
      <c r="P195" s="236"/>
    </row>
    <row r="196" spans="11:26" ht="18" customHeight="1">
      <c r="K196" s="171" t="s">
        <v>14</v>
      </c>
      <c r="L196" s="171"/>
      <c r="M196" s="171"/>
      <c r="P196" s="236"/>
    </row>
    <row r="197" spans="11:26" ht="18" customHeight="1">
      <c r="K197" s="171" t="s">
        <v>14</v>
      </c>
      <c r="L197" s="171"/>
      <c r="M197" s="171"/>
      <c r="P197" s="236"/>
    </row>
    <row r="198" spans="11:26" ht="18" customHeight="1">
      <c r="K198" s="171" t="s">
        <v>14</v>
      </c>
      <c r="L198" s="171"/>
      <c r="M198" s="171"/>
      <c r="P198" s="236"/>
    </row>
    <row r="199" spans="11:26" ht="18" customHeight="1">
      <c r="K199" s="171" t="s">
        <v>14</v>
      </c>
      <c r="L199" s="171"/>
      <c r="M199" s="171"/>
      <c r="P199" s="236"/>
    </row>
    <row r="200" spans="11:26" ht="18" customHeight="1">
      <c r="K200" s="171" t="s">
        <v>14</v>
      </c>
      <c r="L200" s="171"/>
      <c r="M200" s="171"/>
      <c r="P200" s="236"/>
    </row>
    <row r="201" spans="11:26" ht="18" customHeight="1">
      <c r="K201" s="171" t="s">
        <v>14</v>
      </c>
      <c r="L201" s="171"/>
      <c r="M201" s="171"/>
      <c r="P201" s="236"/>
    </row>
    <row r="202" spans="11:26" ht="18" customHeight="1">
      <c r="K202" s="171" t="s">
        <v>14</v>
      </c>
      <c r="L202" s="171"/>
      <c r="M202" s="171"/>
      <c r="P202" s="236"/>
    </row>
    <row r="203" spans="11:26" ht="18" customHeight="1">
      <c r="K203" s="171" t="s">
        <v>14</v>
      </c>
      <c r="L203" s="171"/>
      <c r="M203" s="171"/>
      <c r="P203" s="236"/>
    </row>
    <row r="204" spans="11:26" ht="18" customHeight="1">
      <c r="K204" s="171" t="s">
        <v>14</v>
      </c>
      <c r="L204" s="171"/>
      <c r="M204" s="171"/>
      <c r="P204" s="236"/>
    </row>
    <row r="205" spans="11:26" ht="18" customHeight="1">
      <c r="K205" s="171" t="s">
        <v>14</v>
      </c>
      <c r="L205" s="171"/>
      <c r="M205" s="171"/>
      <c r="P205" s="236"/>
    </row>
    <row r="206" spans="11:26" ht="18" customHeight="1">
      <c r="K206" s="171" t="s">
        <v>14</v>
      </c>
      <c r="L206" s="171"/>
      <c r="M206" s="171"/>
      <c r="P206" s="236"/>
    </row>
    <row r="207" spans="11:26" ht="18" customHeight="1">
      <c r="K207" s="171" t="s">
        <v>14</v>
      </c>
      <c r="L207" s="171"/>
      <c r="M207" s="171"/>
      <c r="P207" s="236"/>
    </row>
    <row r="208" spans="11:26" ht="18" customHeight="1">
      <c r="K208" s="171" t="s">
        <v>14</v>
      </c>
      <c r="L208" s="171"/>
      <c r="M208" s="171"/>
      <c r="P208" s="236"/>
    </row>
    <row r="209" spans="11:16" ht="18" customHeight="1">
      <c r="K209" s="171" t="s">
        <v>14</v>
      </c>
      <c r="L209" s="171"/>
      <c r="M209" s="171"/>
      <c r="P209" s="236"/>
    </row>
    <row r="210" spans="11:16" ht="18" customHeight="1">
      <c r="K210" s="171" t="s">
        <v>14</v>
      </c>
      <c r="L210" s="171"/>
      <c r="M210" s="171"/>
      <c r="P210" s="236"/>
    </row>
    <row r="211" spans="11:16" ht="18" customHeight="1">
      <c r="K211" s="171" t="s">
        <v>14</v>
      </c>
      <c r="L211" s="171"/>
      <c r="M211" s="171"/>
      <c r="P211" s="236"/>
    </row>
    <row r="212" spans="11:16" ht="18" customHeight="1">
      <c r="K212" s="171" t="s">
        <v>14</v>
      </c>
      <c r="L212" s="171"/>
      <c r="M212" s="171"/>
      <c r="P212" s="236"/>
    </row>
    <row r="213" spans="11:16" ht="18" customHeight="1">
      <c r="K213" s="171" t="s">
        <v>14</v>
      </c>
      <c r="L213" s="171"/>
      <c r="M213" s="171"/>
      <c r="P213" s="236"/>
    </row>
    <row r="214" spans="11:16" ht="18" customHeight="1">
      <c r="K214" s="171" t="s">
        <v>14</v>
      </c>
      <c r="L214" s="171"/>
      <c r="M214" s="171"/>
      <c r="P214" s="236"/>
    </row>
    <row r="215" spans="11:16" ht="18" customHeight="1">
      <c r="K215" s="171" t="s">
        <v>14</v>
      </c>
      <c r="L215" s="171"/>
      <c r="M215" s="171"/>
      <c r="P215" s="236"/>
    </row>
    <row r="216" spans="11:16" ht="18" customHeight="1">
      <c r="K216" s="171" t="s">
        <v>14</v>
      </c>
      <c r="L216" s="171"/>
      <c r="M216" s="171"/>
      <c r="P216" s="236"/>
    </row>
    <row r="217" spans="11:16" ht="18" customHeight="1">
      <c r="K217" s="171" t="s">
        <v>14</v>
      </c>
      <c r="L217" s="171"/>
      <c r="M217" s="171"/>
      <c r="P217" s="236"/>
    </row>
    <row r="218" spans="11:16" ht="18" customHeight="1">
      <c r="K218" s="171" t="s">
        <v>14</v>
      </c>
      <c r="L218" s="171"/>
      <c r="M218" s="171"/>
      <c r="P218" s="236"/>
    </row>
    <row r="219" spans="11:16" ht="18" customHeight="1">
      <c r="K219" s="171" t="s">
        <v>14</v>
      </c>
      <c r="L219" s="171"/>
      <c r="M219" s="171"/>
      <c r="P219" s="236"/>
    </row>
    <row r="220" spans="11:16" ht="18" customHeight="1">
      <c r="K220" s="171" t="s">
        <v>14</v>
      </c>
      <c r="L220" s="171"/>
      <c r="M220" s="171"/>
      <c r="P220" s="236"/>
    </row>
    <row r="221" spans="11:16" ht="18" customHeight="1">
      <c r="K221" s="171" t="s">
        <v>14</v>
      </c>
      <c r="L221" s="171"/>
      <c r="M221" s="171"/>
      <c r="P221" s="236"/>
    </row>
    <row r="222" spans="11:16" ht="18" customHeight="1">
      <c r="K222" s="171" t="s">
        <v>14</v>
      </c>
      <c r="L222" s="171"/>
      <c r="M222" s="171"/>
      <c r="P222" s="236"/>
    </row>
    <row r="223" spans="11:16" ht="18" customHeight="1">
      <c r="K223" s="171" t="s">
        <v>14</v>
      </c>
      <c r="L223" s="171"/>
      <c r="M223" s="171"/>
      <c r="P223" s="236"/>
    </row>
    <row r="224" spans="11:16" ht="18" customHeight="1">
      <c r="K224" s="171" t="s">
        <v>14</v>
      </c>
      <c r="L224" s="171"/>
      <c r="M224" s="171"/>
      <c r="P224" s="236"/>
    </row>
    <row r="225" spans="11:28" ht="18" customHeight="1">
      <c r="K225" s="171" t="s">
        <v>14</v>
      </c>
      <c r="L225" s="171"/>
      <c r="M225" s="171"/>
      <c r="P225" s="236"/>
    </row>
    <row r="226" spans="11:28" ht="18" customHeight="1">
      <c r="K226" s="171" t="s">
        <v>14</v>
      </c>
      <c r="L226" s="171"/>
      <c r="M226" s="171"/>
      <c r="P226" s="236"/>
    </row>
    <row r="227" spans="11:28" ht="18" customHeight="1">
      <c r="K227" s="171" t="s">
        <v>14</v>
      </c>
      <c r="L227" s="171"/>
      <c r="M227" s="171"/>
      <c r="P227" s="236"/>
    </row>
    <row r="228" spans="11:28" ht="18" customHeight="1">
      <c r="K228" s="171" t="s">
        <v>14</v>
      </c>
      <c r="L228" s="171"/>
      <c r="M228" s="171"/>
      <c r="P228" s="236"/>
    </row>
    <row r="229" spans="11:28" ht="18" customHeight="1">
      <c r="K229" s="171" t="s">
        <v>14</v>
      </c>
      <c r="L229" s="171"/>
      <c r="M229" s="171"/>
      <c r="P229" s="236"/>
    </row>
    <row r="230" spans="11:28" ht="18" customHeight="1">
      <c r="K230" s="171" t="s">
        <v>14</v>
      </c>
      <c r="L230" s="171"/>
      <c r="M230" s="171"/>
      <c r="P230" s="236"/>
    </row>
    <row r="231" spans="11:28" ht="18" customHeight="1">
      <c r="K231" s="171" t="s">
        <v>14</v>
      </c>
      <c r="L231" s="171"/>
      <c r="M231" s="171"/>
      <c r="P231" s="236"/>
    </row>
    <row r="232" spans="11:28" ht="18" customHeight="1">
      <c r="K232" s="171" t="s">
        <v>14</v>
      </c>
      <c r="L232" s="171"/>
      <c r="M232" s="171"/>
      <c r="P232" s="236"/>
    </row>
    <row r="233" spans="11:28" ht="18" customHeight="1">
      <c r="K233" s="171" t="s">
        <v>14</v>
      </c>
      <c r="L233" s="171"/>
      <c r="M233" s="171"/>
      <c r="P233" s="236"/>
    </row>
    <row r="234" spans="11:28" ht="18" customHeight="1">
      <c r="K234" s="171" t="s">
        <v>14</v>
      </c>
      <c r="L234" s="171"/>
      <c r="M234" s="171"/>
      <c r="P234" s="236"/>
    </row>
    <row r="235" spans="11:28" ht="18" customHeight="1">
      <c r="K235" s="171" t="s">
        <v>14</v>
      </c>
      <c r="L235" s="171"/>
      <c r="M235" s="171"/>
      <c r="P235" s="236"/>
    </row>
    <row r="236" spans="11:28" ht="18" customHeight="1">
      <c r="K236" s="171" t="s">
        <v>14</v>
      </c>
      <c r="L236" s="171"/>
      <c r="M236" s="171"/>
      <c r="P236" s="236"/>
    </row>
    <row r="237" spans="11:28" ht="18" customHeight="1">
      <c r="K237" s="171" t="s">
        <v>14</v>
      </c>
      <c r="L237" s="171"/>
      <c r="M237" s="171"/>
      <c r="P237" s="236"/>
      <c r="AA237" s="171"/>
      <c r="AB237" s="171"/>
    </row>
    <row r="238" spans="11:28" ht="18" customHeight="1">
      <c r="K238" s="171" t="s">
        <v>14</v>
      </c>
      <c r="L238" s="171"/>
      <c r="M238" s="171"/>
      <c r="P238" s="236"/>
      <c r="AA238" s="171"/>
      <c r="AB238" s="171"/>
    </row>
    <row r="239" spans="11:28" ht="18" customHeight="1">
      <c r="K239" s="171" t="s">
        <v>14</v>
      </c>
      <c r="L239" s="171"/>
      <c r="M239" s="171"/>
      <c r="P239" s="236"/>
      <c r="AA239" s="171"/>
      <c r="AB239" s="171"/>
    </row>
    <row r="240" spans="11:28" ht="18" customHeight="1">
      <c r="K240" s="171" t="s">
        <v>14</v>
      </c>
      <c r="L240" s="171"/>
      <c r="M240" s="171"/>
      <c r="P240" s="236"/>
      <c r="AA240" s="171"/>
      <c r="AB240" s="171"/>
    </row>
    <row r="241" spans="11:28" ht="18" customHeight="1">
      <c r="K241" s="171" t="s">
        <v>14</v>
      </c>
      <c r="L241" s="171"/>
      <c r="M241" s="171"/>
      <c r="P241" s="236"/>
    </row>
    <row r="242" spans="11:28" ht="18" customHeight="1">
      <c r="K242" s="171" t="s">
        <v>14</v>
      </c>
      <c r="L242" s="171"/>
      <c r="M242" s="171"/>
      <c r="P242" s="236"/>
    </row>
    <row r="243" spans="11:28" ht="18" customHeight="1">
      <c r="K243" s="171" t="s">
        <v>14</v>
      </c>
      <c r="L243" s="171"/>
      <c r="M243" s="171"/>
      <c r="P243" s="236"/>
    </row>
    <row r="244" spans="11:28" ht="18" customHeight="1">
      <c r="K244" s="171" t="s">
        <v>14</v>
      </c>
      <c r="L244" s="171"/>
      <c r="M244" s="171"/>
      <c r="P244" s="236"/>
    </row>
    <row r="245" spans="11:28" ht="18" customHeight="1">
      <c r="K245" s="171" t="s">
        <v>14</v>
      </c>
      <c r="L245" s="171"/>
      <c r="M245" s="171"/>
      <c r="P245" s="236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</row>
    <row r="251" spans="11:28" ht="18" customHeight="1">
      <c r="K251" s="171" t="s">
        <v>14</v>
      </c>
      <c r="L251" s="171"/>
      <c r="M251" s="171"/>
      <c r="P251" s="236"/>
    </row>
    <row r="252" spans="11:28" ht="18" customHeight="1">
      <c r="K252" s="171" t="s">
        <v>14</v>
      </c>
      <c r="L252" s="171"/>
      <c r="M252" s="171"/>
      <c r="P252" s="236"/>
    </row>
    <row r="253" spans="11:28" ht="18" customHeight="1">
      <c r="K253" s="171" t="s">
        <v>14</v>
      </c>
      <c r="L253" s="171"/>
      <c r="M253" s="171"/>
      <c r="P253" s="236"/>
      <c r="AA253" s="171"/>
      <c r="AB253" s="171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  <c r="AA267" s="171"/>
      <c r="AB267" s="171"/>
    </row>
    <row r="268" spans="11:28" ht="18" customHeight="1">
      <c r="K268" s="171" t="s">
        <v>14</v>
      </c>
      <c r="L268" s="171"/>
      <c r="M268" s="171"/>
      <c r="P268" s="236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  <c r="P713" s="236"/>
    </row>
    <row r="714" spans="11:16" ht="18" customHeight="1">
      <c r="K714" s="171" t="s">
        <v>14</v>
      </c>
      <c r="L714" s="171"/>
      <c r="M714" s="171"/>
      <c r="P714" s="236"/>
    </row>
    <row r="715" spans="11:16" ht="18" customHeight="1">
      <c r="K715" s="171" t="s">
        <v>14</v>
      </c>
      <c r="L715" s="171"/>
      <c r="M715" s="171"/>
      <c r="P715" s="236"/>
    </row>
    <row r="716" spans="11:16" ht="18" customHeight="1">
      <c r="K716" s="171" t="s">
        <v>14</v>
      </c>
      <c r="L716" s="171"/>
      <c r="M716" s="171"/>
      <c r="P716" s="236"/>
    </row>
    <row r="717" spans="11:16" ht="18" customHeight="1">
      <c r="K717" s="171" t="s">
        <v>14</v>
      </c>
      <c r="L717" s="171"/>
      <c r="M717" s="171"/>
    </row>
    <row r="718" spans="11:16" ht="18" customHeight="1">
      <c r="K718" s="171" t="s">
        <v>14</v>
      </c>
      <c r="L718" s="171"/>
      <c r="M718" s="171"/>
    </row>
    <row r="719" spans="11:16" ht="18" customHeight="1">
      <c r="K719" s="171" t="s">
        <v>14</v>
      </c>
      <c r="L719" s="171"/>
      <c r="M719" s="171"/>
    </row>
    <row r="720" spans="11:16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M803" s="171"/>
    </row>
    <row r="804" spans="11:13" ht="18" customHeight="1">
      <c r="K804" s="171" t="s">
        <v>14</v>
      </c>
      <c r="M804" s="171"/>
    </row>
    <row r="805" spans="11:13" ht="18" customHeight="1">
      <c r="K805" s="171" t="s">
        <v>14</v>
      </c>
      <c r="M805" s="171"/>
    </row>
    <row r="806" spans="11:13" ht="18" customHeight="1">
      <c r="K806" s="171" t="s">
        <v>14</v>
      </c>
      <c r="M806" s="171"/>
    </row>
    <row r="807" spans="11:13" ht="18" customHeight="1">
      <c r="K807" s="171" t="s">
        <v>14</v>
      </c>
      <c r="M807" s="171"/>
    </row>
    <row r="808" spans="11:13" ht="18" customHeight="1">
      <c r="K808" s="171" t="s">
        <v>14</v>
      </c>
      <c r="M808" s="171"/>
    </row>
    <row r="809" spans="11:13" ht="18" customHeight="1">
      <c r="M809" s="171"/>
    </row>
    <row r="810" spans="11:13" ht="18" customHeight="1">
      <c r="M810" s="171"/>
    </row>
    <row r="811" spans="11:13" ht="18" customHeight="1">
      <c r="M811" s="171"/>
    </row>
    <row r="812" spans="11:13" ht="18" customHeight="1">
      <c r="M812" s="171"/>
    </row>
    <row r="813" spans="11:13" ht="18" customHeight="1">
      <c r="M813" s="171"/>
    </row>
    <row r="814" spans="11:13" ht="18" customHeight="1">
      <c r="M814" s="171"/>
    </row>
  </sheetData>
  <mergeCells count="17">
    <mergeCell ref="L10:L11"/>
    <mergeCell ref="O64:O65"/>
    <mergeCell ref="P64:P65"/>
    <mergeCell ref="Q64:Q65"/>
    <mergeCell ref="Z64:Z65"/>
    <mergeCell ref="N64:N65"/>
    <mergeCell ref="B3:C3"/>
    <mergeCell ref="B4:C4"/>
    <mergeCell ref="B5:C5"/>
    <mergeCell ref="B10:C11"/>
    <mergeCell ref="J10:J11"/>
    <mergeCell ref="D3:E3"/>
    <mergeCell ref="D4:E4"/>
    <mergeCell ref="D5:E5"/>
    <mergeCell ref="G3:H3"/>
    <mergeCell ref="G4:H4"/>
    <mergeCell ref="G5:H5"/>
  </mergeCells>
  <phoneticPr fontId="14" type="noConversion"/>
  <conditionalFormatting sqref="V12:V33">
    <cfRule type="cellIs" dxfId="3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3" min="13" max="28" man="1"/>
    <brk id="80" min="13" max="28" man="1"/>
    <brk id="101" min="13" max="28" man="1"/>
  </rowBreak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51">
    <tabColor rgb="FF7030A0"/>
    <pageSetUpPr fitToPage="1"/>
  </sheetPr>
  <dimension ref="A1:AC778"/>
  <sheetViews>
    <sheetView showGridLines="0" zoomScale="85" zoomScaleNormal="85" zoomScaleSheetLayoutView="75" workbookViewId="0">
      <selection activeCell="G3" sqref="G3:J6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2325</v>
      </c>
      <c r="G1" s="391" t="s">
        <v>2326</v>
      </c>
    </row>
    <row r="2" spans="1:26" ht="19.5" thickBot="1">
      <c r="B2" s="66" t="s">
        <v>1</v>
      </c>
      <c r="F2" s="440">
        <v>1</v>
      </c>
      <c r="G2" s="391" t="s">
        <v>2327</v>
      </c>
    </row>
    <row r="3" spans="1:26" ht="18" customHeight="1">
      <c r="B3" s="773" t="s">
        <v>376</v>
      </c>
      <c r="C3" s="774"/>
      <c r="D3" s="775">
        <v>1</v>
      </c>
      <c r="E3" s="776"/>
      <c r="F3" s="44" t="str">
        <f>CHOOSE(F2,"만㎡","㎞")</f>
        <v>만㎡</v>
      </c>
      <c r="G3" s="838" t="s">
        <v>1104</v>
      </c>
      <c r="H3" s="839"/>
      <c r="I3" s="656">
        <v>2</v>
      </c>
      <c r="J3" s="669" t="s">
        <v>794</v>
      </c>
      <c r="K3" s="6"/>
      <c r="L3" s="6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</row>
    <row r="4" spans="1:26" ht="18" customHeight="1">
      <c r="B4" s="777" t="s">
        <v>1270</v>
      </c>
      <c r="C4" s="778"/>
      <c r="D4" s="779">
        <v>1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K4" s="6"/>
      <c r="L4" s="6"/>
      <c r="M4" s="6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</row>
    <row r="5" spans="1:26" ht="18" customHeight="1" thickBot="1">
      <c r="B5" s="777" t="s">
        <v>262</v>
      </c>
      <c r="C5" s="814"/>
      <c r="D5" s="815">
        <f>ROUND((IF(D4&lt;=0.5,0.5,D4)/D3)^0.6,3)</f>
        <v>1</v>
      </c>
      <c r="E5" s="816"/>
      <c r="F5" s="441">
        <v>1</v>
      </c>
      <c r="G5" s="817" t="s">
        <v>1102</v>
      </c>
      <c r="H5" s="818"/>
      <c r="I5" s="646">
        <f>ROUND(I4/I3,3)</f>
        <v>1</v>
      </c>
      <c r="J5" s="671"/>
      <c r="K5" s="6"/>
      <c r="L5" s="6"/>
      <c r="M5" s="6"/>
      <c r="N5" s="6"/>
      <c r="O5" s="6"/>
      <c r="P5" s="6"/>
      <c r="Q5" s="6"/>
      <c r="R5" s="1"/>
      <c r="S5" s="1"/>
      <c r="T5" s="1"/>
      <c r="U5" s="1"/>
      <c r="V5" s="1"/>
      <c r="W5" s="1"/>
      <c r="X5" s="1"/>
      <c r="Y5" s="1"/>
    </row>
    <row r="6" spans="1:26" ht="18" customHeight="1" thickBot="1">
      <c r="A6" s="358"/>
      <c r="B6" s="781" t="s">
        <v>2330</v>
      </c>
      <c r="C6" s="782"/>
      <c r="D6" s="783">
        <f>CHOOSE(F6,1,1.75)</f>
        <v>1</v>
      </c>
      <c r="E6" s="784"/>
      <c r="F6" s="430">
        <v>1</v>
      </c>
      <c r="G6" s="9" t="s">
        <v>1107</v>
      </c>
      <c r="J6" s="36"/>
      <c r="K6" s="6"/>
      <c r="L6" s="6"/>
      <c r="M6" s="6"/>
      <c r="N6" s="6"/>
      <c r="O6" s="6"/>
      <c r="P6" s="6"/>
      <c r="Q6" s="6"/>
      <c r="R6" s="1"/>
      <c r="S6" s="1"/>
      <c r="T6" s="1"/>
      <c r="U6" s="1"/>
      <c r="V6" s="1"/>
      <c r="W6" s="1"/>
      <c r="X6" s="1"/>
      <c r="Y6" s="1"/>
    </row>
    <row r="7" spans="1:26" ht="18" customHeight="1">
      <c r="B7" s="9" t="s">
        <v>2328</v>
      </c>
      <c r="C7" s="9"/>
      <c r="D7" s="64"/>
      <c r="E7" s="64"/>
      <c r="G7" s="36"/>
      <c r="R7" s="1"/>
      <c r="S7" s="1"/>
      <c r="T7" s="1"/>
    </row>
    <row r="8" spans="1:26" ht="18" customHeight="1">
      <c r="B8" s="9"/>
      <c r="C8" s="9" t="s">
        <v>2329</v>
      </c>
      <c r="D8" s="64"/>
      <c r="E8" s="64"/>
      <c r="G8" s="36"/>
      <c r="R8" s="1"/>
      <c r="S8" s="1"/>
      <c r="T8" s="1"/>
    </row>
    <row r="9" spans="1:26" ht="18" customHeight="1">
      <c r="C9" s="9"/>
      <c r="D9" s="64"/>
      <c r="E9" s="64"/>
      <c r="G9" s="36"/>
      <c r="R9" s="1"/>
      <c r="S9" s="1"/>
      <c r="T9" s="1"/>
    </row>
    <row r="10" spans="1:26" ht="18" customHeight="1">
      <c r="B10" s="9"/>
      <c r="C10" s="9"/>
      <c r="D10" s="64"/>
      <c r="E10" s="64"/>
      <c r="G10" s="36"/>
      <c r="R10" s="1"/>
      <c r="S10" s="1"/>
      <c r="T10" s="1"/>
    </row>
    <row r="11" spans="1:26" ht="18" customHeight="1">
      <c r="B11" s="9"/>
      <c r="C11" s="9"/>
      <c r="D11" s="64"/>
      <c r="E11" s="64"/>
      <c r="G11" s="36"/>
      <c r="R11" s="1"/>
      <c r="S11" s="1"/>
      <c r="T11" s="1"/>
    </row>
    <row r="12" spans="1:26" ht="18" customHeight="1">
      <c r="G12" s="36"/>
      <c r="W12" s="188" t="s">
        <v>3</v>
      </c>
      <c r="X12" s="189"/>
    </row>
    <row r="13" spans="1:26" ht="18" customHeight="1" thickBot="1">
      <c r="B13" s="66" t="s">
        <v>4</v>
      </c>
      <c r="C13" s="9"/>
      <c r="D13" s="64"/>
      <c r="E13" s="64"/>
      <c r="G13" s="36"/>
      <c r="N13" s="66" t="s">
        <v>5</v>
      </c>
    </row>
    <row r="14" spans="1:26" ht="18" customHeight="1" thickBot="1">
      <c r="B14" s="9"/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SUBTOTAL(9,W15:W55)</f>
        <v>384874228</v>
      </c>
      <c r="X14" s="187"/>
      <c r="Y14" s="177"/>
      <c r="Z14" s="167"/>
    </row>
    <row r="15" spans="1:26" ht="18" customHeight="1">
      <c r="B15" s="757" t="s">
        <v>30</v>
      </c>
      <c r="C15" s="758"/>
      <c r="D15" s="14" t="s">
        <v>6</v>
      </c>
      <c r="E15" s="15"/>
      <c r="F15" s="15"/>
      <c r="G15" s="15"/>
      <c r="H15" s="15"/>
      <c r="I15" s="16"/>
      <c r="J15" s="761" t="s">
        <v>31</v>
      </c>
      <c r="L15" s="763" t="s">
        <v>7</v>
      </c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SUBTOTAL(9,W16:W52)</f>
        <v>141554286</v>
      </c>
      <c r="X15" s="164"/>
      <c r="Y15" s="178" t="s">
        <v>9</v>
      </c>
      <c r="Z15" s="179"/>
    </row>
    <row r="16" spans="1:26" ht="18" customHeight="1" thickBot="1">
      <c r="B16" s="759"/>
      <c r="C16" s="760"/>
      <c r="D16" s="17" t="s">
        <v>33</v>
      </c>
      <c r="E16" s="19" t="s">
        <v>34</v>
      </c>
      <c r="F16" s="19" t="s">
        <v>35</v>
      </c>
      <c r="G16" s="19" t="s">
        <v>36</v>
      </c>
      <c r="H16" s="19" t="s">
        <v>37</v>
      </c>
      <c r="I16" s="18" t="s">
        <v>38</v>
      </c>
      <c r="J16" s="762"/>
      <c r="L16" s="764"/>
      <c r="N16" s="290" t="s">
        <v>45</v>
      </c>
      <c r="O16" s="124"/>
      <c r="P16" s="125"/>
      <c r="Q16" s="126"/>
      <c r="R16" s="126"/>
      <c r="S16" s="126"/>
      <c r="T16" s="126"/>
      <c r="U16" s="181"/>
      <c r="V16" s="218"/>
      <c r="W16" s="159">
        <f ca="1">SUBTOTAL(9,W17:W47)</f>
        <v>135554286</v>
      </c>
      <c r="X16" s="160"/>
      <c r="Y16" s="168"/>
      <c r="Z16" s="168"/>
    </row>
    <row r="17" spans="2:26" ht="18" customHeight="1">
      <c r="B17" s="225" t="s">
        <v>2331</v>
      </c>
      <c r="C17" s="72"/>
      <c r="D17" s="203">
        <f t="shared" ref="D17:I17" si="0">SUBTOTAL(9,D18:D21)</f>
        <v>0.7</v>
      </c>
      <c r="E17" s="204">
        <f t="shared" si="0"/>
        <v>1.1000000000000001</v>
      </c>
      <c r="F17" s="204">
        <f t="shared" si="0"/>
        <v>2.2000000000000002</v>
      </c>
      <c r="G17" s="204">
        <f t="shared" si="0"/>
        <v>3.4</v>
      </c>
      <c r="H17" s="204">
        <f t="shared" si="0"/>
        <v>5.1000000000000005</v>
      </c>
      <c r="I17" s="205">
        <f t="shared" si="0"/>
        <v>6.4999999999999991</v>
      </c>
      <c r="J17" s="654"/>
      <c r="L17" s="232"/>
      <c r="N17" s="294" t="str">
        <f>B17</f>
        <v>1. 조사 및 분석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SUBTOTAL(9,W18:W21)</f>
        <v>5251549</v>
      </c>
      <c r="X17" s="194"/>
      <c r="Y17" s="170" t="str">
        <f>IF(A49&gt;0, "제 " &amp;A49&amp; " 호표","")</f>
        <v/>
      </c>
      <c r="Z17" s="170"/>
    </row>
    <row r="18" spans="2:26" ht="18" customHeight="1">
      <c r="B18" s="223" t="s">
        <v>2268</v>
      </c>
      <c r="C18" s="23"/>
      <c r="D18" s="197">
        <v>0.1</v>
      </c>
      <c r="E18" s="198">
        <v>0.2</v>
      </c>
      <c r="F18" s="198">
        <v>0.4</v>
      </c>
      <c r="G18" s="198">
        <v>0.5</v>
      </c>
      <c r="H18" s="198">
        <v>0.8</v>
      </c>
      <c r="I18" s="199">
        <v>1.2</v>
      </c>
      <c r="J18" s="389" t="s">
        <v>2353</v>
      </c>
      <c r="L18" s="233">
        <v>1</v>
      </c>
      <c r="N18" s="296" t="str">
        <f t="shared" ref="N18:N47" si="1">B18</f>
        <v>1.1. 일반현황조사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SUM((ROUNDDOWN((D50:I50)*단가,0)))</f>
        <v>881784</v>
      </c>
      <c r="X18" s="154"/>
      <c r="Y18" s="150" t="str">
        <f>IF(A50&gt;0, "제 " &amp;A50&amp; " 호표","")</f>
        <v>제 1 호표</v>
      </c>
      <c r="Z18" s="150"/>
    </row>
    <row r="19" spans="2:26" ht="18" customHeight="1">
      <c r="B19" s="223" t="s">
        <v>2332</v>
      </c>
      <c r="C19" s="23"/>
      <c r="D19" s="197">
        <v>0.2</v>
      </c>
      <c r="E19" s="198">
        <v>0.3</v>
      </c>
      <c r="F19" s="198">
        <v>0.8</v>
      </c>
      <c r="G19" s="198">
        <v>1.5</v>
      </c>
      <c r="H19" s="198">
        <v>2.4</v>
      </c>
      <c r="I19" s="199">
        <v>2.9</v>
      </c>
      <c r="J19" s="389" t="s">
        <v>1925</v>
      </c>
      <c r="L19" s="233">
        <v>1</v>
      </c>
      <c r="N19" s="296" t="str">
        <f t="shared" si="1"/>
        <v>1.2. 경관현황조사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SUM((ROUNDDOWN((D51:I51)*단가,0)))</f>
        <v>2187215</v>
      </c>
      <c r="X19" s="154"/>
      <c r="Y19" s="150" t="str">
        <f t="shared" ref="Y19:Y47" si="2">IF(A51&gt;0, "제 " &amp;A51&amp; " 호표","")</f>
        <v>제 2 호표</v>
      </c>
      <c r="Z19" s="150"/>
    </row>
    <row r="20" spans="2:26" ht="18" customHeight="1">
      <c r="B20" s="223" t="s">
        <v>2333</v>
      </c>
      <c r="C20" s="23"/>
      <c r="D20" s="197">
        <v>0.2</v>
      </c>
      <c r="E20" s="198">
        <v>0.3</v>
      </c>
      <c r="F20" s="198">
        <v>0.6</v>
      </c>
      <c r="G20" s="198">
        <v>0.8</v>
      </c>
      <c r="H20" s="198">
        <v>1.2</v>
      </c>
      <c r="I20" s="199">
        <v>1.6</v>
      </c>
      <c r="J20" s="389" t="s">
        <v>1925</v>
      </c>
      <c r="L20" s="233">
        <v>1</v>
      </c>
      <c r="N20" s="296" t="str">
        <f t="shared" si="1"/>
        <v>1.3. 국내외 사례검토</v>
      </c>
      <c r="O20" s="37"/>
      <c r="P20" s="37"/>
      <c r="Q20" s="37"/>
      <c r="R20" s="37"/>
      <c r="S20" s="37"/>
      <c r="T20" s="37"/>
      <c r="U20" s="226"/>
      <c r="V20" s="231"/>
      <c r="W20" s="153">
        <f t="array" aca="1" ref="W20" ca="1">SUM((ROUNDDOWN((D52:I52)*단가,0)))</f>
        <v>1310777</v>
      </c>
      <c r="X20" s="154"/>
      <c r="Y20" s="150" t="str">
        <f t="shared" si="2"/>
        <v>제 3 호표</v>
      </c>
      <c r="Z20" s="150"/>
    </row>
    <row r="21" spans="2:26" ht="18" customHeight="1">
      <c r="B21" s="223" t="s">
        <v>2334</v>
      </c>
      <c r="C21" s="23"/>
      <c r="D21" s="197">
        <v>0.2</v>
      </c>
      <c r="E21" s="198">
        <v>0.3</v>
      </c>
      <c r="F21" s="198">
        <v>0.4</v>
      </c>
      <c r="G21" s="198">
        <v>0.6</v>
      </c>
      <c r="H21" s="198">
        <v>0.7</v>
      </c>
      <c r="I21" s="199">
        <v>0.8</v>
      </c>
      <c r="J21" s="389" t="s">
        <v>1925</v>
      </c>
      <c r="L21" s="233">
        <v>1</v>
      </c>
      <c r="N21" s="296" t="str">
        <f t="shared" si="1"/>
        <v>1.4. 종합분석</v>
      </c>
      <c r="O21" s="37"/>
      <c r="P21" s="37"/>
      <c r="Q21" s="37"/>
      <c r="R21" s="37"/>
      <c r="S21" s="37"/>
      <c r="T21" s="37"/>
      <c r="U21" s="226"/>
      <c r="V21" s="231"/>
      <c r="W21" s="153">
        <f t="array" aca="1" ref="W21" ca="1">SUM((ROUNDDOWN((D53:I53)*단가,0)))</f>
        <v>871773</v>
      </c>
      <c r="X21" s="154"/>
      <c r="Y21" s="150" t="str">
        <f t="shared" si="2"/>
        <v>제 4 호표</v>
      </c>
      <c r="Z21" s="150"/>
    </row>
    <row r="22" spans="2:26" ht="18" customHeight="1">
      <c r="B22" s="222" t="s">
        <v>591</v>
      </c>
      <c r="C22" s="47"/>
      <c r="D22" s="48">
        <f t="shared" ref="D22:I22" si="3">SUBTOTAL(9,D23:D26)</f>
        <v>0.90000000000000013</v>
      </c>
      <c r="E22" s="49">
        <f t="shared" si="3"/>
        <v>1.3</v>
      </c>
      <c r="F22" s="49">
        <f t="shared" si="3"/>
        <v>2.8</v>
      </c>
      <c r="G22" s="49">
        <f t="shared" si="3"/>
        <v>4.7</v>
      </c>
      <c r="H22" s="49">
        <f t="shared" si="3"/>
        <v>6.7</v>
      </c>
      <c r="I22" s="50">
        <f t="shared" si="3"/>
        <v>9.2000000000000011</v>
      </c>
      <c r="J22" s="389"/>
      <c r="L22" s="233"/>
      <c r="N22" s="292" t="str">
        <f t="shared" si="1"/>
        <v>2. 경관구상</v>
      </c>
      <c r="O22" s="37"/>
      <c r="P22" s="39"/>
      <c r="Q22" s="37"/>
      <c r="R22" s="117"/>
      <c r="S22" s="37"/>
      <c r="T22" s="37"/>
      <c r="U22" s="226"/>
      <c r="V22" s="231"/>
      <c r="W22" s="195">
        <f ca="1">SUBTOTAL(9,W23:W26)</f>
        <v>7041843</v>
      </c>
      <c r="X22" s="196"/>
      <c r="Y22" s="150" t="str">
        <f t="shared" si="2"/>
        <v/>
      </c>
      <c r="Z22" s="150"/>
    </row>
    <row r="23" spans="2:26" ht="18" customHeight="1">
      <c r="B23" s="223" t="s">
        <v>2335</v>
      </c>
      <c r="C23" s="23"/>
      <c r="D23" s="197">
        <v>0.2</v>
      </c>
      <c r="E23" s="198">
        <v>0.2</v>
      </c>
      <c r="F23" s="198">
        <v>0.4</v>
      </c>
      <c r="G23" s="198">
        <v>0.5</v>
      </c>
      <c r="H23" s="198">
        <v>1.1000000000000001</v>
      </c>
      <c r="I23" s="199">
        <v>1.5</v>
      </c>
      <c r="J23" s="389" t="s">
        <v>1925</v>
      </c>
      <c r="L23" s="233">
        <v>1</v>
      </c>
      <c r="N23" s="296" t="str">
        <f t="shared" si="1"/>
        <v>2.1. 기본방향 및 테마설정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SUM((ROUNDDOWN((D55:I55)*단가,0)))</f>
        <v>1074169</v>
      </c>
      <c r="X23" s="154"/>
      <c r="Y23" s="150" t="str">
        <f t="shared" si="2"/>
        <v>제 5 호표</v>
      </c>
      <c r="Z23" s="150"/>
    </row>
    <row r="24" spans="2:26" ht="18" customHeight="1">
      <c r="B24" s="223" t="s">
        <v>2336</v>
      </c>
      <c r="C24" s="23"/>
      <c r="D24" s="197">
        <v>0.2</v>
      </c>
      <c r="E24" s="198">
        <v>0.4</v>
      </c>
      <c r="F24" s="198">
        <v>1</v>
      </c>
      <c r="G24" s="198">
        <v>2</v>
      </c>
      <c r="H24" s="198">
        <v>2.2000000000000002</v>
      </c>
      <c r="I24" s="199">
        <v>3.2</v>
      </c>
      <c r="J24" s="389" t="s">
        <v>1925</v>
      </c>
      <c r="L24" s="233">
        <v>1</v>
      </c>
      <c r="N24" s="296" t="str">
        <f t="shared" si="1"/>
        <v>2.2. 공간구상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SUM((ROUNDDOWN((D56:I56)*단가,0)))</f>
        <v>2462231</v>
      </c>
      <c r="X24" s="154"/>
      <c r="Y24" s="150" t="str">
        <f t="shared" si="2"/>
        <v>제 6 호표</v>
      </c>
      <c r="Z24" s="150"/>
    </row>
    <row r="25" spans="2:26" ht="18" customHeight="1">
      <c r="B25" s="223" t="s">
        <v>2337</v>
      </c>
      <c r="C25" s="23"/>
      <c r="D25" s="197">
        <v>0.2</v>
      </c>
      <c r="E25" s="198">
        <v>0.4</v>
      </c>
      <c r="F25" s="198">
        <v>1</v>
      </c>
      <c r="G25" s="198">
        <v>1.1000000000000001</v>
      </c>
      <c r="H25" s="198">
        <v>2.2000000000000002</v>
      </c>
      <c r="I25" s="199">
        <v>3.2</v>
      </c>
      <c r="J25" s="389" t="s">
        <v>1925</v>
      </c>
      <c r="L25" s="233">
        <v>1</v>
      </c>
      <c r="N25" s="296" t="str">
        <f t="shared" si="1"/>
        <v>2.3. 디자인구상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SUM((ROUNDDOWN((D57:I57)*단가,0)))</f>
        <v>2196606</v>
      </c>
      <c r="X25" s="154"/>
      <c r="Y25" s="150" t="str">
        <f t="shared" si="2"/>
        <v>제 7 호표</v>
      </c>
      <c r="Z25" s="150"/>
    </row>
    <row r="26" spans="2:26" ht="18" customHeight="1">
      <c r="B26" s="223" t="s">
        <v>2338</v>
      </c>
      <c r="C26" s="23"/>
      <c r="D26" s="197">
        <v>0.3</v>
      </c>
      <c r="E26" s="198">
        <v>0.3</v>
      </c>
      <c r="F26" s="198">
        <v>0.4</v>
      </c>
      <c r="G26" s="198">
        <v>1.1000000000000001</v>
      </c>
      <c r="H26" s="198">
        <v>1.2</v>
      </c>
      <c r="I26" s="199">
        <v>1.3</v>
      </c>
      <c r="J26" s="389" t="s">
        <v>1925</v>
      </c>
      <c r="L26" s="233">
        <v>1</v>
      </c>
      <c r="N26" s="296" t="str">
        <f t="shared" si="1"/>
        <v>2.4. 종합구상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SUM((ROUNDDOWN((D58:I58)*단가,0)))</f>
        <v>1308837</v>
      </c>
      <c r="X26" s="154"/>
      <c r="Y26" s="150" t="str">
        <f t="shared" si="2"/>
        <v>제 8 호표</v>
      </c>
      <c r="Z26" s="150"/>
    </row>
    <row r="27" spans="2:26" ht="18" customHeight="1">
      <c r="B27" s="222" t="s">
        <v>592</v>
      </c>
      <c r="C27" s="47"/>
      <c r="D27" s="48">
        <f t="shared" ref="D27:I27" si="4">SUBTOTAL(9,D28:D31)</f>
        <v>9</v>
      </c>
      <c r="E27" s="49">
        <f t="shared" si="4"/>
        <v>17.5</v>
      </c>
      <c r="F27" s="49">
        <f t="shared" si="4"/>
        <v>36.1</v>
      </c>
      <c r="G27" s="49">
        <f t="shared" si="4"/>
        <v>38</v>
      </c>
      <c r="H27" s="49">
        <f t="shared" si="4"/>
        <v>42</v>
      </c>
      <c r="I27" s="50">
        <f t="shared" si="4"/>
        <v>46</v>
      </c>
      <c r="J27" s="389"/>
      <c r="L27" s="233"/>
      <c r="N27" s="292" t="str">
        <f t="shared" si="1"/>
        <v>3. 실행계획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SUBTOTAL(9,W28:W31)</f>
        <v>54570056</v>
      </c>
      <c r="X27" s="196"/>
      <c r="Y27" s="150" t="str">
        <f t="shared" si="2"/>
        <v/>
      </c>
      <c r="Z27" s="150"/>
    </row>
    <row r="28" spans="2:26" ht="18" customHeight="1">
      <c r="B28" s="223" t="s">
        <v>2339</v>
      </c>
      <c r="C28" s="23"/>
      <c r="D28" s="197">
        <v>1.5</v>
      </c>
      <c r="E28" s="198">
        <v>3.2</v>
      </c>
      <c r="F28" s="198">
        <v>6.2</v>
      </c>
      <c r="G28" s="198">
        <v>6.5</v>
      </c>
      <c r="H28" s="198">
        <v>7.2</v>
      </c>
      <c r="I28" s="199">
        <v>7.8</v>
      </c>
      <c r="J28" s="389" t="s">
        <v>1925</v>
      </c>
      <c r="L28" s="233">
        <v>1</v>
      </c>
      <c r="N28" s="296" t="str">
        <f t="shared" si="1"/>
        <v>3.1. 디자인 대안 및 타당성 검토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SUM((ROUNDDOWN((D60:I60)*단가,0)))</f>
        <v>9387413</v>
      </c>
      <c r="X28" s="154"/>
      <c r="Y28" s="150" t="str">
        <f t="shared" si="2"/>
        <v>제 9 호표</v>
      </c>
      <c r="Z28" s="150"/>
    </row>
    <row r="29" spans="2:26" ht="18" customHeight="1">
      <c r="B29" s="223" t="s">
        <v>2340</v>
      </c>
      <c r="C29" s="23"/>
      <c r="D29" s="197">
        <v>3</v>
      </c>
      <c r="E29" s="198">
        <v>6.4</v>
      </c>
      <c r="F29" s="198">
        <v>12.4</v>
      </c>
      <c r="G29" s="198">
        <v>13.1</v>
      </c>
      <c r="H29" s="198">
        <v>14.5</v>
      </c>
      <c r="I29" s="199">
        <v>15.9</v>
      </c>
      <c r="J29" s="389" t="s">
        <v>1925</v>
      </c>
      <c r="L29" s="233">
        <v>1</v>
      </c>
      <c r="N29" s="296" t="str">
        <f t="shared" si="1"/>
        <v>3.2. 항목별 디자인 제시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SUM((ROUNDDOWN((D61:I61)*단가,0)))</f>
        <v>18902916</v>
      </c>
      <c r="X29" s="154"/>
      <c r="Y29" s="150" t="str">
        <f t="shared" si="2"/>
        <v>제 10 호표</v>
      </c>
      <c r="Z29" s="150"/>
    </row>
    <row r="30" spans="2:26" ht="18" customHeight="1">
      <c r="B30" s="223" t="s">
        <v>2341</v>
      </c>
      <c r="C30" s="23"/>
      <c r="D30" s="197">
        <v>3</v>
      </c>
      <c r="E30" s="198">
        <v>6.4</v>
      </c>
      <c r="F30" s="198">
        <v>12.4</v>
      </c>
      <c r="G30" s="198">
        <v>13.1</v>
      </c>
      <c r="H30" s="198">
        <v>14.5</v>
      </c>
      <c r="I30" s="199">
        <v>15.9</v>
      </c>
      <c r="J30" s="389" t="s">
        <v>1925</v>
      </c>
      <c r="L30" s="233">
        <v>1</v>
      </c>
      <c r="N30" s="296" t="str">
        <f t="shared" si="1"/>
        <v>3.3. 배치계획 및 세부계획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SUM((ROUNDDOWN((D62:I62)*단가,0)))</f>
        <v>18902916</v>
      </c>
      <c r="X30" s="154"/>
      <c r="Y30" s="150" t="str">
        <f t="shared" si="2"/>
        <v>제 11 호표</v>
      </c>
      <c r="Z30" s="150"/>
    </row>
    <row r="31" spans="2:26" ht="18" customHeight="1">
      <c r="B31" s="223" t="s">
        <v>2342</v>
      </c>
      <c r="C31" s="23"/>
      <c r="D31" s="197">
        <v>1.5</v>
      </c>
      <c r="E31" s="198">
        <v>1.5</v>
      </c>
      <c r="F31" s="198">
        <v>5.0999999999999996</v>
      </c>
      <c r="G31" s="198">
        <v>5.3</v>
      </c>
      <c r="H31" s="198">
        <v>5.8</v>
      </c>
      <c r="I31" s="199">
        <v>6.4</v>
      </c>
      <c r="J31" s="389" t="s">
        <v>1925</v>
      </c>
      <c r="L31" s="233">
        <v>1</v>
      </c>
      <c r="N31" s="296" t="str">
        <f t="shared" si="1"/>
        <v>3.4. 종합계획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SUM((ROUNDDOWN((D63:I63)*단가,0)))</f>
        <v>7376811</v>
      </c>
      <c r="X31" s="154"/>
      <c r="Y31" s="150" t="str">
        <f t="shared" si="2"/>
        <v>제 12 호표</v>
      </c>
      <c r="Z31" s="150"/>
    </row>
    <row r="32" spans="2:26" ht="18" customHeight="1">
      <c r="B32" s="222" t="s">
        <v>593</v>
      </c>
      <c r="C32" s="47"/>
      <c r="D32" s="48">
        <f t="shared" ref="D32:I32" si="5">SUBTOTAL(9,D33:D36)</f>
        <v>3.9000000000000004</v>
      </c>
      <c r="E32" s="49">
        <f t="shared" si="5"/>
        <v>7.7</v>
      </c>
      <c r="F32" s="49">
        <f t="shared" si="5"/>
        <v>15.5</v>
      </c>
      <c r="G32" s="49">
        <f t="shared" si="5"/>
        <v>16.299999999999997</v>
      </c>
      <c r="H32" s="49">
        <f t="shared" si="5"/>
        <v>18.399999999999999</v>
      </c>
      <c r="I32" s="50">
        <f t="shared" si="5"/>
        <v>19.2</v>
      </c>
      <c r="J32" s="389"/>
      <c r="L32" s="233"/>
      <c r="N32" s="292" t="str">
        <f t="shared" si="1"/>
        <v>4. 경관기본설계</v>
      </c>
      <c r="O32" s="37"/>
      <c r="P32" s="39"/>
      <c r="Q32" s="37"/>
      <c r="R32" s="117"/>
      <c r="S32" s="37"/>
      <c r="T32" s="37"/>
      <c r="U32" s="226"/>
      <c r="V32" s="231"/>
      <c r="W32" s="195">
        <f ca="1">SUBTOTAL(9,W33:W36)</f>
        <v>23460519</v>
      </c>
      <c r="X32" s="196"/>
      <c r="Y32" s="150" t="str">
        <f t="shared" si="2"/>
        <v/>
      </c>
      <c r="Z32" s="150"/>
    </row>
    <row r="33" spans="2:26" ht="18" customHeight="1">
      <c r="B33" s="223" t="s">
        <v>2343</v>
      </c>
      <c r="C33" s="23"/>
      <c r="D33" s="197">
        <v>0.7</v>
      </c>
      <c r="E33" s="198">
        <v>0.9</v>
      </c>
      <c r="F33" s="198">
        <v>2.1</v>
      </c>
      <c r="G33" s="198">
        <v>2.5</v>
      </c>
      <c r="H33" s="198">
        <v>2.8</v>
      </c>
      <c r="I33" s="199">
        <v>2.4</v>
      </c>
      <c r="J33" s="389" t="s">
        <v>1925</v>
      </c>
      <c r="L33" s="233">
        <v>1</v>
      </c>
      <c r="N33" s="296" t="str">
        <f t="shared" si="1"/>
        <v>4.1. 마스터플랜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SUM((ROUNDDOWN((D65:I65)*단가,0)))</f>
        <v>3313262</v>
      </c>
      <c r="X33" s="154"/>
      <c r="Y33" s="150" t="str">
        <f t="shared" si="2"/>
        <v>제 13 호표</v>
      </c>
      <c r="Z33" s="150"/>
    </row>
    <row r="34" spans="2:26" ht="18" customHeight="1">
      <c r="B34" s="223" t="s">
        <v>2344</v>
      </c>
      <c r="C34" s="23"/>
      <c r="D34" s="197">
        <v>1.1000000000000001</v>
      </c>
      <c r="E34" s="198">
        <v>2.2999999999999998</v>
      </c>
      <c r="F34" s="198">
        <v>4.5</v>
      </c>
      <c r="G34" s="198">
        <v>4.5999999999999996</v>
      </c>
      <c r="H34" s="198">
        <v>5.2</v>
      </c>
      <c r="I34" s="199">
        <v>5.6</v>
      </c>
      <c r="J34" s="389" t="s">
        <v>1925</v>
      </c>
      <c r="L34" s="233">
        <v>1</v>
      </c>
      <c r="N34" s="296" t="str">
        <f t="shared" si="1"/>
        <v>4.2. 기본설계도 작성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SUM((ROUNDDOWN((D66:I66)*단가,0)))</f>
        <v>6754134</v>
      </c>
      <c r="X34" s="154"/>
      <c r="Y34" s="150" t="str">
        <f t="shared" si="2"/>
        <v>제 14 호표</v>
      </c>
      <c r="Z34" s="150"/>
    </row>
    <row r="35" spans="2:26" ht="18" customHeight="1">
      <c r="B35" s="223" t="s">
        <v>2345</v>
      </c>
      <c r="C35" s="23"/>
      <c r="D35" s="197">
        <v>1.1000000000000001</v>
      </c>
      <c r="E35" s="198">
        <v>2.2999999999999998</v>
      </c>
      <c r="F35" s="198">
        <v>4.5</v>
      </c>
      <c r="G35" s="198">
        <v>4.5999999999999996</v>
      </c>
      <c r="H35" s="198">
        <v>5.2</v>
      </c>
      <c r="I35" s="199">
        <v>5.6</v>
      </c>
      <c r="J35" s="389" t="s">
        <v>1925</v>
      </c>
      <c r="L35" s="233">
        <v>1</v>
      </c>
      <c r="N35" s="296" t="str">
        <f t="shared" si="1"/>
        <v>4.3. 개략사업비 산출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SUM((ROUNDDOWN((D67:I67)*단가,0)))</f>
        <v>6754134</v>
      </c>
      <c r="X35" s="154"/>
      <c r="Y35" s="150" t="str">
        <f t="shared" si="2"/>
        <v>제 15 호표</v>
      </c>
      <c r="Z35" s="150"/>
    </row>
    <row r="36" spans="2:26" ht="18" customHeight="1">
      <c r="B36" s="223" t="s">
        <v>2346</v>
      </c>
      <c r="C36" s="23"/>
      <c r="D36" s="197">
        <v>1</v>
      </c>
      <c r="E36" s="198">
        <v>2.2000000000000002</v>
      </c>
      <c r="F36" s="198">
        <v>4.4000000000000004</v>
      </c>
      <c r="G36" s="198">
        <v>4.5999999999999996</v>
      </c>
      <c r="H36" s="198">
        <v>5.2</v>
      </c>
      <c r="I36" s="199">
        <v>5.6</v>
      </c>
      <c r="J36" s="389" t="s">
        <v>1925</v>
      </c>
      <c r="L36" s="233">
        <v>1</v>
      </c>
      <c r="N36" s="296" t="str">
        <f t="shared" si="1"/>
        <v>4.4. 기본 설계안 시뮬레이션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SUM((ROUNDDOWN((D68:I68)*단가,0)))</f>
        <v>6638989</v>
      </c>
      <c r="X36" s="154"/>
      <c r="Y36" s="150" t="str">
        <f t="shared" si="2"/>
        <v>제 16 호표</v>
      </c>
      <c r="Z36" s="150"/>
    </row>
    <row r="37" spans="2:26" ht="18" customHeight="1">
      <c r="B37" s="222" t="s">
        <v>594</v>
      </c>
      <c r="C37" s="47"/>
      <c r="D37" s="48">
        <f t="shared" ref="D37:I37" si="6">SUBTOTAL(9,D38:D39)</f>
        <v>2</v>
      </c>
      <c r="E37" s="49">
        <f t="shared" si="6"/>
        <v>2.2000000000000002</v>
      </c>
      <c r="F37" s="49">
        <f t="shared" si="6"/>
        <v>3</v>
      </c>
      <c r="G37" s="49">
        <f t="shared" si="6"/>
        <v>3.8</v>
      </c>
      <c r="H37" s="49">
        <f t="shared" si="6"/>
        <v>4.4000000000000004</v>
      </c>
      <c r="I37" s="50">
        <f t="shared" si="6"/>
        <v>5.2</v>
      </c>
      <c r="J37" s="389"/>
      <c r="L37" s="233"/>
      <c r="N37" s="292" t="str">
        <f t="shared" si="1"/>
        <v>5. 유지 및 관리방안 제시</v>
      </c>
      <c r="O37" s="37"/>
      <c r="P37" s="39"/>
      <c r="Q37" s="37"/>
      <c r="R37" s="117"/>
      <c r="S37" s="37"/>
      <c r="T37" s="37"/>
      <c r="U37" s="226"/>
      <c r="V37" s="231"/>
      <c r="W37" s="195">
        <f ca="1">SUBTOTAL(9,W38:W39)</f>
        <v>6146456</v>
      </c>
      <c r="X37" s="154"/>
      <c r="Y37" s="150" t="str">
        <f t="shared" si="2"/>
        <v/>
      </c>
      <c r="Z37" s="150"/>
    </row>
    <row r="38" spans="2:26" ht="18" customHeight="1">
      <c r="B38" s="223" t="s">
        <v>2347</v>
      </c>
      <c r="C38" s="23"/>
      <c r="D38" s="197">
        <v>1</v>
      </c>
      <c r="E38" s="198">
        <v>1.1000000000000001</v>
      </c>
      <c r="F38" s="198">
        <v>1.5</v>
      </c>
      <c r="G38" s="198">
        <v>1.9</v>
      </c>
      <c r="H38" s="198">
        <v>2.2000000000000002</v>
      </c>
      <c r="I38" s="199">
        <v>2.6</v>
      </c>
      <c r="J38" s="389" t="s">
        <v>1925</v>
      </c>
      <c r="L38" s="233">
        <v>1</v>
      </c>
      <c r="N38" s="296" t="str">
        <f t="shared" si="1"/>
        <v>5.1. 유지방안 및 유지관리 비용산출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SUM((ROUNDDOWN((D70:I70)*단가,0)))</f>
        <v>3073228</v>
      </c>
      <c r="X38" s="154"/>
      <c r="Y38" s="150" t="str">
        <f t="shared" si="2"/>
        <v>제 17 호표</v>
      </c>
      <c r="Z38" s="150"/>
    </row>
    <row r="39" spans="2:26" ht="18" customHeight="1">
      <c r="B39" s="223" t="s">
        <v>2348</v>
      </c>
      <c r="C39" s="43"/>
      <c r="D39" s="206">
        <v>1</v>
      </c>
      <c r="E39" s="207">
        <v>1.1000000000000001</v>
      </c>
      <c r="F39" s="207">
        <v>1.5</v>
      </c>
      <c r="G39" s="207">
        <v>1.9</v>
      </c>
      <c r="H39" s="207">
        <v>2.2000000000000002</v>
      </c>
      <c r="I39" s="208">
        <v>2.6</v>
      </c>
      <c r="J39" s="389" t="s">
        <v>1925</v>
      </c>
      <c r="L39" s="233">
        <v>1</v>
      </c>
      <c r="N39" s="296" t="str">
        <f t="shared" si="1"/>
        <v>5.2. 담당기관에서의 관리범위 및 대상등 규정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SUM((ROUNDDOWN((D71:I71)*단가,0)))</f>
        <v>3073228</v>
      </c>
      <c r="X39" s="154"/>
      <c r="Y39" s="150" t="str">
        <f t="shared" si="2"/>
        <v>제 18 호표</v>
      </c>
      <c r="Z39" s="150"/>
    </row>
    <row r="40" spans="2:26" ht="18" customHeight="1">
      <c r="B40" s="222" t="s">
        <v>595</v>
      </c>
      <c r="C40" s="47"/>
      <c r="D40" s="48">
        <f t="shared" ref="D40:I40" si="7">SUBTOTAL(9,D41:D42)</f>
        <v>0.8</v>
      </c>
      <c r="E40" s="49">
        <f t="shared" si="7"/>
        <v>1.4</v>
      </c>
      <c r="F40" s="49">
        <f t="shared" si="7"/>
        <v>3</v>
      </c>
      <c r="G40" s="49">
        <f t="shared" si="7"/>
        <v>42.4</v>
      </c>
      <c r="H40" s="49">
        <f t="shared" si="7"/>
        <v>6</v>
      </c>
      <c r="I40" s="50">
        <f t="shared" si="7"/>
        <v>6.5</v>
      </c>
      <c r="J40" s="389"/>
      <c r="L40" s="233"/>
      <c r="N40" s="292" t="str">
        <f t="shared" si="1"/>
        <v>6. 성과품 작서</v>
      </c>
      <c r="O40" s="37"/>
      <c r="P40" s="39"/>
      <c r="Q40" s="37"/>
      <c r="R40" s="117"/>
      <c r="S40" s="37"/>
      <c r="T40" s="37"/>
      <c r="U40" s="226"/>
      <c r="V40" s="231"/>
      <c r="W40" s="195">
        <f ca="1">SUBTOTAL(9,W41:W42)</f>
        <v>17381287</v>
      </c>
      <c r="X40" s="154"/>
      <c r="Y40" s="150" t="str">
        <f t="shared" si="2"/>
        <v/>
      </c>
      <c r="Z40" s="150"/>
    </row>
    <row r="41" spans="2:26" ht="18" customHeight="1">
      <c r="B41" s="223" t="s">
        <v>2349</v>
      </c>
      <c r="C41" s="23"/>
      <c r="D41" s="197">
        <v>0.6</v>
      </c>
      <c r="E41" s="198">
        <v>1</v>
      </c>
      <c r="F41" s="198">
        <v>2.2999999999999998</v>
      </c>
      <c r="G41" s="198">
        <v>41</v>
      </c>
      <c r="H41" s="198">
        <v>4.5</v>
      </c>
      <c r="I41" s="199">
        <v>4.9000000000000004</v>
      </c>
      <c r="J41" s="389" t="s">
        <v>2355</v>
      </c>
      <c r="L41" s="233">
        <v>1</v>
      </c>
      <c r="N41" s="296" t="str">
        <f t="shared" si="1"/>
        <v>6.1. 보고서작성 및 편집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SUM((ROUNDDOWN((D73:I73)*단가,0)))</f>
        <v>15754365</v>
      </c>
      <c r="X41" s="154"/>
      <c r="Y41" s="150" t="str">
        <f t="shared" si="2"/>
        <v>제 19 호표</v>
      </c>
      <c r="Z41" s="150"/>
    </row>
    <row r="42" spans="2:26" ht="18" customHeight="1">
      <c r="B42" s="259" t="s">
        <v>2350</v>
      </c>
      <c r="C42" s="43"/>
      <c r="D42" s="206">
        <v>0.2</v>
      </c>
      <c r="E42" s="207">
        <v>0.4</v>
      </c>
      <c r="F42" s="207">
        <v>0.7</v>
      </c>
      <c r="G42" s="207">
        <v>1.4</v>
      </c>
      <c r="H42" s="207">
        <v>1.5</v>
      </c>
      <c r="I42" s="208">
        <v>1.6</v>
      </c>
      <c r="J42" s="389" t="s">
        <v>2355</v>
      </c>
      <c r="L42" s="233">
        <v>1</v>
      </c>
      <c r="N42" s="296" t="str">
        <f t="shared" si="1"/>
        <v>6.2. 관련도서작성</v>
      </c>
      <c r="O42" s="37"/>
      <c r="P42" s="39"/>
      <c r="Q42" s="37"/>
      <c r="R42" s="117"/>
      <c r="S42" s="37"/>
      <c r="T42" s="37"/>
      <c r="U42" s="226"/>
      <c r="V42" s="231"/>
      <c r="W42" s="153">
        <f t="array" aca="1" ref="W42" ca="1">SUM((ROUNDDOWN((D74:I74)*단가,0)))</f>
        <v>1626922</v>
      </c>
      <c r="X42" s="154"/>
      <c r="Y42" s="150" t="str">
        <f t="shared" si="2"/>
        <v>제 20 호표</v>
      </c>
      <c r="Z42" s="150"/>
    </row>
    <row r="43" spans="2:26" ht="18" customHeight="1">
      <c r="B43" s="222" t="s">
        <v>596</v>
      </c>
      <c r="C43" s="47"/>
      <c r="D43" s="48">
        <f t="shared" ref="D43:I43" si="8">SUBTOTAL(9,D44:D47)</f>
        <v>8</v>
      </c>
      <c r="E43" s="49">
        <f t="shared" si="8"/>
        <v>8</v>
      </c>
      <c r="F43" s="49">
        <f t="shared" si="8"/>
        <v>8</v>
      </c>
      <c r="G43" s="49">
        <f t="shared" si="8"/>
        <v>16</v>
      </c>
      <c r="H43" s="49">
        <f t="shared" si="8"/>
        <v>16</v>
      </c>
      <c r="I43" s="50">
        <f t="shared" si="8"/>
        <v>16</v>
      </c>
      <c r="J43" s="389"/>
      <c r="L43" s="233"/>
      <c r="N43" s="292" t="str">
        <f t="shared" si="1"/>
        <v>7. 기술협의</v>
      </c>
      <c r="O43" s="37"/>
      <c r="P43" s="39"/>
      <c r="Q43" s="37"/>
      <c r="R43" s="117"/>
      <c r="S43" s="37"/>
      <c r="T43" s="37"/>
      <c r="U43" s="226"/>
      <c r="V43" s="231"/>
      <c r="W43" s="195">
        <f ca="1">SUBTOTAL(9,W44:W47)</f>
        <v>21702576</v>
      </c>
      <c r="X43" s="154"/>
      <c r="Y43" s="150" t="str">
        <f t="shared" si="2"/>
        <v/>
      </c>
      <c r="Z43" s="150"/>
    </row>
    <row r="44" spans="2:26" ht="18" customHeight="1">
      <c r="B44" s="223" t="s">
        <v>2351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389" t="s">
        <v>2354</v>
      </c>
      <c r="L44" s="233">
        <v>1</v>
      </c>
      <c r="N44" s="296" t="str">
        <f t="shared" si="1"/>
        <v>7.1. 공청회/주민설명회</v>
      </c>
      <c r="O44" s="37"/>
      <c r="P44" s="39"/>
      <c r="Q44" s="37"/>
      <c r="R44" s="117"/>
      <c r="S44" s="37"/>
      <c r="T44" s="37"/>
      <c r="U44" s="226"/>
      <c r="V44" s="231"/>
      <c r="W44" s="153">
        <f t="array" aca="1" ref="W44" ca="1">SUM((ROUNDDOWN((D76:I76)*단가,0)))</f>
        <v>5425644</v>
      </c>
      <c r="X44" s="154"/>
      <c r="Y44" s="150" t="str">
        <f t="shared" si="2"/>
        <v>제 21 호표</v>
      </c>
      <c r="Z44" s="150"/>
    </row>
    <row r="45" spans="2:26" ht="18" customHeight="1">
      <c r="B45" s="223" t="s">
        <v>2352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389" t="s">
        <v>1094</v>
      </c>
      <c r="L45" s="233">
        <v>1</v>
      </c>
      <c r="N45" s="296" t="str">
        <f t="shared" si="1"/>
        <v>7.2. 주민간담회/시민계획단</v>
      </c>
      <c r="O45" s="37"/>
      <c r="P45" s="39"/>
      <c r="Q45" s="37"/>
      <c r="R45" s="117"/>
      <c r="S45" s="37"/>
      <c r="T45" s="37"/>
      <c r="U45" s="226"/>
      <c r="V45" s="231"/>
      <c r="W45" s="153">
        <f t="array" aca="1" ref="W45" ca="1">SUM((ROUNDDOWN((D77:I77)*단가,0)))</f>
        <v>5425644</v>
      </c>
      <c r="X45" s="154"/>
      <c r="Y45" s="150" t="str">
        <f t="shared" si="2"/>
        <v>제 22 호표</v>
      </c>
      <c r="Z45" s="150"/>
    </row>
    <row r="46" spans="2:26" ht="18" customHeight="1">
      <c r="B46" s="223" t="s">
        <v>2142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389" t="s">
        <v>1094</v>
      </c>
      <c r="L46" s="233">
        <v>1</v>
      </c>
      <c r="N46" s="296" t="str">
        <f t="shared" si="1"/>
        <v>7.3. 위원회심의 지원</v>
      </c>
      <c r="O46" s="37"/>
      <c r="P46" s="39"/>
      <c r="Q46" s="37"/>
      <c r="R46" s="117"/>
      <c r="S46" s="37"/>
      <c r="T46" s="37"/>
      <c r="U46" s="226"/>
      <c r="V46" s="231"/>
      <c r="W46" s="153">
        <f t="array" aca="1" ref="W46" ca="1">SUM((ROUNDDOWN((D78:I78)*단가,0)))</f>
        <v>5425644</v>
      </c>
      <c r="X46" s="154"/>
      <c r="Y46" s="150" t="str">
        <f t="shared" si="2"/>
        <v>제 23 호표</v>
      </c>
      <c r="Z46" s="150"/>
    </row>
    <row r="47" spans="2:26" ht="18" customHeight="1" thickBot="1">
      <c r="B47" s="223" t="s">
        <v>2143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612" t="s">
        <v>1094</v>
      </c>
      <c r="L47" s="233">
        <v>1</v>
      </c>
      <c r="N47" s="296" t="str">
        <f t="shared" si="1"/>
        <v>7.4. 관계기관 협의</v>
      </c>
      <c r="O47" s="37"/>
      <c r="P47" s="39"/>
      <c r="Q47" s="37"/>
      <c r="R47" s="117"/>
      <c r="S47" s="37"/>
      <c r="T47" s="37"/>
      <c r="U47" s="226"/>
      <c r="V47" s="231"/>
      <c r="W47" s="153">
        <f t="array" aca="1" ref="W47" ca="1">SUM((ROUNDDOWN((D79:I79)*단가,0)))</f>
        <v>5425644</v>
      </c>
      <c r="X47" s="154"/>
      <c r="Y47" s="150" t="str">
        <f t="shared" si="2"/>
        <v>제 24 호표</v>
      </c>
      <c r="Z47" s="150"/>
    </row>
    <row r="48" spans="2:26" ht="18" customHeight="1" thickBot="1">
      <c r="B48" s="14" t="s">
        <v>30</v>
      </c>
      <c r="C48" s="16"/>
      <c r="D48" s="14" t="s">
        <v>12</v>
      </c>
      <c r="E48" s="15"/>
      <c r="F48" s="15"/>
      <c r="G48" s="15"/>
      <c r="H48" s="15"/>
      <c r="I48" s="16"/>
      <c r="J48" s="175" t="s">
        <v>31</v>
      </c>
      <c r="N48" s="379"/>
      <c r="P48" s="371"/>
      <c r="R48" s="357"/>
      <c r="S48" s="1"/>
      <c r="T48" s="1"/>
      <c r="U48" s="258"/>
      <c r="V48" s="380"/>
      <c r="W48" s="373"/>
      <c r="X48" s="374"/>
      <c r="Y48" s="378"/>
      <c r="Z48" s="378"/>
    </row>
    <row r="49" spans="1:26" ht="18" customHeight="1">
      <c r="B49" s="225" t="s">
        <v>2331</v>
      </c>
      <c r="C49" s="72"/>
      <c r="D49" s="203">
        <f t="shared" ref="D49:I49" si="9">SUBTOTAL(9,D50:D53)</f>
        <v>0.7</v>
      </c>
      <c r="E49" s="204">
        <f t="shared" si="9"/>
        <v>1.1000000000000001</v>
      </c>
      <c r="F49" s="204">
        <f t="shared" si="9"/>
        <v>2.2000000000000002</v>
      </c>
      <c r="G49" s="204">
        <f t="shared" si="9"/>
        <v>3.4</v>
      </c>
      <c r="H49" s="204">
        <f t="shared" si="9"/>
        <v>5.1000000000000005</v>
      </c>
      <c r="I49" s="205">
        <f t="shared" si="9"/>
        <v>6.4999999999999991</v>
      </c>
      <c r="J49" s="73"/>
      <c r="N49" s="290" t="s">
        <v>10</v>
      </c>
      <c r="O49" s="129"/>
      <c r="P49" s="130"/>
      <c r="Q49" s="124"/>
      <c r="R49" s="131"/>
      <c r="S49" s="124"/>
      <c r="T49" s="124"/>
      <c r="U49" s="181"/>
      <c r="V49" s="181"/>
      <c r="W49" s="159">
        <f>SUBTOTAL(9,W50:W52)</f>
        <v>6000000</v>
      </c>
      <c r="X49" s="160"/>
      <c r="Y49" s="124"/>
      <c r="Z49" s="124"/>
    </row>
    <row r="50" spans="1:26" ht="18" customHeight="1">
      <c r="A50" s="326">
        <v>1</v>
      </c>
      <c r="B50" s="223" t="s">
        <v>2268</v>
      </c>
      <c r="C50" s="23"/>
      <c r="D50" s="197">
        <f t="array" ref="D50:I53">ROUNDDOWN(D18:I21*L18:L21*$D$5*$D$6,3)</f>
        <v>0.1</v>
      </c>
      <c r="E50" s="198">
        <v>0.2</v>
      </c>
      <c r="F50" s="198">
        <v>0.4</v>
      </c>
      <c r="G50" s="198">
        <v>0.5</v>
      </c>
      <c r="H50" s="198">
        <v>0.8</v>
      </c>
      <c r="I50" s="199">
        <v>1.2</v>
      </c>
      <c r="J50" s="389"/>
      <c r="N50" s="291" t="str">
        <f>"여비("&amp;TEXT(T50,"#인 ×")&amp;TEXT(U50,"#일 ×")&amp;TEXT(V50,"###,###원)")</f>
        <v>여비(3인 ×10일 ×100,000원)</v>
      </c>
      <c r="O50" s="78"/>
      <c r="P50" s="52"/>
      <c r="Q50" s="51"/>
      <c r="T50" s="146">
        <v>3</v>
      </c>
      <c r="U50" s="146">
        <v>10</v>
      </c>
      <c r="V50" s="147">
        <v>100000</v>
      </c>
      <c r="W50" s="161">
        <f>T50*U50*V50</f>
        <v>3000000</v>
      </c>
      <c r="X50" s="162"/>
      <c r="Y50" s="51"/>
      <c r="Z50" s="51"/>
    </row>
    <row r="51" spans="1:26" ht="18" customHeight="1">
      <c r="A51" s="326">
        <v>2</v>
      </c>
      <c r="B51" s="223" t="s">
        <v>2332</v>
      </c>
      <c r="C51" s="23"/>
      <c r="D51" s="197">
        <v>0.2</v>
      </c>
      <c r="E51" s="198">
        <v>0.3</v>
      </c>
      <c r="F51" s="198">
        <v>0.8</v>
      </c>
      <c r="G51" s="198">
        <v>1.5</v>
      </c>
      <c r="H51" s="198">
        <v>2.4</v>
      </c>
      <c r="I51" s="199">
        <v>2.9</v>
      </c>
      <c r="J51" s="389"/>
      <c r="N51" s="292" t="s">
        <v>46</v>
      </c>
      <c r="O51" s="79"/>
      <c r="P51" s="39"/>
      <c r="Q51" s="37"/>
      <c r="R51" s="117"/>
      <c r="S51" s="37"/>
      <c r="T51" s="37"/>
      <c r="U51" s="180"/>
      <c r="V51" s="180"/>
      <c r="W51" s="157">
        <v>2000000</v>
      </c>
      <c r="X51" s="158"/>
      <c r="Y51" s="37"/>
      <c r="Z51" s="37"/>
    </row>
    <row r="52" spans="1:26" ht="18" customHeight="1">
      <c r="A52" s="326">
        <v>3</v>
      </c>
      <c r="B52" s="223" t="s">
        <v>2333</v>
      </c>
      <c r="C52" s="23"/>
      <c r="D52" s="197">
        <v>0.2</v>
      </c>
      <c r="E52" s="198">
        <v>0.3</v>
      </c>
      <c r="F52" s="198">
        <v>0.6</v>
      </c>
      <c r="G52" s="198">
        <v>0.8</v>
      </c>
      <c r="H52" s="198">
        <v>1.2</v>
      </c>
      <c r="I52" s="199">
        <v>1.6</v>
      </c>
      <c r="J52" s="389"/>
      <c r="N52" s="293" t="s">
        <v>13</v>
      </c>
      <c r="O52" s="132"/>
      <c r="P52" s="38"/>
      <c r="Q52" s="38"/>
      <c r="R52" s="116"/>
      <c r="S52" s="38"/>
      <c r="T52" s="38"/>
      <c r="U52" s="183"/>
      <c r="V52" s="183"/>
      <c r="W52" s="155">
        <v>1000000</v>
      </c>
      <c r="X52" s="156"/>
      <c r="Y52" s="38"/>
      <c r="Z52" s="38"/>
    </row>
    <row r="53" spans="1:26" ht="18" customHeight="1">
      <c r="A53" s="326">
        <v>4</v>
      </c>
      <c r="B53" s="223" t="s">
        <v>2334</v>
      </c>
      <c r="C53" s="23"/>
      <c r="D53" s="197">
        <v>0.2</v>
      </c>
      <c r="E53" s="198">
        <v>0.3</v>
      </c>
      <c r="F53" s="198">
        <v>0.4</v>
      </c>
      <c r="G53" s="198">
        <v>0.6</v>
      </c>
      <c r="H53" s="198">
        <v>0.7</v>
      </c>
      <c r="I53" s="199">
        <v>0.8</v>
      </c>
      <c r="J53" s="389"/>
      <c r="N53" s="127" t="s">
        <v>47</v>
      </c>
      <c r="O53" s="123"/>
      <c r="P53" s="123"/>
      <c r="Q53" s="123"/>
      <c r="R53" s="123"/>
      <c r="S53" s="123"/>
      <c r="T53" s="123"/>
      <c r="U53" s="184"/>
      <c r="V53" s="184"/>
      <c r="W53" s="163">
        <f ca="1">SUBTOTAL(9,W54:W55)</f>
        <v>243319942</v>
      </c>
      <c r="X53" s="164"/>
      <c r="Y53" s="123"/>
      <c r="Z53" s="123"/>
    </row>
    <row r="54" spans="1:26" ht="18" customHeight="1">
      <c r="B54" s="222" t="s">
        <v>591</v>
      </c>
      <c r="C54" s="47"/>
      <c r="D54" s="48">
        <f t="shared" ref="D54:I54" si="10">SUBTOTAL(9,D55:D58)</f>
        <v>0.90000000000000013</v>
      </c>
      <c r="E54" s="49">
        <f t="shared" si="10"/>
        <v>1.3</v>
      </c>
      <c r="F54" s="49">
        <f t="shared" si="10"/>
        <v>2.8</v>
      </c>
      <c r="G54" s="49">
        <f t="shared" si="10"/>
        <v>4.7</v>
      </c>
      <c r="H54" s="49">
        <f t="shared" si="10"/>
        <v>6.7</v>
      </c>
      <c r="I54" s="50">
        <f t="shared" si="10"/>
        <v>9.2000000000000011</v>
      </c>
      <c r="J54" s="74"/>
      <c r="M54" s="171"/>
      <c r="N54" s="133" t="s">
        <v>861</v>
      </c>
      <c r="O54" s="124"/>
      <c r="P54" s="134"/>
      <c r="Q54" s="124"/>
      <c r="R54" s="131"/>
      <c r="S54" s="124"/>
      <c r="T54" s="181"/>
      <c r="U54" s="181"/>
      <c r="V54" s="190">
        <v>1.1499999999999999</v>
      </c>
      <c r="W54" s="159">
        <f ca="1">ROUNDDOWN(W16*V54,0)</f>
        <v>155887428</v>
      </c>
      <c r="X54" s="160"/>
      <c r="Y54" s="124"/>
      <c r="Z54" s="124"/>
    </row>
    <row r="55" spans="1:26" ht="18" customHeight="1" thickBot="1">
      <c r="A55" s="326">
        <v>5</v>
      </c>
      <c r="B55" s="223" t="s">
        <v>2335</v>
      </c>
      <c r="C55" s="23"/>
      <c r="D55" s="197">
        <f t="array" ref="D55:I58">ROUNDDOWN(D23:I26*L23:L26*$D$5*$D$6,3)</f>
        <v>0.2</v>
      </c>
      <c r="E55" s="198">
        <v>0.2</v>
      </c>
      <c r="F55" s="198">
        <v>0.4</v>
      </c>
      <c r="G55" s="198">
        <v>0.5</v>
      </c>
      <c r="H55" s="198">
        <v>1.1000000000000001</v>
      </c>
      <c r="I55" s="199">
        <v>1.5</v>
      </c>
      <c r="J55" s="74"/>
      <c r="M55" s="171"/>
      <c r="N55" s="135" t="s">
        <v>862</v>
      </c>
      <c r="O55" s="136"/>
      <c r="P55" s="137"/>
      <c r="Q55" s="136"/>
      <c r="R55" s="138"/>
      <c r="S55" s="136"/>
      <c r="T55" s="185"/>
      <c r="U55" s="185"/>
      <c r="V55" s="191">
        <v>0.3</v>
      </c>
      <c r="W55" s="165">
        <f ca="1">ROUNDDOWN((W16+W54)*V55,0)</f>
        <v>87432514</v>
      </c>
      <c r="X55" s="166"/>
      <c r="Y55" s="136"/>
      <c r="Z55" s="136"/>
    </row>
    <row r="56" spans="1:26" ht="18" customHeight="1">
      <c r="A56" s="326">
        <v>6</v>
      </c>
      <c r="B56" s="223" t="s">
        <v>2336</v>
      </c>
      <c r="C56" s="23"/>
      <c r="D56" s="197">
        <v>0.2</v>
      </c>
      <c r="E56" s="198">
        <v>0.4</v>
      </c>
      <c r="F56" s="198">
        <v>1</v>
      </c>
      <c r="G56" s="198">
        <v>2</v>
      </c>
      <c r="H56" s="198">
        <v>2.2000000000000002</v>
      </c>
      <c r="I56" s="199">
        <v>3.2</v>
      </c>
      <c r="J56" s="74"/>
      <c r="M56" s="171"/>
    </row>
    <row r="57" spans="1:26" ht="18" customHeight="1">
      <c r="A57" s="326">
        <v>7</v>
      </c>
      <c r="B57" s="223" t="s">
        <v>2337</v>
      </c>
      <c r="C57" s="23"/>
      <c r="D57" s="197">
        <v>0.2</v>
      </c>
      <c r="E57" s="198">
        <v>0.4</v>
      </c>
      <c r="F57" s="198">
        <v>1</v>
      </c>
      <c r="G57" s="198">
        <v>1.1000000000000001</v>
      </c>
      <c r="H57" s="198">
        <v>2.2000000000000002</v>
      </c>
      <c r="I57" s="199">
        <v>3.2</v>
      </c>
      <c r="J57" s="389"/>
      <c r="M57" s="171"/>
    </row>
    <row r="58" spans="1:26" ht="18" customHeight="1" thickBot="1">
      <c r="A58" s="326">
        <v>8</v>
      </c>
      <c r="B58" s="223" t="s">
        <v>2338</v>
      </c>
      <c r="C58" s="23"/>
      <c r="D58" s="197">
        <v>0.3</v>
      </c>
      <c r="E58" s="198">
        <v>0.3</v>
      </c>
      <c r="F58" s="198">
        <v>0.4</v>
      </c>
      <c r="G58" s="198">
        <v>1.1000000000000001</v>
      </c>
      <c r="H58" s="198">
        <v>1.2</v>
      </c>
      <c r="I58" s="199">
        <v>1.3</v>
      </c>
      <c r="J58" s="389"/>
      <c r="M58" s="171"/>
      <c r="N58" s="66" t="s">
        <v>18</v>
      </c>
      <c r="O58" s="2"/>
      <c r="P58" s="2"/>
      <c r="Q58" s="2"/>
      <c r="R58" s="3"/>
      <c r="S58" s="4"/>
      <c r="T58" s="3"/>
      <c r="U58" s="4"/>
      <c r="V58" s="3"/>
      <c r="W58" s="4"/>
      <c r="X58" s="3"/>
      <c r="Y58" s="4"/>
      <c r="Z58" s="2"/>
    </row>
    <row r="59" spans="1:26" ht="18" customHeight="1">
      <c r="B59" s="222" t="s">
        <v>592</v>
      </c>
      <c r="C59" s="47"/>
      <c r="D59" s="48">
        <f t="shared" ref="D59:I59" si="11">SUBTOTAL(9,D60:D63)</f>
        <v>9</v>
      </c>
      <c r="E59" s="49">
        <f t="shared" si="11"/>
        <v>17.5</v>
      </c>
      <c r="F59" s="49">
        <f t="shared" si="11"/>
        <v>36.1</v>
      </c>
      <c r="G59" s="49">
        <f t="shared" si="11"/>
        <v>38</v>
      </c>
      <c r="H59" s="49">
        <f t="shared" si="11"/>
        <v>42</v>
      </c>
      <c r="I59" s="50">
        <f t="shared" si="11"/>
        <v>46</v>
      </c>
      <c r="J59" s="74"/>
      <c r="M59" s="171"/>
      <c r="N59" s="765" t="s">
        <v>19</v>
      </c>
      <c r="O59" s="755" t="s">
        <v>20</v>
      </c>
      <c r="P59" s="755" t="s">
        <v>21</v>
      </c>
      <c r="Q59" s="755" t="s">
        <v>16</v>
      </c>
      <c r="R59" s="5" t="s">
        <v>22</v>
      </c>
      <c r="S59" s="5"/>
      <c r="T59" s="5" t="s">
        <v>23</v>
      </c>
      <c r="U59" s="5"/>
      <c r="V59" s="5" t="s">
        <v>24</v>
      </c>
      <c r="W59" s="5"/>
      <c r="X59" s="5" t="s">
        <v>25</v>
      </c>
      <c r="Y59" s="5"/>
      <c r="Z59" s="755" t="s">
        <v>26</v>
      </c>
    </row>
    <row r="60" spans="1:26" ht="18" customHeight="1" thickBot="1">
      <c r="A60" s="326">
        <v>9</v>
      </c>
      <c r="B60" s="223" t="s">
        <v>2339</v>
      </c>
      <c r="C60" s="23"/>
      <c r="D60" s="197">
        <f t="array" ref="D60:I63">ROUNDDOWN(D28:I31*L28:L31*$D$5*$D$6,3)</f>
        <v>1.5</v>
      </c>
      <c r="E60" s="198">
        <v>3.2</v>
      </c>
      <c r="F60" s="198">
        <v>6.2</v>
      </c>
      <c r="G60" s="198">
        <v>6.5</v>
      </c>
      <c r="H60" s="198">
        <v>7.2</v>
      </c>
      <c r="I60" s="199">
        <v>7.8</v>
      </c>
      <c r="J60" s="74"/>
      <c r="M60" s="171"/>
      <c r="N60" s="766"/>
      <c r="O60" s="756"/>
      <c r="P60" s="756"/>
      <c r="Q60" s="756"/>
      <c r="R60" s="67" t="s">
        <v>27</v>
      </c>
      <c r="S60" s="67" t="s">
        <v>28</v>
      </c>
      <c r="T60" s="67" t="s">
        <v>27</v>
      </c>
      <c r="U60" s="67" t="s">
        <v>28</v>
      </c>
      <c r="V60" s="67" t="s">
        <v>27</v>
      </c>
      <c r="W60" s="67" t="s">
        <v>28</v>
      </c>
      <c r="X60" s="67" t="s">
        <v>27</v>
      </c>
      <c r="Y60" s="67" t="s">
        <v>28</v>
      </c>
      <c r="Z60" s="756"/>
    </row>
    <row r="61" spans="1:26" ht="18" customHeight="1" thickTop="1">
      <c r="A61" s="326">
        <v>10</v>
      </c>
      <c r="B61" s="223" t="s">
        <v>2340</v>
      </c>
      <c r="C61" s="23"/>
      <c r="D61" s="197">
        <v>3</v>
      </c>
      <c r="E61" s="198">
        <v>6.4</v>
      </c>
      <c r="F61" s="198">
        <v>12.4</v>
      </c>
      <c r="G61" s="198">
        <v>13.1</v>
      </c>
      <c r="H61" s="198">
        <v>14.5</v>
      </c>
      <c r="I61" s="199">
        <v>15.9</v>
      </c>
      <c r="J61" s="74"/>
      <c r="M61" s="171"/>
      <c r="N61" s="318" t="str">
        <f ca="1">"제 " &amp; Z61 &amp; " 호표  "&amp; OFFSET($A$1,MATCH(Z61,$A:$A,0)-1,1)</f>
        <v>제 1 호표  1.1. 일반현황조사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v>1</v>
      </c>
    </row>
    <row r="62" spans="1:26" ht="18" customHeight="1">
      <c r="A62" s="326">
        <v>11</v>
      </c>
      <c r="B62" s="223" t="s">
        <v>2341</v>
      </c>
      <c r="C62" s="23"/>
      <c r="D62" s="197">
        <v>3</v>
      </c>
      <c r="E62" s="198">
        <v>6.4</v>
      </c>
      <c r="F62" s="198">
        <v>12.4</v>
      </c>
      <c r="G62" s="198">
        <v>13.1</v>
      </c>
      <c r="H62" s="198">
        <v>14.5</v>
      </c>
      <c r="I62" s="199">
        <v>15.9</v>
      </c>
      <c r="J62" s="389"/>
      <c r="M62" s="171"/>
      <c r="N62" s="140" t="s">
        <v>43</v>
      </c>
      <c r="O62" s="172">
        <v>3</v>
      </c>
      <c r="P62" s="219">
        <f ca="1">OFFSET($A$1,MATCH(Z61,$A:$A,0)-1,O62)</f>
        <v>0.1</v>
      </c>
      <c r="Q62" s="141" t="s">
        <v>29</v>
      </c>
      <c r="R62" s="142">
        <f t="shared" ref="R62:S67" ca="1" si="12">T62</f>
        <v>467217</v>
      </c>
      <c r="S62" s="142">
        <f t="shared" ca="1" si="12"/>
        <v>46721</v>
      </c>
      <c r="T62" s="142">
        <f ca="1">기술사</f>
        <v>467217</v>
      </c>
      <c r="U62" s="142">
        <f t="shared" ref="U62:U67" ca="1" si="13">ROUNDDOWN(P62*R62,0)</f>
        <v>46721</v>
      </c>
      <c r="V62" s="142"/>
      <c r="W62" s="142"/>
      <c r="X62" s="142"/>
      <c r="Y62" s="142"/>
      <c r="Z62" s="114"/>
    </row>
    <row r="63" spans="1:26" ht="18" customHeight="1">
      <c r="A63" s="326">
        <v>12</v>
      </c>
      <c r="B63" s="223" t="s">
        <v>2342</v>
      </c>
      <c r="C63" s="23"/>
      <c r="D63" s="197">
        <v>1.5</v>
      </c>
      <c r="E63" s="198">
        <v>1.5</v>
      </c>
      <c r="F63" s="198">
        <v>5.0999999999999996</v>
      </c>
      <c r="G63" s="198">
        <v>5.3</v>
      </c>
      <c r="H63" s="198">
        <v>5.8</v>
      </c>
      <c r="I63" s="199">
        <v>6.4</v>
      </c>
      <c r="J63" s="389"/>
      <c r="M63" s="171"/>
      <c r="N63" s="143" t="s">
        <v>32</v>
      </c>
      <c r="O63" s="173">
        <v>4</v>
      </c>
      <c r="P63" s="234">
        <f ca="1">OFFSET($A$1,MATCH(Z61,$A:$A,0)-1,O63)</f>
        <v>0.2</v>
      </c>
      <c r="Q63" s="144" t="s">
        <v>29</v>
      </c>
      <c r="R63" s="118">
        <f t="shared" ca="1" si="12"/>
        <v>373353</v>
      </c>
      <c r="S63" s="118">
        <f t="shared" ca="1" si="12"/>
        <v>74670</v>
      </c>
      <c r="T63" s="118">
        <f ca="1">특급</f>
        <v>373353</v>
      </c>
      <c r="U63" s="118">
        <f t="shared" ca="1" si="13"/>
        <v>74670</v>
      </c>
      <c r="V63" s="118"/>
      <c r="W63" s="118"/>
      <c r="X63" s="118"/>
      <c r="Y63" s="118"/>
      <c r="Z63" s="115"/>
    </row>
    <row r="64" spans="1:26" ht="18" customHeight="1">
      <c r="B64" s="222" t="s">
        <v>593</v>
      </c>
      <c r="C64" s="47"/>
      <c r="D64" s="48">
        <f t="shared" ref="D64:I64" si="14">SUBTOTAL(9,D65:D68)</f>
        <v>3.9000000000000004</v>
      </c>
      <c r="E64" s="49">
        <f t="shared" si="14"/>
        <v>7.7</v>
      </c>
      <c r="F64" s="49">
        <f t="shared" si="14"/>
        <v>15.5</v>
      </c>
      <c r="G64" s="49">
        <f t="shared" si="14"/>
        <v>16.299999999999997</v>
      </c>
      <c r="H64" s="49">
        <f t="shared" si="14"/>
        <v>18.399999999999999</v>
      </c>
      <c r="I64" s="50">
        <f t="shared" si="14"/>
        <v>19.2</v>
      </c>
      <c r="J64" s="74"/>
      <c r="M64" s="171"/>
      <c r="N64" s="145" t="s">
        <v>39</v>
      </c>
      <c r="O64" s="173">
        <v>5</v>
      </c>
      <c r="P64" s="234">
        <f ca="1">OFFSET($A$1,MATCH(Z61,$A:$A,0)-1,O64)</f>
        <v>0.4</v>
      </c>
      <c r="Q64" s="144" t="s">
        <v>29</v>
      </c>
      <c r="R64" s="118">
        <f t="shared" ca="1" si="12"/>
        <v>310884</v>
      </c>
      <c r="S64" s="118">
        <f t="shared" ca="1" si="12"/>
        <v>124353</v>
      </c>
      <c r="T64" s="118">
        <f ca="1">고급</f>
        <v>310884</v>
      </c>
      <c r="U64" s="118">
        <f t="shared" ca="1" si="13"/>
        <v>124353</v>
      </c>
      <c r="V64" s="118"/>
      <c r="W64" s="118"/>
      <c r="X64" s="118"/>
      <c r="Y64" s="118"/>
      <c r="Z64" s="115"/>
    </row>
    <row r="65" spans="1:26" ht="18" customHeight="1">
      <c r="A65" s="326">
        <v>13</v>
      </c>
      <c r="B65" s="223" t="s">
        <v>2343</v>
      </c>
      <c r="C65" s="23"/>
      <c r="D65" s="197">
        <f t="array" ref="D65:I68">ROUNDDOWN(D33:I36*L33:L36*$D$5*$D$6,3)</f>
        <v>0.7</v>
      </c>
      <c r="E65" s="198">
        <v>0.9</v>
      </c>
      <c r="F65" s="198">
        <v>2.1</v>
      </c>
      <c r="G65" s="198">
        <v>2.5</v>
      </c>
      <c r="H65" s="198">
        <v>2.8</v>
      </c>
      <c r="I65" s="199">
        <v>2.4</v>
      </c>
      <c r="J65" s="74"/>
      <c r="M65" s="171"/>
      <c r="N65" s="145" t="s">
        <v>40</v>
      </c>
      <c r="O65" s="173">
        <v>6</v>
      </c>
      <c r="P65" s="234">
        <f ca="1">OFFSET($A$1,MATCH(Z61,$A:$A,0)-1,O65)</f>
        <v>0.5</v>
      </c>
      <c r="Q65" s="144" t="s">
        <v>29</v>
      </c>
      <c r="R65" s="118">
        <f t="shared" ca="1" si="12"/>
        <v>295138</v>
      </c>
      <c r="S65" s="118">
        <f t="shared" ca="1" si="12"/>
        <v>147569</v>
      </c>
      <c r="T65" s="118">
        <f ca="1">중급</f>
        <v>295138</v>
      </c>
      <c r="U65" s="118">
        <f t="shared" ca="1" si="13"/>
        <v>147569</v>
      </c>
      <c r="V65" s="118"/>
      <c r="W65" s="118"/>
      <c r="X65" s="118"/>
      <c r="Y65" s="118"/>
      <c r="Z65" s="115"/>
    </row>
    <row r="66" spans="1:26" ht="18" customHeight="1">
      <c r="A66" s="326">
        <v>14</v>
      </c>
      <c r="B66" s="223" t="s">
        <v>2344</v>
      </c>
      <c r="C66" s="23"/>
      <c r="D66" s="197">
        <v>1.1000000000000001</v>
      </c>
      <c r="E66" s="198">
        <v>2.2999999999999998</v>
      </c>
      <c r="F66" s="198">
        <v>4.5</v>
      </c>
      <c r="G66" s="198">
        <v>4.5999999999999996</v>
      </c>
      <c r="H66" s="198">
        <v>5.2</v>
      </c>
      <c r="I66" s="199">
        <v>5.6</v>
      </c>
      <c r="J66" s="74"/>
      <c r="M66" s="171"/>
      <c r="N66" s="145" t="s">
        <v>41</v>
      </c>
      <c r="O66" s="173">
        <v>7</v>
      </c>
      <c r="P66" s="234">
        <f ca="1">OFFSET($A$1,MATCH(Z61,$A:$A,0)-1,O66)</f>
        <v>0.8</v>
      </c>
      <c r="Q66" s="144" t="s">
        <v>29</v>
      </c>
      <c r="R66" s="118">
        <f t="shared" ca="1" si="12"/>
        <v>235459</v>
      </c>
      <c r="S66" s="118">
        <f t="shared" ca="1" si="12"/>
        <v>188367</v>
      </c>
      <c r="T66" s="118">
        <f ca="1">초급</f>
        <v>235459</v>
      </c>
      <c r="U66" s="118">
        <f t="shared" ca="1" si="13"/>
        <v>188367</v>
      </c>
      <c r="V66" s="118"/>
      <c r="W66" s="118"/>
      <c r="X66" s="118"/>
      <c r="Y66" s="118"/>
      <c r="Z66" s="115"/>
    </row>
    <row r="67" spans="1:26" ht="18" customHeight="1">
      <c r="A67" s="326">
        <v>15</v>
      </c>
      <c r="B67" s="223" t="s">
        <v>2345</v>
      </c>
      <c r="C67" s="23"/>
      <c r="D67" s="197">
        <v>1.1000000000000001</v>
      </c>
      <c r="E67" s="198">
        <v>2.2999999999999998</v>
      </c>
      <c r="F67" s="198">
        <v>4.5</v>
      </c>
      <c r="G67" s="198">
        <v>4.5999999999999996</v>
      </c>
      <c r="H67" s="198">
        <v>5.2</v>
      </c>
      <c r="I67" s="199">
        <v>5.6</v>
      </c>
      <c r="J67" s="389"/>
      <c r="M67" s="171"/>
      <c r="N67" s="319" t="s">
        <v>42</v>
      </c>
      <c r="O67" s="174">
        <v>8</v>
      </c>
      <c r="P67" s="235">
        <f ca="1">OFFSET($A$1,MATCH(Z61,$A:$A,0)-1,O67)</f>
        <v>1.2</v>
      </c>
      <c r="Q67" s="322" t="s">
        <v>29</v>
      </c>
      <c r="R67" s="323">
        <f t="shared" ca="1" si="12"/>
        <v>250087</v>
      </c>
      <c r="S67" s="323">
        <f t="shared" ca="1" si="12"/>
        <v>300104</v>
      </c>
      <c r="T67" s="323">
        <f ca="1">보조원</f>
        <v>250087</v>
      </c>
      <c r="U67" s="323">
        <f t="shared" ca="1" si="13"/>
        <v>300104</v>
      </c>
      <c r="V67" s="323"/>
      <c r="W67" s="323"/>
      <c r="X67" s="323"/>
      <c r="Y67" s="323"/>
      <c r="Z67" s="324"/>
    </row>
    <row r="68" spans="1:26" ht="18" customHeight="1">
      <c r="A68" s="326">
        <v>16</v>
      </c>
      <c r="B68" s="223" t="s">
        <v>2346</v>
      </c>
      <c r="C68" s="23"/>
      <c r="D68" s="197">
        <v>1</v>
      </c>
      <c r="E68" s="198">
        <v>2.2000000000000002</v>
      </c>
      <c r="F68" s="198">
        <v>4.4000000000000004</v>
      </c>
      <c r="G68" s="198">
        <v>4.5999999999999996</v>
      </c>
      <c r="H68" s="198">
        <v>5.2</v>
      </c>
      <c r="I68" s="199">
        <v>5.6</v>
      </c>
      <c r="J68" s="389"/>
      <c r="L68" s="171"/>
      <c r="M68" s="171"/>
      <c r="N68" s="139" t="s">
        <v>17</v>
      </c>
      <c r="O68" s="68"/>
      <c r="P68" s="69"/>
      <c r="Q68" s="70"/>
      <c r="R68" s="71"/>
      <c r="S68" s="71">
        <f ca="1">SUBTOTAL(9,S62:S67)</f>
        <v>881784</v>
      </c>
      <c r="T68" s="71"/>
      <c r="U68" s="71">
        <f ca="1">SUBTOTAL(9,U62:U67)</f>
        <v>881784</v>
      </c>
      <c r="V68" s="71"/>
      <c r="W68" s="71"/>
      <c r="X68" s="71"/>
      <c r="Y68" s="71"/>
      <c r="Z68" s="68"/>
    </row>
    <row r="69" spans="1:26" ht="18" customHeight="1">
      <c r="B69" s="222" t="s">
        <v>594</v>
      </c>
      <c r="C69" s="47"/>
      <c r="D69" s="48">
        <f t="shared" ref="D69:I69" si="15">SUBTOTAL(9,D70:D71)</f>
        <v>2</v>
      </c>
      <c r="E69" s="49">
        <f t="shared" si="15"/>
        <v>2.2000000000000002</v>
      </c>
      <c r="F69" s="49">
        <f t="shared" si="15"/>
        <v>3</v>
      </c>
      <c r="G69" s="49">
        <f t="shared" si="15"/>
        <v>3.8</v>
      </c>
      <c r="H69" s="49">
        <f t="shared" si="15"/>
        <v>4.4000000000000004</v>
      </c>
      <c r="I69" s="50">
        <f t="shared" si="15"/>
        <v>5.2</v>
      </c>
      <c r="J69" s="74"/>
      <c r="L69" s="171"/>
      <c r="M69" s="171"/>
      <c r="N69" s="318" t="str">
        <f ca="1">"제 " &amp; Z69 &amp; " 호표  "&amp; OFFSET($A$1,MATCH(Z69,$A:$A,0)-1,1)</f>
        <v>제 2 호표  1.2. 경관현황조사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2</v>
      </c>
    </row>
    <row r="70" spans="1:26" ht="18" customHeight="1">
      <c r="A70" s="326">
        <v>17</v>
      </c>
      <c r="B70" s="223" t="s">
        <v>2347</v>
      </c>
      <c r="C70" s="23"/>
      <c r="D70" s="197">
        <f t="array" ref="D70:I71">ROUNDDOWN(D38:I39*L38:L39*$D$5*$D$6,3)</f>
        <v>1</v>
      </c>
      <c r="E70" s="198">
        <v>1.1000000000000001</v>
      </c>
      <c r="F70" s="198">
        <v>1.5</v>
      </c>
      <c r="G70" s="198">
        <v>1.9</v>
      </c>
      <c r="H70" s="198">
        <v>2.2000000000000002</v>
      </c>
      <c r="I70" s="199">
        <v>2.6</v>
      </c>
      <c r="J70" s="74"/>
      <c r="L70" s="171"/>
      <c r="M70" s="171"/>
      <c r="N70" s="140" t="s">
        <v>43</v>
      </c>
      <c r="O70" s="172">
        <v>3</v>
      </c>
      <c r="P70" s="219">
        <f ca="1">OFFSET($A$1,MATCH(Z69,$A:$A,0)-1,O70)</f>
        <v>0.2</v>
      </c>
      <c r="Q70" s="141" t="s">
        <v>29</v>
      </c>
      <c r="R70" s="142">
        <f t="shared" ref="R70:S75" ca="1" si="16">T70</f>
        <v>467217</v>
      </c>
      <c r="S70" s="142">
        <f t="shared" ca="1" si="16"/>
        <v>93443</v>
      </c>
      <c r="T70" s="142">
        <f ca="1">기술사</f>
        <v>467217</v>
      </c>
      <c r="U70" s="142">
        <f t="shared" ref="U70:U75" ca="1" si="17">ROUNDDOWN(P70*R70,0)</f>
        <v>93443</v>
      </c>
      <c r="V70" s="142"/>
      <c r="W70" s="142"/>
      <c r="X70" s="142"/>
      <c r="Y70" s="142"/>
      <c r="Z70" s="114"/>
    </row>
    <row r="71" spans="1:26" ht="18" customHeight="1">
      <c r="A71" s="326">
        <v>18</v>
      </c>
      <c r="B71" s="223" t="s">
        <v>2348</v>
      </c>
      <c r="C71" s="43"/>
      <c r="D71" s="206">
        <v>1</v>
      </c>
      <c r="E71" s="207">
        <v>1.1000000000000001</v>
      </c>
      <c r="F71" s="207">
        <v>1.5</v>
      </c>
      <c r="G71" s="207">
        <v>1.9</v>
      </c>
      <c r="H71" s="207">
        <v>2.2000000000000002</v>
      </c>
      <c r="I71" s="208">
        <v>2.6</v>
      </c>
      <c r="J71" s="239"/>
      <c r="L71" s="171"/>
      <c r="M71" s="171"/>
      <c r="N71" s="143" t="s">
        <v>32</v>
      </c>
      <c r="O71" s="173">
        <v>4</v>
      </c>
      <c r="P71" s="234">
        <f ca="1">OFFSET($A$1,MATCH(Z69,$A:$A,0)-1,O71)</f>
        <v>0.3</v>
      </c>
      <c r="Q71" s="144" t="s">
        <v>29</v>
      </c>
      <c r="R71" s="118">
        <f t="shared" ca="1" si="16"/>
        <v>373353</v>
      </c>
      <c r="S71" s="118">
        <f t="shared" ca="1" si="16"/>
        <v>112005</v>
      </c>
      <c r="T71" s="118">
        <f ca="1">특급</f>
        <v>373353</v>
      </c>
      <c r="U71" s="118">
        <f t="shared" ca="1" si="17"/>
        <v>112005</v>
      </c>
      <c r="V71" s="118"/>
      <c r="W71" s="118"/>
      <c r="X71" s="118"/>
      <c r="Y71" s="118"/>
      <c r="Z71" s="115"/>
    </row>
    <row r="72" spans="1:26" ht="18" customHeight="1">
      <c r="B72" s="222" t="s">
        <v>595</v>
      </c>
      <c r="C72" s="47"/>
      <c r="D72" s="48">
        <f t="shared" ref="D72:I72" si="18">SUBTOTAL(9,D73:D74)</f>
        <v>0.8</v>
      </c>
      <c r="E72" s="49">
        <f t="shared" si="18"/>
        <v>1.4</v>
      </c>
      <c r="F72" s="49">
        <f t="shared" si="18"/>
        <v>3</v>
      </c>
      <c r="G72" s="49">
        <f t="shared" si="18"/>
        <v>42.4</v>
      </c>
      <c r="H72" s="49">
        <f t="shared" si="18"/>
        <v>6</v>
      </c>
      <c r="I72" s="50">
        <f t="shared" si="18"/>
        <v>6.5</v>
      </c>
      <c r="J72" s="74"/>
      <c r="L72" s="171"/>
      <c r="M72" s="171"/>
      <c r="N72" s="145" t="s">
        <v>39</v>
      </c>
      <c r="O72" s="173">
        <v>5</v>
      </c>
      <c r="P72" s="234">
        <f ca="1">OFFSET($A$1,MATCH(Z69,$A:$A,0)-1,O72)</f>
        <v>0.8</v>
      </c>
      <c r="Q72" s="144" t="s">
        <v>29</v>
      </c>
      <c r="R72" s="118">
        <f t="shared" ca="1" si="16"/>
        <v>310884</v>
      </c>
      <c r="S72" s="118">
        <f t="shared" ca="1" si="16"/>
        <v>248707</v>
      </c>
      <c r="T72" s="118">
        <f ca="1">고급</f>
        <v>310884</v>
      </c>
      <c r="U72" s="118">
        <f t="shared" ca="1" si="17"/>
        <v>248707</v>
      </c>
      <c r="V72" s="118"/>
      <c r="W72" s="118"/>
      <c r="X72" s="118"/>
      <c r="Y72" s="118"/>
      <c r="Z72" s="115"/>
    </row>
    <row r="73" spans="1:26" ht="18" customHeight="1">
      <c r="A73" s="326">
        <v>19</v>
      </c>
      <c r="B73" s="223" t="s">
        <v>2349</v>
      </c>
      <c r="C73" s="23"/>
      <c r="D73" s="197">
        <f t="array" ref="D73:I74">ROUNDDOWN(D41:I42*$D$5*L41:L42,3)</f>
        <v>0.6</v>
      </c>
      <c r="E73" s="198">
        <v>1</v>
      </c>
      <c r="F73" s="198">
        <v>2.2999999999999998</v>
      </c>
      <c r="G73" s="198">
        <v>41</v>
      </c>
      <c r="H73" s="198">
        <v>4.5</v>
      </c>
      <c r="I73" s="199">
        <v>4.9000000000000004</v>
      </c>
      <c r="J73" s="74"/>
      <c r="K73" s="171" t="s">
        <v>14</v>
      </c>
      <c r="L73" s="171"/>
      <c r="M73" s="171"/>
      <c r="N73" s="145" t="s">
        <v>40</v>
      </c>
      <c r="O73" s="173">
        <v>6</v>
      </c>
      <c r="P73" s="234">
        <f ca="1">OFFSET($A$1,MATCH(Z69,$A:$A,0)-1,O73)</f>
        <v>1.5</v>
      </c>
      <c r="Q73" s="144" t="s">
        <v>29</v>
      </c>
      <c r="R73" s="118">
        <f t="shared" ca="1" si="16"/>
        <v>295138</v>
      </c>
      <c r="S73" s="118">
        <f t="shared" ca="1" si="16"/>
        <v>442707</v>
      </c>
      <c r="T73" s="118">
        <f ca="1">중급</f>
        <v>295138</v>
      </c>
      <c r="U73" s="118">
        <f t="shared" ca="1" si="17"/>
        <v>442707</v>
      </c>
      <c r="V73" s="118"/>
      <c r="W73" s="118"/>
      <c r="X73" s="118"/>
      <c r="Y73" s="118"/>
      <c r="Z73" s="115"/>
    </row>
    <row r="74" spans="1:26" ht="18" customHeight="1">
      <c r="A74" s="326">
        <v>20</v>
      </c>
      <c r="B74" s="259" t="s">
        <v>2350</v>
      </c>
      <c r="C74" s="43"/>
      <c r="D74" s="206">
        <v>0.2</v>
      </c>
      <c r="E74" s="207">
        <v>0.4</v>
      </c>
      <c r="F74" s="207">
        <v>0.7</v>
      </c>
      <c r="G74" s="207">
        <v>1.4</v>
      </c>
      <c r="H74" s="207">
        <v>1.5</v>
      </c>
      <c r="I74" s="208">
        <v>1.6</v>
      </c>
      <c r="J74" s="239"/>
      <c r="K74" s="171" t="s">
        <v>14</v>
      </c>
      <c r="L74" s="171"/>
      <c r="M74" s="171"/>
      <c r="N74" s="145" t="s">
        <v>41</v>
      </c>
      <c r="O74" s="173">
        <v>7</v>
      </c>
      <c r="P74" s="234">
        <f ca="1">OFFSET($A$1,MATCH(Z69,$A:$A,0)-1,O74)</f>
        <v>2.4</v>
      </c>
      <c r="Q74" s="144" t="s">
        <v>29</v>
      </c>
      <c r="R74" s="118">
        <f t="shared" ca="1" si="16"/>
        <v>235459</v>
      </c>
      <c r="S74" s="118">
        <f t="shared" ca="1" si="16"/>
        <v>565101</v>
      </c>
      <c r="T74" s="118">
        <f ca="1">초급</f>
        <v>235459</v>
      </c>
      <c r="U74" s="118">
        <f t="shared" ca="1" si="17"/>
        <v>565101</v>
      </c>
      <c r="V74" s="118"/>
      <c r="W74" s="118"/>
      <c r="X74" s="118"/>
      <c r="Y74" s="118"/>
      <c r="Z74" s="115"/>
    </row>
    <row r="75" spans="1:26" ht="18" customHeight="1">
      <c r="B75" s="222" t="s">
        <v>180</v>
      </c>
      <c r="C75" s="47"/>
      <c r="D75" s="48">
        <f t="shared" ref="D75:I75" si="19">SUBTOTAL(9,D76:D79)</f>
        <v>8</v>
      </c>
      <c r="E75" s="49">
        <f t="shared" si="19"/>
        <v>8</v>
      </c>
      <c r="F75" s="49">
        <f t="shared" si="19"/>
        <v>8</v>
      </c>
      <c r="G75" s="49">
        <f t="shared" si="19"/>
        <v>16</v>
      </c>
      <c r="H75" s="49">
        <f t="shared" si="19"/>
        <v>16</v>
      </c>
      <c r="I75" s="50">
        <f t="shared" si="19"/>
        <v>16</v>
      </c>
      <c r="J75" s="287"/>
      <c r="K75" s="171" t="s">
        <v>14</v>
      </c>
      <c r="L75" s="171"/>
      <c r="M75" s="171"/>
      <c r="N75" s="319" t="s">
        <v>42</v>
      </c>
      <c r="O75" s="174">
        <v>8</v>
      </c>
      <c r="P75" s="235">
        <f ca="1">OFFSET($A$1,MATCH(Z69,$A:$A,0)-1,O75)</f>
        <v>2.9</v>
      </c>
      <c r="Q75" s="322" t="s">
        <v>29</v>
      </c>
      <c r="R75" s="323">
        <f t="shared" ca="1" si="16"/>
        <v>250087</v>
      </c>
      <c r="S75" s="323">
        <f t="shared" ca="1" si="16"/>
        <v>725252</v>
      </c>
      <c r="T75" s="323">
        <f ca="1">보조원</f>
        <v>250087</v>
      </c>
      <c r="U75" s="323">
        <f t="shared" ca="1" si="17"/>
        <v>725252</v>
      </c>
      <c r="V75" s="323"/>
      <c r="W75" s="323"/>
      <c r="X75" s="323"/>
      <c r="Y75" s="323"/>
      <c r="Z75" s="324"/>
    </row>
    <row r="76" spans="1:26" ht="18" customHeight="1">
      <c r="A76" s="326">
        <v>21</v>
      </c>
      <c r="B76" s="223" t="s">
        <v>2351</v>
      </c>
      <c r="C76" s="23"/>
      <c r="D76" s="197">
        <f t="array" ref="D76:I79">ROUNDDOWN(D44:I47*L44:L47*I5,3)</f>
        <v>2</v>
      </c>
      <c r="E76" s="198">
        <v>2</v>
      </c>
      <c r="F76" s="198">
        <v>2</v>
      </c>
      <c r="G76" s="198">
        <v>4</v>
      </c>
      <c r="H76" s="198">
        <v>4</v>
      </c>
      <c r="I76" s="199">
        <v>4</v>
      </c>
      <c r="J76" s="74"/>
      <c r="K76" s="171" t="s">
        <v>14</v>
      </c>
      <c r="L76" s="171"/>
      <c r="M76" s="171"/>
      <c r="N76" s="139" t="s">
        <v>17</v>
      </c>
      <c r="O76" s="68"/>
      <c r="P76" s="69"/>
      <c r="Q76" s="70"/>
      <c r="R76" s="71"/>
      <c r="S76" s="71">
        <f ca="1">SUBTOTAL(9,S70:S75)</f>
        <v>2187215</v>
      </c>
      <c r="T76" s="71"/>
      <c r="U76" s="71">
        <f ca="1">SUBTOTAL(9,U70:U75)</f>
        <v>2187215</v>
      </c>
      <c r="V76" s="71"/>
      <c r="W76" s="71"/>
      <c r="X76" s="71"/>
      <c r="Y76" s="71"/>
      <c r="Z76" s="68"/>
    </row>
    <row r="77" spans="1:26" ht="18" customHeight="1">
      <c r="A77" s="326">
        <v>22</v>
      </c>
      <c r="B77" s="223" t="s">
        <v>2352</v>
      </c>
      <c r="C77" s="23"/>
      <c r="D77" s="197">
        <v>2</v>
      </c>
      <c r="E77" s="198">
        <v>2</v>
      </c>
      <c r="F77" s="198">
        <v>2</v>
      </c>
      <c r="G77" s="198">
        <v>4</v>
      </c>
      <c r="H77" s="198">
        <v>4</v>
      </c>
      <c r="I77" s="199">
        <v>4</v>
      </c>
      <c r="J77" s="74"/>
      <c r="K77" s="171" t="s">
        <v>14</v>
      </c>
      <c r="L77" s="171"/>
      <c r="M77" s="171"/>
      <c r="N77" s="318" t="str">
        <f ca="1">"제 " &amp; Z77 &amp; " 호표  "&amp; OFFSET($A$1,MATCH(Z77,$A:$A,0)-1,1)</f>
        <v>제 3 호표  1.3. 국내외 사례검토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3</v>
      </c>
    </row>
    <row r="78" spans="1:26" ht="18" customHeight="1">
      <c r="A78" s="326">
        <v>23</v>
      </c>
      <c r="B78" s="223" t="s">
        <v>2142</v>
      </c>
      <c r="C78" s="23"/>
      <c r="D78" s="197">
        <v>2</v>
      </c>
      <c r="E78" s="198">
        <v>2</v>
      </c>
      <c r="F78" s="198">
        <v>2</v>
      </c>
      <c r="G78" s="198">
        <v>4</v>
      </c>
      <c r="H78" s="198">
        <v>4</v>
      </c>
      <c r="I78" s="199">
        <v>4</v>
      </c>
      <c r="J78" s="74"/>
      <c r="K78" s="171" t="s">
        <v>14</v>
      </c>
      <c r="L78" s="171"/>
      <c r="M78" s="171"/>
      <c r="N78" s="140" t="s">
        <v>43</v>
      </c>
      <c r="O78" s="172">
        <v>3</v>
      </c>
      <c r="P78" s="219">
        <f ca="1">OFFSET($A$1,MATCH(Z77,$A:$A,0)-1,O78)</f>
        <v>0.2</v>
      </c>
      <c r="Q78" s="141" t="s">
        <v>29</v>
      </c>
      <c r="R78" s="142">
        <f t="shared" ref="R78:S83" ca="1" si="20">T78</f>
        <v>467217</v>
      </c>
      <c r="S78" s="142">
        <f t="shared" ca="1" si="20"/>
        <v>93443</v>
      </c>
      <c r="T78" s="142">
        <f ca="1">기술사</f>
        <v>467217</v>
      </c>
      <c r="U78" s="142">
        <f t="shared" ref="U78:U83" ca="1" si="21">ROUNDDOWN(P78*R78,0)</f>
        <v>93443</v>
      </c>
      <c r="V78" s="142"/>
      <c r="W78" s="142"/>
      <c r="X78" s="142"/>
      <c r="Y78" s="142"/>
      <c r="Z78" s="114"/>
    </row>
    <row r="79" spans="1:26" ht="18" customHeight="1" thickBot="1">
      <c r="A79" s="326">
        <v>24</v>
      </c>
      <c r="B79" s="388" t="s">
        <v>2143</v>
      </c>
      <c r="C79" s="342"/>
      <c r="D79" s="343">
        <v>2</v>
      </c>
      <c r="E79" s="344">
        <v>2</v>
      </c>
      <c r="F79" s="344">
        <v>2</v>
      </c>
      <c r="G79" s="344">
        <v>4</v>
      </c>
      <c r="H79" s="344">
        <v>4</v>
      </c>
      <c r="I79" s="345">
        <v>4</v>
      </c>
      <c r="J79" s="176"/>
      <c r="K79" s="171" t="s">
        <v>14</v>
      </c>
      <c r="L79" s="171"/>
      <c r="M79" s="171"/>
      <c r="N79" s="143" t="s">
        <v>32</v>
      </c>
      <c r="O79" s="173">
        <v>4</v>
      </c>
      <c r="P79" s="234">
        <f ca="1">OFFSET($A$1,MATCH(Z77,$A:$A,0)-1,O79)</f>
        <v>0.3</v>
      </c>
      <c r="Q79" s="144" t="s">
        <v>29</v>
      </c>
      <c r="R79" s="118">
        <f t="shared" ca="1" si="20"/>
        <v>373353</v>
      </c>
      <c r="S79" s="118">
        <f t="shared" ca="1" si="20"/>
        <v>112005</v>
      </c>
      <c r="T79" s="118">
        <f ca="1">특급</f>
        <v>373353</v>
      </c>
      <c r="U79" s="118">
        <f t="shared" ca="1" si="21"/>
        <v>112005</v>
      </c>
      <c r="V79" s="118"/>
      <c r="W79" s="118"/>
      <c r="X79" s="118"/>
      <c r="Y79" s="118"/>
      <c r="Z79" s="115"/>
    </row>
    <row r="80" spans="1:26" ht="18" customHeight="1">
      <c r="B80" s="80" t="s">
        <v>15</v>
      </c>
      <c r="C80" s="9" t="s">
        <v>2356</v>
      </c>
      <c r="K80" s="171" t="s">
        <v>14</v>
      </c>
      <c r="L80" s="171"/>
      <c r="M80" s="171"/>
      <c r="N80" s="145" t="s">
        <v>39</v>
      </c>
      <c r="O80" s="173">
        <v>5</v>
      </c>
      <c r="P80" s="234">
        <f ca="1">OFFSET($A$1,MATCH(Z77,$A:$A,0)-1,O80)</f>
        <v>0.6</v>
      </c>
      <c r="Q80" s="144" t="s">
        <v>29</v>
      </c>
      <c r="R80" s="118">
        <f t="shared" ca="1" si="20"/>
        <v>310884</v>
      </c>
      <c r="S80" s="118">
        <f t="shared" ca="1" si="20"/>
        <v>186530</v>
      </c>
      <c r="T80" s="118">
        <f ca="1">고급</f>
        <v>310884</v>
      </c>
      <c r="U80" s="118">
        <f t="shared" ca="1" si="21"/>
        <v>186530</v>
      </c>
      <c r="V80" s="118"/>
      <c r="W80" s="118"/>
      <c r="X80" s="118"/>
      <c r="Y80" s="118"/>
      <c r="Z80" s="115"/>
    </row>
    <row r="81" spans="3:26" ht="18" customHeight="1">
      <c r="C81" s="1" t="s">
        <v>2357</v>
      </c>
      <c r="K81" s="171" t="s">
        <v>14</v>
      </c>
      <c r="L81" s="171"/>
      <c r="M81" s="171"/>
      <c r="N81" s="145" t="s">
        <v>40</v>
      </c>
      <c r="O81" s="173">
        <v>6</v>
      </c>
      <c r="P81" s="234">
        <f ca="1">OFFSET($A$1,MATCH(Z77,$A:$A,0)-1,O81)</f>
        <v>0.8</v>
      </c>
      <c r="Q81" s="144" t="s">
        <v>29</v>
      </c>
      <c r="R81" s="118">
        <f t="shared" ca="1" si="20"/>
        <v>295138</v>
      </c>
      <c r="S81" s="118">
        <f t="shared" ca="1" si="20"/>
        <v>236110</v>
      </c>
      <c r="T81" s="118">
        <f ca="1">중급</f>
        <v>295138</v>
      </c>
      <c r="U81" s="118">
        <f t="shared" ca="1" si="21"/>
        <v>236110</v>
      </c>
      <c r="V81" s="118"/>
      <c r="W81" s="118"/>
      <c r="X81" s="118"/>
      <c r="Y81" s="118"/>
      <c r="Z81" s="115"/>
    </row>
    <row r="82" spans="3:26" ht="18" customHeight="1">
      <c r="C82" s="9" t="s">
        <v>1656</v>
      </c>
      <c r="K82" s="171" t="s">
        <v>14</v>
      </c>
      <c r="L82" s="171"/>
      <c r="M82" s="171"/>
      <c r="N82" s="145" t="s">
        <v>41</v>
      </c>
      <c r="O82" s="173">
        <v>7</v>
      </c>
      <c r="P82" s="234">
        <f ca="1">OFFSET($A$1,MATCH(Z77,$A:$A,0)-1,O82)</f>
        <v>1.2</v>
      </c>
      <c r="Q82" s="144" t="s">
        <v>29</v>
      </c>
      <c r="R82" s="118">
        <f t="shared" ca="1" si="20"/>
        <v>235459</v>
      </c>
      <c r="S82" s="118">
        <f t="shared" ca="1" si="20"/>
        <v>282550</v>
      </c>
      <c r="T82" s="118">
        <f ca="1">초급</f>
        <v>235459</v>
      </c>
      <c r="U82" s="118">
        <f t="shared" ca="1" si="21"/>
        <v>282550</v>
      </c>
      <c r="V82" s="118"/>
      <c r="W82" s="118"/>
      <c r="X82" s="118"/>
      <c r="Y82" s="118"/>
      <c r="Z82" s="115"/>
    </row>
    <row r="83" spans="3:26" ht="18" customHeight="1">
      <c r="C83" s="1" t="s">
        <v>2358</v>
      </c>
      <c r="K83" s="171" t="s">
        <v>14</v>
      </c>
      <c r="L83" s="171"/>
      <c r="M83" s="171"/>
      <c r="N83" s="319" t="s">
        <v>42</v>
      </c>
      <c r="O83" s="174">
        <v>8</v>
      </c>
      <c r="P83" s="235">
        <f ca="1">OFFSET($A$1,MATCH(Z77,$A:$A,0)-1,O83)</f>
        <v>1.6</v>
      </c>
      <c r="Q83" s="322" t="s">
        <v>29</v>
      </c>
      <c r="R83" s="323">
        <f t="shared" ca="1" si="20"/>
        <v>250087</v>
      </c>
      <c r="S83" s="323">
        <f t="shared" ca="1" si="20"/>
        <v>400139</v>
      </c>
      <c r="T83" s="323">
        <f ca="1">보조원</f>
        <v>250087</v>
      </c>
      <c r="U83" s="323">
        <f t="shared" ca="1" si="21"/>
        <v>400139</v>
      </c>
      <c r="V83" s="323"/>
      <c r="W83" s="323"/>
      <c r="X83" s="323"/>
      <c r="Y83" s="323"/>
      <c r="Z83" s="324"/>
    </row>
    <row r="84" spans="3:26" ht="18" customHeight="1">
      <c r="C84" s="9"/>
      <c r="K84" s="171" t="s">
        <v>14</v>
      </c>
      <c r="L84" s="171"/>
      <c r="M84" s="171"/>
      <c r="N84" s="139" t="s">
        <v>17</v>
      </c>
      <c r="O84" s="68"/>
      <c r="P84" s="69"/>
      <c r="Q84" s="70"/>
      <c r="R84" s="71"/>
      <c r="S84" s="71">
        <f ca="1">SUBTOTAL(9,S78:S83)</f>
        <v>1310777</v>
      </c>
      <c r="T84" s="71"/>
      <c r="U84" s="71">
        <f ca="1">SUBTOTAL(9,U78:U83)</f>
        <v>1310777</v>
      </c>
      <c r="V84" s="71"/>
      <c r="W84" s="71"/>
      <c r="X84" s="71"/>
      <c r="Y84" s="71"/>
      <c r="Z84" s="68"/>
    </row>
    <row r="85" spans="3:26" ht="18" customHeight="1">
      <c r="C85" s="9"/>
      <c r="K85" s="171" t="s">
        <v>14</v>
      </c>
      <c r="L85" s="171"/>
      <c r="M85" s="171"/>
      <c r="N85" s="318" t="str">
        <f ca="1">"제 " &amp; Z85 &amp; " 호표  "&amp; OFFSET($A$1,MATCH(Z85,$A:$A,0)-1,1)</f>
        <v>제 4 호표  1.4. 종합분석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4</v>
      </c>
    </row>
    <row r="86" spans="3:26" ht="18" customHeight="1">
      <c r="K86" s="171" t="s">
        <v>14</v>
      </c>
      <c r="L86" s="171"/>
      <c r="M86" s="171"/>
      <c r="N86" s="140" t="s">
        <v>43</v>
      </c>
      <c r="O86" s="172">
        <v>3</v>
      </c>
      <c r="P86" s="219">
        <f ca="1">OFFSET($A$1,MATCH(Z85,$A:$A,0)-1,O86)</f>
        <v>0.2</v>
      </c>
      <c r="Q86" s="141" t="s">
        <v>29</v>
      </c>
      <c r="R86" s="142">
        <f t="shared" ref="R86:S91" ca="1" si="22">T86</f>
        <v>467217</v>
      </c>
      <c r="S86" s="142">
        <f t="shared" ca="1" si="22"/>
        <v>93443</v>
      </c>
      <c r="T86" s="142">
        <f ca="1">기술사</f>
        <v>467217</v>
      </c>
      <c r="U86" s="142">
        <f t="shared" ref="U86:U91" ca="1" si="23">ROUNDDOWN(P86*R86,0)</f>
        <v>93443</v>
      </c>
      <c r="V86" s="142"/>
      <c r="W86" s="142"/>
      <c r="X86" s="142"/>
      <c r="Y86" s="142"/>
      <c r="Z86" s="114"/>
    </row>
    <row r="87" spans="3:26" ht="18" customHeight="1">
      <c r="C87" s="9"/>
      <c r="K87" s="171" t="s">
        <v>14</v>
      </c>
      <c r="L87" s="171"/>
      <c r="M87" s="171"/>
      <c r="N87" s="143" t="s">
        <v>32</v>
      </c>
      <c r="O87" s="173">
        <v>4</v>
      </c>
      <c r="P87" s="234">
        <f ca="1">OFFSET($A$1,MATCH(Z85,$A:$A,0)-1,O87)</f>
        <v>0.3</v>
      </c>
      <c r="Q87" s="144" t="s">
        <v>29</v>
      </c>
      <c r="R87" s="118">
        <f t="shared" ca="1" si="22"/>
        <v>373353</v>
      </c>
      <c r="S87" s="118">
        <f t="shared" ca="1" si="22"/>
        <v>112005</v>
      </c>
      <c r="T87" s="118">
        <f ca="1">특급</f>
        <v>373353</v>
      </c>
      <c r="U87" s="118">
        <f t="shared" ca="1" si="23"/>
        <v>112005</v>
      </c>
      <c r="V87" s="118"/>
      <c r="W87" s="118"/>
      <c r="X87" s="118"/>
      <c r="Y87" s="118"/>
      <c r="Z87" s="115"/>
    </row>
    <row r="88" spans="3:26" ht="18" customHeight="1">
      <c r="K88" s="171" t="s">
        <v>14</v>
      </c>
      <c r="L88" s="171"/>
      <c r="M88" s="171"/>
      <c r="N88" s="145" t="s">
        <v>39</v>
      </c>
      <c r="O88" s="173">
        <v>5</v>
      </c>
      <c r="P88" s="234">
        <f ca="1">OFFSET($A$1,MATCH(Z85,$A:$A,0)-1,O88)</f>
        <v>0.4</v>
      </c>
      <c r="Q88" s="144" t="s">
        <v>29</v>
      </c>
      <c r="R88" s="118">
        <f t="shared" ca="1" si="22"/>
        <v>310884</v>
      </c>
      <c r="S88" s="118">
        <f t="shared" ca="1" si="22"/>
        <v>124353</v>
      </c>
      <c r="T88" s="118">
        <f ca="1">고급</f>
        <v>310884</v>
      </c>
      <c r="U88" s="118">
        <f t="shared" ca="1" si="23"/>
        <v>124353</v>
      </c>
      <c r="V88" s="118"/>
      <c r="W88" s="118"/>
      <c r="X88" s="118"/>
      <c r="Y88" s="118"/>
      <c r="Z88" s="115"/>
    </row>
    <row r="89" spans="3:26" ht="18" customHeight="1">
      <c r="K89" s="171" t="s">
        <v>14</v>
      </c>
      <c r="L89" s="171"/>
      <c r="M89" s="171"/>
      <c r="N89" s="145" t="s">
        <v>40</v>
      </c>
      <c r="O89" s="173">
        <v>6</v>
      </c>
      <c r="P89" s="234">
        <f ca="1">OFFSET($A$1,MATCH(Z85,$A:$A,0)-1,O89)</f>
        <v>0.6</v>
      </c>
      <c r="Q89" s="144" t="s">
        <v>29</v>
      </c>
      <c r="R89" s="118">
        <f t="shared" ca="1" si="22"/>
        <v>295138</v>
      </c>
      <c r="S89" s="118">
        <f t="shared" ca="1" si="22"/>
        <v>177082</v>
      </c>
      <c r="T89" s="118">
        <f ca="1">중급</f>
        <v>295138</v>
      </c>
      <c r="U89" s="118">
        <f t="shared" ca="1" si="23"/>
        <v>177082</v>
      </c>
      <c r="V89" s="118"/>
      <c r="W89" s="118"/>
      <c r="X89" s="118"/>
      <c r="Y89" s="118"/>
      <c r="Z89" s="115"/>
    </row>
    <row r="90" spans="3:26" ht="18" customHeight="1">
      <c r="K90" s="171" t="s">
        <v>14</v>
      </c>
      <c r="L90" s="171"/>
      <c r="M90" s="171"/>
      <c r="N90" s="145" t="s">
        <v>41</v>
      </c>
      <c r="O90" s="173">
        <v>7</v>
      </c>
      <c r="P90" s="234">
        <f ca="1">OFFSET($A$1,MATCH(Z85,$A:$A,0)-1,O90)</f>
        <v>0.7</v>
      </c>
      <c r="Q90" s="144" t="s">
        <v>29</v>
      </c>
      <c r="R90" s="118">
        <f t="shared" ca="1" si="22"/>
        <v>235459</v>
      </c>
      <c r="S90" s="118">
        <f t="shared" ca="1" si="22"/>
        <v>164821</v>
      </c>
      <c r="T90" s="118">
        <f ca="1">초급</f>
        <v>235459</v>
      </c>
      <c r="U90" s="118">
        <f t="shared" ca="1" si="23"/>
        <v>164821</v>
      </c>
      <c r="V90" s="118"/>
      <c r="W90" s="118"/>
      <c r="X90" s="118"/>
      <c r="Y90" s="118"/>
      <c r="Z90" s="115"/>
    </row>
    <row r="91" spans="3:26" ht="18" customHeight="1">
      <c r="K91" s="171" t="s">
        <v>14</v>
      </c>
      <c r="L91" s="171"/>
      <c r="M91" s="171"/>
      <c r="N91" s="319" t="s">
        <v>42</v>
      </c>
      <c r="O91" s="174">
        <v>8</v>
      </c>
      <c r="P91" s="235">
        <f ca="1">OFFSET($A$1,MATCH(Z85,$A:$A,0)-1,O91)</f>
        <v>0.8</v>
      </c>
      <c r="Q91" s="322" t="s">
        <v>29</v>
      </c>
      <c r="R91" s="323">
        <f t="shared" ca="1" si="22"/>
        <v>250087</v>
      </c>
      <c r="S91" s="323">
        <f t="shared" ca="1" si="22"/>
        <v>200069</v>
      </c>
      <c r="T91" s="323">
        <f ca="1">보조원</f>
        <v>250087</v>
      </c>
      <c r="U91" s="323">
        <f t="shared" ca="1" si="23"/>
        <v>200069</v>
      </c>
      <c r="V91" s="323"/>
      <c r="W91" s="323"/>
      <c r="X91" s="323"/>
      <c r="Y91" s="323"/>
      <c r="Z91" s="324"/>
    </row>
    <row r="92" spans="3:26" ht="18" customHeight="1">
      <c r="K92" s="171" t="s">
        <v>14</v>
      </c>
      <c r="L92" s="171"/>
      <c r="M92" s="171"/>
      <c r="N92" s="139" t="s">
        <v>17</v>
      </c>
      <c r="O92" s="68"/>
      <c r="P92" s="69"/>
      <c r="Q92" s="70"/>
      <c r="R92" s="71"/>
      <c r="S92" s="71">
        <f ca="1">SUBTOTAL(9,S86:S91)</f>
        <v>871773</v>
      </c>
      <c r="T92" s="71"/>
      <c r="U92" s="71">
        <f ca="1">SUBTOTAL(9,U86:U91)</f>
        <v>871773</v>
      </c>
      <c r="V92" s="71"/>
      <c r="W92" s="71"/>
      <c r="X92" s="71"/>
      <c r="Y92" s="71"/>
      <c r="Z92" s="68"/>
    </row>
    <row r="93" spans="3:26" ht="18" customHeight="1">
      <c r="C93" s="9"/>
      <c r="K93" s="171" t="s">
        <v>14</v>
      </c>
      <c r="L93" s="171"/>
      <c r="M93" s="171"/>
      <c r="N93" s="318" t="str">
        <f ca="1">"제 " &amp; Z93 &amp; " 호표  "&amp; OFFSET($A$1,MATCH(Z93,$A:$A,0)-1,1)</f>
        <v>제 5 호표  2.1. 기본방향 및 테마설정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5</v>
      </c>
    </row>
    <row r="94" spans="3:26" ht="18" customHeight="1">
      <c r="C94" s="9"/>
      <c r="K94" s="171" t="s">
        <v>14</v>
      </c>
      <c r="L94" s="171"/>
      <c r="M94" s="171"/>
      <c r="N94" s="140" t="s">
        <v>43</v>
      </c>
      <c r="O94" s="172">
        <v>3</v>
      </c>
      <c r="P94" s="219">
        <f ca="1">OFFSET($A$1,MATCH(Z93,$A:$A,0)-1,O94)</f>
        <v>0.2</v>
      </c>
      <c r="Q94" s="141" t="s">
        <v>29</v>
      </c>
      <c r="R94" s="142">
        <f t="shared" ref="R94:S99" ca="1" si="24">T94</f>
        <v>467217</v>
      </c>
      <c r="S94" s="142">
        <f t="shared" ca="1" si="24"/>
        <v>93443</v>
      </c>
      <c r="T94" s="142">
        <f ca="1">기술사</f>
        <v>467217</v>
      </c>
      <c r="U94" s="142">
        <f t="shared" ref="U94:U99" ca="1" si="25">ROUNDDOWN(P94*R94,0)</f>
        <v>93443</v>
      </c>
      <c r="V94" s="142"/>
      <c r="W94" s="142"/>
      <c r="X94" s="142"/>
      <c r="Y94" s="142"/>
      <c r="Z94" s="114"/>
    </row>
    <row r="95" spans="3:26" ht="18" customHeight="1">
      <c r="K95" s="171" t="s">
        <v>14</v>
      </c>
      <c r="L95" s="171"/>
      <c r="M95" s="171"/>
      <c r="N95" s="143" t="s">
        <v>32</v>
      </c>
      <c r="O95" s="173">
        <v>4</v>
      </c>
      <c r="P95" s="234">
        <f ca="1">OFFSET($A$1,MATCH(Z93,$A:$A,0)-1,O95)</f>
        <v>0.2</v>
      </c>
      <c r="Q95" s="144" t="s">
        <v>29</v>
      </c>
      <c r="R95" s="118">
        <f t="shared" ca="1" si="24"/>
        <v>373353</v>
      </c>
      <c r="S95" s="118">
        <f t="shared" ca="1" si="24"/>
        <v>74670</v>
      </c>
      <c r="T95" s="118">
        <f ca="1">특급</f>
        <v>373353</v>
      </c>
      <c r="U95" s="118">
        <f t="shared" ca="1" si="25"/>
        <v>74670</v>
      </c>
      <c r="V95" s="118"/>
      <c r="W95" s="118"/>
      <c r="X95" s="118"/>
      <c r="Y95" s="118"/>
      <c r="Z95" s="115"/>
    </row>
    <row r="96" spans="3:26" ht="18" customHeight="1">
      <c r="K96" s="171" t="s">
        <v>14</v>
      </c>
      <c r="L96" s="171"/>
      <c r="M96" s="171"/>
      <c r="N96" s="145" t="s">
        <v>39</v>
      </c>
      <c r="O96" s="173">
        <v>5</v>
      </c>
      <c r="P96" s="234">
        <f ca="1">OFFSET($A$1,MATCH(Z93,$A:$A,0)-1,O96)</f>
        <v>0.4</v>
      </c>
      <c r="Q96" s="144" t="s">
        <v>29</v>
      </c>
      <c r="R96" s="118">
        <f t="shared" ca="1" si="24"/>
        <v>310884</v>
      </c>
      <c r="S96" s="118">
        <f t="shared" ca="1" si="24"/>
        <v>124353</v>
      </c>
      <c r="T96" s="118">
        <f ca="1">고급</f>
        <v>310884</v>
      </c>
      <c r="U96" s="118">
        <f t="shared" ca="1" si="25"/>
        <v>124353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40</v>
      </c>
      <c r="O97" s="173">
        <v>6</v>
      </c>
      <c r="P97" s="234">
        <f ca="1">OFFSET($A$1,MATCH(Z93,$A:$A,0)-1,O97)</f>
        <v>0.5</v>
      </c>
      <c r="Q97" s="144" t="s">
        <v>29</v>
      </c>
      <c r="R97" s="118">
        <f t="shared" ca="1" si="24"/>
        <v>295138</v>
      </c>
      <c r="S97" s="118">
        <f t="shared" ca="1" si="24"/>
        <v>147569</v>
      </c>
      <c r="T97" s="118">
        <f ca="1">중급</f>
        <v>295138</v>
      </c>
      <c r="U97" s="118">
        <f t="shared" ca="1" si="25"/>
        <v>147569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41</v>
      </c>
      <c r="O98" s="173">
        <v>7</v>
      </c>
      <c r="P98" s="234">
        <f ca="1">OFFSET($A$1,MATCH(Z93,$A:$A,0)-1,O98)</f>
        <v>1.1000000000000001</v>
      </c>
      <c r="Q98" s="144" t="s">
        <v>29</v>
      </c>
      <c r="R98" s="118">
        <f t="shared" ca="1" si="24"/>
        <v>235459</v>
      </c>
      <c r="S98" s="118">
        <f t="shared" ca="1" si="24"/>
        <v>259004</v>
      </c>
      <c r="T98" s="118">
        <f ca="1">초급</f>
        <v>235459</v>
      </c>
      <c r="U98" s="118">
        <f t="shared" ca="1" si="25"/>
        <v>259004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319" t="s">
        <v>42</v>
      </c>
      <c r="O99" s="174">
        <v>8</v>
      </c>
      <c r="P99" s="235">
        <f ca="1">OFFSET($A$1,MATCH(Z93,$A:$A,0)-1,O99)</f>
        <v>1.5</v>
      </c>
      <c r="Q99" s="322" t="s">
        <v>29</v>
      </c>
      <c r="R99" s="323">
        <f t="shared" ca="1" si="24"/>
        <v>250087</v>
      </c>
      <c r="S99" s="323">
        <f t="shared" ca="1" si="24"/>
        <v>375130</v>
      </c>
      <c r="T99" s="323">
        <f ca="1">보조원</f>
        <v>250087</v>
      </c>
      <c r="U99" s="323">
        <f t="shared" ca="1" si="25"/>
        <v>375130</v>
      </c>
      <c r="V99" s="323"/>
      <c r="W99" s="323"/>
      <c r="X99" s="323"/>
      <c r="Y99" s="323"/>
      <c r="Z99" s="324"/>
    </row>
    <row r="100" spans="11:26" ht="18" customHeight="1">
      <c r="K100" s="171" t="s">
        <v>14</v>
      </c>
      <c r="L100" s="171"/>
      <c r="M100" s="171"/>
      <c r="N100" s="139" t="s">
        <v>17</v>
      </c>
      <c r="O100" s="68"/>
      <c r="P100" s="69"/>
      <c r="Q100" s="70"/>
      <c r="R100" s="71"/>
      <c r="S100" s="71">
        <f ca="1">SUBTOTAL(9,S94:S99)</f>
        <v>1074169</v>
      </c>
      <c r="T100" s="71"/>
      <c r="U100" s="71">
        <f ca="1">SUBTOTAL(9,U94:U99)</f>
        <v>1074169</v>
      </c>
      <c r="V100" s="71"/>
      <c r="W100" s="71"/>
      <c r="X100" s="71"/>
      <c r="Y100" s="71"/>
      <c r="Z100" s="68"/>
    </row>
    <row r="101" spans="11:26" ht="18" customHeight="1">
      <c r="K101" s="171" t="s">
        <v>14</v>
      </c>
      <c r="L101" s="171"/>
      <c r="M101" s="171"/>
      <c r="N101" s="318" t="str">
        <f ca="1">"제 " &amp; Z101 &amp; " 호표  "&amp; OFFSET($A$1,MATCH(Z101,$A:$A,0)-1,1)</f>
        <v>제 6 호표  2.2. 공간구상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6</v>
      </c>
    </row>
    <row r="102" spans="11:26" ht="18" customHeight="1">
      <c r="K102" s="171" t="s">
        <v>14</v>
      </c>
      <c r="L102" s="171"/>
      <c r="M102" s="171"/>
      <c r="N102" s="140" t="s">
        <v>43</v>
      </c>
      <c r="O102" s="172">
        <v>3</v>
      </c>
      <c r="P102" s="219">
        <f ca="1">OFFSET($A$1,MATCH(Z101,$A:$A,0)-1,O102)</f>
        <v>0.2</v>
      </c>
      <c r="Q102" s="141" t="s">
        <v>29</v>
      </c>
      <c r="R102" s="142">
        <f t="shared" ref="R102:S107" ca="1" si="26">T102</f>
        <v>467217</v>
      </c>
      <c r="S102" s="142">
        <f t="shared" ca="1" si="26"/>
        <v>93443</v>
      </c>
      <c r="T102" s="142">
        <f ca="1">기술사</f>
        <v>467217</v>
      </c>
      <c r="U102" s="142">
        <f t="shared" ref="U102:U107" ca="1" si="27">ROUNDDOWN(P102*R102,0)</f>
        <v>93443</v>
      </c>
      <c r="V102" s="142"/>
      <c r="W102" s="142"/>
      <c r="X102" s="142"/>
      <c r="Y102" s="142"/>
      <c r="Z102" s="114"/>
    </row>
    <row r="103" spans="11:26" ht="18" customHeight="1">
      <c r="K103" s="171" t="s">
        <v>14</v>
      </c>
      <c r="L103" s="171"/>
      <c r="M103" s="171"/>
      <c r="N103" s="143" t="s">
        <v>32</v>
      </c>
      <c r="O103" s="173">
        <v>4</v>
      </c>
      <c r="P103" s="234">
        <f ca="1">OFFSET($A$1,MATCH(Z101,$A:$A,0)-1,O103)</f>
        <v>0.4</v>
      </c>
      <c r="Q103" s="144" t="s">
        <v>29</v>
      </c>
      <c r="R103" s="118">
        <f t="shared" ca="1" si="26"/>
        <v>373353</v>
      </c>
      <c r="S103" s="118">
        <f t="shared" ca="1" si="26"/>
        <v>149341</v>
      </c>
      <c r="T103" s="118">
        <f ca="1">특급</f>
        <v>373353</v>
      </c>
      <c r="U103" s="118">
        <f t="shared" ca="1" si="27"/>
        <v>149341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39</v>
      </c>
      <c r="O104" s="173">
        <v>5</v>
      </c>
      <c r="P104" s="234">
        <f ca="1">OFFSET($A$1,MATCH(Z101,$A:$A,0)-1,O104)</f>
        <v>1</v>
      </c>
      <c r="Q104" s="144" t="s">
        <v>29</v>
      </c>
      <c r="R104" s="118">
        <f t="shared" ca="1" si="26"/>
        <v>310884</v>
      </c>
      <c r="S104" s="118">
        <f t="shared" ca="1" si="26"/>
        <v>310884</v>
      </c>
      <c r="T104" s="118">
        <f ca="1">고급</f>
        <v>310884</v>
      </c>
      <c r="U104" s="118">
        <f t="shared" ca="1" si="27"/>
        <v>310884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40</v>
      </c>
      <c r="O105" s="173">
        <v>6</v>
      </c>
      <c r="P105" s="234">
        <f ca="1">OFFSET($A$1,MATCH(Z101,$A:$A,0)-1,O105)</f>
        <v>2</v>
      </c>
      <c r="Q105" s="144" t="s">
        <v>29</v>
      </c>
      <c r="R105" s="118">
        <f t="shared" ca="1" si="26"/>
        <v>295138</v>
      </c>
      <c r="S105" s="118">
        <f t="shared" ca="1" si="26"/>
        <v>590276</v>
      </c>
      <c r="T105" s="118">
        <f ca="1">중급</f>
        <v>295138</v>
      </c>
      <c r="U105" s="118">
        <f t="shared" ca="1" si="27"/>
        <v>590276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41</v>
      </c>
      <c r="O106" s="173">
        <v>7</v>
      </c>
      <c r="P106" s="234">
        <f ca="1">OFFSET($A$1,MATCH(Z101,$A:$A,0)-1,O106)</f>
        <v>2.2000000000000002</v>
      </c>
      <c r="Q106" s="144" t="s">
        <v>29</v>
      </c>
      <c r="R106" s="118">
        <f t="shared" ca="1" si="26"/>
        <v>235459</v>
      </c>
      <c r="S106" s="118">
        <f t="shared" ca="1" si="26"/>
        <v>518009</v>
      </c>
      <c r="T106" s="118">
        <f ca="1">초급</f>
        <v>235459</v>
      </c>
      <c r="U106" s="118">
        <f t="shared" ca="1" si="27"/>
        <v>518009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319" t="s">
        <v>42</v>
      </c>
      <c r="O107" s="174">
        <v>8</v>
      </c>
      <c r="P107" s="235">
        <f ca="1">OFFSET($A$1,MATCH(Z101,$A:$A,0)-1,O107)</f>
        <v>3.2</v>
      </c>
      <c r="Q107" s="322" t="s">
        <v>29</v>
      </c>
      <c r="R107" s="323">
        <f t="shared" ca="1" si="26"/>
        <v>250087</v>
      </c>
      <c r="S107" s="323">
        <f t="shared" ca="1" si="26"/>
        <v>800278</v>
      </c>
      <c r="T107" s="323">
        <f ca="1">보조원</f>
        <v>250087</v>
      </c>
      <c r="U107" s="323">
        <f t="shared" ca="1" si="27"/>
        <v>800278</v>
      </c>
      <c r="V107" s="323"/>
      <c r="W107" s="323"/>
      <c r="X107" s="323"/>
      <c r="Y107" s="323"/>
      <c r="Z107" s="324"/>
    </row>
    <row r="108" spans="11:26" ht="18" customHeight="1">
      <c r="K108" s="171" t="s">
        <v>14</v>
      </c>
      <c r="L108" s="171"/>
      <c r="M108" s="171"/>
      <c r="N108" s="139" t="s">
        <v>17</v>
      </c>
      <c r="O108" s="68"/>
      <c r="P108" s="69"/>
      <c r="Q108" s="70"/>
      <c r="R108" s="71"/>
      <c r="S108" s="71">
        <f ca="1">SUBTOTAL(9,S102:S107)</f>
        <v>2462231</v>
      </c>
      <c r="T108" s="71"/>
      <c r="U108" s="71">
        <f ca="1">SUBTOTAL(9,U102:U107)</f>
        <v>2462231</v>
      </c>
      <c r="V108" s="71"/>
      <c r="W108" s="71"/>
      <c r="X108" s="71"/>
      <c r="Y108" s="71"/>
      <c r="Z108" s="68"/>
    </row>
    <row r="109" spans="11:26" ht="18" customHeight="1">
      <c r="K109" s="171" t="s">
        <v>14</v>
      </c>
      <c r="L109" s="171"/>
      <c r="M109" s="171"/>
      <c r="N109" s="318" t="str">
        <f ca="1">"제 " &amp; Z109 &amp; " 호표  "&amp; OFFSET($A$1,MATCH(Z109,$A:$A,0)-1,1)</f>
        <v>제 7 호표  2.3. 디자인구상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7</v>
      </c>
    </row>
    <row r="110" spans="11:26" ht="18" customHeight="1">
      <c r="K110" s="171" t="s">
        <v>14</v>
      </c>
      <c r="L110" s="171"/>
      <c r="M110" s="171"/>
      <c r="N110" s="140" t="s">
        <v>43</v>
      </c>
      <c r="O110" s="172">
        <v>3</v>
      </c>
      <c r="P110" s="219">
        <f ca="1">OFFSET($A$1,MATCH(Z109,$A:$A,0)-1,O110)</f>
        <v>0.2</v>
      </c>
      <c r="Q110" s="141" t="s">
        <v>29</v>
      </c>
      <c r="R110" s="142">
        <f t="shared" ref="R110:S115" ca="1" si="28">T110</f>
        <v>467217</v>
      </c>
      <c r="S110" s="142">
        <f t="shared" ca="1" si="28"/>
        <v>93443</v>
      </c>
      <c r="T110" s="142">
        <f ca="1">기술사</f>
        <v>467217</v>
      </c>
      <c r="U110" s="142">
        <f t="shared" ref="U110:U115" ca="1" si="29">ROUNDDOWN(P110*R110,0)</f>
        <v>93443</v>
      </c>
      <c r="V110" s="142"/>
      <c r="W110" s="142"/>
      <c r="X110" s="142"/>
      <c r="Y110" s="142"/>
      <c r="Z110" s="114"/>
    </row>
    <row r="111" spans="11:26" ht="18" customHeight="1">
      <c r="K111" s="171" t="s">
        <v>14</v>
      </c>
      <c r="L111" s="171"/>
      <c r="M111" s="171"/>
      <c r="N111" s="143" t="s">
        <v>32</v>
      </c>
      <c r="O111" s="173">
        <v>4</v>
      </c>
      <c r="P111" s="234">
        <f ca="1">OFFSET($A$1,MATCH(Z109,$A:$A,0)-1,O111)</f>
        <v>0.4</v>
      </c>
      <c r="Q111" s="144" t="s">
        <v>29</v>
      </c>
      <c r="R111" s="118">
        <f t="shared" ca="1" si="28"/>
        <v>373353</v>
      </c>
      <c r="S111" s="118">
        <f t="shared" ca="1" si="28"/>
        <v>149341</v>
      </c>
      <c r="T111" s="118">
        <f ca="1">특급</f>
        <v>373353</v>
      </c>
      <c r="U111" s="118">
        <f t="shared" ca="1" si="29"/>
        <v>149341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39</v>
      </c>
      <c r="O112" s="173">
        <v>5</v>
      </c>
      <c r="P112" s="234">
        <f ca="1">OFFSET($A$1,MATCH(Z109,$A:$A,0)-1,O112)</f>
        <v>1</v>
      </c>
      <c r="Q112" s="144" t="s">
        <v>29</v>
      </c>
      <c r="R112" s="118">
        <f t="shared" ca="1" si="28"/>
        <v>310884</v>
      </c>
      <c r="S112" s="118">
        <f t="shared" ca="1" si="28"/>
        <v>310884</v>
      </c>
      <c r="T112" s="118">
        <f ca="1">고급</f>
        <v>310884</v>
      </c>
      <c r="U112" s="118">
        <f t="shared" ca="1" si="29"/>
        <v>310884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40</v>
      </c>
      <c r="O113" s="173">
        <v>6</v>
      </c>
      <c r="P113" s="234">
        <f ca="1">OFFSET($A$1,MATCH(Z109,$A:$A,0)-1,O113)</f>
        <v>1.1000000000000001</v>
      </c>
      <c r="Q113" s="144" t="s">
        <v>29</v>
      </c>
      <c r="R113" s="118">
        <f t="shared" ca="1" si="28"/>
        <v>295138</v>
      </c>
      <c r="S113" s="118">
        <f t="shared" ca="1" si="28"/>
        <v>324651</v>
      </c>
      <c r="T113" s="118">
        <f ca="1">중급</f>
        <v>295138</v>
      </c>
      <c r="U113" s="118">
        <f t="shared" ca="1" si="29"/>
        <v>324651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41</v>
      </c>
      <c r="O114" s="173">
        <v>7</v>
      </c>
      <c r="P114" s="234">
        <f ca="1">OFFSET($A$1,MATCH(Z109,$A:$A,0)-1,O114)</f>
        <v>2.2000000000000002</v>
      </c>
      <c r="Q114" s="144" t="s">
        <v>29</v>
      </c>
      <c r="R114" s="118">
        <f t="shared" ca="1" si="28"/>
        <v>235459</v>
      </c>
      <c r="S114" s="118">
        <f t="shared" ca="1" si="28"/>
        <v>518009</v>
      </c>
      <c r="T114" s="118">
        <f ca="1">초급</f>
        <v>235459</v>
      </c>
      <c r="U114" s="118">
        <f t="shared" ca="1" si="29"/>
        <v>518009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319" t="s">
        <v>42</v>
      </c>
      <c r="O115" s="174">
        <v>8</v>
      </c>
      <c r="P115" s="235">
        <f ca="1">OFFSET($A$1,MATCH(Z109,$A:$A,0)-1,O115)</f>
        <v>3.2</v>
      </c>
      <c r="Q115" s="322" t="s">
        <v>29</v>
      </c>
      <c r="R115" s="323">
        <f t="shared" ca="1" si="28"/>
        <v>250087</v>
      </c>
      <c r="S115" s="323">
        <f t="shared" ca="1" si="28"/>
        <v>800278</v>
      </c>
      <c r="T115" s="323">
        <f ca="1">보조원</f>
        <v>250087</v>
      </c>
      <c r="U115" s="323">
        <f t="shared" ca="1" si="29"/>
        <v>800278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M116" s="171"/>
      <c r="N116" s="139" t="s">
        <v>17</v>
      </c>
      <c r="O116" s="68"/>
      <c r="P116" s="69"/>
      <c r="Q116" s="70"/>
      <c r="R116" s="71"/>
      <c r="S116" s="71">
        <f ca="1">SUBTOTAL(9,S110:S115)</f>
        <v>2196606</v>
      </c>
      <c r="T116" s="71"/>
      <c r="U116" s="71">
        <f ca="1">SUBTOTAL(9,U110:U115)</f>
        <v>2196606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M117" s="171"/>
      <c r="N117" s="318" t="str">
        <f ca="1">"제 " &amp; Z117 &amp; " 호표  "&amp; OFFSET($A$1,MATCH(Z117,$A:$A,0)-1,1)</f>
        <v>제 8 호표  2.4. 종합구상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8</v>
      </c>
    </row>
    <row r="118" spans="11:26" ht="18" customHeight="1">
      <c r="K118" s="171" t="s">
        <v>14</v>
      </c>
      <c r="L118" s="171"/>
      <c r="M118" s="171"/>
      <c r="N118" s="140" t="s">
        <v>43</v>
      </c>
      <c r="O118" s="172">
        <v>3</v>
      </c>
      <c r="P118" s="219">
        <f ca="1">OFFSET($A$1,MATCH(Z117,$A:$A,0)-1,O118)</f>
        <v>0.3</v>
      </c>
      <c r="Q118" s="141" t="s">
        <v>29</v>
      </c>
      <c r="R118" s="142">
        <f t="shared" ref="R118:S123" ca="1" si="30">T118</f>
        <v>467217</v>
      </c>
      <c r="S118" s="142">
        <f t="shared" ca="1" si="30"/>
        <v>140165</v>
      </c>
      <c r="T118" s="142">
        <f ca="1">기술사</f>
        <v>467217</v>
      </c>
      <c r="U118" s="142">
        <f t="shared" ref="U118:U123" ca="1" si="31">ROUNDDOWN(P118*R118,0)</f>
        <v>140165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M119" s="171"/>
      <c r="N119" s="143" t="s">
        <v>32</v>
      </c>
      <c r="O119" s="173">
        <v>4</v>
      </c>
      <c r="P119" s="234">
        <f ca="1">OFFSET($A$1,MATCH(Z117,$A:$A,0)-1,O119)</f>
        <v>0.3</v>
      </c>
      <c r="Q119" s="144" t="s">
        <v>29</v>
      </c>
      <c r="R119" s="118">
        <f t="shared" ca="1" si="30"/>
        <v>373353</v>
      </c>
      <c r="S119" s="118">
        <f t="shared" ca="1" si="30"/>
        <v>112005</v>
      </c>
      <c r="T119" s="118">
        <f ca="1">특급</f>
        <v>373353</v>
      </c>
      <c r="U119" s="118">
        <f t="shared" ca="1" si="31"/>
        <v>112005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39</v>
      </c>
      <c r="O120" s="173">
        <v>5</v>
      </c>
      <c r="P120" s="234">
        <f ca="1">OFFSET($A$1,MATCH(Z117,$A:$A,0)-1,O120)</f>
        <v>0.4</v>
      </c>
      <c r="Q120" s="144" t="s">
        <v>29</v>
      </c>
      <c r="R120" s="118">
        <f t="shared" ca="1" si="30"/>
        <v>310884</v>
      </c>
      <c r="S120" s="118">
        <f t="shared" ca="1" si="30"/>
        <v>124353</v>
      </c>
      <c r="T120" s="118">
        <f ca="1">고급</f>
        <v>310884</v>
      </c>
      <c r="U120" s="118">
        <f t="shared" ca="1" si="31"/>
        <v>124353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40</v>
      </c>
      <c r="O121" s="173">
        <v>6</v>
      </c>
      <c r="P121" s="234">
        <f ca="1">OFFSET($A$1,MATCH(Z117,$A:$A,0)-1,O121)</f>
        <v>1.1000000000000001</v>
      </c>
      <c r="Q121" s="144" t="s">
        <v>29</v>
      </c>
      <c r="R121" s="118">
        <f t="shared" ca="1" si="30"/>
        <v>295138</v>
      </c>
      <c r="S121" s="118">
        <f t="shared" ca="1" si="30"/>
        <v>324651</v>
      </c>
      <c r="T121" s="118">
        <f ca="1">중급</f>
        <v>295138</v>
      </c>
      <c r="U121" s="118">
        <f t="shared" ca="1" si="31"/>
        <v>324651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41</v>
      </c>
      <c r="O122" s="173">
        <v>7</v>
      </c>
      <c r="P122" s="234">
        <f ca="1">OFFSET($A$1,MATCH(Z117,$A:$A,0)-1,O122)</f>
        <v>1.2</v>
      </c>
      <c r="Q122" s="144" t="s">
        <v>29</v>
      </c>
      <c r="R122" s="118">
        <f t="shared" ca="1" si="30"/>
        <v>235459</v>
      </c>
      <c r="S122" s="118">
        <f t="shared" ca="1" si="30"/>
        <v>282550</v>
      </c>
      <c r="T122" s="118">
        <f ca="1">초급</f>
        <v>235459</v>
      </c>
      <c r="U122" s="118">
        <f t="shared" ca="1" si="31"/>
        <v>282550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319" t="s">
        <v>42</v>
      </c>
      <c r="O123" s="174">
        <v>8</v>
      </c>
      <c r="P123" s="235">
        <f ca="1">OFFSET($A$1,MATCH(Z117,$A:$A,0)-1,O123)</f>
        <v>1.3</v>
      </c>
      <c r="Q123" s="322" t="s">
        <v>29</v>
      </c>
      <c r="R123" s="323">
        <f t="shared" ca="1" si="30"/>
        <v>250087</v>
      </c>
      <c r="S123" s="323">
        <f t="shared" ca="1" si="30"/>
        <v>325113</v>
      </c>
      <c r="T123" s="323">
        <f ca="1">보조원</f>
        <v>250087</v>
      </c>
      <c r="U123" s="323">
        <f t="shared" ca="1" si="31"/>
        <v>325113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M124" s="171"/>
      <c r="N124" s="139" t="s">
        <v>17</v>
      </c>
      <c r="O124" s="68"/>
      <c r="P124" s="69"/>
      <c r="Q124" s="70"/>
      <c r="R124" s="71"/>
      <c r="S124" s="71">
        <f ca="1">SUBTOTAL(9,S118:S123)</f>
        <v>1308837</v>
      </c>
      <c r="T124" s="71"/>
      <c r="U124" s="71">
        <f ca="1">SUBTOTAL(9,U118:U123)</f>
        <v>1308837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M125" s="171"/>
      <c r="N125" s="318" t="str">
        <f ca="1">"제 " &amp; Z125 &amp; " 호표  "&amp; OFFSET($A$1,MATCH(Z125,$A:$A,0)-1,1)</f>
        <v>제 9 호표  3.1. 디자인 대안 및 타당성 검토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9</v>
      </c>
    </row>
    <row r="126" spans="11:26" ht="18" customHeight="1">
      <c r="K126" s="171" t="s">
        <v>14</v>
      </c>
      <c r="L126" s="171"/>
      <c r="M126" s="171"/>
      <c r="N126" s="140" t="s">
        <v>43</v>
      </c>
      <c r="O126" s="172">
        <v>3</v>
      </c>
      <c r="P126" s="219">
        <f ca="1">OFFSET($A$1,MATCH(Z125,$A:$A,0)-1,O126)</f>
        <v>1.5</v>
      </c>
      <c r="Q126" s="141" t="s">
        <v>29</v>
      </c>
      <c r="R126" s="142">
        <f t="shared" ref="R126:S131" ca="1" si="32">T126</f>
        <v>467217</v>
      </c>
      <c r="S126" s="142">
        <f t="shared" ca="1" si="32"/>
        <v>700825</v>
      </c>
      <c r="T126" s="142">
        <f ca="1">기술사</f>
        <v>467217</v>
      </c>
      <c r="U126" s="142">
        <f t="shared" ref="U126:U131" ca="1" si="33">ROUNDDOWN(P126*R126,0)</f>
        <v>700825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M127" s="171"/>
      <c r="N127" s="143" t="s">
        <v>32</v>
      </c>
      <c r="O127" s="173">
        <v>4</v>
      </c>
      <c r="P127" s="234">
        <f ca="1">OFFSET($A$1,MATCH(Z125,$A:$A,0)-1,O127)</f>
        <v>3.2</v>
      </c>
      <c r="Q127" s="144" t="s">
        <v>29</v>
      </c>
      <c r="R127" s="118">
        <f t="shared" ca="1" si="32"/>
        <v>373353</v>
      </c>
      <c r="S127" s="118">
        <f t="shared" ca="1" si="32"/>
        <v>1194729</v>
      </c>
      <c r="T127" s="118">
        <f ca="1">특급</f>
        <v>373353</v>
      </c>
      <c r="U127" s="118">
        <f t="shared" ca="1" si="33"/>
        <v>1194729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39</v>
      </c>
      <c r="O128" s="173">
        <v>5</v>
      </c>
      <c r="P128" s="234">
        <f ca="1">OFFSET($A$1,MATCH(Z125,$A:$A,0)-1,O128)</f>
        <v>6.2</v>
      </c>
      <c r="Q128" s="144" t="s">
        <v>29</v>
      </c>
      <c r="R128" s="118">
        <f t="shared" ca="1" si="32"/>
        <v>310884</v>
      </c>
      <c r="S128" s="118">
        <f t="shared" ca="1" si="32"/>
        <v>1927480</v>
      </c>
      <c r="T128" s="118">
        <f ca="1">고급</f>
        <v>310884</v>
      </c>
      <c r="U128" s="118">
        <f t="shared" ca="1" si="33"/>
        <v>1927480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40</v>
      </c>
      <c r="O129" s="173">
        <v>6</v>
      </c>
      <c r="P129" s="234">
        <f ca="1">OFFSET($A$1,MATCH(Z125,$A:$A,0)-1,O129)</f>
        <v>6.5</v>
      </c>
      <c r="Q129" s="144" t="s">
        <v>29</v>
      </c>
      <c r="R129" s="118">
        <f t="shared" ca="1" si="32"/>
        <v>295138</v>
      </c>
      <c r="S129" s="118">
        <f t="shared" ca="1" si="32"/>
        <v>1918397</v>
      </c>
      <c r="T129" s="118">
        <f ca="1">중급</f>
        <v>295138</v>
      </c>
      <c r="U129" s="118">
        <f t="shared" ca="1" si="33"/>
        <v>1918397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145" t="s">
        <v>41</v>
      </c>
      <c r="O130" s="173">
        <v>7</v>
      </c>
      <c r="P130" s="234">
        <f ca="1">OFFSET($A$1,MATCH(Z125,$A:$A,0)-1,O130)</f>
        <v>7.2</v>
      </c>
      <c r="Q130" s="144" t="s">
        <v>29</v>
      </c>
      <c r="R130" s="118">
        <f t="shared" ca="1" si="32"/>
        <v>235459</v>
      </c>
      <c r="S130" s="118">
        <f t="shared" ca="1" si="32"/>
        <v>1695304</v>
      </c>
      <c r="T130" s="118">
        <f ca="1">초급</f>
        <v>235459</v>
      </c>
      <c r="U130" s="118">
        <f t="shared" ca="1" si="33"/>
        <v>1695304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319" t="s">
        <v>42</v>
      </c>
      <c r="O131" s="174">
        <v>8</v>
      </c>
      <c r="P131" s="235">
        <f ca="1">OFFSET($A$1,MATCH(Z125,$A:$A,0)-1,O131)</f>
        <v>7.8</v>
      </c>
      <c r="Q131" s="322" t="s">
        <v>29</v>
      </c>
      <c r="R131" s="323">
        <f t="shared" ca="1" si="32"/>
        <v>250087</v>
      </c>
      <c r="S131" s="323">
        <f t="shared" ca="1" si="32"/>
        <v>1950678</v>
      </c>
      <c r="T131" s="323">
        <f ca="1">보조원</f>
        <v>250087</v>
      </c>
      <c r="U131" s="323">
        <f t="shared" ca="1" si="33"/>
        <v>1950678</v>
      </c>
      <c r="V131" s="323"/>
      <c r="W131" s="323"/>
      <c r="X131" s="323"/>
      <c r="Y131" s="323"/>
      <c r="Z131" s="324"/>
    </row>
    <row r="132" spans="11:26" ht="18" customHeight="1">
      <c r="K132" s="171" t="s">
        <v>14</v>
      </c>
      <c r="L132" s="171"/>
      <c r="M132" s="171"/>
      <c r="N132" s="139" t="s">
        <v>17</v>
      </c>
      <c r="O132" s="68"/>
      <c r="P132" s="69"/>
      <c r="Q132" s="70"/>
      <c r="R132" s="71"/>
      <c r="S132" s="71">
        <f ca="1">SUBTOTAL(9,S126:S131)</f>
        <v>9387413</v>
      </c>
      <c r="T132" s="71"/>
      <c r="U132" s="71">
        <f ca="1">SUBTOTAL(9,U126:U131)</f>
        <v>9387413</v>
      </c>
      <c r="V132" s="71"/>
      <c r="W132" s="71"/>
      <c r="X132" s="71"/>
      <c r="Y132" s="71"/>
      <c r="Z132" s="68"/>
    </row>
    <row r="133" spans="11:26" ht="18" customHeight="1">
      <c r="K133" s="171" t="s">
        <v>14</v>
      </c>
      <c r="L133" s="171"/>
      <c r="M133" s="171"/>
      <c r="N133" s="318" t="str">
        <f ca="1">"제 " &amp; Z133 &amp; " 호표  "&amp; OFFSET($A$1,MATCH(Z133,$A:$A,0)-1,1)</f>
        <v>제 10 호표  3.2. 항목별 디자인 제시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10</v>
      </c>
    </row>
    <row r="134" spans="11:26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219">
        <f ca="1">OFFSET($A$1,MATCH(Z133,$A:$A,0)-1,O134)</f>
        <v>3</v>
      </c>
      <c r="Q134" s="141" t="s">
        <v>29</v>
      </c>
      <c r="R134" s="142">
        <f t="shared" ref="R134:S139" ca="1" si="34">T134</f>
        <v>467217</v>
      </c>
      <c r="S134" s="142">
        <f t="shared" ca="1" si="34"/>
        <v>1401651</v>
      </c>
      <c r="T134" s="142">
        <f ca="1">기술사</f>
        <v>467217</v>
      </c>
      <c r="U134" s="142">
        <f t="shared" ref="U134:U139" ca="1" si="35">ROUNDDOWN(P134*R134,0)</f>
        <v>1401651</v>
      </c>
      <c r="V134" s="142"/>
      <c r="W134" s="142"/>
      <c r="X134" s="142"/>
      <c r="Y134" s="142"/>
      <c r="Z134" s="114"/>
    </row>
    <row r="135" spans="11:26" ht="18" customHeight="1">
      <c r="K135" s="171" t="s">
        <v>14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6.4</v>
      </c>
      <c r="Q135" s="144" t="s">
        <v>29</v>
      </c>
      <c r="R135" s="118">
        <f t="shared" ca="1" si="34"/>
        <v>373353</v>
      </c>
      <c r="S135" s="118">
        <f t="shared" ca="1" si="34"/>
        <v>2389459</v>
      </c>
      <c r="T135" s="118">
        <f ca="1">특급</f>
        <v>373353</v>
      </c>
      <c r="U135" s="118">
        <f t="shared" ca="1" si="35"/>
        <v>2389459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12.4</v>
      </c>
      <c r="Q136" s="144" t="s">
        <v>29</v>
      </c>
      <c r="R136" s="118">
        <f t="shared" ca="1" si="34"/>
        <v>310884</v>
      </c>
      <c r="S136" s="118">
        <f t="shared" ca="1" si="34"/>
        <v>3854961</v>
      </c>
      <c r="T136" s="118">
        <f ca="1">고급</f>
        <v>310884</v>
      </c>
      <c r="U136" s="118">
        <f t="shared" ca="1" si="35"/>
        <v>3854961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13.1</v>
      </c>
      <c r="Q137" s="144" t="s">
        <v>29</v>
      </c>
      <c r="R137" s="118">
        <f t="shared" ca="1" si="34"/>
        <v>295138</v>
      </c>
      <c r="S137" s="118">
        <f t="shared" ca="1" si="34"/>
        <v>3866307</v>
      </c>
      <c r="T137" s="118">
        <f ca="1">중급</f>
        <v>295138</v>
      </c>
      <c r="U137" s="118">
        <f t="shared" ca="1" si="35"/>
        <v>3866307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14.5</v>
      </c>
      <c r="Q138" s="144" t="s">
        <v>29</v>
      </c>
      <c r="R138" s="118">
        <f t="shared" ca="1" si="34"/>
        <v>235459</v>
      </c>
      <c r="S138" s="118">
        <f t="shared" ca="1" si="34"/>
        <v>3414155</v>
      </c>
      <c r="T138" s="118">
        <f ca="1">초급</f>
        <v>235459</v>
      </c>
      <c r="U138" s="118">
        <f t="shared" ca="1" si="35"/>
        <v>3414155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15.9</v>
      </c>
      <c r="Q139" s="322" t="s">
        <v>29</v>
      </c>
      <c r="R139" s="323">
        <f t="shared" ca="1" si="34"/>
        <v>250087</v>
      </c>
      <c r="S139" s="323">
        <f t="shared" ca="1" si="34"/>
        <v>3976383</v>
      </c>
      <c r="T139" s="323">
        <f ca="1">보조원</f>
        <v>250087</v>
      </c>
      <c r="U139" s="323">
        <f t="shared" ca="1" si="35"/>
        <v>3976383</v>
      </c>
      <c r="V139" s="323"/>
      <c r="W139" s="323"/>
      <c r="X139" s="323"/>
      <c r="Y139" s="323"/>
      <c r="Z139" s="324"/>
    </row>
    <row r="140" spans="11:26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18902916</v>
      </c>
      <c r="T140" s="71"/>
      <c r="U140" s="71">
        <f ca="1">SUBTOTAL(9,U134:U139)</f>
        <v>18902916</v>
      </c>
      <c r="V140" s="71"/>
      <c r="W140" s="71"/>
      <c r="X140" s="71"/>
      <c r="Y140" s="71"/>
      <c r="Z140" s="68"/>
    </row>
    <row r="141" spans="11:26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11 호표  3.3. 배치계획 및 세부계획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11</v>
      </c>
    </row>
    <row r="142" spans="11:26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3</v>
      </c>
      <c r="Q142" s="141" t="s">
        <v>29</v>
      </c>
      <c r="R142" s="142">
        <f t="shared" ref="R142:S147" ca="1" si="36">T142</f>
        <v>467217</v>
      </c>
      <c r="S142" s="142">
        <f t="shared" ca="1" si="36"/>
        <v>1401651</v>
      </c>
      <c r="T142" s="142">
        <f ca="1">기술사</f>
        <v>467217</v>
      </c>
      <c r="U142" s="142">
        <f t="shared" ref="U142:U147" ca="1" si="37">ROUNDDOWN(P142*R142,0)</f>
        <v>1401651</v>
      </c>
      <c r="V142" s="142"/>
      <c r="W142" s="142"/>
      <c r="X142" s="142"/>
      <c r="Y142" s="142"/>
      <c r="Z142" s="114"/>
    </row>
    <row r="143" spans="11:26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6.4</v>
      </c>
      <c r="Q143" s="144" t="s">
        <v>29</v>
      </c>
      <c r="R143" s="118">
        <f t="shared" ca="1" si="36"/>
        <v>373353</v>
      </c>
      <c r="S143" s="118">
        <f t="shared" ca="1" si="36"/>
        <v>2389459</v>
      </c>
      <c r="T143" s="118">
        <f ca="1">특급</f>
        <v>373353</v>
      </c>
      <c r="U143" s="118">
        <f t="shared" ca="1" si="37"/>
        <v>2389459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12.4</v>
      </c>
      <c r="Q144" s="144" t="s">
        <v>29</v>
      </c>
      <c r="R144" s="118">
        <f t="shared" ca="1" si="36"/>
        <v>310884</v>
      </c>
      <c r="S144" s="118">
        <f t="shared" ca="1" si="36"/>
        <v>3854961</v>
      </c>
      <c r="T144" s="118">
        <f ca="1">고급</f>
        <v>310884</v>
      </c>
      <c r="U144" s="118">
        <f t="shared" ca="1" si="37"/>
        <v>3854961</v>
      </c>
      <c r="V144" s="118"/>
      <c r="W144" s="118"/>
      <c r="X144" s="118"/>
      <c r="Y144" s="118"/>
      <c r="Z144" s="115"/>
    </row>
    <row r="145" spans="11:29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13.1</v>
      </c>
      <c r="Q145" s="144" t="s">
        <v>29</v>
      </c>
      <c r="R145" s="118">
        <f t="shared" ca="1" si="36"/>
        <v>295138</v>
      </c>
      <c r="S145" s="118">
        <f t="shared" ca="1" si="36"/>
        <v>3866307</v>
      </c>
      <c r="T145" s="118">
        <f ca="1">중급</f>
        <v>295138</v>
      </c>
      <c r="U145" s="118">
        <f t="shared" ca="1" si="37"/>
        <v>3866307</v>
      </c>
      <c r="V145" s="118"/>
      <c r="W145" s="118"/>
      <c r="X145" s="118"/>
      <c r="Y145" s="118"/>
      <c r="Z145" s="115"/>
    </row>
    <row r="146" spans="11:29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14.5</v>
      </c>
      <c r="Q146" s="144" t="s">
        <v>29</v>
      </c>
      <c r="R146" s="118">
        <f t="shared" ca="1" si="36"/>
        <v>235459</v>
      </c>
      <c r="S146" s="118">
        <f t="shared" ca="1" si="36"/>
        <v>3414155</v>
      </c>
      <c r="T146" s="118">
        <f ca="1">초급</f>
        <v>235459</v>
      </c>
      <c r="U146" s="118">
        <f t="shared" ca="1" si="37"/>
        <v>3414155</v>
      </c>
      <c r="V146" s="118"/>
      <c r="W146" s="118"/>
      <c r="X146" s="118"/>
      <c r="Y146" s="118"/>
      <c r="Z146" s="115"/>
    </row>
    <row r="147" spans="11:29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15.9</v>
      </c>
      <c r="Q147" s="322" t="s">
        <v>29</v>
      </c>
      <c r="R147" s="323">
        <f t="shared" ca="1" si="36"/>
        <v>250087</v>
      </c>
      <c r="S147" s="323">
        <f t="shared" ca="1" si="36"/>
        <v>3976383</v>
      </c>
      <c r="T147" s="323">
        <f ca="1">보조원</f>
        <v>250087</v>
      </c>
      <c r="U147" s="323">
        <f t="shared" ca="1" si="37"/>
        <v>3976383</v>
      </c>
      <c r="V147" s="323"/>
      <c r="W147" s="323"/>
      <c r="X147" s="323"/>
      <c r="Y147" s="323"/>
      <c r="Z147" s="324"/>
    </row>
    <row r="148" spans="11:29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18902916</v>
      </c>
      <c r="T148" s="71"/>
      <c r="U148" s="71">
        <f ca="1">SUBTOTAL(9,U142:U147)</f>
        <v>18902916</v>
      </c>
      <c r="V148" s="71"/>
      <c r="W148" s="71"/>
      <c r="X148" s="71"/>
      <c r="Y148" s="71"/>
      <c r="Z148" s="68"/>
      <c r="AA148" s="171"/>
    </row>
    <row r="149" spans="11:29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12 호표  3.4. 종합계획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12</v>
      </c>
      <c r="AA149" s="171"/>
    </row>
    <row r="150" spans="11:29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1.5</v>
      </c>
      <c r="Q150" s="141" t="s">
        <v>29</v>
      </c>
      <c r="R150" s="142">
        <f t="shared" ref="R150:S155" ca="1" si="38">T150</f>
        <v>467217</v>
      </c>
      <c r="S150" s="142">
        <f t="shared" ca="1" si="38"/>
        <v>700825</v>
      </c>
      <c r="T150" s="142">
        <f ca="1">기술사</f>
        <v>467217</v>
      </c>
      <c r="U150" s="142">
        <f t="shared" ref="U150:U155" ca="1" si="39">ROUNDDOWN(P150*R150,0)</f>
        <v>700825</v>
      </c>
      <c r="V150" s="142"/>
      <c r="W150" s="142"/>
      <c r="X150" s="142"/>
      <c r="Y150" s="142"/>
      <c r="Z150" s="11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1.5</v>
      </c>
      <c r="Q151" s="144" t="s">
        <v>29</v>
      </c>
      <c r="R151" s="118">
        <f t="shared" ca="1" si="38"/>
        <v>373353</v>
      </c>
      <c r="S151" s="118">
        <f t="shared" ca="1" si="38"/>
        <v>560029</v>
      </c>
      <c r="T151" s="118">
        <f ca="1">특급</f>
        <v>373353</v>
      </c>
      <c r="U151" s="118">
        <f t="shared" ca="1" si="39"/>
        <v>560029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5.0999999999999996</v>
      </c>
      <c r="Q152" s="144" t="s">
        <v>29</v>
      </c>
      <c r="R152" s="118">
        <f t="shared" ca="1" si="38"/>
        <v>310884</v>
      </c>
      <c r="S152" s="118">
        <f t="shared" ca="1" si="38"/>
        <v>1585508</v>
      </c>
      <c r="T152" s="118">
        <f ca="1">고급</f>
        <v>310884</v>
      </c>
      <c r="U152" s="118">
        <f t="shared" ca="1" si="39"/>
        <v>1585508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5.3</v>
      </c>
      <c r="Q153" s="144" t="s">
        <v>29</v>
      </c>
      <c r="R153" s="118">
        <f t="shared" ca="1" si="38"/>
        <v>295138</v>
      </c>
      <c r="S153" s="118">
        <f t="shared" ca="1" si="38"/>
        <v>1564231</v>
      </c>
      <c r="T153" s="118">
        <f ca="1">중급</f>
        <v>295138</v>
      </c>
      <c r="U153" s="118">
        <f t="shared" ca="1" si="39"/>
        <v>1564231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5.8</v>
      </c>
      <c r="Q154" s="144" t="s">
        <v>29</v>
      </c>
      <c r="R154" s="118">
        <f t="shared" ca="1" si="38"/>
        <v>235459</v>
      </c>
      <c r="S154" s="118">
        <f t="shared" ca="1" si="38"/>
        <v>1365662</v>
      </c>
      <c r="T154" s="118">
        <f ca="1">초급</f>
        <v>235459</v>
      </c>
      <c r="U154" s="118">
        <f t="shared" ca="1" si="39"/>
        <v>1365662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6.4</v>
      </c>
      <c r="Q155" s="322" t="s">
        <v>29</v>
      </c>
      <c r="R155" s="323">
        <f t="shared" ca="1" si="38"/>
        <v>250087</v>
      </c>
      <c r="S155" s="323">
        <f t="shared" ca="1" si="38"/>
        <v>1600556</v>
      </c>
      <c r="T155" s="323">
        <f ca="1">보조원</f>
        <v>250087</v>
      </c>
      <c r="U155" s="323">
        <f t="shared" ca="1" si="39"/>
        <v>1600556</v>
      </c>
      <c r="V155" s="323"/>
      <c r="W155" s="323"/>
      <c r="X155" s="323"/>
      <c r="Y155" s="323"/>
      <c r="Z155" s="324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7376811</v>
      </c>
      <c r="T156" s="71"/>
      <c r="U156" s="71">
        <f ca="1">SUBTOTAL(9,U150:U155)</f>
        <v>7376811</v>
      </c>
      <c r="V156" s="71"/>
      <c r="W156" s="71"/>
      <c r="X156" s="71"/>
      <c r="Y156" s="71"/>
      <c r="Z156" s="68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13 호표  4.1. 마스터플랜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13</v>
      </c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0.7</v>
      </c>
      <c r="Q158" s="141" t="s">
        <v>29</v>
      </c>
      <c r="R158" s="142">
        <f t="shared" ref="R158:S163" ca="1" si="40">T158</f>
        <v>467217</v>
      </c>
      <c r="S158" s="142">
        <f t="shared" ca="1" si="40"/>
        <v>327051</v>
      </c>
      <c r="T158" s="142">
        <f ca="1">기술사</f>
        <v>467217</v>
      </c>
      <c r="U158" s="142">
        <f t="shared" ref="U158:U163" ca="1" si="41">ROUNDDOWN(P158*R158,0)</f>
        <v>327051</v>
      </c>
      <c r="V158" s="142"/>
      <c r="W158" s="142"/>
      <c r="X158" s="142"/>
      <c r="Y158" s="142"/>
      <c r="Z158" s="11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0.9</v>
      </c>
      <c r="Q159" s="144" t="s">
        <v>29</v>
      </c>
      <c r="R159" s="118">
        <f t="shared" ca="1" si="40"/>
        <v>373353</v>
      </c>
      <c r="S159" s="118">
        <f t="shared" ca="1" si="40"/>
        <v>336017</v>
      </c>
      <c r="T159" s="118">
        <f ca="1">특급</f>
        <v>373353</v>
      </c>
      <c r="U159" s="118">
        <f t="shared" ca="1" si="41"/>
        <v>336017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2.1</v>
      </c>
      <c r="Q160" s="144" t="s">
        <v>29</v>
      </c>
      <c r="R160" s="118">
        <f t="shared" ca="1" si="40"/>
        <v>310884</v>
      </c>
      <c r="S160" s="118">
        <f t="shared" ca="1" si="40"/>
        <v>652856</v>
      </c>
      <c r="T160" s="118">
        <f ca="1">고급</f>
        <v>310884</v>
      </c>
      <c r="U160" s="118">
        <f t="shared" ca="1" si="41"/>
        <v>652856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2.5</v>
      </c>
      <c r="Q161" s="144" t="s">
        <v>29</v>
      </c>
      <c r="R161" s="118">
        <f t="shared" ca="1" si="40"/>
        <v>295138</v>
      </c>
      <c r="S161" s="118">
        <f t="shared" ca="1" si="40"/>
        <v>737845</v>
      </c>
      <c r="T161" s="118">
        <f ca="1">중급</f>
        <v>295138</v>
      </c>
      <c r="U161" s="118">
        <f t="shared" ca="1" si="41"/>
        <v>737845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2.8</v>
      </c>
      <c r="Q162" s="144" t="s">
        <v>29</v>
      </c>
      <c r="R162" s="118">
        <f t="shared" ca="1" si="40"/>
        <v>235459</v>
      </c>
      <c r="S162" s="118">
        <f t="shared" ca="1" si="40"/>
        <v>659285</v>
      </c>
      <c r="T162" s="118">
        <f ca="1">초급</f>
        <v>235459</v>
      </c>
      <c r="U162" s="118">
        <f t="shared" ca="1" si="41"/>
        <v>659285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2.4</v>
      </c>
      <c r="Q163" s="322" t="s">
        <v>29</v>
      </c>
      <c r="R163" s="323">
        <f t="shared" ca="1" si="40"/>
        <v>250087</v>
      </c>
      <c r="S163" s="323">
        <f t="shared" ca="1" si="40"/>
        <v>600208</v>
      </c>
      <c r="T163" s="323">
        <f ca="1">보조원</f>
        <v>250087</v>
      </c>
      <c r="U163" s="323">
        <f t="shared" ca="1" si="41"/>
        <v>600208</v>
      </c>
      <c r="V163" s="323"/>
      <c r="W163" s="323"/>
      <c r="X163" s="323"/>
      <c r="Y163" s="323"/>
      <c r="Z163" s="324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3313262</v>
      </c>
      <c r="T164" s="71"/>
      <c r="U164" s="71">
        <f ca="1">SUBTOTAL(9,U158:U163)</f>
        <v>3313262</v>
      </c>
      <c r="V164" s="71"/>
      <c r="W164" s="71"/>
      <c r="X164" s="71"/>
      <c r="Y164" s="71"/>
      <c r="Z164" s="68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14 호표  4.2. 기본설계도 작성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14</v>
      </c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1.1000000000000001</v>
      </c>
      <c r="Q166" s="141" t="s">
        <v>29</v>
      </c>
      <c r="R166" s="142">
        <f t="shared" ref="R166:S171" ca="1" si="42">T166</f>
        <v>467217</v>
      </c>
      <c r="S166" s="142">
        <f t="shared" ca="1" si="42"/>
        <v>513938</v>
      </c>
      <c r="T166" s="142">
        <f ca="1">기술사</f>
        <v>467217</v>
      </c>
      <c r="U166" s="142">
        <f t="shared" ref="U166:U171" ca="1" si="43">ROUNDDOWN(P166*R166,0)</f>
        <v>513938</v>
      </c>
      <c r="V166" s="142"/>
      <c r="W166" s="142"/>
      <c r="X166" s="142"/>
      <c r="Y166" s="142"/>
      <c r="Z166" s="114"/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2.2999999999999998</v>
      </c>
      <c r="Q167" s="144" t="s">
        <v>29</v>
      </c>
      <c r="R167" s="118">
        <f t="shared" ca="1" si="42"/>
        <v>373353</v>
      </c>
      <c r="S167" s="118">
        <f t="shared" ca="1" si="42"/>
        <v>858711</v>
      </c>
      <c r="T167" s="118">
        <f ca="1">특급</f>
        <v>373353</v>
      </c>
      <c r="U167" s="118">
        <f t="shared" ca="1" si="43"/>
        <v>858711</v>
      </c>
      <c r="V167" s="118"/>
      <c r="W167" s="118"/>
      <c r="X167" s="118"/>
      <c r="Y167" s="118"/>
      <c r="Z167" s="115"/>
      <c r="AA167" s="171"/>
      <c r="AB167" s="171"/>
      <c r="AC167" s="171"/>
    </row>
    <row r="168" spans="11:29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4.5</v>
      </c>
      <c r="Q168" s="144" t="s">
        <v>29</v>
      </c>
      <c r="R168" s="118">
        <f t="shared" ca="1" si="42"/>
        <v>310884</v>
      </c>
      <c r="S168" s="118">
        <f t="shared" ca="1" si="42"/>
        <v>1398978</v>
      </c>
      <c r="T168" s="118">
        <f ca="1">고급</f>
        <v>310884</v>
      </c>
      <c r="U168" s="118">
        <f t="shared" ca="1" si="43"/>
        <v>1398978</v>
      </c>
      <c r="V168" s="118"/>
      <c r="W168" s="118"/>
      <c r="X168" s="118"/>
      <c r="Y168" s="118"/>
      <c r="Z168" s="115"/>
      <c r="AA168" s="171"/>
      <c r="AB168" s="171"/>
      <c r="AC168" s="171"/>
    </row>
    <row r="169" spans="11:29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4.5999999999999996</v>
      </c>
      <c r="Q169" s="144" t="s">
        <v>29</v>
      </c>
      <c r="R169" s="118">
        <f t="shared" ca="1" si="42"/>
        <v>295138</v>
      </c>
      <c r="S169" s="118">
        <f t="shared" ca="1" si="42"/>
        <v>1357634</v>
      </c>
      <c r="T169" s="118">
        <f ca="1">중급</f>
        <v>295138</v>
      </c>
      <c r="U169" s="118">
        <f t="shared" ca="1" si="43"/>
        <v>1357634</v>
      </c>
      <c r="V169" s="118"/>
      <c r="W169" s="118"/>
      <c r="X169" s="118"/>
      <c r="Y169" s="118"/>
      <c r="Z169" s="115"/>
      <c r="AA169" s="171"/>
      <c r="AB169" s="171"/>
      <c r="AC169" s="171"/>
    </row>
    <row r="170" spans="11:29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5.2</v>
      </c>
      <c r="Q170" s="144" t="s">
        <v>29</v>
      </c>
      <c r="R170" s="118">
        <f t="shared" ca="1" si="42"/>
        <v>235459</v>
      </c>
      <c r="S170" s="118">
        <f t="shared" ca="1" si="42"/>
        <v>1224386</v>
      </c>
      <c r="T170" s="118">
        <f ca="1">초급</f>
        <v>235459</v>
      </c>
      <c r="U170" s="118">
        <f t="shared" ca="1" si="43"/>
        <v>1224386</v>
      </c>
      <c r="V170" s="118"/>
      <c r="W170" s="118"/>
      <c r="X170" s="118"/>
      <c r="Y170" s="118"/>
      <c r="Z170" s="115"/>
      <c r="AA170" s="171"/>
      <c r="AB170" s="171"/>
      <c r="AC170" s="171"/>
    </row>
    <row r="171" spans="11:29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5.6</v>
      </c>
      <c r="Q171" s="322" t="s">
        <v>29</v>
      </c>
      <c r="R171" s="323">
        <f t="shared" ca="1" si="42"/>
        <v>250087</v>
      </c>
      <c r="S171" s="323">
        <f t="shared" ca="1" si="42"/>
        <v>1400487</v>
      </c>
      <c r="T171" s="323">
        <f ca="1">보조원</f>
        <v>250087</v>
      </c>
      <c r="U171" s="323">
        <f t="shared" ca="1" si="43"/>
        <v>1400487</v>
      </c>
      <c r="V171" s="323"/>
      <c r="W171" s="323"/>
      <c r="X171" s="323"/>
      <c r="Y171" s="323"/>
      <c r="Z171" s="324"/>
      <c r="AA171" s="171"/>
      <c r="AB171" s="171"/>
      <c r="AC171" s="171"/>
    </row>
    <row r="172" spans="11:29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6754134</v>
      </c>
      <c r="T172" s="71"/>
      <c r="U172" s="71">
        <f ca="1">SUBTOTAL(9,U166:U171)</f>
        <v>6754134</v>
      </c>
      <c r="V172" s="71"/>
      <c r="W172" s="71"/>
      <c r="X172" s="71"/>
      <c r="Y172" s="71"/>
      <c r="Z172" s="68"/>
      <c r="AA172" s="171"/>
      <c r="AB172" s="171"/>
      <c r="AC172" s="171"/>
    </row>
    <row r="173" spans="11:29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15 호표  4.3. 개략사업비 산출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15</v>
      </c>
      <c r="AA173" s="171"/>
      <c r="AB173" s="171"/>
      <c r="AC173" s="171"/>
    </row>
    <row r="174" spans="11:29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1.1000000000000001</v>
      </c>
      <c r="Q174" s="141" t="s">
        <v>29</v>
      </c>
      <c r="R174" s="142">
        <f t="shared" ref="R174:S179" ca="1" si="44">T174</f>
        <v>467217</v>
      </c>
      <c r="S174" s="142">
        <f t="shared" ca="1" si="44"/>
        <v>513938</v>
      </c>
      <c r="T174" s="142">
        <f ca="1">기술사</f>
        <v>467217</v>
      </c>
      <c r="U174" s="142">
        <f t="shared" ref="U174:U179" ca="1" si="45">ROUNDDOWN(P174*R174,0)</f>
        <v>513938</v>
      </c>
      <c r="V174" s="142"/>
      <c r="W174" s="142"/>
      <c r="X174" s="142"/>
      <c r="Y174" s="142"/>
      <c r="Z174" s="114"/>
      <c r="AA174" s="171"/>
      <c r="AB174" s="171"/>
      <c r="AC174" s="171"/>
    </row>
    <row r="175" spans="11:29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2.2999999999999998</v>
      </c>
      <c r="Q175" s="144" t="s">
        <v>29</v>
      </c>
      <c r="R175" s="118">
        <f t="shared" ca="1" si="44"/>
        <v>373353</v>
      </c>
      <c r="S175" s="118">
        <f t="shared" ca="1" si="44"/>
        <v>858711</v>
      </c>
      <c r="T175" s="118">
        <f ca="1">특급</f>
        <v>373353</v>
      </c>
      <c r="U175" s="118">
        <f t="shared" ca="1" si="45"/>
        <v>858711</v>
      </c>
      <c r="V175" s="118"/>
      <c r="W175" s="118"/>
      <c r="X175" s="118"/>
      <c r="Y175" s="118"/>
      <c r="Z175" s="115"/>
      <c r="AA175" s="171"/>
      <c r="AB175" s="171"/>
      <c r="AC175" s="171"/>
    </row>
    <row r="176" spans="11:29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4.5</v>
      </c>
      <c r="Q176" s="144" t="s">
        <v>29</v>
      </c>
      <c r="R176" s="118">
        <f t="shared" ca="1" si="44"/>
        <v>310884</v>
      </c>
      <c r="S176" s="118">
        <f t="shared" ca="1" si="44"/>
        <v>1398978</v>
      </c>
      <c r="T176" s="118">
        <f ca="1">고급</f>
        <v>310884</v>
      </c>
      <c r="U176" s="118">
        <f t="shared" ca="1" si="45"/>
        <v>1398978</v>
      </c>
      <c r="V176" s="118"/>
      <c r="W176" s="118"/>
      <c r="X176" s="118"/>
      <c r="Y176" s="118"/>
      <c r="Z176" s="115"/>
      <c r="AB176" s="171"/>
      <c r="AC176" s="171"/>
    </row>
    <row r="177" spans="11:29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4.5999999999999996</v>
      </c>
      <c r="Q177" s="144" t="s">
        <v>29</v>
      </c>
      <c r="R177" s="118">
        <f t="shared" ca="1" si="44"/>
        <v>295138</v>
      </c>
      <c r="S177" s="118">
        <f t="shared" ca="1" si="44"/>
        <v>1357634</v>
      </c>
      <c r="T177" s="118">
        <f ca="1">중급</f>
        <v>295138</v>
      </c>
      <c r="U177" s="118">
        <f t="shared" ca="1" si="45"/>
        <v>1357634</v>
      </c>
      <c r="V177" s="118"/>
      <c r="W177" s="118"/>
      <c r="X177" s="118"/>
      <c r="Y177" s="118"/>
      <c r="Z177" s="115"/>
      <c r="AB177" s="171"/>
      <c r="AC177" s="171"/>
    </row>
    <row r="178" spans="11:29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5.2</v>
      </c>
      <c r="Q178" s="144" t="s">
        <v>29</v>
      </c>
      <c r="R178" s="118">
        <f t="shared" ca="1" si="44"/>
        <v>235459</v>
      </c>
      <c r="S178" s="118">
        <f t="shared" ca="1" si="44"/>
        <v>1224386</v>
      </c>
      <c r="T178" s="118">
        <f ca="1">초급</f>
        <v>235459</v>
      </c>
      <c r="U178" s="118">
        <f t="shared" ca="1" si="45"/>
        <v>1224386</v>
      </c>
      <c r="V178" s="118"/>
      <c r="W178" s="118"/>
      <c r="X178" s="118"/>
      <c r="Y178" s="118"/>
      <c r="Z178" s="115"/>
    </row>
    <row r="179" spans="11:29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5.6</v>
      </c>
      <c r="Q179" s="322" t="s">
        <v>29</v>
      </c>
      <c r="R179" s="323">
        <f t="shared" ca="1" si="44"/>
        <v>250087</v>
      </c>
      <c r="S179" s="323">
        <f t="shared" ca="1" si="44"/>
        <v>1400487</v>
      </c>
      <c r="T179" s="323">
        <f ca="1">보조원</f>
        <v>250087</v>
      </c>
      <c r="U179" s="323">
        <f t="shared" ca="1" si="45"/>
        <v>1400487</v>
      </c>
      <c r="V179" s="323"/>
      <c r="W179" s="323"/>
      <c r="X179" s="323"/>
      <c r="Y179" s="323"/>
      <c r="Z179" s="324"/>
    </row>
    <row r="180" spans="11:29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6754134</v>
      </c>
      <c r="T180" s="71"/>
      <c r="U180" s="71">
        <f ca="1">SUBTOTAL(9,U174:U179)</f>
        <v>6754134</v>
      </c>
      <c r="V180" s="71"/>
      <c r="W180" s="71"/>
      <c r="X180" s="71"/>
      <c r="Y180" s="71"/>
      <c r="Z180" s="68"/>
    </row>
    <row r="181" spans="11:29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16 호표  4.4. 기본 설계안 시뮬레이션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16</v>
      </c>
    </row>
    <row r="182" spans="11:29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1</v>
      </c>
      <c r="Q182" s="141" t="s">
        <v>29</v>
      </c>
      <c r="R182" s="142">
        <f t="shared" ref="R182:S187" ca="1" si="46">T182</f>
        <v>467217</v>
      </c>
      <c r="S182" s="142">
        <f t="shared" ca="1" si="46"/>
        <v>467217</v>
      </c>
      <c r="T182" s="142">
        <f ca="1">기술사</f>
        <v>467217</v>
      </c>
      <c r="U182" s="142">
        <f t="shared" ref="U182:U187" ca="1" si="47">ROUNDDOWN(P182*R182,0)</f>
        <v>467217</v>
      </c>
      <c r="V182" s="142"/>
      <c r="W182" s="142"/>
      <c r="X182" s="142"/>
      <c r="Y182" s="142"/>
      <c r="Z182" s="114"/>
    </row>
    <row r="183" spans="11:29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2.2000000000000002</v>
      </c>
      <c r="Q183" s="144" t="s">
        <v>29</v>
      </c>
      <c r="R183" s="118">
        <f t="shared" ca="1" si="46"/>
        <v>373353</v>
      </c>
      <c r="S183" s="118">
        <f t="shared" ca="1" si="46"/>
        <v>821376</v>
      </c>
      <c r="T183" s="118">
        <f ca="1">특급</f>
        <v>373353</v>
      </c>
      <c r="U183" s="118">
        <f t="shared" ca="1" si="47"/>
        <v>821376</v>
      </c>
      <c r="V183" s="118"/>
      <c r="W183" s="118"/>
      <c r="X183" s="118"/>
      <c r="Y183" s="118"/>
      <c r="Z183" s="115"/>
    </row>
    <row r="184" spans="11:29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4.4000000000000004</v>
      </c>
      <c r="Q184" s="144" t="s">
        <v>29</v>
      </c>
      <c r="R184" s="118">
        <f t="shared" ca="1" si="46"/>
        <v>310884</v>
      </c>
      <c r="S184" s="118">
        <f t="shared" ca="1" si="46"/>
        <v>1367889</v>
      </c>
      <c r="T184" s="118">
        <f ca="1">고급</f>
        <v>310884</v>
      </c>
      <c r="U184" s="118">
        <f t="shared" ca="1" si="47"/>
        <v>1367889</v>
      </c>
      <c r="V184" s="118"/>
      <c r="W184" s="118"/>
      <c r="X184" s="118"/>
      <c r="Y184" s="118"/>
      <c r="Z184" s="115"/>
    </row>
    <row r="185" spans="11:29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4.5999999999999996</v>
      </c>
      <c r="Q185" s="144" t="s">
        <v>29</v>
      </c>
      <c r="R185" s="118">
        <f t="shared" ca="1" si="46"/>
        <v>295138</v>
      </c>
      <c r="S185" s="118">
        <f t="shared" ca="1" si="46"/>
        <v>1357634</v>
      </c>
      <c r="T185" s="118">
        <f ca="1">중급</f>
        <v>295138</v>
      </c>
      <c r="U185" s="118">
        <f t="shared" ca="1" si="47"/>
        <v>1357634</v>
      </c>
      <c r="V185" s="118"/>
      <c r="W185" s="118"/>
      <c r="X185" s="118"/>
      <c r="Y185" s="118"/>
      <c r="Z185" s="115"/>
    </row>
    <row r="186" spans="11:29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5.2</v>
      </c>
      <c r="Q186" s="144" t="s">
        <v>29</v>
      </c>
      <c r="R186" s="118">
        <f t="shared" ca="1" si="46"/>
        <v>235459</v>
      </c>
      <c r="S186" s="118">
        <f t="shared" ca="1" si="46"/>
        <v>1224386</v>
      </c>
      <c r="T186" s="118">
        <f ca="1">초급</f>
        <v>235459</v>
      </c>
      <c r="U186" s="118">
        <f t="shared" ca="1" si="47"/>
        <v>1224386</v>
      </c>
      <c r="V186" s="118"/>
      <c r="W186" s="118"/>
      <c r="X186" s="118"/>
      <c r="Y186" s="118"/>
      <c r="Z186" s="115"/>
    </row>
    <row r="187" spans="11:29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5.6</v>
      </c>
      <c r="Q187" s="322" t="s">
        <v>29</v>
      </c>
      <c r="R187" s="323">
        <f t="shared" ca="1" si="46"/>
        <v>250087</v>
      </c>
      <c r="S187" s="323">
        <f t="shared" ca="1" si="46"/>
        <v>1400487</v>
      </c>
      <c r="T187" s="323">
        <f ca="1">보조원</f>
        <v>250087</v>
      </c>
      <c r="U187" s="323">
        <f t="shared" ca="1" si="47"/>
        <v>1400487</v>
      </c>
      <c r="V187" s="323"/>
      <c r="W187" s="323"/>
      <c r="X187" s="323"/>
      <c r="Y187" s="323"/>
      <c r="Z187" s="324"/>
    </row>
    <row r="188" spans="11:29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6638989</v>
      </c>
      <c r="T188" s="71"/>
      <c r="U188" s="71">
        <f ca="1">SUBTOTAL(9,U182:U187)</f>
        <v>6638989</v>
      </c>
      <c r="V188" s="71"/>
      <c r="W188" s="71"/>
      <c r="X188" s="71"/>
      <c r="Y188" s="71"/>
      <c r="Z188" s="68"/>
    </row>
    <row r="189" spans="11:29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17 호표  5.1. 유지방안 및 유지관리 비용산출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17</v>
      </c>
    </row>
    <row r="190" spans="11:29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1</v>
      </c>
      <c r="Q190" s="141" t="s">
        <v>29</v>
      </c>
      <c r="R190" s="142">
        <f t="shared" ref="R190:S195" ca="1" si="48">T190</f>
        <v>467217</v>
      </c>
      <c r="S190" s="142">
        <f t="shared" ca="1" si="48"/>
        <v>467217</v>
      </c>
      <c r="T190" s="142">
        <f ca="1">기술사</f>
        <v>467217</v>
      </c>
      <c r="U190" s="142">
        <f t="shared" ref="U190:U195" ca="1" si="49">ROUNDDOWN(P190*R190,0)</f>
        <v>467217</v>
      </c>
      <c r="V190" s="142"/>
      <c r="W190" s="142"/>
      <c r="X190" s="142"/>
      <c r="Y190" s="142"/>
      <c r="Z190" s="114"/>
    </row>
    <row r="191" spans="11:29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1.1000000000000001</v>
      </c>
      <c r="Q191" s="144" t="s">
        <v>29</v>
      </c>
      <c r="R191" s="118">
        <f t="shared" ca="1" si="48"/>
        <v>373353</v>
      </c>
      <c r="S191" s="118">
        <f t="shared" ca="1" si="48"/>
        <v>410688</v>
      </c>
      <c r="T191" s="118">
        <f ca="1">특급</f>
        <v>373353</v>
      </c>
      <c r="U191" s="118">
        <f t="shared" ca="1" si="49"/>
        <v>410688</v>
      </c>
      <c r="V191" s="118"/>
      <c r="W191" s="118"/>
      <c r="X191" s="118"/>
      <c r="Y191" s="118"/>
      <c r="Z191" s="115"/>
    </row>
    <row r="192" spans="11:29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1.5</v>
      </c>
      <c r="Q192" s="144" t="s">
        <v>29</v>
      </c>
      <c r="R192" s="118">
        <f t="shared" ca="1" si="48"/>
        <v>310884</v>
      </c>
      <c r="S192" s="118">
        <f t="shared" ca="1" si="48"/>
        <v>466326</v>
      </c>
      <c r="T192" s="118">
        <f ca="1">고급</f>
        <v>310884</v>
      </c>
      <c r="U192" s="118">
        <f t="shared" ca="1" si="49"/>
        <v>466326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1.9</v>
      </c>
      <c r="Q193" s="144" t="s">
        <v>29</v>
      </c>
      <c r="R193" s="118">
        <f t="shared" ca="1" si="48"/>
        <v>295138</v>
      </c>
      <c r="S193" s="118">
        <f t="shared" ca="1" si="48"/>
        <v>560762</v>
      </c>
      <c r="T193" s="118">
        <f ca="1">중급</f>
        <v>295138</v>
      </c>
      <c r="U193" s="118">
        <f t="shared" ca="1" si="49"/>
        <v>560762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2.2000000000000002</v>
      </c>
      <c r="Q194" s="144" t="s">
        <v>29</v>
      </c>
      <c r="R194" s="118">
        <f t="shared" ca="1" si="48"/>
        <v>235459</v>
      </c>
      <c r="S194" s="118">
        <f t="shared" ca="1" si="48"/>
        <v>518009</v>
      </c>
      <c r="T194" s="118">
        <f ca="1">초급</f>
        <v>235459</v>
      </c>
      <c r="U194" s="118">
        <f t="shared" ca="1" si="49"/>
        <v>518009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2.6</v>
      </c>
      <c r="Q195" s="322" t="s">
        <v>29</v>
      </c>
      <c r="R195" s="323">
        <f t="shared" ca="1" si="48"/>
        <v>250087</v>
      </c>
      <c r="S195" s="323">
        <f t="shared" ca="1" si="48"/>
        <v>650226</v>
      </c>
      <c r="T195" s="323">
        <f ca="1">보조원</f>
        <v>250087</v>
      </c>
      <c r="U195" s="323">
        <f t="shared" ca="1" si="49"/>
        <v>650226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3073228</v>
      </c>
      <c r="T196" s="71"/>
      <c r="U196" s="71">
        <f ca="1">SUBTOTAL(9,U190:U195)</f>
        <v>3073228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str">
        <f ca="1">"제 " &amp; Z197 &amp; " 호표  "&amp; OFFSET($A$1,MATCH(Z197,$A:$A,0)-1,1)</f>
        <v>제 18 호표  5.2. 담당기관에서의 관리범위 및 대상등 규정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18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>
        <f ca="1">OFFSET($A$1,MATCH(Z197,$A:$A,0)-1,O198)</f>
        <v>1</v>
      </c>
      <c r="Q198" s="141" t="s">
        <v>29</v>
      </c>
      <c r="R198" s="142">
        <f t="shared" ref="R198:R203" ca="1" si="50">T198</f>
        <v>467217</v>
      </c>
      <c r="S198" s="142">
        <f t="shared" ref="S198:S203" ca="1" si="51">U198</f>
        <v>467217</v>
      </c>
      <c r="T198" s="142">
        <f ca="1">기술사</f>
        <v>467217</v>
      </c>
      <c r="U198" s="142">
        <f t="shared" ref="U198:U203" ca="1" si="52">ROUNDDOWN(P198*R198,0)</f>
        <v>467217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>
        <f ca="1">OFFSET($A$1,MATCH(Z197,$A:$A,0)-1,O199)</f>
        <v>1.1000000000000001</v>
      </c>
      <c r="Q199" s="144" t="s">
        <v>29</v>
      </c>
      <c r="R199" s="118">
        <f t="shared" ca="1" si="50"/>
        <v>373353</v>
      </c>
      <c r="S199" s="118">
        <f t="shared" ca="1" si="51"/>
        <v>410688</v>
      </c>
      <c r="T199" s="118">
        <f ca="1">특급</f>
        <v>373353</v>
      </c>
      <c r="U199" s="118">
        <f t="shared" ca="1" si="52"/>
        <v>410688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>
        <f ca="1">OFFSET($A$1,MATCH(Z197,$A:$A,0)-1,O200)</f>
        <v>1.5</v>
      </c>
      <c r="Q200" s="144" t="s">
        <v>29</v>
      </c>
      <c r="R200" s="118">
        <f t="shared" ca="1" si="50"/>
        <v>310884</v>
      </c>
      <c r="S200" s="118">
        <f t="shared" ca="1" si="51"/>
        <v>466326</v>
      </c>
      <c r="T200" s="118">
        <f ca="1">고급</f>
        <v>310884</v>
      </c>
      <c r="U200" s="118">
        <f t="shared" ca="1" si="52"/>
        <v>466326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>
        <f ca="1">OFFSET($A$1,MATCH(Z197,$A:$A,0)-1,O201)</f>
        <v>1.9</v>
      </c>
      <c r="Q201" s="144" t="s">
        <v>29</v>
      </c>
      <c r="R201" s="118">
        <f t="shared" ca="1" si="50"/>
        <v>295138</v>
      </c>
      <c r="S201" s="118">
        <f t="shared" ca="1" si="51"/>
        <v>560762</v>
      </c>
      <c r="T201" s="118">
        <f ca="1">중급</f>
        <v>295138</v>
      </c>
      <c r="U201" s="118">
        <f t="shared" ca="1" si="52"/>
        <v>560762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>
        <f ca="1">OFFSET($A$1,MATCH(Z197,$A:$A,0)-1,O202)</f>
        <v>2.2000000000000002</v>
      </c>
      <c r="Q202" s="144" t="s">
        <v>29</v>
      </c>
      <c r="R202" s="118">
        <f t="shared" ca="1" si="50"/>
        <v>235459</v>
      </c>
      <c r="S202" s="118">
        <f t="shared" ca="1" si="51"/>
        <v>518009</v>
      </c>
      <c r="T202" s="118">
        <f ca="1">초급</f>
        <v>235459</v>
      </c>
      <c r="U202" s="118">
        <f t="shared" ca="1" si="52"/>
        <v>518009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>
        <f ca="1">OFFSET($A$1,MATCH(Z197,$A:$A,0)-1,O203)</f>
        <v>2.6</v>
      </c>
      <c r="Q203" s="322" t="s">
        <v>29</v>
      </c>
      <c r="R203" s="323">
        <f t="shared" ca="1" si="50"/>
        <v>250087</v>
      </c>
      <c r="S203" s="323">
        <f t="shared" ca="1" si="51"/>
        <v>650226</v>
      </c>
      <c r="T203" s="323">
        <f ca="1">보조원</f>
        <v>250087</v>
      </c>
      <c r="U203" s="323">
        <f t="shared" ca="1" si="52"/>
        <v>650226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>
        <f ca="1">SUBTOTAL(9,S198:S203)</f>
        <v>3073228</v>
      </c>
      <c r="T204" s="71"/>
      <c r="U204" s="71">
        <f ca="1">SUBTOTAL(9,U198:U203)</f>
        <v>3073228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str">
        <f ca="1">"제 " &amp; Z205 &amp; " 호표  "&amp; OFFSET($A$1,MATCH(Z205,$A:$A,0)-1,1)</f>
        <v>제 19 호표  6.1. 보고서작성 및 편집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19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>
        <f ca="1">OFFSET($A$1,MATCH(Z205,$A:$A,0)-1,O206)</f>
        <v>0.6</v>
      </c>
      <c r="Q206" s="141" t="s">
        <v>29</v>
      </c>
      <c r="R206" s="142">
        <f t="shared" ref="R206:R211" ca="1" si="53">T206</f>
        <v>467217</v>
      </c>
      <c r="S206" s="142">
        <f t="shared" ref="S206:S211" ca="1" si="54">U206</f>
        <v>280330</v>
      </c>
      <c r="T206" s="142">
        <f ca="1">기술사</f>
        <v>467217</v>
      </c>
      <c r="U206" s="142">
        <f t="shared" ref="U206:U211" ca="1" si="55">ROUNDDOWN(P206*R206,0)</f>
        <v>280330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>
        <f ca="1">OFFSET($A$1,MATCH(Z205,$A:$A,0)-1,O207)</f>
        <v>1</v>
      </c>
      <c r="Q207" s="144" t="s">
        <v>29</v>
      </c>
      <c r="R207" s="118">
        <f t="shared" ca="1" si="53"/>
        <v>373353</v>
      </c>
      <c r="S207" s="118">
        <f t="shared" ca="1" si="54"/>
        <v>373353</v>
      </c>
      <c r="T207" s="118">
        <f ca="1">특급</f>
        <v>373353</v>
      </c>
      <c r="U207" s="118">
        <f t="shared" ca="1" si="55"/>
        <v>373353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>
        <f ca="1">OFFSET($A$1,MATCH(Z205,$A:$A,0)-1,O208)</f>
        <v>2.2999999999999998</v>
      </c>
      <c r="Q208" s="144" t="s">
        <v>29</v>
      </c>
      <c r="R208" s="118">
        <f t="shared" ca="1" si="53"/>
        <v>310884</v>
      </c>
      <c r="S208" s="118">
        <f t="shared" ca="1" si="54"/>
        <v>715033</v>
      </c>
      <c r="T208" s="118">
        <f ca="1">고급</f>
        <v>310884</v>
      </c>
      <c r="U208" s="118">
        <f t="shared" ca="1" si="55"/>
        <v>715033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>
        <f ca="1">OFFSET($A$1,MATCH(Z205,$A:$A,0)-1,O209)</f>
        <v>41</v>
      </c>
      <c r="Q209" s="144" t="s">
        <v>29</v>
      </c>
      <c r="R209" s="118">
        <f t="shared" ca="1" si="53"/>
        <v>295138</v>
      </c>
      <c r="S209" s="118">
        <f t="shared" ca="1" si="54"/>
        <v>12100658</v>
      </c>
      <c r="T209" s="118">
        <f ca="1">중급</f>
        <v>295138</v>
      </c>
      <c r="U209" s="118">
        <f t="shared" ca="1" si="55"/>
        <v>12100658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>
        <f ca="1">OFFSET($A$1,MATCH(Z205,$A:$A,0)-1,O210)</f>
        <v>4.5</v>
      </c>
      <c r="Q210" s="144" t="s">
        <v>29</v>
      </c>
      <c r="R210" s="118">
        <f t="shared" ca="1" si="53"/>
        <v>235459</v>
      </c>
      <c r="S210" s="118">
        <f t="shared" ca="1" si="54"/>
        <v>1059565</v>
      </c>
      <c r="T210" s="118">
        <f ca="1">초급</f>
        <v>235459</v>
      </c>
      <c r="U210" s="118">
        <f t="shared" ca="1" si="55"/>
        <v>1059565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>
        <f ca="1">OFFSET($A$1,MATCH(Z205,$A:$A,0)-1,O211)</f>
        <v>4.9000000000000004</v>
      </c>
      <c r="Q211" s="322" t="s">
        <v>29</v>
      </c>
      <c r="R211" s="323">
        <f t="shared" ca="1" si="53"/>
        <v>250087</v>
      </c>
      <c r="S211" s="323">
        <f t="shared" ca="1" si="54"/>
        <v>1225426</v>
      </c>
      <c r="T211" s="323">
        <f ca="1">보조원</f>
        <v>250087</v>
      </c>
      <c r="U211" s="323">
        <f t="shared" ca="1" si="55"/>
        <v>1225426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>
        <f ca="1">SUBTOTAL(9,S206:S211)</f>
        <v>15754365</v>
      </c>
      <c r="T212" s="71"/>
      <c r="U212" s="71">
        <f ca="1">SUBTOTAL(9,U206:U211)</f>
        <v>15754365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318" t="str">
        <f ca="1">"제 " &amp; Z213 &amp; " 호표  "&amp; OFFSET($A$1,MATCH(Z213,$A:$A,0)-1,1)</f>
        <v>제 20 호표  6.2. 관련도서작성</v>
      </c>
      <c r="O213" s="221"/>
      <c r="P213" s="148"/>
      <c r="Q213" s="148"/>
      <c r="R213" s="149"/>
      <c r="S213" s="149"/>
      <c r="T213" s="149"/>
      <c r="U213" s="149"/>
      <c r="V213" s="149"/>
      <c r="W213" s="149"/>
      <c r="X213" s="149"/>
      <c r="Y213" s="149"/>
      <c r="Z213" s="325">
        <f>Z205+1</f>
        <v>20</v>
      </c>
    </row>
    <row r="214" spans="11:26" ht="18" customHeight="1">
      <c r="K214" s="171" t="s">
        <v>14</v>
      </c>
      <c r="L214" s="171"/>
      <c r="M214" s="171"/>
      <c r="N214" s="140" t="s">
        <v>43</v>
      </c>
      <c r="O214" s="172">
        <v>3</v>
      </c>
      <c r="P214" s="219">
        <f ca="1">OFFSET($A$1,MATCH(Z213,$A:$A,0)-1,O214)</f>
        <v>0.2</v>
      </c>
      <c r="Q214" s="141" t="s">
        <v>29</v>
      </c>
      <c r="R214" s="142">
        <f t="shared" ref="R214:R219" ca="1" si="56">T214</f>
        <v>467217</v>
      </c>
      <c r="S214" s="142">
        <f t="shared" ref="S214:S219" ca="1" si="57">U214</f>
        <v>93443</v>
      </c>
      <c r="T214" s="142">
        <f ca="1">기술사</f>
        <v>467217</v>
      </c>
      <c r="U214" s="142">
        <f t="shared" ref="U214:U219" ca="1" si="58">ROUNDDOWN(P214*R214,0)</f>
        <v>93443</v>
      </c>
      <c r="V214" s="142"/>
      <c r="W214" s="142"/>
      <c r="X214" s="142"/>
      <c r="Y214" s="142"/>
      <c r="Z214" s="114"/>
    </row>
    <row r="215" spans="11:26" ht="18" customHeight="1">
      <c r="K215" s="171" t="s">
        <v>14</v>
      </c>
      <c r="L215" s="171"/>
      <c r="M215" s="171"/>
      <c r="N215" s="143" t="s">
        <v>32</v>
      </c>
      <c r="O215" s="173">
        <v>4</v>
      </c>
      <c r="P215" s="234">
        <f ca="1">OFFSET($A$1,MATCH(Z213,$A:$A,0)-1,O215)</f>
        <v>0.4</v>
      </c>
      <c r="Q215" s="144" t="s">
        <v>29</v>
      </c>
      <c r="R215" s="118">
        <f t="shared" ca="1" si="56"/>
        <v>373353</v>
      </c>
      <c r="S215" s="118">
        <f t="shared" ca="1" si="57"/>
        <v>149341</v>
      </c>
      <c r="T215" s="118">
        <f ca="1">특급</f>
        <v>373353</v>
      </c>
      <c r="U215" s="118">
        <f t="shared" ca="1" si="58"/>
        <v>149341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39</v>
      </c>
      <c r="O216" s="173">
        <v>5</v>
      </c>
      <c r="P216" s="234">
        <f ca="1">OFFSET($A$1,MATCH(Z213,$A:$A,0)-1,O216)</f>
        <v>0.7</v>
      </c>
      <c r="Q216" s="144" t="s">
        <v>29</v>
      </c>
      <c r="R216" s="118">
        <f t="shared" ca="1" si="56"/>
        <v>310884</v>
      </c>
      <c r="S216" s="118">
        <f t="shared" ca="1" si="57"/>
        <v>217618</v>
      </c>
      <c r="T216" s="118">
        <f ca="1">고급</f>
        <v>310884</v>
      </c>
      <c r="U216" s="118">
        <f t="shared" ca="1" si="58"/>
        <v>217618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40</v>
      </c>
      <c r="O217" s="173">
        <v>6</v>
      </c>
      <c r="P217" s="234">
        <f ca="1">OFFSET($A$1,MATCH(Z213,$A:$A,0)-1,O217)</f>
        <v>1.4</v>
      </c>
      <c r="Q217" s="144" t="s">
        <v>29</v>
      </c>
      <c r="R217" s="118">
        <f t="shared" ca="1" si="56"/>
        <v>295138</v>
      </c>
      <c r="S217" s="118">
        <f t="shared" ca="1" si="57"/>
        <v>413193</v>
      </c>
      <c r="T217" s="118">
        <f ca="1">중급</f>
        <v>295138</v>
      </c>
      <c r="U217" s="118">
        <f t="shared" ca="1" si="58"/>
        <v>413193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145" t="s">
        <v>41</v>
      </c>
      <c r="O218" s="173">
        <v>7</v>
      </c>
      <c r="P218" s="234">
        <f ca="1">OFFSET($A$1,MATCH(Z213,$A:$A,0)-1,O218)</f>
        <v>1.5</v>
      </c>
      <c r="Q218" s="144" t="s">
        <v>29</v>
      </c>
      <c r="R218" s="118">
        <f t="shared" ca="1" si="56"/>
        <v>235459</v>
      </c>
      <c r="S218" s="118">
        <f t="shared" ca="1" si="57"/>
        <v>353188</v>
      </c>
      <c r="T218" s="118">
        <f ca="1">초급</f>
        <v>235459</v>
      </c>
      <c r="U218" s="118">
        <f t="shared" ca="1" si="58"/>
        <v>353188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319" t="s">
        <v>42</v>
      </c>
      <c r="O219" s="174">
        <v>8</v>
      </c>
      <c r="P219" s="235">
        <f ca="1">OFFSET($A$1,MATCH(Z213,$A:$A,0)-1,O219)</f>
        <v>1.6</v>
      </c>
      <c r="Q219" s="322" t="s">
        <v>29</v>
      </c>
      <c r="R219" s="323">
        <f t="shared" ca="1" si="56"/>
        <v>250087</v>
      </c>
      <c r="S219" s="323">
        <f t="shared" ca="1" si="57"/>
        <v>400139</v>
      </c>
      <c r="T219" s="323">
        <f ca="1">보조원</f>
        <v>250087</v>
      </c>
      <c r="U219" s="323">
        <f t="shared" ca="1" si="58"/>
        <v>400139</v>
      </c>
      <c r="V219" s="323"/>
      <c r="W219" s="323"/>
      <c r="X219" s="323"/>
      <c r="Y219" s="323"/>
      <c r="Z219" s="324"/>
    </row>
    <row r="220" spans="11:26" ht="18" customHeight="1">
      <c r="K220" s="171" t="s">
        <v>14</v>
      </c>
      <c r="L220" s="171"/>
      <c r="M220" s="171"/>
      <c r="N220" s="139" t="s">
        <v>17</v>
      </c>
      <c r="O220" s="68"/>
      <c r="P220" s="69"/>
      <c r="Q220" s="70"/>
      <c r="R220" s="71"/>
      <c r="S220" s="71">
        <f ca="1">SUBTOTAL(9,S214:S219)</f>
        <v>1626922</v>
      </c>
      <c r="T220" s="71"/>
      <c r="U220" s="71">
        <f ca="1">SUBTOTAL(9,U214:U219)</f>
        <v>1626922</v>
      </c>
      <c r="V220" s="71"/>
      <c r="W220" s="71"/>
      <c r="X220" s="71"/>
      <c r="Y220" s="71"/>
      <c r="Z220" s="68"/>
    </row>
    <row r="221" spans="11:26" ht="18" customHeight="1">
      <c r="K221" s="171" t="s">
        <v>14</v>
      </c>
      <c r="L221" s="171"/>
      <c r="M221" s="171"/>
      <c r="N221" s="318" t="str">
        <f ca="1">"제 " &amp; Z221 &amp; " 호표  "&amp; OFFSET($A$1,MATCH(Z221,$A:$A,0)-1,1)</f>
        <v>제 21 호표  7.1. 공청회/주민설명회</v>
      </c>
      <c r="O221" s="221"/>
      <c r="P221" s="148"/>
      <c r="Q221" s="148"/>
      <c r="R221" s="149"/>
      <c r="S221" s="149"/>
      <c r="T221" s="149"/>
      <c r="U221" s="149"/>
      <c r="V221" s="149"/>
      <c r="W221" s="149"/>
      <c r="X221" s="149"/>
      <c r="Y221" s="149"/>
      <c r="Z221" s="325">
        <f>Z213+1</f>
        <v>21</v>
      </c>
    </row>
    <row r="222" spans="11:26" ht="18" customHeight="1">
      <c r="K222" s="171" t="s">
        <v>14</v>
      </c>
      <c r="L222" s="171"/>
      <c r="M222" s="171"/>
      <c r="N222" s="140" t="s">
        <v>43</v>
      </c>
      <c r="O222" s="172">
        <v>3</v>
      </c>
      <c r="P222" s="219">
        <f ca="1">OFFSET($A$1,MATCH(Z221,$A:$A,0)-1,O222)</f>
        <v>2</v>
      </c>
      <c r="Q222" s="141" t="s">
        <v>29</v>
      </c>
      <c r="R222" s="142">
        <f t="shared" ref="R222:R227" ca="1" si="59">T222</f>
        <v>467217</v>
      </c>
      <c r="S222" s="142">
        <f t="shared" ref="S222:S227" ca="1" si="60">U222</f>
        <v>934434</v>
      </c>
      <c r="T222" s="142">
        <f ca="1">기술사</f>
        <v>467217</v>
      </c>
      <c r="U222" s="142">
        <f t="shared" ref="U222:U227" ca="1" si="61">ROUNDDOWN(P222*R222,0)</f>
        <v>934434</v>
      </c>
      <c r="V222" s="142"/>
      <c r="W222" s="142"/>
      <c r="X222" s="142"/>
      <c r="Y222" s="142"/>
      <c r="Z222" s="114"/>
    </row>
    <row r="223" spans="11:26" ht="18" customHeight="1">
      <c r="K223" s="171" t="s">
        <v>14</v>
      </c>
      <c r="L223" s="171"/>
      <c r="M223" s="171"/>
      <c r="N223" s="143" t="s">
        <v>32</v>
      </c>
      <c r="O223" s="173">
        <v>4</v>
      </c>
      <c r="P223" s="234">
        <f ca="1">OFFSET($A$1,MATCH(Z221,$A:$A,0)-1,O223)</f>
        <v>2</v>
      </c>
      <c r="Q223" s="144" t="s">
        <v>29</v>
      </c>
      <c r="R223" s="118">
        <f t="shared" ca="1" si="59"/>
        <v>373353</v>
      </c>
      <c r="S223" s="118">
        <f t="shared" ca="1" si="60"/>
        <v>746706</v>
      </c>
      <c r="T223" s="118">
        <f ca="1">특급</f>
        <v>373353</v>
      </c>
      <c r="U223" s="118">
        <f t="shared" ca="1" si="61"/>
        <v>746706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39</v>
      </c>
      <c r="O224" s="173">
        <v>5</v>
      </c>
      <c r="P224" s="234">
        <f ca="1">OFFSET($A$1,MATCH(Z221,$A:$A,0)-1,O224)</f>
        <v>2</v>
      </c>
      <c r="Q224" s="144" t="s">
        <v>29</v>
      </c>
      <c r="R224" s="118">
        <f t="shared" ca="1" si="59"/>
        <v>310884</v>
      </c>
      <c r="S224" s="118">
        <f t="shared" ca="1" si="60"/>
        <v>621768</v>
      </c>
      <c r="T224" s="118">
        <f ca="1">고급</f>
        <v>310884</v>
      </c>
      <c r="U224" s="118">
        <f t="shared" ca="1" si="61"/>
        <v>621768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40</v>
      </c>
      <c r="O225" s="173">
        <v>6</v>
      </c>
      <c r="P225" s="234">
        <f ca="1">OFFSET($A$1,MATCH(Z221,$A:$A,0)-1,O225)</f>
        <v>4</v>
      </c>
      <c r="Q225" s="144" t="s">
        <v>29</v>
      </c>
      <c r="R225" s="118">
        <f t="shared" ca="1" si="59"/>
        <v>295138</v>
      </c>
      <c r="S225" s="118">
        <f t="shared" ca="1" si="60"/>
        <v>1180552</v>
      </c>
      <c r="T225" s="118">
        <f ca="1">중급</f>
        <v>295138</v>
      </c>
      <c r="U225" s="118">
        <f t="shared" ca="1" si="61"/>
        <v>1180552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145" t="s">
        <v>41</v>
      </c>
      <c r="O226" s="173">
        <v>7</v>
      </c>
      <c r="P226" s="234">
        <f ca="1">OFFSET($A$1,MATCH(Z221,$A:$A,0)-1,O226)</f>
        <v>4</v>
      </c>
      <c r="Q226" s="144" t="s">
        <v>29</v>
      </c>
      <c r="R226" s="118">
        <f t="shared" ca="1" si="59"/>
        <v>235459</v>
      </c>
      <c r="S226" s="118">
        <f t="shared" ca="1" si="60"/>
        <v>941836</v>
      </c>
      <c r="T226" s="118">
        <f ca="1">초급</f>
        <v>235459</v>
      </c>
      <c r="U226" s="118">
        <f t="shared" ca="1" si="61"/>
        <v>941836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319" t="s">
        <v>42</v>
      </c>
      <c r="O227" s="174">
        <v>8</v>
      </c>
      <c r="P227" s="235">
        <f ca="1">OFFSET($A$1,MATCH(Z221,$A:$A,0)-1,O227)</f>
        <v>4</v>
      </c>
      <c r="Q227" s="322" t="s">
        <v>29</v>
      </c>
      <c r="R227" s="323">
        <f t="shared" ca="1" si="59"/>
        <v>250087</v>
      </c>
      <c r="S227" s="323">
        <f t="shared" ca="1" si="60"/>
        <v>1000348</v>
      </c>
      <c r="T227" s="323">
        <f ca="1">보조원</f>
        <v>250087</v>
      </c>
      <c r="U227" s="323">
        <f t="shared" ca="1" si="61"/>
        <v>1000348</v>
      </c>
      <c r="V227" s="323"/>
      <c r="W227" s="323"/>
      <c r="X227" s="323"/>
      <c r="Y227" s="323"/>
      <c r="Z227" s="324"/>
    </row>
    <row r="228" spans="11:26" ht="18" customHeight="1">
      <c r="K228" s="171" t="s">
        <v>14</v>
      </c>
      <c r="L228" s="171"/>
      <c r="M228" s="171"/>
      <c r="N228" s="139" t="s">
        <v>17</v>
      </c>
      <c r="O228" s="68"/>
      <c r="P228" s="69"/>
      <c r="Q228" s="70"/>
      <c r="R228" s="71"/>
      <c r="S228" s="71">
        <f ca="1">SUBTOTAL(9,S222:S227)</f>
        <v>5425644</v>
      </c>
      <c r="T228" s="71"/>
      <c r="U228" s="71">
        <f ca="1">SUBTOTAL(9,U222:U227)</f>
        <v>5425644</v>
      </c>
      <c r="V228" s="71"/>
      <c r="W228" s="71"/>
      <c r="X228" s="71"/>
      <c r="Y228" s="71"/>
      <c r="Z228" s="68"/>
    </row>
    <row r="229" spans="11:26" ht="18" customHeight="1">
      <c r="K229" s="171" t="s">
        <v>14</v>
      </c>
      <c r="L229" s="171"/>
      <c r="M229" s="171"/>
      <c r="N229" s="318" t="str">
        <f ca="1">"제 " &amp; Z229 &amp; " 호표  "&amp; OFFSET($A$1,MATCH(Z229,$A:$A,0)-1,1)</f>
        <v>제 22 호표  7.2. 주민간담회/시민계획단</v>
      </c>
      <c r="O229" s="221"/>
      <c r="P229" s="148"/>
      <c r="Q229" s="148"/>
      <c r="R229" s="149"/>
      <c r="S229" s="149"/>
      <c r="T229" s="149"/>
      <c r="U229" s="149"/>
      <c r="V229" s="149"/>
      <c r="W229" s="149"/>
      <c r="X229" s="149"/>
      <c r="Y229" s="149"/>
      <c r="Z229" s="325">
        <f>Z221+1</f>
        <v>22</v>
      </c>
    </row>
    <row r="230" spans="11:26" ht="18" customHeight="1">
      <c r="K230" s="171" t="s">
        <v>14</v>
      </c>
      <c r="L230" s="171"/>
      <c r="M230" s="171"/>
      <c r="N230" s="140" t="s">
        <v>43</v>
      </c>
      <c r="O230" s="172">
        <v>3</v>
      </c>
      <c r="P230" s="219">
        <f ca="1">OFFSET($A$1,MATCH(Z229,$A:$A,0)-1,O230)</f>
        <v>2</v>
      </c>
      <c r="Q230" s="141" t="s">
        <v>29</v>
      </c>
      <c r="R230" s="142">
        <f t="shared" ref="R230:R235" ca="1" si="62">T230</f>
        <v>467217</v>
      </c>
      <c r="S230" s="142">
        <f t="shared" ref="S230:S235" ca="1" si="63">U230</f>
        <v>934434</v>
      </c>
      <c r="T230" s="142">
        <f ca="1">기술사</f>
        <v>467217</v>
      </c>
      <c r="U230" s="142">
        <f t="shared" ref="U230:U235" ca="1" si="64">ROUNDDOWN(P230*R230,0)</f>
        <v>934434</v>
      </c>
      <c r="V230" s="142"/>
      <c r="W230" s="142"/>
      <c r="X230" s="142"/>
      <c r="Y230" s="142"/>
      <c r="Z230" s="114"/>
    </row>
    <row r="231" spans="11:26" ht="18" customHeight="1">
      <c r="K231" s="171" t="s">
        <v>14</v>
      </c>
      <c r="L231" s="171"/>
      <c r="M231" s="171"/>
      <c r="N231" s="143" t="s">
        <v>32</v>
      </c>
      <c r="O231" s="173">
        <v>4</v>
      </c>
      <c r="P231" s="234">
        <f ca="1">OFFSET($A$1,MATCH(Z229,$A:$A,0)-1,O231)</f>
        <v>2</v>
      </c>
      <c r="Q231" s="144" t="s">
        <v>29</v>
      </c>
      <c r="R231" s="118">
        <f t="shared" ca="1" si="62"/>
        <v>373353</v>
      </c>
      <c r="S231" s="118">
        <f t="shared" ca="1" si="63"/>
        <v>746706</v>
      </c>
      <c r="T231" s="118">
        <f ca="1">특급</f>
        <v>373353</v>
      </c>
      <c r="U231" s="118">
        <f t="shared" ca="1" si="64"/>
        <v>746706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39</v>
      </c>
      <c r="O232" s="173">
        <v>5</v>
      </c>
      <c r="P232" s="234">
        <f ca="1">OFFSET($A$1,MATCH(Z229,$A:$A,0)-1,O232)</f>
        <v>2</v>
      </c>
      <c r="Q232" s="144" t="s">
        <v>29</v>
      </c>
      <c r="R232" s="118">
        <f t="shared" ca="1" si="62"/>
        <v>310884</v>
      </c>
      <c r="S232" s="118">
        <f t="shared" ca="1" si="63"/>
        <v>621768</v>
      </c>
      <c r="T232" s="118">
        <f ca="1">고급</f>
        <v>310884</v>
      </c>
      <c r="U232" s="118">
        <f t="shared" ca="1" si="64"/>
        <v>621768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40</v>
      </c>
      <c r="O233" s="173">
        <v>6</v>
      </c>
      <c r="P233" s="234">
        <f ca="1">OFFSET($A$1,MATCH(Z229,$A:$A,0)-1,O233)</f>
        <v>4</v>
      </c>
      <c r="Q233" s="144" t="s">
        <v>29</v>
      </c>
      <c r="R233" s="118">
        <f t="shared" ca="1" si="62"/>
        <v>295138</v>
      </c>
      <c r="S233" s="118">
        <f t="shared" ca="1" si="63"/>
        <v>1180552</v>
      </c>
      <c r="T233" s="118">
        <f ca="1">중급</f>
        <v>295138</v>
      </c>
      <c r="U233" s="118">
        <f t="shared" ca="1" si="64"/>
        <v>1180552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145" t="s">
        <v>41</v>
      </c>
      <c r="O234" s="173">
        <v>7</v>
      </c>
      <c r="P234" s="234">
        <f ca="1">OFFSET($A$1,MATCH(Z229,$A:$A,0)-1,O234)</f>
        <v>4</v>
      </c>
      <c r="Q234" s="144" t="s">
        <v>29</v>
      </c>
      <c r="R234" s="118">
        <f t="shared" ca="1" si="62"/>
        <v>235459</v>
      </c>
      <c r="S234" s="118">
        <f t="shared" ca="1" si="63"/>
        <v>941836</v>
      </c>
      <c r="T234" s="118">
        <f ca="1">초급</f>
        <v>235459</v>
      </c>
      <c r="U234" s="118">
        <f t="shared" ca="1" si="64"/>
        <v>941836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319" t="s">
        <v>42</v>
      </c>
      <c r="O235" s="174">
        <v>8</v>
      </c>
      <c r="P235" s="235">
        <f ca="1">OFFSET($A$1,MATCH(Z229,$A:$A,0)-1,O235)</f>
        <v>4</v>
      </c>
      <c r="Q235" s="322" t="s">
        <v>29</v>
      </c>
      <c r="R235" s="323">
        <f t="shared" ca="1" si="62"/>
        <v>250087</v>
      </c>
      <c r="S235" s="323">
        <f t="shared" ca="1" si="63"/>
        <v>1000348</v>
      </c>
      <c r="T235" s="323">
        <f ca="1">보조원</f>
        <v>250087</v>
      </c>
      <c r="U235" s="323">
        <f t="shared" ca="1" si="64"/>
        <v>1000348</v>
      </c>
      <c r="V235" s="323"/>
      <c r="W235" s="323"/>
      <c r="X235" s="323"/>
      <c r="Y235" s="323"/>
      <c r="Z235" s="324"/>
    </row>
    <row r="236" spans="11:26" ht="18" customHeight="1">
      <c r="K236" s="171" t="s">
        <v>14</v>
      </c>
      <c r="L236" s="171"/>
      <c r="M236" s="171"/>
      <c r="N236" s="139" t="s">
        <v>17</v>
      </c>
      <c r="O236" s="68"/>
      <c r="P236" s="69"/>
      <c r="Q236" s="70"/>
      <c r="R236" s="71"/>
      <c r="S236" s="71">
        <f ca="1">SUBTOTAL(9,S230:S235)</f>
        <v>5425644</v>
      </c>
      <c r="T236" s="71"/>
      <c r="U236" s="71">
        <f ca="1">SUBTOTAL(9,U230:U235)</f>
        <v>5425644</v>
      </c>
      <c r="V236" s="71"/>
      <c r="W236" s="71"/>
      <c r="X236" s="71"/>
      <c r="Y236" s="71"/>
      <c r="Z236" s="68"/>
    </row>
    <row r="237" spans="11:26" ht="18" customHeight="1">
      <c r="K237" s="171" t="s">
        <v>14</v>
      </c>
      <c r="L237" s="171"/>
      <c r="M237" s="171"/>
      <c r="N237" s="318" t="str">
        <f ca="1">"제 " &amp; Z237 &amp; " 호표  "&amp; OFFSET($A$1,MATCH(Z237,$A:$A,0)-1,1)</f>
        <v>제 23 호표  7.3. 위원회심의 지원</v>
      </c>
      <c r="O237" s="221"/>
      <c r="P237" s="148"/>
      <c r="Q237" s="148"/>
      <c r="R237" s="149"/>
      <c r="S237" s="149"/>
      <c r="T237" s="149"/>
      <c r="U237" s="149"/>
      <c r="V237" s="149"/>
      <c r="W237" s="149"/>
      <c r="X237" s="149"/>
      <c r="Y237" s="149"/>
      <c r="Z237" s="325">
        <f>Z229+1</f>
        <v>23</v>
      </c>
    </row>
    <row r="238" spans="11:26" ht="18" customHeight="1">
      <c r="K238" s="171" t="s">
        <v>14</v>
      </c>
      <c r="L238" s="171"/>
      <c r="M238" s="171"/>
      <c r="N238" s="140" t="s">
        <v>43</v>
      </c>
      <c r="O238" s="172">
        <v>3</v>
      </c>
      <c r="P238" s="219">
        <f ca="1">OFFSET($A$1,MATCH(Z237,$A:$A,0)-1,O238)</f>
        <v>2</v>
      </c>
      <c r="Q238" s="141" t="s">
        <v>29</v>
      </c>
      <c r="R238" s="142">
        <f t="shared" ref="R238:R243" ca="1" si="65">T238</f>
        <v>467217</v>
      </c>
      <c r="S238" s="142">
        <f t="shared" ref="S238:S243" ca="1" si="66">U238</f>
        <v>934434</v>
      </c>
      <c r="T238" s="142">
        <f ca="1">기술사</f>
        <v>467217</v>
      </c>
      <c r="U238" s="142">
        <f t="shared" ref="U238:U243" ca="1" si="67">ROUNDDOWN(P238*R238,0)</f>
        <v>934434</v>
      </c>
      <c r="V238" s="142"/>
      <c r="W238" s="142"/>
      <c r="X238" s="142"/>
      <c r="Y238" s="142"/>
      <c r="Z238" s="114"/>
    </row>
    <row r="239" spans="11:26" ht="18" customHeight="1">
      <c r="K239" s="171" t="s">
        <v>14</v>
      </c>
      <c r="L239" s="171"/>
      <c r="M239" s="171"/>
      <c r="N239" s="143" t="s">
        <v>32</v>
      </c>
      <c r="O239" s="173">
        <v>4</v>
      </c>
      <c r="P239" s="234">
        <f ca="1">OFFSET($A$1,MATCH(Z237,$A:$A,0)-1,O239)</f>
        <v>2</v>
      </c>
      <c r="Q239" s="144" t="s">
        <v>29</v>
      </c>
      <c r="R239" s="118">
        <f t="shared" ca="1" si="65"/>
        <v>373353</v>
      </c>
      <c r="S239" s="118">
        <f t="shared" ca="1" si="66"/>
        <v>746706</v>
      </c>
      <c r="T239" s="118">
        <f ca="1">특급</f>
        <v>373353</v>
      </c>
      <c r="U239" s="118">
        <f t="shared" ca="1" si="67"/>
        <v>746706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39</v>
      </c>
      <c r="O240" s="173">
        <v>5</v>
      </c>
      <c r="P240" s="234">
        <f ca="1">OFFSET($A$1,MATCH(Z237,$A:$A,0)-1,O240)</f>
        <v>2</v>
      </c>
      <c r="Q240" s="144" t="s">
        <v>29</v>
      </c>
      <c r="R240" s="118">
        <f t="shared" ca="1" si="65"/>
        <v>310884</v>
      </c>
      <c r="S240" s="118">
        <f t="shared" ca="1" si="66"/>
        <v>621768</v>
      </c>
      <c r="T240" s="118">
        <f ca="1">고급</f>
        <v>310884</v>
      </c>
      <c r="U240" s="118">
        <f t="shared" ca="1" si="67"/>
        <v>621768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40</v>
      </c>
      <c r="O241" s="173">
        <v>6</v>
      </c>
      <c r="P241" s="234">
        <f ca="1">OFFSET($A$1,MATCH(Z237,$A:$A,0)-1,O241)</f>
        <v>4</v>
      </c>
      <c r="Q241" s="144" t="s">
        <v>29</v>
      </c>
      <c r="R241" s="118">
        <f t="shared" ca="1" si="65"/>
        <v>295138</v>
      </c>
      <c r="S241" s="118">
        <f t="shared" ca="1" si="66"/>
        <v>1180552</v>
      </c>
      <c r="T241" s="118">
        <f ca="1">중급</f>
        <v>295138</v>
      </c>
      <c r="U241" s="118">
        <f t="shared" ca="1" si="67"/>
        <v>1180552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145" t="s">
        <v>41</v>
      </c>
      <c r="O242" s="173">
        <v>7</v>
      </c>
      <c r="P242" s="234">
        <f ca="1">OFFSET($A$1,MATCH(Z237,$A:$A,0)-1,O242)</f>
        <v>4</v>
      </c>
      <c r="Q242" s="144" t="s">
        <v>29</v>
      </c>
      <c r="R242" s="118">
        <f t="shared" ca="1" si="65"/>
        <v>235459</v>
      </c>
      <c r="S242" s="118">
        <f t="shared" ca="1" si="66"/>
        <v>941836</v>
      </c>
      <c r="T242" s="118">
        <f ca="1">초급</f>
        <v>235459</v>
      </c>
      <c r="U242" s="118">
        <f t="shared" ca="1" si="67"/>
        <v>941836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319" t="s">
        <v>42</v>
      </c>
      <c r="O243" s="174">
        <v>8</v>
      </c>
      <c r="P243" s="235">
        <f ca="1">OFFSET($A$1,MATCH(Z237,$A:$A,0)-1,O243)</f>
        <v>4</v>
      </c>
      <c r="Q243" s="322" t="s">
        <v>29</v>
      </c>
      <c r="R243" s="323">
        <f t="shared" ca="1" si="65"/>
        <v>250087</v>
      </c>
      <c r="S243" s="323">
        <f t="shared" ca="1" si="66"/>
        <v>1000348</v>
      </c>
      <c r="T243" s="323">
        <f ca="1">보조원</f>
        <v>250087</v>
      </c>
      <c r="U243" s="323">
        <f t="shared" ca="1" si="67"/>
        <v>1000348</v>
      </c>
      <c r="V243" s="323"/>
      <c r="W243" s="323"/>
      <c r="X243" s="323"/>
      <c r="Y243" s="323"/>
      <c r="Z243" s="324"/>
    </row>
    <row r="244" spans="11:26" ht="18" customHeight="1">
      <c r="K244" s="171" t="s">
        <v>14</v>
      </c>
      <c r="L244" s="171"/>
      <c r="M244" s="171"/>
      <c r="N244" s="139" t="s">
        <v>17</v>
      </c>
      <c r="O244" s="68"/>
      <c r="P244" s="69"/>
      <c r="Q244" s="70"/>
      <c r="R244" s="71"/>
      <c r="S244" s="71">
        <f ca="1">SUBTOTAL(9,S238:S243)</f>
        <v>5425644</v>
      </c>
      <c r="T244" s="71"/>
      <c r="U244" s="71">
        <f ca="1">SUBTOTAL(9,U238:U243)</f>
        <v>5425644</v>
      </c>
      <c r="V244" s="71"/>
      <c r="W244" s="71"/>
      <c r="X244" s="71"/>
      <c r="Y244" s="71"/>
      <c r="Z244" s="68"/>
    </row>
    <row r="245" spans="11:26" ht="18" customHeight="1">
      <c r="K245" s="171" t="s">
        <v>14</v>
      </c>
      <c r="L245" s="171"/>
      <c r="M245" s="171"/>
      <c r="N245" s="318" t="str">
        <f ca="1">"제 " &amp; Z245 &amp; " 호표  "&amp; OFFSET($A$1,MATCH(Z245,$A:$A,0)-1,1)</f>
        <v>제 24 호표  7.4. 관계기관 협의</v>
      </c>
      <c r="O245" s="221"/>
      <c r="P245" s="148"/>
      <c r="Q245" s="148"/>
      <c r="R245" s="149"/>
      <c r="S245" s="149"/>
      <c r="T245" s="149"/>
      <c r="U245" s="149"/>
      <c r="V245" s="149"/>
      <c r="W245" s="149"/>
      <c r="X245" s="149"/>
      <c r="Y245" s="149"/>
      <c r="Z245" s="325">
        <f>Z237+1</f>
        <v>24</v>
      </c>
    </row>
    <row r="246" spans="11:26" ht="18" customHeight="1">
      <c r="K246" s="171" t="s">
        <v>14</v>
      </c>
      <c r="L246" s="171"/>
      <c r="M246" s="171"/>
      <c r="N246" s="140" t="s">
        <v>43</v>
      </c>
      <c r="O246" s="172">
        <v>3</v>
      </c>
      <c r="P246" s="219">
        <f ca="1">OFFSET($A$1,MATCH(Z245,$A:$A,0)-1,O246)</f>
        <v>2</v>
      </c>
      <c r="Q246" s="141" t="s">
        <v>29</v>
      </c>
      <c r="R246" s="142">
        <f t="shared" ref="R246:R251" ca="1" si="68">T246</f>
        <v>467217</v>
      </c>
      <c r="S246" s="142">
        <f t="shared" ref="S246:S251" ca="1" si="69">U246</f>
        <v>934434</v>
      </c>
      <c r="T246" s="142">
        <f ca="1">기술사</f>
        <v>467217</v>
      </c>
      <c r="U246" s="142">
        <f t="shared" ref="U246:U251" ca="1" si="70">ROUNDDOWN(P246*R246,0)</f>
        <v>934434</v>
      </c>
      <c r="V246" s="142"/>
      <c r="W246" s="142"/>
      <c r="X246" s="142"/>
      <c r="Y246" s="142"/>
      <c r="Z246" s="114"/>
    </row>
    <row r="247" spans="11:26" ht="18" customHeight="1">
      <c r="K247" s="171" t="s">
        <v>14</v>
      </c>
      <c r="L247" s="171"/>
      <c r="M247" s="171"/>
      <c r="N247" s="143" t="s">
        <v>32</v>
      </c>
      <c r="O247" s="173">
        <v>4</v>
      </c>
      <c r="P247" s="234">
        <f ca="1">OFFSET($A$1,MATCH(Z245,$A:$A,0)-1,O247)</f>
        <v>2</v>
      </c>
      <c r="Q247" s="144" t="s">
        <v>29</v>
      </c>
      <c r="R247" s="118">
        <f t="shared" ca="1" si="68"/>
        <v>373353</v>
      </c>
      <c r="S247" s="118">
        <f t="shared" ca="1" si="69"/>
        <v>746706</v>
      </c>
      <c r="T247" s="118">
        <f ca="1">특급</f>
        <v>373353</v>
      </c>
      <c r="U247" s="118">
        <f t="shared" ca="1" si="70"/>
        <v>746706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39</v>
      </c>
      <c r="O248" s="173">
        <v>5</v>
      </c>
      <c r="P248" s="234">
        <f ca="1">OFFSET($A$1,MATCH(Z245,$A:$A,0)-1,O248)</f>
        <v>2</v>
      </c>
      <c r="Q248" s="144" t="s">
        <v>29</v>
      </c>
      <c r="R248" s="118">
        <f t="shared" ca="1" si="68"/>
        <v>310884</v>
      </c>
      <c r="S248" s="118">
        <f t="shared" ca="1" si="69"/>
        <v>621768</v>
      </c>
      <c r="T248" s="118">
        <f ca="1">고급</f>
        <v>310884</v>
      </c>
      <c r="U248" s="118">
        <f t="shared" ca="1" si="70"/>
        <v>621768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145" t="s">
        <v>40</v>
      </c>
      <c r="O249" s="173">
        <v>6</v>
      </c>
      <c r="P249" s="234">
        <f ca="1">OFFSET($A$1,MATCH(Z245,$A:$A,0)-1,O249)</f>
        <v>4</v>
      </c>
      <c r="Q249" s="144" t="s">
        <v>29</v>
      </c>
      <c r="R249" s="118">
        <f t="shared" ca="1" si="68"/>
        <v>295138</v>
      </c>
      <c r="S249" s="118">
        <f t="shared" ca="1" si="69"/>
        <v>1180552</v>
      </c>
      <c r="T249" s="118">
        <f ca="1">중급</f>
        <v>295138</v>
      </c>
      <c r="U249" s="118">
        <f t="shared" ca="1" si="70"/>
        <v>1180552</v>
      </c>
      <c r="V249" s="118"/>
      <c r="W249" s="118"/>
      <c r="X249" s="118"/>
      <c r="Y249" s="118"/>
      <c r="Z249" s="115"/>
    </row>
    <row r="250" spans="11:26" ht="18" customHeight="1">
      <c r="K250" s="171" t="s">
        <v>14</v>
      </c>
      <c r="L250" s="171"/>
      <c r="M250" s="171"/>
      <c r="N250" s="145" t="s">
        <v>41</v>
      </c>
      <c r="O250" s="173">
        <v>7</v>
      </c>
      <c r="P250" s="234">
        <f ca="1">OFFSET($A$1,MATCH(Z245,$A:$A,0)-1,O250)</f>
        <v>4</v>
      </c>
      <c r="Q250" s="144" t="s">
        <v>29</v>
      </c>
      <c r="R250" s="118">
        <f t="shared" ca="1" si="68"/>
        <v>235459</v>
      </c>
      <c r="S250" s="118">
        <f t="shared" ca="1" si="69"/>
        <v>941836</v>
      </c>
      <c r="T250" s="118">
        <f ca="1">초급</f>
        <v>235459</v>
      </c>
      <c r="U250" s="118">
        <f t="shared" ca="1" si="70"/>
        <v>941836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319" t="s">
        <v>42</v>
      </c>
      <c r="O251" s="174">
        <v>8</v>
      </c>
      <c r="P251" s="235">
        <f ca="1">OFFSET($A$1,MATCH(Z245,$A:$A,0)-1,O251)</f>
        <v>4</v>
      </c>
      <c r="Q251" s="322" t="s">
        <v>29</v>
      </c>
      <c r="R251" s="323">
        <f t="shared" ca="1" si="68"/>
        <v>250087</v>
      </c>
      <c r="S251" s="323">
        <f t="shared" ca="1" si="69"/>
        <v>1000348</v>
      </c>
      <c r="T251" s="323">
        <f ca="1">보조원</f>
        <v>250087</v>
      </c>
      <c r="U251" s="323">
        <f t="shared" ca="1" si="70"/>
        <v>1000348</v>
      </c>
      <c r="V251" s="323"/>
      <c r="W251" s="323"/>
      <c r="X251" s="323"/>
      <c r="Y251" s="323"/>
      <c r="Z251" s="324"/>
    </row>
    <row r="252" spans="11:26" ht="18" customHeight="1">
      <c r="K252" s="171" t="s">
        <v>14</v>
      </c>
      <c r="L252" s="171"/>
      <c r="M252" s="171"/>
      <c r="N252" s="139" t="s">
        <v>17</v>
      </c>
      <c r="O252" s="68"/>
      <c r="P252" s="69"/>
      <c r="Q252" s="70"/>
      <c r="R252" s="71"/>
      <c r="S252" s="71">
        <f ca="1">SUBTOTAL(9,S246:S251)</f>
        <v>5425644</v>
      </c>
      <c r="T252" s="71"/>
      <c r="U252" s="71">
        <f ca="1">SUBTOTAL(9,U246:U251)</f>
        <v>5425644</v>
      </c>
      <c r="V252" s="71"/>
      <c r="W252" s="71"/>
      <c r="X252" s="71"/>
      <c r="Y252" s="71"/>
      <c r="Z252" s="68"/>
    </row>
    <row r="253" spans="11:26" ht="18" customHeight="1">
      <c r="K253" s="171" t="s">
        <v>14</v>
      </c>
      <c r="L253" s="171"/>
      <c r="M253" s="171"/>
    </row>
    <row r="254" spans="11:26" ht="18" customHeight="1">
      <c r="K254" s="171" t="s">
        <v>14</v>
      </c>
      <c r="L254" s="171"/>
      <c r="M254" s="171"/>
    </row>
    <row r="255" spans="11:26" ht="18" customHeight="1">
      <c r="K255" s="171" t="s">
        <v>14</v>
      </c>
      <c r="L255" s="171"/>
      <c r="M255" s="171"/>
    </row>
    <row r="256" spans="11:26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  <c r="M755" s="171"/>
    </row>
    <row r="756" spans="12:13" ht="18" customHeight="1">
      <c r="L756" s="171"/>
      <c r="M756" s="171"/>
    </row>
    <row r="757" spans="12:13" ht="18" customHeight="1">
      <c r="L757" s="171"/>
      <c r="M757" s="171"/>
    </row>
    <row r="758" spans="12:13" ht="18" customHeight="1">
      <c r="L758" s="171"/>
      <c r="M758" s="171"/>
    </row>
    <row r="759" spans="12:13" ht="18" customHeight="1">
      <c r="L759" s="171"/>
      <c r="M759" s="171"/>
    </row>
    <row r="760" spans="12:13" ht="18" customHeight="1">
      <c r="L760" s="171"/>
      <c r="M760" s="171"/>
    </row>
    <row r="761" spans="12:13" ht="18" customHeight="1">
      <c r="L761" s="171"/>
      <c r="M761" s="171"/>
    </row>
    <row r="762" spans="12:13" ht="18" customHeight="1">
      <c r="L762" s="171"/>
      <c r="M762" s="171"/>
    </row>
    <row r="763" spans="12:13" ht="18" customHeight="1">
      <c r="L763" s="171"/>
      <c r="M763" s="171"/>
    </row>
    <row r="764" spans="12:13" ht="18" customHeight="1">
      <c r="L764" s="171"/>
      <c r="M764" s="171"/>
    </row>
    <row r="765" spans="12:13" ht="18" customHeight="1">
      <c r="L765" s="171"/>
      <c r="M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  <row r="775" spans="12:12" ht="18" customHeight="1">
      <c r="L775" s="171"/>
    </row>
    <row r="776" spans="12:12" ht="18" customHeight="1">
      <c r="L776" s="171"/>
    </row>
    <row r="777" spans="12:12" ht="18" customHeight="1">
      <c r="L777" s="171"/>
    </row>
    <row r="778" spans="12:12" ht="18" customHeight="1">
      <c r="L778" s="171"/>
    </row>
  </sheetData>
  <mergeCells count="19">
    <mergeCell ref="N59:N60"/>
    <mergeCell ref="O59:O60"/>
    <mergeCell ref="P59:P60"/>
    <mergeCell ref="Q59:Q60"/>
    <mergeCell ref="Z59:Z60"/>
    <mergeCell ref="B15:C16"/>
    <mergeCell ref="J15:J16"/>
    <mergeCell ref="L15:L16"/>
    <mergeCell ref="B3:C3"/>
    <mergeCell ref="D3:E3"/>
    <mergeCell ref="B4:C4"/>
    <mergeCell ref="D4:E4"/>
    <mergeCell ref="B5:C5"/>
    <mergeCell ref="D5:E5"/>
    <mergeCell ref="G3:H3"/>
    <mergeCell ref="G4:H4"/>
    <mergeCell ref="G5:H5"/>
    <mergeCell ref="B6:C6"/>
    <mergeCell ref="D6:E6"/>
  </mergeCells>
  <phoneticPr fontId="14" type="noConversion"/>
  <conditionalFormatting sqref="V17:V48">
    <cfRule type="cellIs" dxfId="3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9" min="13" max="28" man="1"/>
    <brk id="76" min="13" max="28" man="1"/>
    <brk id="97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9090" r:id="rId4" name="Group Box 2">
              <controlPr defaultSize="0" autoFill="0" autoPict="0">
                <anchor moveWithCells="1" sizeWithCells="1">
                  <from>
                    <xdr:col>3</xdr:col>
                    <xdr:colOff>209550</xdr:colOff>
                    <xdr:row>0</xdr:row>
                    <xdr:rowOff>85725</xdr:rowOff>
                  </from>
                  <to>
                    <xdr:col>6</xdr:col>
                    <xdr:colOff>9525</xdr:colOff>
                    <xdr:row>1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92" r:id="rId5" name="Option Button 4">
              <controlPr defaultSize="0" autoFill="0" autoLine="0" autoPict="0">
                <anchor moveWithCells="1" sizeWithCells="1">
                  <from>
                    <xdr:col>3</xdr:col>
                    <xdr:colOff>304800</xdr:colOff>
                    <xdr:row>0</xdr:row>
                    <xdr:rowOff>152400</xdr:rowOff>
                  </from>
                  <to>
                    <xdr:col>4</xdr:col>
                    <xdr:colOff>438150</xdr:colOff>
                    <xdr:row>1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93" r:id="rId6" name="Option Button 5">
              <controlPr locked="0" defaultSize="0" autoFill="0" autoLine="0" autoPict="0">
                <anchor moveWithCells="1" sizeWithCells="1">
                  <from>
                    <xdr:col>4</xdr:col>
                    <xdr:colOff>419100</xdr:colOff>
                    <xdr:row>0</xdr:row>
                    <xdr:rowOff>152400</xdr:rowOff>
                  </from>
                  <to>
                    <xdr:col>5</xdr:col>
                    <xdr:colOff>542925</xdr:colOff>
                    <xdr:row>1</xdr:row>
                    <xdr:rowOff>161925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9094" r:id="rId7" name="Drop Down 6">
              <controlPr locked="0" defaultSize="0" autoLine="0" autoPict="0">
                <anchor moveWithCells="1">
                  <from>
                    <xdr:col>6</xdr:col>
                    <xdr:colOff>47625</xdr:colOff>
                    <xdr:row>0</xdr:row>
                    <xdr:rowOff>133350</xdr:rowOff>
                  </from>
                  <to>
                    <xdr:col>11</xdr:col>
                    <xdr:colOff>85725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86">
    <tabColor rgb="FF7030A0"/>
    <pageSetUpPr fitToPage="1"/>
  </sheetPr>
  <dimension ref="A1:AC778"/>
  <sheetViews>
    <sheetView showGridLines="0" zoomScale="85" zoomScaleNormal="85" zoomScaleSheetLayoutView="75" workbookViewId="0">
      <selection activeCell="T27" sqref="T27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597</v>
      </c>
      <c r="V1" s="690" t="s">
        <v>2359</v>
      </c>
    </row>
    <row r="2" spans="1:26" ht="19.5" thickBot="1">
      <c r="B2" s="66" t="s">
        <v>1</v>
      </c>
      <c r="F2" s="440">
        <v>1</v>
      </c>
      <c r="V2" s="690" t="s">
        <v>2360</v>
      </c>
    </row>
    <row r="3" spans="1:26" ht="18" customHeight="1">
      <c r="B3" s="773" t="s">
        <v>376</v>
      </c>
      <c r="C3" s="774"/>
      <c r="D3" s="775">
        <v>1</v>
      </c>
      <c r="E3" s="776"/>
      <c r="F3" s="44" t="str">
        <f>CHOOSE(F2,"만㎡","㎞")</f>
        <v>만㎡</v>
      </c>
      <c r="G3" s="838" t="s">
        <v>1104</v>
      </c>
      <c r="H3" s="839"/>
      <c r="I3" s="656">
        <v>2</v>
      </c>
      <c r="J3" s="669" t="s">
        <v>794</v>
      </c>
      <c r="V3" s="690" t="s">
        <v>2362</v>
      </c>
    </row>
    <row r="4" spans="1:26" ht="18" customHeight="1">
      <c r="B4" s="777" t="s">
        <v>2363</v>
      </c>
      <c r="C4" s="778"/>
      <c r="D4" s="779">
        <v>1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V4" s="690" t="s">
        <v>2361</v>
      </c>
    </row>
    <row r="5" spans="1:26" ht="18" customHeight="1" thickBot="1">
      <c r="B5" s="777" t="s">
        <v>262</v>
      </c>
      <c r="C5" s="814"/>
      <c r="D5" s="815">
        <f>ROUND((IF(D4&lt;=0.5,0.5,D4)/D3)^0.6,3)</f>
        <v>1</v>
      </c>
      <c r="E5" s="816"/>
      <c r="F5" s="441">
        <v>1</v>
      </c>
      <c r="G5" s="817" t="s">
        <v>1102</v>
      </c>
      <c r="H5" s="818"/>
      <c r="I5" s="646">
        <f>ROUND(I4/I3,3)</f>
        <v>1</v>
      </c>
      <c r="J5" s="671"/>
    </row>
    <row r="6" spans="1:26" ht="18" customHeight="1">
      <c r="A6" s="358"/>
      <c r="B6" s="847" t="s">
        <v>2365</v>
      </c>
      <c r="C6" s="848"/>
      <c r="D6" s="849">
        <f>CHOOSE(F6,1,1.75)</f>
        <v>1</v>
      </c>
      <c r="E6" s="850"/>
      <c r="F6" s="730">
        <v>1</v>
      </c>
      <c r="G6" s="9" t="s">
        <v>1107</v>
      </c>
      <c r="J6" s="36"/>
    </row>
    <row r="7" spans="1:26" ht="18" customHeight="1" thickBot="1">
      <c r="B7" s="781" t="s">
        <v>2364</v>
      </c>
      <c r="C7" s="782"/>
      <c r="D7" s="783">
        <f>CHOOSE(F7,0.6,1.04)</f>
        <v>0.6</v>
      </c>
      <c r="E7" s="784"/>
      <c r="F7" s="430">
        <v>1</v>
      </c>
      <c r="G7" s="36"/>
      <c r="R7" s="1"/>
      <c r="S7" s="1"/>
      <c r="T7" s="1"/>
    </row>
    <row r="8" spans="1:26" ht="18" customHeight="1">
      <c r="B8" s="9" t="s">
        <v>2366</v>
      </c>
      <c r="C8" s="9"/>
      <c r="D8" s="64"/>
      <c r="E8" s="64"/>
      <c r="G8" s="36"/>
      <c r="R8" s="1"/>
      <c r="S8" s="1"/>
      <c r="T8" s="1"/>
    </row>
    <row r="9" spans="1:26" ht="18" customHeight="1">
      <c r="C9" s="9" t="s">
        <v>2367</v>
      </c>
      <c r="D9" s="64"/>
      <c r="E9" s="64"/>
      <c r="G9" s="36"/>
      <c r="R9" s="1"/>
      <c r="S9" s="1"/>
      <c r="T9" s="1"/>
    </row>
    <row r="10" spans="1:26" ht="18" customHeight="1">
      <c r="B10" s="9"/>
      <c r="C10" s="9"/>
      <c r="D10" s="64"/>
      <c r="E10" s="64"/>
      <c r="G10" s="36"/>
      <c r="R10" s="1"/>
      <c r="S10" s="1"/>
      <c r="T10" s="1"/>
    </row>
    <row r="11" spans="1:26" ht="18" customHeight="1">
      <c r="B11" s="9"/>
      <c r="C11" s="9"/>
      <c r="D11" s="64"/>
      <c r="E11" s="64"/>
      <c r="G11" s="36"/>
      <c r="R11" s="1"/>
      <c r="S11" s="1"/>
      <c r="T11" s="1"/>
    </row>
    <row r="12" spans="1:26" ht="18" customHeight="1">
      <c r="G12" s="36"/>
      <c r="W12" s="188" t="s">
        <v>3</v>
      </c>
      <c r="X12" s="189"/>
    </row>
    <row r="13" spans="1:26" ht="18" customHeight="1" thickBot="1">
      <c r="B13" s="66" t="s">
        <v>4</v>
      </c>
      <c r="C13" s="9"/>
      <c r="D13" s="64"/>
      <c r="E13" s="64"/>
      <c r="G13" s="36"/>
      <c r="N13" s="66" t="s">
        <v>5</v>
      </c>
    </row>
    <row r="14" spans="1:26" ht="18" customHeight="1" thickBot="1">
      <c r="B14" s="9"/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SUBTOTAL(9,W15:W48)</f>
        <v>145174285</v>
      </c>
      <c r="X14" s="187"/>
      <c r="Y14" s="177"/>
      <c r="Z14" s="167"/>
    </row>
    <row r="15" spans="1:26" ht="18" customHeight="1">
      <c r="B15" s="757" t="s">
        <v>30</v>
      </c>
      <c r="C15" s="758"/>
      <c r="D15" s="14" t="s">
        <v>6</v>
      </c>
      <c r="E15" s="15"/>
      <c r="F15" s="15"/>
      <c r="G15" s="15"/>
      <c r="H15" s="15"/>
      <c r="I15" s="16"/>
      <c r="J15" s="761" t="s">
        <v>31</v>
      </c>
      <c r="L15" s="763" t="s">
        <v>7</v>
      </c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SUBTOTAL(9,W16:W45)</f>
        <v>55794020</v>
      </c>
      <c r="X15" s="164"/>
      <c r="Y15" s="178" t="s">
        <v>9</v>
      </c>
      <c r="Z15" s="179"/>
    </row>
    <row r="16" spans="1:26" ht="18" customHeight="1" thickBot="1">
      <c r="B16" s="759"/>
      <c r="C16" s="760"/>
      <c r="D16" s="17" t="s">
        <v>33</v>
      </c>
      <c r="E16" s="19" t="s">
        <v>34</v>
      </c>
      <c r="F16" s="19" t="s">
        <v>35</v>
      </c>
      <c r="G16" s="19" t="s">
        <v>36</v>
      </c>
      <c r="H16" s="19" t="s">
        <v>37</v>
      </c>
      <c r="I16" s="18" t="s">
        <v>38</v>
      </c>
      <c r="J16" s="762"/>
      <c r="L16" s="764"/>
      <c r="N16" s="290" t="s">
        <v>45</v>
      </c>
      <c r="O16" s="124"/>
      <c r="P16" s="125"/>
      <c r="Q16" s="126"/>
      <c r="R16" s="126"/>
      <c r="S16" s="126"/>
      <c r="T16" s="126"/>
      <c r="U16" s="181"/>
      <c r="V16" s="218"/>
      <c r="W16" s="159">
        <f ca="1">SUBTOTAL(9,W17:W41)</f>
        <v>49794020</v>
      </c>
      <c r="X16" s="160"/>
      <c r="Y16" s="168"/>
      <c r="Z16" s="168"/>
    </row>
    <row r="17" spans="2:26" ht="18" customHeight="1">
      <c r="B17" s="225" t="s">
        <v>2368</v>
      </c>
      <c r="C17" s="72"/>
      <c r="D17" s="203">
        <f t="shared" ref="D17:I17" si="0">SUBTOTAL(9,D18:D20)</f>
        <v>0.30000000000000004</v>
      </c>
      <c r="E17" s="204">
        <f t="shared" si="0"/>
        <v>0.5</v>
      </c>
      <c r="F17" s="204">
        <f t="shared" si="0"/>
        <v>1</v>
      </c>
      <c r="G17" s="204">
        <f t="shared" si="0"/>
        <v>1.6</v>
      </c>
      <c r="H17" s="204">
        <f t="shared" si="0"/>
        <v>2.4</v>
      </c>
      <c r="I17" s="205">
        <f t="shared" si="0"/>
        <v>3.0000000000000004</v>
      </c>
      <c r="J17" s="654"/>
      <c r="L17" s="232"/>
      <c r="N17" s="294" t="str">
        <f>B17</f>
        <v>1. 조사 및 분석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SUBTOTAL(9,W18:W20)</f>
        <v>1455180</v>
      </c>
      <c r="X17" s="194"/>
      <c r="Y17" s="170" t="str">
        <f>IF(A43&gt;0, "제 " &amp;A43&amp; " 호표","")</f>
        <v/>
      </c>
      <c r="Z17" s="170"/>
    </row>
    <row r="18" spans="2:26" ht="18" customHeight="1">
      <c r="B18" s="223" t="s">
        <v>2369</v>
      </c>
      <c r="C18" s="23"/>
      <c r="D18" s="197">
        <v>0.1</v>
      </c>
      <c r="E18" s="198">
        <v>0.2</v>
      </c>
      <c r="F18" s="198">
        <v>0.5</v>
      </c>
      <c r="G18" s="198">
        <v>0.7</v>
      </c>
      <c r="H18" s="198">
        <v>1</v>
      </c>
      <c r="I18" s="199">
        <v>1.3</v>
      </c>
      <c r="J18" s="389" t="s">
        <v>2390</v>
      </c>
      <c r="L18" s="233">
        <v>1</v>
      </c>
      <c r="N18" s="296" t="str">
        <f t="shared" ref="N18:N41" si="1">B18</f>
        <v>1.1. 경관자원 및 경관특성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SUM((ROUNDDOWN((D44:I44)*단가,0)))</f>
        <v>626399</v>
      </c>
      <c r="X18" s="154"/>
      <c r="Y18" s="150" t="str">
        <f>IF(A44&gt;0, "제 " &amp;A44&amp; " 호표","")</f>
        <v>제 1 호표</v>
      </c>
      <c r="Z18" s="150"/>
    </row>
    <row r="19" spans="2:26" ht="18" customHeight="1">
      <c r="B19" s="223" t="s">
        <v>2370</v>
      </c>
      <c r="C19" s="23"/>
      <c r="D19" s="197">
        <v>0.1</v>
      </c>
      <c r="E19" s="198">
        <v>0.2</v>
      </c>
      <c r="F19" s="198">
        <v>0.3</v>
      </c>
      <c r="G19" s="198">
        <v>0.5</v>
      </c>
      <c r="H19" s="198">
        <v>0.8</v>
      </c>
      <c r="I19" s="199">
        <v>1.1000000000000001</v>
      </c>
      <c r="J19" s="389" t="s">
        <v>2389</v>
      </c>
      <c r="L19" s="233">
        <v>1</v>
      </c>
      <c r="N19" s="296" t="str">
        <f t="shared" si="1"/>
        <v>1.2. 경관관련계획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SUM((ROUNDDOWN((D45:I45)*단가,0)))</f>
        <v>495412</v>
      </c>
      <c r="X19" s="154"/>
      <c r="Y19" s="150" t="str">
        <f t="shared" ref="Y19:Y41" si="2">IF(A45&gt;0, "제 " &amp;A45&amp; " 호표","")</f>
        <v>제 2 호표</v>
      </c>
      <c r="Z19" s="150"/>
    </row>
    <row r="20" spans="2:26" ht="18" customHeight="1">
      <c r="B20" s="223" t="s">
        <v>2371</v>
      </c>
      <c r="C20" s="23"/>
      <c r="D20" s="197">
        <v>0.1</v>
      </c>
      <c r="E20" s="198">
        <v>0.1</v>
      </c>
      <c r="F20" s="198">
        <v>0.2</v>
      </c>
      <c r="G20" s="198">
        <v>0.4</v>
      </c>
      <c r="H20" s="198">
        <v>0.6</v>
      </c>
      <c r="I20" s="199">
        <v>0.6</v>
      </c>
      <c r="J20" s="389" t="s">
        <v>2389</v>
      </c>
      <c r="L20" s="233">
        <v>1</v>
      </c>
      <c r="N20" s="296" t="str">
        <f t="shared" si="1"/>
        <v>1.3. 종합분석</v>
      </c>
      <c r="O20" s="37"/>
      <c r="P20" s="37"/>
      <c r="Q20" s="37"/>
      <c r="R20" s="37"/>
      <c r="S20" s="37"/>
      <c r="T20" s="37"/>
      <c r="U20" s="226"/>
      <c r="V20" s="231"/>
      <c r="W20" s="153">
        <f t="array" aca="1" ref="W20" ca="1">SUM((ROUNDDOWN((D46:I46)*단가,0)))</f>
        <v>333369</v>
      </c>
      <c r="X20" s="154"/>
      <c r="Y20" s="150" t="str">
        <f t="shared" si="2"/>
        <v>제 3 호표</v>
      </c>
      <c r="Z20" s="150"/>
    </row>
    <row r="21" spans="2:26" ht="18" customHeight="1">
      <c r="B21" s="222" t="s">
        <v>591</v>
      </c>
      <c r="C21" s="47"/>
      <c r="D21" s="48">
        <f t="shared" ref="D21:I21" si="3">SUBTOTAL(9,D22:D24)</f>
        <v>0.5</v>
      </c>
      <c r="E21" s="49">
        <f t="shared" si="3"/>
        <v>0.8</v>
      </c>
      <c r="F21" s="49">
        <f t="shared" si="3"/>
        <v>1.7000000000000002</v>
      </c>
      <c r="G21" s="49">
        <f t="shared" si="3"/>
        <v>2.8000000000000003</v>
      </c>
      <c r="H21" s="49">
        <f t="shared" si="3"/>
        <v>3.9</v>
      </c>
      <c r="I21" s="50">
        <f t="shared" si="3"/>
        <v>5.5</v>
      </c>
      <c r="J21" s="389"/>
      <c r="L21" s="233"/>
      <c r="N21" s="292" t="str">
        <f t="shared" si="1"/>
        <v>2. 경관구상</v>
      </c>
      <c r="O21" s="37"/>
      <c r="P21" s="39"/>
      <c r="Q21" s="37"/>
      <c r="R21" s="117"/>
      <c r="S21" s="37"/>
      <c r="T21" s="37"/>
      <c r="U21" s="226"/>
      <c r="V21" s="231"/>
      <c r="W21" s="195">
        <f ca="1">SUBTOTAL(9,W22:W24)</f>
        <v>2508563</v>
      </c>
      <c r="X21" s="196"/>
      <c r="Y21" s="150" t="str">
        <f t="shared" si="2"/>
        <v/>
      </c>
      <c r="Z21" s="150"/>
    </row>
    <row r="22" spans="2:26" ht="18" customHeight="1">
      <c r="B22" s="223" t="s">
        <v>2372</v>
      </c>
      <c r="C22" s="23"/>
      <c r="D22" s="197">
        <v>0.1</v>
      </c>
      <c r="E22" s="198">
        <v>0.2</v>
      </c>
      <c r="F22" s="198">
        <v>0.3</v>
      </c>
      <c r="G22" s="198">
        <v>0.4</v>
      </c>
      <c r="H22" s="198">
        <v>0.5</v>
      </c>
      <c r="I22" s="199">
        <v>0.6</v>
      </c>
      <c r="J22" s="389" t="s">
        <v>2389</v>
      </c>
      <c r="L22" s="233">
        <v>1</v>
      </c>
      <c r="N22" s="296" t="str">
        <f t="shared" si="1"/>
        <v>2.1. 기본방향 및 테마설정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SUM((ROUNDDOWN((D48:I48)*단가,0)))</f>
        <v>360295</v>
      </c>
      <c r="X22" s="154"/>
      <c r="Y22" s="150" t="str">
        <f t="shared" si="2"/>
        <v>제 4 호표</v>
      </c>
      <c r="Z22" s="150"/>
    </row>
    <row r="23" spans="2:26" ht="18" customHeight="1">
      <c r="B23" s="223" t="s">
        <v>2373</v>
      </c>
      <c r="C23" s="23"/>
      <c r="D23" s="197">
        <v>0.3</v>
      </c>
      <c r="E23" s="198">
        <v>0.4</v>
      </c>
      <c r="F23" s="198">
        <v>1</v>
      </c>
      <c r="G23" s="198">
        <v>1.8</v>
      </c>
      <c r="H23" s="198">
        <v>2.5</v>
      </c>
      <c r="I23" s="199">
        <v>3.8</v>
      </c>
      <c r="J23" s="389" t="s">
        <v>2389</v>
      </c>
      <c r="L23" s="233">
        <v>1</v>
      </c>
      <c r="N23" s="296" t="str">
        <f t="shared" si="1"/>
        <v>2.2. 공간 및 디자인 구상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SUM((ROUNDDOWN((D49:I49)*단가,0)))</f>
        <v>1602368</v>
      </c>
      <c r="X23" s="154"/>
      <c r="Y23" s="150" t="str">
        <f t="shared" si="2"/>
        <v>제 5 호표</v>
      </c>
      <c r="Z23" s="150"/>
    </row>
    <row r="24" spans="2:26" ht="18" customHeight="1">
      <c r="B24" s="223" t="s">
        <v>2374</v>
      </c>
      <c r="C24" s="23"/>
      <c r="D24" s="197">
        <v>0.1</v>
      </c>
      <c r="E24" s="198">
        <v>0.2</v>
      </c>
      <c r="F24" s="198">
        <v>0.4</v>
      </c>
      <c r="G24" s="198">
        <v>0.6</v>
      </c>
      <c r="H24" s="198">
        <v>0.9</v>
      </c>
      <c r="I24" s="199">
        <v>1.1000000000000001</v>
      </c>
      <c r="J24" s="389" t="s">
        <v>2389</v>
      </c>
      <c r="L24" s="233">
        <v>1</v>
      </c>
      <c r="N24" s="296" t="str">
        <f t="shared" si="1"/>
        <v>2.3. 경관구조설정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SUM((ROUNDDOWN((D50:I50)*단가,0)))</f>
        <v>545900</v>
      </c>
      <c r="X24" s="154"/>
      <c r="Y24" s="150" t="str">
        <f t="shared" si="2"/>
        <v>제 6 호표</v>
      </c>
      <c r="Z24" s="150"/>
    </row>
    <row r="25" spans="2:26" ht="18" customHeight="1">
      <c r="B25" s="222" t="s">
        <v>598</v>
      </c>
      <c r="C25" s="47"/>
      <c r="D25" s="33"/>
      <c r="E25" s="34"/>
      <c r="F25" s="34"/>
      <c r="G25" s="34"/>
      <c r="H25" s="34"/>
      <c r="I25" s="35"/>
      <c r="J25" s="389"/>
      <c r="L25" s="233"/>
      <c r="N25" s="292" t="str">
        <f t="shared" si="1"/>
        <v>3. 부문별 계획</v>
      </c>
      <c r="O25" s="37"/>
      <c r="P25" s="39"/>
      <c r="Q25" s="37"/>
      <c r="R25" s="117"/>
      <c r="S25" s="37"/>
      <c r="T25" s="37"/>
      <c r="U25" s="226"/>
      <c r="V25" s="231"/>
      <c r="W25" s="195"/>
      <c r="X25" s="196"/>
      <c r="Y25" s="150" t="str">
        <f t="shared" si="2"/>
        <v/>
      </c>
      <c r="Z25" s="150"/>
    </row>
    <row r="26" spans="2:26" ht="18" customHeight="1">
      <c r="B26" s="223" t="s">
        <v>2375</v>
      </c>
      <c r="C26" s="23"/>
      <c r="D26" s="731">
        <f t="shared" ref="D26:I26" si="4">SUBTOTAL(9,D27:D28)</f>
        <v>4</v>
      </c>
      <c r="E26" s="732">
        <f t="shared" si="4"/>
        <v>8.9</v>
      </c>
      <c r="F26" s="732">
        <f t="shared" si="4"/>
        <v>22</v>
      </c>
      <c r="G26" s="732">
        <f t="shared" si="4"/>
        <v>24</v>
      </c>
      <c r="H26" s="732">
        <f t="shared" si="4"/>
        <v>26</v>
      </c>
      <c r="I26" s="733">
        <f t="shared" si="4"/>
        <v>26</v>
      </c>
      <c r="J26" s="389"/>
      <c r="L26" s="233"/>
      <c r="N26" s="296" t="str">
        <f t="shared" si="1"/>
        <v>3.1. 사회기반시설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SUBTOTAL(9,W27:W28)</f>
        <v>19043194</v>
      </c>
      <c r="X26" s="154"/>
      <c r="Y26" s="150" t="str">
        <f t="shared" si="2"/>
        <v/>
      </c>
      <c r="Z26" s="150"/>
    </row>
    <row r="27" spans="2:26" ht="18" customHeight="1">
      <c r="B27" s="223" t="s">
        <v>2376</v>
      </c>
      <c r="C27" s="23"/>
      <c r="D27" s="197">
        <v>2.4</v>
      </c>
      <c r="E27" s="198">
        <v>5.4</v>
      </c>
      <c r="F27" s="198">
        <v>13.2</v>
      </c>
      <c r="G27" s="198">
        <v>14.4</v>
      </c>
      <c r="H27" s="198">
        <v>15.6</v>
      </c>
      <c r="I27" s="199">
        <v>15.6</v>
      </c>
      <c r="J27" s="389" t="s">
        <v>2389</v>
      </c>
      <c r="L27" s="233">
        <v>1</v>
      </c>
      <c r="N27" s="296" t="str">
        <f t="shared" si="1"/>
        <v xml:space="preserve"> 3.1.1 구간별 경관설계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SUM((ROUNDDOWN((D53:I53)*단가,0)))</f>
        <v>11439358</v>
      </c>
      <c r="X27" s="154"/>
      <c r="Y27" s="150" t="str">
        <f t="shared" si="2"/>
        <v>제 7 호표</v>
      </c>
      <c r="Z27" s="150"/>
    </row>
    <row r="28" spans="2:26" ht="18" customHeight="1">
      <c r="B28" s="223" t="s">
        <v>2377</v>
      </c>
      <c r="C28" s="23"/>
      <c r="D28" s="197">
        <v>1.6</v>
      </c>
      <c r="E28" s="198">
        <v>3.5</v>
      </c>
      <c r="F28" s="198">
        <v>8.8000000000000007</v>
      </c>
      <c r="G28" s="198">
        <v>9.6</v>
      </c>
      <c r="H28" s="198">
        <v>10.4</v>
      </c>
      <c r="I28" s="199">
        <v>10.4</v>
      </c>
      <c r="J28" s="389" t="s">
        <v>2389</v>
      </c>
      <c r="L28" s="233">
        <v>1</v>
      </c>
      <c r="N28" s="296" t="str">
        <f t="shared" si="1"/>
        <v xml:space="preserve"> 3.1.2 주요 시설(장소) 경관설계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SUM((ROUNDDOWN((D54:I54)*단가,0)))</f>
        <v>7603836</v>
      </c>
      <c r="X28" s="154"/>
      <c r="Y28" s="150" t="str">
        <f t="shared" si="2"/>
        <v>제 8 호표</v>
      </c>
      <c r="Z28" s="150"/>
    </row>
    <row r="29" spans="2:26" ht="18" customHeight="1">
      <c r="B29" s="223" t="s">
        <v>2378</v>
      </c>
      <c r="C29" s="23"/>
      <c r="D29" s="731">
        <f t="shared" ref="D29:I29" si="5">SUBTOTAL(9,D30:D32)</f>
        <v>2.8</v>
      </c>
      <c r="E29" s="732">
        <f t="shared" si="5"/>
        <v>6.3</v>
      </c>
      <c r="F29" s="732">
        <f t="shared" si="5"/>
        <v>12.6</v>
      </c>
      <c r="G29" s="732">
        <f t="shared" si="5"/>
        <v>14</v>
      </c>
      <c r="H29" s="732">
        <f t="shared" si="5"/>
        <v>15</v>
      </c>
      <c r="I29" s="733">
        <f t="shared" si="5"/>
        <v>15</v>
      </c>
      <c r="J29" s="389"/>
      <c r="L29" s="233"/>
      <c r="N29" s="296" t="str">
        <f t="shared" si="1"/>
        <v>3.2. 건축</v>
      </c>
      <c r="O29" s="37"/>
      <c r="P29" s="39"/>
      <c r="Q29" s="37"/>
      <c r="R29" s="117"/>
      <c r="S29" s="37"/>
      <c r="T29" s="37"/>
      <c r="U29" s="226"/>
      <c r="V29" s="231"/>
      <c r="W29" s="195">
        <f ca="1">SUBTOTAL(9,W30:W32)</f>
        <v>11395549</v>
      </c>
      <c r="X29" s="154"/>
      <c r="Y29" s="150" t="str">
        <f t="shared" si="2"/>
        <v/>
      </c>
      <c r="Z29" s="150"/>
    </row>
    <row r="30" spans="2:26" ht="18" customHeight="1">
      <c r="B30" s="223" t="s">
        <v>2379</v>
      </c>
      <c r="C30" s="23"/>
      <c r="D30" s="197">
        <v>1.1000000000000001</v>
      </c>
      <c r="E30" s="198">
        <v>2.5</v>
      </c>
      <c r="F30" s="198">
        <v>5.0999999999999996</v>
      </c>
      <c r="G30" s="198">
        <v>6.1</v>
      </c>
      <c r="H30" s="198">
        <v>6</v>
      </c>
      <c r="I30" s="199">
        <v>6.1</v>
      </c>
      <c r="J30" s="389" t="s">
        <v>2389</v>
      </c>
      <c r="L30" s="233">
        <v>1</v>
      </c>
      <c r="N30" s="296" t="str">
        <f t="shared" si="1"/>
        <v xml:space="preserve"> 3.2.1 배치·규모·형태계획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SUM((ROUNDDOWN((D56:I56)*단가,0)))</f>
        <v>4662872</v>
      </c>
      <c r="X30" s="154"/>
      <c r="Y30" s="150" t="str">
        <f t="shared" si="2"/>
        <v>제 9 호표</v>
      </c>
      <c r="Z30" s="150"/>
    </row>
    <row r="31" spans="2:26" ht="18" customHeight="1">
      <c r="B31" s="223" t="s">
        <v>2380</v>
      </c>
      <c r="C31" s="23"/>
      <c r="D31" s="197">
        <v>1.2</v>
      </c>
      <c r="E31" s="198">
        <v>2.6</v>
      </c>
      <c r="F31" s="198">
        <v>5</v>
      </c>
      <c r="G31" s="198">
        <v>5.0999999999999996</v>
      </c>
      <c r="H31" s="198">
        <v>6.1</v>
      </c>
      <c r="I31" s="199">
        <v>6</v>
      </c>
      <c r="J31" s="389" t="s">
        <v>2389</v>
      </c>
      <c r="L31" s="233">
        <v>1</v>
      </c>
      <c r="N31" s="296" t="str">
        <f t="shared" si="1"/>
        <v xml:space="preserve"> 3.2.2 외부공간계획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SUM((ROUNDDOWN((D57:I57)*단가,0)))</f>
        <v>4516692</v>
      </c>
      <c r="X31" s="154"/>
      <c r="Y31" s="150" t="str">
        <f t="shared" si="2"/>
        <v>제 10 호표</v>
      </c>
      <c r="Z31" s="150"/>
    </row>
    <row r="32" spans="2:26" ht="18" customHeight="1">
      <c r="B32" s="223" t="s">
        <v>2381</v>
      </c>
      <c r="C32" s="23"/>
      <c r="D32" s="197">
        <v>0.5</v>
      </c>
      <c r="E32" s="198">
        <v>1.2</v>
      </c>
      <c r="F32" s="198">
        <v>2.5</v>
      </c>
      <c r="G32" s="198">
        <v>2.8</v>
      </c>
      <c r="H32" s="198">
        <v>2.9</v>
      </c>
      <c r="I32" s="199">
        <v>2.9</v>
      </c>
      <c r="J32" s="389" t="s">
        <v>2389</v>
      </c>
      <c r="L32" s="233">
        <v>1</v>
      </c>
      <c r="N32" s="296" t="str">
        <f t="shared" si="1"/>
        <v xml:space="preserve"> 3.2.3 옥외광고물 등 계획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SUM((ROUNDDOWN((D58:I58)*단가,0)))</f>
        <v>2215985</v>
      </c>
      <c r="X32" s="154"/>
      <c r="Y32" s="150" t="str">
        <f t="shared" si="2"/>
        <v>제 11 호표</v>
      </c>
      <c r="Z32" s="150"/>
    </row>
    <row r="33" spans="1:26" ht="18" customHeight="1">
      <c r="B33" s="222" t="s">
        <v>599</v>
      </c>
      <c r="C33" s="47"/>
      <c r="D33" s="48">
        <f t="shared" ref="D33:I33" si="6">SUBTOTAL(9,D34:D35)</f>
        <v>2</v>
      </c>
      <c r="E33" s="49">
        <f t="shared" si="6"/>
        <v>3</v>
      </c>
      <c r="F33" s="49">
        <f t="shared" si="6"/>
        <v>2</v>
      </c>
      <c r="G33" s="49">
        <f t="shared" si="6"/>
        <v>2.6</v>
      </c>
      <c r="H33" s="49">
        <f t="shared" si="6"/>
        <v>2.6</v>
      </c>
      <c r="I33" s="50">
        <f t="shared" si="6"/>
        <v>2</v>
      </c>
      <c r="J33" s="389"/>
      <c r="L33" s="233"/>
      <c r="N33" s="292" t="str">
        <f t="shared" si="1"/>
        <v>4. 경관시뮬레이션 구상</v>
      </c>
      <c r="O33" s="37"/>
      <c r="P33" s="39"/>
      <c r="Q33" s="37"/>
      <c r="R33" s="117"/>
      <c r="S33" s="37"/>
      <c r="T33" s="37"/>
      <c r="U33" s="226"/>
      <c r="V33" s="231"/>
      <c r="W33" s="195">
        <f ca="1">SUBTOTAL(9,W34:W35)</f>
        <v>2733587</v>
      </c>
      <c r="X33" s="196"/>
      <c r="Y33" s="150" t="str">
        <f t="shared" si="2"/>
        <v/>
      </c>
      <c r="Z33" s="150"/>
    </row>
    <row r="34" spans="1:26" ht="18" customHeight="1">
      <c r="B34" s="223" t="s">
        <v>2382</v>
      </c>
      <c r="C34" s="23"/>
      <c r="D34" s="197">
        <v>0.3</v>
      </c>
      <c r="E34" s="198">
        <v>0.4</v>
      </c>
      <c r="F34" s="198">
        <v>0.3</v>
      </c>
      <c r="G34" s="198">
        <v>0.4</v>
      </c>
      <c r="H34" s="198">
        <v>0.4</v>
      </c>
      <c r="I34" s="199">
        <v>0.3</v>
      </c>
      <c r="J34" s="389" t="s">
        <v>2389</v>
      </c>
      <c r="L34" s="233">
        <v>1</v>
      </c>
      <c r="N34" s="296" t="str">
        <f t="shared" si="1"/>
        <v>4.1. 조망점 선정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SUM((ROUNDDOWN((D60:I60)*단가,0)))</f>
        <v>402020</v>
      </c>
      <c r="X34" s="154"/>
      <c r="Y34" s="150" t="str">
        <f t="shared" si="2"/>
        <v>제 12 호표</v>
      </c>
      <c r="Z34" s="150"/>
    </row>
    <row r="35" spans="1:26" ht="18" customHeight="1">
      <c r="B35" s="223" t="s">
        <v>2383</v>
      </c>
      <c r="C35" s="23"/>
      <c r="D35" s="197">
        <v>1.7</v>
      </c>
      <c r="E35" s="198">
        <v>2.6</v>
      </c>
      <c r="F35" s="198">
        <v>1.7</v>
      </c>
      <c r="G35" s="198">
        <v>2.2000000000000002</v>
      </c>
      <c r="H35" s="198">
        <v>2.2000000000000002</v>
      </c>
      <c r="I35" s="199">
        <v>1.7</v>
      </c>
      <c r="J35" s="389" t="s">
        <v>2389</v>
      </c>
      <c r="L35" s="233">
        <v>1</v>
      </c>
      <c r="N35" s="296" t="str">
        <f t="shared" si="1"/>
        <v>4.2. 경관시뮬레이션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SUM((ROUNDDOWN((D61:I61)*단가,0)))</f>
        <v>2331567</v>
      </c>
      <c r="X35" s="154"/>
      <c r="Y35" s="150" t="str">
        <f t="shared" si="2"/>
        <v>제 13 호표</v>
      </c>
      <c r="Z35" s="150"/>
    </row>
    <row r="36" spans="1:26" ht="18" customHeight="1">
      <c r="B36" s="222" t="s">
        <v>2384</v>
      </c>
      <c r="C36" s="47"/>
      <c r="D36" s="48">
        <f t="shared" ref="D36:I36" si="7">SUBTOTAL(9,D37:D38)</f>
        <v>0.4</v>
      </c>
      <c r="E36" s="49">
        <f t="shared" si="7"/>
        <v>0.60000000000000009</v>
      </c>
      <c r="F36" s="49">
        <f t="shared" si="7"/>
        <v>1.4000000000000001</v>
      </c>
      <c r="G36" s="49">
        <f t="shared" si="7"/>
        <v>2.4</v>
      </c>
      <c r="H36" s="49">
        <f t="shared" si="7"/>
        <v>3</v>
      </c>
      <c r="I36" s="50">
        <f t="shared" si="7"/>
        <v>3</v>
      </c>
      <c r="J36" s="389"/>
      <c r="L36" s="233"/>
      <c r="N36" s="292" t="str">
        <f t="shared" si="1"/>
        <v>5. 성과품 작성</v>
      </c>
      <c r="O36" s="37"/>
      <c r="P36" s="39"/>
      <c r="Q36" s="37"/>
      <c r="R36" s="117"/>
      <c r="S36" s="37"/>
      <c r="T36" s="37"/>
      <c r="U36" s="226"/>
      <c r="V36" s="231"/>
      <c r="W36" s="195">
        <f ca="1">SUBTOTAL(9,W37:W38)</f>
        <v>1806659</v>
      </c>
      <c r="X36" s="154"/>
      <c r="Y36" s="150" t="str">
        <f t="shared" si="2"/>
        <v/>
      </c>
      <c r="Z36" s="150"/>
    </row>
    <row r="37" spans="1:26" ht="17.25" customHeight="1">
      <c r="B37" s="223" t="s">
        <v>2385</v>
      </c>
      <c r="C37" s="23"/>
      <c r="D37" s="197">
        <v>0.3</v>
      </c>
      <c r="E37" s="198">
        <v>0.4</v>
      </c>
      <c r="F37" s="198">
        <v>1.1000000000000001</v>
      </c>
      <c r="G37" s="198">
        <v>1.9</v>
      </c>
      <c r="H37" s="198">
        <v>1.9</v>
      </c>
      <c r="I37" s="199">
        <v>1.9</v>
      </c>
      <c r="J37" s="389" t="s">
        <v>2389</v>
      </c>
      <c r="L37" s="233">
        <v>1</v>
      </c>
      <c r="N37" s="296" t="str">
        <f t="shared" si="1"/>
        <v>5.1. 보고서 작성 및 편집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SUM((ROUNDDOWN((D63:I63)*단가,0)))</f>
        <v>1268865</v>
      </c>
      <c r="X37" s="154"/>
      <c r="Y37" s="150" t="str">
        <f t="shared" si="2"/>
        <v>제 14 호표</v>
      </c>
      <c r="Z37" s="150"/>
    </row>
    <row r="38" spans="1:26" ht="18" customHeight="1">
      <c r="B38" s="259" t="s">
        <v>2386</v>
      </c>
      <c r="C38" s="43"/>
      <c r="D38" s="206">
        <v>0.1</v>
      </c>
      <c r="E38" s="207">
        <v>0.2</v>
      </c>
      <c r="F38" s="207">
        <v>0.3</v>
      </c>
      <c r="G38" s="207">
        <v>0.5</v>
      </c>
      <c r="H38" s="207">
        <v>1.1000000000000001</v>
      </c>
      <c r="I38" s="208">
        <v>1.1000000000000001</v>
      </c>
      <c r="J38" s="389" t="s">
        <v>2389</v>
      </c>
      <c r="L38" s="233">
        <v>1</v>
      </c>
      <c r="N38" s="296" t="str">
        <f t="shared" si="1"/>
        <v>5.2. 관련 도서 작성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SUM((ROUNDDOWN((D64:I64)*단가,0)))</f>
        <v>537794</v>
      </c>
      <c r="X38" s="154"/>
      <c r="Y38" s="150" t="str">
        <f t="shared" si="2"/>
        <v>제 15 호표</v>
      </c>
      <c r="Z38" s="150"/>
    </row>
    <row r="39" spans="1:26" ht="18" customHeight="1">
      <c r="B39" s="222" t="s">
        <v>600</v>
      </c>
      <c r="C39" s="47"/>
      <c r="D39" s="48">
        <f t="shared" ref="D39:I39" si="8">SUBTOTAL(9,D40:D41)</f>
        <v>4</v>
      </c>
      <c r="E39" s="49">
        <f t="shared" si="8"/>
        <v>4</v>
      </c>
      <c r="F39" s="49">
        <f t="shared" si="8"/>
        <v>4</v>
      </c>
      <c r="G39" s="49">
        <f t="shared" si="8"/>
        <v>8</v>
      </c>
      <c r="H39" s="49">
        <f t="shared" si="8"/>
        <v>8</v>
      </c>
      <c r="I39" s="50">
        <f t="shared" si="8"/>
        <v>8</v>
      </c>
      <c r="J39" s="74"/>
      <c r="L39" s="233"/>
      <c r="N39" s="292" t="str">
        <f t="shared" si="1"/>
        <v>6. 기술협의</v>
      </c>
      <c r="O39" s="37"/>
      <c r="P39" s="39"/>
      <c r="Q39" s="37"/>
      <c r="R39" s="117"/>
      <c r="S39" s="37"/>
      <c r="T39" s="37"/>
      <c r="U39" s="226"/>
      <c r="V39" s="231"/>
      <c r="W39" s="195">
        <f ca="1">SUBTOTAL(9,W40:W41)</f>
        <v>10851288</v>
      </c>
      <c r="X39" s="154"/>
      <c r="Y39" s="150" t="str">
        <f t="shared" si="2"/>
        <v/>
      </c>
      <c r="Z39" s="150"/>
    </row>
    <row r="40" spans="1:26" ht="18" customHeight="1">
      <c r="B40" s="223" t="s">
        <v>2387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389" t="s">
        <v>2391</v>
      </c>
      <c r="L40" s="233">
        <v>1</v>
      </c>
      <c r="N40" s="296" t="str">
        <f t="shared" si="1"/>
        <v>6.1. 관계기관 협의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SUM((ROUNDDOWN((D66:I66)*단가,0)))</f>
        <v>5425644</v>
      </c>
      <c r="X40" s="154"/>
      <c r="Y40" s="150" t="str">
        <f t="shared" si="2"/>
        <v>제 16 호표</v>
      </c>
      <c r="Z40" s="150"/>
    </row>
    <row r="41" spans="1:26" ht="18" customHeight="1" thickBot="1">
      <c r="B41" s="223" t="s">
        <v>2388</v>
      </c>
      <c r="C41" s="23"/>
      <c r="D41" s="197">
        <v>2</v>
      </c>
      <c r="E41" s="198">
        <v>2</v>
      </c>
      <c r="F41" s="198">
        <v>2</v>
      </c>
      <c r="G41" s="198">
        <v>4</v>
      </c>
      <c r="H41" s="198">
        <v>4</v>
      </c>
      <c r="I41" s="199">
        <v>4</v>
      </c>
      <c r="J41" s="612" t="s">
        <v>1094</v>
      </c>
      <c r="L41" s="233">
        <v>1</v>
      </c>
      <c r="N41" s="296" t="str">
        <f t="shared" si="1"/>
        <v>6.2. 위원회심의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SUM((ROUNDDOWN((D67:I67)*단가,0)))</f>
        <v>5425644</v>
      </c>
      <c r="X41" s="154"/>
      <c r="Y41" s="150" t="str">
        <f t="shared" si="2"/>
        <v>제 17 호표</v>
      </c>
      <c r="Z41" s="150"/>
    </row>
    <row r="42" spans="1:26" ht="18" customHeight="1" thickBot="1"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290" t="s">
        <v>10</v>
      </c>
      <c r="O42" s="129"/>
      <c r="P42" s="130"/>
      <c r="Q42" s="124"/>
      <c r="R42" s="131"/>
      <c r="S42" s="124"/>
      <c r="T42" s="124"/>
      <c r="U42" s="181"/>
      <c r="V42" s="181"/>
      <c r="W42" s="159">
        <f>SUBTOTAL(9,W43:W45)</f>
        <v>6000000</v>
      </c>
      <c r="X42" s="160"/>
      <c r="Y42" s="124"/>
      <c r="Z42" s="124"/>
    </row>
    <row r="43" spans="1:26" ht="18" customHeight="1">
      <c r="B43" s="225" t="s">
        <v>2368</v>
      </c>
      <c r="C43" s="72"/>
      <c r="D43" s="203">
        <f t="shared" ref="D43:I43" si="9">SUBTOTAL(9,D44:D46)</f>
        <v>0.18</v>
      </c>
      <c r="E43" s="204">
        <f t="shared" si="9"/>
        <v>0.3</v>
      </c>
      <c r="F43" s="204">
        <f t="shared" si="9"/>
        <v>0.6</v>
      </c>
      <c r="G43" s="204">
        <f t="shared" si="9"/>
        <v>0.96</v>
      </c>
      <c r="H43" s="204">
        <f t="shared" si="9"/>
        <v>1.44</v>
      </c>
      <c r="I43" s="205">
        <f t="shared" si="9"/>
        <v>1.7999999999999998</v>
      </c>
      <c r="J43" s="73"/>
      <c r="N43" s="291" t="str">
        <f>"여비("&amp;TEXT(T43,"#인 ×")&amp;TEXT(U43,"#일 ×")&amp;TEXT(V43,"###,###원)")</f>
        <v>여비(3인 ×10일 ×100,000원)</v>
      </c>
      <c r="O43" s="78"/>
      <c r="P43" s="52"/>
      <c r="Q43" s="51"/>
      <c r="T43" s="146">
        <v>3</v>
      </c>
      <c r="U43" s="146">
        <v>10</v>
      </c>
      <c r="V43" s="147">
        <v>100000</v>
      </c>
      <c r="W43" s="161">
        <f>T43*U43*V43</f>
        <v>3000000</v>
      </c>
      <c r="X43" s="162"/>
      <c r="Y43" s="51"/>
      <c r="Z43" s="51"/>
    </row>
    <row r="44" spans="1:26" ht="18" customHeight="1">
      <c r="A44" s="326">
        <v>1</v>
      </c>
      <c r="B44" s="223" t="s">
        <v>2369</v>
      </c>
      <c r="C44" s="23"/>
      <c r="D44" s="197">
        <f t="array" ref="D44:I46">ROUNDDOWN(D18:I20*L18:L20*$D$5*$D$6*D7,3)</f>
        <v>0.06</v>
      </c>
      <c r="E44" s="198">
        <v>0.12</v>
      </c>
      <c r="F44" s="198">
        <v>0.3</v>
      </c>
      <c r="G44" s="198">
        <v>0.42</v>
      </c>
      <c r="H44" s="198">
        <v>0.6</v>
      </c>
      <c r="I44" s="199">
        <v>0.78</v>
      </c>
      <c r="J44" s="389"/>
      <c r="N44" s="292" t="s">
        <v>46</v>
      </c>
      <c r="O44" s="79"/>
      <c r="P44" s="39"/>
      <c r="Q44" s="37"/>
      <c r="R44" s="117"/>
      <c r="S44" s="37"/>
      <c r="T44" s="37"/>
      <c r="U44" s="180"/>
      <c r="V44" s="180"/>
      <c r="W44" s="157">
        <v>2000000</v>
      </c>
      <c r="X44" s="158"/>
      <c r="Y44" s="37"/>
      <c r="Z44" s="37"/>
    </row>
    <row r="45" spans="1:26" ht="18" customHeight="1">
      <c r="A45" s="326">
        <v>2</v>
      </c>
      <c r="B45" s="223" t="s">
        <v>2370</v>
      </c>
      <c r="C45" s="23"/>
      <c r="D45" s="197">
        <v>0.06</v>
      </c>
      <c r="E45" s="198">
        <v>0.12</v>
      </c>
      <c r="F45" s="198">
        <v>0.18</v>
      </c>
      <c r="G45" s="198">
        <v>0.3</v>
      </c>
      <c r="H45" s="198">
        <v>0.48</v>
      </c>
      <c r="I45" s="199">
        <v>0.66</v>
      </c>
      <c r="J45" s="389"/>
      <c r="N45" s="293" t="s">
        <v>13</v>
      </c>
      <c r="O45" s="132"/>
      <c r="P45" s="38"/>
      <c r="Q45" s="38"/>
      <c r="R45" s="116"/>
      <c r="S45" s="38"/>
      <c r="T45" s="38"/>
      <c r="U45" s="183"/>
      <c r="V45" s="183"/>
      <c r="W45" s="155">
        <v>1000000</v>
      </c>
      <c r="X45" s="156"/>
      <c r="Y45" s="38"/>
      <c r="Z45" s="38"/>
    </row>
    <row r="46" spans="1:26" ht="18" customHeight="1">
      <c r="A46" s="326">
        <v>3</v>
      </c>
      <c r="B46" s="223" t="s">
        <v>2371</v>
      </c>
      <c r="C46" s="23"/>
      <c r="D46" s="197">
        <v>0.06</v>
      </c>
      <c r="E46" s="198">
        <v>0.06</v>
      </c>
      <c r="F46" s="198">
        <v>0.12</v>
      </c>
      <c r="G46" s="198">
        <v>0.24</v>
      </c>
      <c r="H46" s="198">
        <v>0.36</v>
      </c>
      <c r="I46" s="199">
        <v>0.36</v>
      </c>
      <c r="J46" s="389"/>
      <c r="N46" s="127" t="s">
        <v>47</v>
      </c>
      <c r="O46" s="123"/>
      <c r="P46" s="123"/>
      <c r="Q46" s="123"/>
      <c r="R46" s="123"/>
      <c r="S46" s="123"/>
      <c r="T46" s="123"/>
      <c r="U46" s="184"/>
      <c r="V46" s="184"/>
      <c r="W46" s="163">
        <f ca="1">SUBTOTAL(9,W47:W48)</f>
        <v>89380265</v>
      </c>
      <c r="X46" s="164"/>
      <c r="Y46" s="123"/>
      <c r="Z46" s="123"/>
    </row>
    <row r="47" spans="1:26" ht="18" customHeight="1">
      <c r="B47" s="222" t="s">
        <v>591</v>
      </c>
      <c r="C47" s="47"/>
      <c r="D47" s="48">
        <f t="shared" ref="D47:I47" si="10">SUBTOTAL(9,D48:D50)</f>
        <v>0.3</v>
      </c>
      <c r="E47" s="49">
        <f t="shared" si="10"/>
        <v>0.48</v>
      </c>
      <c r="F47" s="49">
        <f t="shared" si="10"/>
        <v>1.02</v>
      </c>
      <c r="G47" s="49">
        <f t="shared" si="10"/>
        <v>1.6800000000000002</v>
      </c>
      <c r="H47" s="49">
        <f t="shared" si="10"/>
        <v>2.34</v>
      </c>
      <c r="I47" s="50">
        <f t="shared" si="10"/>
        <v>3.3</v>
      </c>
      <c r="J47" s="74"/>
      <c r="N47" s="133" t="s">
        <v>861</v>
      </c>
      <c r="O47" s="124"/>
      <c r="P47" s="134"/>
      <c r="Q47" s="124"/>
      <c r="R47" s="131"/>
      <c r="S47" s="124"/>
      <c r="T47" s="181"/>
      <c r="U47" s="181"/>
      <c r="V47" s="190">
        <v>1.1499999999999999</v>
      </c>
      <c r="W47" s="159">
        <f ca="1">ROUNDDOWN(W16*V47,0)</f>
        <v>57263123</v>
      </c>
      <c r="X47" s="160"/>
      <c r="Y47" s="124"/>
      <c r="Z47" s="124"/>
    </row>
    <row r="48" spans="1:26" ht="18" customHeight="1" thickBot="1">
      <c r="A48" s="326">
        <v>4</v>
      </c>
      <c r="B48" s="223" t="s">
        <v>2372</v>
      </c>
      <c r="C48" s="23"/>
      <c r="D48" s="197">
        <f t="array" ref="D48:I50">ROUNDDOWN(D22:I24*L22:L24*$D$5*$D$6*D7,3)</f>
        <v>0.06</v>
      </c>
      <c r="E48" s="198">
        <v>0.12</v>
      </c>
      <c r="F48" s="198">
        <v>0.18</v>
      </c>
      <c r="G48" s="198">
        <v>0.24</v>
      </c>
      <c r="H48" s="198">
        <v>0.3</v>
      </c>
      <c r="I48" s="199">
        <v>0.36</v>
      </c>
      <c r="J48" s="74"/>
      <c r="M48" s="171"/>
      <c r="N48" s="135" t="s">
        <v>862</v>
      </c>
      <c r="O48" s="136"/>
      <c r="P48" s="137"/>
      <c r="Q48" s="136"/>
      <c r="R48" s="138"/>
      <c r="S48" s="136"/>
      <c r="T48" s="185"/>
      <c r="U48" s="185"/>
      <c r="V48" s="191">
        <v>0.3</v>
      </c>
      <c r="W48" s="165">
        <f ca="1">ROUNDDOWN((W16+W47)*V48,0)</f>
        <v>32117142</v>
      </c>
      <c r="X48" s="166"/>
      <c r="Y48" s="136"/>
      <c r="Z48" s="136"/>
    </row>
    <row r="49" spans="1:26" ht="18" customHeight="1">
      <c r="A49" s="326">
        <v>5</v>
      </c>
      <c r="B49" s="223" t="s">
        <v>2373</v>
      </c>
      <c r="C49" s="23"/>
      <c r="D49" s="197">
        <v>0.18</v>
      </c>
      <c r="E49" s="198">
        <v>0.24</v>
      </c>
      <c r="F49" s="198">
        <v>0.6</v>
      </c>
      <c r="G49" s="198">
        <v>1.08</v>
      </c>
      <c r="H49" s="198">
        <v>1.5</v>
      </c>
      <c r="I49" s="199">
        <v>2.2799999999999998</v>
      </c>
      <c r="J49" s="74"/>
      <c r="M49" s="171"/>
    </row>
    <row r="50" spans="1:26" ht="18" customHeight="1">
      <c r="A50" s="326">
        <v>6</v>
      </c>
      <c r="B50" s="223" t="s">
        <v>2374</v>
      </c>
      <c r="C50" s="23"/>
      <c r="D50" s="197">
        <v>0.06</v>
      </c>
      <c r="E50" s="198">
        <v>0.12</v>
      </c>
      <c r="F50" s="198">
        <v>0.24</v>
      </c>
      <c r="G50" s="198">
        <v>0.36</v>
      </c>
      <c r="H50" s="198">
        <v>0.54</v>
      </c>
      <c r="I50" s="199">
        <v>0.66</v>
      </c>
      <c r="J50" s="74"/>
      <c r="M50" s="171"/>
    </row>
    <row r="51" spans="1:26" ht="18" customHeight="1" thickBot="1">
      <c r="B51" s="222" t="s">
        <v>447</v>
      </c>
      <c r="C51" s="47"/>
      <c r="D51" s="48"/>
      <c r="E51" s="49"/>
      <c r="F51" s="49"/>
      <c r="G51" s="49"/>
      <c r="H51" s="49"/>
      <c r="I51" s="50"/>
      <c r="J51" s="74"/>
      <c r="M51" s="171"/>
      <c r="N51" s="66" t="s">
        <v>18</v>
      </c>
      <c r="O51" s="2"/>
      <c r="P51" s="2"/>
      <c r="Q51" s="2"/>
      <c r="R51" s="3"/>
      <c r="S51" s="4"/>
      <c r="T51" s="3"/>
      <c r="U51" s="4"/>
      <c r="V51" s="3"/>
      <c r="W51" s="4"/>
      <c r="X51" s="3"/>
      <c r="Y51" s="4"/>
      <c r="Z51" s="2"/>
    </row>
    <row r="52" spans="1:26" ht="18" customHeight="1">
      <c r="B52" s="223" t="s">
        <v>2375</v>
      </c>
      <c r="C52" s="23"/>
      <c r="D52" s="734">
        <f t="shared" ref="D52:I52" si="11">SUBTOTAL(9,D53:D54)</f>
        <v>2.4</v>
      </c>
      <c r="E52" s="735">
        <f t="shared" si="11"/>
        <v>5.34</v>
      </c>
      <c r="F52" s="735">
        <f t="shared" si="11"/>
        <v>13.2</v>
      </c>
      <c r="G52" s="735">
        <f t="shared" si="11"/>
        <v>14.4</v>
      </c>
      <c r="H52" s="735">
        <f t="shared" si="11"/>
        <v>15.6</v>
      </c>
      <c r="I52" s="736">
        <f t="shared" si="11"/>
        <v>15.6</v>
      </c>
      <c r="J52" s="74"/>
      <c r="M52" s="171"/>
      <c r="N52" s="765" t="s">
        <v>19</v>
      </c>
      <c r="O52" s="755" t="s">
        <v>20</v>
      </c>
      <c r="P52" s="755" t="s">
        <v>21</v>
      </c>
      <c r="Q52" s="755" t="s">
        <v>16</v>
      </c>
      <c r="R52" s="5" t="s">
        <v>22</v>
      </c>
      <c r="S52" s="5"/>
      <c r="T52" s="5" t="s">
        <v>23</v>
      </c>
      <c r="U52" s="5"/>
      <c r="V52" s="5" t="s">
        <v>24</v>
      </c>
      <c r="W52" s="5"/>
      <c r="X52" s="5" t="s">
        <v>25</v>
      </c>
      <c r="Y52" s="5"/>
      <c r="Z52" s="755" t="s">
        <v>26</v>
      </c>
    </row>
    <row r="53" spans="1:26" ht="18" customHeight="1" thickBot="1">
      <c r="A53" s="326">
        <v>7</v>
      </c>
      <c r="B53" s="223" t="s">
        <v>2376</v>
      </c>
      <c r="C53" s="23"/>
      <c r="D53" s="197">
        <f t="array" ref="D53:I54">ROUNDDOWN(D27:I28*L27:L28*$D$5*$D$6*D7,3)</f>
        <v>1.44</v>
      </c>
      <c r="E53" s="198">
        <v>3.24</v>
      </c>
      <c r="F53" s="198">
        <v>7.92</v>
      </c>
      <c r="G53" s="198">
        <v>8.64</v>
      </c>
      <c r="H53" s="198">
        <v>9.36</v>
      </c>
      <c r="I53" s="199">
        <v>9.36</v>
      </c>
      <c r="J53" s="74"/>
      <c r="M53" s="171"/>
      <c r="N53" s="766"/>
      <c r="O53" s="756"/>
      <c r="P53" s="756"/>
      <c r="Q53" s="756"/>
      <c r="R53" s="67" t="s">
        <v>27</v>
      </c>
      <c r="S53" s="67" t="s">
        <v>28</v>
      </c>
      <c r="T53" s="67" t="s">
        <v>27</v>
      </c>
      <c r="U53" s="67" t="s">
        <v>28</v>
      </c>
      <c r="V53" s="67" t="s">
        <v>27</v>
      </c>
      <c r="W53" s="67" t="s">
        <v>28</v>
      </c>
      <c r="X53" s="67" t="s">
        <v>27</v>
      </c>
      <c r="Y53" s="67" t="s">
        <v>28</v>
      </c>
      <c r="Z53" s="756"/>
    </row>
    <row r="54" spans="1:26" ht="18" customHeight="1" thickTop="1">
      <c r="A54" s="326">
        <v>8</v>
      </c>
      <c r="B54" s="223" t="s">
        <v>2377</v>
      </c>
      <c r="C54" s="23"/>
      <c r="D54" s="197">
        <v>0.96</v>
      </c>
      <c r="E54" s="198">
        <v>2.1</v>
      </c>
      <c r="F54" s="198">
        <v>5.28</v>
      </c>
      <c r="G54" s="198">
        <v>5.76</v>
      </c>
      <c r="H54" s="198">
        <v>6.24</v>
      </c>
      <c r="I54" s="199">
        <v>6.24</v>
      </c>
      <c r="J54" s="74"/>
      <c r="M54" s="171"/>
      <c r="N54" s="318" t="str">
        <f ca="1">"제 " &amp; Z54 &amp; " 호표  "&amp; OFFSET($A$1,MATCH(Z54,$A:$A,0)-1,1)</f>
        <v>제 1 호표  1.1. 경관자원 및 경관특성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v>1</v>
      </c>
    </row>
    <row r="55" spans="1:26" ht="18" customHeight="1">
      <c r="B55" s="223" t="s">
        <v>2378</v>
      </c>
      <c r="C55" s="23"/>
      <c r="D55" s="734">
        <f t="shared" ref="D55:I55" si="12">SUBTOTAL(9,D56:D58)</f>
        <v>1.68</v>
      </c>
      <c r="E55" s="198">
        <f t="shared" si="12"/>
        <v>3.7800000000000002</v>
      </c>
      <c r="F55" s="198">
        <f t="shared" si="12"/>
        <v>7.5600000000000005</v>
      </c>
      <c r="G55" s="198">
        <f t="shared" si="12"/>
        <v>8.4</v>
      </c>
      <c r="H55" s="198">
        <f t="shared" si="12"/>
        <v>9</v>
      </c>
      <c r="I55" s="199">
        <f t="shared" si="12"/>
        <v>9</v>
      </c>
      <c r="J55" s="74"/>
      <c r="M55" s="171"/>
      <c r="N55" s="140" t="s">
        <v>43</v>
      </c>
      <c r="O55" s="172">
        <v>3</v>
      </c>
      <c r="P55" s="219">
        <f ca="1">OFFSET($A$1,MATCH(Z54,$A:$A,0)-1,O55)</f>
        <v>0.06</v>
      </c>
      <c r="Q55" s="141" t="s">
        <v>29</v>
      </c>
      <c r="R55" s="142">
        <f t="shared" ref="R55:S60" ca="1" si="13">T55</f>
        <v>467217</v>
      </c>
      <c r="S55" s="142">
        <f t="shared" ca="1" si="13"/>
        <v>28033</v>
      </c>
      <c r="T55" s="142">
        <f ca="1">기술사</f>
        <v>467217</v>
      </c>
      <c r="U55" s="142">
        <f t="shared" ref="U55:U60" ca="1" si="14">ROUNDDOWN(P55*R55,0)</f>
        <v>28033</v>
      </c>
      <c r="V55" s="142"/>
      <c r="W55" s="142"/>
      <c r="X55" s="142"/>
      <c r="Y55" s="142"/>
      <c r="Z55" s="114"/>
    </row>
    <row r="56" spans="1:26" ht="18" customHeight="1">
      <c r="A56" s="326">
        <v>9</v>
      </c>
      <c r="B56" s="223" t="s">
        <v>2379</v>
      </c>
      <c r="C56" s="23"/>
      <c r="D56" s="197">
        <f t="array" ref="D56:I58">ROUNDDOWN(D30:I32*L30:L32*$D$5*$D$6*D7,3)</f>
        <v>0.66</v>
      </c>
      <c r="E56" s="198">
        <v>1.5</v>
      </c>
      <c r="F56" s="198">
        <v>3.06</v>
      </c>
      <c r="G56" s="198">
        <v>3.66</v>
      </c>
      <c r="H56" s="198">
        <v>3.6</v>
      </c>
      <c r="I56" s="199">
        <v>3.66</v>
      </c>
      <c r="J56" s="74"/>
      <c r="M56" s="171"/>
      <c r="N56" s="143" t="s">
        <v>32</v>
      </c>
      <c r="O56" s="173">
        <v>4</v>
      </c>
      <c r="P56" s="234">
        <f ca="1">OFFSET($A$1,MATCH(Z54,$A:$A,0)-1,O56)</f>
        <v>0.12</v>
      </c>
      <c r="Q56" s="144" t="s">
        <v>29</v>
      </c>
      <c r="R56" s="118">
        <f t="shared" ca="1" si="13"/>
        <v>373353</v>
      </c>
      <c r="S56" s="118">
        <f t="shared" ca="1" si="13"/>
        <v>44802</v>
      </c>
      <c r="T56" s="118">
        <f ca="1">특급</f>
        <v>373353</v>
      </c>
      <c r="U56" s="118">
        <f t="shared" ca="1" si="14"/>
        <v>44802</v>
      </c>
      <c r="V56" s="118"/>
      <c r="W56" s="118"/>
      <c r="X56" s="118"/>
      <c r="Y56" s="118"/>
      <c r="Z56" s="115"/>
    </row>
    <row r="57" spans="1:26" ht="18" customHeight="1">
      <c r="A57" s="326">
        <v>10</v>
      </c>
      <c r="B57" s="223" t="s">
        <v>2380</v>
      </c>
      <c r="C57" s="23"/>
      <c r="D57" s="197">
        <v>0.72</v>
      </c>
      <c r="E57" s="198">
        <v>1.56</v>
      </c>
      <c r="F57" s="198">
        <v>3</v>
      </c>
      <c r="G57" s="198">
        <v>3.06</v>
      </c>
      <c r="H57" s="198">
        <v>3.66</v>
      </c>
      <c r="I57" s="199">
        <v>3.6</v>
      </c>
      <c r="J57" s="74"/>
      <c r="M57" s="171"/>
      <c r="N57" s="145" t="s">
        <v>39</v>
      </c>
      <c r="O57" s="173">
        <v>5</v>
      </c>
      <c r="P57" s="234">
        <f ca="1">OFFSET($A$1,MATCH(Z54,$A:$A,0)-1,O57)</f>
        <v>0.3</v>
      </c>
      <c r="Q57" s="144" t="s">
        <v>29</v>
      </c>
      <c r="R57" s="118">
        <f t="shared" ca="1" si="13"/>
        <v>310884</v>
      </c>
      <c r="S57" s="118">
        <f t="shared" ca="1" si="13"/>
        <v>93265</v>
      </c>
      <c r="T57" s="118">
        <f ca="1">고급</f>
        <v>310884</v>
      </c>
      <c r="U57" s="118">
        <f t="shared" ca="1" si="14"/>
        <v>93265</v>
      </c>
      <c r="V57" s="118"/>
      <c r="W57" s="118"/>
      <c r="X57" s="118"/>
      <c r="Y57" s="118"/>
      <c r="Z57" s="115"/>
    </row>
    <row r="58" spans="1:26" ht="18" customHeight="1">
      <c r="A58" s="326">
        <v>11</v>
      </c>
      <c r="B58" s="223" t="s">
        <v>2381</v>
      </c>
      <c r="C58" s="23"/>
      <c r="D58" s="197">
        <v>0.3</v>
      </c>
      <c r="E58" s="198">
        <v>0.72</v>
      </c>
      <c r="F58" s="198">
        <v>1.5</v>
      </c>
      <c r="G58" s="198">
        <v>1.68</v>
      </c>
      <c r="H58" s="198">
        <v>1.74</v>
      </c>
      <c r="I58" s="199">
        <v>1.74</v>
      </c>
      <c r="J58" s="74"/>
      <c r="M58" s="171"/>
      <c r="N58" s="145" t="s">
        <v>40</v>
      </c>
      <c r="O58" s="173">
        <v>6</v>
      </c>
      <c r="P58" s="234">
        <f ca="1">OFFSET($A$1,MATCH(Z54,$A:$A,0)-1,O58)</f>
        <v>0.42</v>
      </c>
      <c r="Q58" s="144" t="s">
        <v>29</v>
      </c>
      <c r="R58" s="118">
        <f t="shared" ca="1" si="13"/>
        <v>295138</v>
      </c>
      <c r="S58" s="118">
        <f t="shared" ca="1" si="13"/>
        <v>123957</v>
      </c>
      <c r="T58" s="118">
        <f ca="1">중급</f>
        <v>295138</v>
      </c>
      <c r="U58" s="118">
        <f t="shared" ca="1" si="14"/>
        <v>123957</v>
      </c>
      <c r="V58" s="118"/>
      <c r="W58" s="118"/>
      <c r="X58" s="118"/>
      <c r="Y58" s="118"/>
      <c r="Z58" s="115"/>
    </row>
    <row r="59" spans="1:26" ht="18" customHeight="1">
      <c r="B59" s="222" t="s">
        <v>599</v>
      </c>
      <c r="C59" s="47"/>
      <c r="D59" s="48">
        <f t="shared" ref="D59:I59" si="15">SUBTOTAL(9,D60:D61)</f>
        <v>1.2</v>
      </c>
      <c r="E59" s="49">
        <f t="shared" si="15"/>
        <v>1.8</v>
      </c>
      <c r="F59" s="49">
        <f t="shared" si="15"/>
        <v>1.2</v>
      </c>
      <c r="G59" s="49">
        <f t="shared" si="15"/>
        <v>1.56</v>
      </c>
      <c r="H59" s="49">
        <f t="shared" si="15"/>
        <v>1.56</v>
      </c>
      <c r="I59" s="50">
        <f t="shared" si="15"/>
        <v>1.2</v>
      </c>
      <c r="J59" s="74"/>
      <c r="M59" s="171"/>
      <c r="N59" s="145" t="s">
        <v>41</v>
      </c>
      <c r="O59" s="173">
        <v>7</v>
      </c>
      <c r="P59" s="234">
        <f ca="1">OFFSET($A$1,MATCH(Z54,$A:$A,0)-1,O59)</f>
        <v>0.6</v>
      </c>
      <c r="Q59" s="144" t="s">
        <v>29</v>
      </c>
      <c r="R59" s="118">
        <f t="shared" ca="1" si="13"/>
        <v>235459</v>
      </c>
      <c r="S59" s="118">
        <f t="shared" ca="1" si="13"/>
        <v>141275</v>
      </c>
      <c r="T59" s="118">
        <f ca="1">초급</f>
        <v>235459</v>
      </c>
      <c r="U59" s="118">
        <f t="shared" ca="1" si="14"/>
        <v>141275</v>
      </c>
      <c r="V59" s="118"/>
      <c r="W59" s="118"/>
      <c r="X59" s="118"/>
      <c r="Y59" s="118"/>
      <c r="Z59" s="115"/>
    </row>
    <row r="60" spans="1:26" ht="18" customHeight="1">
      <c r="A60" s="326">
        <v>12</v>
      </c>
      <c r="B60" s="223" t="s">
        <v>2382</v>
      </c>
      <c r="C60" s="23"/>
      <c r="D60" s="197">
        <f t="array" ref="D60:I61">ROUNDDOWN(D34:I35*L34:L35*$D$5*$D$6*D7,3)</f>
        <v>0.18</v>
      </c>
      <c r="E60" s="198">
        <v>0.24</v>
      </c>
      <c r="F60" s="198">
        <v>0.18</v>
      </c>
      <c r="G60" s="198">
        <v>0.24</v>
      </c>
      <c r="H60" s="198">
        <v>0.24</v>
      </c>
      <c r="I60" s="199">
        <v>0.18</v>
      </c>
      <c r="J60" s="74"/>
      <c r="M60" s="171"/>
      <c r="N60" s="319" t="s">
        <v>42</v>
      </c>
      <c r="O60" s="174">
        <v>8</v>
      </c>
      <c r="P60" s="235">
        <f ca="1">OFFSET($A$1,MATCH(Z54,$A:$A,0)-1,O60)</f>
        <v>0.78</v>
      </c>
      <c r="Q60" s="322" t="s">
        <v>29</v>
      </c>
      <c r="R60" s="323">
        <f t="shared" ca="1" si="13"/>
        <v>250087</v>
      </c>
      <c r="S60" s="323">
        <f t="shared" ca="1" si="13"/>
        <v>195067</v>
      </c>
      <c r="T60" s="323">
        <f ca="1">보조원</f>
        <v>250087</v>
      </c>
      <c r="U60" s="323">
        <f t="shared" ca="1" si="14"/>
        <v>195067</v>
      </c>
      <c r="V60" s="323"/>
      <c r="W60" s="323"/>
      <c r="X60" s="323"/>
      <c r="Y60" s="323"/>
      <c r="Z60" s="324"/>
    </row>
    <row r="61" spans="1:26" ht="18" customHeight="1">
      <c r="A61" s="326">
        <v>13</v>
      </c>
      <c r="B61" s="223" t="s">
        <v>2383</v>
      </c>
      <c r="C61" s="23"/>
      <c r="D61" s="197">
        <v>1.02</v>
      </c>
      <c r="E61" s="198">
        <v>1.56</v>
      </c>
      <c r="F61" s="198">
        <v>1.02</v>
      </c>
      <c r="G61" s="198">
        <v>1.32</v>
      </c>
      <c r="H61" s="198">
        <v>1.32</v>
      </c>
      <c r="I61" s="199">
        <v>1.02</v>
      </c>
      <c r="J61" s="74"/>
      <c r="M61" s="171"/>
      <c r="N61" s="139" t="s">
        <v>17</v>
      </c>
      <c r="O61" s="68"/>
      <c r="P61" s="69"/>
      <c r="Q61" s="70"/>
      <c r="R61" s="71"/>
      <c r="S61" s="71">
        <f ca="1">SUBTOTAL(9,S55:S60)</f>
        <v>626399</v>
      </c>
      <c r="T61" s="71"/>
      <c r="U61" s="71">
        <f ca="1">SUBTOTAL(9,U55:U60)</f>
        <v>626399</v>
      </c>
      <c r="V61" s="71"/>
      <c r="W61" s="71"/>
      <c r="X61" s="71"/>
      <c r="Y61" s="71"/>
      <c r="Z61" s="68"/>
    </row>
    <row r="62" spans="1:26" ht="18" customHeight="1">
      <c r="B62" s="222" t="s">
        <v>2384</v>
      </c>
      <c r="C62" s="47"/>
      <c r="D62" s="48">
        <f t="shared" ref="D62:I62" si="16">SUBTOTAL(9,D63:D64)</f>
        <v>0.24</v>
      </c>
      <c r="E62" s="49">
        <f t="shared" si="16"/>
        <v>0.36</v>
      </c>
      <c r="F62" s="49">
        <f t="shared" si="16"/>
        <v>0.84000000000000008</v>
      </c>
      <c r="G62" s="49">
        <f t="shared" si="16"/>
        <v>1.44</v>
      </c>
      <c r="H62" s="49">
        <f t="shared" si="16"/>
        <v>1.7999999999999998</v>
      </c>
      <c r="I62" s="50">
        <f t="shared" si="16"/>
        <v>1.7999999999999998</v>
      </c>
      <c r="J62" s="74"/>
      <c r="M62" s="171"/>
      <c r="N62" s="318" t="str">
        <f ca="1">"제 " &amp; Z62 &amp; " 호표  "&amp; OFFSET($A$1,MATCH(Z62,$A:$A,0)-1,1)</f>
        <v>제 2 호표  1.2. 경관관련계획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2</v>
      </c>
    </row>
    <row r="63" spans="1:26" ht="18" customHeight="1">
      <c r="A63" s="326">
        <v>14</v>
      </c>
      <c r="B63" s="223" t="s">
        <v>2385</v>
      </c>
      <c r="C63" s="23"/>
      <c r="D63" s="197">
        <f t="array" ref="D63:I64">ROUNDDOWN(D37:I38*L37:L38*$D$5*$D$6*D7,3)</f>
        <v>0.18</v>
      </c>
      <c r="E63" s="198">
        <v>0.24</v>
      </c>
      <c r="F63" s="198">
        <v>0.66</v>
      </c>
      <c r="G63" s="198">
        <v>1.1399999999999999</v>
      </c>
      <c r="H63" s="198">
        <v>1.1399999999999999</v>
      </c>
      <c r="I63" s="199">
        <v>1.1399999999999999</v>
      </c>
      <c r="J63" s="74"/>
      <c r="M63" s="171"/>
      <c r="N63" s="140" t="s">
        <v>43</v>
      </c>
      <c r="O63" s="172">
        <v>3</v>
      </c>
      <c r="P63" s="219">
        <f ca="1">OFFSET($A$1,MATCH(Z62,$A:$A,0)-1,O63)</f>
        <v>0.06</v>
      </c>
      <c r="Q63" s="141" t="s">
        <v>29</v>
      </c>
      <c r="R63" s="142">
        <f t="shared" ref="R63:S68" ca="1" si="17">T63</f>
        <v>467217</v>
      </c>
      <c r="S63" s="142">
        <f t="shared" ca="1" si="17"/>
        <v>28033</v>
      </c>
      <c r="T63" s="142">
        <f ca="1">기술사</f>
        <v>467217</v>
      </c>
      <c r="U63" s="142">
        <f t="shared" ref="U63:U68" ca="1" si="18">ROUNDDOWN(P63*R63,0)</f>
        <v>28033</v>
      </c>
      <c r="V63" s="142"/>
      <c r="W63" s="142"/>
      <c r="X63" s="142"/>
      <c r="Y63" s="142"/>
      <c r="Z63" s="114"/>
    </row>
    <row r="64" spans="1:26" ht="18" customHeight="1">
      <c r="A64" s="326">
        <v>15</v>
      </c>
      <c r="B64" s="259" t="s">
        <v>2386</v>
      </c>
      <c r="C64" s="43"/>
      <c r="D64" s="206">
        <v>0.06</v>
      </c>
      <c r="E64" s="207">
        <v>0.12</v>
      </c>
      <c r="F64" s="207">
        <v>0.18</v>
      </c>
      <c r="G64" s="207">
        <v>0.3</v>
      </c>
      <c r="H64" s="207">
        <v>0.66</v>
      </c>
      <c r="I64" s="208">
        <v>0.66</v>
      </c>
      <c r="J64" s="74"/>
      <c r="M64" s="171"/>
      <c r="N64" s="143" t="s">
        <v>32</v>
      </c>
      <c r="O64" s="173">
        <v>4</v>
      </c>
      <c r="P64" s="234">
        <f ca="1">OFFSET($A$1,MATCH(Z62,$A:$A,0)-1,O64)</f>
        <v>0.12</v>
      </c>
      <c r="Q64" s="144" t="s">
        <v>29</v>
      </c>
      <c r="R64" s="118">
        <f t="shared" ca="1" si="17"/>
        <v>373353</v>
      </c>
      <c r="S64" s="118">
        <f t="shared" ca="1" si="17"/>
        <v>44802</v>
      </c>
      <c r="T64" s="118">
        <f ca="1">특급</f>
        <v>373353</v>
      </c>
      <c r="U64" s="118">
        <f t="shared" ca="1" si="18"/>
        <v>44802</v>
      </c>
      <c r="V64" s="118"/>
      <c r="W64" s="118"/>
      <c r="X64" s="118"/>
      <c r="Y64" s="118"/>
      <c r="Z64" s="115"/>
    </row>
    <row r="65" spans="1:26" ht="18" customHeight="1">
      <c r="B65" s="222" t="s">
        <v>426</v>
      </c>
      <c r="C65" s="47"/>
      <c r="D65" s="48">
        <f t="shared" ref="D65:I65" si="19">SUBTOTAL(9,D66:D67)</f>
        <v>4</v>
      </c>
      <c r="E65" s="49">
        <f t="shared" si="19"/>
        <v>4</v>
      </c>
      <c r="F65" s="49">
        <f t="shared" si="19"/>
        <v>4</v>
      </c>
      <c r="G65" s="49">
        <f t="shared" si="19"/>
        <v>8</v>
      </c>
      <c r="H65" s="49">
        <f t="shared" si="19"/>
        <v>8</v>
      </c>
      <c r="I65" s="50">
        <f t="shared" si="19"/>
        <v>8</v>
      </c>
      <c r="J65" s="74"/>
      <c r="M65" s="171"/>
      <c r="N65" s="145" t="s">
        <v>39</v>
      </c>
      <c r="O65" s="173">
        <v>5</v>
      </c>
      <c r="P65" s="234">
        <f ca="1">OFFSET($A$1,MATCH(Z62,$A:$A,0)-1,O65)</f>
        <v>0.18</v>
      </c>
      <c r="Q65" s="144" t="s">
        <v>29</v>
      </c>
      <c r="R65" s="118">
        <f t="shared" ca="1" si="17"/>
        <v>310884</v>
      </c>
      <c r="S65" s="118">
        <f t="shared" ca="1" si="17"/>
        <v>55959</v>
      </c>
      <c r="T65" s="118">
        <f ca="1">고급</f>
        <v>310884</v>
      </c>
      <c r="U65" s="118">
        <f t="shared" ca="1" si="18"/>
        <v>55959</v>
      </c>
      <c r="V65" s="118"/>
      <c r="W65" s="118"/>
      <c r="X65" s="118"/>
      <c r="Y65" s="118"/>
      <c r="Z65" s="115"/>
    </row>
    <row r="66" spans="1:26" ht="18" customHeight="1">
      <c r="A66" s="326">
        <v>16</v>
      </c>
      <c r="B66" s="223" t="s">
        <v>2387</v>
      </c>
      <c r="C66" s="23"/>
      <c r="D66" s="197">
        <f t="array" ref="D66:I67">ROUNDDOWN(D40:I41*L40:L41*I5,3)</f>
        <v>2</v>
      </c>
      <c r="E66" s="198">
        <v>2</v>
      </c>
      <c r="F66" s="198">
        <v>2</v>
      </c>
      <c r="G66" s="198">
        <v>4</v>
      </c>
      <c r="H66" s="198">
        <v>4</v>
      </c>
      <c r="I66" s="199">
        <v>4</v>
      </c>
      <c r="J66" s="74"/>
      <c r="M66" s="171"/>
      <c r="N66" s="145" t="s">
        <v>40</v>
      </c>
      <c r="O66" s="173">
        <v>6</v>
      </c>
      <c r="P66" s="234">
        <f ca="1">OFFSET($A$1,MATCH(Z62,$A:$A,0)-1,O66)</f>
        <v>0.3</v>
      </c>
      <c r="Q66" s="144" t="s">
        <v>29</v>
      </c>
      <c r="R66" s="118">
        <f t="shared" ca="1" si="17"/>
        <v>295138</v>
      </c>
      <c r="S66" s="118">
        <f t="shared" ca="1" si="17"/>
        <v>88541</v>
      </c>
      <c r="T66" s="118">
        <f ca="1">중급</f>
        <v>295138</v>
      </c>
      <c r="U66" s="118">
        <f t="shared" ca="1" si="18"/>
        <v>88541</v>
      </c>
      <c r="V66" s="118"/>
      <c r="W66" s="118"/>
      <c r="X66" s="118"/>
      <c r="Y66" s="118"/>
      <c r="Z66" s="115"/>
    </row>
    <row r="67" spans="1:26" ht="18" customHeight="1" thickBot="1">
      <c r="A67" s="326">
        <v>17</v>
      </c>
      <c r="B67" s="388" t="s">
        <v>2388</v>
      </c>
      <c r="C67" s="342"/>
      <c r="D67" s="343">
        <v>2</v>
      </c>
      <c r="E67" s="344">
        <v>2</v>
      </c>
      <c r="F67" s="344">
        <v>2</v>
      </c>
      <c r="G67" s="344">
        <v>4</v>
      </c>
      <c r="H67" s="344">
        <v>4</v>
      </c>
      <c r="I67" s="345">
        <v>4</v>
      </c>
      <c r="J67" s="176"/>
      <c r="L67" s="171"/>
      <c r="M67" s="171"/>
      <c r="N67" s="145" t="s">
        <v>41</v>
      </c>
      <c r="O67" s="173">
        <v>7</v>
      </c>
      <c r="P67" s="234">
        <f ca="1">OFFSET($A$1,MATCH(Z62,$A:$A,0)-1,O67)</f>
        <v>0.48</v>
      </c>
      <c r="Q67" s="144" t="s">
        <v>29</v>
      </c>
      <c r="R67" s="118">
        <f t="shared" ca="1" si="17"/>
        <v>235459</v>
      </c>
      <c r="S67" s="118">
        <f t="shared" ca="1" si="17"/>
        <v>113020</v>
      </c>
      <c r="T67" s="118">
        <f ca="1">초급</f>
        <v>235459</v>
      </c>
      <c r="U67" s="118">
        <f t="shared" ca="1" si="18"/>
        <v>113020</v>
      </c>
      <c r="V67" s="118"/>
      <c r="W67" s="118"/>
      <c r="X67" s="118"/>
      <c r="Y67" s="118"/>
      <c r="Z67" s="115"/>
    </row>
    <row r="68" spans="1:26" ht="18" customHeight="1">
      <c r="B68" s="80" t="s">
        <v>15</v>
      </c>
      <c r="C68" s="9" t="s">
        <v>2356</v>
      </c>
      <c r="L68" s="171"/>
      <c r="M68" s="171"/>
      <c r="N68" s="319" t="s">
        <v>42</v>
      </c>
      <c r="O68" s="174">
        <v>8</v>
      </c>
      <c r="P68" s="235">
        <f ca="1">OFFSET($A$1,MATCH(Z62,$A:$A,0)-1,O68)</f>
        <v>0.66</v>
      </c>
      <c r="Q68" s="322" t="s">
        <v>29</v>
      </c>
      <c r="R68" s="323">
        <f t="shared" ca="1" si="17"/>
        <v>250087</v>
      </c>
      <c r="S68" s="323">
        <f t="shared" ca="1" si="17"/>
        <v>165057</v>
      </c>
      <c r="T68" s="323">
        <f ca="1">보조원</f>
        <v>250087</v>
      </c>
      <c r="U68" s="323">
        <f t="shared" ca="1" si="18"/>
        <v>165057</v>
      </c>
      <c r="V68" s="323"/>
      <c r="W68" s="323"/>
      <c r="X68" s="323"/>
      <c r="Y68" s="323"/>
      <c r="Z68" s="324"/>
    </row>
    <row r="69" spans="1:26" ht="18" customHeight="1">
      <c r="C69" s="1" t="s">
        <v>2357</v>
      </c>
      <c r="L69" s="171"/>
      <c r="M69" s="171"/>
      <c r="N69" s="139" t="s">
        <v>17</v>
      </c>
      <c r="O69" s="68"/>
      <c r="P69" s="69"/>
      <c r="Q69" s="70"/>
      <c r="R69" s="71"/>
      <c r="S69" s="71">
        <f ca="1">SUBTOTAL(9,S63:S68)</f>
        <v>495412</v>
      </c>
      <c r="T69" s="71"/>
      <c r="U69" s="71">
        <f ca="1">SUBTOTAL(9,U63:U68)</f>
        <v>495412</v>
      </c>
      <c r="V69" s="71"/>
      <c r="W69" s="71"/>
      <c r="X69" s="71"/>
      <c r="Y69" s="71"/>
      <c r="Z69" s="68"/>
    </row>
    <row r="70" spans="1:26" ht="18" customHeight="1">
      <c r="C70" s="9" t="s">
        <v>1656</v>
      </c>
      <c r="L70" s="171"/>
      <c r="M70" s="171"/>
      <c r="N70" s="318" t="str">
        <f ca="1">"제 " &amp; Z70 &amp; " 호표  "&amp; OFFSET($A$1,MATCH(Z70,$A:$A,0)-1,1)</f>
        <v>제 3 호표  1.3. 종합분석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3</v>
      </c>
    </row>
    <row r="71" spans="1:26" ht="18" customHeight="1">
      <c r="C71" s="1" t="s">
        <v>2358</v>
      </c>
      <c r="L71" s="171"/>
      <c r="M71" s="171"/>
      <c r="N71" s="140" t="s">
        <v>43</v>
      </c>
      <c r="O71" s="172">
        <v>3</v>
      </c>
      <c r="P71" s="219">
        <f ca="1">OFFSET($A$1,MATCH(Z70,$A:$A,0)-1,O71)</f>
        <v>0.06</v>
      </c>
      <c r="Q71" s="141" t="s">
        <v>29</v>
      </c>
      <c r="R71" s="142">
        <f t="shared" ref="R71:S76" ca="1" si="20">T71</f>
        <v>467217</v>
      </c>
      <c r="S71" s="142">
        <f t="shared" ca="1" si="20"/>
        <v>28033</v>
      </c>
      <c r="T71" s="142">
        <f ca="1">기술사</f>
        <v>467217</v>
      </c>
      <c r="U71" s="142">
        <f t="shared" ref="U71:U76" ca="1" si="21">ROUNDDOWN(P71*R71,0)</f>
        <v>28033</v>
      </c>
      <c r="V71" s="142"/>
      <c r="W71" s="142"/>
      <c r="X71" s="142"/>
      <c r="Y71" s="142"/>
      <c r="Z71" s="114"/>
    </row>
    <row r="72" spans="1:26" ht="18" customHeight="1">
      <c r="C72" s="9"/>
      <c r="K72" s="171" t="s">
        <v>14</v>
      </c>
      <c r="L72" s="171"/>
      <c r="M72" s="171"/>
      <c r="N72" s="143" t="s">
        <v>32</v>
      </c>
      <c r="O72" s="173">
        <v>4</v>
      </c>
      <c r="P72" s="234">
        <f ca="1">OFFSET($A$1,MATCH(Z70,$A:$A,0)-1,O72)</f>
        <v>0.06</v>
      </c>
      <c r="Q72" s="144" t="s">
        <v>29</v>
      </c>
      <c r="R72" s="118">
        <f t="shared" ca="1" si="20"/>
        <v>373353</v>
      </c>
      <c r="S72" s="118">
        <f t="shared" ca="1" si="20"/>
        <v>22401</v>
      </c>
      <c r="T72" s="118">
        <f ca="1">특급</f>
        <v>373353</v>
      </c>
      <c r="U72" s="118">
        <f t="shared" ca="1" si="21"/>
        <v>22401</v>
      </c>
      <c r="V72" s="118"/>
      <c r="W72" s="118"/>
      <c r="X72" s="118"/>
      <c r="Y72" s="118"/>
      <c r="Z72" s="115"/>
    </row>
    <row r="73" spans="1:26" ht="18" customHeight="1">
      <c r="K73" s="171" t="s">
        <v>14</v>
      </c>
      <c r="L73" s="171"/>
      <c r="M73" s="171"/>
      <c r="N73" s="145" t="s">
        <v>39</v>
      </c>
      <c r="O73" s="173">
        <v>5</v>
      </c>
      <c r="P73" s="234">
        <f ca="1">OFFSET($A$1,MATCH(Z70,$A:$A,0)-1,O73)</f>
        <v>0.12</v>
      </c>
      <c r="Q73" s="144" t="s">
        <v>29</v>
      </c>
      <c r="R73" s="118">
        <f t="shared" ca="1" si="20"/>
        <v>310884</v>
      </c>
      <c r="S73" s="118">
        <f t="shared" ca="1" si="20"/>
        <v>37306</v>
      </c>
      <c r="T73" s="118">
        <f ca="1">고급</f>
        <v>310884</v>
      </c>
      <c r="U73" s="118">
        <f t="shared" ca="1" si="21"/>
        <v>37306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145" t="s">
        <v>40</v>
      </c>
      <c r="O74" s="173">
        <v>6</v>
      </c>
      <c r="P74" s="234">
        <f ca="1">OFFSET($A$1,MATCH(Z70,$A:$A,0)-1,O74)</f>
        <v>0.24</v>
      </c>
      <c r="Q74" s="144" t="s">
        <v>29</v>
      </c>
      <c r="R74" s="118">
        <f t="shared" ca="1" si="20"/>
        <v>295138</v>
      </c>
      <c r="S74" s="118">
        <f t="shared" ca="1" si="20"/>
        <v>70833</v>
      </c>
      <c r="T74" s="118">
        <f ca="1">중급</f>
        <v>295138</v>
      </c>
      <c r="U74" s="118">
        <f t="shared" ca="1" si="21"/>
        <v>70833</v>
      </c>
      <c r="V74" s="118"/>
      <c r="W74" s="118"/>
      <c r="X74" s="118"/>
      <c r="Y74" s="118"/>
      <c r="Z74" s="115"/>
    </row>
    <row r="75" spans="1:26" ht="18" customHeight="1">
      <c r="C75" s="9"/>
      <c r="K75" s="171" t="s">
        <v>14</v>
      </c>
      <c r="L75" s="171"/>
      <c r="M75" s="171"/>
      <c r="N75" s="145" t="s">
        <v>41</v>
      </c>
      <c r="O75" s="173">
        <v>7</v>
      </c>
      <c r="P75" s="234">
        <f ca="1">OFFSET($A$1,MATCH(Z70,$A:$A,0)-1,O75)</f>
        <v>0.36</v>
      </c>
      <c r="Q75" s="144" t="s">
        <v>29</v>
      </c>
      <c r="R75" s="118">
        <f t="shared" ca="1" si="20"/>
        <v>235459</v>
      </c>
      <c r="S75" s="118">
        <f t="shared" ca="1" si="20"/>
        <v>84765</v>
      </c>
      <c r="T75" s="118">
        <f ca="1">초급</f>
        <v>235459</v>
      </c>
      <c r="U75" s="118">
        <f t="shared" ca="1" si="21"/>
        <v>84765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M76" s="171"/>
      <c r="N76" s="319" t="s">
        <v>42</v>
      </c>
      <c r="O76" s="174">
        <v>8</v>
      </c>
      <c r="P76" s="235">
        <f ca="1">OFFSET($A$1,MATCH(Z70,$A:$A,0)-1,O76)</f>
        <v>0.36</v>
      </c>
      <c r="Q76" s="322" t="s">
        <v>29</v>
      </c>
      <c r="R76" s="323">
        <f t="shared" ca="1" si="20"/>
        <v>250087</v>
      </c>
      <c r="S76" s="323">
        <f t="shared" ca="1" si="20"/>
        <v>90031</v>
      </c>
      <c r="T76" s="323">
        <f ca="1">보조원</f>
        <v>250087</v>
      </c>
      <c r="U76" s="323">
        <f t="shared" ca="1" si="21"/>
        <v>90031</v>
      </c>
      <c r="V76" s="323"/>
      <c r="W76" s="323"/>
      <c r="X76" s="323"/>
      <c r="Y76" s="323"/>
      <c r="Z76" s="324"/>
    </row>
    <row r="77" spans="1:26" ht="18" customHeight="1">
      <c r="K77" s="171" t="s">
        <v>14</v>
      </c>
      <c r="L77" s="171"/>
      <c r="M77" s="171"/>
      <c r="N77" s="139" t="s">
        <v>17</v>
      </c>
      <c r="O77" s="68"/>
      <c r="P77" s="69"/>
      <c r="Q77" s="70"/>
      <c r="R77" s="71"/>
      <c r="S77" s="71">
        <f ca="1">SUBTOTAL(9,S71:S76)</f>
        <v>333369</v>
      </c>
      <c r="T77" s="71"/>
      <c r="U77" s="71">
        <f ca="1">SUBTOTAL(9,U71:U76)</f>
        <v>333369</v>
      </c>
      <c r="V77" s="71"/>
      <c r="W77" s="71"/>
      <c r="X77" s="71"/>
      <c r="Y77" s="71"/>
      <c r="Z77" s="68"/>
    </row>
    <row r="78" spans="1:26" ht="18" customHeight="1">
      <c r="K78" s="171" t="s">
        <v>14</v>
      </c>
      <c r="L78" s="171"/>
      <c r="M78" s="171"/>
      <c r="N78" s="318" t="str">
        <f ca="1">"제 " &amp; Z78 &amp; " 호표  "&amp; OFFSET($A$1,MATCH(Z78,$A:$A,0)-1,1)</f>
        <v>제 4 호표  2.1. 기본방향 및 테마설정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4</v>
      </c>
    </row>
    <row r="79" spans="1:26" ht="18" customHeight="1">
      <c r="K79" s="171" t="s">
        <v>14</v>
      </c>
      <c r="L79" s="171"/>
      <c r="M79" s="171"/>
      <c r="N79" s="140" t="s">
        <v>43</v>
      </c>
      <c r="O79" s="172">
        <v>3</v>
      </c>
      <c r="P79" s="219">
        <f ca="1">OFFSET($A$1,MATCH(Z78,$A:$A,0)-1,O79)</f>
        <v>0.06</v>
      </c>
      <c r="Q79" s="141" t="s">
        <v>29</v>
      </c>
      <c r="R79" s="142">
        <f t="shared" ref="R79:S84" ca="1" si="22">T79</f>
        <v>467217</v>
      </c>
      <c r="S79" s="142">
        <f t="shared" ca="1" si="22"/>
        <v>28033</v>
      </c>
      <c r="T79" s="142">
        <f ca="1">기술사</f>
        <v>467217</v>
      </c>
      <c r="U79" s="142">
        <f t="shared" ref="U79:U84" ca="1" si="23">ROUNDDOWN(P79*R79,0)</f>
        <v>28033</v>
      </c>
      <c r="V79" s="142"/>
      <c r="W79" s="142"/>
      <c r="X79" s="142"/>
      <c r="Y79" s="142"/>
      <c r="Z79" s="114"/>
    </row>
    <row r="80" spans="1:26" ht="18" customHeight="1">
      <c r="K80" s="171" t="s">
        <v>14</v>
      </c>
      <c r="L80" s="171"/>
      <c r="M80" s="171"/>
      <c r="N80" s="143" t="s">
        <v>32</v>
      </c>
      <c r="O80" s="173">
        <v>4</v>
      </c>
      <c r="P80" s="234">
        <f ca="1">OFFSET($A$1,MATCH(Z78,$A:$A,0)-1,O80)</f>
        <v>0.12</v>
      </c>
      <c r="Q80" s="144" t="s">
        <v>29</v>
      </c>
      <c r="R80" s="118">
        <f t="shared" ca="1" si="22"/>
        <v>373353</v>
      </c>
      <c r="S80" s="118">
        <f t="shared" ca="1" si="22"/>
        <v>44802</v>
      </c>
      <c r="T80" s="118">
        <f ca="1">특급</f>
        <v>373353</v>
      </c>
      <c r="U80" s="118">
        <f t="shared" ca="1" si="23"/>
        <v>44802</v>
      </c>
      <c r="V80" s="118"/>
      <c r="W80" s="118"/>
      <c r="X80" s="118"/>
      <c r="Y80" s="118"/>
      <c r="Z80" s="115"/>
    </row>
    <row r="81" spans="3:26" ht="18" customHeight="1">
      <c r="C81" s="9"/>
      <c r="K81" s="171" t="s">
        <v>14</v>
      </c>
      <c r="L81" s="171"/>
      <c r="M81" s="171"/>
      <c r="N81" s="145" t="s">
        <v>39</v>
      </c>
      <c r="O81" s="173">
        <v>5</v>
      </c>
      <c r="P81" s="234">
        <f ca="1">OFFSET($A$1,MATCH(Z78,$A:$A,0)-1,O81)</f>
        <v>0.18</v>
      </c>
      <c r="Q81" s="144" t="s">
        <v>29</v>
      </c>
      <c r="R81" s="118">
        <f t="shared" ca="1" si="22"/>
        <v>310884</v>
      </c>
      <c r="S81" s="118">
        <f t="shared" ca="1" si="22"/>
        <v>55959</v>
      </c>
      <c r="T81" s="118">
        <f ca="1">고급</f>
        <v>310884</v>
      </c>
      <c r="U81" s="118">
        <f t="shared" ca="1" si="23"/>
        <v>55959</v>
      </c>
      <c r="V81" s="118"/>
      <c r="W81" s="118"/>
      <c r="X81" s="118"/>
      <c r="Y81" s="118"/>
      <c r="Z81" s="115"/>
    </row>
    <row r="82" spans="3:26" ht="18" customHeight="1">
      <c r="C82" s="9"/>
      <c r="K82" s="171" t="s">
        <v>14</v>
      </c>
      <c r="L82" s="171"/>
      <c r="M82" s="171"/>
      <c r="N82" s="145" t="s">
        <v>40</v>
      </c>
      <c r="O82" s="173">
        <v>6</v>
      </c>
      <c r="P82" s="234">
        <f ca="1">OFFSET($A$1,MATCH(Z78,$A:$A,0)-1,O82)</f>
        <v>0.24</v>
      </c>
      <c r="Q82" s="144" t="s">
        <v>29</v>
      </c>
      <c r="R82" s="118">
        <f t="shared" ca="1" si="22"/>
        <v>295138</v>
      </c>
      <c r="S82" s="118">
        <f t="shared" ca="1" si="22"/>
        <v>70833</v>
      </c>
      <c r="T82" s="118">
        <f ca="1">중급</f>
        <v>295138</v>
      </c>
      <c r="U82" s="118">
        <f t="shared" ca="1" si="23"/>
        <v>70833</v>
      </c>
      <c r="V82" s="118"/>
      <c r="W82" s="118"/>
      <c r="X82" s="118"/>
      <c r="Y82" s="118"/>
      <c r="Z82" s="115"/>
    </row>
    <row r="83" spans="3:26" ht="18" customHeight="1">
      <c r="K83" s="171" t="s">
        <v>14</v>
      </c>
      <c r="L83" s="171"/>
      <c r="M83" s="171"/>
      <c r="N83" s="145" t="s">
        <v>41</v>
      </c>
      <c r="O83" s="173">
        <v>7</v>
      </c>
      <c r="P83" s="234">
        <f ca="1">OFFSET($A$1,MATCH(Z78,$A:$A,0)-1,O83)</f>
        <v>0.3</v>
      </c>
      <c r="Q83" s="144" t="s">
        <v>29</v>
      </c>
      <c r="R83" s="118">
        <f t="shared" ca="1" si="22"/>
        <v>235459</v>
      </c>
      <c r="S83" s="118">
        <f t="shared" ca="1" si="22"/>
        <v>70637</v>
      </c>
      <c r="T83" s="118">
        <f ca="1">초급</f>
        <v>235459</v>
      </c>
      <c r="U83" s="118">
        <f t="shared" ca="1" si="23"/>
        <v>70637</v>
      </c>
      <c r="V83" s="118"/>
      <c r="W83" s="118"/>
      <c r="X83" s="118"/>
      <c r="Y83" s="118"/>
      <c r="Z83" s="115"/>
    </row>
    <row r="84" spans="3:26" ht="18" customHeight="1">
      <c r="K84" s="171" t="s">
        <v>14</v>
      </c>
      <c r="L84" s="171"/>
      <c r="M84" s="171"/>
      <c r="N84" s="319" t="s">
        <v>42</v>
      </c>
      <c r="O84" s="174">
        <v>8</v>
      </c>
      <c r="P84" s="235">
        <f ca="1">OFFSET($A$1,MATCH(Z78,$A:$A,0)-1,O84)</f>
        <v>0.36</v>
      </c>
      <c r="Q84" s="322" t="s">
        <v>29</v>
      </c>
      <c r="R84" s="323">
        <f t="shared" ca="1" si="22"/>
        <v>250087</v>
      </c>
      <c r="S84" s="323">
        <f t="shared" ca="1" si="22"/>
        <v>90031</v>
      </c>
      <c r="T84" s="323">
        <f ca="1">보조원</f>
        <v>250087</v>
      </c>
      <c r="U84" s="323">
        <f t="shared" ca="1" si="23"/>
        <v>90031</v>
      </c>
      <c r="V84" s="323"/>
      <c r="W84" s="323"/>
      <c r="X84" s="323"/>
      <c r="Y84" s="323"/>
      <c r="Z84" s="324"/>
    </row>
    <row r="85" spans="3:26" ht="18" customHeight="1">
      <c r="K85" s="171" t="s">
        <v>14</v>
      </c>
      <c r="L85" s="171"/>
      <c r="M85" s="171"/>
      <c r="N85" s="139" t="s">
        <v>17</v>
      </c>
      <c r="O85" s="68"/>
      <c r="P85" s="69"/>
      <c r="Q85" s="70"/>
      <c r="R85" s="71"/>
      <c r="S85" s="71">
        <f ca="1">SUBTOTAL(9,S79:S84)</f>
        <v>360295</v>
      </c>
      <c r="T85" s="71"/>
      <c r="U85" s="71">
        <f ca="1">SUBTOTAL(9,U79:U84)</f>
        <v>360295</v>
      </c>
      <c r="V85" s="71"/>
      <c r="W85" s="71"/>
      <c r="X85" s="71"/>
      <c r="Y85" s="71"/>
      <c r="Z85" s="68"/>
    </row>
    <row r="86" spans="3:26" ht="18" customHeight="1">
      <c r="K86" s="171" t="s">
        <v>14</v>
      </c>
      <c r="L86" s="171"/>
      <c r="M86" s="171"/>
      <c r="N86" s="318" t="str">
        <f ca="1">"제 " &amp; Z86 &amp; " 호표  "&amp; OFFSET($A$1,MATCH(Z86,$A:$A,0)-1,1)</f>
        <v>제 5 호표  2.2. 공간 및 디자인 구상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5</v>
      </c>
    </row>
    <row r="87" spans="3:26" ht="18" customHeight="1">
      <c r="K87" s="171" t="s">
        <v>14</v>
      </c>
      <c r="L87" s="171"/>
      <c r="M87" s="171"/>
      <c r="N87" s="140" t="s">
        <v>43</v>
      </c>
      <c r="O87" s="172">
        <v>3</v>
      </c>
      <c r="P87" s="219">
        <f ca="1">OFFSET($A$1,MATCH(Z86,$A:$A,0)-1,O87)</f>
        <v>0.18</v>
      </c>
      <c r="Q87" s="141" t="s">
        <v>29</v>
      </c>
      <c r="R87" s="142">
        <f t="shared" ref="R87:S92" ca="1" si="24">T87</f>
        <v>467217</v>
      </c>
      <c r="S87" s="142">
        <f t="shared" ca="1" si="24"/>
        <v>84099</v>
      </c>
      <c r="T87" s="142">
        <f ca="1">기술사</f>
        <v>467217</v>
      </c>
      <c r="U87" s="142">
        <f t="shared" ref="U87:U92" ca="1" si="25">ROUNDDOWN(P87*R87,0)</f>
        <v>84099</v>
      </c>
      <c r="V87" s="142"/>
      <c r="W87" s="142"/>
      <c r="X87" s="142"/>
      <c r="Y87" s="142"/>
      <c r="Z87" s="114"/>
    </row>
    <row r="88" spans="3:26" ht="18" customHeight="1">
      <c r="K88" s="171" t="s">
        <v>14</v>
      </c>
      <c r="L88" s="171"/>
      <c r="M88" s="171"/>
      <c r="N88" s="143" t="s">
        <v>32</v>
      </c>
      <c r="O88" s="173">
        <v>4</v>
      </c>
      <c r="P88" s="234">
        <f ca="1">OFFSET($A$1,MATCH(Z86,$A:$A,0)-1,O88)</f>
        <v>0.24</v>
      </c>
      <c r="Q88" s="144" t="s">
        <v>29</v>
      </c>
      <c r="R88" s="118">
        <f t="shared" ca="1" si="24"/>
        <v>373353</v>
      </c>
      <c r="S88" s="118">
        <f t="shared" ca="1" si="24"/>
        <v>89604</v>
      </c>
      <c r="T88" s="118">
        <f ca="1">특급</f>
        <v>373353</v>
      </c>
      <c r="U88" s="118">
        <f t="shared" ca="1" si="25"/>
        <v>89604</v>
      </c>
      <c r="V88" s="118"/>
      <c r="W88" s="118"/>
      <c r="X88" s="118"/>
      <c r="Y88" s="118"/>
      <c r="Z88" s="115"/>
    </row>
    <row r="89" spans="3:26" ht="18" customHeight="1">
      <c r="K89" s="171" t="s">
        <v>14</v>
      </c>
      <c r="L89" s="171"/>
      <c r="M89" s="171"/>
      <c r="N89" s="145" t="s">
        <v>39</v>
      </c>
      <c r="O89" s="173">
        <v>5</v>
      </c>
      <c r="P89" s="234">
        <f ca="1">OFFSET($A$1,MATCH(Z86,$A:$A,0)-1,O89)</f>
        <v>0.6</v>
      </c>
      <c r="Q89" s="144" t="s">
        <v>29</v>
      </c>
      <c r="R89" s="118">
        <f t="shared" ca="1" si="24"/>
        <v>310884</v>
      </c>
      <c r="S89" s="118">
        <f t="shared" ca="1" si="24"/>
        <v>186530</v>
      </c>
      <c r="T89" s="118">
        <f ca="1">고급</f>
        <v>310884</v>
      </c>
      <c r="U89" s="118">
        <f t="shared" ca="1" si="25"/>
        <v>186530</v>
      </c>
      <c r="V89" s="118"/>
      <c r="W89" s="118"/>
      <c r="X89" s="118"/>
      <c r="Y89" s="118"/>
      <c r="Z89" s="115"/>
    </row>
    <row r="90" spans="3:26" ht="18" customHeight="1">
      <c r="K90" s="171" t="s">
        <v>14</v>
      </c>
      <c r="L90" s="171"/>
      <c r="M90" s="171"/>
      <c r="N90" s="145" t="s">
        <v>40</v>
      </c>
      <c r="O90" s="173">
        <v>6</v>
      </c>
      <c r="P90" s="234">
        <f ca="1">OFFSET($A$1,MATCH(Z86,$A:$A,0)-1,O90)</f>
        <v>1.08</v>
      </c>
      <c r="Q90" s="144" t="s">
        <v>29</v>
      </c>
      <c r="R90" s="118">
        <f t="shared" ca="1" si="24"/>
        <v>295138</v>
      </c>
      <c r="S90" s="118">
        <f t="shared" ca="1" si="24"/>
        <v>318749</v>
      </c>
      <c r="T90" s="118">
        <f ca="1">중급</f>
        <v>295138</v>
      </c>
      <c r="U90" s="118">
        <f t="shared" ca="1" si="25"/>
        <v>318749</v>
      </c>
      <c r="V90" s="118"/>
      <c r="W90" s="118"/>
      <c r="X90" s="118"/>
      <c r="Y90" s="118"/>
      <c r="Z90" s="115"/>
    </row>
    <row r="91" spans="3:26" ht="18" customHeight="1">
      <c r="K91" s="171" t="s">
        <v>14</v>
      </c>
      <c r="L91" s="171"/>
      <c r="M91" s="171"/>
      <c r="N91" s="145" t="s">
        <v>41</v>
      </c>
      <c r="O91" s="173">
        <v>7</v>
      </c>
      <c r="P91" s="234">
        <f ca="1">OFFSET($A$1,MATCH(Z86,$A:$A,0)-1,O91)</f>
        <v>1.5</v>
      </c>
      <c r="Q91" s="144" t="s">
        <v>29</v>
      </c>
      <c r="R91" s="118">
        <f t="shared" ca="1" si="24"/>
        <v>235459</v>
      </c>
      <c r="S91" s="118">
        <f t="shared" ca="1" si="24"/>
        <v>353188</v>
      </c>
      <c r="T91" s="118">
        <f ca="1">초급</f>
        <v>235459</v>
      </c>
      <c r="U91" s="118">
        <f t="shared" ca="1" si="25"/>
        <v>353188</v>
      </c>
      <c r="V91" s="118"/>
      <c r="W91" s="118"/>
      <c r="X91" s="118"/>
      <c r="Y91" s="118"/>
      <c r="Z91" s="115"/>
    </row>
    <row r="92" spans="3:26" ht="18" customHeight="1">
      <c r="K92" s="171" t="s">
        <v>14</v>
      </c>
      <c r="L92" s="171"/>
      <c r="M92" s="171"/>
      <c r="N92" s="319" t="s">
        <v>42</v>
      </c>
      <c r="O92" s="174">
        <v>8</v>
      </c>
      <c r="P92" s="235">
        <f ca="1">OFFSET($A$1,MATCH(Z86,$A:$A,0)-1,O92)</f>
        <v>2.2799999999999998</v>
      </c>
      <c r="Q92" s="322" t="s">
        <v>29</v>
      </c>
      <c r="R92" s="323">
        <f t="shared" ca="1" si="24"/>
        <v>250087</v>
      </c>
      <c r="S92" s="323">
        <f t="shared" ca="1" si="24"/>
        <v>570198</v>
      </c>
      <c r="T92" s="323">
        <f ca="1">보조원</f>
        <v>250087</v>
      </c>
      <c r="U92" s="323">
        <f t="shared" ca="1" si="25"/>
        <v>570198</v>
      </c>
      <c r="V92" s="323"/>
      <c r="W92" s="323"/>
      <c r="X92" s="323"/>
      <c r="Y92" s="323"/>
      <c r="Z92" s="324"/>
    </row>
    <row r="93" spans="3:26" ht="18" customHeight="1">
      <c r="K93" s="171" t="s">
        <v>14</v>
      </c>
      <c r="L93" s="171"/>
      <c r="M93" s="171"/>
      <c r="N93" s="139" t="s">
        <v>17</v>
      </c>
      <c r="O93" s="68"/>
      <c r="P93" s="69"/>
      <c r="Q93" s="70"/>
      <c r="R93" s="71"/>
      <c r="S93" s="71">
        <f ca="1">SUBTOTAL(9,S87:S92)</f>
        <v>1602368</v>
      </c>
      <c r="T93" s="71"/>
      <c r="U93" s="71">
        <f ca="1">SUBTOTAL(9,U87:U92)</f>
        <v>1602368</v>
      </c>
      <c r="V93" s="71"/>
      <c r="W93" s="71"/>
      <c r="X93" s="71"/>
      <c r="Y93" s="71"/>
      <c r="Z93" s="68"/>
    </row>
    <row r="94" spans="3:26" ht="18" customHeight="1">
      <c r="K94" s="171" t="s">
        <v>14</v>
      </c>
      <c r="L94" s="171"/>
      <c r="M94" s="171"/>
      <c r="N94" s="318" t="str">
        <f ca="1">"제 " &amp; Z94 &amp; " 호표  "&amp; OFFSET($A$1,MATCH(Z94,$A:$A,0)-1,1)</f>
        <v>제 6 호표  2.3. 경관구조설정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6</v>
      </c>
    </row>
    <row r="95" spans="3:26" ht="18" customHeight="1">
      <c r="K95" s="171" t="s">
        <v>14</v>
      </c>
      <c r="L95" s="171"/>
      <c r="M95" s="171"/>
      <c r="N95" s="140" t="s">
        <v>43</v>
      </c>
      <c r="O95" s="172">
        <v>3</v>
      </c>
      <c r="P95" s="219">
        <f ca="1">OFFSET($A$1,MATCH(Z94,$A:$A,0)-1,O95)</f>
        <v>0.06</v>
      </c>
      <c r="Q95" s="141" t="s">
        <v>29</v>
      </c>
      <c r="R95" s="142">
        <f t="shared" ref="R95:S100" ca="1" si="26">T95</f>
        <v>467217</v>
      </c>
      <c r="S95" s="142">
        <f t="shared" ca="1" si="26"/>
        <v>28033</v>
      </c>
      <c r="T95" s="142">
        <f ca="1">기술사</f>
        <v>467217</v>
      </c>
      <c r="U95" s="142">
        <f t="shared" ref="U95:U100" ca="1" si="27">ROUNDDOWN(P95*R95,0)</f>
        <v>28033</v>
      </c>
      <c r="V95" s="142"/>
      <c r="W95" s="142"/>
      <c r="X95" s="142"/>
      <c r="Y95" s="142"/>
      <c r="Z95" s="114"/>
    </row>
    <row r="96" spans="3:26" ht="18" customHeight="1">
      <c r="K96" s="171" t="s">
        <v>14</v>
      </c>
      <c r="L96" s="171"/>
      <c r="M96" s="171"/>
      <c r="N96" s="143" t="s">
        <v>32</v>
      </c>
      <c r="O96" s="173">
        <v>4</v>
      </c>
      <c r="P96" s="234">
        <f ca="1">OFFSET($A$1,MATCH(Z94,$A:$A,0)-1,O96)</f>
        <v>0.12</v>
      </c>
      <c r="Q96" s="144" t="s">
        <v>29</v>
      </c>
      <c r="R96" s="118">
        <f t="shared" ca="1" si="26"/>
        <v>373353</v>
      </c>
      <c r="S96" s="118">
        <f t="shared" ca="1" si="26"/>
        <v>44802</v>
      </c>
      <c r="T96" s="118">
        <f ca="1">특급</f>
        <v>373353</v>
      </c>
      <c r="U96" s="118">
        <f t="shared" ca="1" si="27"/>
        <v>44802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39</v>
      </c>
      <c r="O97" s="173">
        <v>5</v>
      </c>
      <c r="P97" s="234">
        <f ca="1">OFFSET($A$1,MATCH(Z94,$A:$A,0)-1,O97)</f>
        <v>0.24</v>
      </c>
      <c r="Q97" s="144" t="s">
        <v>29</v>
      </c>
      <c r="R97" s="118">
        <f t="shared" ca="1" si="26"/>
        <v>310884</v>
      </c>
      <c r="S97" s="118">
        <f t="shared" ca="1" si="26"/>
        <v>74612</v>
      </c>
      <c r="T97" s="118">
        <f ca="1">고급</f>
        <v>310884</v>
      </c>
      <c r="U97" s="118">
        <f t="shared" ca="1" si="27"/>
        <v>74612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40</v>
      </c>
      <c r="O98" s="173">
        <v>6</v>
      </c>
      <c r="P98" s="234">
        <f ca="1">OFFSET($A$1,MATCH(Z94,$A:$A,0)-1,O98)</f>
        <v>0.36</v>
      </c>
      <c r="Q98" s="144" t="s">
        <v>29</v>
      </c>
      <c r="R98" s="118">
        <f t="shared" ca="1" si="26"/>
        <v>295138</v>
      </c>
      <c r="S98" s="118">
        <f t="shared" ca="1" si="26"/>
        <v>106249</v>
      </c>
      <c r="T98" s="118">
        <f ca="1">중급</f>
        <v>295138</v>
      </c>
      <c r="U98" s="118">
        <f t="shared" ca="1" si="27"/>
        <v>106249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41</v>
      </c>
      <c r="O99" s="173">
        <v>7</v>
      </c>
      <c r="P99" s="234">
        <f ca="1">OFFSET($A$1,MATCH(Z94,$A:$A,0)-1,O99)</f>
        <v>0.54</v>
      </c>
      <c r="Q99" s="144" t="s">
        <v>29</v>
      </c>
      <c r="R99" s="118">
        <f t="shared" ca="1" si="26"/>
        <v>235459</v>
      </c>
      <c r="S99" s="118">
        <f t="shared" ca="1" si="26"/>
        <v>127147</v>
      </c>
      <c r="T99" s="118">
        <f ca="1">초급</f>
        <v>235459</v>
      </c>
      <c r="U99" s="118">
        <f t="shared" ca="1" si="27"/>
        <v>127147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319" t="s">
        <v>42</v>
      </c>
      <c r="O100" s="174">
        <v>8</v>
      </c>
      <c r="P100" s="235">
        <f ca="1">OFFSET($A$1,MATCH(Z94,$A:$A,0)-1,O100)</f>
        <v>0.66</v>
      </c>
      <c r="Q100" s="322" t="s">
        <v>29</v>
      </c>
      <c r="R100" s="323">
        <f t="shared" ca="1" si="26"/>
        <v>250087</v>
      </c>
      <c r="S100" s="323">
        <f t="shared" ca="1" si="26"/>
        <v>165057</v>
      </c>
      <c r="T100" s="323">
        <f ca="1">보조원</f>
        <v>250087</v>
      </c>
      <c r="U100" s="323">
        <f t="shared" ca="1" si="27"/>
        <v>165057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M101" s="171"/>
      <c r="N101" s="139" t="s">
        <v>17</v>
      </c>
      <c r="O101" s="68"/>
      <c r="P101" s="69"/>
      <c r="Q101" s="70"/>
      <c r="R101" s="71"/>
      <c r="S101" s="71">
        <f ca="1">SUBTOTAL(9,S95:S100)</f>
        <v>545900</v>
      </c>
      <c r="T101" s="71"/>
      <c r="U101" s="71">
        <f ca="1">SUBTOTAL(9,U95:U100)</f>
        <v>545900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M102" s="171"/>
      <c r="N102" s="318" t="str">
        <f ca="1">"제 " &amp; Z102 &amp; " 호표  "&amp; OFFSET($A$1,MATCH(Z102,$A:$A,0)-1,1)</f>
        <v>제 7 호표   3.1.1 구간별 경관설계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7</v>
      </c>
    </row>
    <row r="103" spans="11:26" ht="18" customHeight="1">
      <c r="K103" s="171" t="s">
        <v>14</v>
      </c>
      <c r="L103" s="171"/>
      <c r="M103" s="171"/>
      <c r="N103" s="140" t="s">
        <v>43</v>
      </c>
      <c r="O103" s="172">
        <v>3</v>
      </c>
      <c r="P103" s="219">
        <f ca="1">OFFSET($A$1,MATCH(Z102,$A:$A,0)-1,O103)</f>
        <v>1.44</v>
      </c>
      <c r="Q103" s="141" t="s">
        <v>29</v>
      </c>
      <c r="R103" s="142">
        <f t="shared" ref="R103:S108" ca="1" si="28">T103</f>
        <v>467217</v>
      </c>
      <c r="S103" s="142">
        <f t="shared" ca="1" si="28"/>
        <v>672792</v>
      </c>
      <c r="T103" s="142">
        <f ca="1">기술사</f>
        <v>467217</v>
      </c>
      <c r="U103" s="142">
        <f t="shared" ref="U103:U108" ca="1" si="29">ROUNDDOWN(P103*R103,0)</f>
        <v>672792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M104" s="171"/>
      <c r="N104" s="143" t="s">
        <v>32</v>
      </c>
      <c r="O104" s="173">
        <v>4</v>
      </c>
      <c r="P104" s="234">
        <f ca="1">OFFSET($A$1,MATCH(Z102,$A:$A,0)-1,O104)</f>
        <v>3.24</v>
      </c>
      <c r="Q104" s="144" t="s">
        <v>29</v>
      </c>
      <c r="R104" s="118">
        <f t="shared" ca="1" si="28"/>
        <v>373353</v>
      </c>
      <c r="S104" s="118">
        <f t="shared" ca="1" si="28"/>
        <v>1209663</v>
      </c>
      <c r="T104" s="118">
        <f ca="1">특급</f>
        <v>373353</v>
      </c>
      <c r="U104" s="118">
        <f t="shared" ca="1" si="29"/>
        <v>1209663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39</v>
      </c>
      <c r="O105" s="173">
        <v>5</v>
      </c>
      <c r="P105" s="234">
        <f ca="1">OFFSET($A$1,MATCH(Z102,$A:$A,0)-1,O105)</f>
        <v>7.92</v>
      </c>
      <c r="Q105" s="144" t="s">
        <v>29</v>
      </c>
      <c r="R105" s="118">
        <f t="shared" ca="1" si="28"/>
        <v>310884</v>
      </c>
      <c r="S105" s="118">
        <f t="shared" ca="1" si="28"/>
        <v>2462201</v>
      </c>
      <c r="T105" s="118">
        <f ca="1">고급</f>
        <v>310884</v>
      </c>
      <c r="U105" s="118">
        <f t="shared" ca="1" si="29"/>
        <v>2462201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40</v>
      </c>
      <c r="O106" s="173">
        <v>6</v>
      </c>
      <c r="P106" s="234">
        <f ca="1">OFFSET($A$1,MATCH(Z102,$A:$A,0)-1,O106)</f>
        <v>8.64</v>
      </c>
      <c r="Q106" s="144" t="s">
        <v>29</v>
      </c>
      <c r="R106" s="118">
        <f t="shared" ca="1" si="28"/>
        <v>295138</v>
      </c>
      <c r="S106" s="118">
        <f t="shared" ca="1" si="28"/>
        <v>2549992</v>
      </c>
      <c r="T106" s="118">
        <f ca="1">중급</f>
        <v>295138</v>
      </c>
      <c r="U106" s="118">
        <f t="shared" ca="1" si="29"/>
        <v>2549992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41</v>
      </c>
      <c r="O107" s="173">
        <v>7</v>
      </c>
      <c r="P107" s="234">
        <f ca="1">OFFSET($A$1,MATCH(Z102,$A:$A,0)-1,O107)</f>
        <v>9.36</v>
      </c>
      <c r="Q107" s="144" t="s">
        <v>29</v>
      </c>
      <c r="R107" s="118">
        <f t="shared" ca="1" si="28"/>
        <v>235459</v>
      </c>
      <c r="S107" s="118">
        <f t="shared" ca="1" si="28"/>
        <v>2203896</v>
      </c>
      <c r="T107" s="118">
        <f ca="1">초급</f>
        <v>235459</v>
      </c>
      <c r="U107" s="118">
        <f t="shared" ca="1" si="29"/>
        <v>2203896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319" t="s">
        <v>42</v>
      </c>
      <c r="O108" s="174">
        <v>8</v>
      </c>
      <c r="P108" s="235">
        <f ca="1">OFFSET($A$1,MATCH(Z102,$A:$A,0)-1,O108)</f>
        <v>9.36</v>
      </c>
      <c r="Q108" s="322" t="s">
        <v>29</v>
      </c>
      <c r="R108" s="323">
        <f t="shared" ca="1" si="28"/>
        <v>250087</v>
      </c>
      <c r="S108" s="323">
        <f t="shared" ca="1" si="28"/>
        <v>2340814</v>
      </c>
      <c r="T108" s="323">
        <f ca="1">보조원</f>
        <v>250087</v>
      </c>
      <c r="U108" s="323">
        <f t="shared" ca="1" si="29"/>
        <v>2340814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M109" s="171"/>
      <c r="N109" s="139" t="s">
        <v>17</v>
      </c>
      <c r="O109" s="68"/>
      <c r="P109" s="69"/>
      <c r="Q109" s="70"/>
      <c r="R109" s="71"/>
      <c r="S109" s="71">
        <f ca="1">SUBTOTAL(9,S103:S108)</f>
        <v>11439358</v>
      </c>
      <c r="T109" s="71"/>
      <c r="U109" s="71">
        <f ca="1">SUBTOTAL(9,U103:U108)</f>
        <v>11439358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M110" s="171"/>
      <c r="N110" s="318" t="str">
        <f ca="1">"제 " &amp; Z110 &amp; " 호표  "&amp; OFFSET($A$1,MATCH(Z110,$A:$A,0)-1,1)</f>
        <v>제 8 호표   3.1.2 주요 시설(장소) 경관설계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8</v>
      </c>
    </row>
    <row r="111" spans="11:26" ht="18" customHeight="1">
      <c r="K111" s="171" t="s">
        <v>14</v>
      </c>
      <c r="L111" s="171"/>
      <c r="M111" s="171"/>
      <c r="N111" s="140" t="s">
        <v>43</v>
      </c>
      <c r="O111" s="172">
        <v>3</v>
      </c>
      <c r="P111" s="219">
        <f ca="1">OFFSET($A$1,MATCH(Z110,$A:$A,0)-1,O111)</f>
        <v>0.96</v>
      </c>
      <c r="Q111" s="141" t="s">
        <v>29</v>
      </c>
      <c r="R111" s="142">
        <f t="shared" ref="R111:S116" ca="1" si="30">T111</f>
        <v>467217</v>
      </c>
      <c r="S111" s="142">
        <f t="shared" ca="1" si="30"/>
        <v>448528</v>
      </c>
      <c r="T111" s="142">
        <f ca="1">기술사</f>
        <v>467217</v>
      </c>
      <c r="U111" s="142">
        <f t="shared" ref="U111:U116" ca="1" si="31">ROUNDDOWN(P111*R111,0)</f>
        <v>448528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M112" s="171"/>
      <c r="N112" s="143" t="s">
        <v>32</v>
      </c>
      <c r="O112" s="173">
        <v>4</v>
      </c>
      <c r="P112" s="234">
        <f ca="1">OFFSET($A$1,MATCH(Z110,$A:$A,0)-1,O112)</f>
        <v>2.1</v>
      </c>
      <c r="Q112" s="144" t="s">
        <v>29</v>
      </c>
      <c r="R112" s="118">
        <f t="shared" ca="1" si="30"/>
        <v>373353</v>
      </c>
      <c r="S112" s="118">
        <f t="shared" ca="1" si="30"/>
        <v>784041</v>
      </c>
      <c r="T112" s="118">
        <f ca="1">특급</f>
        <v>373353</v>
      </c>
      <c r="U112" s="118">
        <f t="shared" ca="1" si="31"/>
        <v>784041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39</v>
      </c>
      <c r="O113" s="173">
        <v>5</v>
      </c>
      <c r="P113" s="234">
        <f ca="1">OFFSET($A$1,MATCH(Z110,$A:$A,0)-1,O113)</f>
        <v>5.28</v>
      </c>
      <c r="Q113" s="144" t="s">
        <v>29</v>
      </c>
      <c r="R113" s="118">
        <f t="shared" ca="1" si="30"/>
        <v>310884</v>
      </c>
      <c r="S113" s="118">
        <f t="shared" ca="1" si="30"/>
        <v>1641467</v>
      </c>
      <c r="T113" s="118">
        <f ca="1">고급</f>
        <v>310884</v>
      </c>
      <c r="U113" s="118">
        <f t="shared" ca="1" si="31"/>
        <v>1641467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40</v>
      </c>
      <c r="O114" s="173">
        <v>6</v>
      </c>
      <c r="P114" s="234">
        <f ca="1">OFFSET($A$1,MATCH(Z110,$A:$A,0)-1,O114)</f>
        <v>5.76</v>
      </c>
      <c r="Q114" s="144" t="s">
        <v>29</v>
      </c>
      <c r="R114" s="118">
        <f t="shared" ca="1" si="30"/>
        <v>295138</v>
      </c>
      <c r="S114" s="118">
        <f t="shared" ca="1" si="30"/>
        <v>1699994</v>
      </c>
      <c r="T114" s="118">
        <f ca="1">중급</f>
        <v>295138</v>
      </c>
      <c r="U114" s="118">
        <f t="shared" ca="1" si="31"/>
        <v>1699994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41</v>
      </c>
      <c r="O115" s="173">
        <v>7</v>
      </c>
      <c r="P115" s="234">
        <f ca="1">OFFSET($A$1,MATCH(Z110,$A:$A,0)-1,O115)</f>
        <v>6.24</v>
      </c>
      <c r="Q115" s="144" t="s">
        <v>29</v>
      </c>
      <c r="R115" s="118">
        <f t="shared" ca="1" si="30"/>
        <v>235459</v>
      </c>
      <c r="S115" s="118">
        <f t="shared" ca="1" si="30"/>
        <v>1469264</v>
      </c>
      <c r="T115" s="118">
        <f ca="1">초급</f>
        <v>235459</v>
      </c>
      <c r="U115" s="118">
        <f t="shared" ca="1" si="31"/>
        <v>1469264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319" t="s">
        <v>42</v>
      </c>
      <c r="O116" s="174">
        <v>8</v>
      </c>
      <c r="P116" s="235">
        <f ca="1">OFFSET($A$1,MATCH(Z110,$A:$A,0)-1,O116)</f>
        <v>6.24</v>
      </c>
      <c r="Q116" s="322" t="s">
        <v>29</v>
      </c>
      <c r="R116" s="323">
        <f t="shared" ca="1" si="30"/>
        <v>250087</v>
      </c>
      <c r="S116" s="323">
        <f t="shared" ca="1" si="30"/>
        <v>1560542</v>
      </c>
      <c r="T116" s="323">
        <f ca="1">보조원</f>
        <v>250087</v>
      </c>
      <c r="U116" s="323">
        <f t="shared" ca="1" si="31"/>
        <v>1560542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M117" s="171"/>
      <c r="N117" s="139" t="s">
        <v>17</v>
      </c>
      <c r="O117" s="68"/>
      <c r="P117" s="69"/>
      <c r="Q117" s="70"/>
      <c r="R117" s="71"/>
      <c r="S117" s="71">
        <f ca="1">SUBTOTAL(9,S111:S116)</f>
        <v>7603836</v>
      </c>
      <c r="T117" s="71"/>
      <c r="U117" s="71">
        <f ca="1">SUBTOTAL(9,U111:U116)</f>
        <v>7603836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M118" s="171"/>
      <c r="N118" s="318" t="str">
        <f ca="1">"제 " &amp; Z118 &amp; " 호표  "&amp; OFFSET($A$1,MATCH(Z118,$A:$A,0)-1,1)</f>
        <v>제 9 호표   3.2.1 배치·규모·형태계획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9</v>
      </c>
    </row>
    <row r="119" spans="11:26" ht="18" customHeight="1">
      <c r="K119" s="171" t="s">
        <v>14</v>
      </c>
      <c r="L119" s="171"/>
      <c r="M119" s="171"/>
      <c r="N119" s="140" t="s">
        <v>43</v>
      </c>
      <c r="O119" s="172">
        <v>3</v>
      </c>
      <c r="P119" s="219">
        <f ca="1">OFFSET($A$1,MATCH(Z118,$A:$A,0)-1,O119)</f>
        <v>0.66</v>
      </c>
      <c r="Q119" s="141" t="s">
        <v>29</v>
      </c>
      <c r="R119" s="142">
        <f t="shared" ref="R119:S124" ca="1" si="32">T119</f>
        <v>467217</v>
      </c>
      <c r="S119" s="142">
        <f t="shared" ca="1" si="32"/>
        <v>308363</v>
      </c>
      <c r="T119" s="142">
        <f ca="1">기술사</f>
        <v>467217</v>
      </c>
      <c r="U119" s="142">
        <f t="shared" ref="U119:U124" ca="1" si="33">ROUNDDOWN(P119*R119,0)</f>
        <v>308363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M120" s="171"/>
      <c r="N120" s="143" t="s">
        <v>32</v>
      </c>
      <c r="O120" s="173">
        <v>4</v>
      </c>
      <c r="P120" s="234">
        <f ca="1">OFFSET($A$1,MATCH(Z118,$A:$A,0)-1,O120)</f>
        <v>1.5</v>
      </c>
      <c r="Q120" s="144" t="s">
        <v>29</v>
      </c>
      <c r="R120" s="118">
        <f t="shared" ca="1" si="32"/>
        <v>373353</v>
      </c>
      <c r="S120" s="118">
        <f t="shared" ca="1" si="32"/>
        <v>560029</v>
      </c>
      <c r="T120" s="118">
        <f ca="1">특급</f>
        <v>373353</v>
      </c>
      <c r="U120" s="118">
        <f t="shared" ca="1" si="33"/>
        <v>560029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39</v>
      </c>
      <c r="O121" s="173">
        <v>5</v>
      </c>
      <c r="P121" s="234">
        <f ca="1">OFFSET($A$1,MATCH(Z118,$A:$A,0)-1,O121)</f>
        <v>3.06</v>
      </c>
      <c r="Q121" s="144" t="s">
        <v>29</v>
      </c>
      <c r="R121" s="118">
        <f t="shared" ca="1" si="32"/>
        <v>310884</v>
      </c>
      <c r="S121" s="118">
        <f t="shared" ca="1" si="32"/>
        <v>951305</v>
      </c>
      <c r="T121" s="118">
        <f ca="1">고급</f>
        <v>310884</v>
      </c>
      <c r="U121" s="118">
        <f t="shared" ca="1" si="33"/>
        <v>951305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40</v>
      </c>
      <c r="O122" s="173">
        <v>6</v>
      </c>
      <c r="P122" s="234">
        <f ca="1">OFFSET($A$1,MATCH(Z118,$A:$A,0)-1,O122)</f>
        <v>3.66</v>
      </c>
      <c r="Q122" s="144" t="s">
        <v>29</v>
      </c>
      <c r="R122" s="118">
        <f t="shared" ca="1" si="32"/>
        <v>295138</v>
      </c>
      <c r="S122" s="118">
        <f t="shared" ca="1" si="32"/>
        <v>1080205</v>
      </c>
      <c r="T122" s="118">
        <f ca="1">중급</f>
        <v>295138</v>
      </c>
      <c r="U122" s="118">
        <f t="shared" ca="1" si="33"/>
        <v>1080205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41</v>
      </c>
      <c r="O123" s="173">
        <v>7</v>
      </c>
      <c r="P123" s="234">
        <f ca="1">OFFSET($A$1,MATCH(Z118,$A:$A,0)-1,O123)</f>
        <v>3.6</v>
      </c>
      <c r="Q123" s="144" t="s">
        <v>29</v>
      </c>
      <c r="R123" s="118">
        <f t="shared" ca="1" si="32"/>
        <v>235459</v>
      </c>
      <c r="S123" s="118">
        <f t="shared" ca="1" si="32"/>
        <v>847652</v>
      </c>
      <c r="T123" s="118">
        <f ca="1">초급</f>
        <v>235459</v>
      </c>
      <c r="U123" s="118">
        <f t="shared" ca="1" si="33"/>
        <v>847652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319" t="s">
        <v>42</v>
      </c>
      <c r="O124" s="174">
        <v>8</v>
      </c>
      <c r="P124" s="235">
        <f ca="1">OFFSET($A$1,MATCH(Z118,$A:$A,0)-1,O124)</f>
        <v>3.66</v>
      </c>
      <c r="Q124" s="322" t="s">
        <v>29</v>
      </c>
      <c r="R124" s="323">
        <f t="shared" ca="1" si="32"/>
        <v>250087</v>
      </c>
      <c r="S124" s="323">
        <f t="shared" ca="1" si="32"/>
        <v>915318</v>
      </c>
      <c r="T124" s="323">
        <f ca="1">보조원</f>
        <v>250087</v>
      </c>
      <c r="U124" s="323">
        <f t="shared" ca="1" si="33"/>
        <v>915318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M125" s="171"/>
      <c r="N125" s="139" t="s">
        <v>17</v>
      </c>
      <c r="O125" s="68"/>
      <c r="P125" s="69"/>
      <c r="Q125" s="70"/>
      <c r="R125" s="71"/>
      <c r="S125" s="71">
        <f ca="1">SUBTOTAL(9,S119:S124)</f>
        <v>4662872</v>
      </c>
      <c r="T125" s="71"/>
      <c r="U125" s="71">
        <f ca="1">SUBTOTAL(9,U119:U124)</f>
        <v>4662872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M126" s="171"/>
      <c r="N126" s="318" t="str">
        <f ca="1">"제 " &amp; Z126 &amp; " 호표  "&amp; OFFSET($A$1,MATCH(Z126,$A:$A,0)-1,1)</f>
        <v>제 10 호표   3.2.2 외부공간계획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10</v>
      </c>
    </row>
    <row r="127" spans="11:26" ht="18" customHeight="1">
      <c r="K127" s="171" t="s">
        <v>14</v>
      </c>
      <c r="L127" s="171"/>
      <c r="M127" s="171"/>
      <c r="N127" s="140" t="s">
        <v>43</v>
      </c>
      <c r="O127" s="172">
        <v>3</v>
      </c>
      <c r="P127" s="219">
        <f ca="1">OFFSET($A$1,MATCH(Z126,$A:$A,0)-1,O127)</f>
        <v>0.72</v>
      </c>
      <c r="Q127" s="141" t="s">
        <v>29</v>
      </c>
      <c r="R127" s="142">
        <f t="shared" ref="R127:S132" ca="1" si="34">T127</f>
        <v>467217</v>
      </c>
      <c r="S127" s="142">
        <f t="shared" ca="1" si="34"/>
        <v>336396</v>
      </c>
      <c r="T127" s="142">
        <f ca="1">기술사</f>
        <v>467217</v>
      </c>
      <c r="U127" s="142">
        <f t="shared" ref="U127:U132" ca="1" si="35">ROUNDDOWN(P127*R127,0)</f>
        <v>336396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M128" s="171"/>
      <c r="N128" s="143" t="s">
        <v>32</v>
      </c>
      <c r="O128" s="173">
        <v>4</v>
      </c>
      <c r="P128" s="234">
        <f ca="1">OFFSET($A$1,MATCH(Z126,$A:$A,0)-1,O128)</f>
        <v>1.56</v>
      </c>
      <c r="Q128" s="144" t="s">
        <v>29</v>
      </c>
      <c r="R128" s="118">
        <f t="shared" ca="1" si="34"/>
        <v>373353</v>
      </c>
      <c r="S128" s="118">
        <f t="shared" ca="1" si="34"/>
        <v>582430</v>
      </c>
      <c r="T128" s="118">
        <f ca="1">특급</f>
        <v>373353</v>
      </c>
      <c r="U128" s="118">
        <f t="shared" ca="1" si="35"/>
        <v>582430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39</v>
      </c>
      <c r="O129" s="173">
        <v>5</v>
      </c>
      <c r="P129" s="234">
        <f ca="1">OFFSET($A$1,MATCH(Z126,$A:$A,0)-1,O129)</f>
        <v>3</v>
      </c>
      <c r="Q129" s="144" t="s">
        <v>29</v>
      </c>
      <c r="R129" s="118">
        <f t="shared" ca="1" si="34"/>
        <v>310884</v>
      </c>
      <c r="S129" s="118">
        <f t="shared" ca="1" si="34"/>
        <v>932652</v>
      </c>
      <c r="T129" s="118">
        <f ca="1">고급</f>
        <v>310884</v>
      </c>
      <c r="U129" s="118">
        <f t="shared" ca="1" si="35"/>
        <v>932652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40</v>
      </c>
      <c r="O130" s="173">
        <v>6</v>
      </c>
      <c r="P130" s="234">
        <f ca="1">OFFSET($A$1,MATCH(Z126,$A:$A,0)-1,O130)</f>
        <v>3.06</v>
      </c>
      <c r="Q130" s="144" t="s">
        <v>29</v>
      </c>
      <c r="R130" s="118">
        <f t="shared" ca="1" si="34"/>
        <v>295138</v>
      </c>
      <c r="S130" s="118">
        <f t="shared" ca="1" si="34"/>
        <v>903122</v>
      </c>
      <c r="T130" s="118">
        <f ca="1">중급</f>
        <v>295138</v>
      </c>
      <c r="U130" s="118">
        <f t="shared" ca="1" si="35"/>
        <v>903122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41</v>
      </c>
      <c r="O131" s="173">
        <v>7</v>
      </c>
      <c r="P131" s="234">
        <f ca="1">OFFSET($A$1,MATCH(Z126,$A:$A,0)-1,O131)</f>
        <v>3.66</v>
      </c>
      <c r="Q131" s="144" t="s">
        <v>29</v>
      </c>
      <c r="R131" s="118">
        <f t="shared" ca="1" si="34"/>
        <v>235459</v>
      </c>
      <c r="S131" s="118">
        <f t="shared" ca="1" si="34"/>
        <v>861779</v>
      </c>
      <c r="T131" s="118">
        <f ca="1">초급</f>
        <v>235459</v>
      </c>
      <c r="U131" s="118">
        <f t="shared" ca="1" si="35"/>
        <v>861779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319" t="s">
        <v>42</v>
      </c>
      <c r="O132" s="174">
        <v>8</v>
      </c>
      <c r="P132" s="235">
        <f ca="1">OFFSET($A$1,MATCH(Z126,$A:$A,0)-1,O132)</f>
        <v>3.6</v>
      </c>
      <c r="Q132" s="322" t="s">
        <v>29</v>
      </c>
      <c r="R132" s="323">
        <f t="shared" ca="1" si="34"/>
        <v>250087</v>
      </c>
      <c r="S132" s="323">
        <f t="shared" ca="1" si="34"/>
        <v>900313</v>
      </c>
      <c r="T132" s="323">
        <f ca="1">보조원</f>
        <v>250087</v>
      </c>
      <c r="U132" s="323">
        <f t="shared" ca="1" si="35"/>
        <v>900313</v>
      </c>
      <c r="V132" s="323"/>
      <c r="W132" s="323"/>
      <c r="X132" s="323"/>
      <c r="Y132" s="323"/>
      <c r="Z132" s="324"/>
    </row>
    <row r="133" spans="11:29" ht="18" customHeight="1">
      <c r="K133" s="171" t="s">
        <v>14</v>
      </c>
      <c r="L133" s="171"/>
      <c r="M133" s="171"/>
      <c r="N133" s="139" t="s">
        <v>17</v>
      </c>
      <c r="O133" s="68"/>
      <c r="P133" s="69"/>
      <c r="Q133" s="70"/>
      <c r="R133" s="71"/>
      <c r="S133" s="71">
        <f ca="1">SUBTOTAL(9,S127:S132)</f>
        <v>4516692</v>
      </c>
      <c r="T133" s="71"/>
      <c r="U133" s="71">
        <f ca="1">SUBTOTAL(9,U127:U132)</f>
        <v>4516692</v>
      </c>
      <c r="V133" s="71"/>
      <c r="W133" s="71"/>
      <c r="X133" s="71"/>
      <c r="Y133" s="71"/>
      <c r="Z133" s="68"/>
    </row>
    <row r="134" spans="11:29" ht="18" customHeight="1">
      <c r="K134" s="171" t="s">
        <v>14</v>
      </c>
      <c r="L134" s="171"/>
      <c r="M134" s="171"/>
      <c r="N134" s="318" t="str">
        <f ca="1">"제 " &amp; Z134 &amp; " 호표  "&amp; OFFSET($A$1,MATCH(Z134,$A:$A,0)-1,1)</f>
        <v>제 11 호표   3.2.3 옥외광고물 등 계획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11</v>
      </c>
    </row>
    <row r="135" spans="11:29" ht="18" customHeight="1">
      <c r="K135" s="171" t="s">
        <v>14</v>
      </c>
      <c r="L135" s="171"/>
      <c r="M135" s="171"/>
      <c r="N135" s="140" t="s">
        <v>43</v>
      </c>
      <c r="O135" s="172">
        <v>3</v>
      </c>
      <c r="P135" s="219">
        <f ca="1">OFFSET($A$1,MATCH(Z134,$A:$A,0)-1,O135)</f>
        <v>0.3</v>
      </c>
      <c r="Q135" s="141" t="s">
        <v>29</v>
      </c>
      <c r="R135" s="142">
        <f t="shared" ref="R135:S140" ca="1" si="36">T135</f>
        <v>467217</v>
      </c>
      <c r="S135" s="142">
        <f t="shared" ca="1" si="36"/>
        <v>140165</v>
      </c>
      <c r="T135" s="142">
        <f ca="1">기술사</f>
        <v>467217</v>
      </c>
      <c r="U135" s="142">
        <f t="shared" ref="U135:U140" ca="1" si="37">ROUNDDOWN(P135*R135,0)</f>
        <v>140165</v>
      </c>
      <c r="V135" s="142"/>
      <c r="W135" s="142"/>
      <c r="X135" s="142"/>
      <c r="Y135" s="142"/>
      <c r="Z135" s="114"/>
    </row>
    <row r="136" spans="11:29" ht="18" customHeight="1">
      <c r="K136" s="171" t="s">
        <v>14</v>
      </c>
      <c r="L136" s="171"/>
      <c r="M136" s="171"/>
      <c r="N136" s="143" t="s">
        <v>32</v>
      </c>
      <c r="O136" s="173">
        <v>4</v>
      </c>
      <c r="P136" s="234">
        <f ca="1">OFFSET($A$1,MATCH(Z134,$A:$A,0)-1,O136)</f>
        <v>0.72</v>
      </c>
      <c r="Q136" s="144" t="s">
        <v>29</v>
      </c>
      <c r="R136" s="118">
        <f t="shared" ca="1" si="36"/>
        <v>373353</v>
      </c>
      <c r="S136" s="118">
        <f t="shared" ca="1" si="36"/>
        <v>268814</v>
      </c>
      <c r="T136" s="118">
        <f ca="1">특급</f>
        <v>373353</v>
      </c>
      <c r="U136" s="118">
        <f t="shared" ca="1" si="37"/>
        <v>268814</v>
      </c>
      <c r="V136" s="118"/>
      <c r="W136" s="118"/>
      <c r="X136" s="118"/>
      <c r="Y136" s="118"/>
      <c r="Z136" s="115"/>
    </row>
    <row r="137" spans="11:29" ht="18" customHeight="1">
      <c r="K137" s="171" t="s">
        <v>14</v>
      </c>
      <c r="L137" s="171"/>
      <c r="M137" s="171"/>
      <c r="N137" s="145" t="s">
        <v>39</v>
      </c>
      <c r="O137" s="173">
        <v>5</v>
      </c>
      <c r="P137" s="234">
        <f ca="1">OFFSET($A$1,MATCH(Z134,$A:$A,0)-1,O137)</f>
        <v>1.5</v>
      </c>
      <c r="Q137" s="144" t="s">
        <v>29</v>
      </c>
      <c r="R137" s="118">
        <f t="shared" ca="1" si="36"/>
        <v>310884</v>
      </c>
      <c r="S137" s="118">
        <f t="shared" ca="1" si="36"/>
        <v>466326</v>
      </c>
      <c r="T137" s="118">
        <f ca="1">고급</f>
        <v>310884</v>
      </c>
      <c r="U137" s="118">
        <f t="shared" ca="1" si="37"/>
        <v>466326</v>
      </c>
      <c r="V137" s="118"/>
      <c r="W137" s="118"/>
      <c r="X137" s="118"/>
      <c r="Y137" s="118"/>
      <c r="Z137" s="115"/>
    </row>
    <row r="138" spans="11:29" ht="18" customHeight="1">
      <c r="K138" s="171" t="s">
        <v>14</v>
      </c>
      <c r="L138" s="171"/>
      <c r="M138" s="171"/>
      <c r="N138" s="145" t="s">
        <v>40</v>
      </c>
      <c r="O138" s="173">
        <v>6</v>
      </c>
      <c r="P138" s="234">
        <f ca="1">OFFSET($A$1,MATCH(Z134,$A:$A,0)-1,O138)</f>
        <v>1.68</v>
      </c>
      <c r="Q138" s="144" t="s">
        <v>29</v>
      </c>
      <c r="R138" s="118">
        <f t="shared" ca="1" si="36"/>
        <v>295138</v>
      </c>
      <c r="S138" s="118">
        <f t="shared" ca="1" si="36"/>
        <v>495831</v>
      </c>
      <c r="T138" s="118">
        <f ca="1">중급</f>
        <v>295138</v>
      </c>
      <c r="U138" s="118">
        <f t="shared" ca="1" si="37"/>
        <v>495831</v>
      </c>
      <c r="V138" s="118"/>
      <c r="W138" s="118"/>
      <c r="X138" s="118"/>
      <c r="Y138" s="118"/>
      <c r="Z138" s="115"/>
    </row>
    <row r="139" spans="11:29" ht="18" customHeight="1">
      <c r="K139" s="171" t="s">
        <v>14</v>
      </c>
      <c r="L139" s="171"/>
      <c r="M139" s="171"/>
      <c r="N139" s="145" t="s">
        <v>41</v>
      </c>
      <c r="O139" s="173">
        <v>7</v>
      </c>
      <c r="P139" s="234">
        <f ca="1">OFFSET($A$1,MATCH(Z134,$A:$A,0)-1,O139)</f>
        <v>1.74</v>
      </c>
      <c r="Q139" s="144" t="s">
        <v>29</v>
      </c>
      <c r="R139" s="118">
        <f t="shared" ca="1" si="36"/>
        <v>235459</v>
      </c>
      <c r="S139" s="118">
        <f t="shared" ca="1" si="36"/>
        <v>409698</v>
      </c>
      <c r="T139" s="118">
        <f ca="1">초급</f>
        <v>235459</v>
      </c>
      <c r="U139" s="118">
        <f t="shared" ca="1" si="37"/>
        <v>409698</v>
      </c>
      <c r="V139" s="118"/>
      <c r="W139" s="118"/>
      <c r="X139" s="118"/>
      <c r="Y139" s="118"/>
      <c r="Z139" s="115"/>
    </row>
    <row r="140" spans="11:29" ht="18" customHeight="1">
      <c r="K140" s="171" t="s">
        <v>14</v>
      </c>
      <c r="L140" s="171"/>
      <c r="M140" s="171"/>
      <c r="N140" s="319" t="s">
        <v>42</v>
      </c>
      <c r="O140" s="174">
        <v>8</v>
      </c>
      <c r="P140" s="235">
        <f ca="1">OFFSET($A$1,MATCH(Z134,$A:$A,0)-1,O140)</f>
        <v>1.74</v>
      </c>
      <c r="Q140" s="322" t="s">
        <v>29</v>
      </c>
      <c r="R140" s="323">
        <f t="shared" ca="1" si="36"/>
        <v>250087</v>
      </c>
      <c r="S140" s="323">
        <f t="shared" ca="1" si="36"/>
        <v>435151</v>
      </c>
      <c r="T140" s="323">
        <f ca="1">보조원</f>
        <v>250087</v>
      </c>
      <c r="U140" s="323">
        <f t="shared" ca="1" si="37"/>
        <v>435151</v>
      </c>
      <c r="V140" s="323"/>
      <c r="W140" s="323"/>
      <c r="X140" s="323"/>
      <c r="Y140" s="323"/>
      <c r="Z140" s="324"/>
    </row>
    <row r="141" spans="11:29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2215985</v>
      </c>
      <c r="T141" s="71"/>
      <c r="U141" s="71">
        <f ca="1">SUBTOTAL(9,U135:U140)</f>
        <v>2215985</v>
      </c>
      <c r="V141" s="71"/>
      <c r="W141" s="71"/>
      <c r="X141" s="71"/>
      <c r="Y141" s="71"/>
      <c r="Z141" s="68"/>
    </row>
    <row r="142" spans="11:29" ht="18" customHeight="1">
      <c r="K142" s="171" t="s">
        <v>14</v>
      </c>
      <c r="L142" s="171"/>
      <c r="M142" s="171"/>
      <c r="N142" s="318" t="str">
        <f ca="1">"제 " &amp; Z142 &amp; " 호표  "&amp; OFFSET($A$1,MATCH(Z142,$A:$A,0)-1,1)</f>
        <v>제 12 호표  4.1. 조망점 선정</v>
      </c>
      <c r="O142" s="221"/>
      <c r="P142" s="148"/>
      <c r="Q142" s="148"/>
      <c r="R142" s="149"/>
      <c r="S142" s="149"/>
      <c r="T142" s="149"/>
      <c r="U142" s="149"/>
      <c r="V142" s="149"/>
      <c r="W142" s="149"/>
      <c r="X142" s="149"/>
      <c r="Y142" s="149"/>
      <c r="Z142" s="325">
        <f>Z134+1</f>
        <v>12</v>
      </c>
      <c r="AA142" s="171"/>
    </row>
    <row r="143" spans="11:29" ht="18" customHeight="1">
      <c r="K143" s="171" t="s">
        <v>14</v>
      </c>
      <c r="L143" s="171"/>
      <c r="M143" s="171"/>
      <c r="N143" s="140" t="s">
        <v>43</v>
      </c>
      <c r="O143" s="172">
        <v>3</v>
      </c>
      <c r="P143" s="219">
        <f ca="1">OFFSET($A$1,MATCH(Z142,$A:$A,0)-1,O143)</f>
        <v>0.18</v>
      </c>
      <c r="Q143" s="141" t="s">
        <v>29</v>
      </c>
      <c r="R143" s="142">
        <f t="shared" ref="R143:S148" ca="1" si="38">T143</f>
        <v>467217</v>
      </c>
      <c r="S143" s="142">
        <f t="shared" ca="1" si="38"/>
        <v>84099</v>
      </c>
      <c r="T143" s="142">
        <f ca="1">기술사</f>
        <v>467217</v>
      </c>
      <c r="U143" s="142">
        <f t="shared" ref="U143:U148" ca="1" si="39">ROUNDDOWN(P143*R143,0)</f>
        <v>84099</v>
      </c>
      <c r="V143" s="142"/>
      <c r="W143" s="142"/>
      <c r="X143" s="142"/>
      <c r="Y143" s="142"/>
      <c r="Z143" s="114"/>
      <c r="AA143" s="171"/>
    </row>
    <row r="144" spans="11:29" ht="18" customHeight="1">
      <c r="K144" s="171" t="s">
        <v>14</v>
      </c>
      <c r="L144" s="171"/>
      <c r="M144" s="171"/>
      <c r="N144" s="143" t="s">
        <v>32</v>
      </c>
      <c r="O144" s="173">
        <v>4</v>
      </c>
      <c r="P144" s="234">
        <f ca="1">OFFSET($A$1,MATCH(Z142,$A:$A,0)-1,O144)</f>
        <v>0.24</v>
      </c>
      <c r="Q144" s="144" t="s">
        <v>29</v>
      </c>
      <c r="R144" s="118">
        <f t="shared" ca="1" si="38"/>
        <v>373353</v>
      </c>
      <c r="S144" s="118">
        <f t="shared" ca="1" si="38"/>
        <v>89604</v>
      </c>
      <c r="T144" s="118">
        <f ca="1">특급</f>
        <v>373353</v>
      </c>
      <c r="U144" s="118">
        <f t="shared" ca="1" si="39"/>
        <v>89604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5" t="s">
        <v>39</v>
      </c>
      <c r="O145" s="173">
        <v>5</v>
      </c>
      <c r="P145" s="234">
        <f ca="1">OFFSET($A$1,MATCH(Z142,$A:$A,0)-1,O145)</f>
        <v>0.18</v>
      </c>
      <c r="Q145" s="144" t="s">
        <v>29</v>
      </c>
      <c r="R145" s="118">
        <f t="shared" ca="1" si="38"/>
        <v>310884</v>
      </c>
      <c r="S145" s="118">
        <f t="shared" ca="1" si="38"/>
        <v>55959</v>
      </c>
      <c r="T145" s="118">
        <f ca="1">고급</f>
        <v>310884</v>
      </c>
      <c r="U145" s="118">
        <f t="shared" ca="1" si="39"/>
        <v>55959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40</v>
      </c>
      <c r="O146" s="173">
        <v>6</v>
      </c>
      <c r="P146" s="234">
        <f ca="1">OFFSET($A$1,MATCH(Z142,$A:$A,0)-1,O146)</f>
        <v>0.24</v>
      </c>
      <c r="Q146" s="144" t="s">
        <v>29</v>
      </c>
      <c r="R146" s="118">
        <f t="shared" ca="1" si="38"/>
        <v>295138</v>
      </c>
      <c r="S146" s="118">
        <f t="shared" ca="1" si="38"/>
        <v>70833</v>
      </c>
      <c r="T146" s="118">
        <f ca="1">중급</f>
        <v>295138</v>
      </c>
      <c r="U146" s="118">
        <f t="shared" ca="1" si="39"/>
        <v>70833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41</v>
      </c>
      <c r="O147" s="173">
        <v>7</v>
      </c>
      <c r="P147" s="234">
        <f ca="1">OFFSET($A$1,MATCH(Z142,$A:$A,0)-1,O147)</f>
        <v>0.24</v>
      </c>
      <c r="Q147" s="144" t="s">
        <v>29</v>
      </c>
      <c r="R147" s="118">
        <f t="shared" ca="1" si="38"/>
        <v>235459</v>
      </c>
      <c r="S147" s="118">
        <f t="shared" ca="1" si="38"/>
        <v>56510</v>
      </c>
      <c r="T147" s="118">
        <f ca="1">초급</f>
        <v>235459</v>
      </c>
      <c r="U147" s="118">
        <f t="shared" ca="1" si="39"/>
        <v>56510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319" t="s">
        <v>42</v>
      </c>
      <c r="O148" s="174">
        <v>8</v>
      </c>
      <c r="P148" s="235">
        <f ca="1">OFFSET($A$1,MATCH(Z142,$A:$A,0)-1,O148)</f>
        <v>0.18</v>
      </c>
      <c r="Q148" s="322" t="s">
        <v>29</v>
      </c>
      <c r="R148" s="323">
        <f t="shared" ca="1" si="38"/>
        <v>250087</v>
      </c>
      <c r="S148" s="323">
        <f t="shared" ca="1" si="38"/>
        <v>45015</v>
      </c>
      <c r="T148" s="323">
        <f ca="1">보조원</f>
        <v>250087</v>
      </c>
      <c r="U148" s="323">
        <f t="shared" ca="1" si="39"/>
        <v>45015</v>
      </c>
      <c r="V148" s="323"/>
      <c r="W148" s="323"/>
      <c r="X148" s="323"/>
      <c r="Y148" s="323"/>
      <c r="Z148" s="324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39" t="s">
        <v>17</v>
      </c>
      <c r="O149" s="68"/>
      <c r="P149" s="69"/>
      <c r="Q149" s="70"/>
      <c r="R149" s="71"/>
      <c r="S149" s="71">
        <f ca="1">SUBTOTAL(9,S143:S148)</f>
        <v>402020</v>
      </c>
      <c r="T149" s="71"/>
      <c r="U149" s="71">
        <f ca="1">SUBTOTAL(9,U143:U148)</f>
        <v>402020</v>
      </c>
      <c r="V149" s="71"/>
      <c r="W149" s="71"/>
      <c r="X149" s="71"/>
      <c r="Y149" s="71"/>
      <c r="Z149" s="68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318" t="str">
        <f ca="1">"제 " &amp; Z150 &amp; " 호표  "&amp; OFFSET($A$1,MATCH(Z150,$A:$A,0)-1,1)</f>
        <v>제 13 호표  4.2. 경관시뮬레이션</v>
      </c>
      <c r="O150" s="221"/>
      <c r="P150" s="148"/>
      <c r="Q150" s="148"/>
      <c r="R150" s="149"/>
      <c r="S150" s="149"/>
      <c r="T150" s="149"/>
      <c r="U150" s="149"/>
      <c r="V150" s="149"/>
      <c r="W150" s="149"/>
      <c r="X150" s="149"/>
      <c r="Y150" s="149"/>
      <c r="Z150" s="325">
        <f>Z142+1</f>
        <v>13</v>
      </c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0" t="s">
        <v>43</v>
      </c>
      <c r="O151" s="172">
        <v>3</v>
      </c>
      <c r="P151" s="219">
        <f ca="1">OFFSET($A$1,MATCH(Z150,$A:$A,0)-1,O151)</f>
        <v>1.02</v>
      </c>
      <c r="Q151" s="141" t="s">
        <v>29</v>
      </c>
      <c r="R151" s="142">
        <f t="shared" ref="R151:S156" ca="1" si="40">T151</f>
        <v>467217</v>
      </c>
      <c r="S151" s="142">
        <f t="shared" ca="1" si="40"/>
        <v>476561</v>
      </c>
      <c r="T151" s="142">
        <f ca="1">기술사</f>
        <v>467217</v>
      </c>
      <c r="U151" s="142">
        <f t="shared" ref="U151:U156" ca="1" si="41">ROUNDDOWN(P151*R151,0)</f>
        <v>476561</v>
      </c>
      <c r="V151" s="142"/>
      <c r="W151" s="142"/>
      <c r="X151" s="142"/>
      <c r="Y151" s="142"/>
      <c r="Z151" s="114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3" t="s">
        <v>32</v>
      </c>
      <c r="O152" s="173">
        <v>4</v>
      </c>
      <c r="P152" s="234">
        <f ca="1">OFFSET($A$1,MATCH(Z150,$A:$A,0)-1,O152)</f>
        <v>1.56</v>
      </c>
      <c r="Q152" s="144" t="s">
        <v>29</v>
      </c>
      <c r="R152" s="118">
        <f t="shared" ca="1" si="40"/>
        <v>373353</v>
      </c>
      <c r="S152" s="118">
        <f t="shared" ca="1" si="40"/>
        <v>582430</v>
      </c>
      <c r="T152" s="118">
        <f ca="1">특급</f>
        <v>373353</v>
      </c>
      <c r="U152" s="118">
        <f t="shared" ca="1" si="41"/>
        <v>582430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39</v>
      </c>
      <c r="O153" s="173">
        <v>5</v>
      </c>
      <c r="P153" s="234">
        <f ca="1">OFFSET($A$1,MATCH(Z150,$A:$A,0)-1,O153)</f>
        <v>1.02</v>
      </c>
      <c r="Q153" s="144" t="s">
        <v>29</v>
      </c>
      <c r="R153" s="118">
        <f t="shared" ca="1" si="40"/>
        <v>310884</v>
      </c>
      <c r="S153" s="118">
        <f t="shared" ca="1" si="40"/>
        <v>317101</v>
      </c>
      <c r="T153" s="118">
        <f ca="1">고급</f>
        <v>310884</v>
      </c>
      <c r="U153" s="118">
        <f t="shared" ca="1" si="41"/>
        <v>317101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40</v>
      </c>
      <c r="O154" s="173">
        <v>6</v>
      </c>
      <c r="P154" s="234">
        <f ca="1">OFFSET($A$1,MATCH(Z150,$A:$A,0)-1,O154)</f>
        <v>1.32</v>
      </c>
      <c r="Q154" s="144" t="s">
        <v>29</v>
      </c>
      <c r="R154" s="118">
        <f t="shared" ca="1" si="40"/>
        <v>295138</v>
      </c>
      <c r="S154" s="118">
        <f t="shared" ca="1" si="40"/>
        <v>389582</v>
      </c>
      <c r="T154" s="118">
        <f ca="1">중급</f>
        <v>295138</v>
      </c>
      <c r="U154" s="118">
        <f t="shared" ca="1" si="41"/>
        <v>389582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41</v>
      </c>
      <c r="O155" s="173">
        <v>7</v>
      </c>
      <c r="P155" s="234">
        <f ca="1">OFFSET($A$1,MATCH(Z150,$A:$A,0)-1,O155)</f>
        <v>1.32</v>
      </c>
      <c r="Q155" s="144" t="s">
        <v>29</v>
      </c>
      <c r="R155" s="118">
        <f t="shared" ca="1" si="40"/>
        <v>235459</v>
      </c>
      <c r="S155" s="118">
        <f t="shared" ca="1" si="40"/>
        <v>310805</v>
      </c>
      <c r="T155" s="118">
        <f ca="1">초급</f>
        <v>235459</v>
      </c>
      <c r="U155" s="118">
        <f t="shared" ca="1" si="41"/>
        <v>310805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319" t="s">
        <v>42</v>
      </c>
      <c r="O156" s="174">
        <v>8</v>
      </c>
      <c r="P156" s="235">
        <f ca="1">OFFSET($A$1,MATCH(Z150,$A:$A,0)-1,O156)</f>
        <v>1.02</v>
      </c>
      <c r="Q156" s="322" t="s">
        <v>29</v>
      </c>
      <c r="R156" s="323">
        <f t="shared" ca="1" si="40"/>
        <v>250087</v>
      </c>
      <c r="S156" s="323">
        <f t="shared" ca="1" si="40"/>
        <v>255088</v>
      </c>
      <c r="T156" s="323">
        <f ca="1">보조원</f>
        <v>250087</v>
      </c>
      <c r="U156" s="323">
        <f t="shared" ca="1" si="41"/>
        <v>255088</v>
      </c>
      <c r="V156" s="323"/>
      <c r="W156" s="323"/>
      <c r="X156" s="323"/>
      <c r="Y156" s="323"/>
      <c r="Z156" s="324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39" t="s">
        <v>17</v>
      </c>
      <c r="O157" s="68"/>
      <c r="P157" s="69"/>
      <c r="Q157" s="70"/>
      <c r="R157" s="71"/>
      <c r="S157" s="71">
        <f ca="1">SUBTOTAL(9,S151:S156)</f>
        <v>2331567</v>
      </c>
      <c r="T157" s="71"/>
      <c r="U157" s="71">
        <f ca="1">SUBTOTAL(9,U151:U156)</f>
        <v>2331567</v>
      </c>
      <c r="V157" s="71"/>
      <c r="W157" s="71"/>
      <c r="X157" s="71"/>
      <c r="Y157" s="71"/>
      <c r="Z157" s="68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318" t="str">
        <f ca="1">"제 " &amp; Z158 &amp; " 호표  "&amp; OFFSET($A$1,MATCH(Z158,$A:$A,0)-1,1)</f>
        <v>제 14 호표  5.1. 보고서 작성 및 편집</v>
      </c>
      <c r="O158" s="221"/>
      <c r="P158" s="148"/>
      <c r="Q158" s="148"/>
      <c r="R158" s="149"/>
      <c r="S158" s="149"/>
      <c r="T158" s="149"/>
      <c r="U158" s="149"/>
      <c r="V158" s="149"/>
      <c r="W158" s="149"/>
      <c r="X158" s="149"/>
      <c r="Y158" s="149"/>
      <c r="Z158" s="325">
        <f>Z150+1</f>
        <v>14</v>
      </c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0" t="s">
        <v>43</v>
      </c>
      <c r="O159" s="172">
        <v>3</v>
      </c>
      <c r="P159" s="219">
        <f ca="1">OFFSET($A$1,MATCH(Z158,$A:$A,0)-1,O159)</f>
        <v>0.18</v>
      </c>
      <c r="Q159" s="141" t="s">
        <v>29</v>
      </c>
      <c r="R159" s="142">
        <f t="shared" ref="R159:R164" ca="1" si="42">T159</f>
        <v>467217</v>
      </c>
      <c r="S159" s="142">
        <f t="shared" ref="S159:S164" ca="1" si="43">U159</f>
        <v>84099</v>
      </c>
      <c r="T159" s="142">
        <f ca="1">기술사</f>
        <v>467217</v>
      </c>
      <c r="U159" s="142">
        <f t="shared" ref="U159:U164" ca="1" si="44">ROUNDDOWN(P159*R159,0)</f>
        <v>84099</v>
      </c>
      <c r="V159" s="142"/>
      <c r="W159" s="142"/>
      <c r="X159" s="142"/>
      <c r="Y159" s="142"/>
      <c r="Z159" s="114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3" t="s">
        <v>32</v>
      </c>
      <c r="O160" s="173">
        <v>4</v>
      </c>
      <c r="P160" s="234">
        <f ca="1">OFFSET($A$1,MATCH(Z158,$A:$A,0)-1,O160)</f>
        <v>0.24</v>
      </c>
      <c r="Q160" s="144" t="s">
        <v>29</v>
      </c>
      <c r="R160" s="118">
        <f t="shared" ca="1" si="42"/>
        <v>373353</v>
      </c>
      <c r="S160" s="118">
        <f t="shared" ca="1" si="43"/>
        <v>89604</v>
      </c>
      <c r="T160" s="118">
        <f ca="1">특급</f>
        <v>373353</v>
      </c>
      <c r="U160" s="118">
        <f t="shared" ca="1" si="44"/>
        <v>89604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39</v>
      </c>
      <c r="O161" s="173">
        <v>5</v>
      </c>
      <c r="P161" s="234">
        <f ca="1">OFFSET($A$1,MATCH(Z158,$A:$A,0)-1,O161)</f>
        <v>0.66</v>
      </c>
      <c r="Q161" s="144" t="s">
        <v>29</v>
      </c>
      <c r="R161" s="118">
        <f t="shared" ca="1" si="42"/>
        <v>310884</v>
      </c>
      <c r="S161" s="118">
        <f t="shared" ca="1" si="43"/>
        <v>205183</v>
      </c>
      <c r="T161" s="118">
        <f ca="1">고급</f>
        <v>310884</v>
      </c>
      <c r="U161" s="118">
        <f t="shared" ca="1" si="44"/>
        <v>205183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40</v>
      </c>
      <c r="O162" s="173">
        <v>6</v>
      </c>
      <c r="P162" s="234">
        <f ca="1">OFFSET($A$1,MATCH(Z158,$A:$A,0)-1,O162)</f>
        <v>1.1399999999999999</v>
      </c>
      <c r="Q162" s="144" t="s">
        <v>29</v>
      </c>
      <c r="R162" s="118">
        <f t="shared" ca="1" si="42"/>
        <v>295138</v>
      </c>
      <c r="S162" s="118">
        <f t="shared" ca="1" si="43"/>
        <v>336457</v>
      </c>
      <c r="T162" s="118">
        <f ca="1">중급</f>
        <v>295138</v>
      </c>
      <c r="U162" s="118">
        <f t="shared" ca="1" si="44"/>
        <v>336457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41</v>
      </c>
      <c r="O163" s="173">
        <v>7</v>
      </c>
      <c r="P163" s="234">
        <f ca="1">OFFSET($A$1,MATCH(Z158,$A:$A,0)-1,O163)</f>
        <v>1.1399999999999999</v>
      </c>
      <c r="Q163" s="144" t="s">
        <v>29</v>
      </c>
      <c r="R163" s="118">
        <f t="shared" ca="1" si="42"/>
        <v>235459</v>
      </c>
      <c r="S163" s="118">
        <f t="shared" ca="1" si="43"/>
        <v>268423</v>
      </c>
      <c r="T163" s="118">
        <f ca="1">초급</f>
        <v>235459</v>
      </c>
      <c r="U163" s="118">
        <f t="shared" ca="1" si="44"/>
        <v>268423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319" t="s">
        <v>42</v>
      </c>
      <c r="O164" s="174">
        <v>8</v>
      </c>
      <c r="P164" s="235">
        <f ca="1">OFFSET($A$1,MATCH(Z158,$A:$A,0)-1,O164)</f>
        <v>1.1399999999999999</v>
      </c>
      <c r="Q164" s="322" t="s">
        <v>29</v>
      </c>
      <c r="R164" s="323">
        <f t="shared" ca="1" si="42"/>
        <v>250087</v>
      </c>
      <c r="S164" s="323">
        <f t="shared" ca="1" si="43"/>
        <v>285099</v>
      </c>
      <c r="T164" s="323">
        <f ca="1">보조원</f>
        <v>250087</v>
      </c>
      <c r="U164" s="323">
        <f t="shared" ca="1" si="44"/>
        <v>285099</v>
      </c>
      <c r="V164" s="323"/>
      <c r="W164" s="323"/>
      <c r="X164" s="323"/>
      <c r="Y164" s="323"/>
      <c r="Z164" s="324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139" t="s">
        <v>17</v>
      </c>
      <c r="O165" s="68"/>
      <c r="P165" s="69"/>
      <c r="Q165" s="70"/>
      <c r="R165" s="71"/>
      <c r="S165" s="71">
        <f ca="1">SUBTOTAL(9,S159:S164)</f>
        <v>1268865</v>
      </c>
      <c r="T165" s="71"/>
      <c r="U165" s="71">
        <f ca="1">SUBTOTAL(9,U159:U164)</f>
        <v>1268865</v>
      </c>
      <c r="V165" s="71"/>
      <c r="W165" s="71"/>
      <c r="X165" s="71"/>
      <c r="Y165" s="71"/>
      <c r="Z165" s="68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318" t="str">
        <f ca="1">"제 " &amp; Z166 &amp; " 호표  "&amp; OFFSET($A$1,MATCH(Z166,$A:$A,0)-1,1)</f>
        <v>제 15 호표  5.2. 관련 도서 작성</v>
      </c>
      <c r="O166" s="221"/>
      <c r="P166" s="148"/>
      <c r="Q166" s="148"/>
      <c r="R166" s="149"/>
      <c r="S166" s="149"/>
      <c r="T166" s="149"/>
      <c r="U166" s="149"/>
      <c r="V166" s="149"/>
      <c r="W166" s="149"/>
      <c r="X166" s="149"/>
      <c r="Y166" s="149"/>
      <c r="Z166" s="325">
        <f>Z158+1</f>
        <v>15</v>
      </c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140" t="s">
        <v>43</v>
      </c>
      <c r="O167" s="172">
        <v>3</v>
      </c>
      <c r="P167" s="219">
        <f ca="1">OFFSET($A$1,MATCH(Z166,$A:$A,0)-1,O167)</f>
        <v>0.06</v>
      </c>
      <c r="Q167" s="141" t="s">
        <v>29</v>
      </c>
      <c r="R167" s="142">
        <f t="shared" ref="R167:R172" ca="1" si="45">T167</f>
        <v>467217</v>
      </c>
      <c r="S167" s="142">
        <f t="shared" ref="S167:S172" ca="1" si="46">U167</f>
        <v>28033</v>
      </c>
      <c r="T167" s="142">
        <f ca="1">기술사</f>
        <v>467217</v>
      </c>
      <c r="U167" s="142">
        <f t="shared" ref="U167:U172" ca="1" si="47">ROUNDDOWN(P167*R167,0)</f>
        <v>28033</v>
      </c>
      <c r="V167" s="142"/>
      <c r="W167" s="142"/>
      <c r="X167" s="142"/>
      <c r="Y167" s="142"/>
      <c r="Z167" s="114"/>
      <c r="AA167" s="171"/>
      <c r="AB167" s="171"/>
      <c r="AC167" s="171"/>
    </row>
    <row r="168" spans="11:29" ht="18" customHeight="1">
      <c r="K168" s="171" t="s">
        <v>14</v>
      </c>
      <c r="L168" s="171"/>
      <c r="M168" s="171"/>
      <c r="N168" s="143" t="s">
        <v>32</v>
      </c>
      <c r="O168" s="173">
        <v>4</v>
      </c>
      <c r="P168" s="234">
        <f ca="1">OFFSET($A$1,MATCH(Z166,$A:$A,0)-1,O168)</f>
        <v>0.12</v>
      </c>
      <c r="Q168" s="144" t="s">
        <v>29</v>
      </c>
      <c r="R168" s="118">
        <f t="shared" ca="1" si="45"/>
        <v>373353</v>
      </c>
      <c r="S168" s="118">
        <f t="shared" ca="1" si="46"/>
        <v>44802</v>
      </c>
      <c r="T168" s="118">
        <f ca="1">특급</f>
        <v>373353</v>
      </c>
      <c r="U168" s="118">
        <f t="shared" ca="1" si="47"/>
        <v>44802</v>
      </c>
      <c r="V168" s="118"/>
      <c r="W168" s="118"/>
      <c r="X168" s="118"/>
      <c r="Y168" s="118"/>
      <c r="Z168" s="115"/>
      <c r="AA168" s="171"/>
      <c r="AB168" s="171"/>
      <c r="AC168" s="171"/>
    </row>
    <row r="169" spans="11:29" ht="18" customHeight="1">
      <c r="K169" s="171" t="s">
        <v>14</v>
      </c>
      <c r="L169" s="171"/>
      <c r="M169" s="171"/>
      <c r="N169" s="145" t="s">
        <v>39</v>
      </c>
      <c r="O169" s="173">
        <v>5</v>
      </c>
      <c r="P169" s="234">
        <f ca="1">OFFSET($A$1,MATCH(Z166,$A:$A,0)-1,O169)</f>
        <v>0.18</v>
      </c>
      <c r="Q169" s="144" t="s">
        <v>29</v>
      </c>
      <c r="R169" s="118">
        <f t="shared" ca="1" si="45"/>
        <v>310884</v>
      </c>
      <c r="S169" s="118">
        <f t="shared" ca="1" si="46"/>
        <v>55959</v>
      </c>
      <c r="T169" s="118">
        <f ca="1">고급</f>
        <v>310884</v>
      </c>
      <c r="U169" s="118">
        <f t="shared" ca="1" si="47"/>
        <v>55959</v>
      </c>
      <c r="V169" s="118"/>
      <c r="W169" s="118"/>
      <c r="X169" s="118"/>
      <c r="Y169" s="118"/>
      <c r="Z169" s="115"/>
      <c r="AA169" s="171"/>
      <c r="AB169" s="171"/>
      <c r="AC169" s="171"/>
    </row>
    <row r="170" spans="11:29" ht="18" customHeight="1">
      <c r="K170" s="171" t="s">
        <v>14</v>
      </c>
      <c r="L170" s="171"/>
      <c r="M170" s="171"/>
      <c r="N170" s="145" t="s">
        <v>40</v>
      </c>
      <c r="O170" s="173">
        <v>6</v>
      </c>
      <c r="P170" s="234">
        <f ca="1">OFFSET($A$1,MATCH(Z166,$A:$A,0)-1,O170)</f>
        <v>0.3</v>
      </c>
      <c r="Q170" s="144" t="s">
        <v>29</v>
      </c>
      <c r="R170" s="118">
        <f t="shared" ca="1" si="45"/>
        <v>295138</v>
      </c>
      <c r="S170" s="118">
        <f t="shared" ca="1" si="46"/>
        <v>88541</v>
      </c>
      <c r="T170" s="118">
        <f ca="1">중급</f>
        <v>295138</v>
      </c>
      <c r="U170" s="118">
        <f t="shared" ca="1" si="47"/>
        <v>88541</v>
      </c>
      <c r="V170" s="118"/>
      <c r="W170" s="118"/>
      <c r="X170" s="118"/>
      <c r="Y170" s="118"/>
      <c r="Z170" s="115"/>
      <c r="AB170" s="171"/>
      <c r="AC170" s="171"/>
    </row>
    <row r="171" spans="11:29" ht="18" customHeight="1">
      <c r="K171" s="171" t="s">
        <v>14</v>
      </c>
      <c r="L171" s="171"/>
      <c r="M171" s="171"/>
      <c r="N171" s="145" t="s">
        <v>41</v>
      </c>
      <c r="O171" s="173">
        <v>7</v>
      </c>
      <c r="P171" s="234">
        <f ca="1">OFFSET($A$1,MATCH(Z166,$A:$A,0)-1,O171)</f>
        <v>0.66</v>
      </c>
      <c r="Q171" s="144" t="s">
        <v>29</v>
      </c>
      <c r="R171" s="118">
        <f t="shared" ca="1" si="45"/>
        <v>235459</v>
      </c>
      <c r="S171" s="118">
        <f t="shared" ca="1" si="46"/>
        <v>155402</v>
      </c>
      <c r="T171" s="118">
        <f ca="1">초급</f>
        <v>235459</v>
      </c>
      <c r="U171" s="118">
        <f t="shared" ca="1" si="47"/>
        <v>155402</v>
      </c>
      <c r="V171" s="118"/>
      <c r="W171" s="118"/>
      <c r="X171" s="118"/>
      <c r="Y171" s="118"/>
      <c r="Z171" s="115"/>
      <c r="AB171" s="171"/>
      <c r="AC171" s="171"/>
    </row>
    <row r="172" spans="11:29" ht="18" customHeight="1">
      <c r="K172" s="171" t="s">
        <v>14</v>
      </c>
      <c r="L172" s="171"/>
      <c r="M172" s="171"/>
      <c r="N172" s="319" t="s">
        <v>42</v>
      </c>
      <c r="O172" s="174">
        <v>8</v>
      </c>
      <c r="P172" s="235">
        <f ca="1">OFFSET($A$1,MATCH(Z166,$A:$A,0)-1,O172)</f>
        <v>0.66</v>
      </c>
      <c r="Q172" s="322" t="s">
        <v>29</v>
      </c>
      <c r="R172" s="323">
        <f t="shared" ca="1" si="45"/>
        <v>250087</v>
      </c>
      <c r="S172" s="323">
        <f t="shared" ca="1" si="46"/>
        <v>165057</v>
      </c>
      <c r="T172" s="323">
        <f ca="1">보조원</f>
        <v>250087</v>
      </c>
      <c r="U172" s="323">
        <f t="shared" ca="1" si="47"/>
        <v>165057</v>
      </c>
      <c r="V172" s="323"/>
      <c r="W172" s="323"/>
      <c r="X172" s="323"/>
      <c r="Y172" s="323"/>
      <c r="Z172" s="324"/>
    </row>
    <row r="173" spans="11:29" ht="18" customHeight="1">
      <c r="K173" s="171" t="s">
        <v>14</v>
      </c>
      <c r="L173" s="171"/>
      <c r="M173" s="171"/>
      <c r="N173" s="139" t="s">
        <v>17</v>
      </c>
      <c r="O173" s="68"/>
      <c r="P173" s="69"/>
      <c r="Q173" s="70"/>
      <c r="R173" s="71"/>
      <c r="S173" s="71">
        <f ca="1">SUBTOTAL(9,S167:S172)</f>
        <v>537794</v>
      </c>
      <c r="T173" s="71"/>
      <c r="U173" s="71">
        <f ca="1">SUBTOTAL(9,U167:U172)</f>
        <v>537794</v>
      </c>
      <c r="V173" s="71"/>
      <c r="W173" s="71"/>
      <c r="X173" s="71"/>
      <c r="Y173" s="71"/>
      <c r="Z173" s="68"/>
    </row>
    <row r="174" spans="11:29" ht="18" customHeight="1">
      <c r="K174" s="171" t="s">
        <v>14</v>
      </c>
      <c r="L174" s="171"/>
      <c r="M174" s="171"/>
      <c r="N174" s="318" t="str">
        <f ca="1">"제 " &amp; Z174 &amp; " 호표  "&amp; OFFSET($A$1,MATCH(Z174,$A:$A,0)-1,1)</f>
        <v>제 16 호표  6.1. 관계기관 협의</v>
      </c>
      <c r="O174" s="221"/>
      <c r="P174" s="148"/>
      <c r="Q174" s="148"/>
      <c r="R174" s="149"/>
      <c r="S174" s="149"/>
      <c r="T174" s="149"/>
      <c r="U174" s="149"/>
      <c r="V174" s="149"/>
      <c r="W174" s="149"/>
      <c r="X174" s="149"/>
      <c r="Y174" s="149"/>
      <c r="Z174" s="325">
        <f>Z166+1</f>
        <v>16</v>
      </c>
    </row>
    <row r="175" spans="11:29" ht="18" customHeight="1">
      <c r="K175" s="171" t="s">
        <v>14</v>
      </c>
      <c r="L175" s="171"/>
      <c r="M175" s="171"/>
      <c r="N175" s="140" t="s">
        <v>43</v>
      </c>
      <c r="O175" s="172">
        <v>3</v>
      </c>
      <c r="P175" s="219">
        <f ca="1">OFFSET($A$1,MATCH(Z174,$A:$A,0)-1,O175)</f>
        <v>2</v>
      </c>
      <c r="Q175" s="141" t="s">
        <v>29</v>
      </c>
      <c r="R175" s="142">
        <f t="shared" ref="R175:R180" ca="1" si="48">T175</f>
        <v>467217</v>
      </c>
      <c r="S175" s="142">
        <f t="shared" ref="S175:S180" ca="1" si="49">U175</f>
        <v>934434</v>
      </c>
      <c r="T175" s="142">
        <f ca="1">기술사</f>
        <v>467217</v>
      </c>
      <c r="U175" s="142">
        <f t="shared" ref="U175:U180" ca="1" si="50">ROUNDDOWN(P175*R175,0)</f>
        <v>934434</v>
      </c>
      <c r="V175" s="142"/>
      <c r="W175" s="142"/>
      <c r="X175" s="142"/>
      <c r="Y175" s="142"/>
      <c r="Z175" s="114"/>
    </row>
    <row r="176" spans="11:29" ht="18" customHeight="1">
      <c r="K176" s="171" t="s">
        <v>14</v>
      </c>
      <c r="L176" s="171"/>
      <c r="M176" s="171"/>
      <c r="N176" s="143" t="s">
        <v>32</v>
      </c>
      <c r="O176" s="173">
        <v>4</v>
      </c>
      <c r="P176" s="234">
        <f ca="1">OFFSET($A$1,MATCH(Z174,$A:$A,0)-1,O176)</f>
        <v>2</v>
      </c>
      <c r="Q176" s="144" t="s">
        <v>29</v>
      </c>
      <c r="R176" s="118">
        <f t="shared" ca="1" si="48"/>
        <v>373353</v>
      </c>
      <c r="S176" s="118">
        <f t="shared" ca="1" si="49"/>
        <v>746706</v>
      </c>
      <c r="T176" s="118">
        <f ca="1">특급</f>
        <v>373353</v>
      </c>
      <c r="U176" s="118">
        <f t="shared" ca="1" si="50"/>
        <v>746706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39</v>
      </c>
      <c r="O177" s="173">
        <v>5</v>
      </c>
      <c r="P177" s="234">
        <f ca="1">OFFSET($A$1,MATCH(Z174,$A:$A,0)-1,O177)</f>
        <v>2</v>
      </c>
      <c r="Q177" s="144" t="s">
        <v>29</v>
      </c>
      <c r="R177" s="118">
        <f t="shared" ca="1" si="48"/>
        <v>310884</v>
      </c>
      <c r="S177" s="118">
        <f t="shared" ca="1" si="49"/>
        <v>621768</v>
      </c>
      <c r="T177" s="118">
        <f ca="1">고급</f>
        <v>310884</v>
      </c>
      <c r="U177" s="118">
        <f t="shared" ca="1" si="50"/>
        <v>621768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40</v>
      </c>
      <c r="O178" s="173">
        <v>6</v>
      </c>
      <c r="P178" s="234">
        <f ca="1">OFFSET($A$1,MATCH(Z174,$A:$A,0)-1,O178)</f>
        <v>4</v>
      </c>
      <c r="Q178" s="144" t="s">
        <v>29</v>
      </c>
      <c r="R178" s="118">
        <f t="shared" ca="1" si="48"/>
        <v>295138</v>
      </c>
      <c r="S178" s="118">
        <f t="shared" ca="1" si="49"/>
        <v>1180552</v>
      </c>
      <c r="T178" s="118">
        <f ca="1">중급</f>
        <v>295138</v>
      </c>
      <c r="U178" s="118">
        <f t="shared" ca="1" si="50"/>
        <v>1180552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41</v>
      </c>
      <c r="O179" s="173">
        <v>7</v>
      </c>
      <c r="P179" s="234">
        <f ca="1">OFFSET($A$1,MATCH(Z174,$A:$A,0)-1,O179)</f>
        <v>4</v>
      </c>
      <c r="Q179" s="144" t="s">
        <v>29</v>
      </c>
      <c r="R179" s="118">
        <f t="shared" ca="1" si="48"/>
        <v>235459</v>
      </c>
      <c r="S179" s="118">
        <f t="shared" ca="1" si="49"/>
        <v>941836</v>
      </c>
      <c r="T179" s="118">
        <f ca="1">초급</f>
        <v>235459</v>
      </c>
      <c r="U179" s="118">
        <f t="shared" ca="1" si="50"/>
        <v>941836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319" t="s">
        <v>42</v>
      </c>
      <c r="O180" s="174">
        <v>8</v>
      </c>
      <c r="P180" s="235">
        <f ca="1">OFFSET($A$1,MATCH(Z174,$A:$A,0)-1,O180)</f>
        <v>4</v>
      </c>
      <c r="Q180" s="322" t="s">
        <v>29</v>
      </c>
      <c r="R180" s="323">
        <f t="shared" ca="1" si="48"/>
        <v>250087</v>
      </c>
      <c r="S180" s="323">
        <f t="shared" ca="1" si="49"/>
        <v>1000348</v>
      </c>
      <c r="T180" s="323">
        <f ca="1">보조원</f>
        <v>250087</v>
      </c>
      <c r="U180" s="323">
        <f t="shared" ca="1" si="50"/>
        <v>1000348</v>
      </c>
      <c r="V180" s="323"/>
      <c r="W180" s="323"/>
      <c r="X180" s="323"/>
      <c r="Y180" s="323"/>
      <c r="Z180" s="324"/>
    </row>
    <row r="181" spans="11:26" ht="18" customHeight="1">
      <c r="K181" s="171" t="s">
        <v>14</v>
      </c>
      <c r="L181" s="171"/>
      <c r="M181" s="171"/>
      <c r="N181" s="139" t="s">
        <v>17</v>
      </c>
      <c r="O181" s="68"/>
      <c r="P181" s="69"/>
      <c r="Q181" s="70"/>
      <c r="R181" s="71"/>
      <c r="S181" s="71">
        <f ca="1">SUBTOTAL(9,S175:S180)</f>
        <v>5425644</v>
      </c>
      <c r="T181" s="71"/>
      <c r="U181" s="71">
        <f ca="1">SUBTOTAL(9,U175:U180)</f>
        <v>5425644</v>
      </c>
      <c r="V181" s="71"/>
      <c r="W181" s="71"/>
      <c r="X181" s="71"/>
      <c r="Y181" s="71"/>
      <c r="Z181" s="68"/>
    </row>
    <row r="182" spans="11:26" ht="18" customHeight="1">
      <c r="K182" s="171" t="s">
        <v>14</v>
      </c>
      <c r="L182" s="171"/>
      <c r="M182" s="171"/>
      <c r="N182" s="318" t="str">
        <f ca="1">"제 " &amp; Z182 &amp; " 호표  "&amp; OFFSET($A$1,MATCH(Z182,$A:$A,0)-1,1)</f>
        <v>제 17 호표  6.2. 위원회심의</v>
      </c>
      <c r="O182" s="221"/>
      <c r="P182" s="148"/>
      <c r="Q182" s="148"/>
      <c r="R182" s="149"/>
      <c r="S182" s="149"/>
      <c r="T182" s="149"/>
      <c r="U182" s="149"/>
      <c r="V182" s="149"/>
      <c r="W182" s="149"/>
      <c r="X182" s="149"/>
      <c r="Y182" s="149"/>
      <c r="Z182" s="325">
        <f>Z174+1</f>
        <v>17</v>
      </c>
    </row>
    <row r="183" spans="11:26" ht="18" customHeight="1">
      <c r="K183" s="171" t="s">
        <v>14</v>
      </c>
      <c r="L183" s="171"/>
      <c r="M183" s="171"/>
      <c r="N183" s="140" t="s">
        <v>43</v>
      </c>
      <c r="O183" s="172">
        <v>3</v>
      </c>
      <c r="P183" s="219">
        <f ca="1">OFFSET($A$1,MATCH(Z182,$A:$A,0)-1,O183)</f>
        <v>2</v>
      </c>
      <c r="Q183" s="141" t="s">
        <v>29</v>
      </c>
      <c r="R183" s="142">
        <f t="shared" ref="R183:R188" ca="1" si="51">T183</f>
        <v>467217</v>
      </c>
      <c r="S183" s="142">
        <f t="shared" ref="S183:S188" ca="1" si="52">U183</f>
        <v>934434</v>
      </c>
      <c r="T183" s="142">
        <f ca="1">기술사</f>
        <v>467217</v>
      </c>
      <c r="U183" s="142">
        <f t="shared" ref="U183:U188" ca="1" si="53">ROUNDDOWN(P183*R183,0)</f>
        <v>934434</v>
      </c>
      <c r="V183" s="142"/>
      <c r="W183" s="142"/>
      <c r="X183" s="142"/>
      <c r="Y183" s="142"/>
      <c r="Z183" s="114"/>
    </row>
    <row r="184" spans="11:26" ht="18" customHeight="1">
      <c r="K184" s="171" t="s">
        <v>14</v>
      </c>
      <c r="L184" s="171"/>
      <c r="M184" s="171"/>
      <c r="N184" s="143" t="s">
        <v>32</v>
      </c>
      <c r="O184" s="173">
        <v>4</v>
      </c>
      <c r="P184" s="234">
        <f ca="1">OFFSET($A$1,MATCH(Z182,$A:$A,0)-1,O184)</f>
        <v>2</v>
      </c>
      <c r="Q184" s="144" t="s">
        <v>29</v>
      </c>
      <c r="R184" s="118">
        <f t="shared" ca="1" si="51"/>
        <v>373353</v>
      </c>
      <c r="S184" s="118">
        <f t="shared" ca="1" si="52"/>
        <v>746706</v>
      </c>
      <c r="T184" s="118">
        <f ca="1">특급</f>
        <v>373353</v>
      </c>
      <c r="U184" s="118">
        <f t="shared" ca="1" si="53"/>
        <v>746706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39</v>
      </c>
      <c r="O185" s="173">
        <v>5</v>
      </c>
      <c r="P185" s="234">
        <f ca="1">OFFSET($A$1,MATCH(Z182,$A:$A,0)-1,O185)</f>
        <v>2</v>
      </c>
      <c r="Q185" s="144" t="s">
        <v>29</v>
      </c>
      <c r="R185" s="118">
        <f t="shared" ca="1" si="51"/>
        <v>310884</v>
      </c>
      <c r="S185" s="118">
        <f t="shared" ca="1" si="52"/>
        <v>621768</v>
      </c>
      <c r="T185" s="118">
        <f ca="1">고급</f>
        <v>310884</v>
      </c>
      <c r="U185" s="118">
        <f t="shared" ca="1" si="53"/>
        <v>621768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40</v>
      </c>
      <c r="O186" s="173">
        <v>6</v>
      </c>
      <c r="P186" s="234">
        <f ca="1">OFFSET($A$1,MATCH(Z182,$A:$A,0)-1,O186)</f>
        <v>4</v>
      </c>
      <c r="Q186" s="144" t="s">
        <v>29</v>
      </c>
      <c r="R186" s="118">
        <f t="shared" ca="1" si="51"/>
        <v>295138</v>
      </c>
      <c r="S186" s="118">
        <f t="shared" ca="1" si="52"/>
        <v>1180552</v>
      </c>
      <c r="T186" s="118">
        <f ca="1">중급</f>
        <v>295138</v>
      </c>
      <c r="U186" s="118">
        <f t="shared" ca="1" si="53"/>
        <v>1180552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41</v>
      </c>
      <c r="O187" s="173">
        <v>7</v>
      </c>
      <c r="P187" s="234">
        <f ca="1">OFFSET($A$1,MATCH(Z182,$A:$A,0)-1,O187)</f>
        <v>4</v>
      </c>
      <c r="Q187" s="144" t="s">
        <v>29</v>
      </c>
      <c r="R187" s="118">
        <f t="shared" ca="1" si="51"/>
        <v>235459</v>
      </c>
      <c r="S187" s="118">
        <f t="shared" ca="1" si="52"/>
        <v>941836</v>
      </c>
      <c r="T187" s="118">
        <f ca="1">초급</f>
        <v>235459</v>
      </c>
      <c r="U187" s="118">
        <f t="shared" ca="1" si="53"/>
        <v>941836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319" t="s">
        <v>42</v>
      </c>
      <c r="O188" s="174">
        <v>8</v>
      </c>
      <c r="P188" s="235">
        <f ca="1">OFFSET($A$1,MATCH(Z182,$A:$A,0)-1,O188)</f>
        <v>4</v>
      </c>
      <c r="Q188" s="322" t="s">
        <v>29</v>
      </c>
      <c r="R188" s="323">
        <f t="shared" ca="1" si="51"/>
        <v>250087</v>
      </c>
      <c r="S188" s="323">
        <f t="shared" ca="1" si="52"/>
        <v>1000348</v>
      </c>
      <c r="T188" s="323">
        <f ca="1">보조원</f>
        <v>250087</v>
      </c>
      <c r="U188" s="323">
        <f t="shared" ca="1" si="53"/>
        <v>1000348</v>
      </c>
      <c r="V188" s="323"/>
      <c r="W188" s="323"/>
      <c r="X188" s="323"/>
      <c r="Y188" s="323"/>
      <c r="Z188" s="324"/>
    </row>
    <row r="189" spans="11:26" ht="18" customHeight="1">
      <c r="K189" s="171" t="s">
        <v>14</v>
      </c>
      <c r="L189" s="171"/>
      <c r="M189" s="171"/>
      <c r="N189" s="139" t="s">
        <v>17</v>
      </c>
      <c r="O189" s="68"/>
      <c r="P189" s="69"/>
      <c r="Q189" s="70"/>
      <c r="R189" s="71"/>
      <c r="S189" s="71">
        <f ca="1">SUBTOTAL(9,S183:S188)</f>
        <v>5425644</v>
      </c>
      <c r="T189" s="71"/>
      <c r="U189" s="71">
        <f ca="1">SUBTOTAL(9,U183:U188)</f>
        <v>5425644</v>
      </c>
      <c r="V189" s="71"/>
      <c r="W189" s="71"/>
      <c r="X189" s="71"/>
      <c r="Y189" s="71"/>
      <c r="Z189" s="68"/>
    </row>
    <row r="190" spans="11:26" ht="18" customHeight="1">
      <c r="K190" s="171" t="s">
        <v>14</v>
      </c>
      <c r="L190" s="171"/>
      <c r="M190" s="171"/>
    </row>
    <row r="191" spans="11:26" ht="18" customHeight="1">
      <c r="K191" s="171" t="s">
        <v>14</v>
      </c>
      <c r="L191" s="171"/>
      <c r="M191" s="171"/>
    </row>
    <row r="192" spans="11:26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  <c r="M755" s="171"/>
    </row>
    <row r="756" spans="12:13" ht="18" customHeight="1">
      <c r="L756" s="171"/>
      <c r="M756" s="171"/>
    </row>
    <row r="757" spans="12:13" ht="18" customHeight="1">
      <c r="L757" s="171"/>
      <c r="M757" s="171"/>
    </row>
    <row r="758" spans="12:13" ht="18" customHeight="1">
      <c r="L758" s="171"/>
      <c r="M758" s="171"/>
    </row>
    <row r="759" spans="12:13" ht="18" customHeight="1">
      <c r="L759" s="171"/>
      <c r="M759" s="171"/>
    </row>
    <row r="760" spans="12:13" ht="18" customHeight="1">
      <c r="L760" s="171"/>
    </row>
    <row r="761" spans="12:13" ht="18" customHeight="1">
      <c r="L761" s="171"/>
    </row>
    <row r="762" spans="12:13" ht="18" customHeight="1">
      <c r="L762" s="171"/>
    </row>
    <row r="763" spans="12:13" ht="18" customHeight="1">
      <c r="L763" s="171"/>
    </row>
    <row r="764" spans="12:13" ht="18" customHeight="1">
      <c r="L764" s="171"/>
    </row>
    <row r="765" spans="12:13" ht="18" customHeight="1">
      <c r="L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  <row r="775" spans="12:12" ht="18" customHeight="1">
      <c r="L775" s="171"/>
    </row>
    <row r="776" spans="12:12" ht="18" customHeight="1">
      <c r="L776" s="171"/>
    </row>
    <row r="777" spans="12:12" ht="18" customHeight="1">
      <c r="L777" s="171"/>
    </row>
    <row r="778" spans="12:12" ht="18" customHeight="1">
      <c r="L778" s="171"/>
    </row>
  </sheetData>
  <mergeCells count="21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B6:C6"/>
    <mergeCell ref="D6:E6"/>
    <mergeCell ref="B15:C16"/>
    <mergeCell ref="J15:J16"/>
    <mergeCell ref="L15:L16"/>
    <mergeCell ref="B7:C7"/>
    <mergeCell ref="D7:E7"/>
    <mergeCell ref="Q52:Q53"/>
    <mergeCell ref="Z52:Z53"/>
    <mergeCell ref="N52:N53"/>
    <mergeCell ref="O52:O53"/>
    <mergeCell ref="P52:P53"/>
  </mergeCells>
  <phoneticPr fontId="14" type="noConversion"/>
  <conditionalFormatting sqref="V17:V41">
    <cfRule type="cellIs" dxfId="3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3" min="13" max="28" man="1"/>
    <brk id="70" min="13" max="28" man="1"/>
    <brk id="91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0118" r:id="rId4" name="Drop Down 6">
              <controlPr defaultSize="0" autoLine="0" autoPict="0">
                <anchor moveWithCells="1">
                  <from>
                    <xdr:col>7</xdr:col>
                    <xdr:colOff>104775</xdr:colOff>
                    <xdr:row>0</xdr:row>
                    <xdr:rowOff>133350</xdr:rowOff>
                  </from>
                  <to>
                    <xdr:col>11</xdr:col>
                    <xdr:colOff>400050</xdr:colOff>
                    <xdr:row>1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4" r:id="rId5" name="Group Box 2">
              <controlPr defaultSize="0" autoFill="0" autoPict="0">
                <anchor moveWithCells="1" sizeWithCells="1">
                  <from>
                    <xdr:col>4</xdr:col>
                    <xdr:colOff>266700</xdr:colOff>
                    <xdr:row>0</xdr:row>
                    <xdr:rowOff>47625</xdr:rowOff>
                  </from>
                  <to>
                    <xdr:col>7</xdr:col>
                    <xdr:colOff>57150</xdr:colOff>
                    <xdr:row>1</xdr:row>
                    <xdr:rowOff>171450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6" r:id="rId6" name="Option Button 4">
              <controlPr defaultSize="0" autoFill="0" autoLine="0" autoPict="0">
                <anchor moveWithCells="1" sizeWithCells="1">
                  <from>
                    <xdr:col>4</xdr:col>
                    <xdr:colOff>361950</xdr:colOff>
                    <xdr:row>0</xdr:row>
                    <xdr:rowOff>114300</xdr:rowOff>
                  </from>
                  <to>
                    <xdr:col>5</xdr:col>
                    <xdr:colOff>485775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17" r:id="rId7" name="Option Button 5">
              <controlPr locked="0" defaultSize="0" autoFill="0" autoLine="0" autoPict="0">
                <anchor moveWithCells="1" sizeWithCells="1">
                  <from>
                    <xdr:col>5</xdr:col>
                    <xdr:colOff>466725</xdr:colOff>
                    <xdr:row>0</xdr:row>
                    <xdr:rowOff>114300</xdr:rowOff>
                  </from>
                  <to>
                    <xdr:col>6</xdr:col>
                    <xdr:colOff>600075</xdr:colOff>
                    <xdr:row>1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0120" r:id="rId8" name="Drop Down 8">
              <controlPr defaultSize="0" autoLine="0" autoPict="0">
                <anchor moveWithCells="1">
                  <from>
                    <xdr:col>11</xdr:col>
                    <xdr:colOff>419100</xdr:colOff>
                    <xdr:row>0</xdr:row>
                    <xdr:rowOff>133350</xdr:rowOff>
                  </from>
                  <to>
                    <xdr:col>16</xdr:col>
                    <xdr:colOff>228600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 codeName="Sheet88">
    <tabColor rgb="FF92D050"/>
    <pageSetUpPr fitToPage="1"/>
  </sheetPr>
  <dimension ref="A1:AB811"/>
  <sheetViews>
    <sheetView showGridLines="0" zoomScale="85" zoomScaleNormal="85" zoomScaleSheetLayoutView="75" workbookViewId="0">
      <selection activeCell="S18" sqref="S18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9" width="11.832031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612</v>
      </c>
    </row>
    <row r="2" spans="1:27" ht="19.5" thickBot="1">
      <c r="B2" s="66" t="s">
        <v>1</v>
      </c>
    </row>
    <row r="3" spans="1:27" ht="18" customHeight="1">
      <c r="B3" s="773" t="s">
        <v>48</v>
      </c>
      <c r="C3" s="774"/>
      <c r="D3" s="809">
        <v>600</v>
      </c>
      <c r="E3" s="810"/>
      <c r="F3" s="44" t="s">
        <v>601</v>
      </c>
      <c r="G3" s="838" t="s">
        <v>1104</v>
      </c>
      <c r="H3" s="839"/>
      <c r="I3" s="656">
        <v>2</v>
      </c>
      <c r="J3" s="669" t="s">
        <v>794</v>
      </c>
    </row>
    <row r="4" spans="1:27" ht="18" customHeight="1">
      <c r="B4" s="777" t="s">
        <v>2406</v>
      </c>
      <c r="C4" s="778"/>
      <c r="D4" s="811">
        <v>100</v>
      </c>
      <c r="E4" s="812"/>
      <c r="F4" s="65" t="str">
        <f>F3</f>
        <v>㎢</v>
      </c>
      <c r="G4" s="777" t="s">
        <v>1109</v>
      </c>
      <c r="H4" s="814"/>
      <c r="I4" s="298">
        <v>2</v>
      </c>
      <c r="J4" s="670" t="s">
        <v>794</v>
      </c>
    </row>
    <row r="5" spans="1:27" ht="18" customHeight="1" thickBot="1">
      <c r="B5" s="781" t="s">
        <v>602</v>
      </c>
      <c r="C5" s="782"/>
      <c r="D5" s="783">
        <f>ROUNDDOWN((IF(D4&lt;=100,100,D4)/D3)^0.2,3)</f>
        <v>0.69799999999999995</v>
      </c>
      <c r="E5" s="813"/>
      <c r="F5" s="244"/>
      <c r="G5" s="817" t="s">
        <v>1102</v>
      </c>
      <c r="H5" s="818"/>
      <c r="I5" s="646">
        <f>ROUND(I4/I3,3)</f>
        <v>1</v>
      </c>
      <c r="J5" s="671"/>
      <c r="U5" s="6">
        <f t="array" aca="1" ref="U5" ca="1">SUM((N60:N147=N67)*S60:S147)</f>
        <v>24455153</v>
      </c>
    </row>
    <row r="6" spans="1:27" ht="18" customHeight="1">
      <c r="B6" s="1" t="s">
        <v>2405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G7" s="9"/>
      <c r="W7" s="188" t="s">
        <v>3</v>
      </c>
      <c r="X7" s="189"/>
    </row>
    <row r="8" spans="1:27" ht="18" customHeight="1" thickBot="1">
      <c r="B8" s="66" t="s">
        <v>4</v>
      </c>
      <c r="C8" s="9"/>
      <c r="D8" s="64"/>
      <c r="E8" s="64"/>
      <c r="G8" s="36"/>
      <c r="N8" s="66" t="s">
        <v>5</v>
      </c>
    </row>
    <row r="9" spans="1:27" ht="18" customHeight="1" thickBot="1"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SUBTOTAL(9,W10:W34)</f>
        <v>72852151</v>
      </c>
      <c r="X9" s="187"/>
      <c r="Y9" s="177"/>
      <c r="Z9" s="167"/>
    </row>
    <row r="10" spans="1:27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SUBTOTAL(9,W11:W31)</f>
        <v>28955153</v>
      </c>
      <c r="X10" s="164"/>
      <c r="Y10" s="178" t="s">
        <v>9</v>
      </c>
      <c r="Z10" s="179"/>
    </row>
    <row r="11" spans="1:27" ht="18" customHeight="1" thickBot="1">
      <c r="A11" s="326"/>
      <c r="B11" s="759"/>
      <c r="C11" s="760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218"/>
      <c r="W11" s="159">
        <f ca="1">SUBTOTAL(9,W12:W27)</f>
        <v>24455153</v>
      </c>
      <c r="X11" s="160"/>
      <c r="Y11" s="168"/>
      <c r="Z11" s="168"/>
    </row>
    <row r="12" spans="1:27" ht="18" customHeight="1">
      <c r="A12" s="355"/>
      <c r="B12" s="73" t="s">
        <v>603</v>
      </c>
      <c r="C12" s="72"/>
      <c r="D12" s="30">
        <f t="shared" ref="D12:I12" si="0">SUBTOTAL(9,D13:D13)</f>
        <v>1</v>
      </c>
      <c r="E12" s="31">
        <f t="shared" si="0"/>
        <v>2</v>
      </c>
      <c r="F12" s="31">
        <f t="shared" si="0"/>
        <v>2</v>
      </c>
      <c r="G12" s="31">
        <f t="shared" si="0"/>
        <v>2</v>
      </c>
      <c r="H12" s="31">
        <f t="shared" si="0"/>
        <v>2</v>
      </c>
      <c r="I12" s="32">
        <f t="shared" si="0"/>
        <v>0</v>
      </c>
      <c r="J12" s="678"/>
      <c r="L12" s="232"/>
      <c r="N12" s="354" t="str">
        <f>B12</f>
        <v>1. 기본구상</v>
      </c>
      <c r="O12" s="169"/>
      <c r="P12" s="169"/>
      <c r="Q12" s="169"/>
      <c r="R12" s="169"/>
      <c r="S12" s="169"/>
      <c r="T12" s="169"/>
      <c r="U12" s="226"/>
      <c r="V12" s="248"/>
      <c r="W12" s="193">
        <f ca="1">SUBTOTAL(9,W13:W13)</f>
        <v>2022023</v>
      </c>
      <c r="X12" s="194"/>
      <c r="Y12" s="170" t="str">
        <f>IF(A31&gt;0, "제 " &amp;A31&amp; " 호표","")</f>
        <v/>
      </c>
      <c r="Z12" s="170"/>
      <c r="AA12" s="229"/>
    </row>
    <row r="13" spans="1:27" ht="18" customHeight="1">
      <c r="A13" s="355"/>
      <c r="B13" s="409" t="s">
        <v>2392</v>
      </c>
      <c r="C13" s="237"/>
      <c r="D13" s="20">
        <v>1</v>
      </c>
      <c r="E13" s="21">
        <v>2</v>
      </c>
      <c r="F13" s="21">
        <v>2</v>
      </c>
      <c r="G13" s="21">
        <v>2</v>
      </c>
      <c r="H13" s="21">
        <v>2</v>
      </c>
      <c r="I13" s="22">
        <v>0</v>
      </c>
      <c r="J13" s="389" t="s">
        <v>2403</v>
      </c>
      <c r="L13" s="233">
        <v>1</v>
      </c>
      <c r="N13" s="292" t="str">
        <f t="shared" ref="N13:N27" si="1">B13</f>
        <v>1.1. 세부평가기준 및 평가방법수립</v>
      </c>
      <c r="O13" s="37"/>
      <c r="P13" s="37"/>
      <c r="Q13" s="37"/>
      <c r="R13" s="37"/>
      <c r="S13" s="37"/>
      <c r="T13" s="37"/>
      <c r="U13" s="227"/>
      <c r="V13" s="231"/>
      <c r="W13" s="153">
        <f t="array" aca="1" ref="W13" ca="1">SUM((ROUNDDOWN((D30:I30)*단가,0)))</f>
        <v>2022023</v>
      </c>
      <c r="X13" s="154"/>
      <c r="Y13" s="170" t="str">
        <f>IF(A30&gt;0, "제 " &amp;A30&amp; " 호표","")</f>
        <v>제 1 호표</v>
      </c>
      <c r="Z13" s="150"/>
    </row>
    <row r="14" spans="1:27" ht="18" customHeight="1">
      <c r="A14" s="355"/>
      <c r="B14" s="222" t="s">
        <v>604</v>
      </c>
      <c r="C14" s="47"/>
      <c r="D14" s="33">
        <f t="shared" ref="D14:I14" si="2">SUBTOTAL(9,D15:D16)</f>
        <v>0</v>
      </c>
      <c r="E14" s="34">
        <f t="shared" si="2"/>
        <v>1</v>
      </c>
      <c r="F14" s="34">
        <f t="shared" si="2"/>
        <v>4</v>
      </c>
      <c r="G14" s="34">
        <f t="shared" si="2"/>
        <v>2</v>
      </c>
      <c r="H14" s="34">
        <f t="shared" si="2"/>
        <v>2</v>
      </c>
      <c r="I14" s="35">
        <f t="shared" si="2"/>
        <v>0</v>
      </c>
      <c r="J14" s="594"/>
      <c r="L14" s="233"/>
      <c r="N14" s="79" t="str">
        <f t="shared" si="1"/>
        <v>2. 계획타당성 검토</v>
      </c>
      <c r="O14" s="37"/>
      <c r="P14" s="37"/>
      <c r="Q14" s="37"/>
      <c r="R14" s="37"/>
      <c r="S14" s="37"/>
      <c r="T14" s="37"/>
      <c r="U14" s="227"/>
      <c r="V14" s="231"/>
      <c r="W14" s="193">
        <f ca="1">SUBTOTAL(9,W15:W16)</f>
        <v>1869300</v>
      </c>
      <c r="X14" s="154"/>
      <c r="Y14" s="170" t="str">
        <f t="shared" ref="Y14:Y27" si="3">IF(A31&gt;0, "제 " &amp;A31&amp; " 호표","")</f>
        <v/>
      </c>
      <c r="Z14" s="150"/>
    </row>
    <row r="15" spans="1:27" ht="18" customHeight="1">
      <c r="A15" s="355"/>
      <c r="B15" s="409" t="s">
        <v>2393</v>
      </c>
      <c r="C15" s="409"/>
      <c r="D15" s="20">
        <v>0</v>
      </c>
      <c r="E15" s="21">
        <v>0.5</v>
      </c>
      <c r="F15" s="21">
        <v>2</v>
      </c>
      <c r="G15" s="21">
        <v>1</v>
      </c>
      <c r="H15" s="21">
        <v>1</v>
      </c>
      <c r="I15" s="22">
        <v>0</v>
      </c>
      <c r="J15" s="389" t="s">
        <v>1090</v>
      </c>
      <c r="L15" s="233">
        <v>1</v>
      </c>
      <c r="N15" s="292" t="str">
        <f t="shared" si="1"/>
        <v>2.1. 계획적 타당성 검토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SUM((ROUNDDOWN((D32:I32)*단가,0)))</f>
        <v>934650</v>
      </c>
      <c r="X15" s="154"/>
      <c r="Y15" s="170" t="str">
        <f t="shared" si="3"/>
        <v>제 2 호표</v>
      </c>
      <c r="Z15" s="150"/>
    </row>
    <row r="16" spans="1:27" ht="18" customHeight="1">
      <c r="A16" s="355"/>
      <c r="B16" s="410" t="s">
        <v>2394</v>
      </c>
      <c r="C16" s="410"/>
      <c r="D16" s="24">
        <v>0</v>
      </c>
      <c r="E16" s="25">
        <v>0.5</v>
      </c>
      <c r="F16" s="25">
        <v>2</v>
      </c>
      <c r="G16" s="25">
        <v>1</v>
      </c>
      <c r="H16" s="25">
        <v>1</v>
      </c>
      <c r="I16" s="26">
        <v>0</v>
      </c>
      <c r="J16" s="443" t="s">
        <v>1090</v>
      </c>
      <c r="L16" s="233">
        <v>1</v>
      </c>
      <c r="N16" s="292" t="str">
        <f t="shared" si="1"/>
        <v>2.2. 환경적 타당성 검토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SUM((ROUNDDOWN((D33:I33)*단가,0)))</f>
        <v>934650</v>
      </c>
      <c r="X16" s="154"/>
      <c r="Y16" s="170" t="str">
        <f t="shared" si="3"/>
        <v>제 3 호표</v>
      </c>
      <c r="Z16" s="150"/>
    </row>
    <row r="17" spans="1:26" ht="18" customHeight="1">
      <c r="A17" s="355"/>
      <c r="B17" s="252" t="s">
        <v>613</v>
      </c>
      <c r="C17" s="252"/>
      <c r="D17" s="30">
        <f t="shared" ref="D17:I17" si="4">SUBTOTAL(9,D18:D21)</f>
        <v>2</v>
      </c>
      <c r="E17" s="31">
        <f t="shared" si="4"/>
        <v>4</v>
      </c>
      <c r="F17" s="31">
        <f t="shared" si="4"/>
        <v>8</v>
      </c>
      <c r="G17" s="31">
        <f t="shared" si="4"/>
        <v>8</v>
      </c>
      <c r="H17" s="31">
        <f t="shared" si="4"/>
        <v>8</v>
      </c>
      <c r="I17" s="32">
        <f t="shared" si="4"/>
        <v>0</v>
      </c>
      <c r="J17" s="653"/>
      <c r="L17" s="233"/>
      <c r="N17" s="79" t="str">
        <f t="shared" si="1"/>
        <v>3. 평가서 작성</v>
      </c>
      <c r="O17" s="37"/>
      <c r="P17" s="37"/>
      <c r="Q17" s="37"/>
      <c r="R17" s="37"/>
      <c r="S17" s="37"/>
      <c r="T17" s="37"/>
      <c r="U17" s="227"/>
      <c r="V17" s="231"/>
      <c r="W17" s="193">
        <f ca="1">SUBTOTAL(9,W18:W21)</f>
        <v>6393456</v>
      </c>
      <c r="X17" s="154"/>
      <c r="Y17" s="170" t="str">
        <f t="shared" si="3"/>
        <v/>
      </c>
      <c r="Z17" s="150"/>
    </row>
    <row r="18" spans="1:26" ht="18" customHeight="1">
      <c r="A18" s="355"/>
      <c r="B18" s="223" t="s">
        <v>2395</v>
      </c>
      <c r="C18" s="237"/>
      <c r="D18" s="20">
        <v>0.5</v>
      </c>
      <c r="E18" s="21">
        <v>1</v>
      </c>
      <c r="F18" s="21">
        <v>2</v>
      </c>
      <c r="G18" s="21">
        <v>2</v>
      </c>
      <c r="H18" s="21">
        <v>2</v>
      </c>
      <c r="I18" s="22">
        <v>0</v>
      </c>
      <c r="J18" s="389" t="s">
        <v>1090</v>
      </c>
      <c r="L18" s="233">
        <v>1</v>
      </c>
      <c r="N18" s="292" t="str">
        <f t="shared" si="1"/>
        <v>3.1. 균형적 국토발전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SUM((ROUNDDOWN((D35:I35)*단가,0)))</f>
        <v>1598364</v>
      </c>
      <c r="X18" s="154"/>
      <c r="Y18" s="170" t="str">
        <f t="shared" si="3"/>
        <v>제 4 호표</v>
      </c>
      <c r="Z18" s="150"/>
    </row>
    <row r="19" spans="1:26" ht="18" customHeight="1">
      <c r="A19" s="355"/>
      <c r="B19" s="223" t="s">
        <v>2396</v>
      </c>
      <c r="C19" s="237"/>
      <c r="D19" s="20">
        <v>0.5</v>
      </c>
      <c r="E19" s="21">
        <v>1</v>
      </c>
      <c r="F19" s="21">
        <v>2</v>
      </c>
      <c r="G19" s="21">
        <v>2</v>
      </c>
      <c r="H19" s="21">
        <v>2</v>
      </c>
      <c r="I19" s="22">
        <v>0</v>
      </c>
      <c r="J19" s="389" t="s">
        <v>1090</v>
      </c>
      <c r="L19" s="233">
        <v>1</v>
      </c>
      <c r="N19" s="292" t="str">
        <f t="shared" si="1"/>
        <v>3.2. 국토의 경쟁력 강화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SUM((ROUNDDOWN((D36:I36)*단가,0)))</f>
        <v>1598364</v>
      </c>
      <c r="X19" s="154"/>
      <c r="Y19" s="170" t="str">
        <f t="shared" si="3"/>
        <v>제 5 호표</v>
      </c>
      <c r="Z19" s="150"/>
    </row>
    <row r="20" spans="1:26" ht="18" customHeight="1">
      <c r="A20" s="355"/>
      <c r="B20" s="223" t="s">
        <v>2397</v>
      </c>
      <c r="C20" s="237"/>
      <c r="D20" s="20">
        <v>0.5</v>
      </c>
      <c r="E20" s="21">
        <v>1</v>
      </c>
      <c r="F20" s="21">
        <v>2</v>
      </c>
      <c r="G20" s="21">
        <v>2</v>
      </c>
      <c r="H20" s="21">
        <v>2</v>
      </c>
      <c r="I20" s="22">
        <v>0</v>
      </c>
      <c r="J20" s="389" t="s">
        <v>1090</v>
      </c>
      <c r="L20" s="233">
        <v>1</v>
      </c>
      <c r="N20" s="292" t="str">
        <f t="shared" si="1"/>
        <v>3.3. 환경친화적 국토관리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SUM((ROUNDDOWN((D37:I37)*단가,0)))</f>
        <v>1598364</v>
      </c>
      <c r="X20" s="154"/>
      <c r="Y20" s="170" t="str">
        <f t="shared" si="3"/>
        <v>제 6 호표</v>
      </c>
      <c r="Z20" s="150"/>
    </row>
    <row r="21" spans="1:26" ht="18" customHeight="1">
      <c r="A21" s="355"/>
      <c r="B21" s="223" t="s">
        <v>2398</v>
      </c>
      <c r="C21" s="237"/>
      <c r="D21" s="20">
        <v>0.5</v>
      </c>
      <c r="E21" s="21">
        <v>1</v>
      </c>
      <c r="F21" s="21">
        <v>2</v>
      </c>
      <c r="G21" s="21">
        <v>2</v>
      </c>
      <c r="H21" s="21">
        <v>2</v>
      </c>
      <c r="I21" s="22">
        <v>0</v>
      </c>
      <c r="J21" s="389" t="s">
        <v>1090</v>
      </c>
      <c r="L21" s="233">
        <v>1</v>
      </c>
      <c r="N21" s="292" t="str">
        <f t="shared" si="1"/>
        <v>3.4. 계획의 적정성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SUM((ROUNDDOWN((D38:I38)*단가,0)))</f>
        <v>1598364</v>
      </c>
      <c r="X21" s="154"/>
      <c r="Y21" s="170" t="str">
        <f t="shared" si="3"/>
        <v>제 7 호표</v>
      </c>
      <c r="Z21" s="150"/>
    </row>
    <row r="22" spans="1:26" ht="18" customHeight="1">
      <c r="A22" s="355"/>
      <c r="B22" s="222" t="s">
        <v>605</v>
      </c>
      <c r="C22" s="47"/>
      <c r="D22" s="33">
        <f t="shared" ref="D22:I22" si="5">SUBTOTAL(9,D23:D24)</f>
        <v>0.5</v>
      </c>
      <c r="E22" s="34">
        <f t="shared" si="5"/>
        <v>2</v>
      </c>
      <c r="F22" s="34">
        <f t="shared" si="5"/>
        <v>4</v>
      </c>
      <c r="G22" s="34">
        <f t="shared" si="5"/>
        <v>1</v>
      </c>
      <c r="H22" s="34">
        <f t="shared" si="5"/>
        <v>1</v>
      </c>
      <c r="I22" s="35">
        <f t="shared" si="5"/>
        <v>8</v>
      </c>
      <c r="J22" s="620"/>
      <c r="L22" s="233"/>
      <c r="N22" s="79" t="str">
        <f t="shared" si="1"/>
        <v>4. 성과품 작성</v>
      </c>
      <c r="O22" s="37"/>
      <c r="P22" s="37"/>
      <c r="Q22" s="37"/>
      <c r="R22" s="37"/>
      <c r="S22" s="37"/>
      <c r="T22" s="37"/>
      <c r="U22" s="227"/>
      <c r="V22" s="231"/>
      <c r="W22" s="193">
        <f ca="1">SUBTOTAL(9,W23:W24)</f>
        <v>3319086</v>
      </c>
      <c r="X22" s="154"/>
      <c r="Y22" s="170" t="str">
        <f t="shared" si="3"/>
        <v/>
      </c>
      <c r="Z22" s="150"/>
    </row>
    <row r="23" spans="1:26" ht="18" customHeight="1">
      <c r="A23" s="355"/>
      <c r="B23" s="223" t="s">
        <v>2399</v>
      </c>
      <c r="C23" s="253"/>
      <c r="D23" s="20">
        <v>0.5</v>
      </c>
      <c r="E23" s="21">
        <v>1</v>
      </c>
      <c r="F23" s="21">
        <v>2</v>
      </c>
      <c r="G23" s="21">
        <v>1</v>
      </c>
      <c r="H23" s="21">
        <v>1</v>
      </c>
      <c r="I23" s="22">
        <v>4</v>
      </c>
      <c r="J23" s="389" t="s">
        <v>1090</v>
      </c>
      <c r="L23" s="233">
        <v>1</v>
      </c>
      <c r="N23" s="292" t="str">
        <f t="shared" si="1"/>
        <v>4.1. 자체평가표 작성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SUM((ROUNDDOWN((D40:I40)*단가,0)))</f>
        <v>1926250</v>
      </c>
      <c r="X23" s="154"/>
      <c r="Y23" s="170" t="str">
        <f t="shared" si="3"/>
        <v>제 8 호표</v>
      </c>
      <c r="Z23" s="150"/>
    </row>
    <row r="24" spans="1:26" ht="18" customHeight="1">
      <c r="A24" s="355"/>
      <c r="B24" s="224" t="s">
        <v>2400</v>
      </c>
      <c r="C24" s="238"/>
      <c r="D24" s="24">
        <v>0</v>
      </c>
      <c r="E24" s="25">
        <v>1</v>
      </c>
      <c r="F24" s="25">
        <v>2</v>
      </c>
      <c r="G24" s="25">
        <v>0</v>
      </c>
      <c r="H24" s="25">
        <v>0</v>
      </c>
      <c r="I24" s="26">
        <v>4</v>
      </c>
      <c r="J24" s="443" t="s">
        <v>1090</v>
      </c>
      <c r="L24" s="233">
        <v>1</v>
      </c>
      <c r="N24" s="292" t="str">
        <f t="shared" si="1"/>
        <v>4.2. 평가요청서 작성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SUM((ROUNDDOWN((D41:I41)*단가,0)))</f>
        <v>1392836</v>
      </c>
      <c r="X24" s="154"/>
      <c r="Y24" s="170" t="str">
        <f t="shared" si="3"/>
        <v>제 9 호표</v>
      </c>
      <c r="Z24" s="150"/>
    </row>
    <row r="25" spans="1:26" ht="18" customHeight="1">
      <c r="A25" s="355"/>
      <c r="B25" s="252" t="s">
        <v>606</v>
      </c>
      <c r="C25" s="252"/>
      <c r="D25" s="33">
        <f t="shared" ref="D25:I25" si="6">SUBTOTAL(9,D26:D27)</f>
        <v>4</v>
      </c>
      <c r="E25" s="34">
        <f t="shared" si="6"/>
        <v>4</v>
      </c>
      <c r="F25" s="34">
        <f t="shared" si="6"/>
        <v>4</v>
      </c>
      <c r="G25" s="34">
        <f t="shared" si="6"/>
        <v>8</v>
      </c>
      <c r="H25" s="34">
        <f t="shared" si="6"/>
        <v>8</v>
      </c>
      <c r="I25" s="35">
        <f t="shared" si="6"/>
        <v>8</v>
      </c>
      <c r="J25" s="653"/>
      <c r="L25" s="233"/>
      <c r="N25" s="79" t="str">
        <f t="shared" si="1"/>
        <v>5. 기술협의</v>
      </c>
      <c r="O25" s="37"/>
      <c r="P25" s="39"/>
      <c r="Q25" s="37"/>
      <c r="R25" s="117"/>
      <c r="S25" s="37"/>
      <c r="T25" s="37"/>
      <c r="U25" s="228"/>
      <c r="V25" s="231"/>
      <c r="W25" s="193">
        <f ca="1">SUBTOTAL(9,W26:W27)</f>
        <v>10851288</v>
      </c>
      <c r="X25" s="154"/>
      <c r="Y25" s="170" t="str">
        <f t="shared" si="3"/>
        <v/>
      </c>
      <c r="Z25" s="150"/>
    </row>
    <row r="26" spans="1:26" ht="18" customHeight="1">
      <c r="A26" s="355"/>
      <c r="B26" s="223" t="s">
        <v>2401</v>
      </c>
      <c r="C26" s="237"/>
      <c r="D26" s="20">
        <v>2</v>
      </c>
      <c r="E26" s="21">
        <v>2</v>
      </c>
      <c r="F26" s="21">
        <v>2</v>
      </c>
      <c r="G26" s="21">
        <v>4</v>
      </c>
      <c r="H26" s="21">
        <v>4</v>
      </c>
      <c r="I26" s="22">
        <v>4</v>
      </c>
      <c r="J26" s="389" t="s">
        <v>2404</v>
      </c>
      <c r="L26" s="233">
        <v>1</v>
      </c>
      <c r="N26" s="292" t="str">
        <f t="shared" si="1"/>
        <v>5.1. 위원회심의 지원</v>
      </c>
      <c r="O26" s="37"/>
      <c r="P26" s="39"/>
      <c r="Q26" s="37"/>
      <c r="R26" s="117"/>
      <c r="S26" s="37"/>
      <c r="T26" s="37"/>
      <c r="U26" s="228"/>
      <c r="V26" s="231"/>
      <c r="W26" s="153">
        <f t="array" aca="1" ref="W26" ca="1">SUM((ROUNDDOWN((D43:I43)*단가,0)))</f>
        <v>5425644</v>
      </c>
      <c r="X26" s="154"/>
      <c r="Y26" s="170" t="str">
        <f t="shared" si="3"/>
        <v>제 10 호표</v>
      </c>
      <c r="Z26" s="150"/>
    </row>
    <row r="27" spans="1:26" ht="18" customHeight="1" thickBot="1">
      <c r="A27" s="326"/>
      <c r="B27" s="259" t="s">
        <v>2402</v>
      </c>
      <c r="C27" s="264"/>
      <c r="D27" s="40">
        <v>2</v>
      </c>
      <c r="E27" s="41">
        <v>2</v>
      </c>
      <c r="F27" s="41">
        <v>2</v>
      </c>
      <c r="G27" s="41">
        <v>4</v>
      </c>
      <c r="H27" s="41">
        <v>4</v>
      </c>
      <c r="I27" s="42">
        <v>4</v>
      </c>
      <c r="J27" s="390" t="s">
        <v>1094</v>
      </c>
      <c r="L27" s="233">
        <v>1</v>
      </c>
      <c r="N27" s="292" t="str">
        <f t="shared" si="1"/>
        <v>5.2. 관계기관 협의</v>
      </c>
      <c r="O27" s="37"/>
      <c r="P27" s="39"/>
      <c r="Q27" s="37"/>
      <c r="R27" s="117"/>
      <c r="S27" s="37"/>
      <c r="T27" s="37"/>
      <c r="U27" s="228"/>
      <c r="V27" s="231"/>
      <c r="W27" s="153">
        <f t="array" aca="1" ref="W27" ca="1">SUM((ROUNDDOWN((D44:I44)*단가,0)))</f>
        <v>5425644</v>
      </c>
      <c r="X27" s="154"/>
      <c r="Y27" s="170" t="str">
        <f t="shared" si="3"/>
        <v>제 11 호표</v>
      </c>
      <c r="Z27" s="150"/>
    </row>
    <row r="28" spans="1:26" ht="18" customHeight="1" thickBot="1">
      <c r="A28" s="326"/>
      <c r="B28" s="249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290" t="s">
        <v>10</v>
      </c>
      <c r="O28" s="129"/>
      <c r="P28" s="130"/>
      <c r="Q28" s="124"/>
      <c r="R28" s="131"/>
      <c r="S28" s="124"/>
      <c r="T28" s="124"/>
      <c r="U28" s="181"/>
      <c r="V28" s="181"/>
      <c r="W28" s="159">
        <f>SUBTOTAL(9,W29:W31)</f>
        <v>4500000</v>
      </c>
      <c r="X28" s="160"/>
      <c r="Y28" s="124"/>
      <c r="Z28" s="124"/>
    </row>
    <row r="29" spans="1:26" ht="18" customHeight="1">
      <c r="A29" s="326"/>
      <c r="B29" s="73" t="s">
        <v>603</v>
      </c>
      <c r="C29" s="72"/>
      <c r="D29" s="693">
        <f t="shared" ref="D29:I29" si="7">SUBTOTAL(9,D30:D30)</f>
        <v>0.69799999999999995</v>
      </c>
      <c r="E29" s="694">
        <f t="shared" si="7"/>
        <v>1.3959999999999999</v>
      </c>
      <c r="F29" s="694">
        <f t="shared" si="7"/>
        <v>1.3959999999999999</v>
      </c>
      <c r="G29" s="694">
        <f t="shared" si="7"/>
        <v>1.3959999999999999</v>
      </c>
      <c r="H29" s="694">
        <f t="shared" si="7"/>
        <v>1.3959999999999999</v>
      </c>
      <c r="I29" s="695">
        <f t="shared" si="7"/>
        <v>0</v>
      </c>
      <c r="J29" s="658"/>
      <c r="N29" s="128" t="str">
        <f>"여비("&amp;TEXT(R29,"#인 ×")&amp;TEXT(S29,"#일 ×")&amp;TEXT(T29,"###,###원)")</f>
        <v>여비(3인 ×5일 ×100,000원)</v>
      </c>
      <c r="O29" s="78"/>
      <c r="P29" s="52"/>
      <c r="Q29" s="51"/>
      <c r="R29" s="146">
        <v>3</v>
      </c>
      <c r="S29" s="146">
        <v>5</v>
      </c>
      <c r="T29" s="147">
        <v>100000</v>
      </c>
      <c r="U29" s="182"/>
      <c r="V29" s="182"/>
      <c r="W29" s="161">
        <f>R29*S29*T29</f>
        <v>1500000</v>
      </c>
      <c r="X29" s="162"/>
      <c r="Y29" s="51"/>
      <c r="Z29" s="51"/>
    </row>
    <row r="30" spans="1:26" ht="18" customHeight="1">
      <c r="A30" s="326">
        <v>1</v>
      </c>
      <c r="B30" s="409" t="s">
        <v>2392</v>
      </c>
      <c r="C30" s="237"/>
      <c r="D30" s="20">
        <f t="array" ref="D30:I30">ROUNDDOWN(D13:I13*L13*$D$5,3)</f>
        <v>0.69799999999999995</v>
      </c>
      <c r="E30" s="21">
        <v>1.3959999999999999</v>
      </c>
      <c r="F30" s="21">
        <v>1.3959999999999999</v>
      </c>
      <c r="G30" s="21">
        <v>1.3959999999999999</v>
      </c>
      <c r="H30" s="21">
        <v>1.3959999999999999</v>
      </c>
      <c r="I30" s="22">
        <v>0</v>
      </c>
      <c r="J30" s="389"/>
      <c r="N30" s="79" t="s">
        <v>46</v>
      </c>
      <c r="O30" s="79"/>
      <c r="P30" s="39"/>
      <c r="Q30" s="37"/>
      <c r="R30" s="117"/>
      <c r="S30" s="37"/>
      <c r="T30" s="37"/>
      <c r="U30" s="180"/>
      <c r="V30" s="180"/>
      <c r="W30" s="157">
        <v>2000000</v>
      </c>
      <c r="X30" s="158"/>
      <c r="Y30" s="37"/>
      <c r="Z30" s="37"/>
    </row>
    <row r="31" spans="1:26" ht="18" customHeight="1">
      <c r="A31" s="326"/>
      <c r="B31" s="222" t="s">
        <v>604</v>
      </c>
      <c r="C31" s="47"/>
      <c r="D31" s="33">
        <f t="shared" ref="D31:I31" si="8">SUBTOTAL(9,D32:D33)</f>
        <v>0</v>
      </c>
      <c r="E31" s="34">
        <f t="shared" si="8"/>
        <v>0.69799999999999995</v>
      </c>
      <c r="F31" s="34">
        <f t="shared" si="8"/>
        <v>2.7919999999999998</v>
      </c>
      <c r="G31" s="34">
        <f t="shared" si="8"/>
        <v>1.3959999999999999</v>
      </c>
      <c r="H31" s="34">
        <f t="shared" si="8"/>
        <v>1.3959999999999999</v>
      </c>
      <c r="I31" s="35">
        <f t="shared" si="8"/>
        <v>0</v>
      </c>
      <c r="J31" s="594"/>
      <c r="N31" s="132" t="s">
        <v>13</v>
      </c>
      <c r="O31" s="132"/>
      <c r="P31" s="38"/>
      <c r="Q31" s="38"/>
      <c r="R31" s="116"/>
      <c r="S31" s="38"/>
      <c r="T31" s="38"/>
      <c r="U31" s="183"/>
      <c r="V31" s="183"/>
      <c r="W31" s="155">
        <v>1000000</v>
      </c>
      <c r="X31" s="156"/>
      <c r="Y31" s="38"/>
      <c r="Z31" s="38"/>
    </row>
    <row r="32" spans="1:26" ht="18" customHeight="1">
      <c r="A32" s="326">
        <v>2</v>
      </c>
      <c r="B32" s="409" t="s">
        <v>2393</v>
      </c>
      <c r="C32" s="409"/>
      <c r="D32" s="20">
        <f t="array" ref="D32:I33">ROUNDDOWN(D15:I16*L15:L16*$D$5,3)</f>
        <v>0</v>
      </c>
      <c r="E32" s="21">
        <v>0.34899999999999998</v>
      </c>
      <c r="F32" s="21">
        <v>1.3959999999999999</v>
      </c>
      <c r="G32" s="21">
        <v>0.69799999999999995</v>
      </c>
      <c r="H32" s="21">
        <v>0.69799999999999995</v>
      </c>
      <c r="I32" s="22">
        <v>0</v>
      </c>
      <c r="J32" s="389"/>
      <c r="N32" s="127" t="s">
        <v>47</v>
      </c>
      <c r="O32" s="123"/>
      <c r="P32" s="123"/>
      <c r="Q32" s="123"/>
      <c r="R32" s="123"/>
      <c r="S32" s="123"/>
      <c r="T32" s="123"/>
      <c r="U32" s="184"/>
      <c r="V32" s="184"/>
      <c r="W32" s="163">
        <f ca="1">SUBTOTAL(9,W33:W34)</f>
        <v>43896998</v>
      </c>
      <c r="X32" s="164"/>
      <c r="Y32" s="123"/>
      <c r="Z32" s="123"/>
    </row>
    <row r="33" spans="1:26" ht="18" customHeight="1">
      <c r="A33" s="326">
        <v>3</v>
      </c>
      <c r="B33" s="410" t="s">
        <v>2394</v>
      </c>
      <c r="C33" s="410"/>
      <c r="D33" s="24">
        <v>0</v>
      </c>
      <c r="E33" s="25">
        <v>0.34899999999999998</v>
      </c>
      <c r="F33" s="25">
        <v>1.3959999999999999</v>
      </c>
      <c r="G33" s="25">
        <v>0.69799999999999995</v>
      </c>
      <c r="H33" s="25">
        <v>0.69799999999999995</v>
      </c>
      <c r="I33" s="26">
        <v>0</v>
      </c>
      <c r="J33" s="443"/>
      <c r="N33" s="133" t="s">
        <v>861</v>
      </c>
      <c r="O33" s="124"/>
      <c r="P33" s="134"/>
      <c r="Q33" s="124"/>
      <c r="R33" s="131"/>
      <c r="S33" s="124"/>
      <c r="T33" s="181"/>
      <c r="U33" s="181"/>
      <c r="V33" s="190">
        <v>1.1499999999999999</v>
      </c>
      <c r="W33" s="159">
        <f ca="1">ROUNDDOWN(W11*V33,0)</f>
        <v>28123425</v>
      </c>
      <c r="X33" s="160"/>
      <c r="Y33" s="124"/>
      <c r="Z33" s="124"/>
    </row>
    <row r="34" spans="1:26" ht="18" customHeight="1" thickBot="1">
      <c r="A34" s="326"/>
      <c r="B34" s="252" t="s">
        <v>613</v>
      </c>
      <c r="C34" s="252"/>
      <c r="D34" s="30">
        <f t="shared" ref="D34:I34" si="9">SUBTOTAL(9,D35:D38)</f>
        <v>1.3959999999999999</v>
      </c>
      <c r="E34" s="31">
        <f t="shared" si="9"/>
        <v>2.7919999999999998</v>
      </c>
      <c r="F34" s="31">
        <f t="shared" si="9"/>
        <v>5.5839999999999996</v>
      </c>
      <c r="G34" s="31">
        <f t="shared" si="9"/>
        <v>5.5839999999999996</v>
      </c>
      <c r="H34" s="31">
        <f t="shared" si="9"/>
        <v>5.5839999999999996</v>
      </c>
      <c r="I34" s="32">
        <f t="shared" si="9"/>
        <v>0</v>
      </c>
      <c r="J34" s="653"/>
      <c r="N34" s="135" t="s">
        <v>862</v>
      </c>
      <c r="O34" s="136"/>
      <c r="P34" s="137"/>
      <c r="Q34" s="136"/>
      <c r="R34" s="138"/>
      <c r="S34" s="136"/>
      <c r="T34" s="185"/>
      <c r="U34" s="185"/>
      <c r="V34" s="191">
        <v>0.3</v>
      </c>
      <c r="W34" s="165">
        <f ca="1">ROUNDDOWN((W11+W33)*V34,0)</f>
        <v>15773573</v>
      </c>
      <c r="X34" s="166"/>
      <c r="Y34" s="136"/>
      <c r="Z34" s="136"/>
    </row>
    <row r="35" spans="1:26" ht="18" customHeight="1">
      <c r="A35" s="326">
        <v>4</v>
      </c>
      <c r="B35" s="223" t="s">
        <v>2395</v>
      </c>
      <c r="C35" s="237"/>
      <c r="D35" s="20">
        <f t="array" ref="D35:I38">ROUNDDOWN(D18:I21*L18:L21*$D$5,3)</f>
        <v>0.34899999999999998</v>
      </c>
      <c r="E35" s="21">
        <v>0.69799999999999995</v>
      </c>
      <c r="F35" s="21">
        <v>1.3959999999999999</v>
      </c>
      <c r="G35" s="21">
        <v>1.3959999999999999</v>
      </c>
      <c r="H35" s="21">
        <v>1.3959999999999999</v>
      </c>
      <c r="I35" s="22">
        <v>0</v>
      </c>
      <c r="J35" s="389"/>
    </row>
    <row r="36" spans="1:26" ht="18" customHeight="1">
      <c r="A36" s="326">
        <v>5</v>
      </c>
      <c r="B36" s="223" t="s">
        <v>2396</v>
      </c>
      <c r="C36" s="237"/>
      <c r="D36" s="20">
        <v>0.34899999999999998</v>
      </c>
      <c r="E36" s="21">
        <v>0.69799999999999995</v>
      </c>
      <c r="F36" s="21">
        <v>1.3959999999999999</v>
      </c>
      <c r="G36" s="21">
        <v>1.3959999999999999</v>
      </c>
      <c r="H36" s="21">
        <v>1.3959999999999999</v>
      </c>
      <c r="I36" s="22">
        <v>0</v>
      </c>
      <c r="J36" s="389"/>
    </row>
    <row r="37" spans="1:26" ht="18" customHeight="1">
      <c r="A37" s="326">
        <v>6</v>
      </c>
      <c r="B37" s="223" t="s">
        <v>2397</v>
      </c>
      <c r="C37" s="237"/>
      <c r="D37" s="20">
        <v>0.34899999999999998</v>
      </c>
      <c r="E37" s="21">
        <v>0.69799999999999995</v>
      </c>
      <c r="F37" s="21">
        <v>1.3959999999999999</v>
      </c>
      <c r="G37" s="21">
        <v>1.3959999999999999</v>
      </c>
      <c r="H37" s="21">
        <v>1.3959999999999999</v>
      </c>
      <c r="I37" s="22">
        <v>0</v>
      </c>
      <c r="J37" s="389"/>
    </row>
    <row r="38" spans="1:26" ht="18" customHeight="1">
      <c r="A38" s="326">
        <v>7</v>
      </c>
      <c r="B38" s="223" t="s">
        <v>2398</v>
      </c>
      <c r="C38" s="237"/>
      <c r="D38" s="20">
        <v>0.34899999999999998</v>
      </c>
      <c r="E38" s="21">
        <v>0.69799999999999995</v>
      </c>
      <c r="F38" s="21">
        <v>1.3959999999999999</v>
      </c>
      <c r="G38" s="21">
        <v>1.3959999999999999</v>
      </c>
      <c r="H38" s="21">
        <v>1.3959999999999999</v>
      </c>
      <c r="I38" s="22">
        <v>0</v>
      </c>
      <c r="J38" s="389"/>
    </row>
    <row r="39" spans="1:26" ht="18" customHeight="1">
      <c r="A39" s="326"/>
      <c r="B39" s="222" t="s">
        <v>605</v>
      </c>
      <c r="C39" s="47"/>
      <c r="D39" s="33">
        <f t="shared" ref="D39:I39" si="10">SUBTOTAL(9,D40:D41)</f>
        <v>0.34899999999999998</v>
      </c>
      <c r="E39" s="34">
        <f t="shared" si="10"/>
        <v>1.3959999999999999</v>
      </c>
      <c r="F39" s="34">
        <f t="shared" si="10"/>
        <v>2.7919999999999998</v>
      </c>
      <c r="G39" s="34">
        <f t="shared" si="10"/>
        <v>0.69799999999999995</v>
      </c>
      <c r="H39" s="34">
        <f t="shared" si="10"/>
        <v>0.69799999999999995</v>
      </c>
      <c r="I39" s="35">
        <f t="shared" si="10"/>
        <v>5.5839999999999996</v>
      </c>
      <c r="J39" s="620"/>
    </row>
    <row r="40" spans="1:26" ht="18" customHeight="1">
      <c r="A40" s="326">
        <v>8</v>
      </c>
      <c r="B40" s="223" t="s">
        <v>2399</v>
      </c>
      <c r="C40" s="253"/>
      <c r="D40" s="20">
        <f t="array" ref="D40:I41">ROUNDDOWN(D23:I24*$D$5*L23:L24,3)</f>
        <v>0.34899999999999998</v>
      </c>
      <c r="E40" s="21">
        <v>0.69799999999999995</v>
      </c>
      <c r="F40" s="21">
        <v>1.3959999999999999</v>
      </c>
      <c r="G40" s="21">
        <v>0.69799999999999995</v>
      </c>
      <c r="H40" s="21">
        <v>0.69799999999999995</v>
      </c>
      <c r="I40" s="22">
        <v>2.7919999999999998</v>
      </c>
      <c r="J40" s="389"/>
    </row>
    <row r="41" spans="1:26" ht="18" customHeight="1">
      <c r="A41" s="326">
        <v>9</v>
      </c>
      <c r="B41" s="224" t="s">
        <v>2400</v>
      </c>
      <c r="C41" s="238"/>
      <c r="D41" s="24">
        <v>0</v>
      </c>
      <c r="E41" s="25">
        <v>0.69799999999999995</v>
      </c>
      <c r="F41" s="25">
        <v>1.3959999999999999</v>
      </c>
      <c r="G41" s="25">
        <v>0</v>
      </c>
      <c r="H41" s="25">
        <v>0</v>
      </c>
      <c r="I41" s="26">
        <v>2.7919999999999998</v>
      </c>
      <c r="J41" s="443"/>
    </row>
    <row r="42" spans="1:26" ht="18" customHeight="1">
      <c r="A42" s="326"/>
      <c r="B42" s="252" t="s">
        <v>241</v>
      </c>
      <c r="C42" s="252"/>
      <c r="D42" s="33">
        <f t="shared" ref="D42:I42" si="11">SUBTOTAL(9,D43:D44)</f>
        <v>4</v>
      </c>
      <c r="E42" s="34">
        <f t="shared" si="11"/>
        <v>4</v>
      </c>
      <c r="F42" s="34">
        <f t="shared" si="11"/>
        <v>4</v>
      </c>
      <c r="G42" s="34">
        <f t="shared" si="11"/>
        <v>8</v>
      </c>
      <c r="H42" s="34">
        <f t="shared" si="11"/>
        <v>8</v>
      </c>
      <c r="I42" s="35">
        <f t="shared" si="11"/>
        <v>8</v>
      </c>
      <c r="J42" s="653"/>
    </row>
    <row r="43" spans="1:26" ht="18" customHeight="1">
      <c r="A43" s="326">
        <v>10</v>
      </c>
      <c r="B43" s="223" t="s">
        <v>2401</v>
      </c>
      <c r="C43" s="237"/>
      <c r="D43" s="20">
        <f t="array" ref="D43:I44">ROUNDDOWN(D26:I27*L26:L27*I5,3)</f>
        <v>2</v>
      </c>
      <c r="E43" s="21">
        <v>2</v>
      </c>
      <c r="F43" s="21">
        <v>2</v>
      </c>
      <c r="G43" s="21">
        <v>4</v>
      </c>
      <c r="H43" s="21">
        <v>4</v>
      </c>
      <c r="I43" s="22">
        <v>4</v>
      </c>
      <c r="J43" s="389"/>
      <c r="L43" s="171"/>
    </row>
    <row r="44" spans="1:26" ht="18" customHeight="1" thickBot="1">
      <c r="A44" s="326">
        <v>11</v>
      </c>
      <c r="B44" s="388" t="s">
        <v>2402</v>
      </c>
      <c r="C44" s="401"/>
      <c r="D44" s="397">
        <v>2</v>
      </c>
      <c r="E44" s="398">
        <v>2</v>
      </c>
      <c r="F44" s="398">
        <v>2</v>
      </c>
      <c r="G44" s="398">
        <v>4</v>
      </c>
      <c r="H44" s="398">
        <v>4</v>
      </c>
      <c r="I44" s="399">
        <v>4</v>
      </c>
      <c r="J44" s="612"/>
      <c r="L44" s="171"/>
    </row>
    <row r="45" spans="1:26" ht="18" customHeight="1">
      <c r="A45" s="326"/>
      <c r="B45" s="85" t="s">
        <v>15</v>
      </c>
      <c r="C45" s="9" t="s">
        <v>2407</v>
      </c>
      <c r="L45" s="171"/>
    </row>
    <row r="46" spans="1:26" ht="18" customHeight="1">
      <c r="A46" s="326"/>
      <c r="B46" s="8"/>
      <c r="C46" s="9"/>
      <c r="L46" s="171"/>
    </row>
    <row r="47" spans="1:26" ht="18" customHeight="1">
      <c r="A47" s="326"/>
      <c r="B47" s="80"/>
      <c r="C47" s="9"/>
      <c r="L47" s="171"/>
    </row>
    <row r="48" spans="1:26" ht="18" customHeight="1">
      <c r="A48" s="326"/>
      <c r="C48" s="9"/>
      <c r="L48" s="171"/>
    </row>
    <row r="49" spans="1:26" ht="18" customHeight="1">
      <c r="A49" s="326"/>
      <c r="C49" s="9"/>
      <c r="L49" s="171"/>
    </row>
    <row r="50" spans="1:26" ht="18" customHeight="1">
      <c r="A50" s="326"/>
      <c r="C50" s="9"/>
      <c r="L50" s="171"/>
    </row>
    <row r="51" spans="1:26" ht="18" customHeight="1">
      <c r="A51" s="326"/>
      <c r="C51" s="9"/>
      <c r="L51" s="171"/>
    </row>
    <row r="52" spans="1:26" ht="18" customHeight="1">
      <c r="A52" s="326"/>
      <c r="C52" s="9"/>
      <c r="K52" s="171" t="s">
        <v>14</v>
      </c>
      <c r="L52" s="171"/>
    </row>
    <row r="53" spans="1:26" ht="18" customHeight="1">
      <c r="A53" s="326"/>
      <c r="C53" s="9"/>
      <c r="K53" s="171" t="s">
        <v>14</v>
      </c>
      <c r="L53" s="171"/>
    </row>
    <row r="54" spans="1:26" ht="18" customHeight="1">
      <c r="A54" s="326"/>
      <c r="K54" s="171" t="s">
        <v>14</v>
      </c>
      <c r="L54" s="171"/>
    </row>
    <row r="55" spans="1:26" ht="18" customHeight="1">
      <c r="A55" s="326"/>
      <c r="K55" s="171" t="s">
        <v>14</v>
      </c>
      <c r="L55" s="171"/>
    </row>
    <row r="56" spans="1:26" ht="18" customHeight="1">
      <c r="A56" s="326"/>
      <c r="K56" s="171" t="s">
        <v>14</v>
      </c>
      <c r="L56" s="171"/>
    </row>
    <row r="57" spans="1:26" ht="18" customHeight="1" thickBot="1">
      <c r="A57" s="355"/>
      <c r="K57" s="171" t="s">
        <v>14</v>
      </c>
      <c r="L57" s="171"/>
      <c r="N57" s="66" t="s">
        <v>18</v>
      </c>
      <c r="O57" s="2"/>
      <c r="P57" s="2"/>
      <c r="Q57" s="2"/>
      <c r="R57" s="3"/>
      <c r="S57" s="4"/>
      <c r="T57" s="3"/>
      <c r="U57" s="4"/>
      <c r="V57" s="3"/>
      <c r="W57" s="4"/>
      <c r="X57" s="3"/>
      <c r="Y57" s="4"/>
      <c r="Z57" s="2"/>
    </row>
    <row r="58" spans="1:26" ht="18" customHeight="1">
      <c r="A58" s="355"/>
      <c r="K58" s="171" t="s">
        <v>14</v>
      </c>
      <c r="L58" s="171"/>
      <c r="N58" s="765" t="s">
        <v>19</v>
      </c>
      <c r="O58" s="755" t="s">
        <v>20</v>
      </c>
      <c r="P58" s="755" t="s">
        <v>21</v>
      </c>
      <c r="Q58" s="755" t="s">
        <v>16</v>
      </c>
      <c r="R58" s="5" t="s">
        <v>22</v>
      </c>
      <c r="S58" s="5"/>
      <c r="T58" s="5" t="s">
        <v>23</v>
      </c>
      <c r="U58" s="5"/>
      <c r="V58" s="5" t="s">
        <v>24</v>
      </c>
      <c r="W58" s="5"/>
      <c r="X58" s="5" t="s">
        <v>25</v>
      </c>
      <c r="Y58" s="5"/>
      <c r="Z58" s="755" t="s">
        <v>26</v>
      </c>
    </row>
    <row r="59" spans="1:26" ht="18" customHeight="1" thickBot="1">
      <c r="A59" s="355"/>
      <c r="K59" s="171" t="s">
        <v>14</v>
      </c>
      <c r="L59" s="171"/>
      <c r="N59" s="766"/>
      <c r="O59" s="756"/>
      <c r="P59" s="756"/>
      <c r="Q59" s="756"/>
      <c r="R59" s="67" t="s">
        <v>27</v>
      </c>
      <c r="S59" s="67" t="s">
        <v>28</v>
      </c>
      <c r="T59" s="67" t="s">
        <v>27</v>
      </c>
      <c r="U59" s="67" t="s">
        <v>28</v>
      </c>
      <c r="V59" s="67" t="s">
        <v>27</v>
      </c>
      <c r="W59" s="67" t="s">
        <v>28</v>
      </c>
      <c r="X59" s="67" t="s">
        <v>27</v>
      </c>
      <c r="Y59" s="67" t="s">
        <v>28</v>
      </c>
      <c r="Z59" s="756"/>
    </row>
    <row r="60" spans="1:26" ht="18" customHeight="1" thickTop="1">
      <c r="A60" s="326"/>
      <c r="K60" s="171" t="s">
        <v>14</v>
      </c>
      <c r="L60" s="171"/>
      <c r="M60" s="171"/>
      <c r="N60" s="318" t="str">
        <f ca="1">"제 " &amp; Z60 &amp; " 호표  "&amp; OFFSET($A$1,MATCH(Z60,$A:$A,0)-1,1)</f>
        <v>제 1 호표  1.1. 세부평가기준 및 평가방법수립</v>
      </c>
      <c r="O60" s="221"/>
      <c r="P60" s="148"/>
      <c r="Q60" s="148"/>
      <c r="R60" s="149"/>
      <c r="S60" s="149"/>
      <c r="T60" s="149"/>
      <c r="U60" s="149"/>
      <c r="V60" s="149"/>
      <c r="W60" s="149"/>
      <c r="X60" s="149"/>
      <c r="Y60" s="149"/>
      <c r="Z60" s="325">
        <v>1</v>
      </c>
    </row>
    <row r="61" spans="1:26" ht="18" customHeight="1">
      <c r="A61" s="326"/>
      <c r="K61" s="171" t="s">
        <v>14</v>
      </c>
      <c r="L61" s="171"/>
      <c r="M61" s="171"/>
      <c r="N61" s="140" t="s">
        <v>43</v>
      </c>
      <c r="O61" s="172">
        <v>3</v>
      </c>
      <c r="P61" s="219">
        <f ca="1">OFFSET($A$1,MATCH(Z60,$A:$A,0)-1,O61)</f>
        <v>0.69799999999999995</v>
      </c>
      <c r="Q61" s="141" t="s">
        <v>29</v>
      </c>
      <c r="R61" s="142">
        <f t="shared" ref="R61:S66" ca="1" si="12">T61</f>
        <v>467217</v>
      </c>
      <c r="S61" s="142">
        <f t="shared" ca="1" si="12"/>
        <v>326117</v>
      </c>
      <c r="T61" s="142">
        <f ca="1">기술사</f>
        <v>467217</v>
      </c>
      <c r="U61" s="142">
        <f t="shared" ref="U61:U66" ca="1" si="13">ROUNDDOWN(P61*R61,0)</f>
        <v>326117</v>
      </c>
      <c r="V61" s="142"/>
      <c r="W61" s="142"/>
      <c r="X61" s="142"/>
      <c r="Y61" s="142"/>
      <c r="Z61" s="114"/>
    </row>
    <row r="62" spans="1:26" ht="18" customHeight="1">
      <c r="A62" s="326"/>
      <c r="K62" s="171" t="s">
        <v>14</v>
      </c>
      <c r="L62" s="171"/>
      <c r="M62" s="171"/>
      <c r="N62" s="143" t="s">
        <v>32</v>
      </c>
      <c r="O62" s="173">
        <v>4</v>
      </c>
      <c r="P62" s="234">
        <f ca="1">OFFSET($A$1,MATCH(Z60,$A:$A,0)-1,O62)</f>
        <v>1.3959999999999999</v>
      </c>
      <c r="Q62" s="144" t="s">
        <v>29</v>
      </c>
      <c r="R62" s="118">
        <f t="shared" ca="1" si="12"/>
        <v>373353</v>
      </c>
      <c r="S62" s="118">
        <f t="shared" ca="1" si="12"/>
        <v>521200</v>
      </c>
      <c r="T62" s="118">
        <f ca="1">특급</f>
        <v>373353</v>
      </c>
      <c r="U62" s="118">
        <f t="shared" ca="1" si="13"/>
        <v>521200</v>
      </c>
      <c r="V62" s="118"/>
      <c r="W62" s="118"/>
      <c r="X62" s="118"/>
      <c r="Y62" s="118"/>
      <c r="Z62" s="115"/>
    </row>
    <row r="63" spans="1:26" ht="18" customHeight="1">
      <c r="A63" s="326"/>
      <c r="K63" s="171" t="s">
        <v>14</v>
      </c>
      <c r="L63" s="171"/>
      <c r="M63" s="171"/>
      <c r="N63" s="145" t="s">
        <v>39</v>
      </c>
      <c r="O63" s="173">
        <v>5</v>
      </c>
      <c r="P63" s="234">
        <f ca="1">OFFSET($A$1,MATCH(Z60,$A:$A,0)-1,O63)</f>
        <v>1.3959999999999999</v>
      </c>
      <c r="Q63" s="144" t="s">
        <v>29</v>
      </c>
      <c r="R63" s="118">
        <f t="shared" ca="1" si="12"/>
        <v>310884</v>
      </c>
      <c r="S63" s="118">
        <f t="shared" ca="1" si="12"/>
        <v>433994</v>
      </c>
      <c r="T63" s="118">
        <f ca="1">고급</f>
        <v>310884</v>
      </c>
      <c r="U63" s="118">
        <f t="shared" ca="1" si="13"/>
        <v>433994</v>
      </c>
      <c r="V63" s="118"/>
      <c r="W63" s="118"/>
      <c r="X63" s="118"/>
      <c r="Y63" s="118"/>
      <c r="Z63" s="115"/>
    </row>
    <row r="64" spans="1:26" ht="18" customHeight="1">
      <c r="A64" s="326"/>
      <c r="K64" s="171" t="s">
        <v>14</v>
      </c>
      <c r="L64" s="171"/>
      <c r="M64" s="171"/>
      <c r="N64" s="145" t="s">
        <v>40</v>
      </c>
      <c r="O64" s="173">
        <v>6</v>
      </c>
      <c r="P64" s="234">
        <f ca="1">OFFSET($A$1,MATCH(Z60,$A:$A,0)-1,O64)</f>
        <v>1.3959999999999999</v>
      </c>
      <c r="Q64" s="144" t="s">
        <v>29</v>
      </c>
      <c r="R64" s="118">
        <f t="shared" ca="1" si="12"/>
        <v>295138</v>
      </c>
      <c r="S64" s="118">
        <f t="shared" ca="1" si="12"/>
        <v>412012</v>
      </c>
      <c r="T64" s="118">
        <f ca="1">중급</f>
        <v>295138</v>
      </c>
      <c r="U64" s="118">
        <f t="shared" ca="1" si="13"/>
        <v>412012</v>
      </c>
      <c r="V64" s="118"/>
      <c r="W64" s="118"/>
      <c r="X64" s="118"/>
      <c r="Y64" s="118"/>
      <c r="Z64" s="115"/>
    </row>
    <row r="65" spans="1:26" ht="18" customHeight="1">
      <c r="A65" s="326"/>
      <c r="K65" s="171" t="s">
        <v>14</v>
      </c>
      <c r="L65" s="171"/>
      <c r="M65" s="171"/>
      <c r="N65" s="145" t="s">
        <v>41</v>
      </c>
      <c r="O65" s="173">
        <v>7</v>
      </c>
      <c r="P65" s="234">
        <f ca="1">OFFSET($A$1,MATCH(Z60,$A:$A,0)-1,O65)</f>
        <v>1.3959999999999999</v>
      </c>
      <c r="Q65" s="144" t="s">
        <v>29</v>
      </c>
      <c r="R65" s="118">
        <f t="shared" ca="1" si="12"/>
        <v>235459</v>
      </c>
      <c r="S65" s="118">
        <f t="shared" ca="1" si="12"/>
        <v>328700</v>
      </c>
      <c r="T65" s="118">
        <f ca="1">초급</f>
        <v>235459</v>
      </c>
      <c r="U65" s="118">
        <f t="shared" ca="1" si="13"/>
        <v>328700</v>
      </c>
      <c r="V65" s="118"/>
      <c r="W65" s="118"/>
      <c r="X65" s="118"/>
      <c r="Y65" s="118"/>
      <c r="Z65" s="115"/>
    </row>
    <row r="66" spans="1:26" ht="18" customHeight="1">
      <c r="A66" s="326"/>
      <c r="K66" s="171" t="s">
        <v>14</v>
      </c>
      <c r="L66" s="171"/>
      <c r="M66" s="171"/>
      <c r="N66" s="319" t="s">
        <v>42</v>
      </c>
      <c r="O66" s="174">
        <v>8</v>
      </c>
      <c r="P66" s="235">
        <f ca="1">OFFSET($A$1,MATCH(Z60,$A:$A,0)-1,O66)</f>
        <v>0</v>
      </c>
      <c r="Q66" s="322" t="s">
        <v>29</v>
      </c>
      <c r="R66" s="323">
        <f t="shared" ca="1" si="12"/>
        <v>250087</v>
      </c>
      <c r="S66" s="323">
        <f t="shared" ca="1" si="12"/>
        <v>0</v>
      </c>
      <c r="T66" s="323">
        <f ca="1">보조원</f>
        <v>250087</v>
      </c>
      <c r="U66" s="323">
        <f t="shared" ca="1" si="13"/>
        <v>0</v>
      </c>
      <c r="V66" s="323"/>
      <c r="W66" s="323"/>
      <c r="X66" s="323"/>
      <c r="Y66" s="323"/>
      <c r="Z66" s="324"/>
    </row>
    <row r="67" spans="1:26" ht="18" customHeight="1">
      <c r="A67" s="326"/>
      <c r="K67" s="171" t="s">
        <v>14</v>
      </c>
      <c r="L67" s="171"/>
      <c r="M67" s="171"/>
      <c r="N67" s="139" t="s">
        <v>17</v>
      </c>
      <c r="O67" s="68"/>
      <c r="P67" s="69"/>
      <c r="Q67" s="70"/>
      <c r="R67" s="71"/>
      <c r="S67" s="71">
        <f ca="1">SUBTOTAL(9,S61:S66)</f>
        <v>2022023</v>
      </c>
      <c r="T67" s="71"/>
      <c r="U67" s="71">
        <f ca="1">SUBTOTAL(9,U61:U66)</f>
        <v>2022023</v>
      </c>
      <c r="V67" s="71"/>
      <c r="W67" s="71"/>
      <c r="X67" s="71"/>
      <c r="Y67" s="71"/>
      <c r="Z67" s="68"/>
    </row>
    <row r="68" spans="1:26" ht="18" customHeight="1">
      <c r="A68" s="326"/>
      <c r="K68" s="171" t="s">
        <v>14</v>
      </c>
      <c r="L68" s="171"/>
      <c r="M68" s="171"/>
      <c r="N68" s="318" t="str">
        <f ca="1">"제 " &amp; Z68 &amp; " 호표  "&amp; OFFSET($A$1,MATCH(Z68,$A:$A,0)-1,1)</f>
        <v>제 2 호표  2.1. 계획적 타당성 검토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f>Z60+1</f>
        <v>2</v>
      </c>
    </row>
    <row r="69" spans="1:26" ht="18" customHeight="1">
      <c r="A69" s="326"/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0</v>
      </c>
      <c r="Q69" s="141" t="s">
        <v>29</v>
      </c>
      <c r="R69" s="142">
        <f t="shared" ref="R69:S74" ca="1" si="14">T69</f>
        <v>467217</v>
      </c>
      <c r="S69" s="142">
        <f t="shared" ca="1" si="14"/>
        <v>0</v>
      </c>
      <c r="T69" s="142">
        <f ca="1">기술사</f>
        <v>467217</v>
      </c>
      <c r="U69" s="142">
        <f t="shared" ref="U69:U74" ca="1" si="15">ROUNDDOWN(P69*R69,0)</f>
        <v>0</v>
      </c>
      <c r="V69" s="142"/>
      <c r="W69" s="142"/>
      <c r="X69" s="142"/>
      <c r="Y69" s="142"/>
      <c r="Z69" s="114"/>
    </row>
    <row r="70" spans="1:26" ht="18" customHeight="1">
      <c r="A70" s="326"/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0.34899999999999998</v>
      </c>
      <c r="Q70" s="144" t="s">
        <v>29</v>
      </c>
      <c r="R70" s="118">
        <f t="shared" ca="1" si="14"/>
        <v>373353</v>
      </c>
      <c r="S70" s="118">
        <f t="shared" ca="1" si="14"/>
        <v>130300</v>
      </c>
      <c r="T70" s="118">
        <f ca="1">특급</f>
        <v>373353</v>
      </c>
      <c r="U70" s="118">
        <f t="shared" ca="1" si="15"/>
        <v>130300</v>
      </c>
      <c r="V70" s="118"/>
      <c r="W70" s="118"/>
      <c r="X70" s="118"/>
      <c r="Y70" s="118"/>
      <c r="Z70" s="115"/>
    </row>
    <row r="71" spans="1:26" ht="18" customHeight="1">
      <c r="A71" s="326"/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1.3959999999999999</v>
      </c>
      <c r="Q71" s="144" t="s">
        <v>29</v>
      </c>
      <c r="R71" s="118">
        <f t="shared" ca="1" si="14"/>
        <v>310884</v>
      </c>
      <c r="S71" s="118">
        <f t="shared" ca="1" si="14"/>
        <v>433994</v>
      </c>
      <c r="T71" s="118">
        <f ca="1">고급</f>
        <v>310884</v>
      </c>
      <c r="U71" s="118">
        <f t="shared" ca="1" si="15"/>
        <v>433994</v>
      </c>
      <c r="V71" s="118"/>
      <c r="W71" s="118"/>
      <c r="X71" s="118"/>
      <c r="Y71" s="118"/>
      <c r="Z71" s="115"/>
    </row>
    <row r="72" spans="1:26" ht="18" customHeight="1">
      <c r="A72" s="326"/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0.69799999999999995</v>
      </c>
      <c r="Q72" s="144" t="s">
        <v>29</v>
      </c>
      <c r="R72" s="118">
        <f t="shared" ca="1" si="14"/>
        <v>295138</v>
      </c>
      <c r="S72" s="118">
        <f t="shared" ca="1" si="14"/>
        <v>206006</v>
      </c>
      <c r="T72" s="118">
        <f ca="1">중급</f>
        <v>295138</v>
      </c>
      <c r="U72" s="118">
        <f t="shared" ca="1" si="15"/>
        <v>206006</v>
      </c>
      <c r="V72" s="118"/>
      <c r="W72" s="118"/>
      <c r="X72" s="118"/>
      <c r="Y72" s="118"/>
      <c r="Z72" s="115"/>
    </row>
    <row r="73" spans="1:26" ht="18" customHeight="1">
      <c r="A73" s="326"/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0.69799999999999995</v>
      </c>
      <c r="Q73" s="144" t="s">
        <v>29</v>
      </c>
      <c r="R73" s="118">
        <f t="shared" ca="1" si="14"/>
        <v>235459</v>
      </c>
      <c r="S73" s="118">
        <f t="shared" ca="1" si="14"/>
        <v>164350</v>
      </c>
      <c r="T73" s="118">
        <f ca="1">초급</f>
        <v>235459</v>
      </c>
      <c r="U73" s="118">
        <f t="shared" ca="1" si="15"/>
        <v>164350</v>
      </c>
      <c r="V73" s="118"/>
      <c r="W73" s="118"/>
      <c r="X73" s="118"/>
      <c r="Y73" s="118"/>
      <c r="Z73" s="115"/>
    </row>
    <row r="74" spans="1:26" ht="18" customHeight="1">
      <c r="A74" s="326"/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0</v>
      </c>
      <c r="Q74" s="322" t="s">
        <v>29</v>
      </c>
      <c r="R74" s="323">
        <f t="shared" ca="1" si="14"/>
        <v>250087</v>
      </c>
      <c r="S74" s="323">
        <f t="shared" ca="1" si="14"/>
        <v>0</v>
      </c>
      <c r="T74" s="323">
        <f ca="1">보조원</f>
        <v>250087</v>
      </c>
      <c r="U74" s="323">
        <f t="shared" ca="1" si="15"/>
        <v>0</v>
      </c>
      <c r="V74" s="323"/>
      <c r="W74" s="323"/>
      <c r="X74" s="323"/>
      <c r="Y74" s="323"/>
      <c r="Z74" s="324"/>
    </row>
    <row r="75" spans="1:26" ht="18" customHeight="1">
      <c r="A75" s="326"/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934650</v>
      </c>
      <c r="T75" s="71"/>
      <c r="U75" s="71">
        <f ca="1">SUBTOTAL(9,U69:U74)</f>
        <v>934650</v>
      </c>
      <c r="V75" s="71"/>
      <c r="W75" s="71"/>
      <c r="X75" s="71"/>
      <c r="Y75" s="71"/>
      <c r="Z75" s="68"/>
    </row>
    <row r="76" spans="1:26" ht="18" customHeight="1">
      <c r="A76" s="326"/>
      <c r="K76" s="171" t="s">
        <v>14</v>
      </c>
      <c r="L76" s="171"/>
      <c r="M76" s="171"/>
      <c r="N76" s="318" t="str">
        <f ca="1">"제 " &amp; Z76 &amp; " 호표  "&amp; OFFSET($A$1,MATCH(Z76,$A:$A,0)-1,1)</f>
        <v>제 3 호표  2.2. 환경적 타당성 검토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3</v>
      </c>
    </row>
    <row r="77" spans="1:26" ht="18" customHeight="1">
      <c r="A77" s="326"/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0</v>
      </c>
      <c r="Q77" s="141" t="s">
        <v>29</v>
      </c>
      <c r="R77" s="142">
        <f t="shared" ref="R77:S82" ca="1" si="16">T77</f>
        <v>467217</v>
      </c>
      <c r="S77" s="142">
        <f t="shared" ca="1" si="16"/>
        <v>0</v>
      </c>
      <c r="T77" s="142">
        <f ca="1">기술사</f>
        <v>467217</v>
      </c>
      <c r="U77" s="142">
        <f t="shared" ref="U77:U82" ca="1" si="17">ROUNDDOWN(P77*R77,0)</f>
        <v>0</v>
      </c>
      <c r="V77" s="142"/>
      <c r="W77" s="142"/>
      <c r="X77" s="142"/>
      <c r="Y77" s="142"/>
      <c r="Z77" s="114"/>
    </row>
    <row r="78" spans="1:26" ht="18" customHeight="1"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0.34899999999999998</v>
      </c>
      <c r="Q78" s="144" t="s">
        <v>29</v>
      </c>
      <c r="R78" s="118">
        <f t="shared" ca="1" si="16"/>
        <v>373353</v>
      </c>
      <c r="S78" s="118">
        <f t="shared" ca="1" si="16"/>
        <v>130300</v>
      </c>
      <c r="T78" s="118">
        <f ca="1">특급</f>
        <v>373353</v>
      </c>
      <c r="U78" s="118">
        <f t="shared" ca="1" si="17"/>
        <v>130300</v>
      </c>
      <c r="V78" s="118"/>
      <c r="W78" s="118"/>
      <c r="X78" s="118"/>
      <c r="Y78" s="118"/>
      <c r="Z78" s="115"/>
    </row>
    <row r="79" spans="1:26" ht="18" customHeight="1"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1.3959999999999999</v>
      </c>
      <c r="Q79" s="144" t="s">
        <v>29</v>
      </c>
      <c r="R79" s="118">
        <f t="shared" ca="1" si="16"/>
        <v>310884</v>
      </c>
      <c r="S79" s="118">
        <f t="shared" ca="1" si="16"/>
        <v>433994</v>
      </c>
      <c r="T79" s="118">
        <f ca="1">고급</f>
        <v>310884</v>
      </c>
      <c r="U79" s="118">
        <f t="shared" ca="1" si="17"/>
        <v>433994</v>
      </c>
      <c r="V79" s="118"/>
      <c r="W79" s="118"/>
      <c r="X79" s="118"/>
      <c r="Y79" s="118"/>
      <c r="Z79" s="115"/>
    </row>
    <row r="80" spans="1:26" ht="18" customHeight="1"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0.69799999999999995</v>
      </c>
      <c r="Q80" s="144" t="s">
        <v>29</v>
      </c>
      <c r="R80" s="118">
        <f t="shared" ca="1" si="16"/>
        <v>295138</v>
      </c>
      <c r="S80" s="118">
        <f t="shared" ca="1" si="16"/>
        <v>206006</v>
      </c>
      <c r="T80" s="118">
        <f ca="1">중급</f>
        <v>295138</v>
      </c>
      <c r="U80" s="118">
        <f t="shared" ca="1" si="17"/>
        <v>206006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0.69799999999999995</v>
      </c>
      <c r="Q81" s="144" t="s">
        <v>29</v>
      </c>
      <c r="R81" s="118">
        <f t="shared" ca="1" si="16"/>
        <v>235459</v>
      </c>
      <c r="S81" s="118">
        <f t="shared" ca="1" si="16"/>
        <v>164350</v>
      </c>
      <c r="T81" s="118">
        <f ca="1">초급</f>
        <v>235459</v>
      </c>
      <c r="U81" s="118">
        <f t="shared" ca="1" si="17"/>
        <v>164350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0</v>
      </c>
      <c r="Q82" s="322" t="s">
        <v>29</v>
      </c>
      <c r="R82" s="323">
        <f t="shared" ca="1" si="16"/>
        <v>250087</v>
      </c>
      <c r="S82" s="323">
        <f t="shared" ca="1" si="16"/>
        <v>0</v>
      </c>
      <c r="T82" s="323">
        <f ca="1">보조원</f>
        <v>250087</v>
      </c>
      <c r="U82" s="323">
        <f t="shared" ca="1" si="17"/>
        <v>0</v>
      </c>
      <c r="V82" s="323"/>
      <c r="W82" s="323"/>
      <c r="X82" s="323"/>
      <c r="Y82" s="323"/>
      <c r="Z82" s="324"/>
    </row>
    <row r="83" spans="11:26" ht="18" customHeight="1"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934650</v>
      </c>
      <c r="T83" s="71"/>
      <c r="U83" s="71">
        <f ca="1">SUBTOTAL(9,U77:U82)</f>
        <v>934650</v>
      </c>
      <c r="V83" s="71"/>
      <c r="W83" s="71"/>
      <c r="X83" s="71"/>
      <c r="Y83" s="71"/>
      <c r="Z83" s="68"/>
    </row>
    <row r="84" spans="11:26" ht="18" customHeight="1">
      <c r="K84" s="171" t="s">
        <v>14</v>
      </c>
      <c r="L84" s="171"/>
      <c r="M84" s="171"/>
      <c r="N84" s="318" t="str">
        <f ca="1">"제 " &amp; Z84 &amp; " 호표  "&amp; OFFSET($A$1,MATCH(Z84,$A:$A,0)-1,1)</f>
        <v>제 4 호표  3.1. 균형적 국토발전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4</v>
      </c>
    </row>
    <row r="85" spans="11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0.34899999999999998</v>
      </c>
      <c r="Q85" s="141" t="s">
        <v>29</v>
      </c>
      <c r="R85" s="142">
        <f t="shared" ref="R85:S90" ca="1" si="18">T85</f>
        <v>467217</v>
      </c>
      <c r="S85" s="142">
        <f t="shared" ca="1" si="18"/>
        <v>163058</v>
      </c>
      <c r="T85" s="142">
        <f ca="1">기술사</f>
        <v>467217</v>
      </c>
      <c r="U85" s="142">
        <f t="shared" ref="U85:U90" ca="1" si="19">ROUNDDOWN(P85*R85,0)</f>
        <v>163058</v>
      </c>
      <c r="V85" s="142"/>
      <c r="W85" s="142"/>
      <c r="X85" s="142"/>
      <c r="Y85" s="142"/>
      <c r="Z85" s="114"/>
    </row>
    <row r="86" spans="11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0.69799999999999995</v>
      </c>
      <c r="Q86" s="144" t="s">
        <v>29</v>
      </c>
      <c r="R86" s="118">
        <f t="shared" ca="1" si="18"/>
        <v>373353</v>
      </c>
      <c r="S86" s="118">
        <f t="shared" ca="1" si="18"/>
        <v>260600</v>
      </c>
      <c r="T86" s="118">
        <f ca="1">특급</f>
        <v>373353</v>
      </c>
      <c r="U86" s="118">
        <f t="shared" ca="1" si="19"/>
        <v>260600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1.3959999999999999</v>
      </c>
      <c r="Q87" s="144" t="s">
        <v>29</v>
      </c>
      <c r="R87" s="118">
        <f t="shared" ca="1" si="18"/>
        <v>310884</v>
      </c>
      <c r="S87" s="118">
        <f t="shared" ca="1" si="18"/>
        <v>433994</v>
      </c>
      <c r="T87" s="118">
        <f ca="1">고급</f>
        <v>310884</v>
      </c>
      <c r="U87" s="118">
        <f t="shared" ca="1" si="19"/>
        <v>433994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1.3959999999999999</v>
      </c>
      <c r="Q88" s="144" t="s">
        <v>29</v>
      </c>
      <c r="R88" s="118">
        <f t="shared" ca="1" si="18"/>
        <v>295138</v>
      </c>
      <c r="S88" s="118">
        <f t="shared" ca="1" si="18"/>
        <v>412012</v>
      </c>
      <c r="T88" s="118">
        <f ca="1">중급</f>
        <v>295138</v>
      </c>
      <c r="U88" s="118">
        <f t="shared" ca="1" si="19"/>
        <v>412012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1.3959999999999999</v>
      </c>
      <c r="Q89" s="144" t="s">
        <v>29</v>
      </c>
      <c r="R89" s="118">
        <f t="shared" ca="1" si="18"/>
        <v>235459</v>
      </c>
      <c r="S89" s="118">
        <f t="shared" ca="1" si="18"/>
        <v>328700</v>
      </c>
      <c r="T89" s="118">
        <f ca="1">초급</f>
        <v>235459</v>
      </c>
      <c r="U89" s="118">
        <f t="shared" ca="1" si="19"/>
        <v>328700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0</v>
      </c>
      <c r="Q90" s="322" t="s">
        <v>29</v>
      </c>
      <c r="R90" s="323">
        <f t="shared" ca="1" si="18"/>
        <v>250087</v>
      </c>
      <c r="S90" s="323">
        <f t="shared" ca="1" si="18"/>
        <v>0</v>
      </c>
      <c r="T90" s="323">
        <f ca="1">보조원</f>
        <v>250087</v>
      </c>
      <c r="U90" s="323">
        <f t="shared" ca="1" si="19"/>
        <v>0</v>
      </c>
      <c r="V90" s="323"/>
      <c r="W90" s="323"/>
      <c r="X90" s="323"/>
      <c r="Y90" s="323"/>
      <c r="Z90" s="324"/>
    </row>
    <row r="91" spans="11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1598364</v>
      </c>
      <c r="T91" s="71"/>
      <c r="U91" s="71">
        <f ca="1">SUBTOTAL(9,U85:U90)</f>
        <v>1598364</v>
      </c>
      <c r="V91" s="71"/>
      <c r="W91" s="71"/>
      <c r="X91" s="71"/>
      <c r="Y91" s="71"/>
      <c r="Z91" s="68"/>
    </row>
    <row r="92" spans="11:26" ht="18" customHeight="1">
      <c r="K92" s="171" t="s">
        <v>14</v>
      </c>
      <c r="L92" s="171"/>
      <c r="M92" s="171"/>
      <c r="N92" s="318" t="str">
        <f ca="1">"제 " &amp; Z92 &amp; " 호표  "&amp; OFFSET($A$1,MATCH(Z92,$A:$A,0)-1,1)</f>
        <v>제 5 호표  3.2. 국토의 경쟁력 강화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5</v>
      </c>
    </row>
    <row r="93" spans="1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0.34899999999999998</v>
      </c>
      <c r="Q93" s="141" t="s">
        <v>29</v>
      </c>
      <c r="R93" s="142">
        <f t="shared" ref="R93:S98" ca="1" si="20">T93</f>
        <v>467217</v>
      </c>
      <c r="S93" s="142">
        <f t="shared" ca="1" si="20"/>
        <v>163058</v>
      </c>
      <c r="T93" s="142">
        <f ca="1">기술사</f>
        <v>467217</v>
      </c>
      <c r="U93" s="142">
        <f t="shared" ref="U93:U98" ca="1" si="21">ROUNDDOWN(P93*R93,0)</f>
        <v>163058</v>
      </c>
      <c r="V93" s="142"/>
      <c r="W93" s="142"/>
      <c r="X93" s="142"/>
      <c r="Y93" s="142"/>
      <c r="Z93" s="114"/>
    </row>
    <row r="94" spans="1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0.69799999999999995</v>
      </c>
      <c r="Q94" s="144" t="s">
        <v>29</v>
      </c>
      <c r="R94" s="118">
        <f t="shared" ca="1" si="20"/>
        <v>373353</v>
      </c>
      <c r="S94" s="118">
        <f t="shared" ca="1" si="20"/>
        <v>260600</v>
      </c>
      <c r="T94" s="118">
        <f ca="1">특급</f>
        <v>373353</v>
      </c>
      <c r="U94" s="118">
        <f t="shared" ca="1" si="21"/>
        <v>260600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1.3959999999999999</v>
      </c>
      <c r="Q95" s="144" t="s">
        <v>29</v>
      </c>
      <c r="R95" s="118">
        <f t="shared" ca="1" si="20"/>
        <v>310884</v>
      </c>
      <c r="S95" s="118">
        <f t="shared" ca="1" si="20"/>
        <v>433994</v>
      </c>
      <c r="T95" s="118">
        <f ca="1">고급</f>
        <v>310884</v>
      </c>
      <c r="U95" s="118">
        <f t="shared" ca="1" si="21"/>
        <v>433994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1.3959999999999999</v>
      </c>
      <c r="Q96" s="144" t="s">
        <v>29</v>
      </c>
      <c r="R96" s="118">
        <f t="shared" ca="1" si="20"/>
        <v>295138</v>
      </c>
      <c r="S96" s="118">
        <f t="shared" ca="1" si="20"/>
        <v>412012</v>
      </c>
      <c r="T96" s="118">
        <f ca="1">중급</f>
        <v>295138</v>
      </c>
      <c r="U96" s="118">
        <f t="shared" ca="1" si="21"/>
        <v>412012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1.3959999999999999</v>
      </c>
      <c r="Q97" s="144" t="s">
        <v>29</v>
      </c>
      <c r="R97" s="118">
        <f t="shared" ca="1" si="20"/>
        <v>235459</v>
      </c>
      <c r="S97" s="118">
        <f t="shared" ca="1" si="20"/>
        <v>328700</v>
      </c>
      <c r="T97" s="118">
        <f ca="1">초급</f>
        <v>235459</v>
      </c>
      <c r="U97" s="118">
        <f t="shared" ca="1" si="21"/>
        <v>328700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0</v>
      </c>
      <c r="Q98" s="322" t="s">
        <v>29</v>
      </c>
      <c r="R98" s="323">
        <f t="shared" ca="1" si="20"/>
        <v>250087</v>
      </c>
      <c r="S98" s="323">
        <f t="shared" ca="1" si="20"/>
        <v>0</v>
      </c>
      <c r="T98" s="323">
        <f ca="1">보조원</f>
        <v>250087</v>
      </c>
      <c r="U98" s="323">
        <f t="shared" ca="1" si="21"/>
        <v>0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1598364</v>
      </c>
      <c r="T99" s="71"/>
      <c r="U99" s="71">
        <f ca="1">SUBTOTAL(9,U93:U98)</f>
        <v>1598364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6 호표  3.3. 환경친화적 국토관리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6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0.34899999999999998</v>
      </c>
      <c r="Q101" s="141" t="s">
        <v>29</v>
      </c>
      <c r="R101" s="142">
        <f t="shared" ref="R101:S106" ca="1" si="22">T101</f>
        <v>467217</v>
      </c>
      <c r="S101" s="142">
        <f t="shared" ca="1" si="22"/>
        <v>163058</v>
      </c>
      <c r="T101" s="142">
        <f ca="1">기술사</f>
        <v>467217</v>
      </c>
      <c r="U101" s="142">
        <f t="shared" ref="U101:U106" ca="1" si="23">ROUNDDOWN(P101*R101,0)</f>
        <v>163058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0.69799999999999995</v>
      </c>
      <c r="Q102" s="144" t="s">
        <v>29</v>
      </c>
      <c r="R102" s="118">
        <f t="shared" ca="1" si="22"/>
        <v>373353</v>
      </c>
      <c r="S102" s="118">
        <f t="shared" ca="1" si="22"/>
        <v>260600</v>
      </c>
      <c r="T102" s="118">
        <f ca="1">특급</f>
        <v>373353</v>
      </c>
      <c r="U102" s="118">
        <f t="shared" ca="1" si="23"/>
        <v>260600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1.3959999999999999</v>
      </c>
      <c r="Q103" s="144" t="s">
        <v>29</v>
      </c>
      <c r="R103" s="118">
        <f t="shared" ca="1" si="22"/>
        <v>310884</v>
      </c>
      <c r="S103" s="118">
        <f t="shared" ca="1" si="22"/>
        <v>433994</v>
      </c>
      <c r="T103" s="118">
        <f ca="1">고급</f>
        <v>310884</v>
      </c>
      <c r="U103" s="118">
        <f t="shared" ca="1" si="23"/>
        <v>433994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1.3959999999999999</v>
      </c>
      <c r="Q104" s="144" t="s">
        <v>29</v>
      </c>
      <c r="R104" s="118">
        <f t="shared" ca="1" si="22"/>
        <v>295138</v>
      </c>
      <c r="S104" s="118">
        <f t="shared" ca="1" si="22"/>
        <v>412012</v>
      </c>
      <c r="T104" s="118">
        <f ca="1">중급</f>
        <v>295138</v>
      </c>
      <c r="U104" s="118">
        <f t="shared" ca="1" si="23"/>
        <v>412012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1.3959999999999999</v>
      </c>
      <c r="Q105" s="144" t="s">
        <v>29</v>
      </c>
      <c r="R105" s="118">
        <f t="shared" ca="1" si="22"/>
        <v>235459</v>
      </c>
      <c r="S105" s="118">
        <f t="shared" ca="1" si="22"/>
        <v>328700</v>
      </c>
      <c r="T105" s="118">
        <f ca="1">초급</f>
        <v>235459</v>
      </c>
      <c r="U105" s="118">
        <f t="shared" ca="1" si="23"/>
        <v>328700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0</v>
      </c>
      <c r="Q106" s="322" t="s">
        <v>29</v>
      </c>
      <c r="R106" s="323">
        <f t="shared" ca="1" si="22"/>
        <v>250087</v>
      </c>
      <c r="S106" s="323">
        <f t="shared" ca="1" si="22"/>
        <v>0</v>
      </c>
      <c r="T106" s="323">
        <f ca="1">보조원</f>
        <v>250087</v>
      </c>
      <c r="U106" s="323">
        <f t="shared" ca="1" si="23"/>
        <v>0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1598364</v>
      </c>
      <c r="T107" s="71"/>
      <c r="U107" s="71">
        <f ca="1">SUBTOTAL(9,U101:U106)</f>
        <v>1598364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7 호표  3.4. 계획의 적정성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7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0.34899999999999998</v>
      </c>
      <c r="Q109" s="141" t="s">
        <v>29</v>
      </c>
      <c r="R109" s="142">
        <f t="shared" ref="R109:S114" ca="1" si="24">T109</f>
        <v>467217</v>
      </c>
      <c r="S109" s="142">
        <f t="shared" ca="1" si="24"/>
        <v>163058</v>
      </c>
      <c r="T109" s="142">
        <f ca="1">기술사</f>
        <v>467217</v>
      </c>
      <c r="U109" s="142">
        <f t="shared" ref="U109:U114" ca="1" si="25">ROUNDDOWN(P109*R109,0)</f>
        <v>163058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0.69799999999999995</v>
      </c>
      <c r="Q110" s="144" t="s">
        <v>29</v>
      </c>
      <c r="R110" s="118">
        <f t="shared" ca="1" si="24"/>
        <v>373353</v>
      </c>
      <c r="S110" s="118">
        <f t="shared" ca="1" si="24"/>
        <v>260600</v>
      </c>
      <c r="T110" s="118">
        <f ca="1">특급</f>
        <v>373353</v>
      </c>
      <c r="U110" s="118">
        <f t="shared" ca="1" si="25"/>
        <v>260600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1.3959999999999999</v>
      </c>
      <c r="Q111" s="144" t="s">
        <v>29</v>
      </c>
      <c r="R111" s="118">
        <f t="shared" ca="1" si="24"/>
        <v>310884</v>
      </c>
      <c r="S111" s="118">
        <f t="shared" ca="1" si="24"/>
        <v>433994</v>
      </c>
      <c r="T111" s="118">
        <f ca="1">고급</f>
        <v>310884</v>
      </c>
      <c r="U111" s="118">
        <f t="shared" ca="1" si="25"/>
        <v>433994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1.3959999999999999</v>
      </c>
      <c r="Q112" s="144" t="s">
        <v>29</v>
      </c>
      <c r="R112" s="118">
        <f t="shared" ca="1" si="24"/>
        <v>295138</v>
      </c>
      <c r="S112" s="118">
        <f t="shared" ca="1" si="24"/>
        <v>412012</v>
      </c>
      <c r="T112" s="118">
        <f ca="1">중급</f>
        <v>295138</v>
      </c>
      <c r="U112" s="118">
        <f t="shared" ca="1" si="25"/>
        <v>412012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1.3959999999999999</v>
      </c>
      <c r="Q113" s="144" t="s">
        <v>29</v>
      </c>
      <c r="R113" s="118">
        <f t="shared" ca="1" si="24"/>
        <v>235459</v>
      </c>
      <c r="S113" s="118">
        <f t="shared" ca="1" si="24"/>
        <v>328700</v>
      </c>
      <c r="T113" s="118">
        <f ca="1">초급</f>
        <v>235459</v>
      </c>
      <c r="U113" s="118">
        <f t="shared" ca="1" si="25"/>
        <v>328700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0</v>
      </c>
      <c r="Q114" s="322" t="s">
        <v>29</v>
      </c>
      <c r="R114" s="323">
        <f t="shared" ca="1" si="24"/>
        <v>250087</v>
      </c>
      <c r="S114" s="323">
        <f t="shared" ca="1" si="24"/>
        <v>0</v>
      </c>
      <c r="T114" s="323">
        <f ca="1">보조원</f>
        <v>250087</v>
      </c>
      <c r="U114" s="323">
        <f t="shared" ca="1" si="25"/>
        <v>0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1598364</v>
      </c>
      <c r="T115" s="71"/>
      <c r="U115" s="71">
        <f ca="1">SUBTOTAL(9,U109:U114)</f>
        <v>1598364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8 호표  4.1. 자체평가표 작성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8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0.34899999999999998</v>
      </c>
      <c r="Q117" s="141" t="s">
        <v>29</v>
      </c>
      <c r="R117" s="142">
        <f t="shared" ref="R117:S122" ca="1" si="26">T117</f>
        <v>467217</v>
      </c>
      <c r="S117" s="142">
        <f t="shared" ca="1" si="26"/>
        <v>163058</v>
      </c>
      <c r="T117" s="142">
        <f ca="1">기술사</f>
        <v>467217</v>
      </c>
      <c r="U117" s="142">
        <f t="shared" ref="U117:U122" ca="1" si="27">ROUNDDOWN(P117*R117,0)</f>
        <v>163058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0.69799999999999995</v>
      </c>
      <c r="Q118" s="144" t="s">
        <v>29</v>
      </c>
      <c r="R118" s="118">
        <f t="shared" ca="1" si="26"/>
        <v>373353</v>
      </c>
      <c r="S118" s="118">
        <f t="shared" ca="1" si="26"/>
        <v>260600</v>
      </c>
      <c r="T118" s="118">
        <f ca="1">특급</f>
        <v>373353</v>
      </c>
      <c r="U118" s="118">
        <f t="shared" ca="1" si="27"/>
        <v>260600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1.3959999999999999</v>
      </c>
      <c r="Q119" s="144" t="s">
        <v>29</v>
      </c>
      <c r="R119" s="118">
        <f t="shared" ca="1" si="26"/>
        <v>310884</v>
      </c>
      <c r="S119" s="118">
        <f t="shared" ca="1" si="26"/>
        <v>433994</v>
      </c>
      <c r="T119" s="118">
        <f ca="1">고급</f>
        <v>310884</v>
      </c>
      <c r="U119" s="118">
        <f t="shared" ca="1" si="27"/>
        <v>433994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0.69799999999999995</v>
      </c>
      <c r="Q120" s="144" t="s">
        <v>29</v>
      </c>
      <c r="R120" s="118">
        <f t="shared" ca="1" si="26"/>
        <v>295138</v>
      </c>
      <c r="S120" s="118">
        <f t="shared" ca="1" si="26"/>
        <v>206006</v>
      </c>
      <c r="T120" s="118">
        <f ca="1">중급</f>
        <v>295138</v>
      </c>
      <c r="U120" s="118">
        <f t="shared" ca="1" si="27"/>
        <v>206006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0.69799999999999995</v>
      </c>
      <c r="Q121" s="144" t="s">
        <v>29</v>
      </c>
      <c r="R121" s="118">
        <f t="shared" ca="1" si="26"/>
        <v>235459</v>
      </c>
      <c r="S121" s="118">
        <f t="shared" ca="1" si="26"/>
        <v>164350</v>
      </c>
      <c r="T121" s="118">
        <f ca="1">초급</f>
        <v>235459</v>
      </c>
      <c r="U121" s="118">
        <f t="shared" ca="1" si="27"/>
        <v>164350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2.7919999999999998</v>
      </c>
      <c r="Q122" s="322" t="s">
        <v>29</v>
      </c>
      <c r="R122" s="323">
        <f t="shared" ca="1" si="26"/>
        <v>250087</v>
      </c>
      <c r="S122" s="323">
        <f t="shared" ca="1" si="26"/>
        <v>698242</v>
      </c>
      <c r="T122" s="323">
        <f ca="1">보조원</f>
        <v>250087</v>
      </c>
      <c r="U122" s="323">
        <f t="shared" ca="1" si="27"/>
        <v>698242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1926250</v>
      </c>
      <c r="T123" s="71"/>
      <c r="U123" s="71">
        <f ca="1">SUBTOTAL(9,U117:U122)</f>
        <v>1926250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9 호표  4.2. 평가요청서 작성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9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0</v>
      </c>
      <c r="Q125" s="141" t="s">
        <v>29</v>
      </c>
      <c r="R125" s="142">
        <f t="shared" ref="R125:S130" ca="1" si="28">T125</f>
        <v>467217</v>
      </c>
      <c r="S125" s="142">
        <f t="shared" ca="1" si="28"/>
        <v>0</v>
      </c>
      <c r="T125" s="142">
        <f ca="1">기술사</f>
        <v>467217</v>
      </c>
      <c r="U125" s="142">
        <f t="shared" ref="U125:U130" ca="1" si="29">ROUNDDOWN(P125*R125,0)</f>
        <v>0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0.69799999999999995</v>
      </c>
      <c r="Q126" s="144" t="s">
        <v>29</v>
      </c>
      <c r="R126" s="118">
        <f t="shared" ca="1" si="28"/>
        <v>373353</v>
      </c>
      <c r="S126" s="118">
        <f t="shared" ca="1" si="28"/>
        <v>260600</v>
      </c>
      <c r="T126" s="118">
        <f ca="1">특급</f>
        <v>373353</v>
      </c>
      <c r="U126" s="118">
        <f t="shared" ca="1" si="29"/>
        <v>260600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1.3959999999999999</v>
      </c>
      <c r="Q127" s="144" t="s">
        <v>29</v>
      </c>
      <c r="R127" s="118">
        <f t="shared" ca="1" si="28"/>
        <v>310884</v>
      </c>
      <c r="S127" s="118">
        <f t="shared" ca="1" si="28"/>
        <v>433994</v>
      </c>
      <c r="T127" s="118">
        <f ca="1">고급</f>
        <v>310884</v>
      </c>
      <c r="U127" s="118">
        <f t="shared" ca="1" si="29"/>
        <v>433994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0</v>
      </c>
      <c r="Q128" s="144" t="s">
        <v>29</v>
      </c>
      <c r="R128" s="118">
        <f t="shared" ca="1" si="28"/>
        <v>295138</v>
      </c>
      <c r="S128" s="118">
        <f t="shared" ca="1" si="28"/>
        <v>0</v>
      </c>
      <c r="T128" s="118">
        <f ca="1">중급</f>
        <v>295138</v>
      </c>
      <c r="U128" s="118">
        <f t="shared" ca="1" si="29"/>
        <v>0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0</v>
      </c>
      <c r="Q129" s="144" t="s">
        <v>29</v>
      </c>
      <c r="R129" s="118">
        <f t="shared" ca="1" si="28"/>
        <v>235459</v>
      </c>
      <c r="S129" s="118">
        <f t="shared" ca="1" si="28"/>
        <v>0</v>
      </c>
      <c r="T129" s="118">
        <f ca="1">초급</f>
        <v>235459</v>
      </c>
      <c r="U129" s="118">
        <f t="shared" ca="1" si="29"/>
        <v>0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2.7919999999999998</v>
      </c>
      <c r="Q130" s="322" t="s">
        <v>29</v>
      </c>
      <c r="R130" s="323">
        <f t="shared" ca="1" si="28"/>
        <v>250087</v>
      </c>
      <c r="S130" s="323">
        <f t="shared" ca="1" si="28"/>
        <v>698242</v>
      </c>
      <c r="T130" s="323">
        <f ca="1">보조원</f>
        <v>250087</v>
      </c>
      <c r="U130" s="323">
        <f t="shared" ca="1" si="29"/>
        <v>698242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1392836</v>
      </c>
      <c r="T131" s="71"/>
      <c r="U131" s="71">
        <f ca="1">SUBTOTAL(9,U125:U130)</f>
        <v>1392836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  <c r="N132" s="318" t="str">
        <f ca="1">"제 " &amp; Z132 &amp; " 호표  "&amp; OFFSET($A$1,MATCH(Z132,$A:$A,0)-1,1)</f>
        <v>제 10 호표  5.1. 위원회심의 지원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10</v>
      </c>
    </row>
    <row r="133" spans="11:26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2</v>
      </c>
      <c r="Q133" s="141" t="s">
        <v>29</v>
      </c>
      <c r="R133" s="142">
        <f t="shared" ref="R133:S138" ca="1" si="30">T133</f>
        <v>467217</v>
      </c>
      <c r="S133" s="142">
        <f t="shared" ca="1" si="30"/>
        <v>934434</v>
      </c>
      <c r="T133" s="142">
        <f ca="1">기술사</f>
        <v>467217</v>
      </c>
      <c r="U133" s="142">
        <f t="shared" ref="U133:U138" ca="1" si="31">ROUNDDOWN(P133*R133,0)</f>
        <v>934434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2</v>
      </c>
      <c r="Q134" s="144" t="s">
        <v>29</v>
      </c>
      <c r="R134" s="118">
        <f t="shared" ca="1" si="30"/>
        <v>373353</v>
      </c>
      <c r="S134" s="118">
        <f t="shared" ca="1" si="30"/>
        <v>746706</v>
      </c>
      <c r="T134" s="118">
        <f ca="1">특급</f>
        <v>373353</v>
      </c>
      <c r="U134" s="118">
        <f t="shared" ca="1" si="31"/>
        <v>746706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2</v>
      </c>
      <c r="Q135" s="144" t="s">
        <v>29</v>
      </c>
      <c r="R135" s="118">
        <f t="shared" ca="1" si="30"/>
        <v>310884</v>
      </c>
      <c r="S135" s="118">
        <f t="shared" ca="1" si="30"/>
        <v>621768</v>
      </c>
      <c r="T135" s="118">
        <f ca="1">고급</f>
        <v>310884</v>
      </c>
      <c r="U135" s="118">
        <f t="shared" ca="1" si="31"/>
        <v>621768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4</v>
      </c>
      <c r="Q136" s="144" t="s">
        <v>29</v>
      </c>
      <c r="R136" s="118">
        <f t="shared" ca="1" si="30"/>
        <v>295138</v>
      </c>
      <c r="S136" s="118">
        <f t="shared" ca="1" si="30"/>
        <v>1180552</v>
      </c>
      <c r="T136" s="118">
        <f ca="1">중급</f>
        <v>295138</v>
      </c>
      <c r="U136" s="118">
        <f t="shared" ca="1" si="31"/>
        <v>1180552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4</v>
      </c>
      <c r="Q137" s="144" t="s">
        <v>29</v>
      </c>
      <c r="R137" s="118">
        <f t="shared" ca="1" si="30"/>
        <v>235459</v>
      </c>
      <c r="S137" s="118">
        <f t="shared" ca="1" si="30"/>
        <v>941836</v>
      </c>
      <c r="T137" s="118">
        <f ca="1">초급</f>
        <v>235459</v>
      </c>
      <c r="U137" s="118">
        <f t="shared" ca="1" si="31"/>
        <v>941836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4</v>
      </c>
      <c r="Q138" s="322" t="s">
        <v>29</v>
      </c>
      <c r="R138" s="323">
        <f t="shared" ca="1" si="30"/>
        <v>250087</v>
      </c>
      <c r="S138" s="323">
        <f t="shared" ca="1" si="30"/>
        <v>1000348</v>
      </c>
      <c r="T138" s="323">
        <f ca="1">보조원</f>
        <v>250087</v>
      </c>
      <c r="U138" s="323">
        <f t="shared" ca="1" si="31"/>
        <v>1000348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5425644</v>
      </c>
      <c r="T139" s="71"/>
      <c r="U139" s="71">
        <f ca="1">SUBTOTAL(9,U133:U138)</f>
        <v>5425644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OFFSET($A$1,MATCH(Z140,$A:$A,0)-1,1)</f>
        <v>제 11 호표  5.2. 관계기관 협의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11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2</v>
      </c>
      <c r="Q141" s="141" t="s">
        <v>29</v>
      </c>
      <c r="R141" s="142">
        <f t="shared" ref="R141:S146" ca="1" si="32">T141</f>
        <v>467217</v>
      </c>
      <c r="S141" s="142">
        <f t="shared" ca="1" si="32"/>
        <v>934434</v>
      </c>
      <c r="T141" s="142">
        <f ca="1">기술사</f>
        <v>467217</v>
      </c>
      <c r="U141" s="142">
        <f t="shared" ref="U141:U146" ca="1" si="33">ROUNDDOWN(P141*R141,0)</f>
        <v>934434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2</v>
      </c>
      <c r="Q142" s="144" t="s">
        <v>29</v>
      </c>
      <c r="R142" s="118">
        <f t="shared" ca="1" si="32"/>
        <v>373353</v>
      </c>
      <c r="S142" s="118">
        <f t="shared" ca="1" si="32"/>
        <v>746706</v>
      </c>
      <c r="T142" s="118">
        <f ca="1">특급</f>
        <v>373353</v>
      </c>
      <c r="U142" s="118">
        <f t="shared" ca="1" si="33"/>
        <v>746706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2</v>
      </c>
      <c r="Q143" s="144" t="s">
        <v>29</v>
      </c>
      <c r="R143" s="118">
        <f t="shared" ca="1" si="32"/>
        <v>310884</v>
      </c>
      <c r="S143" s="118">
        <f t="shared" ca="1" si="32"/>
        <v>621768</v>
      </c>
      <c r="T143" s="118">
        <f ca="1">고급</f>
        <v>310884</v>
      </c>
      <c r="U143" s="118">
        <f t="shared" ca="1" si="33"/>
        <v>621768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4</v>
      </c>
      <c r="Q144" s="144" t="s">
        <v>29</v>
      </c>
      <c r="R144" s="118">
        <f t="shared" ca="1" si="32"/>
        <v>295138</v>
      </c>
      <c r="S144" s="118">
        <f t="shared" ca="1" si="32"/>
        <v>1180552</v>
      </c>
      <c r="T144" s="118">
        <f ca="1">중급</f>
        <v>295138</v>
      </c>
      <c r="U144" s="118">
        <f t="shared" ca="1" si="33"/>
        <v>1180552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4</v>
      </c>
      <c r="Q145" s="144" t="s">
        <v>29</v>
      </c>
      <c r="R145" s="118">
        <f t="shared" ca="1" si="32"/>
        <v>235459</v>
      </c>
      <c r="S145" s="118">
        <f t="shared" ca="1" si="32"/>
        <v>941836</v>
      </c>
      <c r="T145" s="118">
        <f ca="1">초급</f>
        <v>235459</v>
      </c>
      <c r="U145" s="118">
        <f t="shared" ca="1" si="33"/>
        <v>941836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4</v>
      </c>
      <c r="Q146" s="322" t="s">
        <v>29</v>
      </c>
      <c r="R146" s="323">
        <f t="shared" ca="1" si="32"/>
        <v>250087</v>
      </c>
      <c r="S146" s="323">
        <f t="shared" ca="1" si="32"/>
        <v>1000348</v>
      </c>
      <c r="T146" s="323">
        <f ca="1">보조원</f>
        <v>250087</v>
      </c>
      <c r="U146" s="323">
        <f t="shared" ca="1" si="33"/>
        <v>1000348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5425644</v>
      </c>
      <c r="T147" s="71"/>
      <c r="U147" s="71">
        <f ca="1">SUBTOTAL(9,U141:U146)</f>
        <v>5425644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P148" s="236"/>
    </row>
    <row r="149" spans="11:26" ht="18" customHeight="1">
      <c r="K149" s="171" t="s">
        <v>14</v>
      </c>
      <c r="L149" s="171"/>
      <c r="M149" s="171"/>
      <c r="P149" s="236"/>
    </row>
    <row r="150" spans="11:26" ht="18" customHeight="1">
      <c r="K150" s="171" t="s">
        <v>14</v>
      </c>
      <c r="L150" s="171"/>
      <c r="M150" s="171"/>
      <c r="P150" s="236"/>
    </row>
    <row r="151" spans="11:26" ht="18" customHeight="1">
      <c r="K151" s="171" t="s">
        <v>14</v>
      </c>
      <c r="L151" s="171"/>
      <c r="M151" s="171"/>
      <c r="P151" s="236"/>
    </row>
    <row r="152" spans="11:26" ht="18" customHeight="1">
      <c r="K152" s="171" t="s">
        <v>14</v>
      </c>
      <c r="L152" s="171"/>
      <c r="M152" s="171"/>
      <c r="P152" s="236"/>
    </row>
    <row r="153" spans="11:26" ht="18" customHeight="1">
      <c r="K153" s="171" t="s">
        <v>14</v>
      </c>
      <c r="L153" s="171"/>
      <c r="M153" s="171"/>
      <c r="P153" s="236"/>
    </row>
    <row r="154" spans="11:26" ht="18" customHeight="1">
      <c r="K154" s="171" t="s">
        <v>14</v>
      </c>
      <c r="L154" s="171"/>
      <c r="M154" s="171"/>
      <c r="P154" s="236"/>
    </row>
    <row r="155" spans="11:26" ht="18" customHeight="1">
      <c r="K155" s="171" t="s">
        <v>14</v>
      </c>
      <c r="L155" s="171"/>
      <c r="M155" s="171"/>
      <c r="P155" s="236"/>
    </row>
    <row r="156" spans="11:26" ht="18" customHeight="1">
      <c r="K156" s="171" t="s">
        <v>14</v>
      </c>
      <c r="L156" s="171"/>
      <c r="M156" s="171"/>
      <c r="P156" s="236"/>
    </row>
    <row r="157" spans="11:26" ht="18" customHeight="1">
      <c r="K157" s="171" t="s">
        <v>14</v>
      </c>
      <c r="L157" s="171"/>
      <c r="M157" s="171"/>
      <c r="P157" s="236"/>
    </row>
    <row r="158" spans="11:26" ht="18" customHeight="1">
      <c r="K158" s="171" t="s">
        <v>14</v>
      </c>
      <c r="L158" s="171"/>
      <c r="M158" s="171"/>
      <c r="P158" s="236"/>
    </row>
    <row r="159" spans="11:26" ht="18" customHeight="1">
      <c r="K159" s="171" t="s">
        <v>14</v>
      </c>
      <c r="L159" s="171"/>
      <c r="M159" s="171"/>
      <c r="P159" s="236"/>
    </row>
    <row r="160" spans="11:26" ht="18" customHeight="1">
      <c r="K160" s="171" t="s">
        <v>14</v>
      </c>
      <c r="L160" s="171"/>
      <c r="M160" s="171"/>
      <c r="P160" s="236"/>
    </row>
    <row r="161" spans="11:16" ht="18" customHeight="1">
      <c r="K161" s="171" t="s">
        <v>14</v>
      </c>
      <c r="L161" s="171"/>
      <c r="M161" s="171"/>
      <c r="P161" s="236"/>
    </row>
    <row r="162" spans="11:16" ht="18" customHeight="1">
      <c r="K162" s="171" t="s">
        <v>14</v>
      </c>
      <c r="L162" s="171"/>
      <c r="M162" s="171"/>
      <c r="P162" s="236"/>
    </row>
    <row r="163" spans="11:16" ht="18" customHeight="1">
      <c r="K163" s="171" t="s">
        <v>14</v>
      </c>
      <c r="L163" s="171"/>
      <c r="M163" s="171"/>
      <c r="P163" s="236"/>
    </row>
    <row r="164" spans="11:16" ht="18" customHeight="1">
      <c r="K164" s="171" t="s">
        <v>14</v>
      </c>
      <c r="L164" s="171"/>
      <c r="M164" s="171"/>
      <c r="P164" s="236"/>
    </row>
    <row r="165" spans="11:16" ht="18" customHeight="1">
      <c r="K165" s="171" t="s">
        <v>14</v>
      </c>
      <c r="L165" s="171"/>
      <c r="M165" s="171"/>
      <c r="P165" s="236"/>
    </row>
    <row r="166" spans="11:16" ht="18" customHeight="1">
      <c r="K166" s="171" t="s">
        <v>14</v>
      </c>
      <c r="L166" s="171"/>
      <c r="M166" s="171"/>
      <c r="P166" s="236"/>
    </row>
    <row r="167" spans="11:16" ht="18" customHeight="1">
      <c r="K167" s="171" t="s">
        <v>14</v>
      </c>
      <c r="L167" s="171"/>
      <c r="M167" s="171"/>
      <c r="P167" s="236"/>
    </row>
    <row r="168" spans="11:16" ht="18" customHeight="1">
      <c r="K168" s="171" t="s">
        <v>14</v>
      </c>
      <c r="L168" s="171"/>
      <c r="M168" s="171"/>
      <c r="P168" s="236"/>
    </row>
    <row r="169" spans="11:16" ht="18" customHeight="1">
      <c r="K169" s="171" t="s">
        <v>14</v>
      </c>
      <c r="L169" s="171"/>
      <c r="M169" s="171"/>
      <c r="P169" s="236"/>
    </row>
    <row r="170" spans="11:16" ht="18" customHeight="1">
      <c r="K170" s="171" t="s">
        <v>14</v>
      </c>
      <c r="L170" s="171"/>
      <c r="M170" s="171"/>
      <c r="P170" s="236"/>
    </row>
    <row r="171" spans="11:16" ht="18" customHeight="1">
      <c r="K171" s="171" t="s">
        <v>14</v>
      </c>
      <c r="L171" s="171"/>
      <c r="M171" s="171"/>
      <c r="P171" s="236"/>
    </row>
    <row r="172" spans="11:16" ht="18" customHeight="1">
      <c r="K172" s="171" t="s">
        <v>14</v>
      </c>
      <c r="L172" s="171"/>
      <c r="M172" s="171"/>
      <c r="P172" s="236"/>
    </row>
    <row r="173" spans="11:16" ht="18" customHeight="1">
      <c r="K173" s="171" t="s">
        <v>14</v>
      </c>
      <c r="L173" s="171"/>
      <c r="M173" s="171"/>
      <c r="P173" s="236"/>
    </row>
    <row r="174" spans="11:16" ht="18" customHeight="1">
      <c r="K174" s="171" t="s">
        <v>14</v>
      </c>
      <c r="L174" s="171"/>
      <c r="M174" s="171"/>
      <c r="P174" s="236"/>
    </row>
    <row r="175" spans="11:16" ht="18" customHeight="1">
      <c r="K175" s="171" t="s">
        <v>14</v>
      </c>
      <c r="L175" s="171"/>
      <c r="M175" s="171"/>
      <c r="P175" s="236"/>
    </row>
    <row r="176" spans="11:16" ht="18" customHeight="1">
      <c r="K176" s="171" t="s">
        <v>14</v>
      </c>
      <c r="L176" s="171"/>
      <c r="M176" s="171"/>
      <c r="P176" s="236"/>
    </row>
    <row r="177" spans="11:16" ht="18" customHeight="1">
      <c r="K177" s="171" t="s">
        <v>14</v>
      </c>
      <c r="L177" s="171"/>
      <c r="M177" s="171"/>
      <c r="P177" s="236"/>
    </row>
    <row r="178" spans="11:16" ht="18" customHeight="1">
      <c r="K178" s="171" t="s">
        <v>14</v>
      </c>
      <c r="L178" s="171"/>
      <c r="M178" s="171"/>
      <c r="P178" s="236"/>
    </row>
    <row r="179" spans="11:16" ht="18" customHeight="1">
      <c r="K179" s="171" t="s">
        <v>14</v>
      </c>
      <c r="L179" s="171"/>
      <c r="M179" s="171"/>
      <c r="P179" s="236"/>
    </row>
    <row r="180" spans="11:16" ht="18" customHeight="1">
      <c r="K180" s="171" t="s">
        <v>14</v>
      </c>
      <c r="L180" s="171"/>
      <c r="M180" s="171"/>
      <c r="P180" s="236"/>
    </row>
    <row r="181" spans="11:16" ht="18" customHeight="1">
      <c r="K181" s="171" t="s">
        <v>14</v>
      </c>
      <c r="L181" s="171"/>
      <c r="M181" s="171"/>
      <c r="P181" s="236"/>
    </row>
    <row r="182" spans="11:16" ht="18" customHeight="1">
      <c r="K182" s="171" t="s">
        <v>14</v>
      </c>
      <c r="L182" s="171"/>
      <c r="M182" s="171"/>
      <c r="P182" s="236"/>
    </row>
    <row r="183" spans="11:16" ht="18" customHeight="1">
      <c r="K183" s="171" t="s">
        <v>14</v>
      </c>
      <c r="L183" s="171"/>
      <c r="M183" s="171"/>
      <c r="P183" s="236"/>
    </row>
    <row r="184" spans="11:16" ht="18" customHeight="1">
      <c r="K184" s="171" t="s">
        <v>14</v>
      </c>
      <c r="L184" s="171"/>
      <c r="M184" s="171"/>
      <c r="P184" s="236"/>
    </row>
    <row r="185" spans="11:16" ht="18" customHeight="1">
      <c r="K185" s="171" t="s">
        <v>14</v>
      </c>
      <c r="L185" s="171"/>
      <c r="M185" s="171"/>
      <c r="P185" s="236"/>
    </row>
    <row r="186" spans="11:16" ht="18" customHeight="1">
      <c r="K186" s="171" t="s">
        <v>14</v>
      </c>
      <c r="L186" s="171"/>
      <c r="M186" s="171"/>
      <c r="P186" s="236"/>
    </row>
    <row r="187" spans="11:16" ht="18" customHeight="1">
      <c r="K187" s="171" t="s">
        <v>14</v>
      </c>
      <c r="L187" s="171"/>
      <c r="M187" s="171"/>
      <c r="P187" s="236"/>
    </row>
    <row r="188" spans="11:16" ht="18" customHeight="1">
      <c r="K188" s="171" t="s">
        <v>14</v>
      </c>
      <c r="L188" s="171"/>
      <c r="M188" s="171"/>
      <c r="P188" s="236"/>
    </row>
    <row r="189" spans="11:16" ht="18" customHeight="1">
      <c r="K189" s="171" t="s">
        <v>14</v>
      </c>
      <c r="L189" s="171"/>
      <c r="M189" s="171"/>
      <c r="P189" s="236"/>
    </row>
    <row r="190" spans="11:16" ht="18" customHeight="1">
      <c r="K190" s="171" t="s">
        <v>14</v>
      </c>
      <c r="L190" s="171"/>
      <c r="M190" s="171"/>
      <c r="P190" s="236"/>
    </row>
    <row r="191" spans="11:16" ht="18" customHeight="1">
      <c r="K191" s="171" t="s">
        <v>14</v>
      </c>
      <c r="L191" s="171"/>
      <c r="M191" s="171"/>
      <c r="P191" s="236"/>
    </row>
    <row r="192" spans="11:16" ht="18" customHeight="1">
      <c r="K192" s="171" t="s">
        <v>14</v>
      </c>
      <c r="L192" s="171"/>
      <c r="M192" s="171"/>
      <c r="P192" s="236"/>
    </row>
    <row r="193" spans="11:16" ht="18" customHeight="1">
      <c r="K193" s="171" t="s">
        <v>14</v>
      </c>
      <c r="L193" s="171"/>
      <c r="M193" s="171"/>
      <c r="P193" s="236"/>
    </row>
    <row r="194" spans="11:16" ht="18" customHeight="1">
      <c r="K194" s="171" t="s">
        <v>14</v>
      </c>
      <c r="L194" s="171"/>
      <c r="M194" s="171"/>
      <c r="P194" s="236"/>
    </row>
    <row r="195" spans="11:16" ht="18" customHeight="1">
      <c r="K195" s="171" t="s">
        <v>14</v>
      </c>
      <c r="L195" s="171"/>
      <c r="M195" s="171"/>
      <c r="P195" s="236"/>
    </row>
    <row r="196" spans="11:16" ht="18" customHeight="1">
      <c r="K196" s="171" t="s">
        <v>14</v>
      </c>
      <c r="L196" s="171"/>
      <c r="M196" s="171"/>
      <c r="P196" s="236"/>
    </row>
    <row r="197" spans="11:16" ht="18" customHeight="1">
      <c r="K197" s="171" t="s">
        <v>14</v>
      </c>
      <c r="L197" s="171"/>
      <c r="M197" s="171"/>
      <c r="P197" s="236"/>
    </row>
    <row r="198" spans="11:16" ht="18" customHeight="1">
      <c r="K198" s="171" t="s">
        <v>14</v>
      </c>
      <c r="L198" s="171"/>
      <c r="M198" s="171"/>
      <c r="P198" s="236"/>
    </row>
    <row r="199" spans="11:16" ht="18" customHeight="1">
      <c r="K199" s="171" t="s">
        <v>14</v>
      </c>
      <c r="L199" s="171"/>
      <c r="M199" s="171"/>
      <c r="P199" s="236"/>
    </row>
    <row r="200" spans="11:16" ht="18" customHeight="1">
      <c r="K200" s="171" t="s">
        <v>14</v>
      </c>
      <c r="L200" s="171"/>
      <c r="M200" s="171"/>
      <c r="P200" s="236"/>
    </row>
    <row r="201" spans="11:16" ht="18" customHeight="1">
      <c r="K201" s="171" t="s">
        <v>14</v>
      </c>
      <c r="L201" s="171"/>
      <c r="M201" s="171"/>
      <c r="P201" s="236"/>
    </row>
    <row r="202" spans="11:16" ht="18" customHeight="1">
      <c r="K202" s="171" t="s">
        <v>14</v>
      </c>
      <c r="L202" s="171"/>
      <c r="M202" s="171"/>
      <c r="P202" s="236"/>
    </row>
    <row r="203" spans="11:16" ht="18" customHeight="1">
      <c r="K203" s="171" t="s">
        <v>14</v>
      </c>
      <c r="L203" s="171"/>
      <c r="M203" s="171"/>
      <c r="P203" s="236"/>
    </row>
    <row r="204" spans="11:16" ht="18" customHeight="1">
      <c r="K204" s="171" t="s">
        <v>14</v>
      </c>
      <c r="L204" s="171"/>
      <c r="M204" s="171"/>
      <c r="P204" s="236"/>
    </row>
    <row r="205" spans="11:16" ht="18" customHeight="1">
      <c r="K205" s="171" t="s">
        <v>14</v>
      </c>
      <c r="L205" s="171"/>
      <c r="M205" s="171"/>
      <c r="P205" s="236"/>
    </row>
    <row r="206" spans="11:16" ht="18" customHeight="1">
      <c r="K206" s="171" t="s">
        <v>14</v>
      </c>
      <c r="L206" s="171"/>
      <c r="M206" s="171"/>
      <c r="P206" s="236"/>
    </row>
    <row r="207" spans="11:16" ht="18" customHeight="1">
      <c r="K207" s="171" t="s">
        <v>14</v>
      </c>
      <c r="L207" s="171"/>
      <c r="M207" s="171"/>
      <c r="P207" s="236"/>
    </row>
    <row r="208" spans="11:16" ht="18" customHeight="1">
      <c r="K208" s="171" t="s">
        <v>14</v>
      </c>
      <c r="L208" s="171"/>
      <c r="M208" s="171"/>
      <c r="P208" s="236"/>
    </row>
    <row r="209" spans="11:16" ht="18" customHeight="1">
      <c r="K209" s="171" t="s">
        <v>14</v>
      </c>
      <c r="L209" s="171"/>
      <c r="M209" s="171"/>
      <c r="P209" s="236"/>
    </row>
    <row r="210" spans="11:16" ht="18" customHeight="1">
      <c r="K210" s="171" t="s">
        <v>14</v>
      </c>
      <c r="L210" s="171"/>
      <c r="M210" s="171"/>
      <c r="P210" s="236"/>
    </row>
    <row r="211" spans="11:16" ht="18" customHeight="1">
      <c r="K211" s="171" t="s">
        <v>14</v>
      </c>
      <c r="L211" s="171"/>
      <c r="M211" s="171"/>
      <c r="P211" s="236"/>
    </row>
    <row r="212" spans="11:16" ht="18" customHeight="1">
      <c r="K212" s="171" t="s">
        <v>14</v>
      </c>
      <c r="L212" s="171"/>
      <c r="M212" s="171"/>
      <c r="P212" s="236"/>
    </row>
    <row r="213" spans="11:16" ht="18" customHeight="1">
      <c r="K213" s="171" t="s">
        <v>14</v>
      </c>
      <c r="L213" s="171"/>
      <c r="M213" s="171"/>
      <c r="P213" s="236"/>
    </row>
    <row r="214" spans="11:16" ht="18" customHeight="1">
      <c r="K214" s="171" t="s">
        <v>14</v>
      </c>
      <c r="L214" s="171"/>
      <c r="M214" s="171"/>
      <c r="P214" s="236"/>
    </row>
    <row r="215" spans="11:16" ht="18" customHeight="1">
      <c r="K215" s="171" t="s">
        <v>14</v>
      </c>
      <c r="L215" s="171"/>
      <c r="M215" s="171"/>
      <c r="P215" s="236"/>
    </row>
    <row r="216" spans="11:16" ht="18" customHeight="1">
      <c r="K216" s="171" t="s">
        <v>14</v>
      </c>
      <c r="L216" s="171"/>
      <c r="M216" s="171"/>
      <c r="P216" s="236"/>
    </row>
    <row r="217" spans="11:16" ht="18" customHeight="1">
      <c r="K217" s="171" t="s">
        <v>14</v>
      </c>
      <c r="L217" s="171"/>
      <c r="M217" s="171"/>
      <c r="P217" s="236"/>
    </row>
    <row r="218" spans="11:16" ht="18" customHeight="1">
      <c r="K218" s="171" t="s">
        <v>14</v>
      </c>
      <c r="L218" s="171"/>
      <c r="M218" s="171"/>
      <c r="P218" s="236"/>
    </row>
    <row r="219" spans="11:16" ht="18" customHeight="1">
      <c r="K219" s="171" t="s">
        <v>14</v>
      </c>
      <c r="L219" s="171"/>
      <c r="M219" s="171"/>
      <c r="P219" s="236"/>
    </row>
    <row r="220" spans="11:16" ht="18" customHeight="1">
      <c r="K220" s="171" t="s">
        <v>14</v>
      </c>
      <c r="L220" s="171"/>
      <c r="M220" s="171"/>
      <c r="P220" s="236"/>
    </row>
    <row r="221" spans="11:16" ht="18" customHeight="1">
      <c r="K221" s="171" t="s">
        <v>14</v>
      </c>
      <c r="L221" s="171"/>
      <c r="M221" s="171"/>
      <c r="P221" s="236"/>
    </row>
    <row r="222" spans="11:16" ht="18" customHeight="1">
      <c r="K222" s="171" t="s">
        <v>14</v>
      </c>
      <c r="L222" s="171"/>
      <c r="M222" s="171"/>
      <c r="P222" s="236"/>
    </row>
    <row r="223" spans="11:16" ht="18" customHeight="1">
      <c r="K223" s="171" t="s">
        <v>14</v>
      </c>
      <c r="L223" s="171"/>
      <c r="M223" s="171"/>
      <c r="P223" s="236"/>
    </row>
    <row r="224" spans="11:16" ht="18" customHeight="1">
      <c r="K224" s="171" t="s">
        <v>14</v>
      </c>
      <c r="L224" s="171"/>
      <c r="M224" s="171"/>
      <c r="P224" s="236"/>
    </row>
    <row r="225" spans="11:28" ht="18" customHeight="1">
      <c r="K225" s="171" t="s">
        <v>14</v>
      </c>
      <c r="L225" s="171"/>
      <c r="M225" s="171"/>
      <c r="P225" s="236"/>
    </row>
    <row r="226" spans="11:28" ht="18" customHeight="1">
      <c r="K226" s="171" t="s">
        <v>14</v>
      </c>
      <c r="L226" s="171"/>
      <c r="M226" s="171"/>
      <c r="P226" s="236"/>
    </row>
    <row r="227" spans="11:28" ht="18" customHeight="1">
      <c r="K227" s="171" t="s">
        <v>14</v>
      </c>
      <c r="L227" s="171"/>
      <c r="M227" s="171"/>
      <c r="P227" s="236"/>
    </row>
    <row r="228" spans="11:28" ht="18" customHeight="1">
      <c r="K228" s="171" t="s">
        <v>14</v>
      </c>
      <c r="L228" s="171"/>
      <c r="M228" s="171"/>
      <c r="P228" s="236"/>
    </row>
    <row r="229" spans="11:28" ht="18" customHeight="1">
      <c r="K229" s="171" t="s">
        <v>14</v>
      </c>
      <c r="L229" s="171"/>
      <c r="M229" s="171"/>
      <c r="P229" s="236"/>
    </row>
    <row r="230" spans="11:28" ht="18" customHeight="1">
      <c r="K230" s="171" t="s">
        <v>14</v>
      </c>
      <c r="L230" s="171"/>
      <c r="M230" s="171"/>
      <c r="P230" s="236"/>
    </row>
    <row r="231" spans="11:28" ht="18" customHeight="1">
      <c r="K231" s="171" t="s">
        <v>14</v>
      </c>
      <c r="L231" s="171"/>
      <c r="M231" s="171"/>
      <c r="P231" s="236"/>
    </row>
    <row r="232" spans="11:28" ht="18" customHeight="1">
      <c r="K232" s="171" t="s">
        <v>14</v>
      </c>
      <c r="L232" s="171"/>
      <c r="M232" s="171"/>
      <c r="P232" s="236"/>
    </row>
    <row r="233" spans="11:28" ht="18" customHeight="1">
      <c r="K233" s="171" t="s">
        <v>14</v>
      </c>
      <c r="L233" s="171"/>
      <c r="M233" s="171"/>
      <c r="P233" s="236"/>
    </row>
    <row r="234" spans="11:28" ht="18" customHeight="1">
      <c r="K234" s="171" t="s">
        <v>14</v>
      </c>
      <c r="L234" s="171"/>
      <c r="M234" s="171"/>
      <c r="P234" s="236"/>
      <c r="AA234" s="171"/>
      <c r="AB234" s="171"/>
    </row>
    <row r="235" spans="11:28" ht="18" customHeight="1">
      <c r="K235" s="171" t="s">
        <v>14</v>
      </c>
      <c r="L235" s="171"/>
      <c r="M235" s="171"/>
      <c r="P235" s="236"/>
      <c r="AA235" s="171"/>
      <c r="AB235" s="171"/>
    </row>
    <row r="236" spans="11:28" ht="18" customHeight="1">
      <c r="K236" s="171" t="s">
        <v>14</v>
      </c>
      <c r="L236" s="171"/>
      <c r="M236" s="171"/>
      <c r="P236" s="236"/>
      <c r="AA236" s="171"/>
      <c r="AB236" s="171"/>
    </row>
    <row r="237" spans="11:28" ht="18" customHeight="1">
      <c r="K237" s="171" t="s">
        <v>14</v>
      </c>
      <c r="L237" s="171"/>
      <c r="M237" s="171"/>
      <c r="P237" s="236"/>
      <c r="AA237" s="171"/>
      <c r="AB237" s="171"/>
    </row>
    <row r="238" spans="11:28" ht="18" customHeight="1">
      <c r="K238" s="171" t="s">
        <v>14</v>
      </c>
      <c r="L238" s="171"/>
      <c r="M238" s="171"/>
      <c r="P238" s="236"/>
    </row>
    <row r="239" spans="11:28" ht="18" customHeight="1">
      <c r="K239" s="171" t="s">
        <v>14</v>
      </c>
      <c r="L239" s="171"/>
      <c r="M239" s="171"/>
      <c r="P239" s="236"/>
    </row>
    <row r="240" spans="11:28" ht="18" customHeight="1">
      <c r="K240" s="171" t="s">
        <v>14</v>
      </c>
      <c r="L240" s="171"/>
      <c r="M240" s="171"/>
      <c r="P240" s="236"/>
    </row>
    <row r="241" spans="11:28" ht="18" customHeight="1">
      <c r="K241" s="171" t="s">
        <v>14</v>
      </c>
      <c r="L241" s="171"/>
      <c r="M241" s="171"/>
      <c r="P241" s="236"/>
    </row>
    <row r="242" spans="11:28" ht="18" customHeight="1">
      <c r="K242" s="171" t="s">
        <v>14</v>
      </c>
      <c r="L242" s="171"/>
      <c r="M242" s="171"/>
      <c r="P242" s="236"/>
    </row>
    <row r="243" spans="11:28" ht="18" customHeight="1">
      <c r="K243" s="171" t="s">
        <v>14</v>
      </c>
      <c r="L243" s="171"/>
      <c r="M243" s="171"/>
      <c r="P243" s="236"/>
    </row>
    <row r="244" spans="11:28" ht="18" customHeight="1">
      <c r="K244" s="171" t="s">
        <v>14</v>
      </c>
      <c r="L244" s="171"/>
      <c r="M244" s="171"/>
      <c r="P244" s="236"/>
    </row>
    <row r="245" spans="11:28" ht="18" customHeight="1">
      <c r="K245" s="171" t="s">
        <v>14</v>
      </c>
      <c r="L245" s="171"/>
      <c r="M245" s="171"/>
      <c r="P245" s="236"/>
    </row>
    <row r="246" spans="11:28" ht="18" customHeight="1">
      <c r="K246" s="171" t="s">
        <v>14</v>
      </c>
      <c r="L246" s="171"/>
      <c r="M246" s="171"/>
      <c r="P246" s="236"/>
    </row>
    <row r="247" spans="11:28" ht="18" customHeight="1">
      <c r="K247" s="171" t="s">
        <v>14</v>
      </c>
      <c r="L247" s="171"/>
      <c r="M247" s="171"/>
      <c r="P247" s="236"/>
    </row>
    <row r="248" spans="11:28" ht="18" customHeight="1">
      <c r="K248" s="171" t="s">
        <v>14</v>
      </c>
      <c r="L248" s="171"/>
      <c r="M248" s="171"/>
      <c r="P248" s="236"/>
    </row>
    <row r="249" spans="11:28" ht="18" customHeight="1">
      <c r="K249" s="171" t="s">
        <v>14</v>
      </c>
      <c r="L249" s="171"/>
      <c r="M249" s="171"/>
      <c r="P249" s="236"/>
    </row>
    <row r="250" spans="11:28" ht="18" customHeight="1">
      <c r="K250" s="171" t="s">
        <v>14</v>
      </c>
      <c r="L250" s="171"/>
      <c r="M250" s="171"/>
      <c r="P250" s="236"/>
      <c r="AA250" s="171"/>
      <c r="AB250" s="171"/>
    </row>
    <row r="251" spans="11:28" ht="18" customHeight="1">
      <c r="K251" s="171" t="s">
        <v>14</v>
      </c>
      <c r="L251" s="171"/>
      <c r="M251" s="171"/>
      <c r="P251" s="236"/>
      <c r="AA251" s="171"/>
      <c r="AB251" s="171"/>
    </row>
    <row r="252" spans="11:28" ht="18" customHeight="1">
      <c r="K252" s="171" t="s">
        <v>14</v>
      </c>
      <c r="L252" s="171"/>
      <c r="M252" s="171"/>
      <c r="P252" s="236"/>
      <c r="AA252" s="171"/>
      <c r="AB252" s="171"/>
    </row>
    <row r="253" spans="11:28" ht="18" customHeight="1">
      <c r="K253" s="171" t="s">
        <v>14</v>
      </c>
      <c r="L253" s="171"/>
      <c r="M253" s="171"/>
      <c r="P253" s="236"/>
      <c r="AA253" s="171"/>
      <c r="AB253" s="171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28" ht="18" customHeight="1">
      <c r="K257" s="171" t="s">
        <v>14</v>
      </c>
      <c r="L257" s="171"/>
      <c r="M257" s="171"/>
      <c r="P257" s="236"/>
      <c r="AA257" s="171"/>
      <c r="AB257" s="171"/>
    </row>
    <row r="258" spans="11:28" ht="18" customHeight="1">
      <c r="K258" s="171" t="s">
        <v>14</v>
      </c>
      <c r="L258" s="171"/>
      <c r="M258" s="171"/>
      <c r="P258" s="236"/>
      <c r="AA258" s="171"/>
      <c r="AB258" s="171"/>
    </row>
    <row r="259" spans="11:28" ht="18" customHeight="1">
      <c r="K259" s="171" t="s">
        <v>14</v>
      </c>
      <c r="L259" s="171"/>
      <c r="M259" s="171"/>
      <c r="P259" s="236"/>
      <c r="AA259" s="171"/>
      <c r="AB259" s="171"/>
    </row>
    <row r="260" spans="11:28" ht="18" customHeight="1">
      <c r="K260" s="171" t="s">
        <v>14</v>
      </c>
      <c r="L260" s="171"/>
      <c r="M260" s="171"/>
      <c r="P260" s="236"/>
      <c r="AA260" s="171"/>
      <c r="AB260" s="171"/>
    </row>
    <row r="261" spans="11:28" ht="18" customHeight="1">
      <c r="K261" s="171" t="s">
        <v>14</v>
      </c>
      <c r="L261" s="171"/>
      <c r="M261" s="171"/>
      <c r="P261" s="236"/>
      <c r="AA261" s="171"/>
      <c r="AB261" s="171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</row>
    <row r="266" spans="11:28" ht="18" customHeight="1">
      <c r="K266" s="171" t="s">
        <v>14</v>
      </c>
      <c r="L266" s="171"/>
      <c r="M266" s="171"/>
      <c r="P266" s="236"/>
    </row>
    <row r="267" spans="11:28" ht="18" customHeight="1">
      <c r="K267" s="171" t="s">
        <v>14</v>
      </c>
      <c r="L267" s="171"/>
      <c r="M267" s="171"/>
      <c r="P267" s="236"/>
    </row>
    <row r="268" spans="11:28" ht="18" customHeight="1">
      <c r="K268" s="171" t="s">
        <v>14</v>
      </c>
      <c r="L268" s="171"/>
      <c r="M268" s="171"/>
      <c r="P268" s="236"/>
    </row>
    <row r="269" spans="11:28" ht="18" customHeight="1">
      <c r="K269" s="171" t="s">
        <v>14</v>
      </c>
      <c r="L269" s="171"/>
      <c r="M269" s="171"/>
      <c r="P269" s="236"/>
    </row>
    <row r="270" spans="11:28" ht="18" customHeight="1">
      <c r="K270" s="171" t="s">
        <v>14</v>
      </c>
      <c r="L270" s="171"/>
      <c r="M270" s="171"/>
      <c r="P270" s="236"/>
    </row>
    <row r="271" spans="11:28" ht="18" customHeight="1">
      <c r="K271" s="171" t="s">
        <v>14</v>
      </c>
      <c r="L271" s="171"/>
      <c r="M271" s="171"/>
      <c r="P271" s="236"/>
    </row>
    <row r="272" spans="11:28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</row>
    <row r="671" spans="11:16" ht="18" customHeight="1">
      <c r="K671" s="171" t="s">
        <v>14</v>
      </c>
      <c r="L671" s="171"/>
      <c r="M671" s="171"/>
    </row>
    <row r="672" spans="11:16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M795" s="171"/>
    </row>
    <row r="796" spans="11:13" ht="18" customHeight="1">
      <c r="K796" s="171" t="s">
        <v>14</v>
      </c>
      <c r="M796" s="171"/>
    </row>
    <row r="797" spans="11:13" ht="18" customHeight="1">
      <c r="K797" s="171" t="s">
        <v>14</v>
      </c>
      <c r="M797" s="171"/>
    </row>
    <row r="798" spans="11:13" ht="18" customHeight="1">
      <c r="K798" s="171" t="s">
        <v>14</v>
      </c>
      <c r="M798" s="171"/>
    </row>
    <row r="799" spans="11:13" ht="18" customHeight="1">
      <c r="K799" s="171" t="s">
        <v>14</v>
      </c>
      <c r="M799" s="171"/>
    </row>
    <row r="800" spans="11:13" ht="18" customHeight="1">
      <c r="K800" s="171" t="s">
        <v>14</v>
      </c>
      <c r="M800" s="171"/>
    </row>
    <row r="801" spans="11:13" ht="18" customHeight="1">
      <c r="K801" s="171" t="s">
        <v>14</v>
      </c>
      <c r="M801" s="171"/>
    </row>
    <row r="802" spans="11:13" ht="18" customHeight="1">
      <c r="K802" s="171" t="s">
        <v>14</v>
      </c>
      <c r="M802" s="171"/>
    </row>
    <row r="803" spans="11:13" ht="18" customHeight="1">
      <c r="K803" s="171" t="s">
        <v>14</v>
      </c>
      <c r="M803" s="171"/>
    </row>
    <row r="804" spans="11:13" ht="18" customHeight="1">
      <c r="M804" s="171"/>
    </row>
    <row r="805" spans="11:13" ht="18" customHeight="1">
      <c r="M805" s="171"/>
    </row>
    <row r="806" spans="11:13" ht="18" customHeight="1">
      <c r="M806" s="171"/>
    </row>
    <row r="807" spans="11:13" ht="18" customHeight="1">
      <c r="M807" s="171"/>
    </row>
    <row r="808" spans="11:13" ht="18" customHeight="1">
      <c r="M808" s="171"/>
    </row>
    <row r="809" spans="11:13" ht="18" customHeight="1">
      <c r="M809" s="171"/>
    </row>
    <row r="810" spans="11:13" ht="18" customHeight="1">
      <c r="M810" s="171"/>
    </row>
    <row r="811" spans="11:13" ht="18" customHeight="1">
      <c r="M811" s="171"/>
    </row>
  </sheetData>
  <mergeCells count="17">
    <mergeCell ref="B3:C3"/>
    <mergeCell ref="B4:C4"/>
    <mergeCell ref="B5:C5"/>
    <mergeCell ref="B10:C11"/>
    <mergeCell ref="J10:J11"/>
    <mergeCell ref="D3:E3"/>
    <mergeCell ref="D4:E4"/>
    <mergeCell ref="D5:E5"/>
    <mergeCell ref="G3:H3"/>
    <mergeCell ref="G4:H4"/>
    <mergeCell ref="G5:H5"/>
    <mergeCell ref="P58:P59"/>
    <mergeCell ref="Q58:Q59"/>
    <mergeCell ref="Z58:Z59"/>
    <mergeCell ref="L10:L11"/>
    <mergeCell ref="N58:N59"/>
    <mergeCell ref="O58:O59"/>
  </mergeCells>
  <phoneticPr fontId="14" type="noConversion"/>
  <conditionalFormatting sqref="V12:V27">
    <cfRule type="cellIs" dxfId="31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50" min="13" max="28" man="1"/>
    <brk id="77" min="13" max="28" man="1"/>
    <brk id="98" min="13" max="28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 codeName="Sheet89">
    <tabColor rgb="FF92D050"/>
    <pageSetUpPr fitToPage="1"/>
  </sheetPr>
  <dimension ref="A1:AC821"/>
  <sheetViews>
    <sheetView showGridLines="0" zoomScale="85" zoomScaleNormal="85" zoomScaleSheetLayoutView="75" workbookViewId="0">
      <selection activeCell="N36" sqref="N3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9" ht="22.5">
      <c r="B1" s="356" t="s">
        <v>607</v>
      </c>
      <c r="AC1" s="391" t="s">
        <v>2423</v>
      </c>
    </row>
    <row r="2" spans="1:29" ht="19.5" thickBot="1">
      <c r="B2" s="66" t="s">
        <v>1</v>
      </c>
      <c r="AC2" s="391" t="s">
        <v>2424</v>
      </c>
    </row>
    <row r="3" spans="1:29" ht="19.5" customHeight="1">
      <c r="B3" s="773" t="s">
        <v>48</v>
      </c>
      <c r="C3" s="774"/>
      <c r="D3" s="775">
        <v>50</v>
      </c>
      <c r="E3" s="776"/>
      <c r="F3" s="44" t="s">
        <v>608</v>
      </c>
      <c r="G3" s="838" t="s">
        <v>1104</v>
      </c>
      <c r="H3" s="839"/>
      <c r="I3" s="656">
        <v>2</v>
      </c>
      <c r="J3" s="669" t="s">
        <v>794</v>
      </c>
      <c r="K3" s="6"/>
      <c r="L3" s="6"/>
      <c r="M3" s="6"/>
      <c r="N3" s="6"/>
      <c r="R3" s="1"/>
      <c r="S3" s="1"/>
      <c r="T3" s="1"/>
      <c r="U3" s="1"/>
      <c r="V3" s="1"/>
      <c r="W3" s="1"/>
      <c r="X3" s="1"/>
      <c r="Y3" s="1"/>
      <c r="AC3" s="391" t="s">
        <v>2425</v>
      </c>
    </row>
    <row r="4" spans="1:29" ht="21.75" customHeight="1">
      <c r="B4" s="777" t="s">
        <v>54</v>
      </c>
      <c r="C4" s="778"/>
      <c r="D4" s="779">
        <v>50</v>
      </c>
      <c r="E4" s="780"/>
      <c r="F4" s="65" t="str">
        <f>F3</f>
        <v>㎢</v>
      </c>
      <c r="G4" s="777" t="s">
        <v>1109</v>
      </c>
      <c r="H4" s="814"/>
      <c r="I4" s="298">
        <v>2</v>
      </c>
      <c r="J4" s="670" t="s">
        <v>794</v>
      </c>
      <c r="K4" s="6"/>
      <c r="L4" s="6"/>
      <c r="M4" s="6"/>
      <c r="N4" s="6"/>
      <c r="R4" s="1"/>
      <c r="S4" s="1"/>
      <c r="T4" s="1"/>
      <c r="U4" s="1"/>
      <c r="V4" s="1"/>
      <c r="W4" s="1"/>
      <c r="X4" s="1"/>
      <c r="Y4" s="1"/>
      <c r="AC4" s="391" t="s">
        <v>2426</v>
      </c>
    </row>
    <row r="5" spans="1:29" ht="24" customHeight="1" thickBot="1">
      <c r="B5" s="777" t="s">
        <v>2408</v>
      </c>
      <c r="C5" s="814"/>
      <c r="D5" s="815">
        <f>ROUNDDOWN((IF(D4&lt;=50,50,D4)/D3)^0.3,3)</f>
        <v>1</v>
      </c>
      <c r="E5" s="816"/>
      <c r="F5" s="217"/>
      <c r="G5" s="817" t="s">
        <v>1102</v>
      </c>
      <c r="H5" s="818"/>
      <c r="I5" s="646">
        <f>ROUND(I4/I3,3)</f>
        <v>1</v>
      </c>
      <c r="J5" s="671"/>
      <c r="K5" s="6"/>
      <c r="L5" s="6"/>
      <c r="M5" s="6"/>
      <c r="N5" s="6"/>
      <c r="R5" s="1"/>
      <c r="S5" s="1"/>
      <c r="T5" s="1"/>
      <c r="U5" s="1"/>
      <c r="V5" s="1"/>
      <c r="W5" s="1"/>
      <c r="X5" s="1"/>
      <c r="Y5" s="1"/>
    </row>
    <row r="6" spans="1:29" ht="23.25" customHeight="1" thickBot="1">
      <c r="B6" s="817" t="s">
        <v>2409</v>
      </c>
      <c r="C6" s="818"/>
      <c r="D6" s="819">
        <f>CHOOSE(F6,2.5,1.75,1.37,1)</f>
        <v>1.37</v>
      </c>
      <c r="E6" s="802"/>
      <c r="F6" s="622">
        <v>3</v>
      </c>
      <c r="G6" s="9" t="s">
        <v>1107</v>
      </c>
      <c r="J6" s="36"/>
      <c r="K6" s="6"/>
      <c r="L6" s="6"/>
      <c r="M6" s="6"/>
      <c r="N6" s="6"/>
      <c r="R6" s="1"/>
      <c r="S6" s="1"/>
      <c r="T6" s="1"/>
      <c r="U6" s="1"/>
      <c r="V6" s="1"/>
      <c r="W6" s="1"/>
      <c r="X6" s="1"/>
      <c r="Y6" s="1"/>
    </row>
    <row r="7" spans="1:29" ht="18" customHeight="1">
      <c r="B7" s="9" t="s">
        <v>2427</v>
      </c>
      <c r="C7" s="9"/>
      <c r="D7" s="64"/>
      <c r="E7" s="64"/>
      <c r="J7" s="6"/>
      <c r="K7" s="6"/>
      <c r="L7" s="6"/>
      <c r="M7" s="6"/>
      <c r="N7" s="6"/>
      <c r="R7" s="1"/>
      <c r="S7" s="1"/>
      <c r="T7" s="1"/>
      <c r="U7" s="1"/>
      <c r="V7" s="1"/>
      <c r="W7" s="1"/>
      <c r="X7" s="1"/>
      <c r="Y7" s="1"/>
    </row>
    <row r="8" spans="1:29" ht="18" customHeight="1">
      <c r="B8" s="9"/>
      <c r="C8" s="9"/>
      <c r="D8" s="64"/>
      <c r="E8" s="64"/>
      <c r="R8" s="1"/>
      <c r="S8" s="1"/>
      <c r="T8" s="1"/>
    </row>
    <row r="9" spans="1:29" ht="18" customHeight="1">
      <c r="B9" s="9"/>
      <c r="C9" s="9"/>
      <c r="D9" s="64"/>
      <c r="E9" s="64"/>
      <c r="R9" s="1"/>
      <c r="S9" s="1"/>
      <c r="T9" s="1"/>
    </row>
    <row r="10" spans="1:29" ht="18" customHeight="1">
      <c r="G10" s="36"/>
      <c r="W10" s="188" t="s">
        <v>3</v>
      </c>
      <c r="X10" s="189"/>
    </row>
    <row r="11" spans="1:29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9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SUBTOTAL(9,W13:W35)</f>
        <v>485056784</v>
      </c>
      <c r="X12" s="187"/>
      <c r="Y12" s="177"/>
      <c r="Z12" s="167"/>
    </row>
    <row r="13" spans="1:29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SUBTOTAL(9,W14:W32)</f>
        <v>178682213</v>
      </c>
      <c r="X13" s="164"/>
      <c r="Y13" s="178" t="s">
        <v>9</v>
      </c>
      <c r="Z13" s="179"/>
    </row>
    <row r="14" spans="1:29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SUBTOTAL(9,W15:W27)</f>
        <v>170682213</v>
      </c>
      <c r="X14" s="256"/>
      <c r="Y14" s="220"/>
      <c r="Z14" s="220"/>
    </row>
    <row r="15" spans="1:29" ht="18" customHeight="1">
      <c r="A15" s="279"/>
      <c r="B15" s="225" t="s">
        <v>1089</v>
      </c>
      <c r="C15" s="72"/>
      <c r="D15" s="30">
        <f t="shared" ref="D15:I15" si="0">SUBTOTAL(9,D16:D16)</f>
        <v>0</v>
      </c>
      <c r="E15" s="31">
        <f t="shared" si="0"/>
        <v>0.2</v>
      </c>
      <c r="F15" s="31">
        <f t="shared" si="0"/>
        <v>1</v>
      </c>
      <c r="G15" s="31">
        <f t="shared" si="0"/>
        <v>1.4</v>
      </c>
      <c r="H15" s="31">
        <f t="shared" si="0"/>
        <v>2</v>
      </c>
      <c r="I15" s="32">
        <f t="shared" si="0"/>
        <v>2.5</v>
      </c>
      <c r="J15" s="654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SUBTOTAL(9,W16)</f>
        <v>1894882</v>
      </c>
      <c r="X15" s="194"/>
      <c r="Y15" s="170" t="str">
        <f t="shared" ref="Y15:Y27" si="1">IF(A29&gt;0, "제 " &amp;A29&amp; " 호표","")</f>
        <v/>
      </c>
      <c r="Z15" s="170"/>
    </row>
    <row r="16" spans="1:29" ht="18" customHeight="1">
      <c r="A16" s="279"/>
      <c r="B16" s="223" t="s">
        <v>2410</v>
      </c>
      <c r="C16" s="253"/>
      <c r="D16" s="20">
        <v>0</v>
      </c>
      <c r="E16" s="21">
        <v>0.2</v>
      </c>
      <c r="F16" s="21">
        <v>1</v>
      </c>
      <c r="G16" s="21">
        <v>1.4</v>
      </c>
      <c r="H16" s="21">
        <v>2</v>
      </c>
      <c r="I16" s="22">
        <v>2.5</v>
      </c>
      <c r="J16" s="653" t="s">
        <v>2419</v>
      </c>
      <c r="L16" s="232">
        <v>1</v>
      </c>
      <c r="N16" s="292" t="str">
        <f t="shared" ref="N16:N27" si="2">B16</f>
        <v>1.1. 기초자료 정비</v>
      </c>
      <c r="O16" s="169"/>
      <c r="P16" s="169"/>
      <c r="Q16" s="169"/>
      <c r="R16" s="169"/>
      <c r="S16" s="169"/>
      <c r="T16" s="169"/>
      <c r="U16" s="226"/>
      <c r="V16" s="248"/>
      <c r="W16" s="153">
        <f t="array" aca="1" ref="W16" ca="1">SUM((ROUNDDOWN((D30:I30)*단가,0)))</f>
        <v>1894882</v>
      </c>
      <c r="X16" s="194"/>
      <c r="Y16" s="170" t="str">
        <f t="shared" si="1"/>
        <v>제 1 호표</v>
      </c>
      <c r="Z16" s="170"/>
    </row>
    <row r="17" spans="1:26" ht="18" customHeight="1">
      <c r="A17" s="279"/>
      <c r="B17" s="393" t="s">
        <v>609</v>
      </c>
      <c r="C17" s="23"/>
      <c r="D17" s="30">
        <f t="shared" ref="D17:I17" si="3">SUBTOTAL(9,D18:D22)</f>
        <v>8</v>
      </c>
      <c r="E17" s="31">
        <f t="shared" si="3"/>
        <v>16.600000000000001</v>
      </c>
      <c r="F17" s="31">
        <f t="shared" si="3"/>
        <v>44</v>
      </c>
      <c r="G17" s="31">
        <f t="shared" si="3"/>
        <v>68</v>
      </c>
      <c r="H17" s="31">
        <f t="shared" si="3"/>
        <v>110</v>
      </c>
      <c r="I17" s="32">
        <f t="shared" si="3"/>
        <v>142</v>
      </c>
      <c r="J17" s="389"/>
      <c r="L17" s="232"/>
      <c r="N17" s="354" t="str">
        <f t="shared" si="2"/>
        <v>2. 적성평가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SUBTOTAL(9,W18:W22)</f>
        <v>138865639</v>
      </c>
      <c r="X17" s="194"/>
      <c r="Y17" s="170" t="str">
        <f t="shared" si="1"/>
        <v/>
      </c>
      <c r="Z17" s="170"/>
    </row>
    <row r="18" spans="1:26" ht="18" customHeight="1">
      <c r="A18" s="279"/>
      <c r="B18" s="223" t="s">
        <v>2411</v>
      </c>
      <c r="C18" s="253"/>
      <c r="D18" s="20">
        <v>1</v>
      </c>
      <c r="E18" s="21">
        <v>2</v>
      </c>
      <c r="F18" s="21">
        <v>6</v>
      </c>
      <c r="G18" s="21">
        <v>10</v>
      </c>
      <c r="H18" s="21">
        <v>14</v>
      </c>
      <c r="I18" s="22">
        <v>18</v>
      </c>
      <c r="J18" s="653" t="s">
        <v>1090</v>
      </c>
      <c r="L18" s="232">
        <v>1</v>
      </c>
      <c r="N18" s="292" t="str">
        <f t="shared" si="2"/>
        <v>2.1. 평가지표 선정</v>
      </c>
      <c r="O18" s="169"/>
      <c r="P18" s="169"/>
      <c r="Q18" s="169"/>
      <c r="R18" s="169"/>
      <c r="S18" s="169"/>
      <c r="T18" s="169"/>
      <c r="U18" s="226"/>
      <c r="V18" s="248"/>
      <c r="W18" s="153">
        <f t="array" aca="1" ref="W18" ca="1">SUM((ROUNDDOWN((D32:I32)*단가,0)))</f>
        <v>13828599</v>
      </c>
      <c r="X18" s="194"/>
      <c r="Y18" s="170" t="str">
        <f t="shared" si="1"/>
        <v>제 2 호표</v>
      </c>
      <c r="Z18" s="170"/>
    </row>
    <row r="19" spans="1:26" ht="18" customHeight="1">
      <c r="A19" s="279"/>
      <c r="B19" s="223" t="s">
        <v>2412</v>
      </c>
      <c r="C19" s="253"/>
      <c r="D19" s="20">
        <v>2</v>
      </c>
      <c r="E19" s="21">
        <v>4</v>
      </c>
      <c r="F19" s="21">
        <v>12</v>
      </c>
      <c r="G19" s="21">
        <v>20</v>
      </c>
      <c r="H19" s="21">
        <v>28</v>
      </c>
      <c r="I19" s="22">
        <v>36</v>
      </c>
      <c r="J19" s="653" t="s">
        <v>2420</v>
      </c>
      <c r="L19" s="232">
        <v>1</v>
      </c>
      <c r="N19" s="292" t="str">
        <f t="shared" si="2"/>
        <v>2.2. 평가기준 설정 및 점수산정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SUM((ROUNDDOWN((D33:I33)*단가,0)))</f>
        <v>37890358</v>
      </c>
      <c r="X19" s="194"/>
      <c r="Y19" s="170" t="str">
        <f t="shared" si="1"/>
        <v>제 3 호표</v>
      </c>
      <c r="Z19" s="170"/>
    </row>
    <row r="20" spans="1:26" ht="18" customHeight="1">
      <c r="A20" s="279"/>
      <c r="B20" s="223" t="s">
        <v>2413</v>
      </c>
      <c r="C20" s="253"/>
      <c r="D20" s="20">
        <v>2</v>
      </c>
      <c r="E20" s="21">
        <v>6</v>
      </c>
      <c r="F20" s="21">
        <v>16</v>
      </c>
      <c r="G20" s="21">
        <v>20</v>
      </c>
      <c r="H20" s="21">
        <v>40</v>
      </c>
      <c r="I20" s="22">
        <v>52</v>
      </c>
      <c r="J20" s="653" t="s">
        <v>1549</v>
      </c>
      <c r="L20" s="232">
        <v>1</v>
      </c>
      <c r="N20" s="292" t="str">
        <f t="shared" si="2"/>
        <v>2.3. 적성값 산정</v>
      </c>
      <c r="O20" s="169"/>
      <c r="P20" s="169"/>
      <c r="Q20" s="169"/>
      <c r="R20" s="169"/>
      <c r="S20" s="169"/>
      <c r="T20" s="169"/>
      <c r="U20" s="226"/>
      <c r="V20" s="248"/>
      <c r="W20" s="153">
        <f t="array" aca="1" ref="W20" ca="1">SUM((ROUNDDOWN((D34:I34)*단가,0)))</f>
        <v>49969843</v>
      </c>
      <c r="X20" s="194"/>
      <c r="Y20" s="170" t="str">
        <f t="shared" si="1"/>
        <v>제 4 호표</v>
      </c>
      <c r="Z20" s="170"/>
    </row>
    <row r="21" spans="1:26" ht="18" customHeight="1">
      <c r="A21" s="279"/>
      <c r="B21" s="223" t="s">
        <v>2414</v>
      </c>
      <c r="C21" s="253"/>
      <c r="D21" s="20">
        <v>2</v>
      </c>
      <c r="E21" s="21">
        <v>2.6</v>
      </c>
      <c r="F21" s="21">
        <v>4</v>
      </c>
      <c r="G21" s="21">
        <v>8</v>
      </c>
      <c r="H21" s="21">
        <v>14</v>
      </c>
      <c r="I21" s="22">
        <v>18</v>
      </c>
      <c r="J21" s="653" t="s">
        <v>1549</v>
      </c>
      <c r="L21" s="232">
        <v>1</v>
      </c>
      <c r="N21" s="292" t="str">
        <f t="shared" si="2"/>
        <v>2.4. 표준화값 산정 및 별도분류</v>
      </c>
      <c r="O21" s="169"/>
      <c r="P21" s="169"/>
      <c r="Q21" s="169"/>
      <c r="R21" s="169"/>
      <c r="S21" s="169"/>
      <c r="T21" s="169"/>
      <c r="U21" s="226"/>
      <c r="V21" s="248"/>
      <c r="W21" s="153">
        <f t="array" aca="1" ref="W21" ca="1">SUM((ROUNDDOWN((D35:I35)*단가,0)))</f>
        <v>18231661</v>
      </c>
      <c r="X21" s="194"/>
      <c r="Y21" s="170" t="str">
        <f t="shared" si="1"/>
        <v>제 5 호표</v>
      </c>
      <c r="Z21" s="170"/>
    </row>
    <row r="22" spans="1:26" ht="18" customHeight="1">
      <c r="A22" s="279"/>
      <c r="B22" s="223" t="s">
        <v>2415</v>
      </c>
      <c r="C22" s="253"/>
      <c r="D22" s="20">
        <v>1</v>
      </c>
      <c r="E22" s="21">
        <v>2</v>
      </c>
      <c r="F22" s="21">
        <v>6</v>
      </c>
      <c r="G22" s="21">
        <v>10</v>
      </c>
      <c r="H22" s="21">
        <v>14</v>
      </c>
      <c r="I22" s="22">
        <v>18</v>
      </c>
      <c r="J22" s="389" t="s">
        <v>1549</v>
      </c>
      <c r="L22" s="232">
        <v>1</v>
      </c>
      <c r="N22" s="292" t="str">
        <f t="shared" si="2"/>
        <v>2.5. 적성등급 적용기준 검토 지원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SUM((ROUNDDOWN((D36:I36)*단가,0)))</f>
        <v>18945178</v>
      </c>
      <c r="X22" s="194"/>
      <c r="Y22" s="170" t="str">
        <f t="shared" si="1"/>
        <v>제 6 호표</v>
      </c>
      <c r="Z22" s="170"/>
    </row>
    <row r="23" spans="1:26" ht="18" customHeight="1">
      <c r="A23" s="279"/>
      <c r="B23" s="393" t="s">
        <v>610</v>
      </c>
      <c r="C23" s="23"/>
      <c r="D23" s="30">
        <f t="shared" ref="D23:I23" si="4">SUBTOTAL(9,D24)</f>
        <v>1</v>
      </c>
      <c r="E23" s="31">
        <f t="shared" si="4"/>
        <v>2.6</v>
      </c>
      <c r="F23" s="31">
        <f t="shared" si="4"/>
        <v>5.2</v>
      </c>
      <c r="G23" s="31">
        <f t="shared" si="4"/>
        <v>8</v>
      </c>
      <c r="H23" s="31">
        <f t="shared" si="4"/>
        <v>17</v>
      </c>
      <c r="I23" s="32">
        <f t="shared" si="4"/>
        <v>18</v>
      </c>
      <c r="J23" s="389"/>
      <c r="L23" s="232"/>
      <c r="N23" s="354" t="str">
        <f t="shared" si="2"/>
        <v>3. 성과품 작성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SUBTOTAL(9,W24)</f>
        <v>19070404</v>
      </c>
      <c r="X23" s="194"/>
      <c r="Y23" s="170" t="str">
        <f t="shared" si="1"/>
        <v/>
      </c>
      <c r="Z23" s="170"/>
    </row>
    <row r="24" spans="1:26" ht="18" customHeight="1">
      <c r="A24" s="279"/>
      <c r="B24" s="223" t="s">
        <v>2416</v>
      </c>
      <c r="C24" s="23"/>
      <c r="D24" s="20">
        <v>1</v>
      </c>
      <c r="E24" s="21">
        <v>2.6</v>
      </c>
      <c r="F24" s="21">
        <v>5.2</v>
      </c>
      <c r="G24" s="21">
        <v>8</v>
      </c>
      <c r="H24" s="21">
        <v>17</v>
      </c>
      <c r="I24" s="22">
        <v>18</v>
      </c>
      <c r="J24" s="389" t="s">
        <v>1549</v>
      </c>
      <c r="L24" s="232">
        <v>1</v>
      </c>
      <c r="N24" s="292" t="str">
        <f t="shared" si="2"/>
        <v>3.1. 평가보고서 작성</v>
      </c>
      <c r="O24" s="169"/>
      <c r="P24" s="169"/>
      <c r="Q24" s="169"/>
      <c r="R24" s="169"/>
      <c r="S24" s="169"/>
      <c r="T24" s="169"/>
      <c r="U24" s="226"/>
      <c r="V24" s="248"/>
      <c r="W24" s="153">
        <f t="array" aca="1" ref="W24" ca="1">SUM((ROUNDDOWN((D38:I38)*단가,0)))</f>
        <v>19070404</v>
      </c>
      <c r="X24" s="194"/>
      <c r="Y24" s="170" t="str">
        <f t="shared" si="1"/>
        <v>제 7 호표</v>
      </c>
      <c r="Z24" s="170"/>
    </row>
    <row r="25" spans="1:26" ht="18" customHeight="1">
      <c r="A25" s="279"/>
      <c r="B25" s="222" t="s">
        <v>611</v>
      </c>
      <c r="C25" s="47"/>
      <c r="D25" s="48">
        <f t="shared" ref="D25:I25" si="5">SUBTOTAL(9,D26:D27)</f>
        <v>4</v>
      </c>
      <c r="E25" s="49">
        <f t="shared" si="5"/>
        <v>4</v>
      </c>
      <c r="F25" s="49">
        <f t="shared" si="5"/>
        <v>4</v>
      </c>
      <c r="G25" s="49">
        <f t="shared" si="5"/>
        <v>8</v>
      </c>
      <c r="H25" s="49">
        <f t="shared" si="5"/>
        <v>8</v>
      </c>
      <c r="I25" s="50">
        <f t="shared" si="5"/>
        <v>8</v>
      </c>
      <c r="J25" s="389"/>
      <c r="L25" s="232"/>
      <c r="N25" s="354" t="str">
        <f t="shared" si="2"/>
        <v>4. 기술협의</v>
      </c>
      <c r="O25" s="169"/>
      <c r="P25" s="169"/>
      <c r="Q25" s="169"/>
      <c r="R25" s="169"/>
      <c r="S25" s="169"/>
      <c r="T25" s="169"/>
      <c r="U25" s="226"/>
      <c r="V25" s="248"/>
      <c r="W25" s="193">
        <f ca="1">SUBTOTAL(9,W26:W27)</f>
        <v>10851288</v>
      </c>
      <c r="X25" s="194"/>
      <c r="Y25" s="170" t="str">
        <f t="shared" si="1"/>
        <v/>
      </c>
      <c r="Z25" s="170"/>
    </row>
    <row r="26" spans="1:26" ht="18" customHeight="1">
      <c r="A26" s="279"/>
      <c r="B26" s="223" t="s">
        <v>2417</v>
      </c>
      <c r="C26" s="23"/>
      <c r="D26" s="197">
        <v>2</v>
      </c>
      <c r="E26" s="198">
        <v>2</v>
      </c>
      <c r="F26" s="198">
        <v>2</v>
      </c>
      <c r="G26" s="198">
        <v>4</v>
      </c>
      <c r="H26" s="198">
        <v>4</v>
      </c>
      <c r="I26" s="199">
        <v>4</v>
      </c>
      <c r="J26" s="389" t="s">
        <v>2422</v>
      </c>
      <c r="L26" s="233">
        <v>1</v>
      </c>
      <c r="N26" s="292" t="str">
        <f t="shared" si="2"/>
        <v>4.1. 위원회심의 및 자문 지원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SUM((ROUNDDOWN((D40:I40)*단가,0)))</f>
        <v>5425644</v>
      </c>
      <c r="X26" s="154"/>
      <c r="Y26" s="170" t="str">
        <f t="shared" si="1"/>
        <v>제 8 호표</v>
      </c>
      <c r="Z26" s="150"/>
    </row>
    <row r="27" spans="1:26" ht="18" customHeight="1" thickBot="1">
      <c r="A27" s="279"/>
      <c r="B27" s="259" t="s">
        <v>2418</v>
      </c>
      <c r="C27" s="43"/>
      <c r="D27" s="206">
        <v>2</v>
      </c>
      <c r="E27" s="207">
        <v>2</v>
      </c>
      <c r="F27" s="207">
        <v>2</v>
      </c>
      <c r="G27" s="207">
        <v>4</v>
      </c>
      <c r="H27" s="207">
        <v>4</v>
      </c>
      <c r="I27" s="208">
        <v>4</v>
      </c>
      <c r="J27" s="612" t="s">
        <v>1094</v>
      </c>
      <c r="L27" s="233">
        <v>1</v>
      </c>
      <c r="N27" s="292" t="str">
        <f t="shared" si="2"/>
        <v>4.2. 관계기관협의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SUM((ROUNDDOWN((D41:I41)*단가,0)))</f>
        <v>5425644</v>
      </c>
      <c r="X27" s="154"/>
      <c r="Y27" s="170" t="str">
        <f t="shared" si="1"/>
        <v>제 9 호표</v>
      </c>
      <c r="Z27" s="150"/>
    </row>
    <row r="28" spans="1:26" ht="18" customHeight="1" thickBot="1">
      <c r="A28" s="279"/>
      <c r="B28" s="249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8"/>
      <c r="P28" s="371"/>
      <c r="R28" s="357"/>
      <c r="S28" s="1"/>
      <c r="T28" s="1"/>
      <c r="U28" s="258"/>
      <c r="V28" s="372"/>
      <c r="W28" s="373"/>
      <c r="X28" s="374"/>
      <c r="Y28" s="170" t="str">
        <f>IF(A54&gt;0, "제 " &amp;A54&amp; " 호표","")</f>
        <v/>
      </c>
    </row>
    <row r="29" spans="1:26" ht="18" customHeight="1">
      <c r="A29" s="278"/>
      <c r="B29" s="225" t="s">
        <v>2432</v>
      </c>
      <c r="C29" s="253"/>
      <c r="D29" s="30">
        <f t="shared" ref="D29:I29" si="6">SUBTOTAL(9,D30:D30)</f>
        <v>0</v>
      </c>
      <c r="E29" s="31">
        <f t="shared" si="6"/>
        <v>0.2</v>
      </c>
      <c r="F29" s="31">
        <f t="shared" si="6"/>
        <v>1</v>
      </c>
      <c r="G29" s="31">
        <f t="shared" si="6"/>
        <v>1.4</v>
      </c>
      <c r="H29" s="31">
        <f t="shared" si="6"/>
        <v>2</v>
      </c>
      <c r="I29" s="32">
        <f t="shared" si="6"/>
        <v>2.5</v>
      </c>
      <c r="J29" s="302"/>
      <c r="N29" s="290" t="s">
        <v>10</v>
      </c>
      <c r="O29" s="129"/>
      <c r="P29" s="130"/>
      <c r="Q29" s="124"/>
      <c r="R29" s="131"/>
      <c r="S29" s="124"/>
      <c r="T29" s="124"/>
      <c r="U29" s="181"/>
      <c r="V29" s="181"/>
      <c r="W29" s="159">
        <f>SUBTOTAL(9,W30:W32)</f>
        <v>8000000</v>
      </c>
      <c r="X29" s="160"/>
      <c r="Y29" s="124"/>
      <c r="Z29" s="124"/>
    </row>
    <row r="30" spans="1:26" ht="18" customHeight="1">
      <c r="A30" s="278">
        <v>1</v>
      </c>
      <c r="B30" s="223" t="s">
        <v>2410</v>
      </c>
      <c r="C30" s="253"/>
      <c r="D30" s="20">
        <f t="array" ref="D30:I30">ROUNDDOWN(D16:I16*L16*$D$5,3)</f>
        <v>0</v>
      </c>
      <c r="E30" s="21">
        <v>0.2</v>
      </c>
      <c r="F30" s="21">
        <v>1</v>
      </c>
      <c r="G30" s="21">
        <v>1.4</v>
      </c>
      <c r="H30" s="21">
        <v>2</v>
      </c>
      <c r="I30" s="22">
        <v>2.5</v>
      </c>
      <c r="J30" s="302"/>
      <c r="N30" s="128" t="str">
        <f>"여비("&amp;TEXT(R30,"#인 ×")&amp;TEXT(S30,"#일 ×")&amp;TEXT(T30,"###,###원)")</f>
        <v>여비(3인 ×10일 ×100,000원)</v>
      </c>
      <c r="O30" s="78"/>
      <c r="P30" s="52"/>
      <c r="Q30" s="51"/>
      <c r="R30" s="146">
        <v>3</v>
      </c>
      <c r="S30" s="146">
        <v>10</v>
      </c>
      <c r="T30" s="147">
        <v>100000</v>
      </c>
      <c r="U30" s="182"/>
      <c r="V30" s="182"/>
      <c r="W30" s="161">
        <f>R30*S30*T30</f>
        <v>3000000</v>
      </c>
      <c r="X30" s="162"/>
      <c r="Y30" s="51"/>
      <c r="Z30" s="51"/>
    </row>
    <row r="31" spans="1:26" ht="18" customHeight="1">
      <c r="A31" s="278"/>
      <c r="B31" s="393" t="s">
        <v>609</v>
      </c>
      <c r="C31" s="23"/>
      <c r="D31" s="30">
        <f t="shared" ref="D31:I31" si="7">SUBTOTAL(9,D32:D36)</f>
        <v>10.59</v>
      </c>
      <c r="E31" s="31">
        <f t="shared" si="7"/>
        <v>22.002000000000002</v>
      </c>
      <c r="F31" s="31">
        <f t="shared" si="7"/>
        <v>58.06</v>
      </c>
      <c r="G31" s="31">
        <f t="shared" si="7"/>
        <v>89.46</v>
      </c>
      <c r="H31" s="31">
        <f t="shared" si="7"/>
        <v>145.52000000000001</v>
      </c>
      <c r="I31" s="32">
        <f t="shared" si="7"/>
        <v>187.88</v>
      </c>
      <c r="J31" s="74"/>
      <c r="N31" s="79" t="s">
        <v>46</v>
      </c>
      <c r="O31" s="79"/>
      <c r="P31" s="39"/>
      <c r="Q31" s="37"/>
      <c r="R31" s="117"/>
      <c r="S31" s="37"/>
      <c r="T31" s="37"/>
      <c r="U31" s="180"/>
      <c r="V31" s="180"/>
      <c r="W31" s="157">
        <v>3000000</v>
      </c>
      <c r="X31" s="158"/>
      <c r="Y31" s="37"/>
      <c r="Z31" s="37"/>
    </row>
    <row r="32" spans="1:26" ht="18" customHeight="1">
      <c r="A32" s="278">
        <v>2</v>
      </c>
      <c r="B32" s="223" t="s">
        <v>2411</v>
      </c>
      <c r="C32" s="253"/>
      <c r="D32" s="20">
        <f t="array" ref="D32:I32">ROUNDDOWN(D18:I18*L18*$D$5,3)</f>
        <v>1</v>
      </c>
      <c r="E32" s="21">
        <v>2</v>
      </c>
      <c r="F32" s="21">
        <v>6</v>
      </c>
      <c r="G32" s="21">
        <v>10</v>
      </c>
      <c r="H32" s="21">
        <v>14</v>
      </c>
      <c r="I32" s="22">
        <v>18</v>
      </c>
      <c r="J32" s="302"/>
      <c r="N32" s="132" t="s">
        <v>13</v>
      </c>
      <c r="O32" s="132"/>
      <c r="P32" s="38"/>
      <c r="Q32" s="38"/>
      <c r="R32" s="116"/>
      <c r="S32" s="38"/>
      <c r="T32" s="38"/>
      <c r="U32" s="183"/>
      <c r="V32" s="183"/>
      <c r="W32" s="155">
        <v>2000000</v>
      </c>
      <c r="X32" s="156"/>
      <c r="Y32" s="38"/>
      <c r="Z32" s="38"/>
    </row>
    <row r="33" spans="1:26" ht="18" customHeight="1">
      <c r="A33" s="278">
        <v>3</v>
      </c>
      <c r="B33" s="223" t="s">
        <v>2412</v>
      </c>
      <c r="C33" s="253"/>
      <c r="D33" s="20">
        <f t="array" ref="D33:I36">ROUNDDOWN(D19:I22*L19:L22*$D$5*D6,3)</f>
        <v>2.74</v>
      </c>
      <c r="E33" s="21">
        <v>5.48</v>
      </c>
      <c r="F33" s="21">
        <v>16.440000000000001</v>
      </c>
      <c r="G33" s="21">
        <v>27.4</v>
      </c>
      <c r="H33" s="21">
        <v>38.36</v>
      </c>
      <c r="I33" s="22">
        <v>49.32</v>
      </c>
      <c r="J33" s="302"/>
      <c r="N33" s="127" t="s">
        <v>47</v>
      </c>
      <c r="O33" s="123"/>
      <c r="P33" s="123"/>
      <c r="Q33" s="123"/>
      <c r="R33" s="123"/>
      <c r="S33" s="123"/>
      <c r="T33" s="123"/>
      <c r="U33" s="184"/>
      <c r="V33" s="184"/>
      <c r="W33" s="163">
        <f ca="1">SUBTOTAL(9,W34:W35)</f>
        <v>306374571</v>
      </c>
      <c r="X33" s="164"/>
      <c r="Y33" s="123"/>
      <c r="Z33" s="123"/>
    </row>
    <row r="34" spans="1:26" ht="18" customHeight="1">
      <c r="A34" s="278">
        <v>4</v>
      </c>
      <c r="B34" s="223" t="s">
        <v>2413</v>
      </c>
      <c r="C34" s="253"/>
      <c r="D34" s="20">
        <v>2.74</v>
      </c>
      <c r="E34" s="21">
        <v>8.2200000000000006</v>
      </c>
      <c r="F34" s="21">
        <v>21.92</v>
      </c>
      <c r="G34" s="21">
        <v>27.4</v>
      </c>
      <c r="H34" s="21">
        <v>54.8</v>
      </c>
      <c r="I34" s="22">
        <v>71.239999999999995</v>
      </c>
      <c r="J34" s="302"/>
      <c r="N34" s="133" t="s">
        <v>861</v>
      </c>
      <c r="O34" s="124"/>
      <c r="P34" s="134"/>
      <c r="Q34" s="124"/>
      <c r="R34" s="131"/>
      <c r="S34" s="124"/>
      <c r="T34" s="181"/>
      <c r="U34" s="181"/>
      <c r="V34" s="190">
        <v>1.1499999999999999</v>
      </c>
      <c r="W34" s="159">
        <f ca="1">ROUNDDOWN(W14*V34,0)</f>
        <v>196284544</v>
      </c>
      <c r="X34" s="160"/>
      <c r="Y34" s="124"/>
      <c r="Z34" s="124"/>
    </row>
    <row r="35" spans="1:26" ht="18" customHeight="1" thickBot="1">
      <c r="A35" s="278">
        <v>5</v>
      </c>
      <c r="B35" s="223" t="s">
        <v>2414</v>
      </c>
      <c r="C35" s="253"/>
      <c r="D35" s="20">
        <v>2.74</v>
      </c>
      <c r="E35" s="21">
        <v>3.5619999999999998</v>
      </c>
      <c r="F35" s="21">
        <v>5.48</v>
      </c>
      <c r="G35" s="21">
        <v>10.96</v>
      </c>
      <c r="H35" s="21">
        <v>19.18</v>
      </c>
      <c r="I35" s="22">
        <v>24.66</v>
      </c>
      <c r="J35" s="302"/>
      <c r="N35" s="135" t="s">
        <v>862</v>
      </c>
      <c r="O35" s="136"/>
      <c r="P35" s="137"/>
      <c r="Q35" s="136"/>
      <c r="R35" s="138"/>
      <c r="S35" s="136"/>
      <c r="T35" s="185"/>
      <c r="U35" s="185"/>
      <c r="V35" s="191">
        <v>0.3</v>
      </c>
      <c r="W35" s="165">
        <f ca="1">ROUNDDOWN((W14+W34)*V35,0)</f>
        <v>110090027</v>
      </c>
      <c r="X35" s="166"/>
      <c r="Y35" s="136"/>
      <c r="Z35" s="136"/>
    </row>
    <row r="36" spans="1:26" ht="18" customHeight="1">
      <c r="A36" s="278">
        <v>6</v>
      </c>
      <c r="B36" s="223" t="s">
        <v>2415</v>
      </c>
      <c r="C36" s="253"/>
      <c r="D36" s="20">
        <v>1.37</v>
      </c>
      <c r="E36" s="21">
        <v>2.74</v>
      </c>
      <c r="F36" s="21">
        <v>8.2200000000000006</v>
      </c>
      <c r="G36" s="21">
        <v>13.7</v>
      </c>
      <c r="H36" s="21">
        <v>19.18</v>
      </c>
      <c r="I36" s="22">
        <v>24.66</v>
      </c>
      <c r="J36" s="74"/>
    </row>
    <row r="37" spans="1:26" ht="18" customHeight="1">
      <c r="A37" s="278"/>
      <c r="B37" s="393" t="s">
        <v>351</v>
      </c>
      <c r="C37" s="23"/>
      <c r="D37" s="30">
        <f t="shared" ref="D37:I37" si="8">SUBTOTAL(9,D38)</f>
        <v>1.37</v>
      </c>
      <c r="E37" s="31">
        <f t="shared" si="8"/>
        <v>3.5619999999999998</v>
      </c>
      <c r="F37" s="31">
        <f t="shared" si="8"/>
        <v>7.1239999999999997</v>
      </c>
      <c r="G37" s="31">
        <f t="shared" si="8"/>
        <v>10.96</v>
      </c>
      <c r="H37" s="31">
        <f t="shared" si="8"/>
        <v>23.29</v>
      </c>
      <c r="I37" s="32">
        <f t="shared" si="8"/>
        <v>24.66</v>
      </c>
      <c r="J37" s="74"/>
      <c r="K37" s="171" t="s">
        <v>14</v>
      </c>
    </row>
    <row r="38" spans="1:26" ht="18" customHeight="1">
      <c r="A38" s="278">
        <v>7</v>
      </c>
      <c r="B38" s="223" t="s">
        <v>2416</v>
      </c>
      <c r="C38" s="23"/>
      <c r="D38" s="20">
        <f t="array" ref="D38:I38">ROUNDDOWN(D24:I24*L24*$D$5*$D$6,3)</f>
        <v>1.37</v>
      </c>
      <c r="E38" s="21">
        <v>3.5619999999999998</v>
      </c>
      <c r="F38" s="21">
        <v>7.1239999999999997</v>
      </c>
      <c r="G38" s="21">
        <v>10.96</v>
      </c>
      <c r="H38" s="21">
        <v>23.29</v>
      </c>
      <c r="I38" s="22">
        <v>24.66</v>
      </c>
      <c r="J38" s="74"/>
      <c r="K38" s="171" t="s">
        <v>14</v>
      </c>
    </row>
    <row r="39" spans="1:26" ht="18" customHeight="1">
      <c r="A39" s="278"/>
      <c r="B39" s="222" t="s">
        <v>269</v>
      </c>
      <c r="C39" s="47"/>
      <c r="D39" s="48">
        <f t="shared" ref="D39:I39" si="9">SUBTOTAL(9,D40:D41)</f>
        <v>4</v>
      </c>
      <c r="E39" s="49">
        <f t="shared" si="9"/>
        <v>4</v>
      </c>
      <c r="F39" s="49">
        <f t="shared" si="9"/>
        <v>4</v>
      </c>
      <c r="G39" s="49">
        <f t="shared" si="9"/>
        <v>8</v>
      </c>
      <c r="H39" s="49">
        <f t="shared" si="9"/>
        <v>8</v>
      </c>
      <c r="I39" s="50">
        <f t="shared" si="9"/>
        <v>8</v>
      </c>
      <c r="J39" s="74"/>
      <c r="K39" s="171" t="s">
        <v>14</v>
      </c>
      <c r="L39" s="171"/>
    </row>
    <row r="40" spans="1:26" ht="18" customHeight="1">
      <c r="A40" s="278">
        <v>8</v>
      </c>
      <c r="B40" s="223" t="s">
        <v>2417</v>
      </c>
      <c r="C40" s="23"/>
      <c r="D40" s="197">
        <f t="array" ref="D40:I41">ROUNDDOWN(D26:I27*L26:L27,3)</f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74"/>
      <c r="K40" s="171"/>
      <c r="L40" s="171"/>
    </row>
    <row r="41" spans="1:26" ht="18" customHeight="1" thickBot="1">
      <c r="A41" s="278">
        <v>9</v>
      </c>
      <c r="B41" s="388" t="s">
        <v>2418</v>
      </c>
      <c r="C41" s="342"/>
      <c r="D41" s="343">
        <v>2</v>
      </c>
      <c r="E41" s="344">
        <v>2</v>
      </c>
      <c r="F41" s="344">
        <v>2</v>
      </c>
      <c r="G41" s="344">
        <v>4</v>
      </c>
      <c r="H41" s="344">
        <v>4</v>
      </c>
      <c r="I41" s="345">
        <v>4</v>
      </c>
      <c r="J41" s="176"/>
      <c r="K41" s="171" t="s">
        <v>14</v>
      </c>
      <c r="L41" s="171"/>
      <c r="R41" s="1"/>
      <c r="S41" s="1"/>
      <c r="T41" s="1"/>
      <c r="U41" s="1"/>
      <c r="V41" s="1"/>
      <c r="W41" s="1"/>
      <c r="X41" s="1"/>
      <c r="Y41" s="1"/>
    </row>
    <row r="42" spans="1:26" ht="18" customHeight="1">
      <c r="A42" s="278"/>
      <c r="B42" s="80" t="s">
        <v>15</v>
      </c>
      <c r="C42" s="1" t="s">
        <v>2428</v>
      </c>
      <c r="E42" s="8"/>
      <c r="F42" s="8"/>
      <c r="G42" s="8"/>
      <c r="H42" s="8"/>
      <c r="I42" s="8"/>
      <c r="J42" s="10"/>
      <c r="K42" s="171" t="s">
        <v>14</v>
      </c>
      <c r="L42" s="171"/>
      <c r="R42" s="1"/>
      <c r="S42" s="1"/>
      <c r="T42" s="1"/>
      <c r="U42" s="1"/>
      <c r="V42" s="1"/>
      <c r="W42" s="1"/>
      <c r="X42" s="1"/>
      <c r="Y42" s="1"/>
    </row>
    <row r="43" spans="1:26" ht="18" customHeight="1">
      <c r="A43" s="278"/>
      <c r="B43" s="80"/>
      <c r="C43" s="9" t="s">
        <v>2429</v>
      </c>
      <c r="J43" s="8"/>
      <c r="K43" s="171" t="s">
        <v>14</v>
      </c>
      <c r="L43" s="171"/>
      <c r="R43" s="1"/>
      <c r="S43" s="1"/>
      <c r="T43" s="1"/>
      <c r="U43" s="1"/>
      <c r="V43" s="1"/>
      <c r="W43" s="1"/>
      <c r="X43" s="1"/>
      <c r="Y43" s="1"/>
    </row>
    <row r="44" spans="1:26" ht="18" customHeight="1" thickBot="1">
      <c r="A44" s="278"/>
      <c r="C44" s="1" t="s">
        <v>2430</v>
      </c>
      <c r="J44" s="8"/>
      <c r="K44" s="171" t="s">
        <v>14</v>
      </c>
      <c r="L44" s="171"/>
      <c r="N44" s="66" t="s">
        <v>18</v>
      </c>
      <c r="O44" s="2"/>
      <c r="P44" s="2"/>
      <c r="Q44" s="2"/>
      <c r="R44" s="3"/>
      <c r="S44" s="4"/>
      <c r="T44" s="3"/>
      <c r="U44" s="4"/>
      <c r="V44" s="3"/>
      <c r="W44" s="4"/>
      <c r="X44" s="3"/>
      <c r="Y44" s="4"/>
      <c r="Z44" s="2"/>
    </row>
    <row r="45" spans="1:26" ht="18" customHeight="1">
      <c r="A45" s="278"/>
      <c r="C45" s="9" t="s">
        <v>2431</v>
      </c>
      <c r="J45" s="8"/>
      <c r="K45" s="171" t="s">
        <v>14</v>
      </c>
      <c r="L45" s="171"/>
      <c r="N45" s="765" t="s">
        <v>19</v>
      </c>
      <c r="O45" s="755" t="s">
        <v>20</v>
      </c>
      <c r="P45" s="755" t="s">
        <v>21</v>
      </c>
      <c r="Q45" s="755" t="s">
        <v>16</v>
      </c>
      <c r="R45" s="5" t="s">
        <v>22</v>
      </c>
      <c r="S45" s="5"/>
      <c r="T45" s="5" t="s">
        <v>23</v>
      </c>
      <c r="U45" s="5"/>
      <c r="V45" s="5" t="s">
        <v>24</v>
      </c>
      <c r="W45" s="5"/>
      <c r="X45" s="5" t="s">
        <v>25</v>
      </c>
      <c r="Y45" s="5"/>
      <c r="Z45" s="755" t="s">
        <v>26</v>
      </c>
    </row>
    <row r="46" spans="1:26" ht="18" customHeight="1" thickBot="1">
      <c r="A46" s="278"/>
      <c r="K46" s="171" t="s">
        <v>14</v>
      </c>
      <c r="L46" s="171"/>
      <c r="N46" s="766"/>
      <c r="O46" s="756"/>
      <c r="P46" s="756"/>
      <c r="Q46" s="756"/>
      <c r="R46" s="67" t="s">
        <v>27</v>
      </c>
      <c r="S46" s="67" t="s">
        <v>28</v>
      </c>
      <c r="T46" s="67" t="s">
        <v>27</v>
      </c>
      <c r="U46" s="67" t="s">
        <v>28</v>
      </c>
      <c r="V46" s="67" t="s">
        <v>27</v>
      </c>
      <c r="W46" s="67" t="s">
        <v>28</v>
      </c>
      <c r="X46" s="67" t="s">
        <v>27</v>
      </c>
      <c r="Y46" s="67" t="s">
        <v>28</v>
      </c>
      <c r="Z46" s="756"/>
    </row>
    <row r="47" spans="1:26" ht="18" customHeight="1" thickTop="1">
      <c r="A47" s="278"/>
      <c r="C47" s="9"/>
      <c r="K47" s="171" t="s">
        <v>14</v>
      </c>
      <c r="L47" s="171"/>
      <c r="N47" s="318" t="str">
        <f ca="1">"제 " &amp; Z47 &amp; " 호표  "&amp; OFFSET($A$1,MATCH(Z47,$A:$A,0)-1,1)</f>
        <v>제 1 호표  1.1. 기초자료 정비</v>
      </c>
      <c r="O47" s="221"/>
      <c r="P47" s="148"/>
      <c r="Q47" s="148"/>
      <c r="R47" s="149"/>
      <c r="S47" s="149"/>
      <c r="T47" s="149"/>
      <c r="U47" s="149"/>
      <c r="V47" s="149"/>
      <c r="W47" s="149"/>
      <c r="X47" s="149"/>
      <c r="Y47" s="149"/>
      <c r="Z47" s="325">
        <v>1</v>
      </c>
    </row>
    <row r="48" spans="1:26" ht="18" customHeight="1">
      <c r="A48" s="278"/>
      <c r="C48" s="9"/>
      <c r="K48" s="171" t="s">
        <v>14</v>
      </c>
      <c r="L48" s="171"/>
      <c r="N48" s="140" t="s">
        <v>43</v>
      </c>
      <c r="O48" s="172">
        <v>3</v>
      </c>
      <c r="P48" s="219">
        <f ca="1">OFFSET($A$1,MATCH(Z47,$A:$A,0)-1,O48)</f>
        <v>0</v>
      </c>
      <c r="Q48" s="141" t="s">
        <v>29</v>
      </c>
      <c r="R48" s="142">
        <f t="shared" ref="R48:S53" ca="1" si="10">T48</f>
        <v>467217</v>
      </c>
      <c r="S48" s="142">
        <f t="shared" ca="1" si="10"/>
        <v>0</v>
      </c>
      <c r="T48" s="142">
        <f ca="1">기술사</f>
        <v>467217</v>
      </c>
      <c r="U48" s="142">
        <f t="shared" ref="U48:U53" ca="1" si="11">ROUNDDOWN(P48*R48,0)</f>
        <v>0</v>
      </c>
      <c r="V48" s="142"/>
      <c r="W48" s="142"/>
      <c r="X48" s="142"/>
      <c r="Y48" s="142"/>
      <c r="Z48" s="114"/>
    </row>
    <row r="49" spans="1:26" ht="18" customHeight="1">
      <c r="A49" s="278"/>
      <c r="C49" s="9"/>
      <c r="K49" s="171" t="s">
        <v>14</v>
      </c>
      <c r="L49" s="171"/>
      <c r="N49" s="143" t="s">
        <v>32</v>
      </c>
      <c r="O49" s="173">
        <v>4</v>
      </c>
      <c r="P49" s="234">
        <f ca="1">OFFSET($A$1,MATCH(Z47,$A:$A,0)-1,O49)</f>
        <v>0.2</v>
      </c>
      <c r="Q49" s="144" t="s">
        <v>29</v>
      </c>
      <c r="R49" s="118">
        <f t="shared" ca="1" si="10"/>
        <v>373353</v>
      </c>
      <c r="S49" s="118">
        <f t="shared" ca="1" si="10"/>
        <v>74670</v>
      </c>
      <c r="T49" s="118">
        <f ca="1">특급</f>
        <v>373353</v>
      </c>
      <c r="U49" s="118">
        <f t="shared" ca="1" si="11"/>
        <v>74670</v>
      </c>
      <c r="V49" s="118"/>
      <c r="W49" s="118"/>
      <c r="X49" s="118"/>
      <c r="Y49" s="118"/>
      <c r="Z49" s="115"/>
    </row>
    <row r="50" spans="1:26" ht="18" customHeight="1">
      <c r="A50" s="278"/>
      <c r="K50" s="171" t="s">
        <v>14</v>
      </c>
      <c r="L50" s="171"/>
      <c r="N50" s="145" t="s">
        <v>39</v>
      </c>
      <c r="O50" s="173">
        <v>5</v>
      </c>
      <c r="P50" s="234">
        <f ca="1">OFFSET($A$1,MATCH(Z47,$A:$A,0)-1,O50)</f>
        <v>1</v>
      </c>
      <c r="Q50" s="144" t="s">
        <v>29</v>
      </c>
      <c r="R50" s="118">
        <f t="shared" ca="1" si="10"/>
        <v>310884</v>
      </c>
      <c r="S50" s="118">
        <f t="shared" ca="1" si="10"/>
        <v>310884</v>
      </c>
      <c r="T50" s="118">
        <f ca="1">고급</f>
        <v>310884</v>
      </c>
      <c r="U50" s="118">
        <f t="shared" ca="1" si="11"/>
        <v>310884</v>
      </c>
      <c r="V50" s="118"/>
      <c r="W50" s="118"/>
      <c r="X50" s="118"/>
      <c r="Y50" s="118"/>
      <c r="Z50" s="115"/>
    </row>
    <row r="51" spans="1:26" ht="18" customHeight="1">
      <c r="A51" s="278"/>
      <c r="B51" s="9"/>
      <c r="C51" s="9"/>
      <c r="K51" s="171" t="s">
        <v>14</v>
      </c>
      <c r="L51" s="171"/>
      <c r="N51" s="145" t="s">
        <v>40</v>
      </c>
      <c r="O51" s="173">
        <v>6</v>
      </c>
      <c r="P51" s="234">
        <f ca="1">OFFSET($A$1,MATCH(Z47,$A:$A,0)-1,O51)</f>
        <v>1.4</v>
      </c>
      <c r="Q51" s="144" t="s">
        <v>29</v>
      </c>
      <c r="R51" s="118">
        <f t="shared" ca="1" si="10"/>
        <v>295138</v>
      </c>
      <c r="S51" s="118">
        <f t="shared" ca="1" si="10"/>
        <v>413193</v>
      </c>
      <c r="T51" s="118">
        <f ca="1">중급</f>
        <v>295138</v>
      </c>
      <c r="U51" s="118">
        <f t="shared" ca="1" si="11"/>
        <v>413193</v>
      </c>
      <c r="V51" s="118"/>
      <c r="W51" s="118"/>
      <c r="X51" s="118"/>
      <c r="Y51" s="118"/>
      <c r="Z51" s="115"/>
    </row>
    <row r="52" spans="1:26" ht="18" customHeight="1">
      <c r="A52" s="278"/>
      <c r="B52" s="9"/>
      <c r="K52" s="171" t="s">
        <v>14</v>
      </c>
      <c r="L52" s="171"/>
      <c r="N52" s="145" t="s">
        <v>41</v>
      </c>
      <c r="O52" s="173">
        <v>7</v>
      </c>
      <c r="P52" s="234">
        <f ca="1">OFFSET($A$1,MATCH(Z47,$A:$A,0)-1,O52)</f>
        <v>2</v>
      </c>
      <c r="Q52" s="144" t="s">
        <v>29</v>
      </c>
      <c r="R52" s="118">
        <f t="shared" ca="1" si="10"/>
        <v>235459</v>
      </c>
      <c r="S52" s="118">
        <f t="shared" ca="1" si="10"/>
        <v>470918</v>
      </c>
      <c r="T52" s="118">
        <f ca="1">초급</f>
        <v>235459</v>
      </c>
      <c r="U52" s="118">
        <f t="shared" ca="1" si="11"/>
        <v>470918</v>
      </c>
      <c r="V52" s="118"/>
      <c r="W52" s="118"/>
      <c r="X52" s="118"/>
      <c r="Y52" s="118"/>
      <c r="Z52" s="115"/>
    </row>
    <row r="53" spans="1:26" ht="18" customHeight="1">
      <c r="A53" s="278"/>
      <c r="B53" s="9"/>
      <c r="K53" s="171" t="s">
        <v>14</v>
      </c>
      <c r="L53" s="171"/>
      <c r="N53" s="319" t="s">
        <v>42</v>
      </c>
      <c r="O53" s="174">
        <v>8</v>
      </c>
      <c r="P53" s="235">
        <f ca="1">OFFSET($A$1,MATCH(Z47,$A:$A,0)-1,O53)</f>
        <v>2.5</v>
      </c>
      <c r="Q53" s="322" t="s">
        <v>29</v>
      </c>
      <c r="R53" s="323">
        <f t="shared" ca="1" si="10"/>
        <v>250087</v>
      </c>
      <c r="S53" s="323">
        <f t="shared" ca="1" si="10"/>
        <v>625217</v>
      </c>
      <c r="T53" s="323">
        <f ca="1">보조원</f>
        <v>250087</v>
      </c>
      <c r="U53" s="323">
        <f t="shared" ca="1" si="11"/>
        <v>625217</v>
      </c>
      <c r="V53" s="323"/>
      <c r="W53" s="323"/>
      <c r="X53" s="323"/>
      <c r="Y53" s="323"/>
      <c r="Z53" s="324"/>
    </row>
    <row r="54" spans="1:26" ht="18" customHeight="1">
      <c r="A54" s="278"/>
      <c r="B54" s="9"/>
      <c r="K54" s="171" t="s">
        <v>14</v>
      </c>
      <c r="L54" s="171"/>
      <c r="N54" s="139" t="s">
        <v>17</v>
      </c>
      <c r="O54" s="68"/>
      <c r="P54" s="69"/>
      <c r="Q54" s="70"/>
      <c r="R54" s="71"/>
      <c r="S54" s="71">
        <f ca="1">SUBTOTAL(9,S48:S53)</f>
        <v>1894882</v>
      </c>
      <c r="T54" s="71"/>
      <c r="U54" s="71">
        <f ca="1">SUBTOTAL(9,U48:U53)</f>
        <v>1894882</v>
      </c>
      <c r="V54" s="71"/>
      <c r="W54" s="71"/>
      <c r="X54" s="71"/>
      <c r="Y54" s="71"/>
      <c r="Z54" s="68"/>
    </row>
    <row r="55" spans="1:26" ht="18" customHeight="1">
      <c r="A55" s="278"/>
      <c r="B55" s="9"/>
      <c r="K55" s="171" t="s">
        <v>14</v>
      </c>
      <c r="L55" s="171"/>
      <c r="N55" s="318" t="str">
        <f ca="1">"제 " &amp; Z55 &amp; " 호표  "&amp; OFFSET($A$1,MATCH(Z55,$A:$A,0)-1,1)</f>
        <v>제 2 호표  2.1. 평가지표 선정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f>Z47+1</f>
        <v>2</v>
      </c>
    </row>
    <row r="56" spans="1:26" ht="18" customHeight="1">
      <c r="A56" s="278"/>
      <c r="B56" s="9"/>
      <c r="K56" s="171" t="s">
        <v>14</v>
      </c>
      <c r="L56" s="171"/>
      <c r="N56" s="140" t="s">
        <v>43</v>
      </c>
      <c r="O56" s="172">
        <v>3</v>
      </c>
      <c r="P56" s="219">
        <f ca="1">OFFSET($A$1,MATCH(Z55,$A:$A,0)-1,O56)</f>
        <v>1</v>
      </c>
      <c r="Q56" s="141" t="s">
        <v>29</v>
      </c>
      <c r="R56" s="142">
        <f t="shared" ref="R56:S61" ca="1" si="12">T56</f>
        <v>467217</v>
      </c>
      <c r="S56" s="142">
        <f t="shared" ca="1" si="12"/>
        <v>467217</v>
      </c>
      <c r="T56" s="142">
        <f ca="1">기술사</f>
        <v>467217</v>
      </c>
      <c r="U56" s="142">
        <f t="shared" ref="U56:U61" ca="1" si="13">ROUNDDOWN(P56*R56,0)</f>
        <v>467217</v>
      </c>
      <c r="V56" s="142"/>
      <c r="W56" s="142"/>
      <c r="X56" s="142"/>
      <c r="Y56" s="142"/>
      <c r="Z56" s="114"/>
    </row>
    <row r="57" spans="1:26" ht="18" customHeight="1">
      <c r="A57" s="278"/>
      <c r="B57" s="9"/>
      <c r="K57" s="171" t="s">
        <v>14</v>
      </c>
      <c r="L57" s="171"/>
      <c r="N57" s="143" t="s">
        <v>32</v>
      </c>
      <c r="O57" s="173">
        <v>4</v>
      </c>
      <c r="P57" s="234">
        <f ca="1">OFFSET($A$1,MATCH(Z55,$A:$A,0)-1,O57)</f>
        <v>2</v>
      </c>
      <c r="Q57" s="144" t="s">
        <v>29</v>
      </c>
      <c r="R57" s="118">
        <f t="shared" ca="1" si="12"/>
        <v>373353</v>
      </c>
      <c r="S57" s="118">
        <f t="shared" ca="1" si="12"/>
        <v>746706</v>
      </c>
      <c r="T57" s="118">
        <f ca="1">특급</f>
        <v>373353</v>
      </c>
      <c r="U57" s="118">
        <f t="shared" ca="1" si="13"/>
        <v>746706</v>
      </c>
      <c r="V57" s="118"/>
      <c r="W57" s="118"/>
      <c r="X57" s="118"/>
      <c r="Y57" s="118"/>
      <c r="Z57" s="115"/>
    </row>
    <row r="58" spans="1:26" ht="18" customHeight="1">
      <c r="A58" s="278"/>
      <c r="K58" s="171" t="s">
        <v>14</v>
      </c>
      <c r="L58" s="171"/>
      <c r="N58" s="145" t="s">
        <v>39</v>
      </c>
      <c r="O58" s="173">
        <v>5</v>
      </c>
      <c r="P58" s="234">
        <f ca="1">OFFSET($A$1,MATCH(Z55,$A:$A,0)-1,O58)</f>
        <v>6</v>
      </c>
      <c r="Q58" s="144" t="s">
        <v>29</v>
      </c>
      <c r="R58" s="118">
        <f t="shared" ca="1" si="12"/>
        <v>310884</v>
      </c>
      <c r="S58" s="118">
        <f t="shared" ca="1" si="12"/>
        <v>1865304</v>
      </c>
      <c r="T58" s="118">
        <f ca="1">고급</f>
        <v>310884</v>
      </c>
      <c r="U58" s="118">
        <f t="shared" ca="1" si="13"/>
        <v>1865304</v>
      </c>
      <c r="V58" s="118"/>
      <c r="W58" s="118"/>
      <c r="X58" s="118"/>
      <c r="Y58" s="118"/>
      <c r="Z58" s="115"/>
    </row>
    <row r="59" spans="1:26" ht="18" customHeight="1">
      <c r="A59" s="278"/>
      <c r="K59" s="171" t="s">
        <v>14</v>
      </c>
      <c r="L59" s="171"/>
      <c r="N59" s="145" t="s">
        <v>40</v>
      </c>
      <c r="O59" s="173">
        <v>6</v>
      </c>
      <c r="P59" s="234">
        <f ca="1">OFFSET($A$1,MATCH(Z55,$A:$A,0)-1,O59)</f>
        <v>10</v>
      </c>
      <c r="Q59" s="144" t="s">
        <v>29</v>
      </c>
      <c r="R59" s="118">
        <f t="shared" ca="1" si="12"/>
        <v>295138</v>
      </c>
      <c r="S59" s="118">
        <f t="shared" ca="1" si="12"/>
        <v>2951380</v>
      </c>
      <c r="T59" s="118">
        <f ca="1">중급</f>
        <v>295138</v>
      </c>
      <c r="U59" s="118">
        <f t="shared" ca="1" si="13"/>
        <v>2951380</v>
      </c>
      <c r="V59" s="118"/>
      <c r="W59" s="118"/>
      <c r="X59" s="118"/>
      <c r="Y59" s="118"/>
      <c r="Z59" s="115"/>
    </row>
    <row r="60" spans="1:26" ht="18" customHeight="1">
      <c r="A60" s="278"/>
      <c r="K60" s="171" t="s">
        <v>14</v>
      </c>
      <c r="L60" s="171"/>
      <c r="N60" s="145" t="s">
        <v>41</v>
      </c>
      <c r="O60" s="173">
        <v>7</v>
      </c>
      <c r="P60" s="234">
        <f ca="1">OFFSET($A$1,MATCH(Z55,$A:$A,0)-1,O60)</f>
        <v>14</v>
      </c>
      <c r="Q60" s="144" t="s">
        <v>29</v>
      </c>
      <c r="R60" s="118">
        <f t="shared" ca="1" si="12"/>
        <v>235459</v>
      </c>
      <c r="S60" s="118">
        <f t="shared" ca="1" si="12"/>
        <v>3296426</v>
      </c>
      <c r="T60" s="118">
        <f ca="1">초급</f>
        <v>235459</v>
      </c>
      <c r="U60" s="118">
        <f t="shared" ca="1" si="13"/>
        <v>3296426</v>
      </c>
      <c r="V60" s="118"/>
      <c r="W60" s="118"/>
      <c r="X60" s="118"/>
      <c r="Y60" s="118"/>
      <c r="Z60" s="115"/>
    </row>
    <row r="61" spans="1:26" ht="18" customHeight="1">
      <c r="A61" s="278"/>
      <c r="K61" s="171" t="s">
        <v>14</v>
      </c>
      <c r="L61" s="171"/>
      <c r="N61" s="319" t="s">
        <v>42</v>
      </c>
      <c r="O61" s="174">
        <v>8</v>
      </c>
      <c r="P61" s="235">
        <f ca="1">OFFSET($A$1,MATCH(Z55,$A:$A,0)-1,O61)</f>
        <v>18</v>
      </c>
      <c r="Q61" s="322" t="s">
        <v>29</v>
      </c>
      <c r="R61" s="323">
        <f t="shared" ca="1" si="12"/>
        <v>250087</v>
      </c>
      <c r="S61" s="323">
        <f t="shared" ca="1" si="12"/>
        <v>4501566</v>
      </c>
      <c r="T61" s="323">
        <f ca="1">보조원</f>
        <v>250087</v>
      </c>
      <c r="U61" s="323">
        <f t="shared" ca="1" si="13"/>
        <v>4501566</v>
      </c>
      <c r="V61" s="323"/>
      <c r="W61" s="323"/>
      <c r="X61" s="323"/>
      <c r="Y61" s="323"/>
      <c r="Z61" s="324"/>
    </row>
    <row r="62" spans="1:26" ht="18" customHeight="1">
      <c r="A62" s="278"/>
      <c r="K62" s="171" t="s">
        <v>14</v>
      </c>
      <c r="L62" s="171"/>
      <c r="N62" s="139" t="s">
        <v>17</v>
      </c>
      <c r="O62" s="68"/>
      <c r="P62" s="69"/>
      <c r="Q62" s="70"/>
      <c r="R62" s="71"/>
      <c r="S62" s="71">
        <f ca="1">SUBTOTAL(9,S56:S61)</f>
        <v>13828599</v>
      </c>
      <c r="T62" s="71"/>
      <c r="U62" s="71">
        <f ca="1">SUBTOTAL(9,U56:U61)</f>
        <v>13828599</v>
      </c>
      <c r="V62" s="71"/>
      <c r="W62" s="71"/>
      <c r="X62" s="71"/>
      <c r="Y62" s="71"/>
      <c r="Z62" s="68"/>
    </row>
    <row r="63" spans="1:26" ht="18" customHeight="1">
      <c r="A63" s="278"/>
      <c r="K63" s="171" t="s">
        <v>14</v>
      </c>
      <c r="L63" s="171"/>
      <c r="N63" s="318" t="str">
        <f ca="1">"제 " &amp; Z63 &amp; " 호표  "&amp; OFFSET($A$1,MATCH(Z63,$A:$A,0)-1,1)</f>
        <v>제 3 호표  2.2. 평가기준 설정 및 점수산정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3</v>
      </c>
    </row>
    <row r="64" spans="1:26" ht="18" customHeight="1">
      <c r="A64" s="278"/>
      <c r="K64" s="171" t="s">
        <v>14</v>
      </c>
      <c r="L64" s="171"/>
      <c r="N64" s="140" t="s">
        <v>43</v>
      </c>
      <c r="O64" s="172">
        <v>3</v>
      </c>
      <c r="P64" s="219">
        <f ca="1">OFFSET($A$1,MATCH(Z63,$A:$A,0)-1,O64)</f>
        <v>2.74</v>
      </c>
      <c r="Q64" s="141" t="s">
        <v>29</v>
      </c>
      <c r="R64" s="142">
        <f t="shared" ref="R64:S69" ca="1" si="14">T64</f>
        <v>467217</v>
      </c>
      <c r="S64" s="142">
        <f t="shared" ca="1" si="14"/>
        <v>1280174</v>
      </c>
      <c r="T64" s="142">
        <f ca="1">기술사</f>
        <v>467217</v>
      </c>
      <c r="U64" s="142">
        <f t="shared" ref="U64:U69" ca="1" si="15">ROUNDDOWN(P64*R64,0)</f>
        <v>1280174</v>
      </c>
      <c r="V64" s="142"/>
      <c r="W64" s="142"/>
      <c r="X64" s="142"/>
      <c r="Y64" s="142"/>
      <c r="Z64" s="114"/>
    </row>
    <row r="65" spans="1:26" ht="18" customHeight="1">
      <c r="A65" s="278"/>
      <c r="K65" s="171" t="s">
        <v>14</v>
      </c>
      <c r="L65" s="171"/>
      <c r="N65" s="143" t="s">
        <v>32</v>
      </c>
      <c r="O65" s="173">
        <v>4</v>
      </c>
      <c r="P65" s="234">
        <f ca="1">OFFSET($A$1,MATCH(Z63,$A:$A,0)-1,O65)</f>
        <v>5.48</v>
      </c>
      <c r="Q65" s="144" t="s">
        <v>29</v>
      </c>
      <c r="R65" s="118">
        <f t="shared" ca="1" si="14"/>
        <v>373353</v>
      </c>
      <c r="S65" s="118">
        <f t="shared" ca="1" si="14"/>
        <v>2045974</v>
      </c>
      <c r="T65" s="118">
        <f ca="1">특급</f>
        <v>373353</v>
      </c>
      <c r="U65" s="118">
        <f t="shared" ca="1" si="15"/>
        <v>2045974</v>
      </c>
      <c r="V65" s="118"/>
      <c r="W65" s="118"/>
      <c r="X65" s="118"/>
      <c r="Y65" s="118"/>
      <c r="Z65" s="115"/>
    </row>
    <row r="66" spans="1:26" ht="18" customHeight="1">
      <c r="A66" s="278"/>
      <c r="K66" s="171" t="s">
        <v>14</v>
      </c>
      <c r="L66" s="171"/>
      <c r="N66" s="145" t="s">
        <v>39</v>
      </c>
      <c r="O66" s="173">
        <v>5</v>
      </c>
      <c r="P66" s="234">
        <f ca="1">OFFSET($A$1,MATCH(Z63,$A:$A,0)-1,O66)</f>
        <v>16.440000000000001</v>
      </c>
      <c r="Q66" s="144" t="s">
        <v>29</v>
      </c>
      <c r="R66" s="118">
        <f t="shared" ca="1" si="14"/>
        <v>310884</v>
      </c>
      <c r="S66" s="118">
        <f t="shared" ca="1" si="14"/>
        <v>5110932</v>
      </c>
      <c r="T66" s="118">
        <f ca="1">고급</f>
        <v>310884</v>
      </c>
      <c r="U66" s="118">
        <f t="shared" ca="1" si="15"/>
        <v>5110932</v>
      </c>
      <c r="V66" s="118"/>
      <c r="W66" s="118"/>
      <c r="X66" s="118"/>
      <c r="Y66" s="118"/>
      <c r="Z66" s="115"/>
    </row>
    <row r="67" spans="1:26" ht="18" customHeight="1">
      <c r="K67" s="171" t="s">
        <v>14</v>
      </c>
      <c r="L67" s="171"/>
      <c r="N67" s="145" t="s">
        <v>40</v>
      </c>
      <c r="O67" s="173">
        <v>6</v>
      </c>
      <c r="P67" s="234">
        <f ca="1">OFFSET($A$1,MATCH(Z63,$A:$A,0)-1,O67)</f>
        <v>27.4</v>
      </c>
      <c r="Q67" s="144" t="s">
        <v>29</v>
      </c>
      <c r="R67" s="118">
        <f t="shared" ca="1" si="14"/>
        <v>295138</v>
      </c>
      <c r="S67" s="118">
        <f t="shared" ca="1" si="14"/>
        <v>8086781</v>
      </c>
      <c r="T67" s="118">
        <f ca="1">중급</f>
        <v>295138</v>
      </c>
      <c r="U67" s="118">
        <f t="shared" ca="1" si="15"/>
        <v>8086781</v>
      </c>
      <c r="V67" s="118"/>
      <c r="W67" s="118"/>
      <c r="X67" s="118"/>
      <c r="Y67" s="118"/>
      <c r="Z67" s="115"/>
    </row>
    <row r="68" spans="1:26" ht="18" customHeight="1">
      <c r="K68" s="171" t="s">
        <v>14</v>
      </c>
      <c r="L68" s="171"/>
      <c r="N68" s="145" t="s">
        <v>41</v>
      </c>
      <c r="O68" s="173">
        <v>7</v>
      </c>
      <c r="P68" s="234">
        <f ca="1">OFFSET($A$1,MATCH(Z63,$A:$A,0)-1,O68)</f>
        <v>38.36</v>
      </c>
      <c r="Q68" s="144" t="s">
        <v>29</v>
      </c>
      <c r="R68" s="118">
        <f t="shared" ca="1" si="14"/>
        <v>235459</v>
      </c>
      <c r="S68" s="118">
        <f t="shared" ca="1" si="14"/>
        <v>9032207</v>
      </c>
      <c r="T68" s="118">
        <f ca="1">초급</f>
        <v>235459</v>
      </c>
      <c r="U68" s="118">
        <f t="shared" ca="1" si="15"/>
        <v>9032207</v>
      </c>
      <c r="V68" s="118"/>
      <c r="W68" s="118"/>
      <c r="X68" s="118"/>
      <c r="Y68" s="118"/>
      <c r="Z68" s="115"/>
    </row>
    <row r="69" spans="1:26" ht="18" customHeight="1">
      <c r="K69" s="171" t="s">
        <v>14</v>
      </c>
      <c r="L69" s="171"/>
      <c r="N69" s="319" t="s">
        <v>42</v>
      </c>
      <c r="O69" s="174">
        <v>8</v>
      </c>
      <c r="P69" s="235">
        <f ca="1">OFFSET($A$1,MATCH(Z63,$A:$A,0)-1,O69)</f>
        <v>49.32</v>
      </c>
      <c r="Q69" s="322" t="s">
        <v>29</v>
      </c>
      <c r="R69" s="323">
        <f t="shared" ca="1" si="14"/>
        <v>250087</v>
      </c>
      <c r="S69" s="323">
        <f t="shared" ca="1" si="14"/>
        <v>12334290</v>
      </c>
      <c r="T69" s="323">
        <f ca="1">보조원</f>
        <v>250087</v>
      </c>
      <c r="U69" s="323">
        <f t="shared" ca="1" si="15"/>
        <v>12334290</v>
      </c>
      <c r="V69" s="323"/>
      <c r="W69" s="323"/>
      <c r="X69" s="323"/>
      <c r="Y69" s="323"/>
      <c r="Z69" s="324"/>
    </row>
    <row r="70" spans="1:26" ht="18" customHeight="1">
      <c r="K70" s="171" t="s">
        <v>14</v>
      </c>
      <c r="L70" s="171"/>
      <c r="N70" s="139" t="s">
        <v>17</v>
      </c>
      <c r="O70" s="68"/>
      <c r="P70" s="69"/>
      <c r="Q70" s="70"/>
      <c r="R70" s="71"/>
      <c r="S70" s="71">
        <f ca="1">SUBTOTAL(9,S64:S69)</f>
        <v>37890358</v>
      </c>
      <c r="T70" s="71"/>
      <c r="U70" s="71">
        <f ca="1">SUBTOTAL(9,U64:U69)</f>
        <v>37890358</v>
      </c>
      <c r="V70" s="71"/>
      <c r="W70" s="71"/>
      <c r="X70" s="71"/>
      <c r="Y70" s="71"/>
      <c r="Z70" s="68"/>
    </row>
    <row r="71" spans="1:26" ht="18" customHeight="1">
      <c r="K71" s="171" t="s">
        <v>14</v>
      </c>
      <c r="L71" s="171"/>
      <c r="N71" s="318" t="str">
        <f ca="1">"제 " &amp; Z71 &amp; " 호표  "&amp; OFFSET($A$1,MATCH(Z71,$A:$A,0)-1,1)</f>
        <v>제 4 호표  2.3. 적성값 산정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4</v>
      </c>
    </row>
    <row r="72" spans="1:26" ht="18" customHeight="1">
      <c r="K72" s="171" t="s">
        <v>14</v>
      </c>
      <c r="L72" s="171"/>
      <c r="N72" s="140" t="s">
        <v>43</v>
      </c>
      <c r="O72" s="172">
        <v>3</v>
      </c>
      <c r="P72" s="219">
        <f ca="1">OFFSET($A$1,MATCH(Z71,$A:$A,0)-1,O72)</f>
        <v>2.74</v>
      </c>
      <c r="Q72" s="141" t="s">
        <v>29</v>
      </c>
      <c r="R72" s="142">
        <f t="shared" ref="R72:S77" ca="1" si="16">T72</f>
        <v>467217</v>
      </c>
      <c r="S72" s="142">
        <f t="shared" ca="1" si="16"/>
        <v>1280174</v>
      </c>
      <c r="T72" s="142">
        <f ca="1">기술사</f>
        <v>467217</v>
      </c>
      <c r="U72" s="142">
        <f t="shared" ref="U72:U77" ca="1" si="17">ROUNDDOWN(P72*R72,0)</f>
        <v>1280174</v>
      </c>
      <c r="V72" s="142"/>
      <c r="W72" s="142"/>
      <c r="X72" s="142"/>
      <c r="Y72" s="142"/>
      <c r="Z72" s="114"/>
    </row>
    <row r="73" spans="1:26" ht="18" customHeight="1">
      <c r="K73" s="171" t="s">
        <v>14</v>
      </c>
      <c r="L73" s="171"/>
      <c r="N73" s="143" t="s">
        <v>32</v>
      </c>
      <c r="O73" s="173">
        <v>4</v>
      </c>
      <c r="P73" s="234">
        <f ca="1">OFFSET($A$1,MATCH(Z71,$A:$A,0)-1,O73)</f>
        <v>8.2200000000000006</v>
      </c>
      <c r="Q73" s="144" t="s">
        <v>29</v>
      </c>
      <c r="R73" s="118">
        <f t="shared" ca="1" si="16"/>
        <v>373353</v>
      </c>
      <c r="S73" s="118">
        <f t="shared" ca="1" si="16"/>
        <v>3068961</v>
      </c>
      <c r="T73" s="118">
        <f ca="1">특급</f>
        <v>373353</v>
      </c>
      <c r="U73" s="118">
        <f t="shared" ca="1" si="17"/>
        <v>3068961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N74" s="145" t="s">
        <v>39</v>
      </c>
      <c r="O74" s="173">
        <v>5</v>
      </c>
      <c r="P74" s="234">
        <f ca="1">OFFSET($A$1,MATCH(Z71,$A:$A,0)-1,O74)</f>
        <v>21.92</v>
      </c>
      <c r="Q74" s="144" t="s">
        <v>29</v>
      </c>
      <c r="R74" s="118">
        <f t="shared" ca="1" si="16"/>
        <v>310884</v>
      </c>
      <c r="S74" s="118">
        <f t="shared" ca="1" si="16"/>
        <v>6814577</v>
      </c>
      <c r="T74" s="118">
        <f ca="1">고급</f>
        <v>310884</v>
      </c>
      <c r="U74" s="118">
        <f t="shared" ca="1" si="17"/>
        <v>6814577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N75" s="145" t="s">
        <v>40</v>
      </c>
      <c r="O75" s="173">
        <v>6</v>
      </c>
      <c r="P75" s="234">
        <f ca="1">OFFSET($A$1,MATCH(Z71,$A:$A,0)-1,O75)</f>
        <v>27.4</v>
      </c>
      <c r="Q75" s="144" t="s">
        <v>29</v>
      </c>
      <c r="R75" s="118">
        <f t="shared" ca="1" si="16"/>
        <v>295138</v>
      </c>
      <c r="S75" s="118">
        <f t="shared" ca="1" si="16"/>
        <v>8086781</v>
      </c>
      <c r="T75" s="118">
        <f ca="1">중급</f>
        <v>295138</v>
      </c>
      <c r="U75" s="118">
        <f t="shared" ca="1" si="17"/>
        <v>8086781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N76" s="145" t="s">
        <v>41</v>
      </c>
      <c r="O76" s="173">
        <v>7</v>
      </c>
      <c r="P76" s="234">
        <f ca="1">OFFSET($A$1,MATCH(Z71,$A:$A,0)-1,O76)</f>
        <v>54.8</v>
      </c>
      <c r="Q76" s="144" t="s">
        <v>29</v>
      </c>
      <c r="R76" s="118">
        <f t="shared" ca="1" si="16"/>
        <v>235459</v>
      </c>
      <c r="S76" s="118">
        <f t="shared" ca="1" si="16"/>
        <v>12903153</v>
      </c>
      <c r="T76" s="118">
        <f ca="1">초급</f>
        <v>235459</v>
      </c>
      <c r="U76" s="118">
        <f t="shared" ca="1" si="17"/>
        <v>12903153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N77" s="319" t="s">
        <v>42</v>
      </c>
      <c r="O77" s="174">
        <v>8</v>
      </c>
      <c r="P77" s="235">
        <f ca="1">OFFSET($A$1,MATCH(Z71,$A:$A,0)-1,O77)</f>
        <v>71.239999999999995</v>
      </c>
      <c r="Q77" s="322" t="s">
        <v>29</v>
      </c>
      <c r="R77" s="323">
        <f t="shared" ca="1" si="16"/>
        <v>250087</v>
      </c>
      <c r="S77" s="323">
        <f t="shared" ca="1" si="16"/>
        <v>17816197</v>
      </c>
      <c r="T77" s="323">
        <f ca="1">보조원</f>
        <v>250087</v>
      </c>
      <c r="U77" s="323">
        <f t="shared" ca="1" si="17"/>
        <v>17816197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N78" s="139" t="s">
        <v>17</v>
      </c>
      <c r="O78" s="68"/>
      <c r="P78" s="69"/>
      <c r="Q78" s="70"/>
      <c r="R78" s="71"/>
      <c r="S78" s="71">
        <f ca="1">SUBTOTAL(9,S72:S77)</f>
        <v>49969843</v>
      </c>
      <c r="T78" s="71"/>
      <c r="U78" s="71">
        <f ca="1">SUBTOTAL(9,U72:U77)</f>
        <v>49969843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N79" s="318" t="str">
        <f ca="1">"제 " &amp; Z79 &amp; " 호표  "&amp; OFFSET($A$1,MATCH(Z79,$A:$A,0)-1,1)</f>
        <v>제 5 호표  2.4. 표준화값 산정 및 별도분류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5</v>
      </c>
    </row>
    <row r="80" spans="1:26" ht="18" customHeight="1">
      <c r="K80" s="171" t="s">
        <v>14</v>
      </c>
      <c r="L80" s="171"/>
      <c r="N80" s="140" t="s">
        <v>43</v>
      </c>
      <c r="O80" s="172">
        <v>3</v>
      </c>
      <c r="P80" s="219">
        <f ca="1">OFFSET($A$1,MATCH(Z79,$A:$A,0)-1,O80)</f>
        <v>2.74</v>
      </c>
      <c r="Q80" s="141" t="s">
        <v>29</v>
      </c>
      <c r="R80" s="142">
        <f t="shared" ref="R80:S85" ca="1" si="18">T80</f>
        <v>467217</v>
      </c>
      <c r="S80" s="142">
        <f t="shared" ca="1" si="18"/>
        <v>1280174</v>
      </c>
      <c r="T80" s="142">
        <f ca="1">기술사</f>
        <v>467217</v>
      </c>
      <c r="U80" s="142">
        <f t="shared" ref="U80:U85" ca="1" si="19">ROUNDDOWN(P80*R80,0)</f>
        <v>1280174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N81" s="143" t="s">
        <v>32</v>
      </c>
      <c r="O81" s="173">
        <v>4</v>
      </c>
      <c r="P81" s="234">
        <f ca="1">OFFSET($A$1,MATCH(Z79,$A:$A,0)-1,O81)</f>
        <v>3.5619999999999998</v>
      </c>
      <c r="Q81" s="144" t="s">
        <v>29</v>
      </c>
      <c r="R81" s="118">
        <f t="shared" ca="1" si="18"/>
        <v>373353</v>
      </c>
      <c r="S81" s="118">
        <f t="shared" ca="1" si="18"/>
        <v>1329883</v>
      </c>
      <c r="T81" s="118">
        <f ca="1">특급</f>
        <v>373353</v>
      </c>
      <c r="U81" s="118">
        <f t="shared" ca="1" si="19"/>
        <v>1329883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39</v>
      </c>
      <c r="O82" s="173">
        <v>5</v>
      </c>
      <c r="P82" s="234">
        <f ca="1">OFFSET($A$1,MATCH(Z79,$A:$A,0)-1,O82)</f>
        <v>5.48</v>
      </c>
      <c r="Q82" s="144" t="s">
        <v>29</v>
      </c>
      <c r="R82" s="118">
        <f t="shared" ca="1" si="18"/>
        <v>310884</v>
      </c>
      <c r="S82" s="118">
        <f t="shared" ca="1" si="18"/>
        <v>1703644</v>
      </c>
      <c r="T82" s="118">
        <f ca="1">고급</f>
        <v>310884</v>
      </c>
      <c r="U82" s="118">
        <f t="shared" ca="1" si="19"/>
        <v>1703644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40</v>
      </c>
      <c r="O83" s="173">
        <v>6</v>
      </c>
      <c r="P83" s="234">
        <f ca="1">OFFSET($A$1,MATCH(Z79,$A:$A,0)-1,O83)</f>
        <v>10.96</v>
      </c>
      <c r="Q83" s="144" t="s">
        <v>29</v>
      </c>
      <c r="R83" s="118">
        <f t="shared" ca="1" si="18"/>
        <v>295138</v>
      </c>
      <c r="S83" s="118">
        <f t="shared" ca="1" si="18"/>
        <v>3234712</v>
      </c>
      <c r="T83" s="118">
        <f ca="1">중급</f>
        <v>295138</v>
      </c>
      <c r="U83" s="118">
        <f t="shared" ca="1" si="19"/>
        <v>3234712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145" t="s">
        <v>41</v>
      </c>
      <c r="O84" s="173">
        <v>7</v>
      </c>
      <c r="P84" s="234">
        <f ca="1">OFFSET($A$1,MATCH(Z79,$A:$A,0)-1,O84)</f>
        <v>19.18</v>
      </c>
      <c r="Q84" s="144" t="s">
        <v>29</v>
      </c>
      <c r="R84" s="118">
        <f t="shared" ca="1" si="18"/>
        <v>235459</v>
      </c>
      <c r="S84" s="118">
        <f t="shared" ca="1" si="18"/>
        <v>4516103</v>
      </c>
      <c r="T84" s="118">
        <f ca="1">초급</f>
        <v>235459</v>
      </c>
      <c r="U84" s="118">
        <f t="shared" ca="1" si="19"/>
        <v>4516103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N85" s="319" t="s">
        <v>42</v>
      </c>
      <c r="O85" s="174">
        <v>8</v>
      </c>
      <c r="P85" s="235">
        <f ca="1">OFFSET($A$1,MATCH(Z79,$A:$A,0)-1,O85)</f>
        <v>24.66</v>
      </c>
      <c r="Q85" s="322" t="s">
        <v>29</v>
      </c>
      <c r="R85" s="323">
        <f t="shared" ca="1" si="18"/>
        <v>250087</v>
      </c>
      <c r="S85" s="323">
        <f t="shared" ca="1" si="18"/>
        <v>6167145</v>
      </c>
      <c r="T85" s="323">
        <f ca="1">보조원</f>
        <v>250087</v>
      </c>
      <c r="U85" s="323">
        <f t="shared" ca="1" si="19"/>
        <v>6167145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N86" s="139" t="s">
        <v>17</v>
      </c>
      <c r="O86" s="68"/>
      <c r="P86" s="69"/>
      <c r="Q86" s="70"/>
      <c r="R86" s="71"/>
      <c r="S86" s="71">
        <f ca="1">SUBTOTAL(9,S80:S85)</f>
        <v>18231661</v>
      </c>
      <c r="T86" s="71"/>
      <c r="U86" s="71">
        <f ca="1">SUBTOTAL(9,U80:U85)</f>
        <v>18231661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N87" s="318" t="str">
        <f ca="1">"제 " &amp; Z87 &amp; " 호표  "&amp; OFFSET($A$1,MATCH(Z87,$A:$A,0)-1,1)</f>
        <v>제 6 호표  2.5. 적성등급 적용기준 검토 지원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6</v>
      </c>
    </row>
    <row r="88" spans="11:26" ht="18" customHeight="1">
      <c r="K88" s="171" t="s">
        <v>14</v>
      </c>
      <c r="L88" s="171"/>
      <c r="N88" s="140" t="s">
        <v>43</v>
      </c>
      <c r="O88" s="172">
        <v>3</v>
      </c>
      <c r="P88" s="219">
        <f ca="1">OFFSET($A$1,MATCH(Z87,$A:$A,0)-1,O88)</f>
        <v>1.37</v>
      </c>
      <c r="Q88" s="141" t="s">
        <v>29</v>
      </c>
      <c r="R88" s="142">
        <f t="shared" ref="R88:S93" ca="1" si="20">T88</f>
        <v>467217</v>
      </c>
      <c r="S88" s="142">
        <f t="shared" ca="1" si="20"/>
        <v>640087</v>
      </c>
      <c r="T88" s="142">
        <f ca="1">기술사</f>
        <v>467217</v>
      </c>
      <c r="U88" s="142">
        <f t="shared" ref="U88:U93" ca="1" si="21">ROUNDDOWN(P88*R88,0)</f>
        <v>640087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N89" s="143" t="s">
        <v>32</v>
      </c>
      <c r="O89" s="173">
        <v>4</v>
      </c>
      <c r="P89" s="234">
        <f ca="1">OFFSET($A$1,MATCH(Z87,$A:$A,0)-1,O89)</f>
        <v>2.74</v>
      </c>
      <c r="Q89" s="144" t="s">
        <v>29</v>
      </c>
      <c r="R89" s="118">
        <f t="shared" ca="1" si="20"/>
        <v>373353</v>
      </c>
      <c r="S89" s="118">
        <f t="shared" ca="1" si="20"/>
        <v>1022987</v>
      </c>
      <c r="T89" s="118">
        <f ca="1">특급</f>
        <v>373353</v>
      </c>
      <c r="U89" s="118">
        <f t="shared" ca="1" si="21"/>
        <v>1022987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39</v>
      </c>
      <c r="O90" s="173">
        <v>5</v>
      </c>
      <c r="P90" s="234">
        <f ca="1">OFFSET($A$1,MATCH(Z87,$A:$A,0)-1,O90)</f>
        <v>8.2200000000000006</v>
      </c>
      <c r="Q90" s="144" t="s">
        <v>29</v>
      </c>
      <c r="R90" s="118">
        <f t="shared" ca="1" si="20"/>
        <v>310884</v>
      </c>
      <c r="S90" s="118">
        <f t="shared" ca="1" si="20"/>
        <v>2555466</v>
      </c>
      <c r="T90" s="118">
        <f ca="1">고급</f>
        <v>310884</v>
      </c>
      <c r="U90" s="118">
        <f t="shared" ca="1" si="21"/>
        <v>2555466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40</v>
      </c>
      <c r="O91" s="173">
        <v>6</v>
      </c>
      <c r="P91" s="234">
        <f ca="1">OFFSET($A$1,MATCH(Z87,$A:$A,0)-1,O91)</f>
        <v>13.7</v>
      </c>
      <c r="Q91" s="144" t="s">
        <v>29</v>
      </c>
      <c r="R91" s="118">
        <f t="shared" ca="1" si="20"/>
        <v>295138</v>
      </c>
      <c r="S91" s="118">
        <f t="shared" ca="1" si="20"/>
        <v>4043390</v>
      </c>
      <c r="T91" s="118">
        <f ca="1">중급</f>
        <v>295138</v>
      </c>
      <c r="U91" s="118">
        <f t="shared" ca="1" si="21"/>
        <v>4043390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145" t="s">
        <v>41</v>
      </c>
      <c r="O92" s="173">
        <v>7</v>
      </c>
      <c r="P92" s="234">
        <f ca="1">OFFSET($A$1,MATCH(Z87,$A:$A,0)-1,O92)</f>
        <v>19.18</v>
      </c>
      <c r="Q92" s="144" t="s">
        <v>29</v>
      </c>
      <c r="R92" s="118">
        <f t="shared" ca="1" si="20"/>
        <v>235459</v>
      </c>
      <c r="S92" s="118">
        <f t="shared" ca="1" si="20"/>
        <v>4516103</v>
      </c>
      <c r="T92" s="118">
        <f ca="1">초급</f>
        <v>235459</v>
      </c>
      <c r="U92" s="118">
        <f t="shared" ca="1" si="21"/>
        <v>4516103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N93" s="319" t="s">
        <v>42</v>
      </c>
      <c r="O93" s="174">
        <v>8</v>
      </c>
      <c r="P93" s="235">
        <f ca="1">OFFSET($A$1,MATCH(Z87,$A:$A,0)-1,O93)</f>
        <v>24.66</v>
      </c>
      <c r="Q93" s="322" t="s">
        <v>29</v>
      </c>
      <c r="R93" s="323">
        <f t="shared" ca="1" si="20"/>
        <v>250087</v>
      </c>
      <c r="S93" s="323">
        <f t="shared" ca="1" si="20"/>
        <v>6167145</v>
      </c>
      <c r="T93" s="323">
        <f ca="1">보조원</f>
        <v>250087</v>
      </c>
      <c r="U93" s="323">
        <f t="shared" ca="1" si="21"/>
        <v>6167145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N94" s="139" t="s">
        <v>17</v>
      </c>
      <c r="O94" s="68"/>
      <c r="P94" s="69"/>
      <c r="Q94" s="70"/>
      <c r="R94" s="71"/>
      <c r="S94" s="71">
        <f ca="1">SUBTOTAL(9,S88:S93)</f>
        <v>18945178</v>
      </c>
      <c r="T94" s="71"/>
      <c r="U94" s="71">
        <f ca="1">SUBTOTAL(9,U88:U93)</f>
        <v>18945178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N95" s="318" t="str">
        <f ca="1">"제 " &amp; Z95 &amp; " 호표  "&amp; OFFSET($A$1,MATCH(Z95,$A:$A,0)-1,1)</f>
        <v>제 7 호표  3.1. 평가보고서 작성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7</v>
      </c>
    </row>
    <row r="96" spans="11:26" ht="18" customHeight="1">
      <c r="K96" s="171" t="s">
        <v>14</v>
      </c>
      <c r="L96" s="171"/>
      <c r="N96" s="140" t="s">
        <v>43</v>
      </c>
      <c r="O96" s="172">
        <v>3</v>
      </c>
      <c r="P96" s="219">
        <f ca="1">OFFSET($A$1,MATCH(Z95,$A:$A,0)-1,O96)</f>
        <v>1.37</v>
      </c>
      <c r="Q96" s="141" t="s">
        <v>29</v>
      </c>
      <c r="R96" s="142">
        <f t="shared" ref="R96:S101" ca="1" si="22">T96</f>
        <v>467217</v>
      </c>
      <c r="S96" s="142">
        <f t="shared" ca="1" si="22"/>
        <v>640087</v>
      </c>
      <c r="T96" s="142">
        <f ca="1">기술사</f>
        <v>467217</v>
      </c>
      <c r="U96" s="142">
        <f t="shared" ref="U96:U101" ca="1" si="23">ROUNDDOWN(P96*R96,0)</f>
        <v>640087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N97" s="143" t="s">
        <v>32</v>
      </c>
      <c r="O97" s="173">
        <v>4</v>
      </c>
      <c r="P97" s="234">
        <f ca="1">OFFSET($A$1,MATCH(Z95,$A:$A,0)-1,O97)</f>
        <v>3.5619999999999998</v>
      </c>
      <c r="Q97" s="144" t="s">
        <v>29</v>
      </c>
      <c r="R97" s="118">
        <f t="shared" ca="1" si="22"/>
        <v>373353</v>
      </c>
      <c r="S97" s="118">
        <f t="shared" ca="1" si="22"/>
        <v>1329883</v>
      </c>
      <c r="T97" s="118">
        <f ca="1">특급</f>
        <v>373353</v>
      </c>
      <c r="U97" s="118">
        <f t="shared" ca="1" si="23"/>
        <v>1329883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39</v>
      </c>
      <c r="O98" s="173">
        <v>5</v>
      </c>
      <c r="P98" s="234">
        <f ca="1">OFFSET($A$1,MATCH(Z95,$A:$A,0)-1,O98)</f>
        <v>7.1239999999999997</v>
      </c>
      <c r="Q98" s="144" t="s">
        <v>29</v>
      </c>
      <c r="R98" s="118">
        <f t="shared" ca="1" si="22"/>
        <v>310884</v>
      </c>
      <c r="S98" s="118">
        <f t="shared" ca="1" si="22"/>
        <v>2214737</v>
      </c>
      <c r="T98" s="118">
        <f ca="1">고급</f>
        <v>310884</v>
      </c>
      <c r="U98" s="118">
        <f t="shared" ca="1" si="23"/>
        <v>2214737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40</v>
      </c>
      <c r="O99" s="173">
        <v>6</v>
      </c>
      <c r="P99" s="234">
        <f ca="1">OFFSET($A$1,MATCH(Z95,$A:$A,0)-1,O99)</f>
        <v>10.96</v>
      </c>
      <c r="Q99" s="144" t="s">
        <v>29</v>
      </c>
      <c r="R99" s="118">
        <f t="shared" ca="1" si="22"/>
        <v>295138</v>
      </c>
      <c r="S99" s="118">
        <f t="shared" ca="1" si="22"/>
        <v>3234712</v>
      </c>
      <c r="T99" s="118">
        <f ca="1">중급</f>
        <v>295138</v>
      </c>
      <c r="U99" s="118">
        <f t="shared" ca="1" si="23"/>
        <v>3234712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41</v>
      </c>
      <c r="O100" s="173">
        <v>7</v>
      </c>
      <c r="P100" s="234">
        <f ca="1">OFFSET($A$1,MATCH(Z95,$A:$A,0)-1,O100)</f>
        <v>23.29</v>
      </c>
      <c r="Q100" s="144" t="s">
        <v>29</v>
      </c>
      <c r="R100" s="118">
        <f t="shared" ca="1" si="22"/>
        <v>235459</v>
      </c>
      <c r="S100" s="118">
        <f t="shared" ca="1" si="22"/>
        <v>5483840</v>
      </c>
      <c r="T100" s="118">
        <f ca="1">초급</f>
        <v>235459</v>
      </c>
      <c r="U100" s="118">
        <f t="shared" ca="1" si="23"/>
        <v>5483840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319" t="s">
        <v>42</v>
      </c>
      <c r="O101" s="174">
        <v>8</v>
      </c>
      <c r="P101" s="235">
        <f ca="1">OFFSET($A$1,MATCH(Z95,$A:$A,0)-1,O101)</f>
        <v>24.66</v>
      </c>
      <c r="Q101" s="322" t="s">
        <v>29</v>
      </c>
      <c r="R101" s="323">
        <f t="shared" ca="1" si="22"/>
        <v>250087</v>
      </c>
      <c r="S101" s="323">
        <f t="shared" ca="1" si="22"/>
        <v>6167145</v>
      </c>
      <c r="T101" s="323">
        <f ca="1">보조원</f>
        <v>250087</v>
      </c>
      <c r="U101" s="323">
        <f t="shared" ca="1" si="23"/>
        <v>6167145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N102" s="139" t="s">
        <v>17</v>
      </c>
      <c r="O102" s="68"/>
      <c r="P102" s="69"/>
      <c r="Q102" s="70"/>
      <c r="R102" s="71"/>
      <c r="S102" s="71">
        <f ca="1">SUBTOTAL(9,S96:S101)</f>
        <v>19070404</v>
      </c>
      <c r="T102" s="71"/>
      <c r="U102" s="71">
        <f ca="1">SUBTOTAL(9,U96:U101)</f>
        <v>19070404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N103" s="318" t="str">
        <f ca="1">"제 " &amp; Z103 &amp; " 호표  "&amp; OFFSET($A$1,MATCH(Z103,$A:$A,0)-1,1)</f>
        <v>제 8 호표  4.1. 위원회심의 및 자문 지원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8</v>
      </c>
    </row>
    <row r="104" spans="11:26" ht="18" customHeight="1">
      <c r="K104" s="171" t="s">
        <v>14</v>
      </c>
      <c r="L104" s="171"/>
      <c r="N104" s="140" t="s">
        <v>43</v>
      </c>
      <c r="O104" s="172">
        <v>3</v>
      </c>
      <c r="P104" s="219">
        <f ca="1">OFFSET($A$1,MATCH(Z103,$A:$A,0)-1,O104)</f>
        <v>2</v>
      </c>
      <c r="Q104" s="141" t="s">
        <v>29</v>
      </c>
      <c r="R104" s="142">
        <f t="shared" ref="R104:S109" ca="1" si="24">T104</f>
        <v>467217</v>
      </c>
      <c r="S104" s="142">
        <f t="shared" ca="1" si="24"/>
        <v>934434</v>
      </c>
      <c r="T104" s="142">
        <f ca="1">기술사</f>
        <v>467217</v>
      </c>
      <c r="U104" s="142">
        <f t="shared" ref="U104:U109" ca="1" si="25">ROUNDDOWN(P104*R104,0)</f>
        <v>934434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N105" s="143" t="s">
        <v>32</v>
      </c>
      <c r="O105" s="173">
        <v>4</v>
      </c>
      <c r="P105" s="234">
        <f ca="1">OFFSET($A$1,MATCH(Z103,$A:$A,0)-1,O105)</f>
        <v>2</v>
      </c>
      <c r="Q105" s="144" t="s">
        <v>29</v>
      </c>
      <c r="R105" s="118">
        <f t="shared" ca="1" si="24"/>
        <v>373353</v>
      </c>
      <c r="S105" s="118">
        <f t="shared" ca="1" si="24"/>
        <v>746706</v>
      </c>
      <c r="T105" s="118">
        <f ca="1">특급</f>
        <v>373353</v>
      </c>
      <c r="U105" s="118">
        <f t="shared" ca="1" si="25"/>
        <v>746706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39</v>
      </c>
      <c r="O106" s="173">
        <v>5</v>
      </c>
      <c r="P106" s="234">
        <f ca="1">OFFSET($A$1,MATCH(Z103,$A:$A,0)-1,O106)</f>
        <v>2</v>
      </c>
      <c r="Q106" s="144" t="s">
        <v>29</v>
      </c>
      <c r="R106" s="118">
        <f t="shared" ca="1" si="24"/>
        <v>310884</v>
      </c>
      <c r="S106" s="118">
        <f t="shared" ca="1" si="24"/>
        <v>621768</v>
      </c>
      <c r="T106" s="118">
        <f ca="1">고급</f>
        <v>310884</v>
      </c>
      <c r="U106" s="118">
        <f t="shared" ca="1" si="25"/>
        <v>621768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40</v>
      </c>
      <c r="O107" s="173">
        <v>6</v>
      </c>
      <c r="P107" s="234">
        <f ca="1">OFFSET($A$1,MATCH(Z103,$A:$A,0)-1,O107)</f>
        <v>4</v>
      </c>
      <c r="Q107" s="144" t="s">
        <v>29</v>
      </c>
      <c r="R107" s="118">
        <f t="shared" ca="1" si="24"/>
        <v>295138</v>
      </c>
      <c r="S107" s="118">
        <f t="shared" ca="1" si="24"/>
        <v>1180552</v>
      </c>
      <c r="T107" s="118">
        <f ca="1">중급</f>
        <v>295138</v>
      </c>
      <c r="U107" s="118">
        <f t="shared" ca="1" si="25"/>
        <v>1180552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41</v>
      </c>
      <c r="O108" s="173">
        <v>7</v>
      </c>
      <c r="P108" s="234">
        <f ca="1">OFFSET($A$1,MATCH(Z103,$A:$A,0)-1,O108)</f>
        <v>4</v>
      </c>
      <c r="Q108" s="144" t="s">
        <v>29</v>
      </c>
      <c r="R108" s="118">
        <f t="shared" ca="1" si="24"/>
        <v>235459</v>
      </c>
      <c r="S108" s="118">
        <f t="shared" ca="1" si="24"/>
        <v>941836</v>
      </c>
      <c r="T108" s="118">
        <f ca="1">초급</f>
        <v>235459</v>
      </c>
      <c r="U108" s="118">
        <f t="shared" ca="1" si="25"/>
        <v>941836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319" t="s">
        <v>42</v>
      </c>
      <c r="O109" s="174">
        <v>8</v>
      </c>
      <c r="P109" s="235">
        <f ca="1">OFFSET($A$1,MATCH(Z103,$A:$A,0)-1,O109)</f>
        <v>4</v>
      </c>
      <c r="Q109" s="322" t="s">
        <v>29</v>
      </c>
      <c r="R109" s="323">
        <f t="shared" ca="1" si="24"/>
        <v>250087</v>
      </c>
      <c r="S109" s="323">
        <f t="shared" ca="1" si="24"/>
        <v>1000348</v>
      </c>
      <c r="T109" s="323">
        <f ca="1">보조원</f>
        <v>250087</v>
      </c>
      <c r="U109" s="323">
        <f t="shared" ca="1" si="25"/>
        <v>1000348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N110" s="139" t="s">
        <v>17</v>
      </c>
      <c r="O110" s="68"/>
      <c r="P110" s="69"/>
      <c r="Q110" s="70"/>
      <c r="R110" s="71"/>
      <c r="S110" s="71">
        <f ca="1">SUBTOTAL(9,S104:S109)</f>
        <v>5425644</v>
      </c>
      <c r="T110" s="71"/>
      <c r="U110" s="71">
        <f ca="1">SUBTOTAL(9,U104:U109)</f>
        <v>5425644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N111" s="318" t="str">
        <f ca="1">"제 " &amp; Z111 &amp; " 호표  "&amp; OFFSET($A$1,MATCH(Z111,$A:$A,0)-1,1)</f>
        <v>제 9 호표  4.2. 관계기관협의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9</v>
      </c>
    </row>
    <row r="112" spans="11:26" ht="18" customHeight="1">
      <c r="K112" s="171" t="s">
        <v>14</v>
      </c>
      <c r="L112" s="171"/>
      <c r="N112" s="140" t="s">
        <v>43</v>
      </c>
      <c r="O112" s="172">
        <v>3</v>
      </c>
      <c r="P112" s="219">
        <f ca="1">OFFSET($A$1,MATCH(Z111,$A:$A,0)-1,O112)</f>
        <v>2</v>
      </c>
      <c r="Q112" s="141" t="s">
        <v>29</v>
      </c>
      <c r="R112" s="142">
        <f t="shared" ref="R112:S117" ca="1" si="26">T112</f>
        <v>467217</v>
      </c>
      <c r="S112" s="142">
        <f t="shared" ca="1" si="26"/>
        <v>934434</v>
      </c>
      <c r="T112" s="142">
        <f ca="1">기술사</f>
        <v>467217</v>
      </c>
      <c r="U112" s="142">
        <f t="shared" ref="U112:U117" ca="1" si="27">ROUNDDOWN(P112*R112,0)</f>
        <v>934434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N113" s="143" t="s">
        <v>32</v>
      </c>
      <c r="O113" s="173">
        <v>4</v>
      </c>
      <c r="P113" s="234">
        <f ca="1">OFFSET($A$1,MATCH(Z111,$A:$A,0)-1,O113)</f>
        <v>2</v>
      </c>
      <c r="Q113" s="144" t="s">
        <v>29</v>
      </c>
      <c r="R113" s="118">
        <f t="shared" ca="1" si="26"/>
        <v>373353</v>
      </c>
      <c r="S113" s="118">
        <f t="shared" ca="1" si="26"/>
        <v>746706</v>
      </c>
      <c r="T113" s="118">
        <f ca="1">특급</f>
        <v>373353</v>
      </c>
      <c r="U113" s="118">
        <f t="shared" ca="1" si="27"/>
        <v>746706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39</v>
      </c>
      <c r="O114" s="173">
        <v>5</v>
      </c>
      <c r="P114" s="234">
        <f ca="1">OFFSET($A$1,MATCH(Z111,$A:$A,0)-1,O114)</f>
        <v>2</v>
      </c>
      <c r="Q114" s="144" t="s">
        <v>29</v>
      </c>
      <c r="R114" s="118">
        <f t="shared" ca="1" si="26"/>
        <v>310884</v>
      </c>
      <c r="S114" s="118">
        <f t="shared" ca="1" si="26"/>
        <v>621768</v>
      </c>
      <c r="T114" s="118">
        <f ca="1">고급</f>
        <v>310884</v>
      </c>
      <c r="U114" s="118">
        <f t="shared" ca="1" si="27"/>
        <v>621768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40</v>
      </c>
      <c r="O115" s="173">
        <v>6</v>
      </c>
      <c r="P115" s="234">
        <f ca="1">OFFSET($A$1,MATCH(Z111,$A:$A,0)-1,O115)</f>
        <v>4</v>
      </c>
      <c r="Q115" s="144" t="s">
        <v>29</v>
      </c>
      <c r="R115" s="118">
        <f t="shared" ca="1" si="26"/>
        <v>295138</v>
      </c>
      <c r="S115" s="118">
        <f t="shared" ca="1" si="26"/>
        <v>1180552</v>
      </c>
      <c r="T115" s="118">
        <f ca="1">중급</f>
        <v>295138</v>
      </c>
      <c r="U115" s="118">
        <f t="shared" ca="1" si="27"/>
        <v>1180552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41</v>
      </c>
      <c r="O116" s="173">
        <v>7</v>
      </c>
      <c r="P116" s="234">
        <f ca="1">OFFSET($A$1,MATCH(Z111,$A:$A,0)-1,O116)</f>
        <v>4</v>
      </c>
      <c r="Q116" s="144" t="s">
        <v>29</v>
      </c>
      <c r="R116" s="118">
        <f t="shared" ca="1" si="26"/>
        <v>235459</v>
      </c>
      <c r="S116" s="118">
        <f t="shared" ca="1" si="26"/>
        <v>941836</v>
      </c>
      <c r="T116" s="118">
        <f ca="1">초급</f>
        <v>235459</v>
      </c>
      <c r="U116" s="118">
        <f t="shared" ca="1" si="27"/>
        <v>941836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319" t="s">
        <v>42</v>
      </c>
      <c r="O117" s="174">
        <v>8</v>
      </c>
      <c r="P117" s="235">
        <f ca="1">OFFSET($A$1,MATCH(Z111,$A:$A,0)-1,O117)</f>
        <v>4</v>
      </c>
      <c r="Q117" s="322" t="s">
        <v>29</v>
      </c>
      <c r="R117" s="323">
        <f t="shared" ca="1" si="26"/>
        <v>250087</v>
      </c>
      <c r="S117" s="323">
        <f t="shared" ca="1" si="26"/>
        <v>1000348</v>
      </c>
      <c r="T117" s="323">
        <f ca="1">보조원</f>
        <v>250087</v>
      </c>
      <c r="U117" s="323">
        <f t="shared" ca="1" si="27"/>
        <v>1000348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5425644</v>
      </c>
      <c r="T118" s="71"/>
      <c r="U118" s="71">
        <f ca="1">SUBTOTAL(9,U112:U117)</f>
        <v>5425644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</row>
    <row r="120" spans="11:26" ht="18" customHeight="1">
      <c r="K120" s="171" t="s">
        <v>14</v>
      </c>
      <c r="L120" s="171"/>
      <c r="M120" s="171"/>
    </row>
    <row r="121" spans="11:26" ht="18" customHeight="1">
      <c r="K121" s="171" t="s">
        <v>14</v>
      </c>
      <c r="L121" s="171"/>
      <c r="M121" s="171"/>
    </row>
    <row r="122" spans="11:26" ht="18" customHeight="1">
      <c r="K122" s="171" t="s">
        <v>14</v>
      </c>
      <c r="L122" s="171"/>
      <c r="M122" s="171"/>
    </row>
    <row r="123" spans="11:26" ht="18" customHeight="1">
      <c r="K123" s="171" t="s">
        <v>14</v>
      </c>
      <c r="L123" s="171"/>
      <c r="M123" s="171"/>
    </row>
    <row r="124" spans="11:26" ht="18" customHeight="1">
      <c r="K124" s="171" t="s">
        <v>14</v>
      </c>
      <c r="L124" s="171"/>
      <c r="M124" s="171"/>
    </row>
    <row r="125" spans="11:26" ht="18" customHeight="1">
      <c r="K125" s="171" t="s">
        <v>14</v>
      </c>
      <c r="L125" s="171"/>
      <c r="M125" s="171"/>
    </row>
    <row r="126" spans="11:26" ht="18" customHeight="1">
      <c r="K126" s="171" t="s">
        <v>14</v>
      </c>
      <c r="L126" s="171"/>
      <c r="M126" s="171"/>
    </row>
    <row r="127" spans="11:26" ht="18" customHeight="1">
      <c r="K127" s="171" t="s">
        <v>14</v>
      </c>
      <c r="L127" s="171"/>
      <c r="M127" s="171"/>
    </row>
    <row r="128" spans="11:26" ht="18" customHeight="1">
      <c r="K128" s="171" t="s">
        <v>14</v>
      </c>
      <c r="L128" s="171"/>
      <c r="M128" s="171"/>
    </row>
    <row r="129" spans="11:13" ht="18" customHeight="1">
      <c r="K129" s="171" t="s">
        <v>14</v>
      </c>
      <c r="L129" s="171"/>
      <c r="M129" s="171"/>
    </row>
    <row r="130" spans="11:13" ht="18" customHeight="1">
      <c r="K130" s="171" t="s">
        <v>14</v>
      </c>
      <c r="L130" s="171"/>
      <c r="M130" s="171"/>
    </row>
    <row r="131" spans="11:13" ht="18" customHeight="1">
      <c r="K131" s="171" t="s">
        <v>14</v>
      </c>
      <c r="L131" s="171"/>
      <c r="M131" s="171"/>
    </row>
    <row r="132" spans="11:13" ht="18" customHeight="1">
      <c r="K132" s="171" t="s">
        <v>14</v>
      </c>
      <c r="L132" s="171"/>
      <c r="M132" s="171"/>
    </row>
    <row r="133" spans="11:13" ht="18" customHeight="1">
      <c r="K133" s="171" t="s">
        <v>14</v>
      </c>
      <c r="L133" s="171"/>
      <c r="M133" s="171"/>
    </row>
    <row r="134" spans="11:13" ht="18" customHeight="1">
      <c r="K134" s="171" t="s">
        <v>14</v>
      </c>
      <c r="L134" s="171"/>
      <c r="M134" s="171"/>
    </row>
    <row r="135" spans="11:13" ht="18" customHeight="1">
      <c r="K135" s="171" t="s">
        <v>14</v>
      </c>
      <c r="L135" s="171"/>
      <c r="M135" s="171"/>
    </row>
    <row r="136" spans="11:13" ht="18" customHeight="1">
      <c r="K136" s="171" t="s">
        <v>14</v>
      </c>
      <c r="L136" s="171"/>
      <c r="M136" s="171"/>
    </row>
    <row r="137" spans="11:13" ht="18" customHeight="1">
      <c r="K137" s="171" t="s">
        <v>14</v>
      </c>
      <c r="L137" s="171"/>
      <c r="M137" s="171"/>
    </row>
    <row r="138" spans="11:13" ht="18" customHeight="1">
      <c r="K138" s="171" t="s">
        <v>14</v>
      </c>
      <c r="L138" s="171"/>
      <c r="M138" s="171"/>
    </row>
    <row r="139" spans="11:13" ht="18" customHeight="1">
      <c r="K139" s="171" t="s">
        <v>14</v>
      </c>
      <c r="L139" s="171"/>
      <c r="M139" s="171"/>
    </row>
    <row r="140" spans="11:13" ht="18" customHeight="1">
      <c r="K140" s="171" t="s">
        <v>14</v>
      </c>
      <c r="L140" s="171"/>
      <c r="M140" s="171"/>
    </row>
    <row r="141" spans="11:13" ht="18" customHeight="1">
      <c r="K141" s="171" t="s">
        <v>14</v>
      </c>
      <c r="L141" s="171"/>
      <c r="M141" s="171"/>
    </row>
    <row r="142" spans="11:13" ht="18" customHeight="1">
      <c r="K142" s="171" t="s">
        <v>14</v>
      </c>
      <c r="L142" s="171"/>
      <c r="M142" s="171"/>
    </row>
    <row r="143" spans="11:13" ht="18" customHeight="1">
      <c r="K143" s="171" t="s">
        <v>14</v>
      </c>
      <c r="L143" s="171"/>
      <c r="M143" s="171"/>
    </row>
    <row r="144" spans="11:13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</row>
    <row r="808" spans="11:13" ht="18" customHeight="1">
      <c r="K808" s="171" t="s">
        <v>14</v>
      </c>
      <c r="L808" s="171"/>
    </row>
    <row r="809" spans="11:13" ht="18" customHeight="1">
      <c r="K809" s="171" t="s">
        <v>14</v>
      </c>
      <c r="L809" s="171"/>
    </row>
    <row r="810" spans="11:13" ht="18" customHeight="1">
      <c r="K810" s="171" t="s">
        <v>14</v>
      </c>
      <c r="L810" s="171"/>
    </row>
    <row r="811" spans="11:13" ht="18" customHeight="1">
      <c r="K811" s="171" t="s">
        <v>14</v>
      </c>
      <c r="L811" s="171"/>
    </row>
    <row r="812" spans="11:13" ht="18" customHeight="1">
      <c r="K812" s="171" t="s">
        <v>14</v>
      </c>
      <c r="L812" s="171"/>
    </row>
    <row r="813" spans="11:13" ht="18" customHeight="1">
      <c r="K813" s="171" t="s">
        <v>14</v>
      </c>
      <c r="L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L819" s="171"/>
    </row>
    <row r="820" spans="11:12" ht="18" customHeight="1">
      <c r="L820" s="171"/>
    </row>
    <row r="821" spans="11:12" ht="18" customHeight="1">
      <c r="L821" s="171"/>
    </row>
  </sheetData>
  <mergeCells count="19">
    <mergeCell ref="B3:C3"/>
    <mergeCell ref="D3:E3"/>
    <mergeCell ref="B4:C4"/>
    <mergeCell ref="D4:E4"/>
    <mergeCell ref="B5:C5"/>
    <mergeCell ref="D5:E5"/>
    <mergeCell ref="B6:C6"/>
    <mergeCell ref="D6:E6"/>
    <mergeCell ref="B13:C14"/>
    <mergeCell ref="J13:J14"/>
    <mergeCell ref="L13:L14"/>
    <mergeCell ref="G3:H3"/>
    <mergeCell ref="G4:H4"/>
    <mergeCell ref="G5:H5"/>
    <mergeCell ref="Q45:Q46"/>
    <mergeCell ref="Z45:Z46"/>
    <mergeCell ref="N45:N46"/>
    <mergeCell ref="O45:O46"/>
    <mergeCell ref="P45:P46"/>
  </mergeCells>
  <phoneticPr fontId="14" type="noConversion"/>
  <conditionalFormatting sqref="V15:V28">
    <cfRule type="cellIs" dxfId="3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43" min="13" max="28" man="1"/>
    <brk id="6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185" r:id="rId4" name="Drop Down 1">
              <controlPr defaultSize="0" autoLine="0" autoPict="0">
                <anchor moveWithCells="1">
                  <from>
                    <xdr:col>2</xdr:col>
                    <xdr:colOff>2181225</xdr:colOff>
                    <xdr:row>0</xdr:row>
                    <xdr:rowOff>161925</xdr:rowOff>
                  </from>
                  <to>
                    <xdr:col>7</xdr:col>
                    <xdr:colOff>190500</xdr:colOff>
                    <xdr:row>1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90">
    <tabColor rgb="FF92D050"/>
    <pageSetUpPr fitToPage="1"/>
  </sheetPr>
  <dimension ref="A1:AP842"/>
  <sheetViews>
    <sheetView showGridLines="0" zoomScale="85" zoomScaleNormal="85" zoomScaleSheetLayoutView="75" workbookViewId="0">
      <selection activeCell="K3" sqref="K3:N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15" style="1" customWidth="1"/>
    <col min="13" max="13" width="11" style="1" customWidth="1"/>
    <col min="14" max="14" width="15.6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2:42" ht="22.5">
      <c r="B1" s="356" t="s">
        <v>617</v>
      </c>
      <c r="D1" s="391">
        <v>2</v>
      </c>
      <c r="AC1" s="851" t="s">
        <v>620</v>
      </c>
      <c r="AD1" s="851"/>
      <c r="AE1" s="851" t="s">
        <v>619</v>
      </c>
      <c r="AF1" s="851"/>
      <c r="AG1" s="851"/>
      <c r="AH1" s="851"/>
      <c r="AI1" s="851"/>
      <c r="AJ1" s="851"/>
      <c r="AP1" s="391"/>
    </row>
    <row r="2" spans="2:42" ht="19.5" thickBot="1">
      <c r="B2" s="66" t="s">
        <v>1</v>
      </c>
      <c r="I2" s="391">
        <v>6</v>
      </c>
      <c r="J2" s="391">
        <v>5</v>
      </c>
      <c r="AC2" s="851"/>
      <c r="AD2" s="851"/>
      <c r="AE2" s="738" t="s">
        <v>621</v>
      </c>
      <c r="AF2" s="738" t="s">
        <v>622</v>
      </c>
      <c r="AG2" s="738" t="s">
        <v>623</v>
      </c>
      <c r="AH2" s="738" t="s">
        <v>624</v>
      </c>
      <c r="AI2" s="738" t="s">
        <v>625</v>
      </c>
      <c r="AJ2" s="738" t="s">
        <v>626</v>
      </c>
      <c r="AP2" s="391" t="s">
        <v>621</v>
      </c>
    </row>
    <row r="3" spans="2:42" ht="19.5" customHeight="1" thickBot="1">
      <c r="B3" s="773" t="s">
        <v>48</v>
      </c>
      <c r="C3" s="774"/>
      <c r="D3" s="775">
        <v>600</v>
      </c>
      <c r="E3" s="776"/>
      <c r="F3" s="316" t="str">
        <f>CHOOSE(D1,"㎢","만인")</f>
        <v>만인</v>
      </c>
      <c r="G3" s="364" t="s">
        <v>618</v>
      </c>
      <c r="H3" s="365"/>
      <c r="I3" s="366"/>
      <c r="J3" s="367"/>
      <c r="K3" s="838" t="s">
        <v>1104</v>
      </c>
      <c r="L3" s="839"/>
      <c r="M3" s="656">
        <v>2</v>
      </c>
      <c r="N3" s="669" t="s">
        <v>794</v>
      </c>
      <c r="AC3" s="854" t="s">
        <v>627</v>
      </c>
      <c r="AD3" s="738" t="s">
        <v>864</v>
      </c>
      <c r="AE3" s="739">
        <v>1</v>
      </c>
      <c r="AF3" s="739">
        <v>1.1299999999999999</v>
      </c>
      <c r="AG3" s="739">
        <v>1.27</v>
      </c>
      <c r="AH3" s="739">
        <v>1.4</v>
      </c>
      <c r="AI3" s="739">
        <v>1.53</v>
      </c>
      <c r="AJ3" s="739">
        <v>1.67</v>
      </c>
      <c r="AP3" s="391" t="s">
        <v>622</v>
      </c>
    </row>
    <row r="4" spans="2:42" ht="21.75" customHeight="1" thickTop="1">
      <c r="B4" s="777" t="s">
        <v>54</v>
      </c>
      <c r="C4" s="778"/>
      <c r="D4" s="779">
        <v>100</v>
      </c>
      <c r="E4" s="780"/>
      <c r="F4" s="359" t="str">
        <f>F3</f>
        <v>만인</v>
      </c>
      <c r="G4" s="361" t="s">
        <v>619</v>
      </c>
      <c r="H4" s="360"/>
      <c r="I4" s="360"/>
      <c r="J4" s="368"/>
      <c r="K4" s="777" t="s">
        <v>1109</v>
      </c>
      <c r="L4" s="814"/>
      <c r="M4" s="298">
        <v>2</v>
      </c>
      <c r="N4" s="670" t="s">
        <v>794</v>
      </c>
      <c r="AC4" s="854"/>
      <c r="AD4" s="738" t="s">
        <v>865</v>
      </c>
      <c r="AE4" s="739">
        <v>1</v>
      </c>
      <c r="AF4" s="739">
        <v>1.1200000000000001</v>
      </c>
      <c r="AG4" s="739">
        <v>1.23</v>
      </c>
      <c r="AH4" s="739">
        <v>1.35</v>
      </c>
      <c r="AI4" s="739">
        <v>1.47</v>
      </c>
      <c r="AJ4" s="739">
        <v>1.59</v>
      </c>
      <c r="AP4" s="391" t="s">
        <v>623</v>
      </c>
    </row>
    <row r="5" spans="2:42" ht="24" customHeight="1" thickBot="1">
      <c r="B5" s="781" t="str">
        <f>CHOOSE(D1,"①보정계수(α) = (A/600)0.2 :","①보정계수(α) = (A/50)0.25 :")</f>
        <v>①보정계수(α) = (A/50)0.25 :</v>
      </c>
      <c r="C5" s="782"/>
      <c r="D5" s="783">
        <f>CHOOSE(D1,ROUND((IF(D4&lt;=100,100,D4)/D3)^0.2,3),ROUND((IF(D4&lt;=10,10,D4)/D3)^0.25,3))</f>
        <v>0.63900000000000001</v>
      </c>
      <c r="E5" s="784"/>
      <c r="F5" s="317"/>
      <c r="G5" s="361" t="s">
        <v>2462</v>
      </c>
      <c r="H5" s="360"/>
      <c r="I5" s="360"/>
      <c r="J5" s="368"/>
      <c r="K5" s="817" t="s">
        <v>1102</v>
      </c>
      <c r="L5" s="818"/>
      <c r="M5" s="646">
        <f>ROUND(M4/M3,3)</f>
        <v>1</v>
      </c>
      <c r="N5" s="671"/>
      <c r="AC5" s="854"/>
      <c r="AD5" s="738" t="s">
        <v>866</v>
      </c>
      <c r="AE5" s="739">
        <v>1</v>
      </c>
      <c r="AF5" s="739">
        <v>1.0900000000000001</v>
      </c>
      <c r="AG5" s="739">
        <v>1.19</v>
      </c>
      <c r="AH5" s="739">
        <v>1.28</v>
      </c>
      <c r="AI5" s="739">
        <v>1.38</v>
      </c>
      <c r="AJ5" s="739">
        <v>1.47</v>
      </c>
      <c r="AP5" s="391" t="s">
        <v>624</v>
      </c>
    </row>
    <row r="6" spans="2:42" ht="23.25" customHeight="1" thickBot="1">
      <c r="B6" s="9" t="s">
        <v>2460</v>
      </c>
      <c r="C6" s="9"/>
      <c r="D6" s="740"/>
      <c r="E6" s="740"/>
      <c r="F6" s="9"/>
      <c r="G6" s="362" t="s">
        <v>2456</v>
      </c>
      <c r="H6" s="363"/>
      <c r="I6" s="363"/>
      <c r="J6" s="369">
        <f>INDEX($AE$3:$AJ$11,J2,I2)</f>
        <v>1.28</v>
      </c>
      <c r="K6" s="9" t="s">
        <v>1107</v>
      </c>
      <c r="N6" s="36"/>
      <c r="AC6" s="854"/>
      <c r="AD6" s="738" t="s">
        <v>867</v>
      </c>
      <c r="AE6" s="739">
        <v>1</v>
      </c>
      <c r="AF6" s="739">
        <v>1.07</v>
      </c>
      <c r="AG6" s="739">
        <v>1.1499999999999999</v>
      </c>
      <c r="AH6" s="739">
        <v>1.22</v>
      </c>
      <c r="AI6" s="739">
        <v>1.3</v>
      </c>
      <c r="AJ6" s="739">
        <v>1.37</v>
      </c>
      <c r="AP6" s="391" t="s">
        <v>625</v>
      </c>
    </row>
    <row r="7" spans="2:42" ht="23.25" customHeight="1">
      <c r="B7" s="9" t="s">
        <v>2459</v>
      </c>
      <c r="C7" s="9"/>
      <c r="D7" s="741"/>
      <c r="E7" s="741"/>
      <c r="F7" s="742"/>
      <c r="G7" s="428"/>
      <c r="H7" s="428"/>
      <c r="I7" s="428"/>
      <c r="J7" s="429"/>
      <c r="AC7" s="854"/>
      <c r="AD7" s="738" t="s">
        <v>868</v>
      </c>
      <c r="AE7" s="739">
        <v>1</v>
      </c>
      <c r="AF7" s="739">
        <v>1.06</v>
      </c>
      <c r="AG7" s="739">
        <v>1.1100000000000001</v>
      </c>
      <c r="AH7" s="739">
        <v>1.17</v>
      </c>
      <c r="AI7" s="739">
        <v>1.23</v>
      </c>
      <c r="AJ7" s="739">
        <v>1.28</v>
      </c>
      <c r="AP7" s="391" t="s">
        <v>626</v>
      </c>
    </row>
    <row r="8" spans="2:42" ht="23.25" customHeight="1">
      <c r="B8" s="9" t="s">
        <v>2461</v>
      </c>
      <c r="C8" s="9"/>
      <c r="D8" s="743"/>
      <c r="E8" s="743"/>
      <c r="F8" s="744"/>
      <c r="G8" s="428"/>
      <c r="H8" s="428"/>
      <c r="I8" s="428"/>
      <c r="J8" s="429"/>
      <c r="AC8" s="854"/>
      <c r="AD8" s="738" t="s">
        <v>869</v>
      </c>
      <c r="AE8" s="739">
        <v>1</v>
      </c>
      <c r="AF8" s="739">
        <v>1.04</v>
      </c>
      <c r="AG8" s="739">
        <v>1.08</v>
      </c>
      <c r="AH8" s="739">
        <v>1.1200000000000001</v>
      </c>
      <c r="AI8" s="739">
        <v>1.1599999999999999</v>
      </c>
      <c r="AJ8" s="739">
        <v>1.2</v>
      </c>
      <c r="AP8" s="391" t="s">
        <v>2457</v>
      </c>
    </row>
    <row r="9" spans="2:42" ht="23.25" customHeight="1">
      <c r="B9" s="855"/>
      <c r="C9" s="855"/>
      <c r="D9" s="855"/>
      <c r="E9" s="855"/>
      <c r="F9" s="855"/>
      <c r="G9" s="855"/>
      <c r="H9" s="855"/>
      <c r="I9" s="428"/>
      <c r="J9" s="429"/>
      <c r="AC9" s="854"/>
      <c r="AD9" s="738" t="s">
        <v>870</v>
      </c>
      <c r="AE9" s="739">
        <v>1</v>
      </c>
      <c r="AF9" s="739">
        <v>1.03</v>
      </c>
      <c r="AG9" s="739">
        <v>1.05</v>
      </c>
      <c r="AH9" s="739">
        <v>1.08</v>
      </c>
      <c r="AI9" s="739">
        <v>1.1100000000000001</v>
      </c>
      <c r="AJ9" s="739">
        <v>1.1399999999999999</v>
      </c>
      <c r="AP9" s="391" t="s">
        <v>2458</v>
      </c>
    </row>
    <row r="10" spans="2:42" ht="18" customHeight="1">
      <c r="B10" s="855"/>
      <c r="C10" s="855"/>
      <c r="D10" s="855"/>
      <c r="E10" s="855"/>
      <c r="F10" s="855"/>
      <c r="G10" s="855"/>
      <c r="H10" s="855"/>
      <c r="R10" s="1"/>
      <c r="S10" s="1"/>
      <c r="T10" s="1"/>
      <c r="AC10" s="854"/>
      <c r="AD10" s="738" t="s">
        <v>871</v>
      </c>
      <c r="AE10" s="739">
        <v>1</v>
      </c>
      <c r="AF10" s="739">
        <v>1.02</v>
      </c>
      <c r="AG10" s="739">
        <v>1.03</v>
      </c>
      <c r="AH10" s="739">
        <v>1.05</v>
      </c>
      <c r="AI10" s="739">
        <v>1.06</v>
      </c>
      <c r="AJ10" s="739">
        <v>1.08</v>
      </c>
      <c r="AP10" s="391"/>
    </row>
    <row r="11" spans="2:42" ht="18" customHeight="1">
      <c r="B11" s="9"/>
      <c r="C11" s="9"/>
      <c r="D11" s="64"/>
      <c r="E11" s="64"/>
      <c r="R11" s="1"/>
      <c r="S11" s="1"/>
      <c r="T11" s="1"/>
      <c r="AC11" s="854"/>
      <c r="AD11" s="738" t="s">
        <v>872</v>
      </c>
      <c r="AE11" s="739">
        <v>1</v>
      </c>
      <c r="AF11" s="739">
        <v>1.01</v>
      </c>
      <c r="AG11" s="739">
        <v>1.02</v>
      </c>
      <c r="AH11" s="739">
        <v>1.03</v>
      </c>
      <c r="AI11" s="739">
        <v>1.03</v>
      </c>
      <c r="AJ11" s="739">
        <v>1.04</v>
      </c>
    </row>
    <row r="12" spans="2:42" ht="18" customHeight="1">
      <c r="B12" s="9"/>
      <c r="C12" s="9"/>
      <c r="D12" s="64"/>
      <c r="E12" s="64"/>
      <c r="R12" s="1"/>
      <c r="S12" s="1"/>
      <c r="T12" s="1"/>
    </row>
    <row r="13" spans="2:42" ht="18" customHeight="1">
      <c r="B13" s="9"/>
      <c r="C13" s="9"/>
      <c r="D13" s="64"/>
      <c r="E13" s="64"/>
      <c r="R13" s="1"/>
      <c r="S13" s="1"/>
      <c r="T13" s="1"/>
    </row>
    <row r="14" spans="2:42" ht="18" customHeight="1">
      <c r="G14" s="36"/>
      <c r="W14" s="188" t="s">
        <v>3</v>
      </c>
      <c r="X14" s="189"/>
    </row>
    <row r="15" spans="2:42" ht="18" customHeight="1" thickBot="1">
      <c r="B15" s="66" t="s">
        <v>4</v>
      </c>
      <c r="C15" s="9"/>
      <c r="D15" s="64"/>
      <c r="E15" s="64"/>
      <c r="G15" s="36"/>
      <c r="N15" s="66" t="s">
        <v>5</v>
      </c>
    </row>
    <row r="16" spans="2:42" ht="18" customHeight="1" thickBot="1">
      <c r="B16" s="9"/>
      <c r="N16" s="151" t="s">
        <v>44</v>
      </c>
      <c r="O16" s="119"/>
      <c r="P16" s="119"/>
      <c r="Q16" s="120"/>
      <c r="R16" s="120"/>
      <c r="S16" s="120"/>
      <c r="T16" s="120"/>
      <c r="U16" s="121"/>
      <c r="V16" s="121"/>
      <c r="W16" s="186">
        <f ca="1">SUBTOTAL(9,W17:W56)</f>
        <v>186119298</v>
      </c>
      <c r="X16" s="187"/>
      <c r="Y16" s="177"/>
      <c r="Z16" s="167"/>
      <c r="AC16" s="737"/>
    </row>
    <row r="17" spans="1:26" ht="18" customHeight="1">
      <c r="A17" s="278"/>
      <c r="B17" s="757" t="s">
        <v>30</v>
      </c>
      <c r="C17" s="758"/>
      <c r="D17" s="14" t="s">
        <v>6</v>
      </c>
      <c r="E17" s="15"/>
      <c r="F17" s="15"/>
      <c r="G17" s="15"/>
      <c r="H17" s="15"/>
      <c r="I17" s="16"/>
      <c r="J17" s="761" t="s">
        <v>31</v>
      </c>
      <c r="L17" s="763" t="s">
        <v>7</v>
      </c>
      <c r="N17" s="127" t="s">
        <v>8</v>
      </c>
      <c r="O17" s="122"/>
      <c r="P17" s="122"/>
      <c r="Q17" s="123"/>
      <c r="R17" s="123"/>
      <c r="S17" s="123"/>
      <c r="T17" s="123"/>
      <c r="U17" s="184"/>
      <c r="V17" s="184"/>
      <c r="W17" s="163">
        <f ca="1">SUBTOTAL(9,W18:W53)</f>
        <v>66590089</v>
      </c>
      <c r="X17" s="164"/>
      <c r="Y17" s="178" t="s">
        <v>9</v>
      </c>
      <c r="Z17" s="179"/>
    </row>
    <row r="18" spans="1:26" ht="18" customHeight="1" thickBot="1">
      <c r="A18" s="278"/>
      <c r="B18" s="820"/>
      <c r="C18" s="821"/>
      <c r="D18" s="17" t="s">
        <v>33</v>
      </c>
      <c r="E18" s="19" t="s">
        <v>34</v>
      </c>
      <c r="F18" s="19" t="s">
        <v>35</v>
      </c>
      <c r="G18" s="19" t="s">
        <v>36</v>
      </c>
      <c r="H18" s="19" t="s">
        <v>37</v>
      </c>
      <c r="I18" s="18" t="s">
        <v>38</v>
      </c>
      <c r="J18" s="762"/>
      <c r="L18" s="764"/>
      <c r="N18" s="290" t="s">
        <v>45</v>
      </c>
      <c r="O18" s="124"/>
      <c r="P18" s="125"/>
      <c r="Q18" s="126"/>
      <c r="R18" s="126"/>
      <c r="S18" s="126"/>
      <c r="T18" s="126"/>
      <c r="U18" s="218"/>
      <c r="V18" s="218"/>
      <c r="W18" s="255">
        <f ca="1">SUBTOTAL(9,W19:W53)</f>
        <v>66590089</v>
      </c>
      <c r="X18" s="256"/>
      <c r="Y18" s="220"/>
      <c r="Z18" s="220"/>
    </row>
    <row r="19" spans="1:26" ht="18" customHeight="1">
      <c r="A19" s="279"/>
      <c r="B19" s="222" t="s">
        <v>629</v>
      </c>
      <c r="C19" s="47"/>
      <c r="D19" s="48">
        <f t="shared" ref="D19:I19" si="0">SUBTOTAL(9,D20:D20)</f>
        <v>0.4</v>
      </c>
      <c r="E19" s="49">
        <f t="shared" si="0"/>
        <v>0.4</v>
      </c>
      <c r="F19" s="49">
        <f t="shared" si="0"/>
        <v>0.9</v>
      </c>
      <c r="G19" s="49">
        <f t="shared" si="0"/>
        <v>0.7</v>
      </c>
      <c r="H19" s="49">
        <f t="shared" si="0"/>
        <v>0.4</v>
      </c>
      <c r="I19" s="50">
        <f t="shared" si="0"/>
        <v>0.4</v>
      </c>
      <c r="J19" s="654"/>
      <c r="L19" s="232"/>
      <c r="N19" s="354" t="str">
        <f>B19</f>
        <v>1. 분석계획수립</v>
      </c>
      <c r="O19" s="169"/>
      <c r="P19" s="169"/>
      <c r="Q19" s="169"/>
      <c r="R19" s="169"/>
      <c r="S19" s="169"/>
      <c r="T19" s="169"/>
      <c r="U19" s="226"/>
      <c r="V19" s="248"/>
      <c r="W19" s="193">
        <f ca="1">SUBTOTAL(9,W20)</f>
        <v>792533</v>
      </c>
      <c r="X19" s="194"/>
      <c r="Y19" s="170" t="str">
        <f>IF(A50&gt;0, "제 " &amp;A50&amp; " 호표","")</f>
        <v/>
      </c>
      <c r="Z19" s="170"/>
    </row>
    <row r="20" spans="1:26" ht="18" customHeight="1">
      <c r="A20" s="279"/>
      <c r="B20" s="223" t="s">
        <v>2433</v>
      </c>
      <c r="C20" s="23"/>
      <c r="D20" s="197">
        <v>0.4</v>
      </c>
      <c r="E20" s="198">
        <v>0.4</v>
      </c>
      <c r="F20" s="198">
        <v>0.9</v>
      </c>
      <c r="G20" s="198">
        <v>0.7</v>
      </c>
      <c r="H20" s="198">
        <v>0.4</v>
      </c>
      <c r="I20" s="199">
        <v>0.4</v>
      </c>
      <c r="J20" s="389" t="s">
        <v>2455</v>
      </c>
      <c r="L20" s="233">
        <v>1</v>
      </c>
      <c r="N20" s="292" t="str">
        <f t="shared" ref="N20:N48" si="1">B20</f>
        <v>1.1. 분석유형설정 및 계획수립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SUM((ROUNDDOWN((D51:I51)*단가,0)))</f>
        <v>792533</v>
      </c>
      <c r="X20" s="154"/>
      <c r="Y20" s="170" t="str">
        <f>IF(A51&gt;0, "제 " &amp;A51&amp; " 호표","")</f>
        <v>제 1 호표</v>
      </c>
      <c r="Z20" s="150"/>
    </row>
    <row r="21" spans="1:26" ht="18" customHeight="1">
      <c r="A21" s="279"/>
      <c r="B21" s="222" t="s">
        <v>628</v>
      </c>
      <c r="C21" s="47"/>
      <c r="D21" s="48">
        <f t="shared" ref="D21:I21" si="2">SUBTOTAL(9,D22:D24)</f>
        <v>0.2</v>
      </c>
      <c r="E21" s="49">
        <f t="shared" si="2"/>
        <v>0.30000000000000004</v>
      </c>
      <c r="F21" s="49">
        <f t="shared" si="2"/>
        <v>0.7</v>
      </c>
      <c r="G21" s="49">
        <f t="shared" si="2"/>
        <v>2.2000000000000002</v>
      </c>
      <c r="H21" s="49">
        <f t="shared" si="2"/>
        <v>3.2</v>
      </c>
      <c r="I21" s="50">
        <f t="shared" si="2"/>
        <v>3.5</v>
      </c>
      <c r="J21" s="389"/>
      <c r="L21" s="232"/>
      <c r="N21" s="79" t="str">
        <f t="shared" si="1"/>
        <v>2. 기초현황조사</v>
      </c>
      <c r="O21" s="37"/>
      <c r="P21" s="37"/>
      <c r="Q21" s="37"/>
      <c r="R21" s="37"/>
      <c r="S21" s="37"/>
      <c r="T21" s="37"/>
      <c r="U21" s="227"/>
      <c r="V21" s="231"/>
      <c r="W21" s="193">
        <f ca="1">SUBTOTAL(9,W22:W24)</f>
        <v>2288715</v>
      </c>
      <c r="X21" s="154"/>
      <c r="Y21" s="170" t="str">
        <f t="shared" ref="Y21:Y49" si="3">IF(A52&gt;0, "제 " &amp;A52&amp; " 호표","")</f>
        <v/>
      </c>
      <c r="Z21" s="150"/>
    </row>
    <row r="22" spans="1:26" ht="18" customHeight="1">
      <c r="A22" s="279"/>
      <c r="B22" s="223" t="s">
        <v>2434</v>
      </c>
      <c r="C22" s="23"/>
      <c r="D22" s="197">
        <v>0</v>
      </c>
      <c r="E22" s="198">
        <v>0.1</v>
      </c>
      <c r="F22" s="198">
        <v>0.2</v>
      </c>
      <c r="G22" s="198">
        <v>0.7</v>
      </c>
      <c r="H22" s="198">
        <v>1.1000000000000001</v>
      </c>
      <c r="I22" s="199">
        <v>1.1000000000000001</v>
      </c>
      <c r="J22" s="389" t="s">
        <v>1549</v>
      </c>
      <c r="L22" s="233">
        <v>1</v>
      </c>
      <c r="N22" s="292" t="str">
        <f t="shared" si="1"/>
        <v>2.1. 일반현황조사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SUM((ROUNDDOWN((D53:I53)*단가,0)))</f>
        <v>713584</v>
      </c>
      <c r="X22" s="154"/>
      <c r="Y22" s="170" t="str">
        <f t="shared" si="3"/>
        <v>제 2 호표</v>
      </c>
      <c r="Z22" s="150"/>
    </row>
    <row r="23" spans="1:26" ht="18" customHeight="1">
      <c r="A23" s="279"/>
      <c r="B23" s="223" t="s">
        <v>2435</v>
      </c>
      <c r="C23" s="23"/>
      <c r="D23" s="197">
        <v>0.1</v>
      </c>
      <c r="E23" s="198">
        <v>0.1</v>
      </c>
      <c r="F23" s="198">
        <v>0.3</v>
      </c>
      <c r="G23" s="198">
        <v>0.8</v>
      </c>
      <c r="H23" s="198">
        <v>1.3</v>
      </c>
      <c r="I23" s="199">
        <v>1.5</v>
      </c>
      <c r="J23" s="389" t="s">
        <v>1549</v>
      </c>
      <c r="L23" s="233">
        <v>1</v>
      </c>
      <c r="N23" s="292" t="str">
        <f t="shared" si="1"/>
        <v>2.2. 재해발생현황조사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SUM((ROUNDDOWN((D54:I54)*단가,0)))</f>
        <v>911936</v>
      </c>
      <c r="X23" s="154"/>
      <c r="Y23" s="170" t="str">
        <f t="shared" si="3"/>
        <v>제 3 호표</v>
      </c>
      <c r="Z23" s="150"/>
    </row>
    <row r="24" spans="1:26" ht="18" customHeight="1">
      <c r="A24" s="279"/>
      <c r="B24" s="223" t="s">
        <v>2436</v>
      </c>
      <c r="C24" s="23"/>
      <c r="D24" s="197">
        <v>0.1</v>
      </c>
      <c r="E24" s="198">
        <v>0.1</v>
      </c>
      <c r="F24" s="198">
        <v>0.2</v>
      </c>
      <c r="G24" s="198">
        <v>0.7</v>
      </c>
      <c r="H24" s="198">
        <v>0.8</v>
      </c>
      <c r="I24" s="199">
        <v>0.9</v>
      </c>
      <c r="J24" s="389" t="s">
        <v>1549</v>
      </c>
      <c r="L24" s="233">
        <v>1</v>
      </c>
      <c r="N24" s="292" t="str">
        <f t="shared" si="1"/>
        <v>2.3. 관련계획 조사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SUM((ROUNDDOWN((D55:I55)*단가,0)))</f>
        <v>663195</v>
      </c>
      <c r="X24" s="154"/>
      <c r="Y24" s="170" t="str">
        <f t="shared" si="3"/>
        <v>제 4 호표</v>
      </c>
      <c r="Z24" s="150"/>
    </row>
    <row r="25" spans="1:26" ht="18" customHeight="1">
      <c r="A25" s="279"/>
      <c r="B25" s="222" t="s">
        <v>873</v>
      </c>
      <c r="C25" s="47"/>
      <c r="D25" s="48">
        <f t="shared" ref="D25:I25" si="4">SUBTOTAL(9,D26:D27)</f>
        <v>1</v>
      </c>
      <c r="E25" s="49">
        <f t="shared" si="4"/>
        <v>6.4</v>
      </c>
      <c r="F25" s="49">
        <f t="shared" si="4"/>
        <v>10.5</v>
      </c>
      <c r="G25" s="49">
        <f t="shared" si="4"/>
        <v>17.2</v>
      </c>
      <c r="H25" s="49">
        <f t="shared" si="4"/>
        <v>16.600000000000001</v>
      </c>
      <c r="I25" s="50">
        <f t="shared" si="4"/>
        <v>16.100000000000001</v>
      </c>
      <c r="J25" s="389"/>
      <c r="L25" s="233"/>
      <c r="N25" s="79" t="str">
        <f t="shared" si="1"/>
        <v>3. 대상재해별 DB구축</v>
      </c>
      <c r="O25" s="37"/>
      <c r="P25" s="37"/>
      <c r="Q25" s="37"/>
      <c r="R25" s="37"/>
      <c r="S25" s="37"/>
      <c r="T25" s="37"/>
      <c r="U25" s="227"/>
      <c r="V25" s="231"/>
      <c r="W25" s="193">
        <f ca="1">SUBTOTAL(9,W26:W27)</f>
        <v>15653640</v>
      </c>
      <c r="X25" s="154"/>
      <c r="Y25" s="170" t="str">
        <f t="shared" si="3"/>
        <v/>
      </c>
      <c r="Z25" s="150"/>
    </row>
    <row r="26" spans="1:26" ht="18" customHeight="1">
      <c r="A26" s="279"/>
      <c r="B26" s="223" t="s">
        <v>2437</v>
      </c>
      <c r="C26" s="23"/>
      <c r="D26" s="197">
        <v>0.5</v>
      </c>
      <c r="E26" s="198">
        <v>3.2</v>
      </c>
      <c r="F26" s="198">
        <v>7</v>
      </c>
      <c r="G26" s="198">
        <v>9</v>
      </c>
      <c r="H26" s="198">
        <v>9</v>
      </c>
      <c r="I26" s="199">
        <v>9</v>
      </c>
      <c r="J26" s="389" t="s">
        <v>1549</v>
      </c>
      <c r="L26" s="233"/>
      <c r="N26" s="292" t="str">
        <f t="shared" si="1"/>
        <v>3.1. 도시민감도 DB구축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SUM((ROUNDDOWN((D57:I57)*단가,0)))</f>
        <v>8706701</v>
      </c>
      <c r="X26" s="154"/>
      <c r="Y26" s="170" t="str">
        <f t="shared" si="3"/>
        <v>제 5 호표</v>
      </c>
      <c r="Z26" s="150"/>
    </row>
    <row r="27" spans="1:26" ht="18" customHeight="1">
      <c r="A27" s="279"/>
      <c r="B27" s="223" t="s">
        <v>2438</v>
      </c>
      <c r="C27" s="23"/>
      <c r="D27" s="197">
        <v>0.5</v>
      </c>
      <c r="E27" s="198">
        <v>3.2</v>
      </c>
      <c r="F27" s="198">
        <v>3.5</v>
      </c>
      <c r="G27" s="198">
        <v>8.1999999999999993</v>
      </c>
      <c r="H27" s="198">
        <v>7.6</v>
      </c>
      <c r="I27" s="199">
        <v>7.1</v>
      </c>
      <c r="J27" s="389" t="s">
        <v>1549</v>
      </c>
      <c r="L27" s="233">
        <v>1</v>
      </c>
      <c r="N27" s="292" t="str">
        <f t="shared" si="1"/>
        <v>3.2. 기후노출 DB구축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SUM((ROUNDDOWN((D58:I58)*단가,0)))</f>
        <v>6946939</v>
      </c>
      <c r="X27" s="154"/>
      <c r="Y27" s="170" t="str">
        <f t="shared" si="3"/>
        <v>제 6 호표</v>
      </c>
      <c r="Z27" s="150"/>
    </row>
    <row r="28" spans="1:26" ht="18" customHeight="1">
      <c r="A28" s="279"/>
      <c r="B28" s="222" t="s">
        <v>874</v>
      </c>
      <c r="C28" s="47"/>
      <c r="D28" s="48">
        <f t="shared" ref="D28:I28" si="5">SUBTOTAL(9,D29:D36)</f>
        <v>2.7</v>
      </c>
      <c r="E28" s="49">
        <f t="shared" si="5"/>
        <v>6.3</v>
      </c>
      <c r="F28" s="49">
        <f t="shared" si="5"/>
        <v>11.4</v>
      </c>
      <c r="G28" s="49">
        <f t="shared" si="5"/>
        <v>17</v>
      </c>
      <c r="H28" s="49">
        <f t="shared" si="5"/>
        <v>20.5</v>
      </c>
      <c r="I28" s="50">
        <f t="shared" si="5"/>
        <v>17.8</v>
      </c>
      <c r="J28" s="389"/>
      <c r="L28" s="233"/>
      <c r="N28" s="79" t="str">
        <f t="shared" si="1"/>
        <v>4. 도시기후변화 취약성분석</v>
      </c>
      <c r="O28" s="37"/>
      <c r="P28" s="37"/>
      <c r="Q28" s="37"/>
      <c r="R28" s="37"/>
      <c r="S28" s="37"/>
      <c r="T28" s="37"/>
      <c r="U28" s="227"/>
      <c r="V28" s="231"/>
      <c r="W28" s="193">
        <f ca="1">SUBTOTAL(9,W29:W36)</f>
        <v>17470247</v>
      </c>
      <c r="X28" s="154"/>
      <c r="Y28" s="170" t="str">
        <f t="shared" si="3"/>
        <v/>
      </c>
      <c r="Z28" s="150"/>
    </row>
    <row r="29" spans="1:26" ht="18" customHeight="1">
      <c r="A29" s="279"/>
      <c r="B29" s="223" t="s">
        <v>2439</v>
      </c>
      <c r="C29" s="23"/>
      <c r="D29" s="197">
        <v>0.1</v>
      </c>
      <c r="E29" s="198">
        <v>0.1</v>
      </c>
      <c r="F29" s="198">
        <v>1</v>
      </c>
      <c r="G29" s="198">
        <v>1.5</v>
      </c>
      <c r="H29" s="198">
        <v>1</v>
      </c>
      <c r="I29" s="199">
        <v>0.5</v>
      </c>
      <c r="J29" s="389" t="s">
        <v>1549</v>
      </c>
      <c r="L29" s="233">
        <v>1</v>
      </c>
      <c r="N29" s="292" t="str">
        <f t="shared" si="1"/>
        <v>4.1. 재해취약성분석구조 및 절차수립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SUM((ROUNDDOWN((D60:I60)*단가,0)))</f>
        <v>975329</v>
      </c>
      <c r="X29" s="154"/>
      <c r="Y29" s="170" t="str">
        <f t="shared" si="3"/>
        <v>제 7 호표</v>
      </c>
      <c r="Z29" s="150"/>
    </row>
    <row r="30" spans="1:26" ht="18" customHeight="1">
      <c r="A30" s="279"/>
      <c r="B30" s="223" t="s">
        <v>2440</v>
      </c>
      <c r="C30" s="43"/>
      <c r="D30" s="206">
        <v>0.4</v>
      </c>
      <c r="E30" s="207">
        <v>0.8</v>
      </c>
      <c r="F30" s="207">
        <v>1.2</v>
      </c>
      <c r="G30" s="207">
        <v>2</v>
      </c>
      <c r="H30" s="207">
        <v>3.5</v>
      </c>
      <c r="I30" s="208">
        <v>3</v>
      </c>
      <c r="J30" s="389" t="s">
        <v>1549</v>
      </c>
      <c r="L30" s="233">
        <v>1</v>
      </c>
      <c r="N30" s="294" t="str">
        <f t="shared" si="1"/>
        <v>4.2. 현재 기후노출 분석</v>
      </c>
      <c r="O30" s="169"/>
      <c r="P30" s="169"/>
      <c r="Q30" s="169"/>
      <c r="R30" s="169"/>
      <c r="S30" s="169"/>
      <c r="T30" s="169"/>
      <c r="U30" s="226"/>
      <c r="V30" s="248"/>
      <c r="W30" s="153">
        <f t="array" aca="1" ref="W30" ca="1">SUM((ROUNDDOWN((D61:I61)*단가,0)))</f>
        <v>2492664</v>
      </c>
      <c r="X30" s="194"/>
      <c r="Y30" s="170" t="str">
        <f t="shared" si="3"/>
        <v>제 8 호표</v>
      </c>
      <c r="Z30" s="170"/>
    </row>
    <row r="31" spans="1:26" ht="18" customHeight="1">
      <c r="A31" s="279"/>
      <c r="B31" s="223" t="s">
        <v>2441</v>
      </c>
      <c r="C31" s="23"/>
      <c r="D31" s="197">
        <v>0.3</v>
      </c>
      <c r="E31" s="198">
        <v>1</v>
      </c>
      <c r="F31" s="198">
        <v>1.2</v>
      </c>
      <c r="G31" s="198">
        <v>2</v>
      </c>
      <c r="H31" s="198">
        <v>3</v>
      </c>
      <c r="I31" s="199">
        <v>2.5</v>
      </c>
      <c r="J31" s="389" t="s">
        <v>1549</v>
      </c>
      <c r="L31" s="233">
        <v>1</v>
      </c>
      <c r="N31" s="292" t="str">
        <f t="shared" si="1"/>
        <v>4.3. 도시민감도 분석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SUM((ROUNDDOWN((D62:I62)*단가,0)))</f>
        <v>2264050</v>
      </c>
      <c r="X31" s="154"/>
      <c r="Y31" s="170" t="str">
        <f t="shared" si="3"/>
        <v>제 9 호표</v>
      </c>
      <c r="Z31" s="150"/>
    </row>
    <row r="32" spans="1:26" ht="18" customHeight="1">
      <c r="A32" s="279"/>
      <c r="B32" s="223" t="s">
        <v>2442</v>
      </c>
      <c r="C32" s="43"/>
      <c r="D32" s="206">
        <v>0.3</v>
      </c>
      <c r="E32" s="207">
        <v>1</v>
      </c>
      <c r="F32" s="207">
        <v>1.2</v>
      </c>
      <c r="G32" s="207">
        <v>2.5</v>
      </c>
      <c r="H32" s="207">
        <v>3</v>
      </c>
      <c r="I32" s="208">
        <v>2.5</v>
      </c>
      <c r="J32" s="389" t="s">
        <v>1549</v>
      </c>
      <c r="L32" s="233">
        <v>1</v>
      </c>
      <c r="N32" s="292" t="str">
        <f t="shared" si="1"/>
        <v>4.4. 현재 취약성 분석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SUM((ROUNDDOWN((D63:I63)*단가,0)))</f>
        <v>2382106</v>
      </c>
      <c r="X32" s="154"/>
      <c r="Y32" s="170" t="str">
        <f t="shared" si="3"/>
        <v>제 10 호표</v>
      </c>
      <c r="Z32" s="150"/>
    </row>
    <row r="33" spans="1:26" ht="18" customHeight="1">
      <c r="A33" s="279"/>
      <c r="B33" s="223" t="s">
        <v>2443</v>
      </c>
      <c r="C33" s="23"/>
      <c r="D33" s="197">
        <v>0.5</v>
      </c>
      <c r="E33" s="198">
        <v>1.5</v>
      </c>
      <c r="F33" s="198">
        <v>2</v>
      </c>
      <c r="G33" s="198">
        <v>3.5</v>
      </c>
      <c r="H33" s="198">
        <v>3.5</v>
      </c>
      <c r="I33" s="199">
        <v>3</v>
      </c>
      <c r="J33" s="389" t="s">
        <v>1549</v>
      </c>
      <c r="L33" s="233">
        <v>1</v>
      </c>
      <c r="N33" s="292" t="str">
        <f t="shared" si="1"/>
        <v>4.5. 미래기후노출 분석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SUM((ROUNDDOWN((D64:I64)*단가,0)))</f>
        <v>3296271</v>
      </c>
      <c r="X33" s="154"/>
      <c r="Y33" s="170" t="str">
        <f t="shared" si="3"/>
        <v>제 11 호표</v>
      </c>
      <c r="Z33" s="150"/>
    </row>
    <row r="34" spans="1:26" ht="18" customHeight="1">
      <c r="A34" s="279"/>
      <c r="B34" s="223" t="s">
        <v>2444</v>
      </c>
      <c r="C34" s="23"/>
      <c r="D34" s="197">
        <v>0.5</v>
      </c>
      <c r="E34" s="198">
        <v>1</v>
      </c>
      <c r="F34" s="198">
        <v>1.8</v>
      </c>
      <c r="G34" s="198">
        <v>2</v>
      </c>
      <c r="H34" s="198">
        <v>2.5</v>
      </c>
      <c r="I34" s="199">
        <v>1.5</v>
      </c>
      <c r="J34" s="389" t="s">
        <v>1549</v>
      </c>
      <c r="L34" s="233">
        <v>1</v>
      </c>
      <c r="N34" s="294" t="str">
        <f t="shared" si="1"/>
        <v>4.6. 미래도시민감도 분석</v>
      </c>
      <c r="O34" s="169"/>
      <c r="P34" s="169"/>
      <c r="Q34" s="169"/>
      <c r="R34" s="169"/>
      <c r="S34" s="169"/>
      <c r="T34" s="169"/>
      <c r="U34" s="226"/>
      <c r="V34" s="248"/>
      <c r="W34" s="153">
        <f t="array" aca="1" ref="W34" ca="1">SUM((ROUNDDOWN((D65:I65)*단가,0)))</f>
        <v>2195136</v>
      </c>
      <c r="X34" s="194"/>
      <c r="Y34" s="170" t="str">
        <f t="shared" si="3"/>
        <v>제 12 호표</v>
      </c>
      <c r="Z34" s="170"/>
    </row>
    <row r="35" spans="1:26" ht="18" customHeight="1">
      <c r="A35" s="279"/>
      <c r="B35" s="223" t="s">
        <v>2445</v>
      </c>
      <c r="C35" s="23"/>
      <c r="D35" s="197">
        <v>0.5</v>
      </c>
      <c r="E35" s="198">
        <v>0.8</v>
      </c>
      <c r="F35" s="198">
        <v>1.8</v>
      </c>
      <c r="G35" s="198">
        <v>2</v>
      </c>
      <c r="H35" s="198">
        <v>2</v>
      </c>
      <c r="I35" s="199">
        <v>2.2999999999999998</v>
      </c>
      <c r="J35" s="389" t="s">
        <v>1549</v>
      </c>
      <c r="L35" s="233">
        <v>1</v>
      </c>
      <c r="N35" s="292" t="str">
        <f t="shared" si="1"/>
        <v>4.7. 미래취약성 분석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SUM((ROUNDDOWN((D66:I66)*단가,0)))</f>
        <v>2238678</v>
      </c>
      <c r="X35" s="154"/>
      <c r="Y35" s="170" t="str">
        <f t="shared" si="3"/>
        <v>제 13 호표</v>
      </c>
      <c r="Z35" s="150"/>
    </row>
    <row r="36" spans="1:26" ht="18" customHeight="1">
      <c r="A36" s="279"/>
      <c r="B36" s="223" t="s">
        <v>2446</v>
      </c>
      <c r="C36" s="23"/>
      <c r="D36" s="197">
        <v>0.1</v>
      </c>
      <c r="E36" s="198">
        <v>0.1</v>
      </c>
      <c r="F36" s="198">
        <v>1.2</v>
      </c>
      <c r="G36" s="198">
        <v>1.5</v>
      </c>
      <c r="H36" s="198">
        <v>2</v>
      </c>
      <c r="I36" s="199">
        <v>2.5</v>
      </c>
      <c r="J36" s="389" t="s">
        <v>1549</v>
      </c>
      <c r="L36" s="233">
        <v>1</v>
      </c>
      <c r="N36" s="292" t="str">
        <f t="shared" si="1"/>
        <v>4.8. 종합재해취약성 분석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SUM((ROUNDDOWN((D67:I67)*단가,0)))</f>
        <v>1626013</v>
      </c>
      <c r="X36" s="154"/>
      <c r="Y36" s="170" t="str">
        <f t="shared" si="3"/>
        <v>제 14 호표</v>
      </c>
      <c r="Z36" s="150"/>
    </row>
    <row r="37" spans="1:26" ht="18" customHeight="1">
      <c r="A37" s="279"/>
      <c r="B37" s="222" t="s">
        <v>875</v>
      </c>
      <c r="C37" s="47"/>
      <c r="D37" s="48">
        <f t="shared" ref="D37:I37" si="6">SUBTOTAL(9,D38:D41)</f>
        <v>2</v>
      </c>
      <c r="E37" s="49">
        <f t="shared" si="6"/>
        <v>3.8</v>
      </c>
      <c r="F37" s="49">
        <f t="shared" si="6"/>
        <v>5.4999999999999991</v>
      </c>
      <c r="G37" s="49">
        <f t="shared" si="6"/>
        <v>8.9</v>
      </c>
      <c r="H37" s="49">
        <f t="shared" si="6"/>
        <v>8.5</v>
      </c>
      <c r="I37" s="50">
        <f t="shared" si="6"/>
        <v>8.3000000000000007</v>
      </c>
      <c r="J37" s="389"/>
      <c r="L37" s="232"/>
      <c r="N37" s="79" t="str">
        <f t="shared" si="1"/>
        <v>5. 공간분석 및 현장조사</v>
      </c>
      <c r="O37" s="37"/>
      <c r="P37" s="37"/>
      <c r="Q37" s="37"/>
      <c r="R37" s="37"/>
      <c r="S37" s="37"/>
      <c r="T37" s="37"/>
      <c r="U37" s="227"/>
      <c r="V37" s="231"/>
      <c r="W37" s="193">
        <f ca="1">SUBTOTAL(9,W38:W41)</f>
        <v>8824429</v>
      </c>
      <c r="X37" s="154"/>
      <c r="Y37" s="170" t="str">
        <f t="shared" si="3"/>
        <v/>
      </c>
      <c r="Z37" s="150"/>
    </row>
    <row r="38" spans="1:26" ht="18" customHeight="1">
      <c r="A38" s="279"/>
      <c r="B38" s="223" t="s">
        <v>2447</v>
      </c>
      <c r="C38" s="23"/>
      <c r="D38" s="197">
        <v>0.2</v>
      </c>
      <c r="E38" s="198">
        <v>1</v>
      </c>
      <c r="F38" s="198">
        <v>1.5</v>
      </c>
      <c r="G38" s="198">
        <v>2.7</v>
      </c>
      <c r="H38" s="198">
        <v>3.3</v>
      </c>
      <c r="I38" s="199">
        <v>3.8</v>
      </c>
      <c r="J38" s="389" t="s">
        <v>1549</v>
      </c>
      <c r="L38" s="233">
        <v>1</v>
      </c>
      <c r="N38" s="292" t="str">
        <f t="shared" si="1"/>
        <v>5.1. 취약지역 공간분석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SUM((ROUNDDOWN((D69:I69)*단가,0)))</f>
        <v>2825496</v>
      </c>
      <c r="X38" s="154"/>
      <c r="Y38" s="170" t="str">
        <f t="shared" si="3"/>
        <v>제 15 호표</v>
      </c>
      <c r="Z38" s="150"/>
    </row>
    <row r="39" spans="1:26" ht="18" customHeight="1">
      <c r="A39" s="279"/>
      <c r="B39" s="223" t="s">
        <v>2448</v>
      </c>
      <c r="C39" s="23"/>
      <c r="D39" s="197">
        <v>0.6</v>
      </c>
      <c r="E39" s="198">
        <v>1</v>
      </c>
      <c r="F39" s="198">
        <v>1.8</v>
      </c>
      <c r="G39" s="198">
        <v>2.5</v>
      </c>
      <c r="H39" s="198">
        <v>3</v>
      </c>
      <c r="I39" s="199">
        <v>3</v>
      </c>
      <c r="J39" s="389" t="s">
        <v>1549</v>
      </c>
      <c r="L39" s="233">
        <v>1</v>
      </c>
      <c r="N39" s="294" t="str">
        <f t="shared" si="1"/>
        <v>5.2. 취약지 현장조사</v>
      </c>
      <c r="O39" s="169"/>
      <c r="P39" s="169"/>
      <c r="Q39" s="169"/>
      <c r="R39" s="169"/>
      <c r="S39" s="169"/>
      <c r="T39" s="169"/>
      <c r="U39" s="226"/>
      <c r="V39" s="248"/>
      <c r="W39" s="153">
        <f t="array" aca="1" ref="W39" ca="1">SUM((ROUNDDOWN((D70:I70)*단가,0)))</f>
        <v>2802756</v>
      </c>
      <c r="X39" s="194"/>
      <c r="Y39" s="170" t="str">
        <f t="shared" si="3"/>
        <v>제 16 호표</v>
      </c>
      <c r="Z39" s="170"/>
    </row>
    <row r="40" spans="1:26" ht="18" customHeight="1">
      <c r="A40" s="279"/>
      <c r="B40" s="223" t="s">
        <v>2449</v>
      </c>
      <c r="C40" s="23"/>
      <c r="D40" s="197">
        <v>0.5</v>
      </c>
      <c r="E40" s="198">
        <v>0.8</v>
      </c>
      <c r="F40" s="198">
        <v>1.4</v>
      </c>
      <c r="G40" s="198">
        <v>2</v>
      </c>
      <c r="H40" s="198">
        <v>1.2</v>
      </c>
      <c r="I40" s="199">
        <v>1</v>
      </c>
      <c r="J40" s="389" t="s">
        <v>1549</v>
      </c>
      <c r="L40" s="233">
        <v>1</v>
      </c>
      <c r="N40" s="292" t="str">
        <f t="shared" si="1"/>
        <v>5.3. 현장조사 결과 분석</v>
      </c>
      <c r="O40" s="37"/>
      <c r="P40" s="37"/>
      <c r="Q40" s="37"/>
      <c r="R40" s="37"/>
      <c r="S40" s="37"/>
      <c r="T40" s="37"/>
      <c r="U40" s="227"/>
      <c r="V40" s="231"/>
      <c r="W40" s="153">
        <f t="array" aca="1" ref="W40" ca="1">SUM((ROUNDDOWN((D71:I71)*단가,0)))</f>
        <v>1697953</v>
      </c>
      <c r="X40" s="154"/>
      <c r="Y40" s="170" t="str">
        <f t="shared" si="3"/>
        <v>제 17 호표</v>
      </c>
      <c r="Z40" s="150"/>
    </row>
    <row r="41" spans="1:26" ht="18" customHeight="1">
      <c r="A41" s="279"/>
      <c r="B41" s="223" t="s">
        <v>2450</v>
      </c>
      <c r="C41" s="23"/>
      <c r="D41" s="197">
        <v>0.7</v>
      </c>
      <c r="E41" s="198">
        <v>1</v>
      </c>
      <c r="F41" s="198">
        <v>0.8</v>
      </c>
      <c r="G41" s="198">
        <v>1.7</v>
      </c>
      <c r="H41" s="198">
        <v>1</v>
      </c>
      <c r="I41" s="199">
        <v>0.5</v>
      </c>
      <c r="J41" s="389" t="s">
        <v>1549</v>
      </c>
      <c r="L41" s="233">
        <v>1</v>
      </c>
      <c r="N41" s="292" t="str">
        <f t="shared" si="1"/>
        <v>5.4. 현재취약지 평가 및 개선방향 수립</v>
      </c>
      <c r="O41" s="37"/>
      <c r="P41" s="37"/>
      <c r="Q41" s="37"/>
      <c r="R41" s="37"/>
      <c r="S41" s="37"/>
      <c r="T41" s="37"/>
      <c r="U41" s="227"/>
      <c r="V41" s="231"/>
      <c r="W41" s="153">
        <f t="array" aca="1" ref="W41" ca="1">SUM((ROUNDDOWN((D72:I72)*단가,0)))</f>
        <v>1498224</v>
      </c>
      <c r="X41" s="154"/>
      <c r="Y41" s="170" t="str">
        <f t="shared" si="3"/>
        <v>제 18 호표</v>
      </c>
      <c r="Z41" s="150"/>
    </row>
    <row r="42" spans="1:26" ht="18" customHeight="1">
      <c r="A42" s="279"/>
      <c r="B42" s="222" t="s">
        <v>876</v>
      </c>
      <c r="C42" s="47"/>
      <c r="D42" s="48">
        <f t="shared" ref="D42:I42" si="7">SUBTOTAL(9,D43)</f>
        <v>0.6</v>
      </c>
      <c r="E42" s="49">
        <f t="shared" si="7"/>
        <v>0.8</v>
      </c>
      <c r="F42" s="49">
        <f t="shared" si="7"/>
        <v>0.7</v>
      </c>
      <c r="G42" s="49">
        <f t="shared" si="7"/>
        <v>1.1000000000000001</v>
      </c>
      <c r="H42" s="49">
        <f t="shared" si="7"/>
        <v>0.6</v>
      </c>
      <c r="I42" s="50">
        <f t="shared" si="7"/>
        <v>0.4</v>
      </c>
      <c r="J42" s="389"/>
      <c r="L42" s="232"/>
      <c r="N42" s="354" t="str">
        <f t="shared" si="1"/>
        <v>6. 정책제언</v>
      </c>
      <c r="O42" s="169"/>
      <c r="P42" s="169"/>
      <c r="Q42" s="169"/>
      <c r="R42" s="169"/>
      <c r="S42" s="169"/>
      <c r="T42" s="169"/>
      <c r="U42" s="226"/>
      <c r="V42" s="248"/>
      <c r="W42" s="193">
        <f ca="1">SUBTOTAL(9,W43)</f>
        <v>1139864</v>
      </c>
      <c r="X42" s="257"/>
      <c r="Y42" s="170" t="str">
        <f t="shared" si="3"/>
        <v/>
      </c>
      <c r="Z42" s="169"/>
    </row>
    <row r="43" spans="1:26" ht="18" customHeight="1">
      <c r="A43" s="279"/>
      <c r="B43" s="223" t="s">
        <v>2451</v>
      </c>
      <c r="C43" s="23"/>
      <c r="D43" s="197">
        <v>0.6</v>
      </c>
      <c r="E43" s="198">
        <v>0.8</v>
      </c>
      <c r="F43" s="198">
        <v>0.7</v>
      </c>
      <c r="G43" s="198">
        <v>1.1000000000000001</v>
      </c>
      <c r="H43" s="198">
        <v>0.6</v>
      </c>
      <c r="I43" s="199">
        <v>0.4</v>
      </c>
      <c r="J43" s="389" t="s">
        <v>1549</v>
      </c>
      <c r="L43" s="233">
        <v>1</v>
      </c>
      <c r="N43" s="292" t="str">
        <f t="shared" si="1"/>
        <v>6.1. 요약 및 정책제언</v>
      </c>
      <c r="O43" s="37"/>
      <c r="P43" s="37"/>
      <c r="Q43" s="37"/>
      <c r="R43" s="37"/>
      <c r="S43" s="37"/>
      <c r="T43" s="37"/>
      <c r="U43" s="353"/>
      <c r="V43" s="248"/>
      <c r="W43" s="153">
        <f t="array" aca="1" ref="W43" ca="1">SUM((ROUNDDOWN((D74:I74)*단가,0)))</f>
        <v>1139864</v>
      </c>
      <c r="X43" s="113"/>
      <c r="Y43" s="170" t="str">
        <f t="shared" si="3"/>
        <v>제 19 호표</v>
      </c>
      <c r="Z43" s="37"/>
    </row>
    <row r="44" spans="1:26" ht="18" customHeight="1">
      <c r="A44" s="279"/>
      <c r="B44" s="222" t="s">
        <v>877</v>
      </c>
      <c r="C44" s="47"/>
      <c r="D44" s="48">
        <f t="shared" ref="D44:I44" si="8">SUBTOTAL(9,D45)</f>
        <v>0.4</v>
      </c>
      <c r="E44" s="49">
        <f t="shared" si="8"/>
        <v>0.4</v>
      </c>
      <c r="F44" s="49">
        <f t="shared" si="8"/>
        <v>1.2</v>
      </c>
      <c r="G44" s="49">
        <f t="shared" si="8"/>
        <v>2</v>
      </c>
      <c r="H44" s="49">
        <f t="shared" si="8"/>
        <v>1.4</v>
      </c>
      <c r="I44" s="50">
        <f t="shared" si="8"/>
        <v>1.4</v>
      </c>
      <c r="J44" s="389"/>
      <c r="L44" s="232"/>
      <c r="N44" s="354" t="str">
        <f t="shared" si="1"/>
        <v>7. 성과품 작성</v>
      </c>
      <c r="O44" s="169"/>
      <c r="P44" s="169"/>
      <c r="Q44" s="169"/>
      <c r="R44" s="169"/>
      <c r="S44" s="169"/>
      <c r="T44" s="169"/>
      <c r="U44" s="226"/>
      <c r="V44" s="248"/>
      <c r="W44" s="193">
        <f ca="1">SUBTOTAL(9,W45)</f>
        <v>1569373</v>
      </c>
      <c r="X44" s="194"/>
      <c r="Y44" s="170" t="str">
        <f t="shared" si="3"/>
        <v/>
      </c>
      <c r="Z44" s="170"/>
    </row>
    <row r="45" spans="1:26" ht="18" customHeight="1">
      <c r="A45" s="279"/>
      <c r="B45" s="223" t="s">
        <v>2452</v>
      </c>
      <c r="C45" s="23"/>
      <c r="D45" s="197">
        <v>0.4</v>
      </c>
      <c r="E45" s="198">
        <v>0.4</v>
      </c>
      <c r="F45" s="198">
        <v>1.2</v>
      </c>
      <c r="G45" s="198">
        <v>2</v>
      </c>
      <c r="H45" s="198">
        <v>1.4</v>
      </c>
      <c r="I45" s="199">
        <v>1.4</v>
      </c>
      <c r="J45" s="443" t="s">
        <v>1549</v>
      </c>
      <c r="L45" s="233">
        <v>1</v>
      </c>
      <c r="N45" s="292" t="str">
        <f t="shared" si="1"/>
        <v>7.1. 보고서 작성</v>
      </c>
      <c r="O45" s="37"/>
      <c r="P45" s="37"/>
      <c r="Q45" s="37"/>
      <c r="R45" s="37"/>
      <c r="S45" s="37"/>
      <c r="T45" s="37"/>
      <c r="U45" s="227"/>
      <c r="V45" s="231"/>
      <c r="W45" s="153">
        <f t="array" aca="1" ref="W45" ca="1">SUM((ROUNDDOWN((D76:I76)*단가,0)))</f>
        <v>1569373</v>
      </c>
      <c r="X45" s="154"/>
      <c r="Y45" s="170" t="str">
        <f t="shared" si="3"/>
        <v>제 20 호표</v>
      </c>
      <c r="Z45" s="150"/>
    </row>
    <row r="46" spans="1:26" ht="18" customHeight="1">
      <c r="A46" s="279"/>
      <c r="B46" s="222" t="s">
        <v>878</v>
      </c>
      <c r="C46" s="47"/>
      <c r="D46" s="48">
        <f t="array" ref="D46:I46">SUBTOTAL(9,D47:D48)</f>
        <v>4</v>
      </c>
      <c r="E46" s="49">
        <v>4</v>
      </c>
      <c r="F46" s="49">
        <v>4</v>
      </c>
      <c r="G46" s="49">
        <v>4</v>
      </c>
      <c r="H46" s="49">
        <v>4</v>
      </c>
      <c r="I46" s="50">
        <v>4</v>
      </c>
      <c r="J46" s="389"/>
      <c r="L46" s="233"/>
      <c r="N46" s="354" t="str">
        <f t="shared" si="1"/>
        <v>8. 기술협의</v>
      </c>
      <c r="O46" s="169"/>
      <c r="P46" s="169"/>
      <c r="Q46" s="169"/>
      <c r="R46" s="169"/>
      <c r="S46" s="169"/>
      <c r="T46" s="169"/>
      <c r="U46" s="226"/>
      <c r="V46" s="248"/>
      <c r="W46" s="193">
        <f ca="1">SUBTOTAL(9,W47:W48)</f>
        <v>10851288</v>
      </c>
      <c r="X46" s="257"/>
      <c r="Y46" s="170" t="str">
        <f t="shared" si="3"/>
        <v/>
      </c>
      <c r="Z46" s="169"/>
    </row>
    <row r="47" spans="1:26" ht="18" customHeight="1">
      <c r="A47" s="279"/>
      <c r="B47" s="223" t="s">
        <v>2453</v>
      </c>
      <c r="C47" s="23"/>
      <c r="D47" s="197">
        <v>2</v>
      </c>
      <c r="E47" s="198">
        <v>2</v>
      </c>
      <c r="F47" s="198">
        <v>2</v>
      </c>
      <c r="G47" s="198">
        <v>4</v>
      </c>
      <c r="H47" s="198">
        <v>4</v>
      </c>
      <c r="I47" s="199">
        <v>4</v>
      </c>
      <c r="J47" s="389" t="s">
        <v>2421</v>
      </c>
      <c r="L47" s="233">
        <v>1</v>
      </c>
      <c r="N47" s="292" t="str">
        <f t="shared" si="1"/>
        <v>8.1. 전문가 자문 및 지원</v>
      </c>
      <c r="O47" s="37"/>
      <c r="P47" s="37"/>
      <c r="Q47" s="37"/>
      <c r="R47" s="37"/>
      <c r="S47" s="37"/>
      <c r="T47" s="37"/>
      <c r="U47" s="353"/>
      <c r="V47" s="248"/>
      <c r="W47" s="153">
        <f t="array" aca="1" ref="W47" ca="1">SUM((ROUNDDOWN((D78:I78)*단가,0)))</f>
        <v>5425644</v>
      </c>
      <c r="X47" s="113"/>
      <c r="Y47" s="170" t="str">
        <f t="shared" si="3"/>
        <v>제 21 호표</v>
      </c>
      <c r="Z47" s="37"/>
    </row>
    <row r="48" spans="1:26" ht="18" customHeight="1" thickBot="1">
      <c r="A48" s="279"/>
      <c r="B48" s="259" t="s">
        <v>2454</v>
      </c>
      <c r="C48" s="43"/>
      <c r="D48" s="206">
        <v>2</v>
      </c>
      <c r="E48" s="207">
        <v>2</v>
      </c>
      <c r="F48" s="207">
        <v>2</v>
      </c>
      <c r="G48" s="207">
        <v>4</v>
      </c>
      <c r="H48" s="207">
        <v>4</v>
      </c>
      <c r="I48" s="208">
        <v>4</v>
      </c>
      <c r="J48" s="612" t="s">
        <v>1094</v>
      </c>
      <c r="L48" s="233">
        <v>1</v>
      </c>
      <c r="N48" s="292" t="str">
        <f t="shared" si="1"/>
        <v>8.2. 관계기관 협의</v>
      </c>
      <c r="O48" s="37"/>
      <c r="P48" s="37"/>
      <c r="Q48" s="37"/>
      <c r="R48" s="37"/>
      <c r="S48" s="37"/>
      <c r="T48" s="37"/>
      <c r="U48" s="353"/>
      <c r="V48" s="248"/>
      <c r="W48" s="153">
        <f t="array" aca="1" ref="W48" ca="1">SUM((ROUNDDOWN((D79:I79)*단가,0)))</f>
        <v>5425644</v>
      </c>
      <c r="X48" s="113"/>
      <c r="Y48" s="170" t="str">
        <f t="shared" si="3"/>
        <v>제 22 호표</v>
      </c>
      <c r="Z48" s="37"/>
    </row>
    <row r="49" spans="1:26" ht="18" customHeight="1" thickBot="1">
      <c r="A49" s="279"/>
      <c r="B49" s="14" t="s">
        <v>30</v>
      </c>
      <c r="C49" s="16"/>
      <c r="D49" s="14" t="s">
        <v>12</v>
      </c>
      <c r="E49" s="15"/>
      <c r="F49" s="15"/>
      <c r="G49" s="15"/>
      <c r="H49" s="15"/>
      <c r="I49" s="16"/>
      <c r="J49" s="175" t="s">
        <v>31</v>
      </c>
      <c r="N49" s="292"/>
      <c r="O49" s="37"/>
      <c r="P49" s="37"/>
      <c r="Q49" s="37"/>
      <c r="R49" s="37"/>
      <c r="S49" s="37"/>
      <c r="T49" s="37"/>
      <c r="U49" s="353"/>
      <c r="V49" s="248"/>
      <c r="W49" s="852"/>
      <c r="X49" s="853"/>
      <c r="Y49" s="170" t="str">
        <f t="shared" si="3"/>
        <v/>
      </c>
      <c r="Z49" s="37"/>
    </row>
    <row r="50" spans="1:26" ht="18" customHeight="1">
      <c r="A50" s="279"/>
      <c r="B50" s="222" t="s">
        <v>629</v>
      </c>
      <c r="C50" s="47"/>
      <c r="D50" s="48">
        <f t="shared" ref="D50:I50" si="9">SUBTOTAL(9,D51:D51)</f>
        <v>0.3</v>
      </c>
      <c r="E50" s="49">
        <f t="shared" si="9"/>
        <v>0.3</v>
      </c>
      <c r="F50" s="49">
        <f t="shared" si="9"/>
        <v>0.7</v>
      </c>
      <c r="G50" s="49">
        <f t="shared" si="9"/>
        <v>0.6</v>
      </c>
      <c r="H50" s="49">
        <f t="shared" si="9"/>
        <v>0.3</v>
      </c>
      <c r="I50" s="50">
        <f t="shared" si="9"/>
        <v>0.3</v>
      </c>
      <c r="J50" s="73"/>
      <c r="N50" s="290" t="s">
        <v>10</v>
      </c>
      <c r="O50" s="129"/>
      <c r="P50" s="130"/>
      <c r="Q50" s="124"/>
      <c r="R50" s="131"/>
      <c r="S50" s="124"/>
      <c r="T50" s="124"/>
      <c r="U50" s="181"/>
      <c r="V50" s="181"/>
      <c r="W50" s="159">
        <f>SUBTOTAL(9,W51:W53)</f>
        <v>8000000</v>
      </c>
      <c r="X50" s="160"/>
      <c r="Y50" s="124"/>
      <c r="Z50" s="124"/>
    </row>
    <row r="51" spans="1:26" ht="18" customHeight="1">
      <c r="A51" s="278">
        <v>1</v>
      </c>
      <c r="B51" s="223" t="s">
        <v>2433</v>
      </c>
      <c r="C51" s="23"/>
      <c r="D51" s="197">
        <f t="array" ref="D51:I51">ROUND(D20:I20*L20*D5*J6,1)</f>
        <v>0.3</v>
      </c>
      <c r="E51" s="198">
        <v>0.3</v>
      </c>
      <c r="F51" s="198">
        <v>0.7</v>
      </c>
      <c r="G51" s="198">
        <v>0.6</v>
      </c>
      <c r="H51" s="198">
        <v>0.3</v>
      </c>
      <c r="I51" s="199">
        <v>0.3</v>
      </c>
      <c r="J51" s="74"/>
      <c r="N51" s="128" t="str">
        <f>"여비("&amp;TEXT(R51,"#인 ×")&amp;TEXT(S51,"#일 ×")&amp;TEXT(T51,"###,###원)")</f>
        <v>여비(3인 ×10일 ×100,000원)</v>
      </c>
      <c r="O51" s="78"/>
      <c r="P51" s="52"/>
      <c r="Q51" s="51"/>
      <c r="R51" s="146">
        <v>3</v>
      </c>
      <c r="S51" s="146">
        <v>10</v>
      </c>
      <c r="T51" s="147">
        <v>100000</v>
      </c>
      <c r="U51" s="182"/>
      <c r="V51" s="182"/>
      <c r="W51" s="161">
        <f>R51*S51*T51</f>
        <v>3000000</v>
      </c>
      <c r="X51" s="162"/>
      <c r="Y51" s="51"/>
      <c r="Z51" s="51"/>
    </row>
    <row r="52" spans="1:26" ht="18" customHeight="1">
      <c r="A52" s="278"/>
      <c r="B52" s="222" t="s">
        <v>628</v>
      </c>
      <c r="C52" s="47"/>
      <c r="D52" s="48">
        <f t="shared" ref="D52:I52" si="10">SUBTOTAL(9,D53:D55)</f>
        <v>0.2</v>
      </c>
      <c r="E52" s="49">
        <f t="shared" si="10"/>
        <v>0.30000000000000004</v>
      </c>
      <c r="F52" s="49">
        <f t="shared" si="10"/>
        <v>0.60000000000000009</v>
      </c>
      <c r="G52" s="49">
        <f t="shared" si="10"/>
        <v>1.9</v>
      </c>
      <c r="H52" s="49">
        <f t="shared" si="10"/>
        <v>2.7</v>
      </c>
      <c r="I52" s="50">
        <f t="shared" si="10"/>
        <v>2.8</v>
      </c>
      <c r="J52" s="74"/>
      <c r="N52" s="79" t="s">
        <v>46</v>
      </c>
      <c r="O52" s="79"/>
      <c r="P52" s="39"/>
      <c r="Q52" s="37"/>
      <c r="R52" s="117"/>
      <c r="S52" s="37"/>
      <c r="T52" s="37"/>
      <c r="U52" s="180"/>
      <c r="V52" s="180"/>
      <c r="W52" s="157">
        <v>3000000</v>
      </c>
      <c r="X52" s="158"/>
      <c r="Y52" s="37"/>
      <c r="Z52" s="37"/>
    </row>
    <row r="53" spans="1:26" ht="18" customHeight="1">
      <c r="A53" s="278">
        <v>2</v>
      </c>
      <c r="B53" s="223" t="s">
        <v>2434</v>
      </c>
      <c r="C53" s="23"/>
      <c r="D53" s="197">
        <f t="array" ref="D53:I55">ROUND(D22:I24*L22:L24*D5*J6,1)</f>
        <v>0</v>
      </c>
      <c r="E53" s="198">
        <v>0.1</v>
      </c>
      <c r="F53" s="198">
        <v>0.2</v>
      </c>
      <c r="G53" s="198">
        <v>0.6</v>
      </c>
      <c r="H53" s="198">
        <v>0.9</v>
      </c>
      <c r="I53" s="199">
        <v>0.9</v>
      </c>
      <c r="J53" s="74"/>
      <c r="N53" s="132" t="s">
        <v>13</v>
      </c>
      <c r="O53" s="132"/>
      <c r="P53" s="38"/>
      <c r="Q53" s="38"/>
      <c r="R53" s="116"/>
      <c r="S53" s="38"/>
      <c r="T53" s="38"/>
      <c r="U53" s="183"/>
      <c r="V53" s="183"/>
      <c r="W53" s="155">
        <v>2000000</v>
      </c>
      <c r="X53" s="156"/>
      <c r="Y53" s="38"/>
      <c r="Z53" s="38"/>
    </row>
    <row r="54" spans="1:26" ht="18" customHeight="1">
      <c r="A54" s="278">
        <v>3</v>
      </c>
      <c r="B54" s="223" t="s">
        <v>2435</v>
      </c>
      <c r="C54" s="23"/>
      <c r="D54" s="197">
        <v>0.1</v>
      </c>
      <c r="E54" s="198">
        <v>0.1</v>
      </c>
      <c r="F54" s="198">
        <v>0.2</v>
      </c>
      <c r="G54" s="198">
        <v>0.7</v>
      </c>
      <c r="H54" s="198">
        <v>1.1000000000000001</v>
      </c>
      <c r="I54" s="199">
        <v>1.2</v>
      </c>
      <c r="J54" s="74"/>
      <c r="N54" s="127" t="s">
        <v>47</v>
      </c>
      <c r="O54" s="123"/>
      <c r="P54" s="123"/>
      <c r="Q54" s="123"/>
      <c r="R54" s="123"/>
      <c r="S54" s="123"/>
      <c r="T54" s="123"/>
      <c r="U54" s="184"/>
      <c r="V54" s="184"/>
      <c r="W54" s="163">
        <f ca="1">SUBTOTAL(9,W55:W56)</f>
        <v>119529209</v>
      </c>
      <c r="X54" s="164"/>
      <c r="Y54" s="123"/>
      <c r="Z54" s="123"/>
    </row>
    <row r="55" spans="1:26" ht="18" customHeight="1">
      <c r="A55" s="278">
        <v>4</v>
      </c>
      <c r="B55" s="223" t="s">
        <v>2436</v>
      </c>
      <c r="C55" s="23"/>
      <c r="D55" s="197">
        <v>0.1</v>
      </c>
      <c r="E55" s="198">
        <v>0.1</v>
      </c>
      <c r="F55" s="198">
        <v>0.2</v>
      </c>
      <c r="G55" s="198">
        <v>0.6</v>
      </c>
      <c r="H55" s="198">
        <v>0.7</v>
      </c>
      <c r="I55" s="199">
        <v>0.7</v>
      </c>
      <c r="J55" s="74"/>
      <c r="N55" s="133" t="s">
        <v>861</v>
      </c>
      <c r="O55" s="124"/>
      <c r="P55" s="134"/>
      <c r="Q55" s="124"/>
      <c r="R55" s="131"/>
      <c r="S55" s="124"/>
      <c r="T55" s="181"/>
      <c r="U55" s="181"/>
      <c r="V55" s="190">
        <v>1.1499999999999999</v>
      </c>
      <c r="W55" s="159">
        <f ca="1">ROUNDDOWN(W18*V55,0)</f>
        <v>76578602</v>
      </c>
      <c r="X55" s="160"/>
      <c r="Y55" s="124"/>
      <c r="Z55" s="124"/>
    </row>
    <row r="56" spans="1:26" ht="18" customHeight="1" thickBot="1">
      <c r="A56" s="278"/>
      <c r="B56" s="222" t="s">
        <v>873</v>
      </c>
      <c r="C56" s="47"/>
      <c r="D56" s="48">
        <f t="shared" ref="D56:I56" si="11">SUBTOTAL(9,D57:D58)</f>
        <v>0.8</v>
      </c>
      <c r="E56" s="49">
        <f t="shared" si="11"/>
        <v>5.2</v>
      </c>
      <c r="F56" s="49">
        <f t="shared" si="11"/>
        <v>8.6</v>
      </c>
      <c r="G56" s="49">
        <f t="shared" si="11"/>
        <v>14.100000000000001</v>
      </c>
      <c r="H56" s="49">
        <f t="shared" si="11"/>
        <v>13.600000000000001</v>
      </c>
      <c r="I56" s="50">
        <f t="shared" si="11"/>
        <v>13.2</v>
      </c>
      <c r="J56" s="74"/>
      <c r="N56" s="135" t="s">
        <v>862</v>
      </c>
      <c r="O56" s="136"/>
      <c r="P56" s="137"/>
      <c r="Q56" s="136"/>
      <c r="R56" s="138"/>
      <c r="S56" s="136"/>
      <c r="T56" s="185"/>
      <c r="U56" s="185"/>
      <c r="V56" s="191">
        <v>0.3</v>
      </c>
      <c r="W56" s="165">
        <f ca="1">ROUNDDOWN((W18+W55)*V56,0)</f>
        <v>42950607</v>
      </c>
      <c r="X56" s="166"/>
      <c r="Y56" s="136"/>
      <c r="Z56" s="136"/>
    </row>
    <row r="57" spans="1:26" ht="18" customHeight="1">
      <c r="A57" s="278">
        <v>5</v>
      </c>
      <c r="B57" s="223" t="s">
        <v>2437</v>
      </c>
      <c r="C57" s="23"/>
      <c r="D57" s="197">
        <f t="array" ref="D57:I58">ROUND(D26:I27*L27*D5*J6,1)</f>
        <v>0.4</v>
      </c>
      <c r="E57" s="198">
        <v>2.6</v>
      </c>
      <c r="F57" s="198">
        <v>5.7</v>
      </c>
      <c r="G57" s="198">
        <v>7.4</v>
      </c>
      <c r="H57" s="198">
        <v>7.4</v>
      </c>
      <c r="I57" s="199">
        <v>7.4</v>
      </c>
      <c r="J57" s="74"/>
    </row>
    <row r="58" spans="1:26" ht="18" customHeight="1">
      <c r="A58" s="278">
        <v>6</v>
      </c>
      <c r="B58" s="223" t="s">
        <v>2438</v>
      </c>
      <c r="C58" s="23"/>
      <c r="D58" s="197">
        <v>0.4</v>
      </c>
      <c r="E58" s="198">
        <v>2.6</v>
      </c>
      <c r="F58" s="198">
        <v>2.9</v>
      </c>
      <c r="G58" s="198">
        <v>6.7</v>
      </c>
      <c r="H58" s="198">
        <v>6.2</v>
      </c>
      <c r="I58" s="199">
        <v>5.8</v>
      </c>
      <c r="J58" s="389"/>
      <c r="K58" s="171" t="s">
        <v>14</v>
      </c>
    </row>
    <row r="59" spans="1:26" ht="18" customHeight="1">
      <c r="A59" s="278"/>
      <c r="B59" s="222" t="s">
        <v>874</v>
      </c>
      <c r="C59" s="47"/>
      <c r="D59" s="48">
        <f t="array" ref="D59:I59">SUBTOTAL(9,D60:D67)</f>
        <v>2.1</v>
      </c>
      <c r="E59" s="49">
        <v>2.1</v>
      </c>
      <c r="F59" s="49">
        <v>2.1</v>
      </c>
      <c r="G59" s="49">
        <v>2.1</v>
      </c>
      <c r="H59" s="49">
        <v>2.1</v>
      </c>
      <c r="I59" s="50">
        <v>2.1</v>
      </c>
      <c r="J59" s="74"/>
      <c r="K59" s="171" t="s">
        <v>14</v>
      </c>
    </row>
    <row r="60" spans="1:26" ht="18" customHeight="1">
      <c r="A60" s="278">
        <v>7</v>
      </c>
      <c r="B60" s="223" t="s">
        <v>2439</v>
      </c>
      <c r="C60" s="23"/>
      <c r="D60" s="197">
        <f t="array" ref="D60:I67">ROUND(D29:I36*L29:L36*D5*J6,1)</f>
        <v>0.1</v>
      </c>
      <c r="E60" s="198">
        <v>0.1</v>
      </c>
      <c r="F60" s="198">
        <v>0.8</v>
      </c>
      <c r="G60" s="198">
        <v>1.2</v>
      </c>
      <c r="H60" s="198">
        <v>0.8</v>
      </c>
      <c r="I60" s="199">
        <v>0.4</v>
      </c>
      <c r="J60" s="74"/>
      <c r="K60" s="171" t="s">
        <v>14</v>
      </c>
    </row>
    <row r="61" spans="1:26" ht="18" customHeight="1">
      <c r="A61" s="278">
        <v>8</v>
      </c>
      <c r="B61" s="223" t="s">
        <v>2440</v>
      </c>
      <c r="C61" s="43"/>
      <c r="D61" s="206">
        <v>0.3</v>
      </c>
      <c r="E61" s="207">
        <v>0.7</v>
      </c>
      <c r="F61" s="207">
        <v>1</v>
      </c>
      <c r="G61" s="207">
        <v>1.6</v>
      </c>
      <c r="H61" s="207">
        <v>2.9</v>
      </c>
      <c r="I61" s="208">
        <v>2.5</v>
      </c>
      <c r="J61" s="74"/>
      <c r="K61" s="171" t="s">
        <v>14</v>
      </c>
      <c r="L61" s="171"/>
    </row>
    <row r="62" spans="1:26" ht="18" customHeight="1">
      <c r="A62" s="278">
        <v>9</v>
      </c>
      <c r="B62" s="223" t="s">
        <v>2441</v>
      </c>
      <c r="C62" s="23"/>
      <c r="D62" s="197">
        <v>0.2</v>
      </c>
      <c r="E62" s="198">
        <v>0.8</v>
      </c>
      <c r="F62" s="198">
        <v>1</v>
      </c>
      <c r="G62" s="198">
        <v>1.6</v>
      </c>
      <c r="H62" s="198">
        <v>2.5</v>
      </c>
      <c r="I62" s="199">
        <v>2</v>
      </c>
      <c r="J62" s="74"/>
      <c r="K62" s="171"/>
      <c r="L62" s="171"/>
      <c r="R62" s="1"/>
      <c r="S62" s="1"/>
      <c r="T62" s="1"/>
      <c r="U62" s="1"/>
      <c r="V62" s="1"/>
      <c r="W62" s="1"/>
      <c r="X62" s="1"/>
      <c r="Y62" s="1"/>
    </row>
    <row r="63" spans="1:26" ht="18" customHeight="1">
      <c r="A63" s="278">
        <v>10</v>
      </c>
      <c r="B63" s="223" t="s">
        <v>2442</v>
      </c>
      <c r="C63" s="43"/>
      <c r="D63" s="206">
        <v>0.2</v>
      </c>
      <c r="E63" s="207">
        <v>0.8</v>
      </c>
      <c r="F63" s="207">
        <v>1</v>
      </c>
      <c r="G63" s="207">
        <v>2</v>
      </c>
      <c r="H63" s="207">
        <v>2.5</v>
      </c>
      <c r="I63" s="208">
        <v>2</v>
      </c>
      <c r="J63" s="74"/>
      <c r="K63" s="171" t="s">
        <v>14</v>
      </c>
      <c r="L63" s="171"/>
      <c r="R63" s="1"/>
      <c r="S63" s="1"/>
      <c r="T63" s="1"/>
      <c r="U63" s="1"/>
      <c r="V63" s="1"/>
      <c r="W63" s="1"/>
      <c r="X63" s="1"/>
      <c r="Y63" s="1"/>
    </row>
    <row r="64" spans="1:26" ht="18" customHeight="1">
      <c r="A64" s="278">
        <v>11</v>
      </c>
      <c r="B64" s="223" t="s">
        <v>2443</v>
      </c>
      <c r="C64" s="23"/>
      <c r="D64" s="197">
        <v>0.4</v>
      </c>
      <c r="E64" s="198">
        <v>1.2</v>
      </c>
      <c r="F64" s="198">
        <v>1.6</v>
      </c>
      <c r="G64" s="198">
        <v>2.9</v>
      </c>
      <c r="H64" s="198">
        <v>2.9</v>
      </c>
      <c r="I64" s="199">
        <v>2.5</v>
      </c>
      <c r="J64" s="74"/>
      <c r="K64" s="171" t="s">
        <v>14</v>
      </c>
      <c r="L64" s="171"/>
      <c r="R64" s="1"/>
      <c r="S64" s="1"/>
      <c r="T64" s="1"/>
      <c r="U64" s="1"/>
      <c r="V64" s="1"/>
      <c r="W64" s="1"/>
      <c r="X64" s="1"/>
      <c r="Y64" s="1"/>
    </row>
    <row r="65" spans="1:26" ht="18" customHeight="1" thickBot="1">
      <c r="A65" s="278">
        <v>12</v>
      </c>
      <c r="B65" s="223" t="s">
        <v>2444</v>
      </c>
      <c r="C65" s="23"/>
      <c r="D65" s="197">
        <v>0.4</v>
      </c>
      <c r="E65" s="198">
        <v>0.8</v>
      </c>
      <c r="F65" s="198">
        <v>1.5</v>
      </c>
      <c r="G65" s="198">
        <v>1.6</v>
      </c>
      <c r="H65" s="198">
        <v>2</v>
      </c>
      <c r="I65" s="199">
        <v>1.2</v>
      </c>
      <c r="J65" s="74"/>
      <c r="K65" s="171" t="s">
        <v>14</v>
      </c>
      <c r="L65" s="171"/>
      <c r="N65" s="66" t="s">
        <v>18</v>
      </c>
      <c r="O65" s="2"/>
      <c r="P65" s="2"/>
      <c r="Q65" s="2"/>
      <c r="R65" s="3"/>
      <c r="S65" s="4"/>
      <c r="T65" s="3"/>
      <c r="U65" s="4"/>
      <c r="V65" s="3"/>
      <c r="W65" s="4"/>
      <c r="X65" s="3"/>
      <c r="Y65" s="4"/>
      <c r="Z65" s="2"/>
    </row>
    <row r="66" spans="1:26" ht="18" customHeight="1">
      <c r="A66" s="278">
        <v>13</v>
      </c>
      <c r="B66" s="223" t="s">
        <v>2445</v>
      </c>
      <c r="C66" s="23"/>
      <c r="D66" s="197">
        <v>0.4</v>
      </c>
      <c r="E66" s="198">
        <v>0.7</v>
      </c>
      <c r="F66" s="198">
        <v>1.5</v>
      </c>
      <c r="G66" s="198">
        <v>1.6</v>
      </c>
      <c r="H66" s="198">
        <v>1.6</v>
      </c>
      <c r="I66" s="199">
        <v>1.9</v>
      </c>
      <c r="J66" s="74"/>
      <c r="K66" s="171" t="s">
        <v>14</v>
      </c>
      <c r="L66" s="171"/>
      <c r="N66" s="765" t="s">
        <v>19</v>
      </c>
      <c r="O66" s="755" t="s">
        <v>20</v>
      </c>
      <c r="P66" s="755" t="s">
        <v>21</v>
      </c>
      <c r="Q66" s="755" t="s">
        <v>16</v>
      </c>
      <c r="R66" s="446" t="s">
        <v>22</v>
      </c>
      <c r="S66" s="446"/>
      <c r="T66" s="446" t="s">
        <v>23</v>
      </c>
      <c r="U66" s="446"/>
      <c r="V66" s="446" t="s">
        <v>24</v>
      </c>
      <c r="W66" s="446"/>
      <c r="X66" s="446" t="s">
        <v>25</v>
      </c>
      <c r="Y66" s="446"/>
      <c r="Z66" s="444" t="s">
        <v>26</v>
      </c>
    </row>
    <row r="67" spans="1:26" ht="18" customHeight="1" thickBot="1">
      <c r="A67" s="278">
        <v>14</v>
      </c>
      <c r="B67" s="223" t="s">
        <v>2446</v>
      </c>
      <c r="C67" s="23"/>
      <c r="D67" s="197">
        <v>0.1</v>
      </c>
      <c r="E67" s="198">
        <v>0.1</v>
      </c>
      <c r="F67" s="198">
        <v>1</v>
      </c>
      <c r="G67" s="198">
        <v>1.2</v>
      </c>
      <c r="H67" s="198">
        <v>1.6</v>
      </c>
      <c r="I67" s="199">
        <v>2</v>
      </c>
      <c r="J67" s="74"/>
      <c r="K67" s="171" t="s">
        <v>14</v>
      </c>
      <c r="L67" s="171"/>
      <c r="N67" s="766"/>
      <c r="O67" s="756"/>
      <c r="P67" s="756"/>
      <c r="Q67" s="756"/>
      <c r="R67" s="67" t="s">
        <v>27</v>
      </c>
      <c r="S67" s="67" t="s">
        <v>28</v>
      </c>
      <c r="T67" s="67" t="s">
        <v>27</v>
      </c>
      <c r="U67" s="67" t="s">
        <v>28</v>
      </c>
      <c r="V67" s="67" t="s">
        <v>27</v>
      </c>
      <c r="W67" s="67" t="s">
        <v>28</v>
      </c>
      <c r="X67" s="67" t="s">
        <v>27</v>
      </c>
      <c r="Y67" s="67" t="s">
        <v>28</v>
      </c>
      <c r="Z67" s="445"/>
    </row>
    <row r="68" spans="1:26" ht="18" customHeight="1" thickTop="1">
      <c r="A68" s="278"/>
      <c r="B68" s="222" t="s">
        <v>875</v>
      </c>
      <c r="C68" s="47"/>
      <c r="D68" s="48">
        <f t="shared" ref="D68:I68" si="12">SUBTOTAL(9,D69:D72)</f>
        <v>1.7000000000000002</v>
      </c>
      <c r="E68" s="49">
        <f t="shared" si="12"/>
        <v>3.0999999999999996</v>
      </c>
      <c r="F68" s="49">
        <f t="shared" si="12"/>
        <v>4.5</v>
      </c>
      <c r="G68" s="49">
        <f t="shared" si="12"/>
        <v>7.2000000000000011</v>
      </c>
      <c r="H68" s="49">
        <f t="shared" si="12"/>
        <v>7</v>
      </c>
      <c r="I68" s="50">
        <f t="shared" si="12"/>
        <v>6.8</v>
      </c>
      <c r="J68" s="74"/>
      <c r="K68" s="171" t="s">
        <v>14</v>
      </c>
      <c r="L68" s="171"/>
      <c r="N68" s="318" t="str">
        <f ca="1">"제 " &amp; Z68 &amp; " 호표  "&amp; OFFSET($A$1,MATCH(Z68,$A:$A,0)-1,1)</f>
        <v>제 1 호표  1.1. 분석유형설정 및 계획수립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v>1</v>
      </c>
    </row>
    <row r="69" spans="1:26" ht="18" customHeight="1">
      <c r="A69" s="278">
        <v>15</v>
      </c>
      <c r="B69" s="223" t="s">
        <v>2447</v>
      </c>
      <c r="C69" s="23"/>
      <c r="D69" s="197">
        <f t="array" ref="D69:I72">ROUND(D38:I41*L38:L41*D5*J6,1)</f>
        <v>0.2</v>
      </c>
      <c r="E69" s="198">
        <v>0.8</v>
      </c>
      <c r="F69" s="198">
        <v>1.2</v>
      </c>
      <c r="G69" s="198">
        <v>2.2000000000000002</v>
      </c>
      <c r="H69" s="198">
        <v>2.7</v>
      </c>
      <c r="I69" s="199">
        <v>3.1</v>
      </c>
      <c r="J69" s="74"/>
      <c r="K69" s="171" t="s">
        <v>14</v>
      </c>
      <c r="L69" s="171"/>
      <c r="N69" s="140" t="s">
        <v>43</v>
      </c>
      <c r="O69" s="172">
        <v>3</v>
      </c>
      <c r="P69" s="219">
        <f ca="1">OFFSET($A$1,MATCH(Z68,$A:$A,0)-1,O69)</f>
        <v>0.3</v>
      </c>
      <c r="Q69" s="141" t="s">
        <v>29</v>
      </c>
      <c r="R69" s="142">
        <f t="shared" ref="R69:S74" ca="1" si="13">T69</f>
        <v>467217</v>
      </c>
      <c r="S69" s="142">
        <f t="shared" ca="1" si="13"/>
        <v>140165</v>
      </c>
      <c r="T69" s="142">
        <f ca="1">기술사</f>
        <v>467217</v>
      </c>
      <c r="U69" s="142">
        <f t="shared" ref="U69:U74" ca="1" si="14">ROUNDDOWN(P69*R69,0)</f>
        <v>140165</v>
      </c>
      <c r="V69" s="142"/>
      <c r="W69" s="142"/>
      <c r="X69" s="142"/>
      <c r="Y69" s="142"/>
      <c r="Z69" s="114"/>
    </row>
    <row r="70" spans="1:26" ht="18" customHeight="1">
      <c r="A70" s="278">
        <v>16</v>
      </c>
      <c r="B70" s="223" t="s">
        <v>2448</v>
      </c>
      <c r="C70" s="23"/>
      <c r="D70" s="197">
        <v>0.5</v>
      </c>
      <c r="E70" s="198">
        <v>0.8</v>
      </c>
      <c r="F70" s="198">
        <v>1.5</v>
      </c>
      <c r="G70" s="198">
        <v>2</v>
      </c>
      <c r="H70" s="198">
        <v>2.5</v>
      </c>
      <c r="I70" s="199">
        <v>2.5</v>
      </c>
      <c r="J70" s="74"/>
      <c r="K70" s="171" t="s">
        <v>14</v>
      </c>
      <c r="L70" s="171"/>
      <c r="N70" s="143" t="s">
        <v>32</v>
      </c>
      <c r="O70" s="173">
        <v>4</v>
      </c>
      <c r="P70" s="234">
        <f ca="1">OFFSET($A$1,MATCH(Z68,$A:$A,0)-1,O70)</f>
        <v>0.3</v>
      </c>
      <c r="Q70" s="144" t="s">
        <v>29</v>
      </c>
      <c r="R70" s="118">
        <f t="shared" ca="1" si="13"/>
        <v>373353</v>
      </c>
      <c r="S70" s="118">
        <f t="shared" ca="1" si="13"/>
        <v>112005</v>
      </c>
      <c r="T70" s="118">
        <f ca="1">특급</f>
        <v>373353</v>
      </c>
      <c r="U70" s="118">
        <f t="shared" ca="1" si="14"/>
        <v>112005</v>
      </c>
      <c r="V70" s="118"/>
      <c r="W70" s="118"/>
      <c r="X70" s="118"/>
      <c r="Y70" s="118"/>
      <c r="Z70" s="115"/>
    </row>
    <row r="71" spans="1:26" ht="18" customHeight="1">
      <c r="A71" s="278">
        <v>17</v>
      </c>
      <c r="B71" s="223" t="s">
        <v>2449</v>
      </c>
      <c r="C71" s="23"/>
      <c r="D71" s="197">
        <v>0.4</v>
      </c>
      <c r="E71" s="198">
        <v>0.7</v>
      </c>
      <c r="F71" s="198">
        <v>1.1000000000000001</v>
      </c>
      <c r="G71" s="198">
        <v>1.6</v>
      </c>
      <c r="H71" s="198">
        <v>1</v>
      </c>
      <c r="I71" s="199">
        <v>0.8</v>
      </c>
      <c r="J71" s="74"/>
      <c r="K71" s="171" t="s">
        <v>14</v>
      </c>
      <c r="L71" s="171"/>
      <c r="N71" s="145" t="s">
        <v>39</v>
      </c>
      <c r="O71" s="173">
        <v>5</v>
      </c>
      <c r="P71" s="234">
        <f ca="1">OFFSET($A$1,MATCH(Z68,$A:$A,0)-1,O71)</f>
        <v>0.7</v>
      </c>
      <c r="Q71" s="144" t="s">
        <v>29</v>
      </c>
      <c r="R71" s="118">
        <f t="shared" ca="1" si="13"/>
        <v>310884</v>
      </c>
      <c r="S71" s="118">
        <f t="shared" ca="1" si="13"/>
        <v>217618</v>
      </c>
      <c r="T71" s="118">
        <f ca="1">고급</f>
        <v>310884</v>
      </c>
      <c r="U71" s="118">
        <f t="shared" ca="1" si="14"/>
        <v>217618</v>
      </c>
      <c r="V71" s="118"/>
      <c r="W71" s="118"/>
      <c r="X71" s="118"/>
      <c r="Y71" s="118"/>
      <c r="Z71" s="115"/>
    </row>
    <row r="72" spans="1:26" ht="18" customHeight="1">
      <c r="A72" s="278">
        <v>18</v>
      </c>
      <c r="B72" s="223" t="s">
        <v>2450</v>
      </c>
      <c r="C72" s="23"/>
      <c r="D72" s="197">
        <v>0.6</v>
      </c>
      <c r="E72" s="198">
        <v>0.8</v>
      </c>
      <c r="F72" s="198">
        <v>0.7</v>
      </c>
      <c r="G72" s="198">
        <v>1.4</v>
      </c>
      <c r="H72" s="198">
        <v>0.8</v>
      </c>
      <c r="I72" s="199">
        <v>0.4</v>
      </c>
      <c r="J72" s="74"/>
      <c r="K72" s="171" t="s">
        <v>14</v>
      </c>
      <c r="L72" s="171"/>
      <c r="N72" s="145" t="s">
        <v>40</v>
      </c>
      <c r="O72" s="173">
        <v>6</v>
      </c>
      <c r="P72" s="234">
        <f ca="1">OFFSET($A$1,MATCH(Z68,$A:$A,0)-1,O72)</f>
        <v>0.6</v>
      </c>
      <c r="Q72" s="144" t="s">
        <v>29</v>
      </c>
      <c r="R72" s="118">
        <f t="shared" ca="1" si="13"/>
        <v>295138</v>
      </c>
      <c r="S72" s="118">
        <f t="shared" ca="1" si="13"/>
        <v>177082</v>
      </c>
      <c r="T72" s="118">
        <f ca="1">중급</f>
        <v>295138</v>
      </c>
      <c r="U72" s="118">
        <f t="shared" ca="1" si="14"/>
        <v>177082</v>
      </c>
      <c r="V72" s="118"/>
      <c r="W72" s="118"/>
      <c r="X72" s="118"/>
      <c r="Y72" s="118"/>
      <c r="Z72" s="115"/>
    </row>
    <row r="73" spans="1:26" ht="18" customHeight="1">
      <c r="A73" s="278"/>
      <c r="B73" s="222" t="s">
        <v>876</v>
      </c>
      <c r="C73" s="47"/>
      <c r="D73" s="48">
        <f t="shared" ref="D73:I73" si="15">SUBTOTAL(9,D74)</f>
        <v>0.5</v>
      </c>
      <c r="E73" s="49">
        <f t="shared" si="15"/>
        <v>0.7</v>
      </c>
      <c r="F73" s="49">
        <f t="shared" si="15"/>
        <v>0.6</v>
      </c>
      <c r="G73" s="49">
        <f t="shared" si="15"/>
        <v>0.9</v>
      </c>
      <c r="H73" s="49">
        <f t="shared" si="15"/>
        <v>0.5</v>
      </c>
      <c r="I73" s="50">
        <f t="shared" si="15"/>
        <v>0.3</v>
      </c>
      <c r="J73" s="74"/>
      <c r="K73" s="171" t="s">
        <v>14</v>
      </c>
      <c r="L73" s="171"/>
      <c r="N73" s="145" t="s">
        <v>41</v>
      </c>
      <c r="O73" s="173">
        <v>7</v>
      </c>
      <c r="P73" s="234">
        <f ca="1">OFFSET($A$1,MATCH(Z68,$A:$A,0)-1,O73)</f>
        <v>0.3</v>
      </c>
      <c r="Q73" s="144" t="s">
        <v>29</v>
      </c>
      <c r="R73" s="118">
        <f t="shared" ca="1" si="13"/>
        <v>235459</v>
      </c>
      <c r="S73" s="118">
        <f t="shared" ca="1" si="13"/>
        <v>70637</v>
      </c>
      <c r="T73" s="118">
        <f ca="1">초급</f>
        <v>235459</v>
      </c>
      <c r="U73" s="118">
        <f t="shared" ca="1" si="14"/>
        <v>70637</v>
      </c>
      <c r="V73" s="118"/>
      <c r="W73" s="118"/>
      <c r="X73" s="118"/>
      <c r="Y73" s="118"/>
      <c r="Z73" s="115"/>
    </row>
    <row r="74" spans="1:26" ht="18" customHeight="1">
      <c r="A74" s="278">
        <v>19</v>
      </c>
      <c r="B74" s="223" t="s">
        <v>2451</v>
      </c>
      <c r="C74" s="23"/>
      <c r="D74" s="197">
        <f t="array" ref="D74:I74">ROUND(D43:I43*L43*D5*J6,1)</f>
        <v>0.5</v>
      </c>
      <c r="E74" s="198">
        <v>0.7</v>
      </c>
      <c r="F74" s="198">
        <v>0.6</v>
      </c>
      <c r="G74" s="198">
        <v>0.9</v>
      </c>
      <c r="H74" s="198">
        <v>0.5</v>
      </c>
      <c r="I74" s="199">
        <v>0.3</v>
      </c>
      <c r="J74" s="74"/>
      <c r="K74" s="171" t="s">
        <v>14</v>
      </c>
      <c r="L74" s="171"/>
      <c r="N74" s="319" t="s">
        <v>42</v>
      </c>
      <c r="O74" s="174">
        <v>8</v>
      </c>
      <c r="P74" s="235">
        <f ca="1">OFFSET($A$1,MATCH(Z68,$A:$A,0)-1,O74)</f>
        <v>0.3</v>
      </c>
      <c r="Q74" s="322" t="s">
        <v>29</v>
      </c>
      <c r="R74" s="323">
        <f t="shared" ca="1" si="13"/>
        <v>250087</v>
      </c>
      <c r="S74" s="323">
        <f t="shared" ca="1" si="13"/>
        <v>75026</v>
      </c>
      <c r="T74" s="323">
        <f ca="1">보조원</f>
        <v>250087</v>
      </c>
      <c r="U74" s="323">
        <f t="shared" ca="1" si="14"/>
        <v>75026</v>
      </c>
      <c r="V74" s="323"/>
      <c r="W74" s="323"/>
      <c r="X74" s="323"/>
      <c r="Y74" s="323"/>
      <c r="Z74" s="324"/>
    </row>
    <row r="75" spans="1:26" ht="18" customHeight="1">
      <c r="A75" s="278"/>
      <c r="B75" s="222" t="s">
        <v>877</v>
      </c>
      <c r="C75" s="47"/>
      <c r="D75" s="48">
        <f t="shared" ref="D75:I75" si="16">SUBTOTAL(9,D76)</f>
        <v>0.3</v>
      </c>
      <c r="E75" s="49">
        <f t="shared" si="16"/>
        <v>0.3</v>
      </c>
      <c r="F75" s="49">
        <f t="shared" si="16"/>
        <v>1</v>
      </c>
      <c r="G75" s="49">
        <f t="shared" si="16"/>
        <v>1.6</v>
      </c>
      <c r="H75" s="49">
        <f t="shared" si="16"/>
        <v>1.1000000000000001</v>
      </c>
      <c r="I75" s="50">
        <f t="shared" si="16"/>
        <v>1.1000000000000001</v>
      </c>
      <c r="J75" s="74"/>
      <c r="K75" s="171" t="s">
        <v>14</v>
      </c>
      <c r="L75" s="171"/>
      <c r="N75" s="139" t="s">
        <v>17</v>
      </c>
      <c r="O75" s="68"/>
      <c r="P75" s="69"/>
      <c r="Q75" s="70"/>
      <c r="R75" s="71"/>
      <c r="S75" s="71">
        <f ca="1">SUBTOTAL(9,S69:S74)</f>
        <v>792533</v>
      </c>
      <c r="T75" s="71"/>
      <c r="U75" s="71">
        <f ca="1">SUBTOTAL(9,U69:U74)</f>
        <v>792533</v>
      </c>
      <c r="V75" s="71"/>
      <c r="W75" s="71"/>
      <c r="X75" s="71"/>
      <c r="Y75" s="71"/>
      <c r="Z75" s="68"/>
    </row>
    <row r="76" spans="1:26" ht="18" customHeight="1">
      <c r="A76" s="278">
        <v>20</v>
      </c>
      <c r="B76" s="259" t="s">
        <v>2452</v>
      </c>
      <c r="C76" s="43"/>
      <c r="D76" s="206">
        <f t="array" ref="D76:I76">ROUND(D45:I45*L45*D5*J6,1)</f>
        <v>0.3</v>
      </c>
      <c r="E76" s="207">
        <v>0.3</v>
      </c>
      <c r="F76" s="207">
        <v>1</v>
      </c>
      <c r="G76" s="207">
        <v>1.6</v>
      </c>
      <c r="H76" s="207">
        <v>1.1000000000000001</v>
      </c>
      <c r="I76" s="208">
        <v>1.1000000000000001</v>
      </c>
      <c r="J76" s="239"/>
      <c r="K76" s="171" t="s">
        <v>14</v>
      </c>
      <c r="L76" s="171"/>
      <c r="N76" s="318" t="str">
        <f ca="1">"제 " &amp; Z76 &amp; " 호표  "&amp; OFFSET($A$1,MATCH(Z76,$A:$A,0)-1,1)</f>
        <v>제 2 호표  2.1. 일반현황조사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2</v>
      </c>
    </row>
    <row r="77" spans="1:26" ht="18" customHeight="1">
      <c r="A77" s="278"/>
      <c r="B77" s="222" t="s">
        <v>878</v>
      </c>
      <c r="C77" s="47"/>
      <c r="D77" s="48">
        <f t="array" ref="D77:I77">SUBTOTAL(9,D78:D79)</f>
        <v>4</v>
      </c>
      <c r="E77" s="49">
        <v>4</v>
      </c>
      <c r="F77" s="49">
        <v>4</v>
      </c>
      <c r="G77" s="49">
        <v>4</v>
      </c>
      <c r="H77" s="49">
        <v>4</v>
      </c>
      <c r="I77" s="50">
        <v>4</v>
      </c>
      <c r="J77" s="287"/>
      <c r="K77" s="171" t="s">
        <v>14</v>
      </c>
      <c r="L77" s="171"/>
      <c r="N77" s="140" t="s">
        <v>43</v>
      </c>
      <c r="O77" s="172">
        <v>3</v>
      </c>
      <c r="P77" s="219">
        <f ca="1">OFFSET($A$1,MATCH(Z76,$A:$A,0)-1,O77)</f>
        <v>0</v>
      </c>
      <c r="Q77" s="141" t="s">
        <v>29</v>
      </c>
      <c r="R77" s="142">
        <f t="shared" ref="R77:S82" ca="1" si="17">T77</f>
        <v>467217</v>
      </c>
      <c r="S77" s="142">
        <f t="shared" ca="1" si="17"/>
        <v>0</v>
      </c>
      <c r="T77" s="142">
        <f ca="1">기술사</f>
        <v>467217</v>
      </c>
      <c r="U77" s="142">
        <f t="shared" ref="U77:U82" ca="1" si="18">ROUNDDOWN(P77*R77,0)</f>
        <v>0</v>
      </c>
      <c r="V77" s="142"/>
      <c r="W77" s="142"/>
      <c r="X77" s="142"/>
      <c r="Y77" s="142"/>
      <c r="Z77" s="114"/>
    </row>
    <row r="78" spans="1:26" ht="18" customHeight="1">
      <c r="A78" s="278">
        <v>21</v>
      </c>
      <c r="B78" s="223" t="s">
        <v>2453</v>
      </c>
      <c r="C78" s="23"/>
      <c r="D78" s="197">
        <f t="array" ref="D78:I79">ROUND(D47:I48*L47:L48*M5,1)</f>
        <v>2</v>
      </c>
      <c r="E78" s="198">
        <v>2</v>
      </c>
      <c r="F78" s="198">
        <v>2</v>
      </c>
      <c r="G78" s="198">
        <v>4</v>
      </c>
      <c r="H78" s="198">
        <v>4</v>
      </c>
      <c r="I78" s="199">
        <v>4</v>
      </c>
      <c r="J78" s="789"/>
      <c r="K78" s="171" t="s">
        <v>14</v>
      </c>
      <c r="L78" s="171"/>
      <c r="N78" s="143" t="s">
        <v>32</v>
      </c>
      <c r="O78" s="173">
        <v>4</v>
      </c>
      <c r="P78" s="234">
        <f ca="1">OFFSET($A$1,MATCH(Z76,$A:$A,0)-1,O78)</f>
        <v>0.1</v>
      </c>
      <c r="Q78" s="144" t="s">
        <v>29</v>
      </c>
      <c r="R78" s="118">
        <f t="shared" ca="1" si="17"/>
        <v>373353</v>
      </c>
      <c r="S78" s="118">
        <f t="shared" ca="1" si="17"/>
        <v>37335</v>
      </c>
      <c r="T78" s="118">
        <f ca="1">특급</f>
        <v>373353</v>
      </c>
      <c r="U78" s="118">
        <f t="shared" ca="1" si="18"/>
        <v>37335</v>
      </c>
      <c r="V78" s="118"/>
      <c r="W78" s="118"/>
      <c r="X78" s="118"/>
      <c r="Y78" s="118"/>
      <c r="Z78" s="115"/>
    </row>
    <row r="79" spans="1:26" ht="18" customHeight="1" thickBot="1">
      <c r="A79" s="278">
        <v>22</v>
      </c>
      <c r="B79" s="388" t="s">
        <v>2454</v>
      </c>
      <c r="C79" s="342"/>
      <c r="D79" s="343">
        <v>2</v>
      </c>
      <c r="E79" s="344">
        <v>2</v>
      </c>
      <c r="F79" s="344">
        <v>2</v>
      </c>
      <c r="G79" s="344">
        <v>4</v>
      </c>
      <c r="H79" s="344">
        <v>4</v>
      </c>
      <c r="I79" s="345">
        <v>4</v>
      </c>
      <c r="J79" s="788"/>
      <c r="K79" s="171" t="s">
        <v>14</v>
      </c>
      <c r="L79" s="171"/>
      <c r="N79" s="145" t="s">
        <v>39</v>
      </c>
      <c r="O79" s="173">
        <v>5</v>
      </c>
      <c r="P79" s="234">
        <f ca="1">OFFSET($A$1,MATCH(Z76,$A:$A,0)-1,O79)</f>
        <v>0.2</v>
      </c>
      <c r="Q79" s="144" t="s">
        <v>29</v>
      </c>
      <c r="R79" s="118">
        <f t="shared" ca="1" si="17"/>
        <v>310884</v>
      </c>
      <c r="S79" s="118">
        <f t="shared" ca="1" si="17"/>
        <v>62176</v>
      </c>
      <c r="T79" s="118">
        <f ca="1">고급</f>
        <v>310884</v>
      </c>
      <c r="U79" s="118">
        <f t="shared" ca="1" si="18"/>
        <v>62176</v>
      </c>
      <c r="V79" s="118"/>
      <c r="W79" s="118"/>
      <c r="X79" s="118"/>
      <c r="Y79" s="118"/>
      <c r="Z79" s="115"/>
    </row>
    <row r="80" spans="1:26" ht="18" customHeight="1">
      <c r="A80" s="278"/>
      <c r="C80" s="9"/>
      <c r="K80" s="171" t="s">
        <v>14</v>
      </c>
      <c r="L80" s="171"/>
      <c r="N80" s="145" t="s">
        <v>40</v>
      </c>
      <c r="O80" s="173">
        <v>6</v>
      </c>
      <c r="P80" s="234">
        <f ca="1">OFFSET($A$1,MATCH(Z76,$A:$A,0)-1,O80)</f>
        <v>0.6</v>
      </c>
      <c r="Q80" s="144" t="s">
        <v>29</v>
      </c>
      <c r="R80" s="118">
        <f t="shared" ca="1" si="17"/>
        <v>295138</v>
      </c>
      <c r="S80" s="118">
        <f t="shared" ca="1" si="17"/>
        <v>177082</v>
      </c>
      <c r="T80" s="118">
        <f ca="1">중급</f>
        <v>295138</v>
      </c>
      <c r="U80" s="118">
        <f t="shared" ca="1" si="18"/>
        <v>177082</v>
      </c>
      <c r="V80" s="118"/>
      <c r="W80" s="118"/>
      <c r="X80" s="118"/>
      <c r="Y80" s="118"/>
      <c r="Z80" s="115"/>
    </row>
    <row r="81" spans="1:26" ht="18" customHeight="1">
      <c r="A81" s="278"/>
      <c r="C81" s="9"/>
      <c r="K81" s="171" t="s">
        <v>14</v>
      </c>
      <c r="L81" s="171"/>
      <c r="N81" s="145" t="s">
        <v>41</v>
      </c>
      <c r="O81" s="173">
        <v>7</v>
      </c>
      <c r="P81" s="234">
        <f ca="1">OFFSET($A$1,MATCH(Z76,$A:$A,0)-1,O81)</f>
        <v>0.9</v>
      </c>
      <c r="Q81" s="144" t="s">
        <v>29</v>
      </c>
      <c r="R81" s="118">
        <f t="shared" ca="1" si="17"/>
        <v>235459</v>
      </c>
      <c r="S81" s="118">
        <f t="shared" ca="1" si="17"/>
        <v>211913</v>
      </c>
      <c r="T81" s="118">
        <f ca="1">초급</f>
        <v>235459</v>
      </c>
      <c r="U81" s="118">
        <f t="shared" ca="1" si="18"/>
        <v>211913</v>
      </c>
      <c r="V81" s="118"/>
      <c r="W81" s="118"/>
      <c r="X81" s="118"/>
      <c r="Y81" s="118"/>
      <c r="Z81" s="115"/>
    </row>
    <row r="82" spans="1:26" ht="18" customHeight="1">
      <c r="A82" s="278"/>
      <c r="C82" s="9"/>
      <c r="K82" s="171" t="s">
        <v>14</v>
      </c>
      <c r="L82" s="171"/>
      <c r="N82" s="319" t="s">
        <v>42</v>
      </c>
      <c r="O82" s="174">
        <v>8</v>
      </c>
      <c r="P82" s="235">
        <f ca="1">OFFSET($A$1,MATCH(Z76,$A:$A,0)-1,O82)</f>
        <v>0.9</v>
      </c>
      <c r="Q82" s="322" t="s">
        <v>29</v>
      </c>
      <c r="R82" s="323">
        <f t="shared" ca="1" si="17"/>
        <v>250087</v>
      </c>
      <c r="S82" s="323">
        <f t="shared" ca="1" si="17"/>
        <v>225078</v>
      </c>
      <c r="T82" s="323">
        <f ca="1">보조원</f>
        <v>250087</v>
      </c>
      <c r="U82" s="323">
        <f t="shared" ca="1" si="18"/>
        <v>225078</v>
      </c>
      <c r="V82" s="323"/>
      <c r="W82" s="323"/>
      <c r="X82" s="323"/>
      <c r="Y82" s="323"/>
      <c r="Z82" s="324"/>
    </row>
    <row r="83" spans="1:26" ht="18" customHeight="1">
      <c r="C83" s="9"/>
      <c r="K83" s="171" t="s">
        <v>14</v>
      </c>
      <c r="L83" s="171"/>
      <c r="N83" s="139" t="s">
        <v>17</v>
      </c>
      <c r="O83" s="68"/>
      <c r="P83" s="69"/>
      <c r="Q83" s="70"/>
      <c r="R83" s="71"/>
      <c r="S83" s="71">
        <f ca="1">SUBTOTAL(9,S77:S82)</f>
        <v>713584</v>
      </c>
      <c r="T83" s="71"/>
      <c r="U83" s="71">
        <f ca="1">SUBTOTAL(9,U77:U82)</f>
        <v>713584</v>
      </c>
      <c r="V83" s="71"/>
      <c r="W83" s="71"/>
      <c r="X83" s="71"/>
      <c r="Y83" s="71"/>
      <c r="Z83" s="68"/>
    </row>
    <row r="84" spans="1:26" ht="18" customHeight="1">
      <c r="A84" s="278"/>
      <c r="K84" s="171" t="s">
        <v>14</v>
      </c>
      <c r="L84" s="171"/>
      <c r="N84" s="318" t="str">
        <f ca="1">"제 " &amp; Z84 &amp; " 호표  "&amp; OFFSET($A$1,MATCH(Z84,$A:$A,0)-1,1)</f>
        <v>제 3 호표  2.2. 재해발생현황조사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3</v>
      </c>
    </row>
    <row r="85" spans="1:26" ht="18" customHeight="1">
      <c r="A85" s="278"/>
      <c r="B85" s="9"/>
      <c r="C85" s="9"/>
      <c r="K85" s="171" t="s">
        <v>14</v>
      </c>
      <c r="L85" s="171"/>
      <c r="N85" s="140" t="s">
        <v>43</v>
      </c>
      <c r="O85" s="172">
        <v>3</v>
      </c>
      <c r="P85" s="219">
        <f ca="1">OFFSET($A$1,MATCH(Z84,$A:$A,0)-1,O85)</f>
        <v>0.1</v>
      </c>
      <c r="Q85" s="141" t="s">
        <v>29</v>
      </c>
      <c r="R85" s="142">
        <f t="shared" ref="R85:S90" ca="1" si="19">T85</f>
        <v>467217</v>
      </c>
      <c r="S85" s="142">
        <f t="shared" ca="1" si="19"/>
        <v>46721</v>
      </c>
      <c r="T85" s="142">
        <f ca="1">기술사</f>
        <v>467217</v>
      </c>
      <c r="U85" s="142">
        <f t="shared" ref="U85:U90" ca="1" si="20">ROUNDDOWN(P85*R85,0)</f>
        <v>46721</v>
      </c>
      <c r="V85" s="142"/>
      <c r="W85" s="142"/>
      <c r="X85" s="142"/>
      <c r="Y85" s="142"/>
      <c r="Z85" s="114"/>
    </row>
    <row r="86" spans="1:26" ht="18" customHeight="1">
      <c r="A86" s="278"/>
      <c r="B86" s="9"/>
      <c r="K86" s="171" t="s">
        <v>14</v>
      </c>
      <c r="L86" s="171"/>
      <c r="N86" s="143" t="s">
        <v>32</v>
      </c>
      <c r="O86" s="173">
        <v>4</v>
      </c>
      <c r="P86" s="234">
        <f ca="1">OFFSET($A$1,MATCH(Z84,$A:$A,0)-1,O86)</f>
        <v>0.1</v>
      </c>
      <c r="Q86" s="144" t="s">
        <v>29</v>
      </c>
      <c r="R86" s="118">
        <f t="shared" ca="1" si="19"/>
        <v>373353</v>
      </c>
      <c r="S86" s="118">
        <f t="shared" ca="1" si="19"/>
        <v>37335</v>
      </c>
      <c r="T86" s="118">
        <f ca="1">특급</f>
        <v>373353</v>
      </c>
      <c r="U86" s="118">
        <f t="shared" ca="1" si="20"/>
        <v>37335</v>
      </c>
      <c r="V86" s="118"/>
      <c r="W86" s="118"/>
      <c r="X86" s="118"/>
      <c r="Y86" s="118"/>
      <c r="Z86" s="115"/>
    </row>
    <row r="87" spans="1:26" ht="18" customHeight="1">
      <c r="A87" s="278"/>
      <c r="B87" s="9"/>
      <c r="K87" s="171" t="s">
        <v>14</v>
      </c>
      <c r="L87" s="171"/>
      <c r="N87" s="145" t="s">
        <v>39</v>
      </c>
      <c r="O87" s="173">
        <v>5</v>
      </c>
      <c r="P87" s="234">
        <f ca="1">OFFSET($A$1,MATCH(Z84,$A:$A,0)-1,O87)</f>
        <v>0.2</v>
      </c>
      <c r="Q87" s="144" t="s">
        <v>29</v>
      </c>
      <c r="R87" s="118">
        <f t="shared" ca="1" si="19"/>
        <v>310884</v>
      </c>
      <c r="S87" s="118">
        <f t="shared" ca="1" si="19"/>
        <v>62176</v>
      </c>
      <c r="T87" s="118">
        <f ca="1">고급</f>
        <v>310884</v>
      </c>
      <c r="U87" s="118">
        <f t="shared" ca="1" si="20"/>
        <v>62176</v>
      </c>
      <c r="V87" s="118"/>
      <c r="W87" s="118"/>
      <c r="X87" s="118"/>
      <c r="Y87" s="118"/>
      <c r="Z87" s="115"/>
    </row>
    <row r="88" spans="1:26" ht="18" customHeight="1">
      <c r="B88" s="9"/>
      <c r="K88" s="171" t="s">
        <v>14</v>
      </c>
      <c r="L88" s="171"/>
      <c r="N88" s="145" t="s">
        <v>40</v>
      </c>
      <c r="O88" s="173">
        <v>6</v>
      </c>
      <c r="P88" s="234">
        <f ca="1">OFFSET($A$1,MATCH(Z84,$A:$A,0)-1,O88)</f>
        <v>0.7</v>
      </c>
      <c r="Q88" s="144" t="s">
        <v>29</v>
      </c>
      <c r="R88" s="118">
        <f t="shared" ca="1" si="19"/>
        <v>295138</v>
      </c>
      <c r="S88" s="118">
        <f t="shared" ca="1" si="19"/>
        <v>206596</v>
      </c>
      <c r="T88" s="118">
        <f ca="1">중급</f>
        <v>295138</v>
      </c>
      <c r="U88" s="118">
        <f t="shared" ca="1" si="20"/>
        <v>206596</v>
      </c>
      <c r="V88" s="118"/>
      <c r="W88" s="118"/>
      <c r="X88" s="118"/>
      <c r="Y88" s="118"/>
      <c r="Z88" s="115"/>
    </row>
    <row r="89" spans="1:26" ht="18" customHeight="1">
      <c r="B89" s="9"/>
      <c r="K89" s="171" t="s">
        <v>14</v>
      </c>
      <c r="L89" s="171"/>
      <c r="N89" s="145" t="s">
        <v>41</v>
      </c>
      <c r="O89" s="173">
        <v>7</v>
      </c>
      <c r="P89" s="234">
        <f ca="1">OFFSET($A$1,MATCH(Z84,$A:$A,0)-1,O89)</f>
        <v>1.1000000000000001</v>
      </c>
      <c r="Q89" s="144" t="s">
        <v>29</v>
      </c>
      <c r="R89" s="118">
        <f t="shared" ca="1" si="19"/>
        <v>235459</v>
      </c>
      <c r="S89" s="118">
        <f t="shared" ca="1" si="19"/>
        <v>259004</v>
      </c>
      <c r="T89" s="118">
        <f ca="1">초급</f>
        <v>235459</v>
      </c>
      <c r="U89" s="118">
        <f t="shared" ca="1" si="20"/>
        <v>259004</v>
      </c>
      <c r="V89" s="118"/>
      <c r="W89" s="118"/>
      <c r="X89" s="118"/>
      <c r="Y89" s="118"/>
      <c r="Z89" s="115"/>
    </row>
    <row r="90" spans="1:26" ht="18" customHeight="1">
      <c r="B90" s="9"/>
      <c r="K90" s="171" t="s">
        <v>14</v>
      </c>
      <c r="L90" s="171"/>
      <c r="N90" s="319" t="s">
        <v>42</v>
      </c>
      <c r="O90" s="174">
        <v>8</v>
      </c>
      <c r="P90" s="235">
        <f ca="1">OFFSET($A$1,MATCH(Z84,$A:$A,0)-1,O90)</f>
        <v>1.2</v>
      </c>
      <c r="Q90" s="322" t="s">
        <v>29</v>
      </c>
      <c r="R90" s="323">
        <f t="shared" ca="1" si="19"/>
        <v>250087</v>
      </c>
      <c r="S90" s="323">
        <f t="shared" ca="1" si="19"/>
        <v>300104</v>
      </c>
      <c r="T90" s="323">
        <f ca="1">보조원</f>
        <v>250087</v>
      </c>
      <c r="U90" s="323">
        <f t="shared" ca="1" si="20"/>
        <v>300104</v>
      </c>
      <c r="V90" s="323"/>
      <c r="W90" s="323"/>
      <c r="X90" s="323"/>
      <c r="Y90" s="323"/>
      <c r="Z90" s="324"/>
    </row>
    <row r="91" spans="1:26" ht="18" customHeight="1">
      <c r="B91" s="9"/>
      <c r="K91" s="171" t="s">
        <v>14</v>
      </c>
      <c r="L91" s="171"/>
      <c r="N91" s="139" t="s">
        <v>17</v>
      </c>
      <c r="O91" s="68"/>
      <c r="P91" s="69"/>
      <c r="Q91" s="70"/>
      <c r="R91" s="71"/>
      <c r="S91" s="71">
        <f ca="1">SUBTOTAL(9,S85:S90)</f>
        <v>911936</v>
      </c>
      <c r="T91" s="71"/>
      <c r="U91" s="71">
        <f ca="1">SUBTOTAL(9,U85:U90)</f>
        <v>911936</v>
      </c>
      <c r="V91" s="71"/>
      <c r="W91" s="71"/>
      <c r="X91" s="71"/>
      <c r="Y91" s="71"/>
      <c r="Z91" s="68"/>
    </row>
    <row r="92" spans="1:26" ht="18" customHeight="1">
      <c r="K92" s="171" t="s">
        <v>14</v>
      </c>
      <c r="L92" s="171"/>
      <c r="N92" s="318" t="str">
        <f ca="1">"제 " &amp; Z92 &amp; " 호표  "&amp; OFFSET($A$1,MATCH(Z92,$A:$A,0)-1,1)</f>
        <v>제 4 호표  2.3. 관련계획 조사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4</v>
      </c>
    </row>
    <row r="93" spans="1:26" ht="18" customHeight="1">
      <c r="K93" s="171" t="s">
        <v>14</v>
      </c>
      <c r="L93" s="171"/>
      <c r="N93" s="140" t="s">
        <v>43</v>
      </c>
      <c r="O93" s="172">
        <v>3</v>
      </c>
      <c r="P93" s="219">
        <f ca="1">OFFSET($A$1,MATCH(Z92,$A:$A,0)-1,O93)</f>
        <v>0.1</v>
      </c>
      <c r="Q93" s="141" t="s">
        <v>29</v>
      </c>
      <c r="R93" s="142">
        <f t="shared" ref="R93:S98" ca="1" si="21">T93</f>
        <v>467217</v>
      </c>
      <c r="S93" s="142">
        <f t="shared" ca="1" si="21"/>
        <v>46721</v>
      </c>
      <c r="T93" s="142">
        <f ca="1">기술사</f>
        <v>467217</v>
      </c>
      <c r="U93" s="142">
        <f t="shared" ref="U93:U98" ca="1" si="22">ROUNDDOWN(P93*R93,0)</f>
        <v>46721</v>
      </c>
      <c r="V93" s="142"/>
      <c r="W93" s="142"/>
      <c r="X93" s="142"/>
      <c r="Y93" s="142"/>
      <c r="Z93" s="114"/>
    </row>
    <row r="94" spans="1:26" ht="18" customHeight="1">
      <c r="K94" s="171" t="s">
        <v>14</v>
      </c>
      <c r="L94" s="171"/>
      <c r="N94" s="143" t="s">
        <v>32</v>
      </c>
      <c r="O94" s="173">
        <v>4</v>
      </c>
      <c r="P94" s="234">
        <f ca="1">OFFSET($A$1,MATCH(Z92,$A:$A,0)-1,O94)</f>
        <v>0.1</v>
      </c>
      <c r="Q94" s="144" t="s">
        <v>29</v>
      </c>
      <c r="R94" s="118">
        <f t="shared" ca="1" si="21"/>
        <v>373353</v>
      </c>
      <c r="S94" s="118">
        <f t="shared" ca="1" si="21"/>
        <v>37335</v>
      </c>
      <c r="T94" s="118">
        <f ca="1">특급</f>
        <v>373353</v>
      </c>
      <c r="U94" s="118">
        <f t="shared" ca="1" si="22"/>
        <v>37335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N95" s="145" t="s">
        <v>39</v>
      </c>
      <c r="O95" s="173">
        <v>5</v>
      </c>
      <c r="P95" s="234">
        <f ca="1">OFFSET($A$1,MATCH(Z92,$A:$A,0)-1,O95)</f>
        <v>0.2</v>
      </c>
      <c r="Q95" s="144" t="s">
        <v>29</v>
      </c>
      <c r="R95" s="118">
        <f t="shared" ca="1" si="21"/>
        <v>310884</v>
      </c>
      <c r="S95" s="118">
        <f t="shared" ca="1" si="21"/>
        <v>62176</v>
      </c>
      <c r="T95" s="118">
        <f ca="1">고급</f>
        <v>310884</v>
      </c>
      <c r="U95" s="118">
        <f t="shared" ca="1" si="22"/>
        <v>62176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N96" s="145" t="s">
        <v>40</v>
      </c>
      <c r="O96" s="173">
        <v>6</v>
      </c>
      <c r="P96" s="234">
        <f ca="1">OFFSET($A$1,MATCH(Z92,$A:$A,0)-1,O96)</f>
        <v>0.6</v>
      </c>
      <c r="Q96" s="144" t="s">
        <v>29</v>
      </c>
      <c r="R96" s="118">
        <f t="shared" ca="1" si="21"/>
        <v>295138</v>
      </c>
      <c r="S96" s="118">
        <f t="shared" ca="1" si="21"/>
        <v>177082</v>
      </c>
      <c r="T96" s="118">
        <f ca="1">중급</f>
        <v>295138</v>
      </c>
      <c r="U96" s="118">
        <f t="shared" ca="1" si="22"/>
        <v>177082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41</v>
      </c>
      <c r="O97" s="173">
        <v>7</v>
      </c>
      <c r="P97" s="234">
        <f ca="1">OFFSET($A$1,MATCH(Z92,$A:$A,0)-1,O97)</f>
        <v>0.7</v>
      </c>
      <c r="Q97" s="144" t="s">
        <v>29</v>
      </c>
      <c r="R97" s="118">
        <f t="shared" ca="1" si="21"/>
        <v>235459</v>
      </c>
      <c r="S97" s="118">
        <f t="shared" ca="1" si="21"/>
        <v>164821</v>
      </c>
      <c r="T97" s="118">
        <f ca="1">초급</f>
        <v>235459</v>
      </c>
      <c r="U97" s="118">
        <f t="shared" ca="1" si="22"/>
        <v>164821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319" t="s">
        <v>42</v>
      </c>
      <c r="O98" s="174">
        <v>8</v>
      </c>
      <c r="P98" s="235">
        <f ca="1">OFFSET($A$1,MATCH(Z92,$A:$A,0)-1,O98)</f>
        <v>0.7</v>
      </c>
      <c r="Q98" s="322" t="s">
        <v>29</v>
      </c>
      <c r="R98" s="323">
        <f t="shared" ca="1" si="21"/>
        <v>250087</v>
      </c>
      <c r="S98" s="323">
        <f t="shared" ca="1" si="21"/>
        <v>175060</v>
      </c>
      <c r="T98" s="323">
        <f ca="1">보조원</f>
        <v>250087</v>
      </c>
      <c r="U98" s="323">
        <f t="shared" ca="1" si="22"/>
        <v>175060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N99" s="139" t="s">
        <v>17</v>
      </c>
      <c r="O99" s="68"/>
      <c r="P99" s="69"/>
      <c r="Q99" s="70"/>
      <c r="R99" s="71"/>
      <c r="S99" s="71">
        <f ca="1">SUBTOTAL(9,S93:S98)</f>
        <v>663195</v>
      </c>
      <c r="T99" s="71"/>
      <c r="U99" s="71">
        <f ca="1">SUBTOTAL(9,U93:U98)</f>
        <v>663195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N100" s="318" t="str">
        <f ca="1">"제 " &amp; Z100 &amp; " 호표  "&amp; OFFSET($A$1,MATCH(Z100,$A:$A,0)-1,1)</f>
        <v>제 5 호표  3.1. 도시민감도 DB구축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5</v>
      </c>
    </row>
    <row r="101" spans="11:26" ht="18" customHeight="1">
      <c r="K101" s="171" t="s">
        <v>14</v>
      </c>
      <c r="L101" s="171"/>
      <c r="N101" s="140" t="s">
        <v>43</v>
      </c>
      <c r="O101" s="172">
        <v>3</v>
      </c>
      <c r="P101" s="219">
        <f ca="1">OFFSET($A$1,MATCH(Z100,$A:$A,0)-1,O101)</f>
        <v>0.4</v>
      </c>
      <c r="Q101" s="141" t="s">
        <v>29</v>
      </c>
      <c r="R101" s="142">
        <f t="shared" ref="R101:S106" ca="1" si="23">T101</f>
        <v>467217</v>
      </c>
      <c r="S101" s="142">
        <f t="shared" ca="1" si="23"/>
        <v>186886</v>
      </c>
      <c r="T101" s="142">
        <f ca="1">기술사</f>
        <v>467217</v>
      </c>
      <c r="U101" s="142">
        <f t="shared" ref="U101:U106" ca="1" si="24">ROUNDDOWN(P101*R101,0)</f>
        <v>186886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N102" s="143" t="s">
        <v>32</v>
      </c>
      <c r="O102" s="173">
        <v>4</v>
      </c>
      <c r="P102" s="234">
        <f ca="1">OFFSET($A$1,MATCH(Z100,$A:$A,0)-1,O102)</f>
        <v>2.6</v>
      </c>
      <c r="Q102" s="144" t="s">
        <v>29</v>
      </c>
      <c r="R102" s="118">
        <f t="shared" ca="1" si="23"/>
        <v>373353</v>
      </c>
      <c r="S102" s="118">
        <f t="shared" ca="1" si="23"/>
        <v>970717</v>
      </c>
      <c r="T102" s="118">
        <f ca="1">특급</f>
        <v>373353</v>
      </c>
      <c r="U102" s="118">
        <f t="shared" ca="1" si="24"/>
        <v>970717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145" t="s">
        <v>39</v>
      </c>
      <c r="O103" s="173">
        <v>5</v>
      </c>
      <c r="P103" s="234">
        <f ca="1">OFFSET($A$1,MATCH(Z100,$A:$A,0)-1,O103)</f>
        <v>5.7</v>
      </c>
      <c r="Q103" s="144" t="s">
        <v>29</v>
      </c>
      <c r="R103" s="118">
        <f t="shared" ca="1" si="23"/>
        <v>310884</v>
      </c>
      <c r="S103" s="118">
        <f t="shared" ca="1" si="23"/>
        <v>1772038</v>
      </c>
      <c r="T103" s="118">
        <f ca="1">고급</f>
        <v>310884</v>
      </c>
      <c r="U103" s="118">
        <f t="shared" ca="1" si="24"/>
        <v>1772038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N104" s="145" t="s">
        <v>40</v>
      </c>
      <c r="O104" s="173">
        <v>6</v>
      </c>
      <c r="P104" s="234">
        <f ca="1">OFFSET($A$1,MATCH(Z100,$A:$A,0)-1,O104)</f>
        <v>7.4</v>
      </c>
      <c r="Q104" s="144" t="s">
        <v>29</v>
      </c>
      <c r="R104" s="118">
        <f t="shared" ca="1" si="23"/>
        <v>295138</v>
      </c>
      <c r="S104" s="118">
        <f t="shared" ca="1" si="23"/>
        <v>2184021</v>
      </c>
      <c r="T104" s="118">
        <f ca="1">중급</f>
        <v>295138</v>
      </c>
      <c r="U104" s="118">
        <f t="shared" ca="1" si="24"/>
        <v>2184021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41</v>
      </c>
      <c r="O105" s="173">
        <v>7</v>
      </c>
      <c r="P105" s="234">
        <f ca="1">OFFSET($A$1,MATCH(Z100,$A:$A,0)-1,O105)</f>
        <v>7.4</v>
      </c>
      <c r="Q105" s="144" t="s">
        <v>29</v>
      </c>
      <c r="R105" s="118">
        <f t="shared" ca="1" si="23"/>
        <v>235459</v>
      </c>
      <c r="S105" s="118">
        <f t="shared" ca="1" si="23"/>
        <v>1742396</v>
      </c>
      <c r="T105" s="118">
        <f ca="1">초급</f>
        <v>235459</v>
      </c>
      <c r="U105" s="118">
        <f t="shared" ca="1" si="24"/>
        <v>1742396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319" t="s">
        <v>42</v>
      </c>
      <c r="O106" s="174">
        <v>8</v>
      </c>
      <c r="P106" s="235">
        <f ca="1">OFFSET($A$1,MATCH(Z100,$A:$A,0)-1,O106)</f>
        <v>7.4</v>
      </c>
      <c r="Q106" s="322" t="s">
        <v>29</v>
      </c>
      <c r="R106" s="323">
        <f t="shared" ca="1" si="23"/>
        <v>250087</v>
      </c>
      <c r="S106" s="323">
        <f t="shared" ca="1" si="23"/>
        <v>1850643</v>
      </c>
      <c r="T106" s="323">
        <f ca="1">보조원</f>
        <v>250087</v>
      </c>
      <c r="U106" s="323">
        <f t="shared" ca="1" si="24"/>
        <v>1850643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N107" s="139" t="s">
        <v>17</v>
      </c>
      <c r="O107" s="68"/>
      <c r="P107" s="69"/>
      <c r="Q107" s="70"/>
      <c r="R107" s="71"/>
      <c r="S107" s="71">
        <f ca="1">SUBTOTAL(9,S101:S106)</f>
        <v>8706701</v>
      </c>
      <c r="T107" s="71"/>
      <c r="U107" s="71">
        <f ca="1">SUBTOTAL(9,U101:U106)</f>
        <v>8706701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N108" s="318" t="str">
        <f ca="1">"제 " &amp; Z108 &amp; " 호표  "&amp; OFFSET($A$1,MATCH(Z108,$A:$A,0)-1,1)</f>
        <v>제 6 호표  3.2. 기후노출 DB구축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6</v>
      </c>
    </row>
    <row r="109" spans="11:26" ht="18" customHeight="1">
      <c r="K109" s="171" t="s">
        <v>14</v>
      </c>
      <c r="L109" s="171"/>
      <c r="N109" s="140" t="s">
        <v>43</v>
      </c>
      <c r="O109" s="172">
        <v>3</v>
      </c>
      <c r="P109" s="219">
        <f ca="1">OFFSET($A$1,MATCH(Z108,$A:$A,0)-1,O109)</f>
        <v>0.4</v>
      </c>
      <c r="Q109" s="141" t="s">
        <v>29</v>
      </c>
      <c r="R109" s="142">
        <f t="shared" ref="R109:S114" ca="1" si="25">T109</f>
        <v>467217</v>
      </c>
      <c r="S109" s="142">
        <f t="shared" ca="1" si="25"/>
        <v>186886</v>
      </c>
      <c r="T109" s="142">
        <f ca="1">기술사</f>
        <v>467217</v>
      </c>
      <c r="U109" s="142">
        <f t="shared" ref="U109:U114" ca="1" si="26">ROUNDDOWN(P109*R109,0)</f>
        <v>186886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N110" s="143" t="s">
        <v>32</v>
      </c>
      <c r="O110" s="173">
        <v>4</v>
      </c>
      <c r="P110" s="234">
        <f ca="1">OFFSET($A$1,MATCH(Z108,$A:$A,0)-1,O110)</f>
        <v>2.6</v>
      </c>
      <c r="Q110" s="144" t="s">
        <v>29</v>
      </c>
      <c r="R110" s="118">
        <f t="shared" ca="1" si="25"/>
        <v>373353</v>
      </c>
      <c r="S110" s="118">
        <f t="shared" ca="1" si="25"/>
        <v>970717</v>
      </c>
      <c r="T110" s="118">
        <f ca="1">특급</f>
        <v>373353</v>
      </c>
      <c r="U110" s="118">
        <f t="shared" ca="1" si="26"/>
        <v>970717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145" t="s">
        <v>39</v>
      </c>
      <c r="O111" s="173">
        <v>5</v>
      </c>
      <c r="P111" s="234">
        <f ca="1">OFFSET($A$1,MATCH(Z108,$A:$A,0)-1,O111)</f>
        <v>2.9</v>
      </c>
      <c r="Q111" s="144" t="s">
        <v>29</v>
      </c>
      <c r="R111" s="118">
        <f t="shared" ca="1" si="25"/>
        <v>310884</v>
      </c>
      <c r="S111" s="118">
        <f t="shared" ca="1" si="25"/>
        <v>901563</v>
      </c>
      <c r="T111" s="118">
        <f ca="1">고급</f>
        <v>310884</v>
      </c>
      <c r="U111" s="118">
        <f t="shared" ca="1" si="26"/>
        <v>901563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N112" s="145" t="s">
        <v>40</v>
      </c>
      <c r="O112" s="173">
        <v>6</v>
      </c>
      <c r="P112" s="234">
        <f ca="1">OFFSET($A$1,MATCH(Z108,$A:$A,0)-1,O112)</f>
        <v>6.7</v>
      </c>
      <c r="Q112" s="144" t="s">
        <v>29</v>
      </c>
      <c r="R112" s="118">
        <f t="shared" ca="1" si="25"/>
        <v>295138</v>
      </c>
      <c r="S112" s="118">
        <f t="shared" ca="1" si="25"/>
        <v>1977424</v>
      </c>
      <c r="T112" s="118">
        <f ca="1">중급</f>
        <v>295138</v>
      </c>
      <c r="U112" s="118">
        <f t="shared" ca="1" si="26"/>
        <v>1977424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41</v>
      </c>
      <c r="O113" s="173">
        <v>7</v>
      </c>
      <c r="P113" s="234">
        <f ca="1">OFFSET($A$1,MATCH(Z108,$A:$A,0)-1,O113)</f>
        <v>6.2</v>
      </c>
      <c r="Q113" s="144" t="s">
        <v>29</v>
      </c>
      <c r="R113" s="118">
        <f t="shared" ca="1" si="25"/>
        <v>235459</v>
      </c>
      <c r="S113" s="118">
        <f t="shared" ca="1" si="25"/>
        <v>1459845</v>
      </c>
      <c r="T113" s="118">
        <f ca="1">초급</f>
        <v>235459</v>
      </c>
      <c r="U113" s="118">
        <f t="shared" ca="1" si="26"/>
        <v>1459845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319" t="s">
        <v>42</v>
      </c>
      <c r="O114" s="174">
        <v>8</v>
      </c>
      <c r="P114" s="235">
        <f ca="1">OFFSET($A$1,MATCH(Z108,$A:$A,0)-1,O114)</f>
        <v>5.8</v>
      </c>
      <c r="Q114" s="322" t="s">
        <v>29</v>
      </c>
      <c r="R114" s="323">
        <f t="shared" ca="1" si="25"/>
        <v>250087</v>
      </c>
      <c r="S114" s="323">
        <f t="shared" ca="1" si="25"/>
        <v>1450504</v>
      </c>
      <c r="T114" s="323">
        <f ca="1">보조원</f>
        <v>250087</v>
      </c>
      <c r="U114" s="323">
        <f t="shared" ca="1" si="26"/>
        <v>1450504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N115" s="139" t="s">
        <v>17</v>
      </c>
      <c r="O115" s="68"/>
      <c r="P115" s="69"/>
      <c r="Q115" s="70"/>
      <c r="R115" s="71"/>
      <c r="S115" s="71">
        <f ca="1">SUBTOTAL(9,S109:S114)</f>
        <v>6946939</v>
      </c>
      <c r="T115" s="71"/>
      <c r="U115" s="71">
        <f ca="1">SUBTOTAL(9,U109:U114)</f>
        <v>6946939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N116" s="318" t="str">
        <f ca="1">"제 " &amp; Z116 &amp; " 호표  "&amp; OFFSET($A$1,MATCH(Z116,$A:$A,0)-1,1)</f>
        <v>제 7 호표  4.1. 재해취약성분석구조 및 절차수립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7</v>
      </c>
    </row>
    <row r="117" spans="11:26" ht="18" customHeight="1">
      <c r="K117" s="171" t="s">
        <v>14</v>
      </c>
      <c r="L117" s="171"/>
      <c r="N117" s="140" t="s">
        <v>43</v>
      </c>
      <c r="O117" s="172">
        <v>3</v>
      </c>
      <c r="P117" s="219">
        <f ca="1">OFFSET($A$1,MATCH(Z116,$A:$A,0)-1,O117)</f>
        <v>0.1</v>
      </c>
      <c r="Q117" s="141" t="s">
        <v>29</v>
      </c>
      <c r="R117" s="142">
        <f t="shared" ref="R117:S122" ca="1" si="27">T117</f>
        <v>467217</v>
      </c>
      <c r="S117" s="142">
        <f t="shared" ca="1" si="27"/>
        <v>46721</v>
      </c>
      <c r="T117" s="142">
        <f ca="1">기술사</f>
        <v>467217</v>
      </c>
      <c r="U117" s="142">
        <f t="shared" ref="U117:U122" ca="1" si="28">ROUNDDOWN(P117*R117,0)</f>
        <v>46721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N118" s="143" t="s">
        <v>32</v>
      </c>
      <c r="O118" s="173">
        <v>4</v>
      </c>
      <c r="P118" s="234">
        <f ca="1">OFFSET($A$1,MATCH(Z116,$A:$A,0)-1,O118)</f>
        <v>0.1</v>
      </c>
      <c r="Q118" s="144" t="s">
        <v>29</v>
      </c>
      <c r="R118" s="118">
        <f t="shared" ca="1" si="27"/>
        <v>373353</v>
      </c>
      <c r="S118" s="118">
        <f t="shared" ca="1" si="27"/>
        <v>37335</v>
      </c>
      <c r="T118" s="118">
        <f ca="1">특급</f>
        <v>373353</v>
      </c>
      <c r="U118" s="118">
        <f t="shared" ca="1" si="28"/>
        <v>37335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145" t="s">
        <v>39</v>
      </c>
      <c r="O119" s="173">
        <v>5</v>
      </c>
      <c r="P119" s="234">
        <f ca="1">OFFSET($A$1,MATCH(Z116,$A:$A,0)-1,O119)</f>
        <v>0.8</v>
      </c>
      <c r="Q119" s="144" t="s">
        <v>29</v>
      </c>
      <c r="R119" s="118">
        <f t="shared" ca="1" si="27"/>
        <v>310884</v>
      </c>
      <c r="S119" s="118">
        <f t="shared" ca="1" si="27"/>
        <v>248707</v>
      </c>
      <c r="T119" s="118">
        <f ca="1">고급</f>
        <v>310884</v>
      </c>
      <c r="U119" s="118">
        <f t="shared" ca="1" si="28"/>
        <v>248707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40</v>
      </c>
      <c r="O120" s="173">
        <v>6</v>
      </c>
      <c r="P120" s="234">
        <f ca="1">OFFSET($A$1,MATCH(Z116,$A:$A,0)-1,O120)</f>
        <v>1.2</v>
      </c>
      <c r="Q120" s="144" t="s">
        <v>29</v>
      </c>
      <c r="R120" s="118">
        <f t="shared" ca="1" si="27"/>
        <v>295138</v>
      </c>
      <c r="S120" s="118">
        <f t="shared" ca="1" si="27"/>
        <v>354165</v>
      </c>
      <c r="T120" s="118">
        <f ca="1">중급</f>
        <v>295138</v>
      </c>
      <c r="U120" s="118">
        <f t="shared" ca="1" si="28"/>
        <v>354165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41</v>
      </c>
      <c r="O121" s="173">
        <v>7</v>
      </c>
      <c r="P121" s="234">
        <f ca="1">OFFSET($A$1,MATCH(Z116,$A:$A,0)-1,O121)</f>
        <v>0.8</v>
      </c>
      <c r="Q121" s="144" t="s">
        <v>29</v>
      </c>
      <c r="R121" s="118">
        <f t="shared" ca="1" si="27"/>
        <v>235459</v>
      </c>
      <c r="S121" s="118">
        <f t="shared" ca="1" si="27"/>
        <v>188367</v>
      </c>
      <c r="T121" s="118">
        <f ca="1">초급</f>
        <v>235459</v>
      </c>
      <c r="U121" s="118">
        <f t="shared" ca="1" si="28"/>
        <v>188367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319" t="s">
        <v>42</v>
      </c>
      <c r="O122" s="174">
        <v>8</v>
      </c>
      <c r="P122" s="235">
        <f ca="1">OFFSET($A$1,MATCH(Z116,$A:$A,0)-1,O122)</f>
        <v>0.4</v>
      </c>
      <c r="Q122" s="322" t="s">
        <v>29</v>
      </c>
      <c r="R122" s="323">
        <f t="shared" ca="1" si="27"/>
        <v>250087</v>
      </c>
      <c r="S122" s="323">
        <f t="shared" ca="1" si="27"/>
        <v>100034</v>
      </c>
      <c r="T122" s="323">
        <f ca="1">보조원</f>
        <v>250087</v>
      </c>
      <c r="U122" s="323">
        <f t="shared" ca="1" si="28"/>
        <v>100034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N123" s="139" t="s">
        <v>17</v>
      </c>
      <c r="O123" s="68"/>
      <c r="P123" s="69"/>
      <c r="Q123" s="70"/>
      <c r="R123" s="71"/>
      <c r="S123" s="71">
        <f ca="1">SUBTOTAL(9,S117:S122)</f>
        <v>975329</v>
      </c>
      <c r="T123" s="71"/>
      <c r="U123" s="71">
        <f ca="1">SUBTOTAL(9,U117:U122)</f>
        <v>975329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N124" s="318" t="str">
        <f ca="1">"제 " &amp; Z124 &amp; " 호표  "&amp; OFFSET($A$1,MATCH(Z124,$A:$A,0)-1,1)</f>
        <v>제 8 호표  4.2. 현재 기후노출 분석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8</v>
      </c>
    </row>
    <row r="125" spans="11:26" ht="18" customHeight="1">
      <c r="K125" s="171" t="s">
        <v>14</v>
      </c>
      <c r="L125" s="171"/>
      <c r="N125" s="140" t="s">
        <v>43</v>
      </c>
      <c r="O125" s="172">
        <v>3</v>
      </c>
      <c r="P125" s="219">
        <f ca="1">OFFSET($A$1,MATCH(Z124,$A:$A,0)-1,O125)</f>
        <v>0.3</v>
      </c>
      <c r="Q125" s="141" t="s">
        <v>29</v>
      </c>
      <c r="R125" s="142">
        <f t="shared" ref="R125:S130" ca="1" si="29">T125</f>
        <v>467217</v>
      </c>
      <c r="S125" s="142">
        <f t="shared" ca="1" si="29"/>
        <v>140165</v>
      </c>
      <c r="T125" s="142">
        <f ca="1">기술사</f>
        <v>467217</v>
      </c>
      <c r="U125" s="142">
        <f t="shared" ref="U125:U130" ca="1" si="30">ROUNDDOWN(P125*R125,0)</f>
        <v>140165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N126" s="143" t="s">
        <v>32</v>
      </c>
      <c r="O126" s="173">
        <v>4</v>
      </c>
      <c r="P126" s="234">
        <f ca="1">OFFSET($A$1,MATCH(Z124,$A:$A,0)-1,O126)</f>
        <v>0.7</v>
      </c>
      <c r="Q126" s="144" t="s">
        <v>29</v>
      </c>
      <c r="R126" s="118">
        <f t="shared" ca="1" si="29"/>
        <v>373353</v>
      </c>
      <c r="S126" s="118">
        <f t="shared" ca="1" si="29"/>
        <v>261347</v>
      </c>
      <c r="T126" s="118">
        <f ca="1">특급</f>
        <v>373353</v>
      </c>
      <c r="U126" s="118">
        <f t="shared" ca="1" si="30"/>
        <v>261347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N127" s="145" t="s">
        <v>39</v>
      </c>
      <c r="O127" s="173">
        <v>5</v>
      </c>
      <c r="P127" s="234">
        <f ca="1">OFFSET($A$1,MATCH(Z124,$A:$A,0)-1,O127)</f>
        <v>1</v>
      </c>
      <c r="Q127" s="144" t="s">
        <v>29</v>
      </c>
      <c r="R127" s="118">
        <f t="shared" ca="1" si="29"/>
        <v>310884</v>
      </c>
      <c r="S127" s="118">
        <f t="shared" ca="1" si="29"/>
        <v>310884</v>
      </c>
      <c r="T127" s="118">
        <f ca="1">고급</f>
        <v>310884</v>
      </c>
      <c r="U127" s="118">
        <f t="shared" ca="1" si="30"/>
        <v>310884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N128" s="145" t="s">
        <v>40</v>
      </c>
      <c r="O128" s="173">
        <v>6</v>
      </c>
      <c r="P128" s="234">
        <f ca="1">OFFSET($A$1,MATCH(Z124,$A:$A,0)-1,O128)</f>
        <v>1.6</v>
      </c>
      <c r="Q128" s="144" t="s">
        <v>29</v>
      </c>
      <c r="R128" s="118">
        <f t="shared" ca="1" si="29"/>
        <v>295138</v>
      </c>
      <c r="S128" s="118">
        <f t="shared" ca="1" si="29"/>
        <v>472220</v>
      </c>
      <c r="T128" s="118">
        <f ca="1">중급</f>
        <v>295138</v>
      </c>
      <c r="U128" s="118">
        <f t="shared" ca="1" si="30"/>
        <v>472220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41</v>
      </c>
      <c r="O129" s="173">
        <v>7</v>
      </c>
      <c r="P129" s="234">
        <f ca="1">OFFSET($A$1,MATCH(Z124,$A:$A,0)-1,O129)</f>
        <v>2.9</v>
      </c>
      <c r="Q129" s="144" t="s">
        <v>29</v>
      </c>
      <c r="R129" s="118">
        <f t="shared" ca="1" si="29"/>
        <v>235459</v>
      </c>
      <c r="S129" s="118">
        <f t="shared" ca="1" si="29"/>
        <v>682831</v>
      </c>
      <c r="T129" s="118">
        <f ca="1">초급</f>
        <v>235459</v>
      </c>
      <c r="U129" s="118">
        <f t="shared" ca="1" si="30"/>
        <v>682831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319" t="s">
        <v>42</v>
      </c>
      <c r="O130" s="174">
        <v>8</v>
      </c>
      <c r="P130" s="235">
        <f ca="1">OFFSET($A$1,MATCH(Z124,$A:$A,0)-1,O130)</f>
        <v>2.5</v>
      </c>
      <c r="Q130" s="322" t="s">
        <v>29</v>
      </c>
      <c r="R130" s="323">
        <f t="shared" ca="1" si="29"/>
        <v>250087</v>
      </c>
      <c r="S130" s="323">
        <f t="shared" ca="1" si="29"/>
        <v>625217</v>
      </c>
      <c r="T130" s="323">
        <f ca="1">보조원</f>
        <v>250087</v>
      </c>
      <c r="U130" s="323">
        <f t="shared" ca="1" si="30"/>
        <v>625217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N131" s="139" t="s">
        <v>17</v>
      </c>
      <c r="O131" s="68"/>
      <c r="P131" s="69"/>
      <c r="Q131" s="70"/>
      <c r="R131" s="71"/>
      <c r="S131" s="71">
        <f ca="1">SUBTOTAL(9,S125:S130)</f>
        <v>2492664</v>
      </c>
      <c r="T131" s="71"/>
      <c r="U131" s="71">
        <f ca="1">SUBTOTAL(9,U125:U130)</f>
        <v>2492664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N132" s="318" t="str">
        <f ca="1">"제 " &amp; Z132 &amp; " 호표  "&amp; OFFSET($A$1,MATCH(Z132,$A:$A,0)-1,1)</f>
        <v>제 9 호표  4.3. 도시민감도 분석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9</v>
      </c>
    </row>
    <row r="133" spans="11:26" ht="18" customHeight="1">
      <c r="K133" s="171" t="s">
        <v>14</v>
      </c>
      <c r="L133" s="171"/>
      <c r="N133" s="140" t="s">
        <v>43</v>
      </c>
      <c r="O133" s="172">
        <v>3</v>
      </c>
      <c r="P133" s="219">
        <f ca="1">OFFSET($A$1,MATCH(Z132,$A:$A,0)-1,O133)</f>
        <v>0.2</v>
      </c>
      <c r="Q133" s="141" t="s">
        <v>29</v>
      </c>
      <c r="R133" s="142">
        <f t="shared" ref="R133:S138" ca="1" si="31">T133</f>
        <v>467217</v>
      </c>
      <c r="S133" s="142">
        <f t="shared" ca="1" si="31"/>
        <v>93443</v>
      </c>
      <c r="T133" s="142">
        <f ca="1">기술사</f>
        <v>467217</v>
      </c>
      <c r="U133" s="142">
        <f t="shared" ref="U133:U138" ca="1" si="32">ROUNDDOWN(P133*R133,0)</f>
        <v>93443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N134" s="143" t="s">
        <v>32</v>
      </c>
      <c r="O134" s="173">
        <v>4</v>
      </c>
      <c r="P134" s="234">
        <f ca="1">OFFSET($A$1,MATCH(Z132,$A:$A,0)-1,O134)</f>
        <v>0.8</v>
      </c>
      <c r="Q134" s="144" t="s">
        <v>29</v>
      </c>
      <c r="R134" s="118">
        <f t="shared" ca="1" si="31"/>
        <v>373353</v>
      </c>
      <c r="S134" s="118">
        <f t="shared" ca="1" si="31"/>
        <v>298682</v>
      </c>
      <c r="T134" s="118">
        <f ca="1">특급</f>
        <v>373353</v>
      </c>
      <c r="U134" s="118">
        <f t="shared" ca="1" si="32"/>
        <v>298682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N135" s="145" t="s">
        <v>39</v>
      </c>
      <c r="O135" s="173">
        <v>5</v>
      </c>
      <c r="P135" s="234">
        <f ca="1">OFFSET($A$1,MATCH(Z132,$A:$A,0)-1,O135)</f>
        <v>1</v>
      </c>
      <c r="Q135" s="144" t="s">
        <v>29</v>
      </c>
      <c r="R135" s="118">
        <f t="shared" ca="1" si="31"/>
        <v>310884</v>
      </c>
      <c r="S135" s="118">
        <f t="shared" ca="1" si="31"/>
        <v>310884</v>
      </c>
      <c r="T135" s="118">
        <f ca="1">고급</f>
        <v>310884</v>
      </c>
      <c r="U135" s="118">
        <f t="shared" ca="1" si="32"/>
        <v>310884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N136" s="145" t="s">
        <v>40</v>
      </c>
      <c r="O136" s="173">
        <v>6</v>
      </c>
      <c r="P136" s="234">
        <f ca="1">OFFSET($A$1,MATCH(Z132,$A:$A,0)-1,O136)</f>
        <v>1.6</v>
      </c>
      <c r="Q136" s="144" t="s">
        <v>29</v>
      </c>
      <c r="R136" s="118">
        <f t="shared" ca="1" si="31"/>
        <v>295138</v>
      </c>
      <c r="S136" s="118">
        <f t="shared" ca="1" si="31"/>
        <v>472220</v>
      </c>
      <c r="T136" s="118">
        <f ca="1">중급</f>
        <v>295138</v>
      </c>
      <c r="U136" s="118">
        <f t="shared" ca="1" si="32"/>
        <v>472220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145" t="s">
        <v>41</v>
      </c>
      <c r="O137" s="173">
        <v>7</v>
      </c>
      <c r="P137" s="234">
        <f ca="1">OFFSET($A$1,MATCH(Z132,$A:$A,0)-1,O137)</f>
        <v>2.5</v>
      </c>
      <c r="Q137" s="144" t="s">
        <v>29</v>
      </c>
      <c r="R137" s="118">
        <f t="shared" ca="1" si="31"/>
        <v>235459</v>
      </c>
      <c r="S137" s="118">
        <f t="shared" ca="1" si="31"/>
        <v>588647</v>
      </c>
      <c r="T137" s="118">
        <f ca="1">초급</f>
        <v>235459</v>
      </c>
      <c r="U137" s="118">
        <f t="shared" ca="1" si="32"/>
        <v>588647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N138" s="319" t="s">
        <v>42</v>
      </c>
      <c r="O138" s="174">
        <v>8</v>
      </c>
      <c r="P138" s="235">
        <f ca="1">OFFSET($A$1,MATCH(Z132,$A:$A,0)-1,O138)</f>
        <v>2</v>
      </c>
      <c r="Q138" s="322" t="s">
        <v>29</v>
      </c>
      <c r="R138" s="323">
        <f t="shared" ca="1" si="31"/>
        <v>250087</v>
      </c>
      <c r="S138" s="323">
        <f t="shared" ca="1" si="31"/>
        <v>500174</v>
      </c>
      <c r="T138" s="323">
        <f ca="1">보조원</f>
        <v>250087</v>
      </c>
      <c r="U138" s="323">
        <f t="shared" ca="1" si="32"/>
        <v>500174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2264050</v>
      </c>
      <c r="T139" s="71"/>
      <c r="U139" s="71">
        <f ca="1">SUBTOTAL(9,U133:U138)</f>
        <v>2264050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OFFSET($A$1,MATCH(Z140,$A:$A,0)-1,1)</f>
        <v>제 10 호표  4.4. 현재 취약성 분석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10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0.2</v>
      </c>
      <c r="Q141" s="141" t="s">
        <v>29</v>
      </c>
      <c r="R141" s="142">
        <f t="shared" ref="R141:S146" ca="1" si="33">T141</f>
        <v>467217</v>
      </c>
      <c r="S141" s="142">
        <f t="shared" ca="1" si="33"/>
        <v>93443</v>
      </c>
      <c r="T141" s="142">
        <f ca="1">기술사</f>
        <v>467217</v>
      </c>
      <c r="U141" s="142">
        <f t="shared" ref="U141:U146" ca="1" si="34">ROUNDDOWN(P141*R141,0)</f>
        <v>93443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0.8</v>
      </c>
      <c r="Q142" s="144" t="s">
        <v>29</v>
      </c>
      <c r="R142" s="118">
        <f t="shared" ca="1" si="33"/>
        <v>373353</v>
      </c>
      <c r="S142" s="118">
        <f t="shared" ca="1" si="33"/>
        <v>298682</v>
      </c>
      <c r="T142" s="118">
        <f ca="1">특급</f>
        <v>373353</v>
      </c>
      <c r="U142" s="118">
        <f t="shared" ca="1" si="34"/>
        <v>298682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1</v>
      </c>
      <c r="Q143" s="144" t="s">
        <v>29</v>
      </c>
      <c r="R143" s="118">
        <f t="shared" ca="1" si="33"/>
        <v>310884</v>
      </c>
      <c r="S143" s="118">
        <f t="shared" ca="1" si="33"/>
        <v>310884</v>
      </c>
      <c r="T143" s="118">
        <f ca="1">고급</f>
        <v>310884</v>
      </c>
      <c r="U143" s="118">
        <f t="shared" ca="1" si="34"/>
        <v>310884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2</v>
      </c>
      <c r="Q144" s="144" t="s">
        <v>29</v>
      </c>
      <c r="R144" s="118">
        <f t="shared" ca="1" si="33"/>
        <v>295138</v>
      </c>
      <c r="S144" s="118">
        <f t="shared" ca="1" si="33"/>
        <v>590276</v>
      </c>
      <c r="T144" s="118">
        <f ca="1">중급</f>
        <v>295138</v>
      </c>
      <c r="U144" s="118">
        <f t="shared" ca="1" si="34"/>
        <v>590276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2.5</v>
      </c>
      <c r="Q145" s="144" t="s">
        <v>29</v>
      </c>
      <c r="R145" s="118">
        <f t="shared" ca="1" si="33"/>
        <v>235459</v>
      </c>
      <c r="S145" s="118">
        <f t="shared" ca="1" si="33"/>
        <v>588647</v>
      </c>
      <c r="T145" s="118">
        <f ca="1">초급</f>
        <v>235459</v>
      </c>
      <c r="U145" s="118">
        <f t="shared" ca="1" si="34"/>
        <v>588647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2</v>
      </c>
      <c r="Q146" s="322" t="s">
        <v>29</v>
      </c>
      <c r="R146" s="323">
        <f t="shared" ca="1" si="33"/>
        <v>250087</v>
      </c>
      <c r="S146" s="323">
        <f t="shared" ca="1" si="33"/>
        <v>500174</v>
      </c>
      <c r="T146" s="323">
        <f ca="1">보조원</f>
        <v>250087</v>
      </c>
      <c r="U146" s="323">
        <f t="shared" ca="1" si="34"/>
        <v>500174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2382106</v>
      </c>
      <c r="T147" s="71"/>
      <c r="U147" s="71">
        <f ca="1">SUBTOTAL(9,U141:U146)</f>
        <v>2382106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N148" s="318" t="str">
        <f ca="1">"제 " &amp; Z148 &amp; " 호표  "&amp; OFFSET($A$1,MATCH(Z148,$A:$A,0)-1,1)</f>
        <v>제 11 호표  4.5. 미래기후노출 분석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11</v>
      </c>
    </row>
    <row r="149" spans="11:26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0.4</v>
      </c>
      <c r="Q149" s="141" t="s">
        <v>29</v>
      </c>
      <c r="R149" s="142">
        <f t="shared" ref="R149:S154" ca="1" si="35">T149</f>
        <v>467217</v>
      </c>
      <c r="S149" s="142">
        <f t="shared" ca="1" si="35"/>
        <v>186886</v>
      </c>
      <c r="T149" s="142">
        <f ca="1">기술사</f>
        <v>467217</v>
      </c>
      <c r="U149" s="142">
        <f t="shared" ref="U149:U154" ca="1" si="36">ROUNDDOWN(P149*R149,0)</f>
        <v>186886</v>
      </c>
      <c r="V149" s="142"/>
      <c r="W149" s="142"/>
      <c r="X149" s="142"/>
      <c r="Y149" s="142"/>
      <c r="Z149" s="114"/>
    </row>
    <row r="150" spans="11:26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1.2</v>
      </c>
      <c r="Q150" s="144" t="s">
        <v>29</v>
      </c>
      <c r="R150" s="118">
        <f t="shared" ca="1" si="35"/>
        <v>373353</v>
      </c>
      <c r="S150" s="118">
        <f t="shared" ca="1" si="35"/>
        <v>448023</v>
      </c>
      <c r="T150" s="118">
        <f ca="1">특급</f>
        <v>373353</v>
      </c>
      <c r="U150" s="118">
        <f t="shared" ca="1" si="36"/>
        <v>448023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1.6</v>
      </c>
      <c r="Q151" s="144" t="s">
        <v>29</v>
      </c>
      <c r="R151" s="118">
        <f t="shared" ca="1" si="35"/>
        <v>310884</v>
      </c>
      <c r="S151" s="118">
        <f t="shared" ca="1" si="35"/>
        <v>497414</v>
      </c>
      <c r="T151" s="118">
        <f ca="1">고급</f>
        <v>310884</v>
      </c>
      <c r="U151" s="118">
        <f t="shared" ca="1" si="36"/>
        <v>497414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2.9</v>
      </c>
      <c r="Q152" s="144" t="s">
        <v>29</v>
      </c>
      <c r="R152" s="118">
        <f t="shared" ca="1" si="35"/>
        <v>295138</v>
      </c>
      <c r="S152" s="118">
        <f t="shared" ca="1" si="35"/>
        <v>855900</v>
      </c>
      <c r="T152" s="118">
        <f ca="1">중급</f>
        <v>295138</v>
      </c>
      <c r="U152" s="118">
        <f t="shared" ca="1" si="36"/>
        <v>855900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2.9</v>
      </c>
      <c r="Q153" s="144" t="s">
        <v>29</v>
      </c>
      <c r="R153" s="118">
        <f t="shared" ca="1" si="35"/>
        <v>235459</v>
      </c>
      <c r="S153" s="118">
        <f t="shared" ca="1" si="35"/>
        <v>682831</v>
      </c>
      <c r="T153" s="118">
        <f ca="1">초급</f>
        <v>235459</v>
      </c>
      <c r="U153" s="118">
        <f t="shared" ca="1" si="36"/>
        <v>682831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2.5</v>
      </c>
      <c r="Q154" s="322" t="s">
        <v>29</v>
      </c>
      <c r="R154" s="323">
        <f t="shared" ca="1" si="35"/>
        <v>250087</v>
      </c>
      <c r="S154" s="323">
        <f t="shared" ca="1" si="35"/>
        <v>625217</v>
      </c>
      <c r="T154" s="323">
        <f ca="1">보조원</f>
        <v>250087</v>
      </c>
      <c r="U154" s="323">
        <f t="shared" ca="1" si="36"/>
        <v>625217</v>
      </c>
      <c r="V154" s="323"/>
      <c r="W154" s="323"/>
      <c r="X154" s="323"/>
      <c r="Y154" s="323"/>
      <c r="Z154" s="324"/>
    </row>
    <row r="155" spans="11:26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3296271</v>
      </c>
      <c r="T155" s="71"/>
      <c r="U155" s="71">
        <f ca="1">SUBTOTAL(9,U149:U154)</f>
        <v>3296271</v>
      </c>
      <c r="V155" s="71"/>
      <c r="W155" s="71"/>
      <c r="X155" s="71"/>
      <c r="Y155" s="71"/>
      <c r="Z155" s="68"/>
    </row>
    <row r="156" spans="11:26" ht="18" customHeight="1">
      <c r="K156" s="171" t="s">
        <v>14</v>
      </c>
      <c r="L156" s="171"/>
      <c r="M156" s="171"/>
      <c r="N156" s="318" t="str">
        <f ca="1">"제 " &amp; Z156 &amp; " 호표  "&amp; OFFSET($A$1,MATCH(Z156,$A:$A,0)-1,1)</f>
        <v>제 12 호표  4.6. 미래도시민감도 분석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12</v>
      </c>
    </row>
    <row r="157" spans="11:26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0.4</v>
      </c>
      <c r="Q157" s="141" t="s">
        <v>29</v>
      </c>
      <c r="R157" s="142">
        <f t="shared" ref="R157:S162" ca="1" si="37">T157</f>
        <v>467217</v>
      </c>
      <c r="S157" s="142">
        <f t="shared" ca="1" si="37"/>
        <v>186886</v>
      </c>
      <c r="T157" s="142">
        <f ca="1">기술사</f>
        <v>467217</v>
      </c>
      <c r="U157" s="142">
        <f t="shared" ref="U157:U162" ca="1" si="38">ROUNDDOWN(P157*R157,0)</f>
        <v>186886</v>
      </c>
      <c r="V157" s="142"/>
      <c r="W157" s="142"/>
      <c r="X157" s="142"/>
      <c r="Y157" s="142"/>
      <c r="Z157" s="114"/>
    </row>
    <row r="158" spans="11:26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0.8</v>
      </c>
      <c r="Q158" s="144" t="s">
        <v>29</v>
      </c>
      <c r="R158" s="118">
        <f t="shared" ca="1" si="37"/>
        <v>373353</v>
      </c>
      <c r="S158" s="118">
        <f t="shared" ca="1" si="37"/>
        <v>298682</v>
      </c>
      <c r="T158" s="118">
        <f ca="1">특급</f>
        <v>373353</v>
      </c>
      <c r="U158" s="118">
        <f t="shared" ca="1" si="38"/>
        <v>298682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1.5</v>
      </c>
      <c r="Q159" s="144" t="s">
        <v>29</v>
      </c>
      <c r="R159" s="118">
        <f t="shared" ca="1" si="37"/>
        <v>310884</v>
      </c>
      <c r="S159" s="118">
        <f t="shared" ca="1" si="37"/>
        <v>466326</v>
      </c>
      <c r="T159" s="118">
        <f ca="1">고급</f>
        <v>310884</v>
      </c>
      <c r="U159" s="118">
        <f t="shared" ca="1" si="38"/>
        <v>466326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1.6</v>
      </c>
      <c r="Q160" s="144" t="s">
        <v>29</v>
      </c>
      <c r="R160" s="118">
        <f t="shared" ca="1" si="37"/>
        <v>295138</v>
      </c>
      <c r="S160" s="118">
        <f t="shared" ca="1" si="37"/>
        <v>472220</v>
      </c>
      <c r="T160" s="118">
        <f ca="1">중급</f>
        <v>295138</v>
      </c>
      <c r="U160" s="118">
        <f t="shared" ca="1" si="38"/>
        <v>472220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2</v>
      </c>
      <c r="Q161" s="144" t="s">
        <v>29</v>
      </c>
      <c r="R161" s="118">
        <f t="shared" ca="1" si="37"/>
        <v>235459</v>
      </c>
      <c r="S161" s="118">
        <f t="shared" ca="1" si="37"/>
        <v>470918</v>
      </c>
      <c r="T161" s="118">
        <f ca="1">초급</f>
        <v>235459</v>
      </c>
      <c r="U161" s="118">
        <f t="shared" ca="1" si="38"/>
        <v>470918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1.2</v>
      </c>
      <c r="Q162" s="322" t="s">
        <v>29</v>
      </c>
      <c r="R162" s="323">
        <f t="shared" ca="1" si="37"/>
        <v>250087</v>
      </c>
      <c r="S162" s="323">
        <f t="shared" ca="1" si="37"/>
        <v>300104</v>
      </c>
      <c r="T162" s="323">
        <f ca="1">보조원</f>
        <v>250087</v>
      </c>
      <c r="U162" s="323">
        <f t="shared" ca="1" si="38"/>
        <v>300104</v>
      </c>
      <c r="V162" s="323"/>
      <c r="W162" s="323"/>
      <c r="X162" s="323"/>
      <c r="Y162" s="323"/>
      <c r="Z162" s="324"/>
    </row>
    <row r="163" spans="11:26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2195136</v>
      </c>
      <c r="T163" s="71"/>
      <c r="U163" s="71">
        <f ca="1">SUBTOTAL(9,U157:U162)</f>
        <v>2195136</v>
      </c>
      <c r="V163" s="71"/>
      <c r="W163" s="71"/>
      <c r="X163" s="71"/>
      <c r="Y163" s="71"/>
      <c r="Z163" s="68"/>
    </row>
    <row r="164" spans="11:26" ht="18" customHeight="1">
      <c r="K164" s="171" t="s">
        <v>14</v>
      </c>
      <c r="L164" s="171"/>
      <c r="M164" s="171"/>
      <c r="N164" s="318" t="str">
        <f ca="1">"제 " &amp; Z164 &amp; " 호표  "&amp; OFFSET($A$1,MATCH(Z164,$A:$A,0)-1,1)</f>
        <v>제 13 호표  4.7. 미래취약성 분석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13</v>
      </c>
    </row>
    <row r="165" spans="11:26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0.4</v>
      </c>
      <c r="Q165" s="141" t="s">
        <v>29</v>
      </c>
      <c r="R165" s="142">
        <f t="shared" ref="R165:S170" ca="1" si="39">T165</f>
        <v>467217</v>
      </c>
      <c r="S165" s="142">
        <f t="shared" ca="1" si="39"/>
        <v>186886</v>
      </c>
      <c r="T165" s="142">
        <f ca="1">기술사</f>
        <v>467217</v>
      </c>
      <c r="U165" s="142">
        <f t="shared" ref="U165:U170" ca="1" si="40">ROUNDDOWN(P165*R165,0)</f>
        <v>186886</v>
      </c>
      <c r="V165" s="142"/>
      <c r="W165" s="142"/>
      <c r="X165" s="142"/>
      <c r="Y165" s="142"/>
      <c r="Z165" s="114"/>
    </row>
    <row r="166" spans="11:26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0.7</v>
      </c>
      <c r="Q166" s="144" t="s">
        <v>29</v>
      </c>
      <c r="R166" s="118">
        <f t="shared" ca="1" si="39"/>
        <v>373353</v>
      </c>
      <c r="S166" s="118">
        <f t="shared" ca="1" si="39"/>
        <v>261347</v>
      </c>
      <c r="T166" s="118">
        <f ca="1">특급</f>
        <v>373353</v>
      </c>
      <c r="U166" s="118">
        <f t="shared" ca="1" si="40"/>
        <v>261347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1.5</v>
      </c>
      <c r="Q167" s="144" t="s">
        <v>29</v>
      </c>
      <c r="R167" s="118">
        <f t="shared" ca="1" si="39"/>
        <v>310884</v>
      </c>
      <c r="S167" s="118">
        <f t="shared" ca="1" si="39"/>
        <v>466326</v>
      </c>
      <c r="T167" s="118">
        <f ca="1">고급</f>
        <v>310884</v>
      </c>
      <c r="U167" s="118">
        <f t="shared" ca="1" si="40"/>
        <v>466326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1.6</v>
      </c>
      <c r="Q168" s="144" t="s">
        <v>29</v>
      </c>
      <c r="R168" s="118">
        <f t="shared" ca="1" si="39"/>
        <v>295138</v>
      </c>
      <c r="S168" s="118">
        <f t="shared" ca="1" si="39"/>
        <v>472220</v>
      </c>
      <c r="T168" s="118">
        <f ca="1">중급</f>
        <v>295138</v>
      </c>
      <c r="U168" s="118">
        <f t="shared" ca="1" si="40"/>
        <v>472220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1.6</v>
      </c>
      <c r="Q169" s="144" t="s">
        <v>29</v>
      </c>
      <c r="R169" s="118">
        <f t="shared" ca="1" si="39"/>
        <v>235459</v>
      </c>
      <c r="S169" s="118">
        <f t="shared" ca="1" si="39"/>
        <v>376734</v>
      </c>
      <c r="T169" s="118">
        <f ca="1">초급</f>
        <v>235459</v>
      </c>
      <c r="U169" s="118">
        <f t="shared" ca="1" si="40"/>
        <v>376734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1.9</v>
      </c>
      <c r="Q170" s="322" t="s">
        <v>29</v>
      </c>
      <c r="R170" s="323">
        <f t="shared" ca="1" si="39"/>
        <v>250087</v>
      </c>
      <c r="S170" s="323">
        <f t="shared" ca="1" si="39"/>
        <v>475165</v>
      </c>
      <c r="T170" s="323">
        <f ca="1">보조원</f>
        <v>250087</v>
      </c>
      <c r="U170" s="323">
        <f t="shared" ca="1" si="40"/>
        <v>475165</v>
      </c>
      <c r="V170" s="323"/>
      <c r="W170" s="323"/>
      <c r="X170" s="323"/>
      <c r="Y170" s="323"/>
      <c r="Z170" s="324"/>
    </row>
    <row r="171" spans="11:26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2238678</v>
      </c>
      <c r="T171" s="71"/>
      <c r="U171" s="71">
        <f ca="1">SUBTOTAL(9,U165:U170)</f>
        <v>2238678</v>
      </c>
      <c r="V171" s="71"/>
      <c r="W171" s="71"/>
      <c r="X171" s="71"/>
      <c r="Y171" s="71"/>
      <c r="Z171" s="68"/>
    </row>
    <row r="172" spans="11:26" ht="18" customHeight="1">
      <c r="K172" s="171" t="s">
        <v>14</v>
      </c>
      <c r="L172" s="171"/>
      <c r="M172" s="171"/>
      <c r="N172" s="318" t="str">
        <f ca="1">"제 " &amp; Z172 &amp; " 호표  "&amp; OFFSET($A$1,MATCH(Z172,$A:$A,0)-1,1)</f>
        <v>제 14 호표  4.8. 종합재해취약성 분석</v>
      </c>
      <c r="O172" s="221"/>
      <c r="P172" s="148"/>
      <c r="Q172" s="148"/>
      <c r="R172" s="149"/>
      <c r="S172" s="149"/>
      <c r="T172" s="149"/>
      <c r="U172" s="149"/>
      <c r="V172" s="149"/>
      <c r="W172" s="149"/>
      <c r="X172" s="149"/>
      <c r="Y172" s="149"/>
      <c r="Z172" s="325">
        <f>Z164+1</f>
        <v>14</v>
      </c>
    </row>
    <row r="173" spans="11:26" ht="18" customHeight="1">
      <c r="K173" s="171" t="s">
        <v>14</v>
      </c>
      <c r="L173" s="171"/>
      <c r="M173" s="171"/>
      <c r="N173" s="140" t="s">
        <v>43</v>
      </c>
      <c r="O173" s="172">
        <v>3</v>
      </c>
      <c r="P173" s="219">
        <f ca="1">OFFSET($A$1,MATCH(Z172,$A:$A,0)-1,O173)</f>
        <v>0.1</v>
      </c>
      <c r="Q173" s="141" t="s">
        <v>29</v>
      </c>
      <c r="R173" s="142">
        <f t="shared" ref="R173:S178" ca="1" si="41">T173</f>
        <v>467217</v>
      </c>
      <c r="S173" s="142">
        <f t="shared" ca="1" si="41"/>
        <v>46721</v>
      </c>
      <c r="T173" s="142">
        <f ca="1">기술사</f>
        <v>467217</v>
      </c>
      <c r="U173" s="142">
        <f t="shared" ref="U173:U178" ca="1" si="42">ROUNDDOWN(P173*R173,0)</f>
        <v>46721</v>
      </c>
      <c r="V173" s="142"/>
      <c r="W173" s="142"/>
      <c r="X173" s="142"/>
      <c r="Y173" s="142"/>
      <c r="Z173" s="114"/>
    </row>
    <row r="174" spans="11:26" ht="18" customHeight="1">
      <c r="K174" s="171" t="s">
        <v>14</v>
      </c>
      <c r="L174" s="171"/>
      <c r="M174" s="171"/>
      <c r="N174" s="143" t="s">
        <v>32</v>
      </c>
      <c r="O174" s="173">
        <v>4</v>
      </c>
      <c r="P174" s="234">
        <f ca="1">OFFSET($A$1,MATCH(Z172,$A:$A,0)-1,O174)</f>
        <v>0.1</v>
      </c>
      <c r="Q174" s="144" t="s">
        <v>29</v>
      </c>
      <c r="R174" s="118">
        <f t="shared" ca="1" si="41"/>
        <v>373353</v>
      </c>
      <c r="S174" s="118">
        <f t="shared" ca="1" si="41"/>
        <v>37335</v>
      </c>
      <c r="T174" s="118">
        <f ca="1">특급</f>
        <v>373353</v>
      </c>
      <c r="U174" s="118">
        <f t="shared" ca="1" si="42"/>
        <v>37335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39</v>
      </c>
      <c r="O175" s="173">
        <v>5</v>
      </c>
      <c r="P175" s="234">
        <f ca="1">OFFSET($A$1,MATCH(Z172,$A:$A,0)-1,O175)</f>
        <v>1</v>
      </c>
      <c r="Q175" s="144" t="s">
        <v>29</v>
      </c>
      <c r="R175" s="118">
        <f t="shared" ca="1" si="41"/>
        <v>310884</v>
      </c>
      <c r="S175" s="118">
        <f t="shared" ca="1" si="41"/>
        <v>310884</v>
      </c>
      <c r="T175" s="118">
        <f ca="1">고급</f>
        <v>310884</v>
      </c>
      <c r="U175" s="118">
        <f t="shared" ca="1" si="42"/>
        <v>310884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145" t="s">
        <v>40</v>
      </c>
      <c r="O176" s="173">
        <v>6</v>
      </c>
      <c r="P176" s="234">
        <f ca="1">OFFSET($A$1,MATCH(Z172,$A:$A,0)-1,O176)</f>
        <v>1.2</v>
      </c>
      <c r="Q176" s="144" t="s">
        <v>29</v>
      </c>
      <c r="R176" s="118">
        <f t="shared" ca="1" si="41"/>
        <v>295138</v>
      </c>
      <c r="S176" s="118">
        <f t="shared" ca="1" si="41"/>
        <v>354165</v>
      </c>
      <c r="T176" s="118">
        <f ca="1">중급</f>
        <v>295138</v>
      </c>
      <c r="U176" s="118">
        <f t="shared" ca="1" si="42"/>
        <v>354165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41</v>
      </c>
      <c r="O177" s="173">
        <v>7</v>
      </c>
      <c r="P177" s="234">
        <f ca="1">OFFSET($A$1,MATCH(Z172,$A:$A,0)-1,O177)</f>
        <v>1.6</v>
      </c>
      <c r="Q177" s="144" t="s">
        <v>29</v>
      </c>
      <c r="R177" s="118">
        <f t="shared" ca="1" si="41"/>
        <v>235459</v>
      </c>
      <c r="S177" s="118">
        <f t="shared" ca="1" si="41"/>
        <v>376734</v>
      </c>
      <c r="T177" s="118">
        <f ca="1">초급</f>
        <v>235459</v>
      </c>
      <c r="U177" s="118">
        <f t="shared" ca="1" si="42"/>
        <v>376734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319" t="s">
        <v>42</v>
      </c>
      <c r="O178" s="174">
        <v>8</v>
      </c>
      <c r="P178" s="235">
        <f ca="1">OFFSET($A$1,MATCH(Z172,$A:$A,0)-1,O178)</f>
        <v>2</v>
      </c>
      <c r="Q178" s="322" t="s">
        <v>29</v>
      </c>
      <c r="R178" s="323">
        <f t="shared" ca="1" si="41"/>
        <v>250087</v>
      </c>
      <c r="S178" s="323">
        <f t="shared" ca="1" si="41"/>
        <v>500174</v>
      </c>
      <c r="T178" s="323">
        <f ca="1">보조원</f>
        <v>250087</v>
      </c>
      <c r="U178" s="323">
        <f t="shared" ca="1" si="42"/>
        <v>500174</v>
      </c>
      <c r="V178" s="323"/>
      <c r="W178" s="323"/>
      <c r="X178" s="323"/>
      <c r="Y178" s="323"/>
      <c r="Z178" s="324"/>
    </row>
    <row r="179" spans="11:26" ht="18" customHeight="1">
      <c r="K179" s="171" t="s">
        <v>14</v>
      </c>
      <c r="L179" s="171"/>
      <c r="M179" s="171"/>
      <c r="N179" s="139" t="s">
        <v>17</v>
      </c>
      <c r="O179" s="68"/>
      <c r="P179" s="69"/>
      <c r="Q179" s="70"/>
      <c r="R179" s="71"/>
      <c r="S179" s="71">
        <f ca="1">SUBTOTAL(9,S173:S178)</f>
        <v>1626013</v>
      </c>
      <c r="T179" s="71"/>
      <c r="U179" s="71">
        <f ca="1">SUBTOTAL(9,U173:U178)</f>
        <v>1626013</v>
      </c>
      <c r="V179" s="71"/>
      <c r="W179" s="71"/>
      <c r="X179" s="71"/>
      <c r="Y179" s="71"/>
      <c r="Z179" s="68"/>
    </row>
    <row r="180" spans="11:26" ht="18" customHeight="1">
      <c r="K180" s="171" t="s">
        <v>14</v>
      </c>
      <c r="L180" s="171"/>
      <c r="M180" s="171"/>
      <c r="N180" s="318" t="str">
        <f ca="1">"제 " &amp; Z180 &amp; " 호표  "&amp; OFFSET($A$1,MATCH(Z180,$A:$A,0)-1,1)</f>
        <v>제 15 호표  5.1. 취약지역 공간분석</v>
      </c>
      <c r="O180" s="221"/>
      <c r="P180" s="148"/>
      <c r="Q180" s="148"/>
      <c r="R180" s="149"/>
      <c r="S180" s="149"/>
      <c r="T180" s="149"/>
      <c r="U180" s="149"/>
      <c r="V180" s="149"/>
      <c r="W180" s="149"/>
      <c r="X180" s="149"/>
      <c r="Y180" s="149"/>
      <c r="Z180" s="325">
        <f>Z172+1</f>
        <v>15</v>
      </c>
    </row>
    <row r="181" spans="11:26" ht="18" customHeight="1">
      <c r="K181" s="171" t="s">
        <v>14</v>
      </c>
      <c r="L181" s="171"/>
      <c r="M181" s="171"/>
      <c r="N181" s="140" t="s">
        <v>43</v>
      </c>
      <c r="O181" s="172">
        <v>3</v>
      </c>
      <c r="P181" s="219">
        <f ca="1">OFFSET($A$1,MATCH(Z180,$A:$A,0)-1,O181)</f>
        <v>0.2</v>
      </c>
      <c r="Q181" s="141" t="s">
        <v>29</v>
      </c>
      <c r="R181" s="142">
        <f t="shared" ref="R181:S186" ca="1" si="43">T181</f>
        <v>467217</v>
      </c>
      <c r="S181" s="142">
        <f t="shared" ca="1" si="43"/>
        <v>93443</v>
      </c>
      <c r="T181" s="142">
        <f ca="1">기술사</f>
        <v>467217</v>
      </c>
      <c r="U181" s="142">
        <f t="shared" ref="U181:U186" ca="1" si="44">ROUNDDOWN(P181*R181,0)</f>
        <v>93443</v>
      </c>
      <c r="V181" s="142"/>
      <c r="W181" s="142"/>
      <c r="X181" s="142"/>
      <c r="Y181" s="142"/>
      <c r="Z181" s="114"/>
    </row>
    <row r="182" spans="11:26" ht="18" customHeight="1">
      <c r="K182" s="171" t="s">
        <v>14</v>
      </c>
      <c r="L182" s="171"/>
      <c r="M182" s="171"/>
      <c r="N182" s="143" t="s">
        <v>32</v>
      </c>
      <c r="O182" s="173">
        <v>4</v>
      </c>
      <c r="P182" s="234">
        <f ca="1">OFFSET($A$1,MATCH(Z180,$A:$A,0)-1,O182)</f>
        <v>0.8</v>
      </c>
      <c r="Q182" s="144" t="s">
        <v>29</v>
      </c>
      <c r="R182" s="118">
        <f t="shared" ca="1" si="43"/>
        <v>373353</v>
      </c>
      <c r="S182" s="118">
        <f t="shared" ca="1" si="43"/>
        <v>298682</v>
      </c>
      <c r="T182" s="118">
        <f ca="1">특급</f>
        <v>373353</v>
      </c>
      <c r="U182" s="118">
        <f t="shared" ca="1" si="44"/>
        <v>298682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39</v>
      </c>
      <c r="O183" s="173">
        <v>5</v>
      </c>
      <c r="P183" s="234">
        <f ca="1">OFFSET($A$1,MATCH(Z180,$A:$A,0)-1,O183)</f>
        <v>1.2</v>
      </c>
      <c r="Q183" s="144" t="s">
        <v>29</v>
      </c>
      <c r="R183" s="118">
        <f t="shared" ca="1" si="43"/>
        <v>310884</v>
      </c>
      <c r="S183" s="118">
        <f t="shared" ca="1" si="43"/>
        <v>373060</v>
      </c>
      <c r="T183" s="118">
        <f ca="1">고급</f>
        <v>310884</v>
      </c>
      <c r="U183" s="118">
        <f t="shared" ca="1" si="44"/>
        <v>373060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40</v>
      </c>
      <c r="O184" s="173">
        <v>6</v>
      </c>
      <c r="P184" s="234">
        <f ca="1">OFFSET($A$1,MATCH(Z180,$A:$A,0)-1,O184)</f>
        <v>2.2000000000000002</v>
      </c>
      <c r="Q184" s="144" t="s">
        <v>29</v>
      </c>
      <c r="R184" s="118">
        <f t="shared" ca="1" si="43"/>
        <v>295138</v>
      </c>
      <c r="S184" s="118">
        <f t="shared" ca="1" si="43"/>
        <v>649303</v>
      </c>
      <c r="T184" s="118">
        <f ca="1">중급</f>
        <v>295138</v>
      </c>
      <c r="U184" s="118">
        <f t="shared" ca="1" si="44"/>
        <v>649303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41</v>
      </c>
      <c r="O185" s="173">
        <v>7</v>
      </c>
      <c r="P185" s="234">
        <f ca="1">OFFSET($A$1,MATCH(Z180,$A:$A,0)-1,O185)</f>
        <v>2.7</v>
      </c>
      <c r="Q185" s="144" t="s">
        <v>29</v>
      </c>
      <c r="R185" s="118">
        <f t="shared" ca="1" si="43"/>
        <v>235459</v>
      </c>
      <c r="S185" s="118">
        <f t="shared" ca="1" si="43"/>
        <v>635739</v>
      </c>
      <c r="T185" s="118">
        <f ca="1">초급</f>
        <v>235459</v>
      </c>
      <c r="U185" s="118">
        <f t="shared" ca="1" si="44"/>
        <v>635739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319" t="s">
        <v>42</v>
      </c>
      <c r="O186" s="174">
        <v>8</v>
      </c>
      <c r="P186" s="235">
        <f ca="1">OFFSET($A$1,MATCH(Z180,$A:$A,0)-1,O186)</f>
        <v>3.1</v>
      </c>
      <c r="Q186" s="322" t="s">
        <v>29</v>
      </c>
      <c r="R186" s="323">
        <f t="shared" ca="1" si="43"/>
        <v>250087</v>
      </c>
      <c r="S186" s="323">
        <f t="shared" ca="1" si="43"/>
        <v>775269</v>
      </c>
      <c r="T186" s="323">
        <f ca="1">보조원</f>
        <v>250087</v>
      </c>
      <c r="U186" s="323">
        <f t="shared" ca="1" si="44"/>
        <v>775269</v>
      </c>
      <c r="V186" s="323"/>
      <c r="W186" s="323"/>
      <c r="X186" s="323"/>
      <c r="Y186" s="323"/>
      <c r="Z186" s="324"/>
    </row>
    <row r="187" spans="11:26" ht="18" customHeight="1">
      <c r="K187" s="171" t="s">
        <v>14</v>
      </c>
      <c r="L187" s="171"/>
      <c r="M187" s="171"/>
      <c r="N187" s="139" t="s">
        <v>17</v>
      </c>
      <c r="O187" s="68"/>
      <c r="P187" s="69"/>
      <c r="Q187" s="70"/>
      <c r="R187" s="71"/>
      <c r="S187" s="71">
        <f ca="1">SUBTOTAL(9,S181:S186)</f>
        <v>2825496</v>
      </c>
      <c r="T187" s="71"/>
      <c r="U187" s="71">
        <f ca="1">SUBTOTAL(9,U181:U186)</f>
        <v>2825496</v>
      </c>
      <c r="V187" s="71"/>
      <c r="W187" s="71"/>
      <c r="X187" s="71"/>
      <c r="Y187" s="71"/>
      <c r="Z187" s="68"/>
    </row>
    <row r="188" spans="11:26" ht="18" customHeight="1">
      <c r="K188" s="171" t="s">
        <v>14</v>
      </c>
      <c r="L188" s="171"/>
      <c r="M188" s="171"/>
      <c r="N188" s="318" t="str">
        <f ca="1">"제 " &amp; Z188 &amp; " 호표  "&amp; OFFSET($A$1,MATCH(Z188,$A:$A,0)-1,1)</f>
        <v>제 16 호표  5.2. 취약지 현장조사</v>
      </c>
      <c r="O188" s="221"/>
      <c r="P188" s="148"/>
      <c r="Q188" s="148"/>
      <c r="R188" s="149"/>
      <c r="S188" s="149"/>
      <c r="T188" s="149"/>
      <c r="U188" s="149"/>
      <c r="V188" s="149"/>
      <c r="W188" s="149"/>
      <c r="X188" s="149"/>
      <c r="Y188" s="149"/>
      <c r="Z188" s="325">
        <f>Z180+1</f>
        <v>16</v>
      </c>
    </row>
    <row r="189" spans="11:26" ht="18" customHeight="1">
      <c r="K189" s="171" t="s">
        <v>14</v>
      </c>
      <c r="L189" s="171"/>
      <c r="M189" s="171"/>
      <c r="N189" s="140" t="s">
        <v>43</v>
      </c>
      <c r="O189" s="172">
        <v>3</v>
      </c>
      <c r="P189" s="219">
        <f ca="1">OFFSET($A$1,MATCH(Z188,$A:$A,0)-1,O189)</f>
        <v>0.5</v>
      </c>
      <c r="Q189" s="141" t="s">
        <v>29</v>
      </c>
      <c r="R189" s="142">
        <f t="shared" ref="R189:S194" ca="1" si="45">T189</f>
        <v>467217</v>
      </c>
      <c r="S189" s="142">
        <f t="shared" ca="1" si="45"/>
        <v>233608</v>
      </c>
      <c r="T189" s="142">
        <f ca="1">기술사</f>
        <v>467217</v>
      </c>
      <c r="U189" s="142">
        <f t="shared" ref="U189:U194" ca="1" si="46">ROUNDDOWN(P189*R189,0)</f>
        <v>233608</v>
      </c>
      <c r="V189" s="142"/>
      <c r="W189" s="142"/>
      <c r="X189" s="142"/>
      <c r="Y189" s="142"/>
      <c r="Z189" s="114"/>
    </row>
    <row r="190" spans="11:26" ht="18" customHeight="1">
      <c r="K190" s="171" t="s">
        <v>14</v>
      </c>
      <c r="L190" s="171"/>
      <c r="M190" s="171"/>
      <c r="N190" s="143" t="s">
        <v>32</v>
      </c>
      <c r="O190" s="173">
        <v>4</v>
      </c>
      <c r="P190" s="234">
        <f ca="1">OFFSET($A$1,MATCH(Z188,$A:$A,0)-1,O190)</f>
        <v>0.8</v>
      </c>
      <c r="Q190" s="144" t="s">
        <v>29</v>
      </c>
      <c r="R190" s="118">
        <f t="shared" ca="1" si="45"/>
        <v>373353</v>
      </c>
      <c r="S190" s="118">
        <f t="shared" ca="1" si="45"/>
        <v>298682</v>
      </c>
      <c r="T190" s="118">
        <f ca="1">특급</f>
        <v>373353</v>
      </c>
      <c r="U190" s="118">
        <f t="shared" ca="1" si="46"/>
        <v>298682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39</v>
      </c>
      <c r="O191" s="173">
        <v>5</v>
      </c>
      <c r="P191" s="234">
        <f ca="1">OFFSET($A$1,MATCH(Z188,$A:$A,0)-1,O191)</f>
        <v>1.5</v>
      </c>
      <c r="Q191" s="144" t="s">
        <v>29</v>
      </c>
      <c r="R191" s="118">
        <f t="shared" ca="1" si="45"/>
        <v>310884</v>
      </c>
      <c r="S191" s="118">
        <f t="shared" ca="1" si="45"/>
        <v>466326</v>
      </c>
      <c r="T191" s="118">
        <f ca="1">고급</f>
        <v>310884</v>
      </c>
      <c r="U191" s="118">
        <f t="shared" ca="1" si="46"/>
        <v>466326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40</v>
      </c>
      <c r="O192" s="173">
        <v>6</v>
      </c>
      <c r="P192" s="234">
        <f ca="1">OFFSET($A$1,MATCH(Z188,$A:$A,0)-1,O192)</f>
        <v>2</v>
      </c>
      <c r="Q192" s="144" t="s">
        <v>29</v>
      </c>
      <c r="R192" s="118">
        <f t="shared" ca="1" si="45"/>
        <v>295138</v>
      </c>
      <c r="S192" s="118">
        <f t="shared" ca="1" si="45"/>
        <v>590276</v>
      </c>
      <c r="T192" s="118">
        <f ca="1">중급</f>
        <v>295138</v>
      </c>
      <c r="U192" s="118">
        <f t="shared" ca="1" si="46"/>
        <v>590276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41</v>
      </c>
      <c r="O193" s="173">
        <v>7</v>
      </c>
      <c r="P193" s="234">
        <f ca="1">OFFSET($A$1,MATCH(Z188,$A:$A,0)-1,O193)</f>
        <v>2.5</v>
      </c>
      <c r="Q193" s="144" t="s">
        <v>29</v>
      </c>
      <c r="R193" s="118">
        <f t="shared" ca="1" si="45"/>
        <v>235459</v>
      </c>
      <c r="S193" s="118">
        <f t="shared" ca="1" si="45"/>
        <v>588647</v>
      </c>
      <c r="T193" s="118">
        <f ca="1">초급</f>
        <v>235459</v>
      </c>
      <c r="U193" s="118">
        <f t="shared" ca="1" si="46"/>
        <v>588647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319" t="s">
        <v>42</v>
      </c>
      <c r="O194" s="174">
        <v>8</v>
      </c>
      <c r="P194" s="235">
        <f ca="1">OFFSET($A$1,MATCH(Z188,$A:$A,0)-1,O194)</f>
        <v>2.5</v>
      </c>
      <c r="Q194" s="322" t="s">
        <v>29</v>
      </c>
      <c r="R194" s="323">
        <f t="shared" ca="1" si="45"/>
        <v>250087</v>
      </c>
      <c r="S194" s="323">
        <f t="shared" ca="1" si="45"/>
        <v>625217</v>
      </c>
      <c r="T194" s="323">
        <f ca="1">보조원</f>
        <v>250087</v>
      </c>
      <c r="U194" s="323">
        <f t="shared" ca="1" si="46"/>
        <v>625217</v>
      </c>
      <c r="V194" s="323"/>
      <c r="W194" s="323"/>
      <c r="X194" s="323"/>
      <c r="Y194" s="323"/>
      <c r="Z194" s="324"/>
    </row>
    <row r="195" spans="11:26" ht="18" customHeight="1">
      <c r="K195" s="171" t="s">
        <v>14</v>
      </c>
      <c r="L195" s="171"/>
      <c r="M195" s="171"/>
      <c r="N195" s="139" t="s">
        <v>17</v>
      </c>
      <c r="O195" s="68"/>
      <c r="P195" s="69"/>
      <c r="Q195" s="70"/>
      <c r="R195" s="71"/>
      <c r="S195" s="71">
        <f ca="1">SUBTOTAL(9,S189:S194)</f>
        <v>2802756</v>
      </c>
      <c r="T195" s="71"/>
      <c r="U195" s="71">
        <f ca="1">SUBTOTAL(9,U189:U194)</f>
        <v>2802756</v>
      </c>
      <c r="V195" s="71"/>
      <c r="W195" s="71"/>
      <c r="X195" s="71"/>
      <c r="Y195" s="71"/>
      <c r="Z195" s="68"/>
    </row>
    <row r="196" spans="11:26" ht="18" customHeight="1">
      <c r="K196" s="171" t="s">
        <v>14</v>
      </c>
      <c r="L196" s="171"/>
      <c r="M196" s="171"/>
      <c r="N196" s="318" t="str">
        <f ca="1">"제 " &amp; Z196 &amp; " 호표  "&amp; OFFSET($A$1,MATCH(Z196,$A:$A,0)-1,1)</f>
        <v>제 17 호표  5.3. 현장조사 결과 분석</v>
      </c>
      <c r="O196" s="221"/>
      <c r="P196" s="148"/>
      <c r="Q196" s="148"/>
      <c r="R196" s="149"/>
      <c r="S196" s="149"/>
      <c r="T196" s="149"/>
      <c r="U196" s="149"/>
      <c r="V196" s="149"/>
      <c r="W196" s="149"/>
      <c r="X196" s="149"/>
      <c r="Y196" s="149"/>
      <c r="Z196" s="325">
        <f>Z188+1</f>
        <v>17</v>
      </c>
    </row>
    <row r="197" spans="11:26" ht="18" customHeight="1">
      <c r="K197" s="171" t="s">
        <v>14</v>
      </c>
      <c r="L197" s="171"/>
      <c r="M197" s="171"/>
      <c r="N197" s="140" t="s">
        <v>43</v>
      </c>
      <c r="O197" s="172">
        <v>3</v>
      </c>
      <c r="P197" s="219">
        <f ca="1">OFFSET($A$1,MATCH(Z196,$A:$A,0)-1,O197)</f>
        <v>0.4</v>
      </c>
      <c r="Q197" s="141" t="s">
        <v>29</v>
      </c>
      <c r="R197" s="142">
        <f t="shared" ref="R197:S202" ca="1" si="47">T197</f>
        <v>467217</v>
      </c>
      <c r="S197" s="142">
        <f t="shared" ca="1" si="47"/>
        <v>186886</v>
      </c>
      <c r="T197" s="142">
        <f ca="1">기술사</f>
        <v>467217</v>
      </c>
      <c r="U197" s="142">
        <f t="shared" ref="U197:U202" ca="1" si="48">ROUNDDOWN(P197*R197,0)</f>
        <v>186886</v>
      </c>
      <c r="V197" s="142"/>
      <c r="W197" s="142"/>
      <c r="X197" s="142"/>
      <c r="Y197" s="142"/>
      <c r="Z197" s="114"/>
    </row>
    <row r="198" spans="11:26" ht="18" customHeight="1">
      <c r="K198" s="171" t="s">
        <v>14</v>
      </c>
      <c r="L198" s="171"/>
      <c r="M198" s="171"/>
      <c r="N198" s="143" t="s">
        <v>32</v>
      </c>
      <c r="O198" s="173">
        <v>4</v>
      </c>
      <c r="P198" s="234">
        <f ca="1">OFFSET($A$1,MATCH(Z196,$A:$A,0)-1,O198)</f>
        <v>0.7</v>
      </c>
      <c r="Q198" s="144" t="s">
        <v>29</v>
      </c>
      <c r="R198" s="118">
        <f t="shared" ca="1" si="47"/>
        <v>373353</v>
      </c>
      <c r="S198" s="118">
        <f t="shared" ca="1" si="47"/>
        <v>261347</v>
      </c>
      <c r="T198" s="118">
        <f ca="1">특급</f>
        <v>373353</v>
      </c>
      <c r="U198" s="118">
        <f t="shared" ca="1" si="48"/>
        <v>261347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39</v>
      </c>
      <c r="O199" s="173">
        <v>5</v>
      </c>
      <c r="P199" s="234">
        <f ca="1">OFFSET($A$1,MATCH(Z196,$A:$A,0)-1,O199)</f>
        <v>1.1000000000000001</v>
      </c>
      <c r="Q199" s="144" t="s">
        <v>29</v>
      </c>
      <c r="R199" s="118">
        <f t="shared" ca="1" si="47"/>
        <v>310884</v>
      </c>
      <c r="S199" s="118">
        <f t="shared" ca="1" si="47"/>
        <v>341972</v>
      </c>
      <c r="T199" s="118">
        <f ca="1">고급</f>
        <v>310884</v>
      </c>
      <c r="U199" s="118">
        <f t="shared" ca="1" si="48"/>
        <v>341972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40</v>
      </c>
      <c r="O200" s="173">
        <v>6</v>
      </c>
      <c r="P200" s="234">
        <f ca="1">OFFSET($A$1,MATCH(Z196,$A:$A,0)-1,O200)</f>
        <v>1.6</v>
      </c>
      <c r="Q200" s="144" t="s">
        <v>29</v>
      </c>
      <c r="R200" s="118">
        <f t="shared" ca="1" si="47"/>
        <v>295138</v>
      </c>
      <c r="S200" s="118">
        <f t="shared" ca="1" si="47"/>
        <v>472220</v>
      </c>
      <c r="T200" s="118">
        <f ca="1">중급</f>
        <v>295138</v>
      </c>
      <c r="U200" s="118">
        <f t="shared" ca="1" si="48"/>
        <v>472220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41</v>
      </c>
      <c r="O201" s="173">
        <v>7</v>
      </c>
      <c r="P201" s="234">
        <f ca="1">OFFSET($A$1,MATCH(Z196,$A:$A,0)-1,O201)</f>
        <v>1</v>
      </c>
      <c r="Q201" s="144" t="s">
        <v>29</v>
      </c>
      <c r="R201" s="118">
        <f t="shared" ca="1" si="47"/>
        <v>235459</v>
      </c>
      <c r="S201" s="118">
        <f t="shared" ca="1" si="47"/>
        <v>235459</v>
      </c>
      <c r="T201" s="118">
        <f ca="1">초급</f>
        <v>235459</v>
      </c>
      <c r="U201" s="118">
        <f t="shared" ca="1" si="48"/>
        <v>235459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319" t="s">
        <v>42</v>
      </c>
      <c r="O202" s="174">
        <v>8</v>
      </c>
      <c r="P202" s="235">
        <f ca="1">OFFSET($A$1,MATCH(Z196,$A:$A,0)-1,O202)</f>
        <v>0.8</v>
      </c>
      <c r="Q202" s="322" t="s">
        <v>29</v>
      </c>
      <c r="R202" s="323">
        <f t="shared" ca="1" si="47"/>
        <v>250087</v>
      </c>
      <c r="S202" s="323">
        <f t="shared" ca="1" si="47"/>
        <v>200069</v>
      </c>
      <c r="T202" s="323">
        <f ca="1">보조원</f>
        <v>250087</v>
      </c>
      <c r="U202" s="323">
        <f t="shared" ca="1" si="48"/>
        <v>200069</v>
      </c>
      <c r="V202" s="323"/>
      <c r="W202" s="323"/>
      <c r="X202" s="323"/>
      <c r="Y202" s="323"/>
      <c r="Z202" s="324"/>
    </row>
    <row r="203" spans="11:26" ht="18" customHeight="1">
      <c r="K203" s="171" t="s">
        <v>14</v>
      </c>
      <c r="L203" s="171"/>
      <c r="M203" s="171"/>
      <c r="N203" s="139" t="s">
        <v>17</v>
      </c>
      <c r="O203" s="68"/>
      <c r="P203" s="69"/>
      <c r="Q203" s="70"/>
      <c r="R203" s="71"/>
      <c r="S203" s="71">
        <f ca="1">SUBTOTAL(9,S197:S202)</f>
        <v>1697953</v>
      </c>
      <c r="T203" s="71"/>
      <c r="U203" s="71">
        <f ca="1">SUBTOTAL(9,U197:U202)</f>
        <v>1697953</v>
      </c>
      <c r="V203" s="71"/>
      <c r="W203" s="71"/>
      <c r="X203" s="71"/>
      <c r="Y203" s="71"/>
      <c r="Z203" s="68"/>
    </row>
    <row r="204" spans="11:26" ht="18" customHeight="1">
      <c r="K204" s="171" t="s">
        <v>14</v>
      </c>
      <c r="L204" s="171"/>
      <c r="M204" s="171"/>
      <c r="N204" s="318" t="str">
        <f ca="1">"제 " &amp; Z204 &amp; " 호표  "&amp; OFFSET($A$1,MATCH(Z204,$A:$A,0)-1,1)</f>
        <v>제 18 호표  5.4. 현재취약지 평가 및 개선방향 수립</v>
      </c>
      <c r="O204" s="221"/>
      <c r="P204" s="148"/>
      <c r="Q204" s="148"/>
      <c r="R204" s="149"/>
      <c r="S204" s="149"/>
      <c r="T204" s="149"/>
      <c r="U204" s="149"/>
      <c r="V204" s="149"/>
      <c r="W204" s="149"/>
      <c r="X204" s="149"/>
      <c r="Y204" s="149"/>
      <c r="Z204" s="325">
        <f>Z196+1</f>
        <v>18</v>
      </c>
    </row>
    <row r="205" spans="11:26" ht="18" customHeight="1">
      <c r="K205" s="171" t="s">
        <v>14</v>
      </c>
      <c r="L205" s="171"/>
      <c r="M205" s="171"/>
      <c r="N205" s="140" t="s">
        <v>43</v>
      </c>
      <c r="O205" s="172">
        <v>3</v>
      </c>
      <c r="P205" s="219">
        <f ca="1">OFFSET($A$1,MATCH(Z204,$A:$A,0)-1,O205)</f>
        <v>0.6</v>
      </c>
      <c r="Q205" s="141" t="s">
        <v>29</v>
      </c>
      <c r="R205" s="142">
        <f t="shared" ref="R205:S210" ca="1" si="49">T205</f>
        <v>467217</v>
      </c>
      <c r="S205" s="142">
        <f t="shared" ca="1" si="49"/>
        <v>280330</v>
      </c>
      <c r="T205" s="142">
        <f ca="1">기술사</f>
        <v>467217</v>
      </c>
      <c r="U205" s="142">
        <f t="shared" ref="U205:U210" ca="1" si="50">ROUNDDOWN(P205*R205,0)</f>
        <v>280330</v>
      </c>
      <c r="V205" s="142"/>
      <c r="W205" s="142"/>
      <c r="X205" s="142"/>
      <c r="Y205" s="142"/>
      <c r="Z205" s="114"/>
    </row>
    <row r="206" spans="11:26" ht="18" customHeight="1">
      <c r="K206" s="171" t="s">
        <v>14</v>
      </c>
      <c r="L206" s="171"/>
      <c r="M206" s="171"/>
      <c r="N206" s="143" t="s">
        <v>32</v>
      </c>
      <c r="O206" s="173">
        <v>4</v>
      </c>
      <c r="P206" s="234">
        <f ca="1">OFFSET($A$1,MATCH(Z204,$A:$A,0)-1,O206)</f>
        <v>0.8</v>
      </c>
      <c r="Q206" s="144" t="s">
        <v>29</v>
      </c>
      <c r="R206" s="118">
        <f t="shared" ca="1" si="49"/>
        <v>373353</v>
      </c>
      <c r="S206" s="118">
        <f t="shared" ca="1" si="49"/>
        <v>298682</v>
      </c>
      <c r="T206" s="118">
        <f ca="1">특급</f>
        <v>373353</v>
      </c>
      <c r="U206" s="118">
        <f t="shared" ca="1" si="50"/>
        <v>298682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39</v>
      </c>
      <c r="O207" s="173">
        <v>5</v>
      </c>
      <c r="P207" s="234">
        <f ca="1">OFFSET($A$1,MATCH(Z204,$A:$A,0)-1,O207)</f>
        <v>0.7</v>
      </c>
      <c r="Q207" s="144" t="s">
        <v>29</v>
      </c>
      <c r="R207" s="118">
        <f t="shared" ca="1" si="49"/>
        <v>310884</v>
      </c>
      <c r="S207" s="118">
        <f t="shared" ca="1" si="49"/>
        <v>217618</v>
      </c>
      <c r="T207" s="118">
        <f ca="1">고급</f>
        <v>310884</v>
      </c>
      <c r="U207" s="118">
        <f t="shared" ca="1" si="50"/>
        <v>217618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40</v>
      </c>
      <c r="O208" s="173">
        <v>6</v>
      </c>
      <c r="P208" s="234">
        <f ca="1">OFFSET($A$1,MATCH(Z204,$A:$A,0)-1,O208)</f>
        <v>1.4</v>
      </c>
      <c r="Q208" s="144" t="s">
        <v>29</v>
      </c>
      <c r="R208" s="118">
        <f t="shared" ca="1" si="49"/>
        <v>295138</v>
      </c>
      <c r="S208" s="118">
        <f t="shared" ca="1" si="49"/>
        <v>413193</v>
      </c>
      <c r="T208" s="118">
        <f ca="1">중급</f>
        <v>295138</v>
      </c>
      <c r="U208" s="118">
        <f t="shared" ca="1" si="50"/>
        <v>413193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41</v>
      </c>
      <c r="O209" s="173">
        <v>7</v>
      </c>
      <c r="P209" s="234">
        <f ca="1">OFFSET($A$1,MATCH(Z204,$A:$A,0)-1,O209)</f>
        <v>0.8</v>
      </c>
      <c r="Q209" s="144" t="s">
        <v>29</v>
      </c>
      <c r="R209" s="118">
        <f t="shared" ca="1" si="49"/>
        <v>235459</v>
      </c>
      <c r="S209" s="118">
        <f t="shared" ca="1" si="49"/>
        <v>188367</v>
      </c>
      <c r="T209" s="118">
        <f ca="1">초급</f>
        <v>235459</v>
      </c>
      <c r="U209" s="118">
        <f t="shared" ca="1" si="50"/>
        <v>188367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319" t="s">
        <v>42</v>
      </c>
      <c r="O210" s="174">
        <v>8</v>
      </c>
      <c r="P210" s="235">
        <f ca="1">OFFSET($A$1,MATCH(Z204,$A:$A,0)-1,O210)</f>
        <v>0.4</v>
      </c>
      <c r="Q210" s="322" t="s">
        <v>29</v>
      </c>
      <c r="R210" s="323">
        <f t="shared" ca="1" si="49"/>
        <v>250087</v>
      </c>
      <c r="S210" s="323">
        <f t="shared" ca="1" si="49"/>
        <v>100034</v>
      </c>
      <c r="T210" s="323">
        <f ca="1">보조원</f>
        <v>250087</v>
      </c>
      <c r="U210" s="323">
        <f t="shared" ca="1" si="50"/>
        <v>100034</v>
      </c>
      <c r="V210" s="323"/>
      <c r="W210" s="323"/>
      <c r="X210" s="323"/>
      <c r="Y210" s="323"/>
      <c r="Z210" s="324"/>
    </row>
    <row r="211" spans="11:26" ht="18" customHeight="1">
      <c r="K211" s="171" t="s">
        <v>14</v>
      </c>
      <c r="L211" s="171"/>
      <c r="M211" s="171"/>
      <c r="N211" s="139" t="s">
        <v>17</v>
      </c>
      <c r="O211" s="68"/>
      <c r="P211" s="69"/>
      <c r="Q211" s="70"/>
      <c r="R211" s="71"/>
      <c r="S211" s="71">
        <f ca="1">SUBTOTAL(9,S205:S210)</f>
        <v>1498224</v>
      </c>
      <c r="T211" s="71"/>
      <c r="U211" s="71">
        <f ca="1">SUBTOTAL(9,U205:U210)</f>
        <v>1498224</v>
      </c>
      <c r="V211" s="71"/>
      <c r="W211" s="71"/>
      <c r="X211" s="71"/>
      <c r="Y211" s="71"/>
      <c r="Z211" s="68"/>
    </row>
    <row r="212" spans="11:26" ht="18" customHeight="1">
      <c r="K212" s="171" t="s">
        <v>14</v>
      </c>
      <c r="L212" s="171"/>
      <c r="M212" s="171"/>
      <c r="N212" s="318" t="str">
        <f ca="1">"제 " &amp; Z212 &amp; " 호표  "&amp; OFFSET($A$1,MATCH(Z212,$A:$A,0)-1,1)</f>
        <v>제 19 호표  6.1. 요약 및 정책제언</v>
      </c>
      <c r="O212" s="221"/>
      <c r="P212" s="148"/>
      <c r="Q212" s="148"/>
      <c r="R212" s="149"/>
      <c r="S212" s="149"/>
      <c r="T212" s="149"/>
      <c r="U212" s="149"/>
      <c r="V212" s="149"/>
      <c r="W212" s="149"/>
      <c r="X212" s="149"/>
      <c r="Y212" s="149"/>
      <c r="Z212" s="325">
        <f>Z204+1</f>
        <v>19</v>
      </c>
    </row>
    <row r="213" spans="11:26" ht="18" customHeight="1">
      <c r="K213" s="171" t="s">
        <v>14</v>
      </c>
      <c r="L213" s="171"/>
      <c r="M213" s="171"/>
      <c r="N213" s="140" t="s">
        <v>43</v>
      </c>
      <c r="O213" s="172">
        <v>3</v>
      </c>
      <c r="P213" s="219">
        <f ca="1">OFFSET($A$1,MATCH(Z212,$A:$A,0)-1,O213)</f>
        <v>0.5</v>
      </c>
      <c r="Q213" s="141" t="s">
        <v>29</v>
      </c>
      <c r="R213" s="142">
        <f t="shared" ref="R213:S218" ca="1" si="51">T213</f>
        <v>467217</v>
      </c>
      <c r="S213" s="142">
        <f t="shared" ca="1" si="51"/>
        <v>233608</v>
      </c>
      <c r="T213" s="142">
        <f ca="1">기술사</f>
        <v>467217</v>
      </c>
      <c r="U213" s="142">
        <f t="shared" ref="U213:U218" ca="1" si="52">ROUNDDOWN(P213*R213,0)</f>
        <v>233608</v>
      </c>
      <c r="V213" s="142"/>
      <c r="W213" s="142"/>
      <c r="X213" s="142"/>
      <c r="Y213" s="142"/>
      <c r="Z213" s="114"/>
    </row>
    <row r="214" spans="11:26" ht="18" customHeight="1">
      <c r="K214" s="171" t="s">
        <v>14</v>
      </c>
      <c r="L214" s="171"/>
      <c r="M214" s="171"/>
      <c r="N214" s="143" t="s">
        <v>32</v>
      </c>
      <c r="O214" s="173">
        <v>4</v>
      </c>
      <c r="P214" s="234">
        <f ca="1">OFFSET($A$1,MATCH(Z212,$A:$A,0)-1,O214)</f>
        <v>0.7</v>
      </c>
      <c r="Q214" s="144" t="s">
        <v>29</v>
      </c>
      <c r="R214" s="118">
        <f t="shared" ca="1" si="51"/>
        <v>373353</v>
      </c>
      <c r="S214" s="118">
        <f t="shared" ca="1" si="51"/>
        <v>261347</v>
      </c>
      <c r="T214" s="118">
        <f ca="1">특급</f>
        <v>373353</v>
      </c>
      <c r="U214" s="118">
        <f t="shared" ca="1" si="52"/>
        <v>261347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39</v>
      </c>
      <c r="O215" s="173">
        <v>5</v>
      </c>
      <c r="P215" s="234">
        <f ca="1">OFFSET($A$1,MATCH(Z212,$A:$A,0)-1,O215)</f>
        <v>0.6</v>
      </c>
      <c r="Q215" s="144" t="s">
        <v>29</v>
      </c>
      <c r="R215" s="118">
        <f t="shared" ca="1" si="51"/>
        <v>310884</v>
      </c>
      <c r="S215" s="118">
        <f t="shared" ca="1" si="51"/>
        <v>186530</v>
      </c>
      <c r="T215" s="118">
        <f ca="1">고급</f>
        <v>310884</v>
      </c>
      <c r="U215" s="118">
        <f t="shared" ca="1" si="52"/>
        <v>186530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40</v>
      </c>
      <c r="O216" s="173">
        <v>6</v>
      </c>
      <c r="P216" s="234">
        <f ca="1">OFFSET($A$1,MATCH(Z212,$A:$A,0)-1,O216)</f>
        <v>0.9</v>
      </c>
      <c r="Q216" s="144" t="s">
        <v>29</v>
      </c>
      <c r="R216" s="118">
        <f t="shared" ca="1" si="51"/>
        <v>295138</v>
      </c>
      <c r="S216" s="118">
        <f t="shared" ca="1" si="51"/>
        <v>265624</v>
      </c>
      <c r="T216" s="118">
        <f ca="1">중급</f>
        <v>295138</v>
      </c>
      <c r="U216" s="118">
        <f t="shared" ca="1" si="52"/>
        <v>265624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41</v>
      </c>
      <c r="O217" s="173">
        <v>7</v>
      </c>
      <c r="P217" s="234">
        <f ca="1">OFFSET($A$1,MATCH(Z212,$A:$A,0)-1,O217)</f>
        <v>0.5</v>
      </c>
      <c r="Q217" s="144" t="s">
        <v>29</v>
      </c>
      <c r="R217" s="118">
        <f t="shared" ca="1" si="51"/>
        <v>235459</v>
      </c>
      <c r="S217" s="118">
        <f t="shared" ca="1" si="51"/>
        <v>117729</v>
      </c>
      <c r="T217" s="118">
        <f ca="1">초급</f>
        <v>235459</v>
      </c>
      <c r="U217" s="118">
        <f t="shared" ca="1" si="52"/>
        <v>117729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319" t="s">
        <v>42</v>
      </c>
      <c r="O218" s="174">
        <v>8</v>
      </c>
      <c r="P218" s="235">
        <f ca="1">OFFSET($A$1,MATCH(Z212,$A:$A,0)-1,O218)</f>
        <v>0.3</v>
      </c>
      <c r="Q218" s="322" t="s">
        <v>29</v>
      </c>
      <c r="R218" s="323">
        <f t="shared" ca="1" si="51"/>
        <v>250087</v>
      </c>
      <c r="S218" s="323">
        <f t="shared" ca="1" si="51"/>
        <v>75026</v>
      </c>
      <c r="T218" s="323">
        <f ca="1">보조원</f>
        <v>250087</v>
      </c>
      <c r="U218" s="323">
        <f t="shared" ca="1" si="52"/>
        <v>75026</v>
      </c>
      <c r="V218" s="323"/>
      <c r="W218" s="323"/>
      <c r="X218" s="323"/>
      <c r="Y218" s="323"/>
      <c r="Z218" s="324"/>
    </row>
    <row r="219" spans="11:26" ht="18" customHeight="1">
      <c r="K219" s="171" t="s">
        <v>14</v>
      </c>
      <c r="L219" s="171"/>
      <c r="M219" s="171"/>
      <c r="N219" s="139" t="s">
        <v>17</v>
      </c>
      <c r="O219" s="68"/>
      <c r="P219" s="69"/>
      <c r="Q219" s="70"/>
      <c r="R219" s="71"/>
      <c r="S219" s="71">
        <f ca="1">SUBTOTAL(9,S213:S218)</f>
        <v>1139864</v>
      </c>
      <c r="T219" s="71"/>
      <c r="U219" s="71">
        <f ca="1">SUBTOTAL(9,U213:U218)</f>
        <v>1139864</v>
      </c>
      <c r="V219" s="71"/>
      <c r="W219" s="71"/>
      <c r="X219" s="71"/>
      <c r="Y219" s="71"/>
      <c r="Z219" s="68"/>
    </row>
    <row r="220" spans="11:26" ht="18" customHeight="1">
      <c r="K220" s="171" t="s">
        <v>14</v>
      </c>
      <c r="L220" s="171"/>
      <c r="M220" s="171"/>
      <c r="N220" s="318" t="str">
        <f ca="1">"제 " &amp; Z220 &amp; " 호표  "&amp; OFFSET($A$1,MATCH(Z220,$A:$A,0)-1,1)</f>
        <v>제 20 호표  7.1. 보고서 작성</v>
      </c>
      <c r="O220" s="221"/>
      <c r="P220" s="148"/>
      <c r="Q220" s="148"/>
      <c r="R220" s="149"/>
      <c r="S220" s="149"/>
      <c r="T220" s="149"/>
      <c r="U220" s="149"/>
      <c r="V220" s="149"/>
      <c r="W220" s="149"/>
      <c r="X220" s="149"/>
      <c r="Y220" s="149"/>
      <c r="Z220" s="325">
        <f>Z212+1</f>
        <v>20</v>
      </c>
    </row>
    <row r="221" spans="11:26" ht="18" customHeight="1">
      <c r="K221" s="171" t="s">
        <v>14</v>
      </c>
      <c r="L221" s="171"/>
      <c r="M221" s="171"/>
      <c r="N221" s="140" t="s">
        <v>43</v>
      </c>
      <c r="O221" s="172">
        <v>3</v>
      </c>
      <c r="P221" s="219">
        <f ca="1">OFFSET($A$1,MATCH(Z220,$A:$A,0)-1,O221)</f>
        <v>0.3</v>
      </c>
      <c r="Q221" s="141" t="s">
        <v>29</v>
      </c>
      <c r="R221" s="142">
        <f t="shared" ref="R221:S226" ca="1" si="53">T221</f>
        <v>467217</v>
      </c>
      <c r="S221" s="142">
        <f t="shared" ca="1" si="53"/>
        <v>140165</v>
      </c>
      <c r="T221" s="142">
        <f ca="1">기술사</f>
        <v>467217</v>
      </c>
      <c r="U221" s="142">
        <f t="shared" ref="U221:U226" ca="1" si="54">ROUNDDOWN(P221*R221,0)</f>
        <v>140165</v>
      </c>
      <c r="V221" s="142"/>
      <c r="W221" s="142"/>
      <c r="X221" s="142"/>
      <c r="Y221" s="142"/>
      <c r="Z221" s="114"/>
    </row>
    <row r="222" spans="11:26" ht="18" customHeight="1">
      <c r="K222" s="171" t="s">
        <v>14</v>
      </c>
      <c r="L222" s="171"/>
      <c r="M222" s="171"/>
      <c r="N222" s="143" t="s">
        <v>32</v>
      </c>
      <c r="O222" s="173">
        <v>4</v>
      </c>
      <c r="P222" s="234">
        <f ca="1">OFFSET($A$1,MATCH(Z220,$A:$A,0)-1,O222)</f>
        <v>0.3</v>
      </c>
      <c r="Q222" s="144" t="s">
        <v>29</v>
      </c>
      <c r="R222" s="118">
        <f t="shared" ca="1" si="53"/>
        <v>373353</v>
      </c>
      <c r="S222" s="118">
        <f t="shared" ca="1" si="53"/>
        <v>112005</v>
      </c>
      <c r="T222" s="118">
        <f ca="1">특급</f>
        <v>373353</v>
      </c>
      <c r="U222" s="118">
        <f t="shared" ca="1" si="54"/>
        <v>112005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39</v>
      </c>
      <c r="O223" s="173">
        <v>5</v>
      </c>
      <c r="P223" s="234">
        <f ca="1">OFFSET($A$1,MATCH(Z220,$A:$A,0)-1,O223)</f>
        <v>1</v>
      </c>
      <c r="Q223" s="144" t="s">
        <v>29</v>
      </c>
      <c r="R223" s="118">
        <f t="shared" ca="1" si="53"/>
        <v>310884</v>
      </c>
      <c r="S223" s="118">
        <f t="shared" ca="1" si="53"/>
        <v>310884</v>
      </c>
      <c r="T223" s="118">
        <f ca="1">고급</f>
        <v>310884</v>
      </c>
      <c r="U223" s="118">
        <f t="shared" ca="1" si="54"/>
        <v>310884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40</v>
      </c>
      <c r="O224" s="173">
        <v>6</v>
      </c>
      <c r="P224" s="234">
        <f ca="1">OFFSET($A$1,MATCH(Z220,$A:$A,0)-1,O224)</f>
        <v>1.6</v>
      </c>
      <c r="Q224" s="144" t="s">
        <v>29</v>
      </c>
      <c r="R224" s="118">
        <f t="shared" ca="1" si="53"/>
        <v>295138</v>
      </c>
      <c r="S224" s="118">
        <f t="shared" ca="1" si="53"/>
        <v>472220</v>
      </c>
      <c r="T224" s="118">
        <f ca="1">중급</f>
        <v>295138</v>
      </c>
      <c r="U224" s="118">
        <f t="shared" ca="1" si="54"/>
        <v>472220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41</v>
      </c>
      <c r="O225" s="173">
        <v>7</v>
      </c>
      <c r="P225" s="234">
        <f ca="1">OFFSET($A$1,MATCH(Z220,$A:$A,0)-1,O225)</f>
        <v>1.1000000000000001</v>
      </c>
      <c r="Q225" s="144" t="s">
        <v>29</v>
      </c>
      <c r="R225" s="118">
        <f t="shared" ca="1" si="53"/>
        <v>235459</v>
      </c>
      <c r="S225" s="118">
        <f t="shared" ca="1" si="53"/>
        <v>259004</v>
      </c>
      <c r="T225" s="118">
        <f ca="1">초급</f>
        <v>235459</v>
      </c>
      <c r="U225" s="118">
        <f t="shared" ca="1" si="54"/>
        <v>259004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319" t="s">
        <v>42</v>
      </c>
      <c r="O226" s="174">
        <v>8</v>
      </c>
      <c r="P226" s="235">
        <f ca="1">OFFSET($A$1,MATCH(Z220,$A:$A,0)-1,O226)</f>
        <v>1.1000000000000001</v>
      </c>
      <c r="Q226" s="322" t="s">
        <v>29</v>
      </c>
      <c r="R226" s="323">
        <f t="shared" ca="1" si="53"/>
        <v>250087</v>
      </c>
      <c r="S226" s="323">
        <f t="shared" ca="1" si="53"/>
        <v>275095</v>
      </c>
      <c r="T226" s="323">
        <f ca="1">보조원</f>
        <v>250087</v>
      </c>
      <c r="U226" s="323">
        <f t="shared" ca="1" si="54"/>
        <v>275095</v>
      </c>
      <c r="V226" s="323"/>
      <c r="W226" s="323"/>
      <c r="X226" s="323"/>
      <c r="Y226" s="323"/>
      <c r="Z226" s="324"/>
    </row>
    <row r="227" spans="11:26" ht="18" customHeight="1">
      <c r="K227" s="171" t="s">
        <v>14</v>
      </c>
      <c r="L227" s="171"/>
      <c r="M227" s="171"/>
      <c r="N227" s="139" t="s">
        <v>17</v>
      </c>
      <c r="O227" s="68"/>
      <c r="P227" s="69"/>
      <c r="Q227" s="70"/>
      <c r="R227" s="71"/>
      <c r="S227" s="71">
        <f ca="1">SUBTOTAL(9,S221:S226)</f>
        <v>1569373</v>
      </c>
      <c r="T227" s="71"/>
      <c r="U227" s="71">
        <f ca="1">SUBTOTAL(9,U221:U226)</f>
        <v>1569373</v>
      </c>
      <c r="V227" s="71"/>
      <c r="W227" s="71"/>
      <c r="X227" s="71"/>
      <c r="Y227" s="71"/>
      <c r="Z227" s="68"/>
    </row>
    <row r="228" spans="11:26" ht="18" customHeight="1">
      <c r="K228" s="171" t="s">
        <v>14</v>
      </c>
      <c r="L228" s="171"/>
      <c r="M228" s="171"/>
      <c r="N228" s="318" t="str">
        <f ca="1">"제 " &amp; Z228 &amp; " 호표  "&amp; OFFSET($A$1,MATCH(Z228,$A:$A,0)-1,1)</f>
        <v>제 21 호표  8.1. 전문가 자문 및 지원</v>
      </c>
      <c r="O228" s="221"/>
      <c r="P228" s="148"/>
      <c r="Q228" s="148"/>
      <c r="R228" s="149"/>
      <c r="S228" s="149"/>
      <c r="T228" s="149"/>
      <c r="U228" s="149"/>
      <c r="V228" s="149"/>
      <c r="W228" s="149"/>
      <c r="X228" s="149"/>
      <c r="Y228" s="149"/>
      <c r="Z228" s="325">
        <f>Z220+1</f>
        <v>21</v>
      </c>
    </row>
    <row r="229" spans="11:26" ht="18" customHeight="1">
      <c r="K229" s="171" t="s">
        <v>14</v>
      </c>
      <c r="L229" s="171"/>
      <c r="M229" s="171"/>
      <c r="N229" s="140" t="s">
        <v>43</v>
      </c>
      <c r="O229" s="172">
        <v>3</v>
      </c>
      <c r="P229" s="219">
        <f ca="1">OFFSET($A$1,MATCH(Z228,$A:$A,0)-1,O229)</f>
        <v>2</v>
      </c>
      <c r="Q229" s="141" t="s">
        <v>29</v>
      </c>
      <c r="R229" s="142">
        <f t="shared" ref="R229:R234" ca="1" si="55">T229</f>
        <v>467217</v>
      </c>
      <c r="S229" s="142">
        <f t="shared" ref="S229:S234" ca="1" si="56">U229</f>
        <v>934434</v>
      </c>
      <c r="T229" s="142">
        <f ca="1">기술사</f>
        <v>467217</v>
      </c>
      <c r="U229" s="142">
        <f t="shared" ref="U229:U234" ca="1" si="57">ROUNDDOWN(P229*R229,0)</f>
        <v>934434</v>
      </c>
      <c r="V229" s="142"/>
      <c r="W229" s="142"/>
      <c r="X229" s="142"/>
      <c r="Y229" s="142"/>
      <c r="Z229" s="114"/>
    </row>
    <row r="230" spans="11:26" ht="18" customHeight="1">
      <c r="K230" s="171" t="s">
        <v>14</v>
      </c>
      <c r="L230" s="171"/>
      <c r="M230" s="171"/>
      <c r="N230" s="143" t="s">
        <v>32</v>
      </c>
      <c r="O230" s="173">
        <v>4</v>
      </c>
      <c r="P230" s="234">
        <f ca="1">OFFSET($A$1,MATCH(Z228,$A:$A,0)-1,O230)</f>
        <v>2</v>
      </c>
      <c r="Q230" s="144" t="s">
        <v>29</v>
      </c>
      <c r="R230" s="118">
        <f t="shared" ca="1" si="55"/>
        <v>373353</v>
      </c>
      <c r="S230" s="118">
        <f t="shared" ca="1" si="56"/>
        <v>746706</v>
      </c>
      <c r="T230" s="118">
        <f ca="1">특급</f>
        <v>373353</v>
      </c>
      <c r="U230" s="118">
        <f t="shared" ca="1" si="57"/>
        <v>746706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39</v>
      </c>
      <c r="O231" s="173">
        <v>5</v>
      </c>
      <c r="P231" s="234">
        <f ca="1">OFFSET($A$1,MATCH(Z228,$A:$A,0)-1,O231)</f>
        <v>2</v>
      </c>
      <c r="Q231" s="144" t="s">
        <v>29</v>
      </c>
      <c r="R231" s="118">
        <f t="shared" ca="1" si="55"/>
        <v>310884</v>
      </c>
      <c r="S231" s="118">
        <f t="shared" ca="1" si="56"/>
        <v>621768</v>
      </c>
      <c r="T231" s="118">
        <f ca="1">고급</f>
        <v>310884</v>
      </c>
      <c r="U231" s="118">
        <f t="shared" ca="1" si="57"/>
        <v>621768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40</v>
      </c>
      <c r="O232" s="173">
        <v>6</v>
      </c>
      <c r="P232" s="234">
        <f ca="1">OFFSET($A$1,MATCH(Z228,$A:$A,0)-1,O232)</f>
        <v>4</v>
      </c>
      <c r="Q232" s="144" t="s">
        <v>29</v>
      </c>
      <c r="R232" s="118">
        <f t="shared" ca="1" si="55"/>
        <v>295138</v>
      </c>
      <c r="S232" s="118">
        <f t="shared" ca="1" si="56"/>
        <v>1180552</v>
      </c>
      <c r="T232" s="118">
        <f ca="1">중급</f>
        <v>295138</v>
      </c>
      <c r="U232" s="118">
        <f t="shared" ca="1" si="57"/>
        <v>1180552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41</v>
      </c>
      <c r="O233" s="173">
        <v>7</v>
      </c>
      <c r="P233" s="234">
        <f ca="1">OFFSET($A$1,MATCH(Z228,$A:$A,0)-1,O233)</f>
        <v>4</v>
      </c>
      <c r="Q233" s="144" t="s">
        <v>29</v>
      </c>
      <c r="R233" s="118">
        <f t="shared" ca="1" si="55"/>
        <v>235459</v>
      </c>
      <c r="S233" s="118">
        <f t="shared" ca="1" si="56"/>
        <v>941836</v>
      </c>
      <c r="T233" s="118">
        <f ca="1">초급</f>
        <v>235459</v>
      </c>
      <c r="U233" s="118">
        <f t="shared" ca="1" si="57"/>
        <v>941836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319" t="s">
        <v>42</v>
      </c>
      <c r="O234" s="174">
        <v>8</v>
      </c>
      <c r="P234" s="235">
        <f ca="1">OFFSET($A$1,MATCH(Z228,$A:$A,0)-1,O234)</f>
        <v>4</v>
      </c>
      <c r="Q234" s="322" t="s">
        <v>29</v>
      </c>
      <c r="R234" s="323">
        <f t="shared" ca="1" si="55"/>
        <v>250087</v>
      </c>
      <c r="S234" s="323">
        <f t="shared" ca="1" si="56"/>
        <v>1000348</v>
      </c>
      <c r="T234" s="323">
        <f ca="1">보조원</f>
        <v>250087</v>
      </c>
      <c r="U234" s="323">
        <f t="shared" ca="1" si="57"/>
        <v>1000348</v>
      </c>
      <c r="V234" s="323"/>
      <c r="W234" s="323"/>
      <c r="X234" s="323"/>
      <c r="Y234" s="323"/>
      <c r="Z234" s="324"/>
    </row>
    <row r="235" spans="11:26" ht="18" customHeight="1">
      <c r="K235" s="171" t="s">
        <v>14</v>
      </c>
      <c r="L235" s="171"/>
      <c r="M235" s="171"/>
      <c r="N235" s="139" t="s">
        <v>17</v>
      </c>
      <c r="O235" s="68"/>
      <c r="P235" s="69"/>
      <c r="Q235" s="70"/>
      <c r="R235" s="71"/>
      <c r="S235" s="71">
        <f ca="1">SUBTOTAL(9,S229:S234)</f>
        <v>5425644</v>
      </c>
      <c r="T235" s="71"/>
      <c r="U235" s="71">
        <f ca="1">SUBTOTAL(9,U229:U234)</f>
        <v>5425644</v>
      </c>
      <c r="V235" s="71"/>
      <c r="W235" s="71"/>
      <c r="X235" s="71"/>
      <c r="Y235" s="71"/>
      <c r="Z235" s="68"/>
    </row>
    <row r="236" spans="11:26" ht="18" customHeight="1">
      <c r="K236" s="171" t="s">
        <v>14</v>
      </c>
      <c r="L236" s="171"/>
      <c r="M236" s="171"/>
      <c r="N236" s="318" t="str">
        <f ca="1">"제 " &amp; Z236 &amp; " 호표  "&amp; OFFSET($A$1,MATCH(Z236,$A:$A,0)-1,1)</f>
        <v>제 22 호표  8.2. 관계기관 협의</v>
      </c>
      <c r="O236" s="221"/>
      <c r="P236" s="148"/>
      <c r="Q236" s="148"/>
      <c r="R236" s="149"/>
      <c r="S236" s="149"/>
      <c r="T236" s="149"/>
      <c r="U236" s="149"/>
      <c r="V236" s="149"/>
      <c r="W236" s="149"/>
      <c r="X236" s="149"/>
      <c r="Y236" s="149"/>
      <c r="Z236" s="325">
        <f>Z228+1</f>
        <v>22</v>
      </c>
    </row>
    <row r="237" spans="11:26" ht="18" customHeight="1">
      <c r="K237" s="171" t="s">
        <v>14</v>
      </c>
      <c r="L237" s="171"/>
      <c r="M237" s="171"/>
      <c r="N237" s="140" t="s">
        <v>43</v>
      </c>
      <c r="O237" s="172">
        <v>3</v>
      </c>
      <c r="P237" s="219">
        <f ca="1">OFFSET($A$1,MATCH(Z236,$A:$A,0)-1,O237)</f>
        <v>2</v>
      </c>
      <c r="Q237" s="141" t="s">
        <v>29</v>
      </c>
      <c r="R237" s="142">
        <f t="shared" ref="R237:R242" ca="1" si="58">T237</f>
        <v>467217</v>
      </c>
      <c r="S237" s="142">
        <f t="shared" ref="S237:S242" ca="1" si="59">U237</f>
        <v>934434</v>
      </c>
      <c r="T237" s="142">
        <f ca="1">기술사</f>
        <v>467217</v>
      </c>
      <c r="U237" s="142">
        <f t="shared" ref="U237:U242" ca="1" si="60">ROUNDDOWN(P237*R237,0)</f>
        <v>934434</v>
      </c>
      <c r="V237" s="142"/>
      <c r="W237" s="142"/>
      <c r="X237" s="142"/>
      <c r="Y237" s="142"/>
      <c r="Z237" s="114"/>
    </row>
    <row r="238" spans="11:26" ht="18" customHeight="1">
      <c r="K238" s="171" t="s">
        <v>14</v>
      </c>
      <c r="L238" s="171"/>
      <c r="M238" s="171"/>
      <c r="N238" s="143" t="s">
        <v>32</v>
      </c>
      <c r="O238" s="173">
        <v>4</v>
      </c>
      <c r="P238" s="234">
        <f ca="1">OFFSET($A$1,MATCH(Z236,$A:$A,0)-1,O238)</f>
        <v>2</v>
      </c>
      <c r="Q238" s="144" t="s">
        <v>29</v>
      </c>
      <c r="R238" s="118">
        <f t="shared" ca="1" si="58"/>
        <v>373353</v>
      </c>
      <c r="S238" s="118">
        <f t="shared" ca="1" si="59"/>
        <v>746706</v>
      </c>
      <c r="T238" s="118">
        <f ca="1">특급</f>
        <v>373353</v>
      </c>
      <c r="U238" s="118">
        <f t="shared" ca="1" si="60"/>
        <v>746706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39</v>
      </c>
      <c r="O239" s="173">
        <v>5</v>
      </c>
      <c r="P239" s="234">
        <f ca="1">OFFSET($A$1,MATCH(Z236,$A:$A,0)-1,O239)</f>
        <v>2</v>
      </c>
      <c r="Q239" s="144" t="s">
        <v>29</v>
      </c>
      <c r="R239" s="118">
        <f t="shared" ca="1" si="58"/>
        <v>310884</v>
      </c>
      <c r="S239" s="118">
        <f t="shared" ca="1" si="59"/>
        <v>621768</v>
      </c>
      <c r="T239" s="118">
        <f ca="1">고급</f>
        <v>310884</v>
      </c>
      <c r="U239" s="118">
        <f t="shared" ca="1" si="60"/>
        <v>621768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40</v>
      </c>
      <c r="O240" s="173">
        <v>6</v>
      </c>
      <c r="P240" s="234">
        <f ca="1">OFFSET($A$1,MATCH(Z236,$A:$A,0)-1,O240)</f>
        <v>4</v>
      </c>
      <c r="Q240" s="144" t="s">
        <v>29</v>
      </c>
      <c r="R240" s="118">
        <f t="shared" ca="1" si="58"/>
        <v>295138</v>
      </c>
      <c r="S240" s="118">
        <f t="shared" ca="1" si="59"/>
        <v>1180552</v>
      </c>
      <c r="T240" s="118">
        <f ca="1">중급</f>
        <v>295138</v>
      </c>
      <c r="U240" s="118">
        <f t="shared" ca="1" si="60"/>
        <v>1180552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41</v>
      </c>
      <c r="O241" s="173">
        <v>7</v>
      </c>
      <c r="P241" s="234">
        <f ca="1">OFFSET($A$1,MATCH(Z236,$A:$A,0)-1,O241)</f>
        <v>4</v>
      </c>
      <c r="Q241" s="144" t="s">
        <v>29</v>
      </c>
      <c r="R241" s="118">
        <f t="shared" ca="1" si="58"/>
        <v>235459</v>
      </c>
      <c r="S241" s="118">
        <f t="shared" ca="1" si="59"/>
        <v>941836</v>
      </c>
      <c r="T241" s="118">
        <f ca="1">초급</f>
        <v>235459</v>
      </c>
      <c r="U241" s="118">
        <f t="shared" ca="1" si="60"/>
        <v>941836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319" t="s">
        <v>42</v>
      </c>
      <c r="O242" s="174">
        <v>8</v>
      </c>
      <c r="P242" s="235">
        <f ca="1">OFFSET($A$1,MATCH(Z236,$A:$A,0)-1,O242)</f>
        <v>4</v>
      </c>
      <c r="Q242" s="322" t="s">
        <v>29</v>
      </c>
      <c r="R242" s="323">
        <f t="shared" ca="1" si="58"/>
        <v>250087</v>
      </c>
      <c r="S242" s="323">
        <f t="shared" ca="1" si="59"/>
        <v>1000348</v>
      </c>
      <c r="T242" s="323">
        <f ca="1">보조원</f>
        <v>250087</v>
      </c>
      <c r="U242" s="323">
        <f t="shared" ca="1" si="60"/>
        <v>1000348</v>
      </c>
      <c r="V242" s="323"/>
      <c r="W242" s="323"/>
      <c r="X242" s="323"/>
      <c r="Y242" s="323"/>
      <c r="Z242" s="324"/>
    </row>
    <row r="243" spans="11:26" ht="18" customHeight="1">
      <c r="K243" s="171" t="s">
        <v>14</v>
      </c>
      <c r="L243" s="171"/>
      <c r="M243" s="171"/>
      <c r="N243" s="139" t="s">
        <v>17</v>
      </c>
      <c r="O243" s="68"/>
      <c r="P243" s="69"/>
      <c r="Q243" s="70"/>
      <c r="R243" s="71"/>
      <c r="S243" s="71">
        <f ca="1">SUBTOTAL(9,S237:S242)</f>
        <v>5425644</v>
      </c>
      <c r="T243" s="71"/>
      <c r="U243" s="71">
        <f ca="1">SUBTOTAL(9,U237:U242)</f>
        <v>5425644</v>
      </c>
      <c r="V243" s="71"/>
      <c r="W243" s="71"/>
      <c r="X243" s="71"/>
      <c r="Y243" s="71"/>
      <c r="Z243" s="68"/>
    </row>
    <row r="244" spans="11:26" ht="18" customHeight="1">
      <c r="K244" s="171" t="s">
        <v>14</v>
      </c>
      <c r="L244" s="171"/>
      <c r="M244" s="171"/>
    </row>
    <row r="245" spans="11:26" ht="18" customHeight="1">
      <c r="K245" s="171" t="s">
        <v>14</v>
      </c>
      <c r="L245" s="171"/>
      <c r="M245" s="171"/>
    </row>
    <row r="246" spans="11:26" ht="18" customHeight="1">
      <c r="K246" s="171" t="s">
        <v>14</v>
      </c>
      <c r="L246" s="171"/>
      <c r="M246" s="171"/>
    </row>
    <row r="247" spans="11:26" ht="18" customHeight="1">
      <c r="K247" s="171" t="s">
        <v>14</v>
      </c>
      <c r="L247" s="171"/>
      <c r="M247" s="171"/>
    </row>
    <row r="248" spans="11:26" ht="18" customHeight="1">
      <c r="K248" s="171" t="s">
        <v>14</v>
      </c>
      <c r="L248" s="171"/>
      <c r="M248" s="171"/>
    </row>
    <row r="249" spans="11:26" ht="18" customHeight="1">
      <c r="K249" s="171" t="s">
        <v>14</v>
      </c>
      <c r="L249" s="171"/>
      <c r="M249" s="171"/>
    </row>
    <row r="250" spans="11:26" ht="18" customHeight="1">
      <c r="K250" s="171" t="s">
        <v>14</v>
      </c>
      <c r="L250" s="171"/>
      <c r="M250" s="171"/>
    </row>
    <row r="251" spans="11:26" ht="18" customHeight="1">
      <c r="K251" s="171" t="s">
        <v>14</v>
      </c>
      <c r="L251" s="171"/>
      <c r="M251" s="171"/>
    </row>
    <row r="252" spans="11:26" ht="18" customHeight="1">
      <c r="K252" s="171" t="s">
        <v>14</v>
      </c>
      <c r="L252" s="171"/>
      <c r="M252" s="171"/>
    </row>
    <row r="253" spans="11:26" ht="18" customHeight="1">
      <c r="K253" s="171" t="s">
        <v>14</v>
      </c>
      <c r="L253" s="171"/>
      <c r="M253" s="171"/>
    </row>
    <row r="254" spans="11:26" ht="18" customHeight="1">
      <c r="K254" s="171" t="s">
        <v>14</v>
      </c>
      <c r="L254" s="171"/>
      <c r="M254" s="171"/>
    </row>
    <row r="255" spans="11:26" ht="18" customHeight="1">
      <c r="K255" s="171" t="s">
        <v>14</v>
      </c>
      <c r="L255" s="171"/>
      <c r="M255" s="171"/>
    </row>
    <row r="256" spans="11:26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L822" s="171"/>
      <c r="M822" s="171"/>
    </row>
    <row r="823" spans="11:13" ht="18" customHeight="1">
      <c r="K823" s="171" t="s">
        <v>14</v>
      </c>
      <c r="L823" s="171"/>
      <c r="M823" s="171"/>
    </row>
    <row r="824" spans="11:13" ht="18" customHeight="1">
      <c r="K824" s="171" t="s">
        <v>14</v>
      </c>
      <c r="L824" s="171"/>
      <c r="M824" s="171"/>
    </row>
    <row r="825" spans="11:13" ht="18" customHeight="1">
      <c r="K825" s="171" t="s">
        <v>14</v>
      </c>
      <c r="L825" s="171"/>
      <c r="M825" s="171"/>
    </row>
    <row r="826" spans="11:13" ht="18" customHeight="1">
      <c r="K826" s="171" t="s">
        <v>14</v>
      </c>
      <c r="L826" s="171"/>
      <c r="M826" s="171"/>
    </row>
    <row r="827" spans="11:13" ht="18" customHeight="1">
      <c r="K827" s="171" t="s">
        <v>14</v>
      </c>
      <c r="L827" s="171"/>
      <c r="M827" s="171"/>
    </row>
    <row r="828" spans="11:13" ht="18" customHeight="1">
      <c r="K828" s="171" t="s">
        <v>14</v>
      </c>
      <c r="L828" s="171"/>
    </row>
    <row r="829" spans="11:13" ht="18" customHeight="1">
      <c r="K829" s="171" t="s">
        <v>14</v>
      </c>
      <c r="L829" s="171"/>
    </row>
    <row r="830" spans="11:13" ht="18" customHeight="1">
      <c r="K830" s="171" t="s">
        <v>14</v>
      </c>
      <c r="L830" s="171"/>
    </row>
    <row r="831" spans="11:13" ht="18" customHeight="1">
      <c r="K831" s="171" t="s">
        <v>14</v>
      </c>
      <c r="L831" s="171"/>
    </row>
    <row r="832" spans="11:13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K839" s="171" t="s">
        <v>14</v>
      </c>
      <c r="L839" s="171"/>
    </row>
    <row r="840" spans="11:12" ht="18" customHeight="1">
      <c r="L840" s="171"/>
    </row>
    <row r="841" spans="11:12" ht="18" customHeight="1">
      <c r="L841" s="171"/>
    </row>
    <row r="842" spans="11:12" ht="18" customHeight="1">
      <c r="L842" s="171"/>
    </row>
  </sheetData>
  <mergeCells count="22">
    <mergeCell ref="J78:J79"/>
    <mergeCell ref="N66:N67"/>
    <mergeCell ref="AC3:AC11"/>
    <mergeCell ref="AC1:AD2"/>
    <mergeCell ref="B9:H10"/>
    <mergeCell ref="B17:C18"/>
    <mergeCell ref="J17:J18"/>
    <mergeCell ref="B3:C3"/>
    <mergeCell ref="D3:E3"/>
    <mergeCell ref="B4:C4"/>
    <mergeCell ref="D4:E4"/>
    <mergeCell ref="B5:C5"/>
    <mergeCell ref="D5:E5"/>
    <mergeCell ref="AE1:AJ1"/>
    <mergeCell ref="P66:P67"/>
    <mergeCell ref="Q66:Q67"/>
    <mergeCell ref="O66:O67"/>
    <mergeCell ref="L17:L18"/>
    <mergeCell ref="K3:L3"/>
    <mergeCell ref="K4:L4"/>
    <mergeCell ref="K5:L5"/>
    <mergeCell ref="W49:X49"/>
  </mergeCells>
  <phoneticPr fontId="14" type="noConversion"/>
  <conditionalFormatting sqref="V19:V49">
    <cfRule type="cellIs" dxfId="29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64" min="13" max="28" man="1"/>
    <brk id="85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5234" r:id="rId4" name="Drop Down 2">
              <controlPr defaultSize="0" autoLine="0" autoPict="0">
                <anchor moveWithCells="1">
                  <from>
                    <xdr:col>7</xdr:col>
                    <xdr:colOff>438150</xdr:colOff>
                    <xdr:row>3</xdr:row>
                    <xdr:rowOff>38100</xdr:rowOff>
                  </from>
                  <to>
                    <xdr:col>9</xdr:col>
                    <xdr:colOff>657225</xdr:colOff>
                    <xdr:row>3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5" r:id="rId5" name="Drop Down 3">
              <controlPr defaultSize="0" autoLine="0" autoPict="0">
                <anchor moveWithCells="1">
                  <from>
                    <xdr:col>7</xdr:col>
                    <xdr:colOff>447675</xdr:colOff>
                    <xdr:row>4</xdr:row>
                    <xdr:rowOff>57150</xdr:rowOff>
                  </from>
                  <to>
                    <xdr:col>9</xdr:col>
                    <xdr:colOff>676275</xdr:colOff>
                    <xdr:row>4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5236" r:id="rId6" name="Drop Down 4">
              <controlPr defaultSize="0" autoLine="0" autoPict="0">
                <anchor moveWithCells="1">
                  <from>
                    <xdr:col>3</xdr:col>
                    <xdr:colOff>9525</xdr:colOff>
                    <xdr:row>0</xdr:row>
                    <xdr:rowOff>190500</xdr:rowOff>
                  </from>
                  <to>
                    <xdr:col>5</xdr:col>
                    <xdr:colOff>657225</xdr:colOff>
                    <xdr:row>1</xdr:row>
                    <xdr:rowOff>190500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97">
    <tabColor rgb="FF92D050"/>
    <pageSetUpPr fitToPage="1"/>
  </sheetPr>
  <dimension ref="A1:Z821"/>
  <sheetViews>
    <sheetView showGridLines="0" topLeftCell="A19" zoomScale="85" zoomScaleNormal="85" zoomScaleSheetLayoutView="75" workbookViewId="0">
      <selection activeCell="E43" sqref="E43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643</v>
      </c>
    </row>
    <row r="2" spans="1:26" ht="19.5" thickBot="1">
      <c r="B2" s="66" t="s">
        <v>1</v>
      </c>
    </row>
    <row r="3" spans="1:26" ht="19.5" customHeight="1">
      <c r="B3" s="773" t="s">
        <v>644</v>
      </c>
      <c r="C3" s="774"/>
      <c r="D3" s="775">
        <v>1</v>
      </c>
      <c r="E3" s="776"/>
      <c r="F3" s="44" t="s">
        <v>645</v>
      </c>
      <c r="G3" s="838" t="s">
        <v>1104</v>
      </c>
      <c r="H3" s="839"/>
      <c r="I3" s="656">
        <v>2</v>
      </c>
      <c r="J3" s="669" t="s">
        <v>794</v>
      </c>
    </row>
    <row r="4" spans="1:26" ht="21.75" customHeight="1">
      <c r="B4" s="777" t="s">
        <v>2466</v>
      </c>
      <c r="C4" s="778"/>
      <c r="D4" s="779">
        <v>1</v>
      </c>
      <c r="E4" s="780"/>
      <c r="F4" s="65" t="str">
        <f>F3</f>
        <v>개교</v>
      </c>
      <c r="G4" s="777" t="s">
        <v>1109</v>
      </c>
      <c r="H4" s="814"/>
      <c r="I4" s="298">
        <v>2</v>
      </c>
      <c r="J4" s="670" t="s">
        <v>794</v>
      </c>
    </row>
    <row r="5" spans="1:26" ht="24" customHeight="1" thickBot="1">
      <c r="B5" s="781" t="s">
        <v>2465</v>
      </c>
      <c r="C5" s="782"/>
      <c r="D5" s="783">
        <f>ROUND((D4/D3)^0.8,3)</f>
        <v>1</v>
      </c>
      <c r="E5" s="784"/>
      <c r="F5" s="45"/>
      <c r="G5" s="817" t="s">
        <v>1102</v>
      </c>
      <c r="H5" s="818"/>
      <c r="I5" s="646">
        <f>ROUND(I4/I3,3)</f>
        <v>1</v>
      </c>
      <c r="J5" s="671"/>
    </row>
    <row r="6" spans="1:26" ht="23.25" customHeight="1">
      <c r="A6" s="428"/>
      <c r="B6" s="9" t="s">
        <v>2463</v>
      </c>
      <c r="G6" s="9" t="s">
        <v>1107</v>
      </c>
      <c r="J6" s="36"/>
      <c r="K6" s="6"/>
      <c r="L6" s="6"/>
      <c r="M6" s="6"/>
      <c r="N6" s="6"/>
      <c r="O6" s="6"/>
      <c r="P6" s="6"/>
      <c r="Q6" s="6"/>
      <c r="R6" s="1"/>
      <c r="S6" s="1"/>
      <c r="T6" s="1"/>
      <c r="U6" s="1"/>
      <c r="V6" s="1"/>
      <c r="W6" s="1"/>
      <c r="X6" s="1"/>
      <c r="Y6" s="1"/>
    </row>
    <row r="7" spans="1:26" ht="18" customHeight="1">
      <c r="B7" s="1" t="s">
        <v>2464</v>
      </c>
      <c r="M7" s="6"/>
      <c r="N7" s="6"/>
      <c r="O7" s="6"/>
      <c r="P7" s="6"/>
      <c r="Q7" s="6"/>
      <c r="R7" s="1"/>
      <c r="S7" s="1"/>
      <c r="T7" s="1"/>
      <c r="U7" s="1"/>
      <c r="V7" s="1"/>
      <c r="W7" s="1"/>
      <c r="X7" s="1"/>
      <c r="Y7" s="1"/>
    </row>
    <row r="8" spans="1:26" ht="18" customHeight="1">
      <c r="M8" s="6"/>
      <c r="N8" s="6"/>
      <c r="O8" s="6"/>
      <c r="P8" s="6"/>
      <c r="Q8" s="6"/>
      <c r="R8" s="1"/>
      <c r="S8" s="1"/>
      <c r="T8" s="1"/>
      <c r="U8" s="1"/>
      <c r="V8" s="1"/>
      <c r="W8" s="1"/>
      <c r="X8" s="1"/>
      <c r="Y8" s="1"/>
    </row>
    <row r="9" spans="1:26" ht="18" customHeight="1">
      <c r="C9" s="9"/>
      <c r="D9" s="64"/>
      <c r="E9" s="64"/>
      <c r="P9" s="1" t="s">
        <v>649</v>
      </c>
      <c r="R9" s="1"/>
      <c r="S9" s="1"/>
      <c r="T9" s="1"/>
    </row>
    <row r="10" spans="1:26" ht="18" customHeight="1">
      <c r="B10" s="9"/>
      <c r="C10" s="9"/>
      <c r="D10" s="64"/>
      <c r="E10" s="64"/>
      <c r="R10" s="1"/>
      <c r="S10" s="1"/>
      <c r="T10" s="1"/>
    </row>
    <row r="11" spans="1:26" ht="18" customHeight="1">
      <c r="B11" s="9"/>
      <c r="C11" s="9"/>
      <c r="D11" s="64"/>
      <c r="E11" s="64"/>
      <c r="R11" s="1"/>
      <c r="S11" s="1"/>
      <c r="T11" s="1"/>
    </row>
    <row r="12" spans="1:26" ht="18" customHeight="1">
      <c r="B12" s="9"/>
      <c r="C12" s="9"/>
      <c r="D12" s="64"/>
      <c r="E12" s="64"/>
      <c r="R12" s="1"/>
      <c r="S12" s="1"/>
      <c r="T12" s="1"/>
    </row>
    <row r="13" spans="1:26" ht="18" customHeight="1">
      <c r="G13" s="36"/>
      <c r="W13" s="188" t="s">
        <v>3</v>
      </c>
      <c r="X13" s="189"/>
    </row>
    <row r="14" spans="1:26" ht="18" customHeight="1" thickBot="1">
      <c r="B14" s="66" t="s">
        <v>4</v>
      </c>
      <c r="C14" s="9"/>
      <c r="D14" s="64"/>
      <c r="E14" s="64"/>
      <c r="G14" s="36"/>
      <c r="N14" s="66" t="s">
        <v>5</v>
      </c>
    </row>
    <row r="15" spans="1:26" ht="18" customHeight="1" thickBot="1">
      <c r="B15" s="9"/>
      <c r="N15" s="151" t="s">
        <v>44</v>
      </c>
      <c r="O15" s="119"/>
      <c r="P15" s="119"/>
      <c r="Q15" s="120"/>
      <c r="R15" s="120"/>
      <c r="S15" s="120"/>
      <c r="T15" s="120"/>
      <c r="U15" s="121"/>
      <c r="V15" s="121"/>
      <c r="W15" s="186">
        <f ca="1">SUBTOTAL(9,W16:W42)</f>
        <v>51133745</v>
      </c>
      <c r="X15" s="187"/>
      <c r="Y15" s="177"/>
      <c r="Z15" s="167"/>
    </row>
    <row r="16" spans="1:26" ht="18" customHeight="1">
      <c r="A16" s="278"/>
      <c r="B16" s="757" t="s">
        <v>30</v>
      </c>
      <c r="C16" s="758"/>
      <c r="D16" s="14" t="s">
        <v>6</v>
      </c>
      <c r="E16" s="15"/>
      <c r="F16" s="15"/>
      <c r="G16" s="15"/>
      <c r="H16" s="15"/>
      <c r="I16" s="16"/>
      <c r="J16" s="761" t="s">
        <v>31</v>
      </c>
      <c r="L16" s="763" t="s">
        <v>7</v>
      </c>
      <c r="N16" s="127" t="s">
        <v>8</v>
      </c>
      <c r="O16" s="122"/>
      <c r="P16" s="122"/>
      <c r="Q16" s="123"/>
      <c r="R16" s="123"/>
      <c r="S16" s="123"/>
      <c r="T16" s="123"/>
      <c r="U16" s="184"/>
      <c r="V16" s="184"/>
      <c r="W16" s="163">
        <f ca="1">SUBTOTAL(9,W17:W39)</f>
        <v>23432467</v>
      </c>
      <c r="X16" s="164"/>
      <c r="Y16" s="178" t="s">
        <v>9</v>
      </c>
      <c r="Z16" s="179"/>
    </row>
    <row r="17" spans="1:26" ht="18" customHeight="1" thickBot="1">
      <c r="A17" s="278"/>
      <c r="B17" s="820"/>
      <c r="C17" s="821"/>
      <c r="D17" s="17" t="s">
        <v>33</v>
      </c>
      <c r="E17" s="19" t="s">
        <v>34</v>
      </c>
      <c r="F17" s="19" t="s">
        <v>35</v>
      </c>
      <c r="G17" s="19" t="s">
        <v>36</v>
      </c>
      <c r="H17" s="19" t="s">
        <v>37</v>
      </c>
      <c r="I17" s="18" t="s">
        <v>38</v>
      </c>
      <c r="J17" s="762"/>
      <c r="L17" s="764"/>
      <c r="N17" s="290" t="s">
        <v>45</v>
      </c>
      <c r="O17" s="124"/>
      <c r="P17" s="125"/>
      <c r="Q17" s="126"/>
      <c r="R17" s="126"/>
      <c r="S17" s="126"/>
      <c r="T17" s="126"/>
      <c r="U17" s="218"/>
      <c r="V17" s="218"/>
      <c r="W17" s="255">
        <f ca="1">SUBTOTAL(9,W18:W34)</f>
        <v>15432467</v>
      </c>
      <c r="X17" s="256"/>
      <c r="Y17" s="220"/>
      <c r="Z17" s="220"/>
    </row>
    <row r="18" spans="1:26" ht="18" customHeight="1">
      <c r="A18" s="279"/>
      <c r="B18" s="222" t="s">
        <v>2467</v>
      </c>
      <c r="C18" s="47"/>
      <c r="D18" s="48">
        <f t="shared" ref="D18:I18" si="0">SUBTOTAL(9,D19:D19)</f>
        <v>0</v>
      </c>
      <c r="E18" s="49">
        <f t="shared" si="0"/>
        <v>0.1</v>
      </c>
      <c r="F18" s="49">
        <f t="shared" si="0"/>
        <v>0.1</v>
      </c>
      <c r="G18" s="49">
        <f t="shared" si="0"/>
        <v>0.1</v>
      </c>
      <c r="H18" s="49">
        <f t="shared" si="0"/>
        <v>0.1</v>
      </c>
      <c r="I18" s="50">
        <f t="shared" si="0"/>
        <v>0</v>
      </c>
      <c r="J18" s="389"/>
      <c r="L18" s="341"/>
      <c r="N18" s="354" t="str">
        <f>B18</f>
        <v>1. 사업계획 검토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SUBTOTAL(9,W19:W19)</f>
        <v>121481</v>
      </c>
      <c r="X18" s="194"/>
      <c r="Y18" s="170" t="str">
        <f>IF(A36&gt;0, "제 " &amp;A36&amp; " 호표","")</f>
        <v/>
      </c>
      <c r="Z18" s="170"/>
    </row>
    <row r="19" spans="1:26" ht="18" customHeight="1">
      <c r="A19" s="279"/>
      <c r="B19" s="223" t="s">
        <v>2468</v>
      </c>
      <c r="C19" s="23"/>
      <c r="D19" s="197">
        <v>0</v>
      </c>
      <c r="E19" s="198">
        <v>0.1</v>
      </c>
      <c r="F19" s="198">
        <v>0.1</v>
      </c>
      <c r="G19" s="198">
        <v>0.1</v>
      </c>
      <c r="H19" s="198">
        <v>0.1</v>
      </c>
      <c r="I19" s="199">
        <v>0</v>
      </c>
      <c r="J19" s="389" t="s">
        <v>2480</v>
      </c>
      <c r="L19" s="233">
        <v>1</v>
      </c>
      <c r="N19" s="292" t="str">
        <f t="shared" ref="N19:N34" si="1">B19</f>
        <v>1.1. 사업계획서 분석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SUM((ROUNDDOWN((D37:I37)*단가,0)))</f>
        <v>121481</v>
      </c>
      <c r="X19" s="154"/>
      <c r="Y19" s="170" t="str">
        <f>IF(A37&gt;0, "제 " &amp;A37&amp; " 호표","")</f>
        <v>제 1 호표</v>
      </c>
      <c r="Z19" s="150"/>
    </row>
    <row r="20" spans="1:26" ht="18" customHeight="1">
      <c r="A20" s="279"/>
      <c r="B20" s="222" t="s">
        <v>2469</v>
      </c>
      <c r="C20" s="47"/>
      <c r="D20" s="48">
        <f t="shared" ref="D20:I20" si="2">SUBTOTAL(9,D21:D21)</f>
        <v>0</v>
      </c>
      <c r="E20" s="49">
        <f t="shared" si="2"/>
        <v>0.5</v>
      </c>
      <c r="F20" s="49">
        <f t="shared" si="2"/>
        <v>0.7</v>
      </c>
      <c r="G20" s="49">
        <f t="shared" si="2"/>
        <v>0.9</v>
      </c>
      <c r="H20" s="49">
        <f t="shared" si="2"/>
        <v>0.8</v>
      </c>
      <c r="I20" s="50">
        <f t="shared" si="2"/>
        <v>0</v>
      </c>
      <c r="J20" s="389"/>
      <c r="L20" s="233"/>
      <c r="N20" s="354" t="str">
        <f t="shared" si="1"/>
        <v>2. 평가계획 수립</v>
      </c>
      <c r="O20" s="169"/>
      <c r="P20" s="169"/>
      <c r="Q20" s="169"/>
      <c r="R20" s="169"/>
      <c r="S20" s="169"/>
      <c r="T20" s="169"/>
      <c r="U20" s="226"/>
      <c r="V20" s="248"/>
      <c r="W20" s="193">
        <f ca="1">SUBTOTAL(9,W21:W21)</f>
        <v>858285</v>
      </c>
      <c r="X20" s="194"/>
      <c r="Y20" s="170" t="str">
        <f t="shared" ref="Y20:Y35" si="3">IF(A38&gt;0, "제 " &amp;A38&amp; " 호표","")</f>
        <v/>
      </c>
      <c r="Z20" s="170"/>
    </row>
    <row r="21" spans="1:26" ht="18" customHeight="1">
      <c r="A21" s="279"/>
      <c r="B21" s="223" t="s">
        <v>2470</v>
      </c>
      <c r="C21" s="23"/>
      <c r="D21" s="197">
        <v>0</v>
      </c>
      <c r="E21" s="198">
        <v>0.5</v>
      </c>
      <c r="F21" s="198">
        <v>0.7</v>
      </c>
      <c r="G21" s="198">
        <v>0.9</v>
      </c>
      <c r="H21" s="198">
        <v>0.8</v>
      </c>
      <c r="I21" s="199">
        <v>0</v>
      </c>
      <c r="J21" s="389" t="s">
        <v>1090</v>
      </c>
      <c r="L21" s="233">
        <v>1</v>
      </c>
      <c r="N21" s="292" t="str">
        <f t="shared" si="1"/>
        <v>2.1. 교육환경평가 추진계획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SUM((ROUNDDOWN((D39:I39)*단가,0)))</f>
        <v>858285</v>
      </c>
      <c r="X21" s="154"/>
      <c r="Y21" s="170" t="str">
        <f t="shared" si="3"/>
        <v>제 2 호표</v>
      </c>
      <c r="Z21" s="150"/>
    </row>
    <row r="22" spans="1:26" ht="18" customHeight="1">
      <c r="A22" s="279"/>
      <c r="B22" s="222" t="s">
        <v>646</v>
      </c>
      <c r="C22" s="47"/>
      <c r="D22" s="48">
        <f t="shared" ref="D22:I22" si="4">SUBTOTAL(9,D23:D28)</f>
        <v>0</v>
      </c>
      <c r="E22" s="49">
        <f t="shared" si="4"/>
        <v>4</v>
      </c>
      <c r="F22" s="49">
        <f t="shared" si="4"/>
        <v>5.8999999999999995</v>
      </c>
      <c r="G22" s="49">
        <f t="shared" si="4"/>
        <v>12.2</v>
      </c>
      <c r="H22" s="49">
        <f t="shared" si="4"/>
        <v>14.799999999999999</v>
      </c>
      <c r="I22" s="50">
        <f t="shared" si="4"/>
        <v>0</v>
      </c>
      <c r="J22" s="389"/>
      <c r="L22" s="233"/>
      <c r="N22" s="354" t="str">
        <f t="shared" si="1"/>
        <v>3. 평가항목별 조사</v>
      </c>
      <c r="O22" s="169"/>
      <c r="P22" s="169"/>
      <c r="Q22" s="169"/>
      <c r="R22" s="169"/>
      <c r="S22" s="169"/>
      <c r="T22" s="169"/>
      <c r="U22" s="226"/>
      <c r="V22" s="248"/>
      <c r="W22" s="193">
        <f ca="1">SUBTOTAL(9,W23:W28)</f>
        <v>10413094</v>
      </c>
      <c r="X22" s="194"/>
      <c r="Y22" s="170" t="str">
        <f t="shared" si="3"/>
        <v/>
      </c>
      <c r="Z22" s="170"/>
    </row>
    <row r="23" spans="1:26" ht="18" customHeight="1">
      <c r="A23" s="279"/>
      <c r="B23" s="223" t="s">
        <v>2471</v>
      </c>
      <c r="C23" s="23"/>
      <c r="D23" s="197">
        <v>0</v>
      </c>
      <c r="E23" s="198">
        <v>0.5</v>
      </c>
      <c r="F23" s="198">
        <v>0.4</v>
      </c>
      <c r="G23" s="198">
        <v>0.7</v>
      </c>
      <c r="H23" s="198">
        <v>1</v>
      </c>
      <c r="I23" s="199">
        <v>0</v>
      </c>
      <c r="J23" s="389" t="s">
        <v>1090</v>
      </c>
      <c r="L23" s="745">
        <v>1</v>
      </c>
      <c r="N23" s="292" t="str">
        <f t="shared" si="1"/>
        <v>3.1. 위치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SUM((ROUNDDOWN((D41:I41)*단가,0)))</f>
        <v>753084</v>
      </c>
      <c r="X23" s="154"/>
      <c r="Y23" s="170" t="str">
        <f t="shared" si="3"/>
        <v>제 3 호표</v>
      </c>
      <c r="Z23" s="150"/>
    </row>
    <row r="24" spans="1:26" ht="18" customHeight="1">
      <c r="A24" s="279"/>
      <c r="B24" s="223" t="s">
        <v>2472</v>
      </c>
      <c r="C24" s="23"/>
      <c r="D24" s="197"/>
      <c r="E24" s="198">
        <v>0.5</v>
      </c>
      <c r="F24" s="198">
        <v>0.4</v>
      </c>
      <c r="G24" s="198">
        <v>0.7</v>
      </c>
      <c r="H24" s="198">
        <v>1</v>
      </c>
      <c r="I24" s="199"/>
      <c r="J24" s="389" t="s">
        <v>1090</v>
      </c>
      <c r="L24" s="745">
        <v>1</v>
      </c>
      <c r="N24" s="292" t="str">
        <f t="shared" si="1"/>
        <v>3.2. 크기 및 외형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SUM((ROUNDDOWN((D42:I42)*단가,0)))</f>
        <v>753084</v>
      </c>
      <c r="X24" s="154"/>
      <c r="Y24" s="170" t="str">
        <f t="shared" si="3"/>
        <v>제 4 호표</v>
      </c>
      <c r="Z24" s="51"/>
    </row>
    <row r="25" spans="1:26" ht="18" customHeight="1">
      <c r="A25" s="279"/>
      <c r="B25" s="223" t="s">
        <v>2473</v>
      </c>
      <c r="C25" s="23"/>
      <c r="D25" s="197">
        <v>0</v>
      </c>
      <c r="E25" s="198">
        <v>0.8</v>
      </c>
      <c r="F25" s="198">
        <v>1.7</v>
      </c>
      <c r="G25" s="198">
        <v>2.9</v>
      </c>
      <c r="H25" s="198">
        <v>2.5</v>
      </c>
      <c r="I25" s="199">
        <v>0</v>
      </c>
      <c r="J25" s="389" t="s">
        <v>1090</v>
      </c>
      <c r="L25" s="233">
        <v>1</v>
      </c>
      <c r="N25" s="292" t="str">
        <f t="shared" si="1"/>
        <v>3.3. 지형 및 토양환경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SUM((ROUNDDOWN((D43:I43)*단가,0)))</f>
        <v>2271731</v>
      </c>
      <c r="X25" s="154"/>
      <c r="Y25" s="170" t="str">
        <f t="shared" si="3"/>
        <v>제 5 호표</v>
      </c>
      <c r="Z25" s="150"/>
    </row>
    <row r="26" spans="1:26" ht="18" customHeight="1">
      <c r="A26" s="279"/>
      <c r="B26" s="223" t="s">
        <v>2474</v>
      </c>
      <c r="C26" s="23"/>
      <c r="D26" s="197">
        <v>0</v>
      </c>
      <c r="E26" s="198">
        <v>2</v>
      </c>
      <c r="F26" s="198">
        <v>2.8</v>
      </c>
      <c r="G26" s="198">
        <v>6.5</v>
      </c>
      <c r="H26" s="198">
        <v>8.1</v>
      </c>
      <c r="I26" s="199">
        <v>0</v>
      </c>
      <c r="J26" s="389" t="s">
        <v>1090</v>
      </c>
      <c r="L26" s="233">
        <v>1</v>
      </c>
      <c r="N26" s="292" t="str">
        <f t="shared" si="1"/>
        <v>3.4. 대기환경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SUM((ROUNDDOWN((D44:I44)*단가,0)))</f>
        <v>5442795</v>
      </c>
      <c r="X26" s="154"/>
      <c r="Y26" s="170" t="str">
        <f t="shared" si="3"/>
        <v>제 6 호표</v>
      </c>
      <c r="Z26" s="150"/>
    </row>
    <row r="27" spans="1:26" ht="18" customHeight="1">
      <c r="A27" s="279"/>
      <c r="B27" s="223" t="s">
        <v>2475</v>
      </c>
      <c r="C27" s="23"/>
      <c r="D27" s="197">
        <v>0</v>
      </c>
      <c r="E27" s="198">
        <v>0.1</v>
      </c>
      <c r="F27" s="198">
        <v>0.3</v>
      </c>
      <c r="G27" s="198">
        <v>0.7</v>
      </c>
      <c r="H27" s="198">
        <v>1.1000000000000001</v>
      </c>
      <c r="I27" s="199">
        <v>0</v>
      </c>
      <c r="J27" s="389" t="s">
        <v>1090</v>
      </c>
      <c r="L27" s="745">
        <v>1</v>
      </c>
      <c r="N27" s="292" t="str">
        <f t="shared" si="1"/>
        <v>3.5. 주변유해환경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SUM((ROUNDDOWN((D45:I45)*단가,0)))</f>
        <v>596200</v>
      </c>
      <c r="X27" s="154"/>
      <c r="Y27" s="170" t="str">
        <f t="shared" si="3"/>
        <v>제 7 호표</v>
      </c>
      <c r="Z27" s="150"/>
    </row>
    <row r="28" spans="1:26" ht="18" customHeight="1">
      <c r="A28" s="279"/>
      <c r="B28" s="223" t="s">
        <v>2476</v>
      </c>
      <c r="C28" s="23"/>
      <c r="D28" s="200"/>
      <c r="E28" s="201">
        <v>0.1</v>
      </c>
      <c r="F28" s="201">
        <v>0.3</v>
      </c>
      <c r="G28" s="201">
        <v>0.7</v>
      </c>
      <c r="H28" s="201">
        <v>1.1000000000000001</v>
      </c>
      <c r="I28" s="202"/>
      <c r="J28" s="389" t="s">
        <v>1090</v>
      </c>
      <c r="L28" s="745">
        <v>1</v>
      </c>
      <c r="N28" s="292" t="str">
        <f t="shared" si="1"/>
        <v>3.6. 공공시설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SUM((ROUNDDOWN((D46:I46)*단가,0)))</f>
        <v>596200</v>
      </c>
      <c r="X28" s="154"/>
      <c r="Y28" s="170" t="str">
        <f t="shared" si="3"/>
        <v>제 8 호표</v>
      </c>
      <c r="Z28" s="51"/>
    </row>
    <row r="29" spans="1:26" ht="18" customHeight="1">
      <c r="A29" s="279"/>
      <c r="B29" s="222" t="s">
        <v>647</v>
      </c>
      <c r="C29" s="47"/>
      <c r="D29" s="48">
        <f t="shared" ref="D29:I29" si="5">SUBTOTAL(9,D30:D30)</f>
        <v>0</v>
      </c>
      <c r="E29" s="49">
        <f t="shared" si="5"/>
        <v>0.2</v>
      </c>
      <c r="F29" s="49">
        <f t="shared" si="5"/>
        <v>0.2</v>
      </c>
      <c r="G29" s="49">
        <f t="shared" si="5"/>
        <v>0.3</v>
      </c>
      <c r="H29" s="49">
        <f t="shared" si="5"/>
        <v>0.2</v>
      </c>
      <c r="I29" s="50">
        <f t="shared" si="5"/>
        <v>0</v>
      </c>
      <c r="J29" s="389"/>
      <c r="L29" s="233"/>
      <c r="N29" s="354" t="str">
        <f t="shared" si="1"/>
        <v>4. 종합평가</v>
      </c>
      <c r="O29" s="169"/>
      <c r="P29" s="169"/>
      <c r="Q29" s="169"/>
      <c r="R29" s="169"/>
      <c r="S29" s="169"/>
      <c r="T29" s="169"/>
      <c r="U29" s="226"/>
      <c r="V29" s="248"/>
      <c r="W29" s="193">
        <f ca="1">SUBTOTAL(9,W30:W30)</f>
        <v>272478</v>
      </c>
      <c r="X29" s="194"/>
      <c r="Y29" s="170" t="str">
        <f t="shared" si="3"/>
        <v/>
      </c>
      <c r="Z29" s="170"/>
    </row>
    <row r="30" spans="1:26" ht="18" customHeight="1">
      <c r="A30" s="279"/>
      <c r="B30" s="223" t="s">
        <v>2477</v>
      </c>
      <c r="C30" s="23"/>
      <c r="D30" s="197">
        <v>0</v>
      </c>
      <c r="E30" s="198">
        <v>0.2</v>
      </c>
      <c r="F30" s="198">
        <v>0.2</v>
      </c>
      <c r="G30" s="198">
        <v>0.3</v>
      </c>
      <c r="H30" s="198">
        <v>0.2</v>
      </c>
      <c r="I30" s="199">
        <v>0</v>
      </c>
      <c r="J30" s="389" t="s">
        <v>1090</v>
      </c>
      <c r="L30" s="233">
        <v>1</v>
      </c>
      <c r="N30" s="292" t="str">
        <f t="shared" si="1"/>
        <v>4.1. 종합평가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SUM((ROUNDDOWN((D48:I48)*단가,0)))</f>
        <v>272478</v>
      </c>
      <c r="X30" s="154"/>
      <c r="Y30" s="170" t="str">
        <f t="shared" si="3"/>
        <v>제 9 호표</v>
      </c>
      <c r="Z30" s="150"/>
    </row>
    <row r="31" spans="1:26" ht="18" customHeight="1">
      <c r="A31" s="279"/>
      <c r="B31" s="222" t="s">
        <v>648</v>
      </c>
      <c r="C31" s="47"/>
      <c r="D31" s="48">
        <f t="shared" ref="D31:I31" si="6">SUBTOTAL(9,D32:D32)</f>
        <v>0</v>
      </c>
      <c r="E31" s="49">
        <f t="shared" si="6"/>
        <v>0.1</v>
      </c>
      <c r="F31" s="49">
        <f t="shared" si="6"/>
        <v>0.2</v>
      </c>
      <c r="G31" s="49">
        <f t="shared" si="6"/>
        <v>0.2</v>
      </c>
      <c r="H31" s="49">
        <f t="shared" si="6"/>
        <v>0.5</v>
      </c>
      <c r="I31" s="50">
        <f t="shared" si="6"/>
        <v>0</v>
      </c>
      <c r="J31" s="389"/>
      <c r="L31" s="233"/>
      <c r="N31" s="354" t="str">
        <f t="shared" si="1"/>
        <v>5. 성과품 작성</v>
      </c>
      <c r="O31" s="169"/>
      <c r="P31" s="169"/>
      <c r="Q31" s="169"/>
      <c r="R31" s="169"/>
      <c r="S31" s="169"/>
      <c r="T31" s="169"/>
      <c r="U31" s="226"/>
      <c r="V31" s="248"/>
      <c r="W31" s="193">
        <f ca="1">SUBTOTAL(9,W32:W32)</f>
        <v>276267</v>
      </c>
      <c r="X31" s="257"/>
      <c r="Y31" s="170" t="str">
        <f t="shared" si="3"/>
        <v/>
      </c>
      <c r="Z31" s="169"/>
    </row>
    <row r="32" spans="1:26" ht="18" customHeight="1">
      <c r="A32" s="279"/>
      <c r="B32" s="223" t="s">
        <v>2478</v>
      </c>
      <c r="C32" s="23"/>
      <c r="D32" s="197">
        <v>0</v>
      </c>
      <c r="E32" s="198">
        <v>0.1</v>
      </c>
      <c r="F32" s="198">
        <v>0.2</v>
      </c>
      <c r="G32" s="198">
        <v>0.2</v>
      </c>
      <c r="H32" s="198">
        <v>0.5</v>
      </c>
      <c r="I32" s="199">
        <v>0</v>
      </c>
      <c r="J32" s="390" t="s">
        <v>1090</v>
      </c>
      <c r="L32" s="233">
        <v>1</v>
      </c>
      <c r="N32" s="292" t="str">
        <f t="shared" si="1"/>
        <v>5.1. 성과품 작성</v>
      </c>
      <c r="O32" s="37"/>
      <c r="P32" s="37"/>
      <c r="Q32" s="37"/>
      <c r="R32" s="37"/>
      <c r="S32" s="37"/>
      <c r="T32" s="37"/>
      <c r="U32" s="226"/>
      <c r="V32" s="248"/>
      <c r="W32" s="153">
        <f t="array" aca="1" ref="W32" ca="1">SUM((ROUNDDOWN((D50:I50)*단가,0)))</f>
        <v>276267</v>
      </c>
      <c r="X32" s="113"/>
      <c r="Y32" s="170" t="str">
        <f t="shared" si="3"/>
        <v>제 10 호표</v>
      </c>
      <c r="Z32" s="37"/>
    </row>
    <row r="33" spans="1:26" ht="18" customHeight="1">
      <c r="A33" s="279"/>
      <c r="B33" s="222" t="s">
        <v>426</v>
      </c>
      <c r="C33" s="47"/>
      <c r="D33" s="48">
        <f t="shared" ref="D33:I33" si="7">SUBTOTAL(9,D34:D34)</f>
        <v>0</v>
      </c>
      <c r="E33" s="49">
        <f t="shared" si="7"/>
        <v>2</v>
      </c>
      <c r="F33" s="49">
        <f t="shared" si="7"/>
        <v>2</v>
      </c>
      <c r="G33" s="49">
        <f t="shared" si="7"/>
        <v>4</v>
      </c>
      <c r="H33" s="49">
        <f t="shared" si="7"/>
        <v>4</v>
      </c>
      <c r="I33" s="50">
        <f t="shared" si="7"/>
        <v>0</v>
      </c>
      <c r="J33" s="389"/>
      <c r="L33" s="233"/>
      <c r="N33" s="354" t="str">
        <f t="shared" si="1"/>
        <v>6. 기술협의</v>
      </c>
      <c r="O33" s="169"/>
      <c r="P33" s="169"/>
      <c r="Q33" s="169"/>
      <c r="R33" s="169"/>
      <c r="S33" s="169"/>
      <c r="T33" s="169"/>
      <c r="U33" s="226"/>
      <c r="V33" s="248"/>
      <c r="W33" s="193">
        <f ca="1">SUBTOTAL(9,W34:W34)</f>
        <v>3490862</v>
      </c>
      <c r="X33" s="194"/>
      <c r="Y33" s="170" t="str">
        <f t="shared" si="3"/>
        <v/>
      </c>
      <c r="Z33" s="170"/>
    </row>
    <row r="34" spans="1:26" ht="18" customHeight="1" thickBot="1">
      <c r="A34" s="279"/>
      <c r="B34" s="223" t="s">
        <v>2479</v>
      </c>
      <c r="C34" s="23"/>
      <c r="D34" s="197">
        <v>0</v>
      </c>
      <c r="E34" s="198">
        <v>2</v>
      </c>
      <c r="F34" s="198">
        <v>2</v>
      </c>
      <c r="G34" s="198">
        <v>4</v>
      </c>
      <c r="H34" s="198">
        <v>4</v>
      </c>
      <c r="I34" s="199">
        <v>0</v>
      </c>
      <c r="J34" s="729" t="s">
        <v>2421</v>
      </c>
      <c r="L34" s="233">
        <v>1</v>
      </c>
      <c r="N34" s="292" t="str">
        <f t="shared" si="1"/>
        <v>6.1. 관계기관 협의</v>
      </c>
      <c r="O34" s="37"/>
      <c r="P34" s="37"/>
      <c r="Q34" s="37"/>
      <c r="R34" s="37"/>
      <c r="S34" s="37"/>
      <c r="T34" s="37"/>
      <c r="U34" s="227"/>
      <c r="V34" s="231"/>
      <c r="W34" s="153">
        <f t="array" aca="1" ref="W34" ca="1">SUM((ROUNDDOWN((D52:I52)*단가,0)))</f>
        <v>3490862</v>
      </c>
      <c r="X34" s="154"/>
      <c r="Y34" s="170" t="str">
        <f t="shared" si="3"/>
        <v>제 11 호표</v>
      </c>
      <c r="Z34" s="150"/>
    </row>
    <row r="35" spans="1:26" ht="18" customHeight="1" thickBot="1">
      <c r="A35" s="279"/>
      <c r="B35" s="14" t="s">
        <v>30</v>
      </c>
      <c r="C35" s="16"/>
      <c r="D35" s="14" t="s">
        <v>12</v>
      </c>
      <c r="E35" s="15"/>
      <c r="F35" s="15"/>
      <c r="G35" s="15"/>
      <c r="H35" s="15"/>
      <c r="I35" s="16"/>
      <c r="J35" s="175" t="s">
        <v>31</v>
      </c>
      <c r="N35" s="8"/>
      <c r="P35" s="371"/>
      <c r="R35" s="357"/>
      <c r="S35" s="1"/>
      <c r="T35" s="1"/>
      <c r="U35" s="258"/>
      <c r="V35" s="372"/>
      <c r="W35" s="373"/>
      <c r="X35" s="374"/>
      <c r="Y35" s="170" t="str">
        <f t="shared" si="3"/>
        <v/>
      </c>
    </row>
    <row r="36" spans="1:26" ht="18" customHeight="1">
      <c r="A36" s="279"/>
      <c r="B36" s="222" t="s">
        <v>2467</v>
      </c>
      <c r="C36" s="47"/>
      <c r="D36" s="48">
        <f t="shared" ref="D36:I36" si="8">SUBTOTAL(9,D37:D37)</f>
        <v>0</v>
      </c>
      <c r="E36" s="49">
        <f t="shared" si="8"/>
        <v>0.1</v>
      </c>
      <c r="F36" s="49">
        <f t="shared" si="8"/>
        <v>0.1</v>
      </c>
      <c r="G36" s="49">
        <f t="shared" si="8"/>
        <v>0.1</v>
      </c>
      <c r="H36" s="49">
        <f t="shared" si="8"/>
        <v>0.1</v>
      </c>
      <c r="I36" s="50">
        <f t="shared" si="8"/>
        <v>0</v>
      </c>
      <c r="J36" s="74"/>
      <c r="N36" s="290" t="s">
        <v>10</v>
      </c>
      <c r="O36" s="129"/>
      <c r="P36" s="130"/>
      <c r="Q36" s="124"/>
      <c r="R36" s="131"/>
      <c r="S36" s="124"/>
      <c r="T36" s="124"/>
      <c r="U36" s="181"/>
      <c r="V36" s="181"/>
      <c r="W36" s="159">
        <f>SUBTOTAL(9,W37:W39)</f>
        <v>8000000</v>
      </c>
      <c r="X36" s="160"/>
      <c r="Y36" s="124"/>
      <c r="Z36" s="124"/>
    </row>
    <row r="37" spans="1:26" ht="18" customHeight="1">
      <c r="A37" s="278">
        <v>1</v>
      </c>
      <c r="B37" s="223" t="s">
        <v>2468</v>
      </c>
      <c r="C37" s="23"/>
      <c r="D37" s="197">
        <f t="array" ref="D37:I37">ROUNDDOWN(D19:I19*L19*$D$5,3)</f>
        <v>0</v>
      </c>
      <c r="E37" s="198">
        <v>0.1</v>
      </c>
      <c r="F37" s="198">
        <v>0.1</v>
      </c>
      <c r="G37" s="198">
        <v>0.1</v>
      </c>
      <c r="H37" s="198">
        <v>0.1</v>
      </c>
      <c r="I37" s="199">
        <v>0</v>
      </c>
      <c r="J37" s="74"/>
      <c r="N37" s="128" t="str">
        <f>"여비("&amp;TEXT(R37,"#인 ×")&amp;TEXT(S37,"#일 ×")&amp;TEXT(T37,"###,###원)")</f>
        <v>여비(3인 ×10일 ×100,000원)</v>
      </c>
      <c r="O37" s="78"/>
      <c r="P37" s="52"/>
      <c r="Q37" s="51"/>
      <c r="R37" s="146">
        <v>3</v>
      </c>
      <c r="S37" s="146">
        <v>10</v>
      </c>
      <c r="T37" s="147">
        <v>100000</v>
      </c>
      <c r="U37" s="182"/>
      <c r="V37" s="182"/>
      <c r="W37" s="161">
        <f>R37*S37*T37</f>
        <v>3000000</v>
      </c>
      <c r="X37" s="162"/>
      <c r="Y37" s="51"/>
      <c r="Z37" s="51"/>
    </row>
    <row r="38" spans="1:26" ht="18" customHeight="1">
      <c r="A38" s="278"/>
      <c r="B38" s="222" t="s">
        <v>2469</v>
      </c>
      <c r="C38" s="47"/>
      <c r="D38" s="48">
        <f t="shared" ref="D38:I38" si="9">SUBTOTAL(9,D39:D39)</f>
        <v>0</v>
      </c>
      <c r="E38" s="49">
        <f t="shared" si="9"/>
        <v>0.5</v>
      </c>
      <c r="F38" s="49">
        <f t="shared" si="9"/>
        <v>0.7</v>
      </c>
      <c r="G38" s="49">
        <f t="shared" si="9"/>
        <v>0.9</v>
      </c>
      <c r="H38" s="49">
        <f t="shared" si="9"/>
        <v>0.8</v>
      </c>
      <c r="I38" s="50">
        <f t="shared" si="9"/>
        <v>0</v>
      </c>
      <c r="J38" s="74"/>
      <c r="N38" s="79" t="s">
        <v>46</v>
      </c>
      <c r="O38" s="79"/>
      <c r="P38" s="39"/>
      <c r="Q38" s="37"/>
      <c r="R38" s="117"/>
      <c r="S38" s="37"/>
      <c r="T38" s="37"/>
      <c r="U38" s="180"/>
      <c r="V38" s="180"/>
      <c r="W38" s="157">
        <v>3000000</v>
      </c>
      <c r="X38" s="158"/>
      <c r="Y38" s="37"/>
      <c r="Z38" s="37"/>
    </row>
    <row r="39" spans="1:26" ht="18" customHeight="1">
      <c r="A39" s="278">
        <v>2</v>
      </c>
      <c r="B39" s="223" t="s">
        <v>2470</v>
      </c>
      <c r="C39" s="23"/>
      <c r="D39" s="197">
        <f t="array" ref="D39:I39">ROUNDDOWN(D21:I21*L21*$D$5,3)</f>
        <v>0</v>
      </c>
      <c r="E39" s="198">
        <v>0.5</v>
      </c>
      <c r="F39" s="198">
        <v>0.7</v>
      </c>
      <c r="G39" s="198">
        <v>0.9</v>
      </c>
      <c r="H39" s="198">
        <v>0.8</v>
      </c>
      <c r="I39" s="199">
        <v>0</v>
      </c>
      <c r="J39" s="74"/>
      <c r="N39" s="132" t="s">
        <v>13</v>
      </c>
      <c r="O39" s="132"/>
      <c r="P39" s="38"/>
      <c r="Q39" s="38"/>
      <c r="R39" s="116"/>
      <c r="S39" s="38"/>
      <c r="T39" s="38"/>
      <c r="U39" s="183"/>
      <c r="V39" s="183"/>
      <c r="W39" s="155">
        <v>2000000</v>
      </c>
      <c r="X39" s="156"/>
      <c r="Y39" s="38"/>
      <c r="Z39" s="38"/>
    </row>
    <row r="40" spans="1:26" ht="18" customHeight="1">
      <c r="A40" s="278"/>
      <c r="B40" s="222" t="s">
        <v>646</v>
      </c>
      <c r="C40" s="47"/>
      <c r="D40" s="48">
        <f t="shared" ref="D40:I40" si="10">SUBTOTAL(9,D41:D46)</f>
        <v>0</v>
      </c>
      <c r="E40" s="49">
        <f t="shared" si="10"/>
        <v>4</v>
      </c>
      <c r="F40" s="49">
        <f t="shared" si="10"/>
        <v>5.8999999999999995</v>
      </c>
      <c r="G40" s="49">
        <f t="shared" si="10"/>
        <v>12.2</v>
      </c>
      <c r="H40" s="49">
        <f t="shared" si="10"/>
        <v>14.799999999999999</v>
      </c>
      <c r="I40" s="50">
        <f t="shared" si="10"/>
        <v>0</v>
      </c>
      <c r="J40" s="74"/>
      <c r="N40" s="127" t="s">
        <v>47</v>
      </c>
      <c r="O40" s="123"/>
      <c r="P40" s="123"/>
      <c r="Q40" s="123"/>
      <c r="R40" s="123"/>
      <c r="S40" s="123"/>
      <c r="T40" s="123"/>
      <c r="U40" s="184"/>
      <c r="V40" s="184"/>
      <c r="W40" s="163">
        <f ca="1">SUBTOTAL(9,W41:W42)</f>
        <v>27701278</v>
      </c>
      <c r="X40" s="164"/>
      <c r="Y40" s="123"/>
      <c r="Z40" s="123"/>
    </row>
    <row r="41" spans="1:26" ht="18" customHeight="1">
      <c r="A41" s="278">
        <v>3</v>
      </c>
      <c r="B41" s="223" t="s">
        <v>2471</v>
      </c>
      <c r="C41" s="23"/>
      <c r="D41" s="197">
        <f t="array" ref="D41:I46">ROUNDDOWN(D23:I28*L23:L28*$D$5,3)</f>
        <v>0</v>
      </c>
      <c r="E41" s="198">
        <v>0.5</v>
      </c>
      <c r="F41" s="198">
        <v>0.4</v>
      </c>
      <c r="G41" s="198">
        <v>0.7</v>
      </c>
      <c r="H41" s="198">
        <v>1</v>
      </c>
      <c r="I41" s="199">
        <v>0</v>
      </c>
      <c r="J41" s="856"/>
      <c r="K41" s="171" t="s">
        <v>14</v>
      </c>
      <c r="N41" s="133" t="s">
        <v>861</v>
      </c>
      <c r="O41" s="124"/>
      <c r="P41" s="134"/>
      <c r="Q41" s="124"/>
      <c r="R41" s="131"/>
      <c r="S41" s="124"/>
      <c r="T41" s="181"/>
      <c r="U41" s="181"/>
      <c r="V41" s="190">
        <v>1.1499999999999999</v>
      </c>
      <c r="W41" s="159">
        <f ca="1">ROUNDDOWN(W17*V41,0)</f>
        <v>17747337</v>
      </c>
      <c r="X41" s="160"/>
      <c r="Y41" s="124"/>
      <c r="Z41" s="124"/>
    </row>
    <row r="42" spans="1:26" ht="18" customHeight="1" thickBot="1">
      <c r="A42" s="278">
        <v>4</v>
      </c>
      <c r="B42" s="223" t="s">
        <v>2472</v>
      </c>
      <c r="C42" s="23"/>
      <c r="D42" s="197">
        <v>0</v>
      </c>
      <c r="E42" s="198">
        <v>0.5</v>
      </c>
      <c r="F42" s="198">
        <v>0.4</v>
      </c>
      <c r="G42" s="198">
        <v>0.7</v>
      </c>
      <c r="H42" s="198">
        <v>1</v>
      </c>
      <c r="I42" s="199">
        <v>0</v>
      </c>
      <c r="J42" s="856"/>
      <c r="K42" s="171" t="s">
        <v>14</v>
      </c>
      <c r="N42" s="135" t="s">
        <v>862</v>
      </c>
      <c r="O42" s="136"/>
      <c r="P42" s="137"/>
      <c r="Q42" s="136"/>
      <c r="R42" s="138"/>
      <c r="S42" s="136"/>
      <c r="T42" s="185"/>
      <c r="U42" s="185"/>
      <c r="V42" s="191">
        <v>0.3</v>
      </c>
      <c r="W42" s="165">
        <f ca="1">ROUNDDOWN((W17+W41)*V42,0)</f>
        <v>9953941</v>
      </c>
      <c r="X42" s="166"/>
      <c r="Y42" s="136"/>
      <c r="Z42" s="136"/>
    </row>
    <row r="43" spans="1:26" ht="18" customHeight="1">
      <c r="A43" s="278">
        <v>5</v>
      </c>
      <c r="B43" s="223" t="s">
        <v>2473</v>
      </c>
      <c r="C43" s="23"/>
      <c r="D43" s="197">
        <v>0</v>
      </c>
      <c r="E43" s="198">
        <v>0.8</v>
      </c>
      <c r="F43" s="198">
        <v>1.7</v>
      </c>
      <c r="G43" s="198">
        <v>2.9</v>
      </c>
      <c r="H43" s="198">
        <v>2.5</v>
      </c>
      <c r="I43" s="199">
        <v>0</v>
      </c>
      <c r="J43" s="74"/>
      <c r="K43" s="171" t="s">
        <v>14</v>
      </c>
    </row>
    <row r="44" spans="1:26" ht="18" customHeight="1">
      <c r="A44" s="278">
        <v>6</v>
      </c>
      <c r="B44" s="223" t="s">
        <v>2474</v>
      </c>
      <c r="C44" s="23"/>
      <c r="D44" s="197">
        <v>0</v>
      </c>
      <c r="E44" s="198">
        <v>2</v>
      </c>
      <c r="F44" s="198">
        <v>2.8</v>
      </c>
      <c r="G44" s="198">
        <v>6.5</v>
      </c>
      <c r="H44" s="198">
        <v>8.1</v>
      </c>
      <c r="I44" s="199">
        <v>0</v>
      </c>
      <c r="J44" s="74"/>
      <c r="K44" s="171" t="s">
        <v>14</v>
      </c>
    </row>
    <row r="45" spans="1:26" ht="18" customHeight="1">
      <c r="A45" s="278">
        <v>7</v>
      </c>
      <c r="B45" s="223" t="s">
        <v>2475</v>
      </c>
      <c r="C45" s="23"/>
      <c r="D45" s="197">
        <v>0</v>
      </c>
      <c r="E45" s="198">
        <v>0.1</v>
      </c>
      <c r="F45" s="198">
        <v>0.3</v>
      </c>
      <c r="G45" s="198">
        <v>0.7</v>
      </c>
      <c r="H45" s="198">
        <v>1.1000000000000001</v>
      </c>
      <c r="I45" s="199">
        <v>0</v>
      </c>
      <c r="J45" s="856"/>
      <c r="K45" s="171" t="s">
        <v>14</v>
      </c>
    </row>
    <row r="46" spans="1:26" ht="18" customHeight="1">
      <c r="A46" s="278">
        <v>8</v>
      </c>
      <c r="B46" s="223" t="s">
        <v>2476</v>
      </c>
      <c r="C46" s="23"/>
      <c r="D46" s="200">
        <v>0</v>
      </c>
      <c r="E46" s="201">
        <v>0.1</v>
      </c>
      <c r="F46" s="201">
        <v>0.3</v>
      </c>
      <c r="G46" s="201">
        <v>0.7</v>
      </c>
      <c r="H46" s="201">
        <v>1.1000000000000001</v>
      </c>
      <c r="I46" s="202">
        <v>0</v>
      </c>
      <c r="J46" s="856"/>
      <c r="K46" s="171" t="s">
        <v>14</v>
      </c>
      <c r="L46" s="171"/>
    </row>
    <row r="47" spans="1:26" ht="18" customHeight="1">
      <c r="A47" s="278"/>
      <c r="B47" s="222" t="s">
        <v>647</v>
      </c>
      <c r="C47" s="47"/>
      <c r="D47" s="48">
        <f t="shared" ref="D47:I47" si="11">SUBTOTAL(9,D48:D48)</f>
        <v>0</v>
      </c>
      <c r="E47" s="49">
        <f t="shared" si="11"/>
        <v>0.2</v>
      </c>
      <c r="F47" s="49">
        <f t="shared" si="11"/>
        <v>0.2</v>
      </c>
      <c r="G47" s="49">
        <f t="shared" si="11"/>
        <v>0.3</v>
      </c>
      <c r="H47" s="49">
        <f t="shared" si="11"/>
        <v>0.2</v>
      </c>
      <c r="I47" s="50">
        <f t="shared" si="11"/>
        <v>0</v>
      </c>
      <c r="J47" s="74"/>
      <c r="K47" s="171"/>
      <c r="L47" s="171"/>
    </row>
    <row r="48" spans="1:26" ht="18" customHeight="1">
      <c r="A48" s="278">
        <v>9</v>
      </c>
      <c r="B48" s="223" t="s">
        <v>2477</v>
      </c>
      <c r="C48" s="23"/>
      <c r="D48" s="197">
        <f t="array" ref="D48:I48">ROUNDDOWN(D30:I30*L30*$D$5,3)</f>
        <v>0</v>
      </c>
      <c r="E48" s="198">
        <v>0.2</v>
      </c>
      <c r="F48" s="198">
        <v>0.2</v>
      </c>
      <c r="G48" s="198">
        <v>0.3</v>
      </c>
      <c r="H48" s="198">
        <v>0.2</v>
      </c>
      <c r="I48" s="199">
        <v>0</v>
      </c>
      <c r="J48" s="74"/>
      <c r="K48" s="171" t="s">
        <v>14</v>
      </c>
      <c r="L48" s="171"/>
      <c r="R48" s="1"/>
      <c r="S48" s="1"/>
      <c r="T48" s="1"/>
      <c r="U48" s="1"/>
      <c r="V48" s="1"/>
      <c r="W48" s="1"/>
      <c r="X48" s="1"/>
      <c r="Y48" s="1"/>
    </row>
    <row r="49" spans="1:26" ht="18" customHeight="1">
      <c r="A49" s="278"/>
      <c r="B49" s="222" t="s">
        <v>648</v>
      </c>
      <c r="C49" s="47"/>
      <c r="D49" s="48">
        <f t="shared" ref="D49:I49" si="12">SUBTOTAL(9,D50:D50)</f>
        <v>0</v>
      </c>
      <c r="E49" s="49">
        <f t="shared" si="12"/>
        <v>0.1</v>
      </c>
      <c r="F49" s="49">
        <f t="shared" si="12"/>
        <v>0.2</v>
      </c>
      <c r="G49" s="49">
        <f t="shared" si="12"/>
        <v>0.2</v>
      </c>
      <c r="H49" s="49">
        <f t="shared" si="12"/>
        <v>0.5</v>
      </c>
      <c r="I49" s="50">
        <f t="shared" si="12"/>
        <v>0</v>
      </c>
      <c r="J49" s="74"/>
      <c r="K49" s="171" t="s">
        <v>14</v>
      </c>
      <c r="L49" s="171"/>
      <c r="R49" s="1"/>
      <c r="S49" s="1"/>
      <c r="T49" s="1"/>
      <c r="U49" s="1"/>
      <c r="V49" s="1"/>
      <c r="W49" s="1"/>
      <c r="X49" s="1"/>
      <c r="Y49" s="1"/>
    </row>
    <row r="50" spans="1:26" ht="18" customHeight="1">
      <c r="A50" s="278">
        <v>10</v>
      </c>
      <c r="B50" s="224" t="s">
        <v>2478</v>
      </c>
      <c r="C50" s="27"/>
      <c r="D50" s="200">
        <f t="array" ref="D50:I50">ROUNDDOWN(D32:I32*L32*$D$5,3)</f>
        <v>0</v>
      </c>
      <c r="E50" s="201">
        <v>0.1</v>
      </c>
      <c r="F50" s="201">
        <v>0.2</v>
      </c>
      <c r="G50" s="201">
        <v>0.2</v>
      </c>
      <c r="H50" s="201">
        <v>0.5</v>
      </c>
      <c r="I50" s="202">
        <v>0</v>
      </c>
      <c r="J50" s="74"/>
      <c r="K50" s="171" t="s">
        <v>14</v>
      </c>
      <c r="L50" s="171"/>
      <c r="R50" s="1"/>
      <c r="S50" s="1"/>
      <c r="T50" s="1"/>
      <c r="U50" s="1"/>
      <c r="V50" s="1"/>
      <c r="W50" s="1"/>
      <c r="X50" s="1"/>
      <c r="Y50" s="1"/>
    </row>
    <row r="51" spans="1:26" ht="18" customHeight="1" thickBot="1">
      <c r="A51" s="278"/>
      <c r="B51" s="252" t="s">
        <v>426</v>
      </c>
      <c r="C51" s="253"/>
      <c r="D51" s="81">
        <f t="shared" ref="D51:I51" si="13">SUBTOTAL(9,D52:D52)</f>
        <v>0</v>
      </c>
      <c r="E51" s="82">
        <f t="shared" si="13"/>
        <v>2</v>
      </c>
      <c r="F51" s="82">
        <f t="shared" si="13"/>
        <v>2</v>
      </c>
      <c r="G51" s="82">
        <f t="shared" si="13"/>
        <v>4</v>
      </c>
      <c r="H51" s="82">
        <f t="shared" si="13"/>
        <v>4</v>
      </c>
      <c r="I51" s="83">
        <f t="shared" si="13"/>
        <v>0</v>
      </c>
      <c r="J51" s="74"/>
      <c r="K51" s="171" t="s">
        <v>14</v>
      </c>
      <c r="L51" s="171"/>
      <c r="N51" s="66" t="s">
        <v>18</v>
      </c>
      <c r="O51" s="2"/>
      <c r="P51" s="2"/>
      <c r="Q51" s="2"/>
      <c r="R51" s="3"/>
      <c r="S51" s="4"/>
      <c r="T51" s="3"/>
      <c r="U51" s="4"/>
      <c r="V51" s="3"/>
      <c r="W51" s="4"/>
      <c r="X51" s="3"/>
      <c r="Y51" s="4"/>
      <c r="Z51" s="2"/>
    </row>
    <row r="52" spans="1:26" ht="18" customHeight="1" thickBot="1">
      <c r="A52" s="278">
        <v>11</v>
      </c>
      <c r="B52" s="388" t="s">
        <v>2479</v>
      </c>
      <c r="C52" s="342"/>
      <c r="D52" s="343">
        <f t="array" ref="D52:I52">ROUNDDOWN(D34:I34*L34*$I$5,3)</f>
        <v>0</v>
      </c>
      <c r="E52" s="344">
        <v>2</v>
      </c>
      <c r="F52" s="344">
        <v>2</v>
      </c>
      <c r="G52" s="344">
        <v>4</v>
      </c>
      <c r="H52" s="344">
        <v>4</v>
      </c>
      <c r="I52" s="345">
        <v>0</v>
      </c>
      <c r="J52" s="176"/>
      <c r="K52" s="171" t="s">
        <v>14</v>
      </c>
      <c r="L52" s="171"/>
      <c r="N52" s="765" t="s">
        <v>19</v>
      </c>
      <c r="O52" s="755" t="s">
        <v>20</v>
      </c>
      <c r="P52" s="755" t="s">
        <v>21</v>
      </c>
      <c r="Q52" s="755" t="s">
        <v>16</v>
      </c>
      <c r="R52" s="5" t="s">
        <v>22</v>
      </c>
      <c r="S52" s="5"/>
      <c r="T52" s="5" t="s">
        <v>23</v>
      </c>
      <c r="U52" s="5"/>
      <c r="V52" s="5" t="s">
        <v>24</v>
      </c>
      <c r="W52" s="5"/>
      <c r="X52" s="5" t="s">
        <v>25</v>
      </c>
      <c r="Y52" s="5"/>
      <c r="Z52" s="755" t="s">
        <v>26</v>
      </c>
    </row>
    <row r="53" spans="1:26" ht="18" customHeight="1" thickBot="1">
      <c r="A53" s="278"/>
      <c r="B53" s="80" t="s">
        <v>15</v>
      </c>
      <c r="C53" s="1" t="s">
        <v>2481</v>
      </c>
      <c r="E53" s="8"/>
      <c r="F53" s="8"/>
      <c r="G53" s="8"/>
      <c r="H53" s="8"/>
      <c r="I53" s="8"/>
      <c r="J53" s="10"/>
      <c r="K53" s="171" t="s">
        <v>14</v>
      </c>
      <c r="L53" s="171"/>
      <c r="N53" s="766"/>
      <c r="O53" s="756"/>
      <c r="P53" s="756"/>
      <c r="Q53" s="756"/>
      <c r="R53" s="67" t="s">
        <v>27</v>
      </c>
      <c r="S53" s="67" t="s">
        <v>28</v>
      </c>
      <c r="T53" s="67" t="s">
        <v>27</v>
      </c>
      <c r="U53" s="67" t="s">
        <v>28</v>
      </c>
      <c r="V53" s="67" t="s">
        <v>27</v>
      </c>
      <c r="W53" s="67" t="s">
        <v>28</v>
      </c>
      <c r="X53" s="67" t="s">
        <v>27</v>
      </c>
      <c r="Y53" s="67" t="s">
        <v>28</v>
      </c>
      <c r="Z53" s="756"/>
    </row>
    <row r="54" spans="1:26" ht="18" customHeight="1" thickTop="1">
      <c r="A54" s="278"/>
      <c r="B54" s="80"/>
      <c r="C54" s="1" t="s">
        <v>2482</v>
      </c>
      <c r="J54" s="8"/>
      <c r="K54" s="171" t="s">
        <v>14</v>
      </c>
      <c r="L54" s="171"/>
      <c r="N54" s="318" t="str">
        <f ca="1">"제 " &amp; Z54 &amp; " 호표  "&amp; OFFSET($A$1,MATCH(Z54,$A:$A,0)-1,1)</f>
        <v>제 1 호표  1.1. 사업계획서 분석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v>1</v>
      </c>
    </row>
    <row r="55" spans="1:26" ht="18" customHeight="1">
      <c r="A55" s="278"/>
      <c r="J55" s="8"/>
      <c r="K55" s="171" t="s">
        <v>14</v>
      </c>
      <c r="L55" s="171"/>
      <c r="N55" s="140" t="s">
        <v>43</v>
      </c>
      <c r="O55" s="172">
        <v>3</v>
      </c>
      <c r="P55" s="219">
        <f ca="1">OFFSET($A$1,MATCH(Z54,$A:$A,0)-1,O55)</f>
        <v>0</v>
      </c>
      <c r="Q55" s="141" t="s">
        <v>29</v>
      </c>
      <c r="R55" s="142">
        <f t="shared" ref="R55:S60" ca="1" si="14">T55</f>
        <v>467217</v>
      </c>
      <c r="S55" s="142">
        <f t="shared" ca="1" si="14"/>
        <v>0</v>
      </c>
      <c r="T55" s="142">
        <f ca="1">기술사</f>
        <v>467217</v>
      </c>
      <c r="U55" s="142">
        <f t="shared" ref="U55:U60" ca="1" si="15">ROUNDDOWN(P55*R55,0)</f>
        <v>0</v>
      </c>
      <c r="V55" s="142"/>
      <c r="W55" s="142"/>
      <c r="X55" s="142"/>
      <c r="Y55" s="142"/>
      <c r="Z55" s="114"/>
    </row>
    <row r="56" spans="1:26" ht="18" customHeight="1">
      <c r="A56" s="278"/>
      <c r="C56" s="9"/>
      <c r="J56" s="8"/>
      <c r="K56" s="171" t="s">
        <v>14</v>
      </c>
      <c r="L56" s="171"/>
      <c r="N56" s="143" t="s">
        <v>32</v>
      </c>
      <c r="O56" s="173">
        <v>4</v>
      </c>
      <c r="P56" s="234">
        <f ca="1">OFFSET($A$1,MATCH(Z54,$A:$A,0)-1,O56)</f>
        <v>0.1</v>
      </c>
      <c r="Q56" s="144" t="s">
        <v>29</v>
      </c>
      <c r="R56" s="118">
        <f t="shared" ca="1" si="14"/>
        <v>373353</v>
      </c>
      <c r="S56" s="118">
        <f t="shared" ca="1" si="14"/>
        <v>37335</v>
      </c>
      <c r="T56" s="118">
        <f ca="1">특급</f>
        <v>373353</v>
      </c>
      <c r="U56" s="118">
        <f t="shared" ca="1" si="15"/>
        <v>37335</v>
      </c>
      <c r="V56" s="118"/>
      <c r="W56" s="118"/>
      <c r="X56" s="118"/>
      <c r="Y56" s="118"/>
      <c r="Z56" s="115"/>
    </row>
    <row r="57" spans="1:26" ht="18" customHeight="1">
      <c r="A57" s="278"/>
      <c r="K57" s="171" t="s">
        <v>14</v>
      </c>
      <c r="L57" s="171"/>
      <c r="N57" s="145" t="s">
        <v>39</v>
      </c>
      <c r="O57" s="173">
        <v>5</v>
      </c>
      <c r="P57" s="234">
        <f ca="1">OFFSET($A$1,MATCH(Z54,$A:$A,0)-1,O57)</f>
        <v>0.1</v>
      </c>
      <c r="Q57" s="144" t="s">
        <v>29</v>
      </c>
      <c r="R57" s="118">
        <f t="shared" ca="1" si="14"/>
        <v>310884</v>
      </c>
      <c r="S57" s="118">
        <f t="shared" ca="1" si="14"/>
        <v>31088</v>
      </c>
      <c r="T57" s="118">
        <f ca="1">고급</f>
        <v>310884</v>
      </c>
      <c r="U57" s="118">
        <f t="shared" ca="1" si="15"/>
        <v>31088</v>
      </c>
      <c r="V57" s="118"/>
      <c r="W57" s="118"/>
      <c r="X57" s="118"/>
      <c r="Y57" s="118"/>
      <c r="Z57" s="115"/>
    </row>
    <row r="58" spans="1:26" ht="18" customHeight="1">
      <c r="A58" s="278"/>
      <c r="C58" s="9"/>
      <c r="K58" s="171" t="s">
        <v>14</v>
      </c>
      <c r="L58" s="171"/>
      <c r="N58" s="145" t="s">
        <v>40</v>
      </c>
      <c r="O58" s="173">
        <v>6</v>
      </c>
      <c r="P58" s="234">
        <f ca="1">OFFSET($A$1,MATCH(Z54,$A:$A,0)-1,O58)</f>
        <v>0.1</v>
      </c>
      <c r="Q58" s="144" t="s">
        <v>29</v>
      </c>
      <c r="R58" s="118">
        <f t="shared" ca="1" si="14"/>
        <v>295138</v>
      </c>
      <c r="S58" s="118">
        <f t="shared" ca="1" si="14"/>
        <v>29513</v>
      </c>
      <c r="T58" s="118">
        <f ca="1">중급</f>
        <v>295138</v>
      </c>
      <c r="U58" s="118">
        <f t="shared" ca="1" si="15"/>
        <v>29513</v>
      </c>
      <c r="V58" s="118"/>
      <c r="W58" s="118"/>
      <c r="X58" s="118"/>
      <c r="Y58" s="118"/>
      <c r="Z58" s="115"/>
    </row>
    <row r="59" spans="1:26" ht="18" customHeight="1">
      <c r="A59" s="278"/>
      <c r="C59" s="9"/>
      <c r="K59" s="171" t="s">
        <v>14</v>
      </c>
      <c r="L59" s="171"/>
      <c r="N59" s="145" t="s">
        <v>41</v>
      </c>
      <c r="O59" s="173">
        <v>7</v>
      </c>
      <c r="P59" s="234">
        <f ca="1">OFFSET($A$1,MATCH(Z54,$A:$A,0)-1,O59)</f>
        <v>0.1</v>
      </c>
      <c r="Q59" s="144" t="s">
        <v>29</v>
      </c>
      <c r="R59" s="118">
        <f t="shared" ca="1" si="14"/>
        <v>235459</v>
      </c>
      <c r="S59" s="118">
        <f t="shared" ca="1" si="14"/>
        <v>23545</v>
      </c>
      <c r="T59" s="118">
        <f ca="1">초급</f>
        <v>235459</v>
      </c>
      <c r="U59" s="118">
        <f t="shared" ca="1" si="15"/>
        <v>23545</v>
      </c>
      <c r="V59" s="118"/>
      <c r="W59" s="118"/>
      <c r="X59" s="118"/>
      <c r="Y59" s="118"/>
      <c r="Z59" s="115"/>
    </row>
    <row r="60" spans="1:26" ht="18" customHeight="1">
      <c r="A60" s="278"/>
      <c r="C60" s="9"/>
      <c r="K60" s="171" t="s">
        <v>14</v>
      </c>
      <c r="L60" s="171"/>
      <c r="N60" s="319" t="s">
        <v>42</v>
      </c>
      <c r="O60" s="174">
        <v>8</v>
      </c>
      <c r="P60" s="235">
        <f ca="1">OFFSET($A$1,MATCH(Z54,$A:$A,0)-1,O60)</f>
        <v>0</v>
      </c>
      <c r="Q60" s="322" t="s">
        <v>29</v>
      </c>
      <c r="R60" s="323">
        <f t="shared" ca="1" si="14"/>
        <v>250087</v>
      </c>
      <c r="S60" s="323">
        <f t="shared" ca="1" si="14"/>
        <v>0</v>
      </c>
      <c r="T60" s="323">
        <f ca="1">보조원</f>
        <v>250087</v>
      </c>
      <c r="U60" s="323">
        <f t="shared" ca="1" si="15"/>
        <v>0</v>
      </c>
      <c r="V60" s="323"/>
      <c r="W60" s="323"/>
      <c r="X60" s="323"/>
      <c r="Y60" s="323"/>
      <c r="Z60" s="324"/>
    </row>
    <row r="61" spans="1:26" ht="18" customHeight="1">
      <c r="A61" s="278"/>
      <c r="K61" s="171" t="s">
        <v>14</v>
      </c>
      <c r="L61" s="171"/>
      <c r="N61" s="139" t="s">
        <v>17</v>
      </c>
      <c r="O61" s="68"/>
      <c r="P61" s="69"/>
      <c r="Q61" s="70"/>
      <c r="R61" s="71"/>
      <c r="S61" s="71">
        <f ca="1">SUBTOTAL(9,S55:S60)</f>
        <v>121481</v>
      </c>
      <c r="T61" s="71"/>
      <c r="U61" s="71">
        <f ca="1">SUBTOTAL(9,U55:U60)</f>
        <v>121481</v>
      </c>
      <c r="V61" s="71"/>
      <c r="W61" s="71"/>
      <c r="X61" s="71"/>
      <c r="Y61" s="71"/>
      <c r="Z61" s="68"/>
    </row>
    <row r="62" spans="1:26" ht="18" customHeight="1">
      <c r="A62" s="278"/>
      <c r="B62" s="9"/>
      <c r="C62" s="9"/>
      <c r="K62" s="171" t="s">
        <v>14</v>
      </c>
      <c r="L62" s="171"/>
      <c r="N62" s="318" t="str">
        <f ca="1">"제 " &amp; Z62 &amp; " 호표  "&amp; OFFSET($A$1,MATCH(Z62,$A:$A,0)-1,1)</f>
        <v>제 2 호표  2.1. 교육환경평가 추진계획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2</v>
      </c>
    </row>
    <row r="63" spans="1:26" ht="18" customHeight="1">
      <c r="A63" s="278"/>
      <c r="B63" s="9"/>
      <c r="K63" s="171" t="s">
        <v>14</v>
      </c>
      <c r="L63" s="171"/>
      <c r="N63" s="140" t="s">
        <v>43</v>
      </c>
      <c r="O63" s="172">
        <v>3</v>
      </c>
      <c r="P63" s="219">
        <f ca="1">OFFSET($A$1,MATCH(Z62,$A:$A,0)-1,O63)</f>
        <v>0</v>
      </c>
      <c r="Q63" s="141" t="s">
        <v>29</v>
      </c>
      <c r="R63" s="142">
        <f t="shared" ref="R63:S68" ca="1" si="16">T63</f>
        <v>467217</v>
      </c>
      <c r="S63" s="142">
        <f t="shared" ca="1" si="16"/>
        <v>0</v>
      </c>
      <c r="T63" s="142">
        <f ca="1">기술사</f>
        <v>467217</v>
      </c>
      <c r="U63" s="142">
        <f t="shared" ref="U63:U68" ca="1" si="17">ROUNDDOWN(P63*R63,0)</f>
        <v>0</v>
      </c>
      <c r="V63" s="142"/>
      <c r="W63" s="142"/>
      <c r="X63" s="142"/>
      <c r="Y63" s="142"/>
      <c r="Z63" s="114"/>
    </row>
    <row r="64" spans="1:26" ht="18" customHeight="1">
      <c r="A64" s="278"/>
      <c r="B64" s="9"/>
      <c r="K64" s="171" t="s">
        <v>14</v>
      </c>
      <c r="L64" s="171"/>
      <c r="N64" s="143" t="s">
        <v>32</v>
      </c>
      <c r="O64" s="173">
        <v>4</v>
      </c>
      <c r="P64" s="234">
        <f ca="1">OFFSET($A$1,MATCH(Z62,$A:$A,0)-1,O64)</f>
        <v>0.5</v>
      </c>
      <c r="Q64" s="144" t="s">
        <v>29</v>
      </c>
      <c r="R64" s="118">
        <f t="shared" ca="1" si="16"/>
        <v>373353</v>
      </c>
      <c r="S64" s="118">
        <f t="shared" ca="1" si="16"/>
        <v>186676</v>
      </c>
      <c r="T64" s="118">
        <f ca="1">특급</f>
        <v>373353</v>
      </c>
      <c r="U64" s="118">
        <f t="shared" ca="1" si="17"/>
        <v>186676</v>
      </c>
      <c r="V64" s="118"/>
      <c r="W64" s="118"/>
      <c r="X64" s="118"/>
      <c r="Y64" s="118"/>
      <c r="Z64" s="115"/>
    </row>
    <row r="65" spans="1:26" ht="18" customHeight="1">
      <c r="A65" s="278"/>
      <c r="B65" s="9"/>
      <c r="K65" s="171" t="s">
        <v>14</v>
      </c>
      <c r="L65" s="171"/>
      <c r="N65" s="145" t="s">
        <v>39</v>
      </c>
      <c r="O65" s="173">
        <v>5</v>
      </c>
      <c r="P65" s="234">
        <f ca="1">OFFSET($A$1,MATCH(Z62,$A:$A,0)-1,O65)</f>
        <v>0.7</v>
      </c>
      <c r="Q65" s="144" t="s">
        <v>29</v>
      </c>
      <c r="R65" s="118">
        <f t="shared" ca="1" si="16"/>
        <v>310884</v>
      </c>
      <c r="S65" s="118">
        <f t="shared" ca="1" si="16"/>
        <v>217618</v>
      </c>
      <c r="T65" s="118">
        <f ca="1">고급</f>
        <v>310884</v>
      </c>
      <c r="U65" s="118">
        <f t="shared" ca="1" si="17"/>
        <v>217618</v>
      </c>
      <c r="V65" s="118"/>
      <c r="W65" s="118"/>
      <c r="X65" s="118"/>
      <c r="Y65" s="118"/>
      <c r="Z65" s="115"/>
    </row>
    <row r="66" spans="1:26" ht="18" customHeight="1">
      <c r="B66" s="9"/>
      <c r="K66" s="171" t="s">
        <v>14</v>
      </c>
      <c r="L66" s="171"/>
      <c r="N66" s="145" t="s">
        <v>40</v>
      </c>
      <c r="O66" s="173">
        <v>6</v>
      </c>
      <c r="P66" s="234">
        <f ca="1">OFFSET($A$1,MATCH(Z62,$A:$A,0)-1,O66)</f>
        <v>0.9</v>
      </c>
      <c r="Q66" s="144" t="s">
        <v>29</v>
      </c>
      <c r="R66" s="118">
        <f t="shared" ca="1" si="16"/>
        <v>295138</v>
      </c>
      <c r="S66" s="118">
        <f t="shared" ca="1" si="16"/>
        <v>265624</v>
      </c>
      <c r="T66" s="118">
        <f ca="1">중급</f>
        <v>295138</v>
      </c>
      <c r="U66" s="118">
        <f t="shared" ca="1" si="17"/>
        <v>265624</v>
      </c>
      <c r="V66" s="118"/>
      <c r="W66" s="118"/>
      <c r="X66" s="118"/>
      <c r="Y66" s="118"/>
      <c r="Z66" s="115"/>
    </row>
    <row r="67" spans="1:26" ht="18" customHeight="1">
      <c r="B67" s="9"/>
      <c r="K67" s="171" t="s">
        <v>14</v>
      </c>
      <c r="L67" s="171"/>
      <c r="N67" s="145" t="s">
        <v>41</v>
      </c>
      <c r="O67" s="173">
        <v>7</v>
      </c>
      <c r="P67" s="234">
        <f ca="1">OFFSET($A$1,MATCH(Z62,$A:$A,0)-1,O67)</f>
        <v>0.8</v>
      </c>
      <c r="Q67" s="144" t="s">
        <v>29</v>
      </c>
      <c r="R67" s="118">
        <f t="shared" ca="1" si="16"/>
        <v>235459</v>
      </c>
      <c r="S67" s="118">
        <f t="shared" ca="1" si="16"/>
        <v>188367</v>
      </c>
      <c r="T67" s="118">
        <f ca="1">초급</f>
        <v>235459</v>
      </c>
      <c r="U67" s="118">
        <f t="shared" ca="1" si="17"/>
        <v>188367</v>
      </c>
      <c r="V67" s="118"/>
      <c r="W67" s="118"/>
      <c r="X67" s="118"/>
      <c r="Y67" s="118"/>
      <c r="Z67" s="115"/>
    </row>
    <row r="68" spans="1:26" ht="18" customHeight="1">
      <c r="B68" s="9"/>
      <c r="K68" s="171" t="s">
        <v>14</v>
      </c>
      <c r="L68" s="171"/>
      <c r="N68" s="319" t="s">
        <v>42</v>
      </c>
      <c r="O68" s="174">
        <v>8</v>
      </c>
      <c r="P68" s="235">
        <f ca="1">OFFSET($A$1,MATCH(Z62,$A:$A,0)-1,O68)</f>
        <v>0</v>
      </c>
      <c r="Q68" s="322" t="s">
        <v>29</v>
      </c>
      <c r="R68" s="323">
        <f t="shared" ca="1" si="16"/>
        <v>250087</v>
      </c>
      <c r="S68" s="323">
        <f t="shared" ca="1" si="16"/>
        <v>0</v>
      </c>
      <c r="T68" s="323">
        <f ca="1">보조원</f>
        <v>250087</v>
      </c>
      <c r="U68" s="323">
        <f t="shared" ca="1" si="17"/>
        <v>0</v>
      </c>
      <c r="V68" s="323"/>
      <c r="W68" s="323"/>
      <c r="X68" s="323"/>
      <c r="Y68" s="323"/>
      <c r="Z68" s="324"/>
    </row>
    <row r="69" spans="1:26" ht="18" customHeight="1">
      <c r="K69" s="171" t="s">
        <v>14</v>
      </c>
      <c r="L69" s="171"/>
      <c r="N69" s="139" t="s">
        <v>17</v>
      </c>
      <c r="O69" s="68"/>
      <c r="P69" s="69"/>
      <c r="Q69" s="70"/>
      <c r="R69" s="71"/>
      <c r="S69" s="71">
        <f ca="1">SUBTOTAL(9,S63:S68)</f>
        <v>858285</v>
      </c>
      <c r="T69" s="71"/>
      <c r="U69" s="71">
        <f ca="1">SUBTOTAL(9,U63:U68)</f>
        <v>858285</v>
      </c>
      <c r="V69" s="71"/>
      <c r="W69" s="71"/>
      <c r="X69" s="71"/>
      <c r="Y69" s="71"/>
      <c r="Z69" s="68"/>
    </row>
    <row r="70" spans="1:26" ht="18" customHeight="1">
      <c r="K70" s="171" t="s">
        <v>14</v>
      </c>
      <c r="L70" s="171"/>
      <c r="N70" s="318" t="str">
        <f ca="1">"제 " &amp; Z70 &amp; " 호표  "&amp; OFFSET($A$1,MATCH(Z70,$A:$A,0)-1,1)&amp;", 3-2. 학교의 크기 및 외형"</f>
        <v>제 3 호표  3.1. 위치, 3-2. 학교의 크기 및 외형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3</v>
      </c>
    </row>
    <row r="71" spans="1:26" ht="18" customHeight="1">
      <c r="K71" s="171" t="s">
        <v>14</v>
      </c>
      <c r="L71" s="171"/>
      <c r="N71" s="140" t="s">
        <v>43</v>
      </c>
      <c r="O71" s="172">
        <v>3</v>
      </c>
      <c r="P71" s="219">
        <f ca="1">OFFSET($A$1,MATCH(Z70,$A:$A,0)-1,O71)</f>
        <v>0</v>
      </c>
      <c r="Q71" s="141" t="s">
        <v>29</v>
      </c>
      <c r="R71" s="142">
        <f t="shared" ref="R71:S76" ca="1" si="18">T71</f>
        <v>467217</v>
      </c>
      <c r="S71" s="142">
        <f t="shared" ca="1" si="18"/>
        <v>0</v>
      </c>
      <c r="T71" s="142">
        <f ca="1">기술사</f>
        <v>467217</v>
      </c>
      <c r="U71" s="142">
        <f t="shared" ref="U71:U76" ca="1" si="19">ROUNDDOWN(P71*R71,0)</f>
        <v>0</v>
      </c>
      <c r="V71" s="142"/>
      <c r="W71" s="142"/>
      <c r="X71" s="142"/>
      <c r="Y71" s="142"/>
      <c r="Z71" s="114"/>
    </row>
    <row r="72" spans="1:26" ht="18" customHeight="1">
      <c r="K72" s="171" t="s">
        <v>14</v>
      </c>
      <c r="L72" s="171"/>
      <c r="N72" s="143" t="s">
        <v>32</v>
      </c>
      <c r="O72" s="173">
        <v>4</v>
      </c>
      <c r="P72" s="234">
        <f ca="1">OFFSET($A$1,MATCH(Z70,$A:$A,0)-1,O72)</f>
        <v>0.5</v>
      </c>
      <c r="Q72" s="144" t="s">
        <v>29</v>
      </c>
      <c r="R72" s="118">
        <f t="shared" ca="1" si="18"/>
        <v>373353</v>
      </c>
      <c r="S72" s="118">
        <f t="shared" ca="1" si="18"/>
        <v>186676</v>
      </c>
      <c r="T72" s="118">
        <f ca="1">특급</f>
        <v>373353</v>
      </c>
      <c r="U72" s="118">
        <f t="shared" ca="1" si="19"/>
        <v>186676</v>
      </c>
      <c r="V72" s="118"/>
      <c r="W72" s="118"/>
      <c r="X72" s="118"/>
      <c r="Y72" s="118"/>
      <c r="Z72" s="115"/>
    </row>
    <row r="73" spans="1:26" ht="18" customHeight="1">
      <c r="K73" s="171" t="s">
        <v>14</v>
      </c>
      <c r="L73" s="171"/>
      <c r="N73" s="145" t="s">
        <v>39</v>
      </c>
      <c r="O73" s="173">
        <v>5</v>
      </c>
      <c r="P73" s="234">
        <f ca="1">OFFSET($A$1,MATCH(Z70,$A:$A,0)-1,O73)</f>
        <v>0.4</v>
      </c>
      <c r="Q73" s="144" t="s">
        <v>29</v>
      </c>
      <c r="R73" s="118">
        <f t="shared" ca="1" si="18"/>
        <v>310884</v>
      </c>
      <c r="S73" s="118">
        <f t="shared" ca="1" si="18"/>
        <v>124353</v>
      </c>
      <c r="T73" s="118">
        <f ca="1">고급</f>
        <v>310884</v>
      </c>
      <c r="U73" s="118">
        <f t="shared" ca="1" si="19"/>
        <v>124353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N74" s="145" t="s">
        <v>40</v>
      </c>
      <c r="O74" s="173">
        <v>6</v>
      </c>
      <c r="P74" s="234">
        <f ca="1">OFFSET($A$1,MATCH(Z70,$A:$A,0)-1,O74)</f>
        <v>0.7</v>
      </c>
      <c r="Q74" s="144" t="s">
        <v>29</v>
      </c>
      <c r="R74" s="118">
        <f t="shared" ca="1" si="18"/>
        <v>295138</v>
      </c>
      <c r="S74" s="118">
        <f t="shared" ca="1" si="18"/>
        <v>206596</v>
      </c>
      <c r="T74" s="118">
        <f ca="1">중급</f>
        <v>295138</v>
      </c>
      <c r="U74" s="118">
        <f t="shared" ca="1" si="19"/>
        <v>206596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N75" s="145" t="s">
        <v>41</v>
      </c>
      <c r="O75" s="173">
        <v>7</v>
      </c>
      <c r="P75" s="234">
        <f ca="1">OFFSET($A$1,MATCH(Z70,$A:$A,0)-1,O75)</f>
        <v>1</v>
      </c>
      <c r="Q75" s="144" t="s">
        <v>29</v>
      </c>
      <c r="R75" s="118">
        <f t="shared" ca="1" si="18"/>
        <v>235459</v>
      </c>
      <c r="S75" s="118">
        <f t="shared" ca="1" si="18"/>
        <v>235459</v>
      </c>
      <c r="T75" s="118">
        <f ca="1">초급</f>
        <v>235459</v>
      </c>
      <c r="U75" s="118">
        <f t="shared" ca="1" si="19"/>
        <v>235459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N76" s="319" t="s">
        <v>42</v>
      </c>
      <c r="O76" s="174">
        <v>8</v>
      </c>
      <c r="P76" s="235">
        <f ca="1">OFFSET($A$1,MATCH(Z70,$A:$A,0)-1,O76)</f>
        <v>0</v>
      </c>
      <c r="Q76" s="322" t="s">
        <v>29</v>
      </c>
      <c r="R76" s="323">
        <f t="shared" ca="1" si="18"/>
        <v>250087</v>
      </c>
      <c r="S76" s="323">
        <f t="shared" ca="1" si="18"/>
        <v>0</v>
      </c>
      <c r="T76" s="323">
        <f ca="1">보조원</f>
        <v>250087</v>
      </c>
      <c r="U76" s="323">
        <f t="shared" ca="1" si="19"/>
        <v>0</v>
      </c>
      <c r="V76" s="323"/>
      <c r="W76" s="323"/>
      <c r="X76" s="323"/>
      <c r="Y76" s="323"/>
      <c r="Z76" s="324"/>
    </row>
    <row r="77" spans="1:26" ht="18" customHeight="1">
      <c r="K77" s="171" t="s">
        <v>14</v>
      </c>
      <c r="L77" s="171"/>
      <c r="N77" s="139" t="s">
        <v>17</v>
      </c>
      <c r="O77" s="68"/>
      <c r="P77" s="69"/>
      <c r="Q77" s="70"/>
      <c r="R77" s="71"/>
      <c r="S77" s="71">
        <f ca="1">SUBTOTAL(9,S71:S76)</f>
        <v>753084</v>
      </c>
      <c r="T77" s="71"/>
      <c r="U77" s="71">
        <f ca="1">SUBTOTAL(9,U71:U76)</f>
        <v>753084</v>
      </c>
      <c r="V77" s="71"/>
      <c r="W77" s="71"/>
      <c r="X77" s="71"/>
      <c r="Y77" s="71"/>
      <c r="Z77" s="68"/>
    </row>
    <row r="78" spans="1:26" ht="18" customHeight="1">
      <c r="K78" s="171" t="s">
        <v>14</v>
      </c>
      <c r="L78" s="171"/>
      <c r="N78" s="318" t="str">
        <f ca="1">"제 " &amp; Z78 &amp; " 호표  "&amp; OFFSET($A$1,MATCH(Z78,$A:$A,0)-1,1)</f>
        <v>제 4 호표  3.2. 크기 및 외형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4</v>
      </c>
    </row>
    <row r="79" spans="1:26" ht="18" customHeight="1">
      <c r="K79" s="171" t="s">
        <v>14</v>
      </c>
      <c r="L79" s="171"/>
      <c r="N79" s="140" t="s">
        <v>43</v>
      </c>
      <c r="O79" s="172">
        <v>3</v>
      </c>
      <c r="P79" s="219">
        <f ca="1">OFFSET($A$1,MATCH(Z78,$A:$A,0)-1,O79)</f>
        <v>0</v>
      </c>
      <c r="Q79" s="141" t="s">
        <v>29</v>
      </c>
      <c r="R79" s="142">
        <f t="shared" ref="R79:S84" ca="1" si="20">T79</f>
        <v>467217</v>
      </c>
      <c r="S79" s="142">
        <f t="shared" ca="1" si="20"/>
        <v>0</v>
      </c>
      <c r="T79" s="142">
        <f ca="1">기술사</f>
        <v>467217</v>
      </c>
      <c r="U79" s="142">
        <f t="shared" ref="U79:U84" ca="1" si="21">ROUNDDOWN(P79*R79,0)</f>
        <v>0</v>
      </c>
      <c r="V79" s="142"/>
      <c r="W79" s="142"/>
      <c r="X79" s="142"/>
      <c r="Y79" s="142"/>
      <c r="Z79" s="114"/>
    </row>
    <row r="80" spans="1:26" ht="18" customHeight="1">
      <c r="K80" s="171" t="s">
        <v>14</v>
      </c>
      <c r="L80" s="171"/>
      <c r="N80" s="143" t="s">
        <v>32</v>
      </c>
      <c r="O80" s="173">
        <v>4</v>
      </c>
      <c r="P80" s="234">
        <f ca="1">OFFSET($A$1,MATCH(Z78,$A:$A,0)-1,O80)</f>
        <v>0.5</v>
      </c>
      <c r="Q80" s="144" t="s">
        <v>29</v>
      </c>
      <c r="R80" s="118">
        <f t="shared" ca="1" si="20"/>
        <v>373353</v>
      </c>
      <c r="S80" s="118">
        <f t="shared" ca="1" si="20"/>
        <v>186676</v>
      </c>
      <c r="T80" s="118">
        <f ca="1">특급</f>
        <v>373353</v>
      </c>
      <c r="U80" s="118">
        <f t="shared" ca="1" si="21"/>
        <v>186676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N81" s="145" t="s">
        <v>39</v>
      </c>
      <c r="O81" s="173">
        <v>5</v>
      </c>
      <c r="P81" s="234">
        <f ca="1">OFFSET($A$1,MATCH(Z78,$A:$A,0)-1,O81)</f>
        <v>0.4</v>
      </c>
      <c r="Q81" s="144" t="s">
        <v>29</v>
      </c>
      <c r="R81" s="118">
        <f t="shared" ca="1" si="20"/>
        <v>310884</v>
      </c>
      <c r="S81" s="118">
        <f t="shared" ca="1" si="20"/>
        <v>124353</v>
      </c>
      <c r="T81" s="118">
        <f ca="1">고급</f>
        <v>310884</v>
      </c>
      <c r="U81" s="118">
        <f t="shared" ca="1" si="21"/>
        <v>124353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40</v>
      </c>
      <c r="O82" s="173">
        <v>6</v>
      </c>
      <c r="P82" s="234">
        <f ca="1">OFFSET($A$1,MATCH(Z78,$A:$A,0)-1,O82)</f>
        <v>0.7</v>
      </c>
      <c r="Q82" s="144" t="s">
        <v>29</v>
      </c>
      <c r="R82" s="118">
        <f t="shared" ca="1" si="20"/>
        <v>295138</v>
      </c>
      <c r="S82" s="118">
        <f t="shared" ca="1" si="20"/>
        <v>206596</v>
      </c>
      <c r="T82" s="118">
        <f ca="1">중급</f>
        <v>295138</v>
      </c>
      <c r="U82" s="118">
        <f t="shared" ca="1" si="21"/>
        <v>206596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41</v>
      </c>
      <c r="O83" s="173">
        <v>7</v>
      </c>
      <c r="P83" s="234">
        <f ca="1">OFFSET($A$1,MATCH(Z78,$A:$A,0)-1,O83)</f>
        <v>1</v>
      </c>
      <c r="Q83" s="144" t="s">
        <v>29</v>
      </c>
      <c r="R83" s="118">
        <f t="shared" ca="1" si="20"/>
        <v>235459</v>
      </c>
      <c r="S83" s="118">
        <f t="shared" ca="1" si="20"/>
        <v>235459</v>
      </c>
      <c r="T83" s="118">
        <f ca="1">초급</f>
        <v>235459</v>
      </c>
      <c r="U83" s="118">
        <f t="shared" ca="1" si="21"/>
        <v>235459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319" t="s">
        <v>42</v>
      </c>
      <c r="O84" s="174">
        <v>8</v>
      </c>
      <c r="P84" s="235">
        <f ca="1">OFFSET($A$1,MATCH(Z78,$A:$A,0)-1,O84)</f>
        <v>0</v>
      </c>
      <c r="Q84" s="322" t="s">
        <v>29</v>
      </c>
      <c r="R84" s="323">
        <f t="shared" ca="1" si="20"/>
        <v>250087</v>
      </c>
      <c r="S84" s="323">
        <f t="shared" ca="1" si="20"/>
        <v>0</v>
      </c>
      <c r="T84" s="323">
        <f ca="1">보조원</f>
        <v>250087</v>
      </c>
      <c r="U84" s="323">
        <f t="shared" ca="1" si="21"/>
        <v>0</v>
      </c>
      <c r="V84" s="323"/>
      <c r="W84" s="323"/>
      <c r="X84" s="323"/>
      <c r="Y84" s="323"/>
      <c r="Z84" s="324"/>
    </row>
    <row r="85" spans="11:26" ht="18" customHeight="1">
      <c r="K85" s="171" t="s">
        <v>14</v>
      </c>
      <c r="L85" s="171"/>
      <c r="N85" s="139" t="s">
        <v>17</v>
      </c>
      <c r="O85" s="68"/>
      <c r="P85" s="69"/>
      <c r="Q85" s="70"/>
      <c r="R85" s="71"/>
      <c r="S85" s="71">
        <f ca="1">SUBTOTAL(9,S79:S84)</f>
        <v>753084</v>
      </c>
      <c r="T85" s="71"/>
      <c r="U85" s="71">
        <f ca="1">SUBTOTAL(9,U79:U84)</f>
        <v>753084</v>
      </c>
      <c r="V85" s="71"/>
      <c r="W85" s="71"/>
      <c r="X85" s="71"/>
      <c r="Y85" s="71"/>
      <c r="Z85" s="68"/>
    </row>
    <row r="86" spans="11:26" ht="18" customHeight="1">
      <c r="K86" s="171" t="s">
        <v>14</v>
      </c>
      <c r="L86" s="171"/>
      <c r="N86" s="318" t="str">
        <f ca="1">"제 " &amp; Z86 &amp; " 호표  "&amp; OFFSET($A$1,MATCH(Z86,$A:$A,0)-1,1)</f>
        <v>제 5 호표  3.3. 지형 및 토양환경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5</v>
      </c>
    </row>
    <row r="87" spans="11:26" ht="18" customHeight="1">
      <c r="K87" s="171" t="s">
        <v>14</v>
      </c>
      <c r="L87" s="171"/>
      <c r="N87" s="140" t="s">
        <v>43</v>
      </c>
      <c r="O87" s="172">
        <v>3</v>
      </c>
      <c r="P87" s="219">
        <f ca="1">OFFSET($A$1,MATCH(Z86,$A:$A,0)-1,O87)</f>
        <v>0</v>
      </c>
      <c r="Q87" s="141" t="s">
        <v>29</v>
      </c>
      <c r="R87" s="142">
        <f t="shared" ref="R87:S92" ca="1" si="22">T87</f>
        <v>467217</v>
      </c>
      <c r="S87" s="142">
        <f t="shared" ca="1" si="22"/>
        <v>0</v>
      </c>
      <c r="T87" s="142">
        <f ca="1">기술사</f>
        <v>467217</v>
      </c>
      <c r="U87" s="142">
        <f t="shared" ref="U87:U92" ca="1" si="23">ROUNDDOWN(P87*R87,0)</f>
        <v>0</v>
      </c>
      <c r="V87" s="142"/>
      <c r="W87" s="142"/>
      <c r="X87" s="142"/>
      <c r="Y87" s="142"/>
      <c r="Z87" s="114"/>
    </row>
    <row r="88" spans="11:26" ht="18" customHeight="1">
      <c r="K88" s="171" t="s">
        <v>14</v>
      </c>
      <c r="L88" s="171"/>
      <c r="N88" s="143" t="s">
        <v>32</v>
      </c>
      <c r="O88" s="173">
        <v>4</v>
      </c>
      <c r="P88" s="234">
        <f ca="1">OFFSET($A$1,MATCH(Z86,$A:$A,0)-1,O88)</f>
        <v>0.8</v>
      </c>
      <c r="Q88" s="144" t="s">
        <v>29</v>
      </c>
      <c r="R88" s="118">
        <f t="shared" ca="1" si="22"/>
        <v>373353</v>
      </c>
      <c r="S88" s="118">
        <f t="shared" ca="1" si="22"/>
        <v>298682</v>
      </c>
      <c r="T88" s="118">
        <f ca="1">특급</f>
        <v>373353</v>
      </c>
      <c r="U88" s="118">
        <f t="shared" ca="1" si="23"/>
        <v>298682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N89" s="145" t="s">
        <v>39</v>
      </c>
      <c r="O89" s="173">
        <v>5</v>
      </c>
      <c r="P89" s="234">
        <f ca="1">OFFSET($A$1,MATCH(Z86,$A:$A,0)-1,O89)</f>
        <v>1.7</v>
      </c>
      <c r="Q89" s="144" t="s">
        <v>29</v>
      </c>
      <c r="R89" s="118">
        <f t="shared" ca="1" si="22"/>
        <v>310884</v>
      </c>
      <c r="S89" s="118">
        <f t="shared" ca="1" si="22"/>
        <v>528502</v>
      </c>
      <c r="T89" s="118">
        <f ca="1">고급</f>
        <v>310884</v>
      </c>
      <c r="U89" s="118">
        <f t="shared" ca="1" si="23"/>
        <v>528502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40</v>
      </c>
      <c r="O90" s="173">
        <v>6</v>
      </c>
      <c r="P90" s="234">
        <f ca="1">OFFSET($A$1,MATCH(Z86,$A:$A,0)-1,O90)</f>
        <v>2.9</v>
      </c>
      <c r="Q90" s="144" t="s">
        <v>29</v>
      </c>
      <c r="R90" s="118">
        <f t="shared" ca="1" si="22"/>
        <v>295138</v>
      </c>
      <c r="S90" s="118">
        <f t="shared" ca="1" si="22"/>
        <v>855900</v>
      </c>
      <c r="T90" s="118">
        <f ca="1">중급</f>
        <v>295138</v>
      </c>
      <c r="U90" s="118">
        <f t="shared" ca="1" si="23"/>
        <v>855900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41</v>
      </c>
      <c r="O91" s="173">
        <v>7</v>
      </c>
      <c r="P91" s="234">
        <f ca="1">OFFSET($A$1,MATCH(Z86,$A:$A,0)-1,O91)</f>
        <v>2.5</v>
      </c>
      <c r="Q91" s="144" t="s">
        <v>29</v>
      </c>
      <c r="R91" s="118">
        <f t="shared" ca="1" si="22"/>
        <v>235459</v>
      </c>
      <c r="S91" s="118">
        <f t="shared" ca="1" si="22"/>
        <v>588647</v>
      </c>
      <c r="T91" s="118">
        <f ca="1">초급</f>
        <v>235459</v>
      </c>
      <c r="U91" s="118">
        <f t="shared" ca="1" si="23"/>
        <v>588647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319" t="s">
        <v>42</v>
      </c>
      <c r="O92" s="174">
        <v>8</v>
      </c>
      <c r="P92" s="235">
        <f ca="1">OFFSET($A$1,MATCH(Z86,$A:$A,0)-1,O92)</f>
        <v>0</v>
      </c>
      <c r="Q92" s="322" t="s">
        <v>29</v>
      </c>
      <c r="R92" s="323">
        <f t="shared" ca="1" si="22"/>
        <v>250087</v>
      </c>
      <c r="S92" s="323">
        <f t="shared" ca="1" si="22"/>
        <v>0</v>
      </c>
      <c r="T92" s="323">
        <f ca="1">보조원</f>
        <v>250087</v>
      </c>
      <c r="U92" s="323">
        <f t="shared" ca="1" si="23"/>
        <v>0</v>
      </c>
      <c r="V92" s="323"/>
      <c r="W92" s="323"/>
      <c r="X92" s="323"/>
      <c r="Y92" s="323"/>
      <c r="Z92" s="324"/>
    </row>
    <row r="93" spans="11:26" ht="18" customHeight="1">
      <c r="K93" s="171" t="s">
        <v>14</v>
      </c>
      <c r="L93" s="171"/>
      <c r="N93" s="139" t="s">
        <v>17</v>
      </c>
      <c r="O93" s="68"/>
      <c r="P93" s="69"/>
      <c r="Q93" s="70"/>
      <c r="R93" s="71"/>
      <c r="S93" s="71">
        <f ca="1">SUBTOTAL(9,S87:S92)</f>
        <v>2271731</v>
      </c>
      <c r="T93" s="71"/>
      <c r="U93" s="71">
        <f ca="1">SUBTOTAL(9,U87:U92)</f>
        <v>2271731</v>
      </c>
      <c r="V93" s="71"/>
      <c r="W93" s="71"/>
      <c r="X93" s="71"/>
      <c r="Y93" s="71"/>
      <c r="Z93" s="68"/>
    </row>
    <row r="94" spans="11:26" ht="18" customHeight="1">
      <c r="K94" s="171" t="s">
        <v>14</v>
      </c>
      <c r="L94" s="171"/>
      <c r="N94" s="318" t="str">
        <f ca="1">"제 " &amp; Z94 &amp; " 호표  "&amp; OFFSET($A$1,MATCH(Z94,$A:$A,0)-1,1)&amp;", 3-6. 공공시설"</f>
        <v>제 6 호표  3.4. 대기환경, 3-6. 공공시설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6</v>
      </c>
    </row>
    <row r="95" spans="11:26" ht="18" customHeight="1">
      <c r="K95" s="171" t="s">
        <v>14</v>
      </c>
      <c r="L95" s="171"/>
      <c r="N95" s="140" t="s">
        <v>43</v>
      </c>
      <c r="O95" s="172">
        <v>3</v>
      </c>
      <c r="P95" s="219">
        <f ca="1">OFFSET($A$1,MATCH(Z94,$A:$A,0)-1,O95)</f>
        <v>0</v>
      </c>
      <c r="Q95" s="141" t="s">
        <v>29</v>
      </c>
      <c r="R95" s="142">
        <f t="shared" ref="R95:S100" ca="1" si="24">T95</f>
        <v>467217</v>
      </c>
      <c r="S95" s="142">
        <f t="shared" ca="1" si="24"/>
        <v>0</v>
      </c>
      <c r="T95" s="142">
        <f ca="1">기술사</f>
        <v>467217</v>
      </c>
      <c r="U95" s="142">
        <f t="shared" ref="U95:U100" ca="1" si="25">ROUNDDOWN(P95*R95,0)</f>
        <v>0</v>
      </c>
      <c r="V95" s="142"/>
      <c r="W95" s="142"/>
      <c r="X95" s="142"/>
      <c r="Y95" s="142"/>
      <c r="Z95" s="114"/>
    </row>
    <row r="96" spans="11:26" ht="18" customHeight="1">
      <c r="K96" s="171" t="s">
        <v>14</v>
      </c>
      <c r="L96" s="171"/>
      <c r="N96" s="143" t="s">
        <v>32</v>
      </c>
      <c r="O96" s="173">
        <v>4</v>
      </c>
      <c r="P96" s="234">
        <f ca="1">OFFSET($A$1,MATCH(Z94,$A:$A,0)-1,O96)</f>
        <v>2</v>
      </c>
      <c r="Q96" s="144" t="s">
        <v>29</v>
      </c>
      <c r="R96" s="118">
        <f t="shared" ca="1" si="24"/>
        <v>373353</v>
      </c>
      <c r="S96" s="118">
        <f t="shared" ca="1" si="24"/>
        <v>746706</v>
      </c>
      <c r="T96" s="118">
        <f ca="1">특급</f>
        <v>373353</v>
      </c>
      <c r="U96" s="118">
        <f t="shared" ca="1" si="25"/>
        <v>746706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39</v>
      </c>
      <c r="O97" s="173">
        <v>5</v>
      </c>
      <c r="P97" s="234">
        <f ca="1">OFFSET($A$1,MATCH(Z94,$A:$A,0)-1,O97)</f>
        <v>2.8</v>
      </c>
      <c r="Q97" s="144" t="s">
        <v>29</v>
      </c>
      <c r="R97" s="118">
        <f t="shared" ca="1" si="24"/>
        <v>310884</v>
      </c>
      <c r="S97" s="118">
        <f t="shared" ca="1" si="24"/>
        <v>870475</v>
      </c>
      <c r="T97" s="118">
        <f ca="1">고급</f>
        <v>310884</v>
      </c>
      <c r="U97" s="118">
        <f t="shared" ca="1" si="25"/>
        <v>870475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40</v>
      </c>
      <c r="O98" s="173">
        <v>6</v>
      </c>
      <c r="P98" s="234">
        <f ca="1">OFFSET($A$1,MATCH(Z94,$A:$A,0)-1,O98)</f>
        <v>6.5</v>
      </c>
      <c r="Q98" s="144" t="s">
        <v>29</v>
      </c>
      <c r="R98" s="118">
        <f t="shared" ca="1" si="24"/>
        <v>295138</v>
      </c>
      <c r="S98" s="118">
        <f t="shared" ca="1" si="24"/>
        <v>1918397</v>
      </c>
      <c r="T98" s="118">
        <f ca="1">중급</f>
        <v>295138</v>
      </c>
      <c r="U98" s="118">
        <f t="shared" ca="1" si="25"/>
        <v>1918397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41</v>
      </c>
      <c r="O99" s="173">
        <v>7</v>
      </c>
      <c r="P99" s="234">
        <f ca="1">OFFSET($A$1,MATCH(Z94,$A:$A,0)-1,O99)</f>
        <v>8.1</v>
      </c>
      <c r="Q99" s="144" t="s">
        <v>29</v>
      </c>
      <c r="R99" s="118">
        <f t="shared" ca="1" si="24"/>
        <v>235459</v>
      </c>
      <c r="S99" s="118">
        <f t="shared" ca="1" si="24"/>
        <v>1907217</v>
      </c>
      <c r="T99" s="118">
        <f ca="1">초급</f>
        <v>235459</v>
      </c>
      <c r="U99" s="118">
        <f t="shared" ca="1" si="25"/>
        <v>1907217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319" t="s">
        <v>42</v>
      </c>
      <c r="O100" s="174">
        <v>8</v>
      </c>
      <c r="P100" s="235">
        <f ca="1">OFFSET($A$1,MATCH(Z94,$A:$A,0)-1,O100)</f>
        <v>0</v>
      </c>
      <c r="Q100" s="322" t="s">
        <v>29</v>
      </c>
      <c r="R100" s="323">
        <f t="shared" ca="1" si="24"/>
        <v>250087</v>
      </c>
      <c r="S100" s="323">
        <f t="shared" ca="1" si="24"/>
        <v>0</v>
      </c>
      <c r="T100" s="323">
        <f ca="1">보조원</f>
        <v>250087</v>
      </c>
      <c r="U100" s="323">
        <f t="shared" ca="1" si="25"/>
        <v>0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N101" s="139" t="s">
        <v>17</v>
      </c>
      <c r="O101" s="68"/>
      <c r="P101" s="69"/>
      <c r="Q101" s="70"/>
      <c r="R101" s="71"/>
      <c r="S101" s="71">
        <f ca="1">SUBTOTAL(9,S95:S100)</f>
        <v>5442795</v>
      </c>
      <c r="T101" s="71"/>
      <c r="U101" s="71">
        <f ca="1">SUBTOTAL(9,U95:U100)</f>
        <v>5442795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N102" s="318" t="str">
        <f ca="1">"제 " &amp; Z102 &amp; " 호표  "&amp; OFFSET($A$1,MATCH(Z102,$A:$A,0)-1,1)</f>
        <v>제 7 호표  3.5. 주변유해환경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7</v>
      </c>
    </row>
    <row r="103" spans="11:26" ht="18" customHeight="1">
      <c r="K103" s="171" t="s">
        <v>14</v>
      </c>
      <c r="L103" s="171"/>
      <c r="N103" s="140" t="s">
        <v>43</v>
      </c>
      <c r="O103" s="172">
        <v>3</v>
      </c>
      <c r="P103" s="219">
        <f ca="1">OFFSET($A$1,MATCH(Z102,$A:$A,0)-1,O103)</f>
        <v>0</v>
      </c>
      <c r="Q103" s="141" t="s">
        <v>29</v>
      </c>
      <c r="R103" s="142">
        <f t="shared" ref="R103:S108" ca="1" si="26">T103</f>
        <v>467217</v>
      </c>
      <c r="S103" s="142">
        <f t="shared" ca="1" si="26"/>
        <v>0</v>
      </c>
      <c r="T103" s="142">
        <f ca="1">기술사</f>
        <v>467217</v>
      </c>
      <c r="U103" s="142">
        <f t="shared" ref="U103:U108" ca="1" si="27">ROUNDDOWN(P103*R103,0)</f>
        <v>0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N104" s="143" t="s">
        <v>32</v>
      </c>
      <c r="O104" s="173">
        <v>4</v>
      </c>
      <c r="P104" s="234">
        <f ca="1">OFFSET($A$1,MATCH(Z102,$A:$A,0)-1,O104)</f>
        <v>0.1</v>
      </c>
      <c r="Q104" s="144" t="s">
        <v>29</v>
      </c>
      <c r="R104" s="118">
        <f t="shared" ca="1" si="26"/>
        <v>373353</v>
      </c>
      <c r="S104" s="118">
        <f t="shared" ca="1" si="26"/>
        <v>37335</v>
      </c>
      <c r="T104" s="118">
        <f ca="1">특급</f>
        <v>373353</v>
      </c>
      <c r="U104" s="118">
        <f t="shared" ca="1" si="27"/>
        <v>37335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39</v>
      </c>
      <c r="O105" s="173">
        <v>5</v>
      </c>
      <c r="P105" s="234">
        <f ca="1">OFFSET($A$1,MATCH(Z102,$A:$A,0)-1,O105)</f>
        <v>0.3</v>
      </c>
      <c r="Q105" s="144" t="s">
        <v>29</v>
      </c>
      <c r="R105" s="118">
        <f t="shared" ca="1" si="26"/>
        <v>310884</v>
      </c>
      <c r="S105" s="118">
        <f t="shared" ca="1" si="26"/>
        <v>93265</v>
      </c>
      <c r="T105" s="118">
        <f ca="1">고급</f>
        <v>310884</v>
      </c>
      <c r="U105" s="118">
        <f t="shared" ca="1" si="27"/>
        <v>93265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40</v>
      </c>
      <c r="O106" s="173">
        <v>6</v>
      </c>
      <c r="P106" s="234">
        <f ca="1">OFFSET($A$1,MATCH(Z102,$A:$A,0)-1,O106)</f>
        <v>0.7</v>
      </c>
      <c r="Q106" s="144" t="s">
        <v>29</v>
      </c>
      <c r="R106" s="118">
        <f t="shared" ca="1" si="26"/>
        <v>295138</v>
      </c>
      <c r="S106" s="118">
        <f t="shared" ca="1" si="26"/>
        <v>206596</v>
      </c>
      <c r="T106" s="118">
        <f ca="1">중급</f>
        <v>295138</v>
      </c>
      <c r="U106" s="118">
        <f t="shared" ca="1" si="27"/>
        <v>206596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41</v>
      </c>
      <c r="O107" s="173">
        <v>7</v>
      </c>
      <c r="P107" s="234">
        <f ca="1">OFFSET($A$1,MATCH(Z102,$A:$A,0)-1,O107)</f>
        <v>1.1000000000000001</v>
      </c>
      <c r="Q107" s="144" t="s">
        <v>29</v>
      </c>
      <c r="R107" s="118">
        <f t="shared" ca="1" si="26"/>
        <v>235459</v>
      </c>
      <c r="S107" s="118">
        <f t="shared" ca="1" si="26"/>
        <v>259004</v>
      </c>
      <c r="T107" s="118">
        <f ca="1">초급</f>
        <v>235459</v>
      </c>
      <c r="U107" s="118">
        <f t="shared" ca="1" si="27"/>
        <v>259004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319" t="s">
        <v>42</v>
      </c>
      <c r="O108" s="174">
        <v>8</v>
      </c>
      <c r="P108" s="235">
        <f ca="1">OFFSET($A$1,MATCH(Z102,$A:$A,0)-1,O108)</f>
        <v>0</v>
      </c>
      <c r="Q108" s="322" t="s">
        <v>29</v>
      </c>
      <c r="R108" s="323">
        <f t="shared" ca="1" si="26"/>
        <v>250087</v>
      </c>
      <c r="S108" s="323">
        <f t="shared" ca="1" si="26"/>
        <v>0</v>
      </c>
      <c r="T108" s="323">
        <f ca="1">보조원</f>
        <v>250087</v>
      </c>
      <c r="U108" s="323">
        <f t="shared" ca="1" si="27"/>
        <v>0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N109" s="139" t="s">
        <v>17</v>
      </c>
      <c r="O109" s="68"/>
      <c r="P109" s="69"/>
      <c r="Q109" s="70"/>
      <c r="R109" s="71"/>
      <c r="S109" s="71">
        <f ca="1">SUBTOTAL(9,S103:S108)</f>
        <v>596200</v>
      </c>
      <c r="T109" s="71"/>
      <c r="U109" s="71">
        <f ca="1">SUBTOTAL(9,U103:U108)</f>
        <v>596200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N110" s="318" t="str">
        <f ca="1">"제 " &amp; Z110 &amp; " 호표  "&amp; OFFSET($A$1,MATCH(Z110,$A:$A,0)-1,1)</f>
        <v>제 8 호표  3.6. 공공시설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8</v>
      </c>
    </row>
    <row r="111" spans="11:26" ht="18" customHeight="1">
      <c r="K111" s="171" t="s">
        <v>14</v>
      </c>
      <c r="L111" s="171"/>
      <c r="N111" s="140" t="s">
        <v>43</v>
      </c>
      <c r="O111" s="172">
        <v>3</v>
      </c>
      <c r="P111" s="219">
        <f ca="1">OFFSET($A$1,MATCH(Z110,$A:$A,0)-1,O111)</f>
        <v>0</v>
      </c>
      <c r="Q111" s="141" t="s">
        <v>29</v>
      </c>
      <c r="R111" s="142">
        <f t="shared" ref="R111:S116" ca="1" si="28">T111</f>
        <v>467217</v>
      </c>
      <c r="S111" s="142">
        <f t="shared" ca="1" si="28"/>
        <v>0</v>
      </c>
      <c r="T111" s="142">
        <f ca="1">기술사</f>
        <v>467217</v>
      </c>
      <c r="U111" s="142">
        <f t="shared" ref="U111:U116" ca="1" si="29">ROUNDDOWN(P111*R111,0)</f>
        <v>0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N112" s="143" t="s">
        <v>32</v>
      </c>
      <c r="O112" s="173">
        <v>4</v>
      </c>
      <c r="P112" s="234">
        <f ca="1">OFFSET($A$1,MATCH(Z110,$A:$A,0)-1,O112)</f>
        <v>0.1</v>
      </c>
      <c r="Q112" s="144" t="s">
        <v>29</v>
      </c>
      <c r="R112" s="118">
        <f t="shared" ca="1" si="28"/>
        <v>373353</v>
      </c>
      <c r="S112" s="118">
        <f t="shared" ca="1" si="28"/>
        <v>37335</v>
      </c>
      <c r="T112" s="118">
        <f ca="1">특급</f>
        <v>373353</v>
      </c>
      <c r="U112" s="118">
        <f t="shared" ca="1" si="29"/>
        <v>37335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39</v>
      </c>
      <c r="O113" s="173">
        <v>5</v>
      </c>
      <c r="P113" s="234">
        <f ca="1">OFFSET($A$1,MATCH(Z110,$A:$A,0)-1,O113)</f>
        <v>0.3</v>
      </c>
      <c r="Q113" s="144" t="s">
        <v>29</v>
      </c>
      <c r="R113" s="118">
        <f t="shared" ca="1" si="28"/>
        <v>310884</v>
      </c>
      <c r="S113" s="118">
        <f t="shared" ca="1" si="28"/>
        <v>93265</v>
      </c>
      <c r="T113" s="118">
        <f ca="1">고급</f>
        <v>310884</v>
      </c>
      <c r="U113" s="118">
        <f t="shared" ca="1" si="29"/>
        <v>93265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40</v>
      </c>
      <c r="O114" s="173">
        <v>6</v>
      </c>
      <c r="P114" s="234">
        <f ca="1">OFFSET($A$1,MATCH(Z110,$A:$A,0)-1,O114)</f>
        <v>0.7</v>
      </c>
      <c r="Q114" s="144" t="s">
        <v>29</v>
      </c>
      <c r="R114" s="118">
        <f t="shared" ca="1" si="28"/>
        <v>295138</v>
      </c>
      <c r="S114" s="118">
        <f t="shared" ca="1" si="28"/>
        <v>206596</v>
      </c>
      <c r="T114" s="118">
        <f ca="1">중급</f>
        <v>295138</v>
      </c>
      <c r="U114" s="118">
        <f t="shared" ca="1" si="29"/>
        <v>206596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41</v>
      </c>
      <c r="O115" s="173">
        <v>7</v>
      </c>
      <c r="P115" s="234">
        <f ca="1">OFFSET($A$1,MATCH(Z110,$A:$A,0)-1,O115)</f>
        <v>1.1000000000000001</v>
      </c>
      <c r="Q115" s="144" t="s">
        <v>29</v>
      </c>
      <c r="R115" s="118">
        <f t="shared" ca="1" si="28"/>
        <v>235459</v>
      </c>
      <c r="S115" s="118">
        <f t="shared" ca="1" si="28"/>
        <v>259004</v>
      </c>
      <c r="T115" s="118">
        <f ca="1">초급</f>
        <v>235459</v>
      </c>
      <c r="U115" s="118">
        <f t="shared" ca="1" si="29"/>
        <v>259004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319" t="s">
        <v>42</v>
      </c>
      <c r="O116" s="174">
        <v>8</v>
      </c>
      <c r="P116" s="235">
        <f ca="1">OFFSET($A$1,MATCH(Z110,$A:$A,0)-1,O116)</f>
        <v>0</v>
      </c>
      <c r="Q116" s="322" t="s">
        <v>29</v>
      </c>
      <c r="R116" s="323">
        <f t="shared" ca="1" si="28"/>
        <v>250087</v>
      </c>
      <c r="S116" s="323">
        <f t="shared" ca="1" si="28"/>
        <v>0</v>
      </c>
      <c r="T116" s="323">
        <f ca="1">보조원</f>
        <v>250087</v>
      </c>
      <c r="U116" s="323">
        <f t="shared" ca="1" si="29"/>
        <v>0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N117" s="139" t="s">
        <v>17</v>
      </c>
      <c r="O117" s="68"/>
      <c r="P117" s="69"/>
      <c r="Q117" s="70"/>
      <c r="R117" s="71"/>
      <c r="S117" s="71">
        <f ca="1">SUBTOTAL(9,S111:S116)</f>
        <v>596200</v>
      </c>
      <c r="T117" s="71"/>
      <c r="U117" s="71">
        <f ca="1">SUBTOTAL(9,U111:U116)</f>
        <v>596200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N118" s="318" t="str">
        <f ca="1">"제 " &amp; Z118 &amp; " 호표  "&amp; OFFSET($A$1,MATCH(Z118,$A:$A,0)-1,1)</f>
        <v>제 9 호표  4.1. 종합평가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9</v>
      </c>
    </row>
    <row r="119" spans="11:26" ht="18" customHeight="1">
      <c r="K119" s="171" t="s">
        <v>14</v>
      </c>
      <c r="L119" s="171"/>
      <c r="N119" s="140" t="s">
        <v>43</v>
      </c>
      <c r="O119" s="172">
        <v>3</v>
      </c>
      <c r="P119" s="219">
        <f ca="1">OFFSET($A$1,MATCH(Z118,$A:$A,0)-1,O119)</f>
        <v>0</v>
      </c>
      <c r="Q119" s="141" t="s">
        <v>29</v>
      </c>
      <c r="R119" s="142">
        <f t="shared" ref="R119:S124" ca="1" si="30">T119</f>
        <v>467217</v>
      </c>
      <c r="S119" s="142">
        <f t="shared" ca="1" si="30"/>
        <v>0</v>
      </c>
      <c r="T119" s="142">
        <f ca="1">기술사</f>
        <v>467217</v>
      </c>
      <c r="U119" s="142">
        <f t="shared" ref="U119:U124" ca="1" si="31">ROUNDDOWN(P119*R119,0)</f>
        <v>0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N120" s="143" t="s">
        <v>32</v>
      </c>
      <c r="O120" s="173">
        <v>4</v>
      </c>
      <c r="P120" s="234">
        <f ca="1">OFFSET($A$1,MATCH(Z118,$A:$A,0)-1,O120)</f>
        <v>0.2</v>
      </c>
      <c r="Q120" s="144" t="s">
        <v>29</v>
      </c>
      <c r="R120" s="118">
        <f t="shared" ca="1" si="30"/>
        <v>373353</v>
      </c>
      <c r="S120" s="118">
        <f t="shared" ca="1" si="30"/>
        <v>74670</v>
      </c>
      <c r="T120" s="118">
        <f ca="1">특급</f>
        <v>373353</v>
      </c>
      <c r="U120" s="118">
        <f t="shared" ca="1" si="31"/>
        <v>74670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39</v>
      </c>
      <c r="O121" s="173">
        <v>5</v>
      </c>
      <c r="P121" s="234">
        <f ca="1">OFFSET($A$1,MATCH(Z118,$A:$A,0)-1,O121)</f>
        <v>0.2</v>
      </c>
      <c r="Q121" s="144" t="s">
        <v>29</v>
      </c>
      <c r="R121" s="118">
        <f t="shared" ca="1" si="30"/>
        <v>310884</v>
      </c>
      <c r="S121" s="118">
        <f t="shared" ca="1" si="30"/>
        <v>62176</v>
      </c>
      <c r="T121" s="118">
        <f ca="1">고급</f>
        <v>310884</v>
      </c>
      <c r="U121" s="118">
        <f t="shared" ca="1" si="31"/>
        <v>62176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40</v>
      </c>
      <c r="O122" s="173">
        <v>6</v>
      </c>
      <c r="P122" s="234">
        <f ca="1">OFFSET($A$1,MATCH(Z118,$A:$A,0)-1,O122)</f>
        <v>0.3</v>
      </c>
      <c r="Q122" s="144" t="s">
        <v>29</v>
      </c>
      <c r="R122" s="118">
        <f t="shared" ca="1" si="30"/>
        <v>295138</v>
      </c>
      <c r="S122" s="118">
        <f t="shared" ca="1" si="30"/>
        <v>88541</v>
      </c>
      <c r="T122" s="118">
        <f ca="1">중급</f>
        <v>295138</v>
      </c>
      <c r="U122" s="118">
        <f t="shared" ca="1" si="31"/>
        <v>88541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41</v>
      </c>
      <c r="O123" s="173">
        <v>7</v>
      </c>
      <c r="P123" s="234">
        <f ca="1">OFFSET($A$1,MATCH(Z118,$A:$A,0)-1,O123)</f>
        <v>0.2</v>
      </c>
      <c r="Q123" s="144" t="s">
        <v>29</v>
      </c>
      <c r="R123" s="118">
        <f t="shared" ca="1" si="30"/>
        <v>235459</v>
      </c>
      <c r="S123" s="118">
        <f t="shared" ca="1" si="30"/>
        <v>47091</v>
      </c>
      <c r="T123" s="118">
        <f ca="1">초급</f>
        <v>235459</v>
      </c>
      <c r="U123" s="118">
        <f t="shared" ca="1" si="31"/>
        <v>47091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319" t="s">
        <v>42</v>
      </c>
      <c r="O124" s="174">
        <v>8</v>
      </c>
      <c r="P124" s="235">
        <f ca="1">OFFSET($A$1,MATCH(Z118,$A:$A,0)-1,O124)</f>
        <v>0</v>
      </c>
      <c r="Q124" s="322" t="s">
        <v>29</v>
      </c>
      <c r="R124" s="323">
        <f t="shared" ca="1" si="30"/>
        <v>250087</v>
      </c>
      <c r="S124" s="323">
        <f t="shared" ca="1" si="30"/>
        <v>0</v>
      </c>
      <c r="T124" s="323">
        <f ca="1">보조원</f>
        <v>250087</v>
      </c>
      <c r="U124" s="323">
        <f t="shared" ca="1" si="31"/>
        <v>0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N125" s="139" t="s">
        <v>17</v>
      </c>
      <c r="O125" s="68"/>
      <c r="P125" s="69"/>
      <c r="Q125" s="70"/>
      <c r="R125" s="71"/>
      <c r="S125" s="71">
        <f ca="1">SUBTOTAL(9,S119:S124)</f>
        <v>272478</v>
      </c>
      <c r="T125" s="71"/>
      <c r="U125" s="71">
        <f ca="1">SUBTOTAL(9,U119:U124)</f>
        <v>272478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N126" s="318" t="str">
        <f ca="1">"제 " &amp; Z126 &amp; " 호표  "&amp; OFFSET($A$1,MATCH(Z126,$A:$A,0)-1,1)</f>
        <v>제 10 호표  5.1. 성과품 작성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10</v>
      </c>
    </row>
    <row r="127" spans="11:26" ht="18" customHeight="1">
      <c r="K127" s="171" t="s">
        <v>14</v>
      </c>
      <c r="L127" s="171"/>
      <c r="N127" s="140" t="s">
        <v>43</v>
      </c>
      <c r="O127" s="172">
        <v>3</v>
      </c>
      <c r="P127" s="219">
        <f ca="1">OFFSET($A$1,MATCH(Z126,$A:$A,0)-1,O127)</f>
        <v>0</v>
      </c>
      <c r="Q127" s="141" t="s">
        <v>29</v>
      </c>
      <c r="R127" s="142">
        <f t="shared" ref="R127:S132" ca="1" si="32">T127</f>
        <v>467217</v>
      </c>
      <c r="S127" s="142">
        <f t="shared" ca="1" si="32"/>
        <v>0</v>
      </c>
      <c r="T127" s="142">
        <f ca="1">기술사</f>
        <v>467217</v>
      </c>
      <c r="U127" s="142">
        <f t="shared" ref="U127:U132" ca="1" si="33">ROUNDDOWN(P127*R127,0)</f>
        <v>0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N128" s="143" t="s">
        <v>32</v>
      </c>
      <c r="O128" s="173">
        <v>4</v>
      </c>
      <c r="P128" s="234">
        <f ca="1">OFFSET($A$1,MATCH(Z126,$A:$A,0)-1,O128)</f>
        <v>0.1</v>
      </c>
      <c r="Q128" s="144" t="s">
        <v>29</v>
      </c>
      <c r="R128" s="118">
        <f t="shared" ca="1" si="32"/>
        <v>373353</v>
      </c>
      <c r="S128" s="118">
        <f t="shared" ca="1" si="32"/>
        <v>37335</v>
      </c>
      <c r="T128" s="118">
        <f ca="1">특급</f>
        <v>373353</v>
      </c>
      <c r="U128" s="118">
        <f t="shared" ca="1" si="33"/>
        <v>37335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39</v>
      </c>
      <c r="O129" s="173">
        <v>5</v>
      </c>
      <c r="P129" s="234">
        <f ca="1">OFFSET($A$1,MATCH(Z126,$A:$A,0)-1,O129)</f>
        <v>0.2</v>
      </c>
      <c r="Q129" s="144" t="s">
        <v>29</v>
      </c>
      <c r="R129" s="118">
        <f t="shared" ca="1" si="32"/>
        <v>310884</v>
      </c>
      <c r="S129" s="118">
        <f t="shared" ca="1" si="32"/>
        <v>62176</v>
      </c>
      <c r="T129" s="118">
        <f ca="1">고급</f>
        <v>310884</v>
      </c>
      <c r="U129" s="118">
        <f t="shared" ca="1" si="33"/>
        <v>62176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145" t="s">
        <v>40</v>
      </c>
      <c r="O130" s="173">
        <v>6</v>
      </c>
      <c r="P130" s="234">
        <f ca="1">OFFSET($A$1,MATCH(Z126,$A:$A,0)-1,O130)</f>
        <v>0.2</v>
      </c>
      <c r="Q130" s="144" t="s">
        <v>29</v>
      </c>
      <c r="R130" s="118">
        <f t="shared" ca="1" si="32"/>
        <v>295138</v>
      </c>
      <c r="S130" s="118">
        <f t="shared" ca="1" si="32"/>
        <v>59027</v>
      </c>
      <c r="T130" s="118">
        <f ca="1">중급</f>
        <v>295138</v>
      </c>
      <c r="U130" s="118">
        <f t="shared" ca="1" si="33"/>
        <v>59027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145" t="s">
        <v>41</v>
      </c>
      <c r="O131" s="173">
        <v>7</v>
      </c>
      <c r="P131" s="234">
        <f ca="1">OFFSET($A$1,MATCH(Z126,$A:$A,0)-1,O131)</f>
        <v>0.5</v>
      </c>
      <c r="Q131" s="144" t="s">
        <v>29</v>
      </c>
      <c r="R131" s="118">
        <f t="shared" ca="1" si="32"/>
        <v>235459</v>
      </c>
      <c r="S131" s="118">
        <f t="shared" ca="1" si="32"/>
        <v>117729</v>
      </c>
      <c r="T131" s="118">
        <f ca="1">초급</f>
        <v>235459</v>
      </c>
      <c r="U131" s="118">
        <f t="shared" ca="1" si="33"/>
        <v>117729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N132" s="319" t="s">
        <v>42</v>
      </c>
      <c r="O132" s="174">
        <v>8</v>
      </c>
      <c r="P132" s="235">
        <f ca="1">OFFSET($A$1,MATCH(Z126,$A:$A,0)-1,O132)</f>
        <v>0</v>
      </c>
      <c r="Q132" s="322" t="s">
        <v>29</v>
      </c>
      <c r="R132" s="323">
        <f t="shared" ca="1" si="32"/>
        <v>250087</v>
      </c>
      <c r="S132" s="323">
        <f t="shared" ca="1" si="32"/>
        <v>0</v>
      </c>
      <c r="T132" s="323">
        <f ca="1">보조원</f>
        <v>250087</v>
      </c>
      <c r="U132" s="323">
        <f t="shared" ca="1" si="33"/>
        <v>0</v>
      </c>
      <c r="V132" s="323"/>
      <c r="W132" s="323"/>
      <c r="X132" s="323"/>
      <c r="Y132" s="323"/>
      <c r="Z132" s="324"/>
    </row>
    <row r="133" spans="11:26" ht="18" customHeight="1">
      <c r="K133" s="171" t="s">
        <v>14</v>
      </c>
      <c r="L133" s="171"/>
      <c r="M133" s="171"/>
      <c r="N133" s="139" t="s">
        <v>17</v>
      </c>
      <c r="O133" s="68"/>
      <c r="P133" s="69"/>
      <c r="Q133" s="70"/>
      <c r="R133" s="71"/>
      <c r="S133" s="71">
        <f ca="1">SUBTOTAL(9,S127:S132)</f>
        <v>276267</v>
      </c>
      <c r="T133" s="71"/>
      <c r="U133" s="71">
        <f ca="1">SUBTOTAL(9,U127:U132)</f>
        <v>276267</v>
      </c>
      <c r="V133" s="71"/>
      <c r="W133" s="71"/>
      <c r="X133" s="71"/>
      <c r="Y133" s="71"/>
      <c r="Z133" s="68"/>
    </row>
    <row r="134" spans="11:26" ht="18" customHeight="1">
      <c r="K134" s="171" t="s">
        <v>14</v>
      </c>
      <c r="L134" s="171"/>
      <c r="M134" s="171"/>
      <c r="N134" s="318" t="str">
        <f ca="1">"제 " &amp; Z134 &amp; " 호표  "&amp; OFFSET($A$1,MATCH(Z134,$A:$A,0)-1,1)</f>
        <v>제 11 호표  6.1. 관계기관 협의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11</v>
      </c>
    </row>
    <row r="135" spans="11:26" ht="18" customHeight="1">
      <c r="K135" s="171" t="s">
        <v>14</v>
      </c>
      <c r="L135" s="171"/>
      <c r="M135" s="171"/>
      <c r="N135" s="140" t="s">
        <v>43</v>
      </c>
      <c r="O135" s="172">
        <v>3</v>
      </c>
      <c r="P135" s="219">
        <f ca="1">OFFSET($A$1,MATCH(Z134,$A:$A,0)-1,O135)</f>
        <v>0</v>
      </c>
      <c r="Q135" s="141" t="s">
        <v>29</v>
      </c>
      <c r="R135" s="142">
        <f t="shared" ref="R135:S140" ca="1" si="34">T135</f>
        <v>467217</v>
      </c>
      <c r="S135" s="142">
        <f t="shared" ca="1" si="34"/>
        <v>0</v>
      </c>
      <c r="T135" s="142">
        <f ca="1">기술사</f>
        <v>467217</v>
      </c>
      <c r="U135" s="142">
        <f t="shared" ref="U135:U140" ca="1" si="35">ROUNDDOWN(P135*R135,0)</f>
        <v>0</v>
      </c>
      <c r="V135" s="142"/>
      <c r="W135" s="142"/>
      <c r="X135" s="142"/>
      <c r="Y135" s="142"/>
      <c r="Z135" s="114"/>
    </row>
    <row r="136" spans="11:26" ht="18" customHeight="1">
      <c r="K136" s="171" t="s">
        <v>14</v>
      </c>
      <c r="L136" s="171"/>
      <c r="M136" s="171"/>
      <c r="N136" s="143" t="s">
        <v>32</v>
      </c>
      <c r="O136" s="173">
        <v>4</v>
      </c>
      <c r="P136" s="234">
        <f ca="1">OFFSET($A$1,MATCH(Z134,$A:$A,0)-1,O136)</f>
        <v>2</v>
      </c>
      <c r="Q136" s="144" t="s">
        <v>29</v>
      </c>
      <c r="R136" s="118">
        <f t="shared" ca="1" si="34"/>
        <v>373353</v>
      </c>
      <c r="S136" s="118">
        <f t="shared" ca="1" si="34"/>
        <v>746706</v>
      </c>
      <c r="T136" s="118">
        <f ca="1">특급</f>
        <v>373353</v>
      </c>
      <c r="U136" s="118">
        <f t="shared" ca="1" si="35"/>
        <v>746706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39</v>
      </c>
      <c r="O137" s="173">
        <v>5</v>
      </c>
      <c r="P137" s="234">
        <f ca="1">OFFSET($A$1,MATCH(Z134,$A:$A,0)-1,O137)</f>
        <v>2</v>
      </c>
      <c r="Q137" s="144" t="s">
        <v>29</v>
      </c>
      <c r="R137" s="118">
        <f t="shared" ca="1" si="34"/>
        <v>310884</v>
      </c>
      <c r="S137" s="118">
        <f t="shared" ca="1" si="34"/>
        <v>621768</v>
      </c>
      <c r="T137" s="118">
        <f ca="1">고급</f>
        <v>310884</v>
      </c>
      <c r="U137" s="118">
        <f t="shared" ca="1" si="35"/>
        <v>621768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40</v>
      </c>
      <c r="O138" s="173">
        <v>6</v>
      </c>
      <c r="P138" s="234">
        <f ca="1">OFFSET($A$1,MATCH(Z134,$A:$A,0)-1,O138)</f>
        <v>4</v>
      </c>
      <c r="Q138" s="144" t="s">
        <v>29</v>
      </c>
      <c r="R138" s="118">
        <f t="shared" ca="1" si="34"/>
        <v>295138</v>
      </c>
      <c r="S138" s="118">
        <f t="shared" ca="1" si="34"/>
        <v>1180552</v>
      </c>
      <c r="T138" s="118">
        <f ca="1">중급</f>
        <v>295138</v>
      </c>
      <c r="U138" s="118">
        <f t="shared" ca="1" si="35"/>
        <v>1180552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41</v>
      </c>
      <c r="O139" s="173">
        <v>7</v>
      </c>
      <c r="P139" s="234">
        <f ca="1">OFFSET($A$1,MATCH(Z134,$A:$A,0)-1,O139)</f>
        <v>4</v>
      </c>
      <c r="Q139" s="144" t="s">
        <v>29</v>
      </c>
      <c r="R139" s="118">
        <f t="shared" ca="1" si="34"/>
        <v>235459</v>
      </c>
      <c r="S139" s="118">
        <f t="shared" ca="1" si="34"/>
        <v>941836</v>
      </c>
      <c r="T139" s="118">
        <f ca="1">초급</f>
        <v>235459</v>
      </c>
      <c r="U139" s="118">
        <f t="shared" ca="1" si="35"/>
        <v>941836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319" t="s">
        <v>42</v>
      </c>
      <c r="O140" s="174">
        <v>8</v>
      </c>
      <c r="P140" s="235">
        <f ca="1">OFFSET($A$1,MATCH(Z134,$A:$A,0)-1,O140)</f>
        <v>0</v>
      </c>
      <c r="Q140" s="322" t="s">
        <v>29</v>
      </c>
      <c r="R140" s="323">
        <f t="shared" ca="1" si="34"/>
        <v>250087</v>
      </c>
      <c r="S140" s="323">
        <f t="shared" ca="1" si="34"/>
        <v>0</v>
      </c>
      <c r="T140" s="323">
        <f ca="1">보조원</f>
        <v>250087</v>
      </c>
      <c r="U140" s="323">
        <f t="shared" ca="1" si="35"/>
        <v>0</v>
      </c>
      <c r="V140" s="323"/>
      <c r="W140" s="323"/>
      <c r="X140" s="323"/>
      <c r="Y140" s="323"/>
      <c r="Z140" s="324"/>
    </row>
    <row r="141" spans="11:26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3490862</v>
      </c>
      <c r="T141" s="71"/>
      <c r="U141" s="71">
        <f ca="1">SUBTOTAL(9,U135:U140)</f>
        <v>3490862</v>
      </c>
      <c r="V141" s="71"/>
      <c r="W141" s="71"/>
      <c r="X141" s="71"/>
      <c r="Y141" s="71"/>
      <c r="Z141" s="68"/>
    </row>
    <row r="142" spans="11:26" ht="18" customHeight="1">
      <c r="K142" s="171" t="s">
        <v>14</v>
      </c>
      <c r="L142" s="171"/>
      <c r="M142" s="171"/>
    </row>
    <row r="143" spans="11:26" ht="18" customHeight="1">
      <c r="K143" s="171" t="s">
        <v>14</v>
      </c>
      <c r="L143" s="171"/>
      <c r="M143" s="171"/>
    </row>
    <row r="144" spans="11:26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L818" s="171"/>
      <c r="M818" s="171"/>
    </row>
    <row r="819" spans="11:13" ht="18" customHeight="1">
      <c r="L819" s="171"/>
      <c r="M819" s="171"/>
    </row>
    <row r="820" spans="11:13" ht="18" customHeight="1">
      <c r="L820" s="171"/>
      <c r="M820" s="171"/>
    </row>
    <row r="821" spans="11:13" ht="18" customHeight="1">
      <c r="M821" s="171"/>
    </row>
  </sheetData>
  <mergeCells count="19">
    <mergeCell ref="B3:C3"/>
    <mergeCell ref="D3:E3"/>
    <mergeCell ref="B4:C4"/>
    <mergeCell ref="D4:E4"/>
    <mergeCell ref="B5:C5"/>
    <mergeCell ref="D5:E5"/>
    <mergeCell ref="N52:N53"/>
    <mergeCell ref="O52:O53"/>
    <mergeCell ref="Q52:Q53"/>
    <mergeCell ref="Z52:Z53"/>
    <mergeCell ref="B16:C17"/>
    <mergeCell ref="J16:J17"/>
    <mergeCell ref="L16:L17"/>
    <mergeCell ref="P52:P53"/>
    <mergeCell ref="G3:H3"/>
    <mergeCell ref="G4:H4"/>
    <mergeCell ref="G5:H5"/>
    <mergeCell ref="J45:J46"/>
    <mergeCell ref="J41:J42"/>
  </mergeCells>
  <phoneticPr fontId="14" type="noConversion"/>
  <conditionalFormatting sqref="V18:V35">
    <cfRule type="cellIs" dxfId="28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8" min="13" max="28" man="1"/>
    <brk id="79" min="13" max="28" man="1"/>
  </rowBreaks>
  <ignoredErrors>
    <ignoredError sqref="W30" formula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8">
    <tabColor rgb="FFFFFF00"/>
    <pageSetUpPr fitToPage="1"/>
  </sheetPr>
  <dimension ref="A1:AC774"/>
  <sheetViews>
    <sheetView showGridLines="0" zoomScale="85" zoomScaleNormal="85" zoomScaleSheetLayoutView="75" workbookViewId="0">
      <selection activeCell="P4" sqref="P4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2519</v>
      </c>
      <c r="Z1" s="391" t="s">
        <v>2486</v>
      </c>
    </row>
    <row r="2" spans="1:26" ht="19.5" thickBot="1">
      <c r="B2" s="66" t="s">
        <v>2522</v>
      </c>
      <c r="Z2" s="391" t="s">
        <v>2487</v>
      </c>
    </row>
    <row r="3" spans="1:26" ht="18" customHeight="1">
      <c r="B3" s="773" t="s">
        <v>48</v>
      </c>
      <c r="C3" s="774"/>
      <c r="D3" s="775">
        <v>10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Z3" s="391" t="s">
        <v>2488</v>
      </c>
    </row>
    <row r="4" spans="1:26" ht="18" customHeight="1">
      <c r="B4" s="777" t="s">
        <v>54</v>
      </c>
      <c r="C4" s="778"/>
      <c r="D4" s="779">
        <v>99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B5" s="777" t="s">
        <v>2489</v>
      </c>
      <c r="C5" s="814"/>
      <c r="D5" s="859">
        <f>ROUND((IF(D4&lt;=5,5,D4)/D3)^0.6,2)</f>
        <v>3.96</v>
      </c>
      <c r="E5" s="860"/>
      <c r="F5" s="217"/>
      <c r="G5" s="817" t="s">
        <v>1102</v>
      </c>
      <c r="H5" s="818"/>
      <c r="I5" s="746">
        <f>ROUND(I4/I3,3)</f>
        <v>1</v>
      </c>
      <c r="J5" s="671"/>
    </row>
    <row r="6" spans="1:26" ht="18" customHeight="1" thickBot="1">
      <c r="A6" s="358"/>
      <c r="B6" s="781" t="s">
        <v>2490</v>
      </c>
      <c r="C6" s="782"/>
      <c r="D6" s="857">
        <f>CHOOSE(F6,1,1.1,1.2)</f>
        <v>1</v>
      </c>
      <c r="E6" s="858"/>
      <c r="F6" s="621">
        <v>1</v>
      </c>
      <c r="G6" s="9" t="s">
        <v>1107</v>
      </c>
      <c r="J6" s="36"/>
      <c r="K6" s="6"/>
    </row>
    <row r="7" spans="1:26" ht="18" customHeight="1">
      <c r="B7" s="9" t="s">
        <v>2483</v>
      </c>
      <c r="C7" s="36"/>
      <c r="D7" s="36"/>
      <c r="E7" s="36"/>
      <c r="F7" s="36"/>
      <c r="G7" s="36"/>
      <c r="R7" s="1"/>
      <c r="S7" s="1"/>
      <c r="T7" s="1"/>
    </row>
    <row r="8" spans="1:26" ht="18" customHeight="1">
      <c r="B8" s="1" t="s">
        <v>2484</v>
      </c>
      <c r="G8" s="36"/>
      <c r="W8" s="188" t="s">
        <v>3</v>
      </c>
      <c r="X8" s="189"/>
    </row>
    <row r="9" spans="1:26" ht="18" customHeight="1">
      <c r="B9" s="1" t="s">
        <v>2485</v>
      </c>
      <c r="G9" s="36"/>
      <c r="W9" s="676"/>
      <c r="X9" s="676"/>
    </row>
    <row r="10" spans="1:26" ht="18" customHeight="1">
      <c r="G10" s="36"/>
      <c r="W10" s="676"/>
      <c r="X10" s="676"/>
    </row>
    <row r="11" spans="1:26" ht="18" customHeight="1">
      <c r="G11" s="36"/>
      <c r="W11" s="676"/>
      <c r="X11" s="676"/>
    </row>
    <row r="12" spans="1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1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SUBTOTAL(9,W14:W49)</f>
        <v>2746731615</v>
      </c>
      <c r="X13" s="187"/>
      <c r="Y13" s="177"/>
      <c r="Z13" s="167"/>
    </row>
    <row r="14" spans="1:26" ht="18" customHeight="1"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SUBTOTAL(9,W15:W46)</f>
        <v>987868199</v>
      </c>
      <c r="X14" s="164"/>
      <c r="Y14" s="178" t="s">
        <v>9</v>
      </c>
      <c r="Z14" s="179"/>
    </row>
    <row r="15" spans="1:26" ht="18" customHeight="1" thickBot="1">
      <c r="B15" s="759"/>
      <c r="C15" s="760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181"/>
      <c r="V15" s="218"/>
      <c r="W15" s="159">
        <f ca="1">SUBTOTAL(9,W16:W41)</f>
        <v>979868199</v>
      </c>
      <c r="X15" s="160"/>
      <c r="Y15" s="168"/>
      <c r="Z15" s="168"/>
    </row>
    <row r="16" spans="1:26" ht="18" customHeight="1">
      <c r="B16" s="225" t="s">
        <v>2491</v>
      </c>
      <c r="C16" s="72"/>
      <c r="D16" s="203">
        <f t="shared" ref="D16:I16" si="0">SUBTOTAL(9,D17:D19)</f>
        <v>1.6</v>
      </c>
      <c r="E16" s="204">
        <f t="shared" si="0"/>
        <v>5.4</v>
      </c>
      <c r="F16" s="204">
        <f t="shared" si="0"/>
        <v>11.8</v>
      </c>
      <c r="G16" s="204">
        <f t="shared" si="0"/>
        <v>16.3</v>
      </c>
      <c r="H16" s="204">
        <f t="shared" si="0"/>
        <v>22.1</v>
      </c>
      <c r="I16" s="205">
        <f t="shared" si="0"/>
        <v>12.899999999999999</v>
      </c>
      <c r="J16" s="654"/>
      <c r="L16" s="232"/>
      <c r="N16" s="294" t="str">
        <f>B16</f>
        <v>1. 조사분석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SUBTOTAL(9,W17:W19)</f>
        <v>77928072</v>
      </c>
      <c r="X16" s="194"/>
      <c r="Y16" s="170"/>
      <c r="Z16" s="170"/>
    </row>
    <row r="17" spans="2:26" ht="18" customHeight="1">
      <c r="B17" s="223" t="s">
        <v>1516</v>
      </c>
      <c r="C17" s="23"/>
      <c r="D17" s="197">
        <v>0.5</v>
      </c>
      <c r="E17" s="198">
        <v>1.6</v>
      </c>
      <c r="F17" s="198">
        <v>3.8</v>
      </c>
      <c r="G17" s="198">
        <v>5.0999999999999996</v>
      </c>
      <c r="H17" s="198">
        <v>6.9</v>
      </c>
      <c r="I17" s="199">
        <v>4.0999999999999996</v>
      </c>
      <c r="J17" s="389" t="s">
        <v>1926</v>
      </c>
      <c r="L17" s="233">
        <v>1</v>
      </c>
      <c r="N17" s="296" t="str">
        <f t="shared" ref="N17:N41" si="1">B17</f>
        <v>1.1. 자연환경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SUM((ROUNDDOWN((D44:I44)*단가,0)))</f>
        <v>24429244</v>
      </c>
      <c r="X17" s="154"/>
      <c r="Y17" s="150" t="str">
        <f>IF(A44&gt;0, "제 " &amp;A44&amp; " 호표","")</f>
        <v>제 1 호표</v>
      </c>
      <c r="Z17" s="150"/>
    </row>
    <row r="18" spans="2:26" ht="18" customHeight="1">
      <c r="B18" s="223" t="s">
        <v>2492</v>
      </c>
      <c r="C18" s="23"/>
      <c r="D18" s="197">
        <v>0.4</v>
      </c>
      <c r="E18" s="198">
        <v>1.7</v>
      </c>
      <c r="F18" s="198">
        <v>3.7</v>
      </c>
      <c r="G18" s="198">
        <v>5.4</v>
      </c>
      <c r="H18" s="198">
        <v>7.8</v>
      </c>
      <c r="I18" s="199">
        <v>4.5</v>
      </c>
      <c r="J18" s="389" t="s">
        <v>1925</v>
      </c>
      <c r="L18" s="233">
        <v>1</v>
      </c>
      <c r="N18" s="296" t="str">
        <f t="shared" si="1"/>
        <v>1.2. 인문환경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SUM((ROUNDDOWN((D45:I45)*단가,0)))</f>
        <v>25859712</v>
      </c>
      <c r="X18" s="154"/>
      <c r="Y18" s="150" t="str">
        <f t="shared" ref="Y18:Y41" si="2">IF(A45&gt;0, "제 " &amp;A45&amp; " 호표","")</f>
        <v>제 2 호표</v>
      </c>
      <c r="Z18" s="150"/>
    </row>
    <row r="19" spans="2:26" ht="18" customHeight="1">
      <c r="B19" s="223" t="s">
        <v>2493</v>
      </c>
      <c r="C19" s="23"/>
      <c r="D19" s="197">
        <v>0.7</v>
      </c>
      <c r="E19" s="198">
        <v>2.1</v>
      </c>
      <c r="F19" s="198">
        <v>4.3</v>
      </c>
      <c r="G19" s="198">
        <v>5.8</v>
      </c>
      <c r="H19" s="198">
        <v>7.4</v>
      </c>
      <c r="I19" s="199">
        <v>4.3</v>
      </c>
      <c r="J19" s="389" t="s">
        <v>1925</v>
      </c>
      <c r="L19" s="233">
        <v>1</v>
      </c>
      <c r="N19" s="296" t="str">
        <f t="shared" si="1"/>
        <v>1.3. 종합분석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SUM((ROUNDDOWN((D46:I46)*단가,0)))</f>
        <v>27639116</v>
      </c>
      <c r="X19" s="154"/>
      <c r="Y19" s="150" t="str">
        <f t="shared" si="2"/>
        <v>제 3 호표</v>
      </c>
      <c r="Z19" s="150"/>
    </row>
    <row r="20" spans="2:26" ht="18" customHeight="1">
      <c r="B20" s="222" t="s">
        <v>52</v>
      </c>
      <c r="C20" s="47"/>
      <c r="D20" s="48">
        <f t="shared" ref="D20:I20" si="3">SUBTOTAL(9,D21:D25)</f>
        <v>6.2</v>
      </c>
      <c r="E20" s="49">
        <f t="shared" si="3"/>
        <v>21.400000000000002</v>
      </c>
      <c r="F20" s="49">
        <f t="shared" si="3"/>
        <v>33.6</v>
      </c>
      <c r="G20" s="49">
        <f t="shared" si="3"/>
        <v>36.4</v>
      </c>
      <c r="H20" s="49">
        <f t="shared" si="3"/>
        <v>43.8</v>
      </c>
      <c r="I20" s="50">
        <f t="shared" si="3"/>
        <v>18.899999999999999</v>
      </c>
      <c r="J20" s="389"/>
      <c r="L20" s="233"/>
      <c r="N20" s="292" t="str">
        <f t="shared" si="1"/>
        <v>2. 기본구상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SUBTOTAL(9,W21:W25)</f>
        <v>468806195</v>
      </c>
      <c r="X20" s="196"/>
      <c r="Y20" s="150" t="str">
        <f t="shared" si="2"/>
        <v/>
      </c>
      <c r="Z20" s="150"/>
    </row>
    <row r="21" spans="2:26" ht="18" customHeight="1">
      <c r="B21" s="223" t="s">
        <v>2494</v>
      </c>
      <c r="C21" s="23"/>
      <c r="D21" s="197">
        <v>1.3</v>
      </c>
      <c r="E21" s="198">
        <v>3.7</v>
      </c>
      <c r="F21" s="198">
        <v>6.1</v>
      </c>
      <c r="G21" s="198">
        <v>6.5</v>
      </c>
      <c r="H21" s="198">
        <v>8.1</v>
      </c>
      <c r="I21" s="199">
        <v>3.8</v>
      </c>
      <c r="J21" s="389" t="s">
        <v>1925</v>
      </c>
      <c r="L21" s="233">
        <v>1</v>
      </c>
      <c r="N21" s="296" t="str">
        <f t="shared" si="1"/>
        <v>2.1. 개발방향설정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SUM((ROUNDDOWN((D51:I51)*단가,0)))</f>
        <v>38983518</v>
      </c>
      <c r="X21" s="154"/>
      <c r="Y21" s="150" t="str">
        <f t="shared" si="2"/>
        <v>제 4 호표</v>
      </c>
      <c r="Z21" s="150"/>
    </row>
    <row r="22" spans="2:26" ht="18" customHeight="1">
      <c r="B22" s="223" t="s">
        <v>2495</v>
      </c>
      <c r="C22" s="23"/>
      <c r="D22" s="197">
        <v>1.2</v>
      </c>
      <c r="E22" s="198">
        <v>4.0999999999999996</v>
      </c>
      <c r="F22" s="198">
        <v>6.2</v>
      </c>
      <c r="G22" s="198">
        <v>6.2</v>
      </c>
      <c r="H22" s="198">
        <v>7.7</v>
      </c>
      <c r="I22" s="199">
        <v>3.1</v>
      </c>
      <c r="J22" s="389" t="s">
        <v>1925</v>
      </c>
      <c r="L22" s="233">
        <v>1</v>
      </c>
      <c r="N22" s="296" t="str">
        <f t="shared" si="1"/>
        <v>2.2. 계획지표설정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SUM((ROUNDDOWN((D52:I52)*단가,0)))</f>
        <v>40926419</v>
      </c>
      <c r="X22" s="154"/>
      <c r="Y22" s="150" t="str">
        <f t="shared" si="2"/>
        <v>제 5 호표</v>
      </c>
      <c r="Z22" s="150"/>
    </row>
    <row r="23" spans="2:26" ht="18" customHeight="1">
      <c r="B23" s="223" t="s">
        <v>2496</v>
      </c>
      <c r="C23" s="23"/>
      <c r="D23" s="197">
        <v>1.2</v>
      </c>
      <c r="E23" s="198">
        <v>4.4000000000000004</v>
      </c>
      <c r="F23" s="198">
        <v>6.8</v>
      </c>
      <c r="G23" s="198">
        <v>8</v>
      </c>
      <c r="H23" s="198">
        <v>9.4</v>
      </c>
      <c r="I23" s="199">
        <v>3.8</v>
      </c>
      <c r="J23" s="389" t="s">
        <v>1925</v>
      </c>
      <c r="L23" s="233">
        <v>1</v>
      </c>
      <c r="N23" s="296" t="str">
        <f t="shared" si="1"/>
        <v>2.3. 토지이용체계구상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SUM((ROUNDDOWN((D53:I53)*단가,0)))</f>
        <v>273308339</v>
      </c>
      <c r="X23" s="154"/>
      <c r="Y23" s="150" t="str">
        <f t="shared" si="2"/>
        <v>제 6 호표</v>
      </c>
      <c r="Z23" s="150"/>
    </row>
    <row r="24" spans="2:26" ht="18" customHeight="1">
      <c r="B24" s="223" t="s">
        <v>2497</v>
      </c>
      <c r="C24" s="23"/>
      <c r="D24" s="197">
        <v>1.2</v>
      </c>
      <c r="E24" s="198">
        <v>4.4000000000000004</v>
      </c>
      <c r="F24" s="198">
        <v>6.8</v>
      </c>
      <c r="G24" s="198">
        <v>8</v>
      </c>
      <c r="H24" s="198">
        <v>9.4</v>
      </c>
      <c r="I24" s="199">
        <v>3.8</v>
      </c>
      <c r="J24" s="389" t="s">
        <v>1925</v>
      </c>
      <c r="L24" s="233">
        <v>1</v>
      </c>
      <c r="N24" s="296" t="str">
        <f t="shared" si="1"/>
        <v>2.4. 동선체계구상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SUM((ROUNDDOWN((D54:I54)*단가,0)))</f>
        <v>56401437</v>
      </c>
      <c r="X24" s="154"/>
      <c r="Y24" s="150" t="str">
        <f t="shared" si="2"/>
        <v>제 7 호표</v>
      </c>
      <c r="Z24" s="150"/>
    </row>
    <row r="25" spans="2:26" ht="18" customHeight="1">
      <c r="B25" s="223" t="s">
        <v>2498</v>
      </c>
      <c r="C25" s="23"/>
      <c r="D25" s="197">
        <v>1.3</v>
      </c>
      <c r="E25" s="198">
        <v>4.8</v>
      </c>
      <c r="F25" s="198">
        <v>7.7</v>
      </c>
      <c r="G25" s="198">
        <v>7.7</v>
      </c>
      <c r="H25" s="198">
        <v>9.1999999999999993</v>
      </c>
      <c r="I25" s="199">
        <v>4.4000000000000004</v>
      </c>
      <c r="J25" s="389" t="s">
        <v>1925</v>
      </c>
      <c r="L25" s="233">
        <v>1</v>
      </c>
      <c r="N25" s="296" t="str">
        <f t="shared" si="1"/>
        <v>2.5. 유치시설종류 및 규모설정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SUM((ROUNDDOWN((D55:I55)*단가,0)))</f>
        <v>59186482</v>
      </c>
      <c r="X25" s="154"/>
      <c r="Y25" s="150" t="str">
        <f t="shared" si="2"/>
        <v>제 8 호표</v>
      </c>
      <c r="Z25" s="150"/>
    </row>
    <row r="26" spans="2:26" ht="18" customHeight="1">
      <c r="B26" s="222" t="s">
        <v>880</v>
      </c>
      <c r="C26" s="47"/>
      <c r="D26" s="48">
        <f t="shared" ref="D26:I26" si="4">SUBTOTAL(9,D27:D31)</f>
        <v>9.9</v>
      </c>
      <c r="E26" s="49">
        <f t="shared" si="4"/>
        <v>28.6</v>
      </c>
      <c r="F26" s="49">
        <f t="shared" si="4"/>
        <v>47.2</v>
      </c>
      <c r="G26" s="49">
        <f t="shared" si="4"/>
        <v>53.800000000000004</v>
      </c>
      <c r="H26" s="49">
        <f t="shared" si="4"/>
        <v>65.400000000000006</v>
      </c>
      <c r="I26" s="50">
        <f t="shared" si="4"/>
        <v>31</v>
      </c>
      <c r="J26" s="389"/>
      <c r="L26" s="233"/>
      <c r="N26" s="292" t="str">
        <f t="shared" si="1"/>
        <v>3. 기본계획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SUBTOTAL(9,W27:W31)</f>
        <v>282560363</v>
      </c>
      <c r="X26" s="154"/>
      <c r="Y26" s="150" t="str">
        <f t="shared" si="2"/>
        <v/>
      </c>
      <c r="Z26" s="150"/>
    </row>
    <row r="27" spans="2:26" ht="18" customHeight="1">
      <c r="B27" s="223" t="s">
        <v>2499</v>
      </c>
      <c r="C27" s="23"/>
      <c r="D27" s="197">
        <v>2</v>
      </c>
      <c r="E27" s="198">
        <v>6.3</v>
      </c>
      <c r="F27" s="198">
        <v>9.8000000000000007</v>
      </c>
      <c r="G27" s="198">
        <v>11.8</v>
      </c>
      <c r="H27" s="198">
        <v>12</v>
      </c>
      <c r="I27" s="199">
        <v>6.4</v>
      </c>
      <c r="J27" s="389" t="s">
        <v>1925</v>
      </c>
      <c r="L27" s="233">
        <v>1</v>
      </c>
      <c r="N27" s="296" t="str">
        <f t="shared" si="1"/>
        <v>3.1. 토지이용계획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SUM((ROUNDDOWN((D56:I56)*단가,0)))</f>
        <v>52979443</v>
      </c>
      <c r="X27" s="154"/>
      <c r="Y27" s="150" t="str">
        <f t="shared" si="2"/>
        <v>제 9 호표</v>
      </c>
      <c r="Z27" s="150"/>
    </row>
    <row r="28" spans="2:26" ht="18" customHeight="1">
      <c r="B28" s="223" t="s">
        <v>2500</v>
      </c>
      <c r="C28" s="23"/>
      <c r="D28" s="197">
        <v>2</v>
      </c>
      <c r="E28" s="198">
        <v>5.9</v>
      </c>
      <c r="F28" s="198">
        <v>9.8000000000000007</v>
      </c>
      <c r="G28" s="198">
        <v>11.4</v>
      </c>
      <c r="H28" s="198">
        <v>15.8</v>
      </c>
      <c r="I28" s="199">
        <v>6.7</v>
      </c>
      <c r="J28" s="389" t="s">
        <v>1925</v>
      </c>
      <c r="L28" s="233">
        <v>1</v>
      </c>
      <c r="N28" s="296" t="str">
        <f t="shared" si="1"/>
        <v>3.2. 교통동선 및 포장계획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SUM((ROUNDDOWN((D57:I57)*단가,0)))</f>
        <v>52502673</v>
      </c>
      <c r="X28" s="154"/>
      <c r="Y28" s="150" t="str">
        <f t="shared" si="2"/>
        <v>제 10 호표</v>
      </c>
      <c r="Z28" s="150"/>
    </row>
    <row r="29" spans="2:26" ht="18" customHeight="1">
      <c r="B29" s="223" t="s">
        <v>2501</v>
      </c>
      <c r="C29" s="23"/>
      <c r="D29" s="197">
        <v>2.4</v>
      </c>
      <c r="E29" s="198">
        <v>5.4</v>
      </c>
      <c r="F29" s="198">
        <v>9.9</v>
      </c>
      <c r="G29" s="198">
        <v>9.6</v>
      </c>
      <c r="H29" s="198">
        <v>11.9</v>
      </c>
      <c r="I29" s="199">
        <v>6.1</v>
      </c>
      <c r="J29" s="389" t="s">
        <v>1925</v>
      </c>
      <c r="L29" s="233">
        <v>1</v>
      </c>
      <c r="N29" s="296" t="str">
        <f t="shared" si="1"/>
        <v>3.3. 시설배치계획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SUM((ROUNDDOWN((D58:I58)*단가,0)))</f>
        <v>52238292</v>
      </c>
      <c r="X29" s="154"/>
      <c r="Y29" s="150" t="str">
        <f t="shared" si="2"/>
        <v>제 11 호표</v>
      </c>
      <c r="Z29" s="150"/>
    </row>
    <row r="30" spans="2:26" ht="18" customHeight="1">
      <c r="B30" s="223" t="s">
        <v>2502</v>
      </c>
      <c r="C30" s="23"/>
      <c r="D30" s="197">
        <v>1.7</v>
      </c>
      <c r="E30" s="198">
        <v>5.2</v>
      </c>
      <c r="F30" s="198">
        <v>8.9</v>
      </c>
      <c r="G30" s="198">
        <v>10.1</v>
      </c>
      <c r="H30" s="198">
        <v>14</v>
      </c>
      <c r="I30" s="199">
        <v>5.9</v>
      </c>
      <c r="J30" s="389" t="s">
        <v>1925</v>
      </c>
      <c r="L30" s="233">
        <v>1</v>
      </c>
      <c r="N30" s="296" t="str">
        <f t="shared" si="1"/>
        <v>3.4. 식재계획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SUM((ROUNDDOWN((D58:I58)*단가,0)))</f>
        <v>52238292</v>
      </c>
      <c r="X30" s="154"/>
      <c r="Y30" s="150" t="str">
        <f t="shared" si="2"/>
        <v>제 12 호표</v>
      </c>
      <c r="Z30" s="150"/>
    </row>
    <row r="31" spans="2:26" ht="18" customHeight="1">
      <c r="B31" s="223" t="s">
        <v>2503</v>
      </c>
      <c r="C31" s="23"/>
      <c r="D31" s="197">
        <v>1.8</v>
      </c>
      <c r="E31" s="198">
        <v>5.8</v>
      </c>
      <c r="F31" s="198">
        <v>8.8000000000000007</v>
      </c>
      <c r="G31" s="198">
        <v>10.9</v>
      </c>
      <c r="H31" s="198">
        <v>11.7</v>
      </c>
      <c r="I31" s="199">
        <v>5.9</v>
      </c>
      <c r="J31" s="389" t="s">
        <v>1925</v>
      </c>
      <c r="L31" s="233">
        <v>1</v>
      </c>
      <c r="N31" s="296" t="str">
        <f t="shared" si="1"/>
        <v>3.5. 공급처리계획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SUM((ROUNDDOWN((D59:I59)*단가,0)))</f>
        <v>72601663</v>
      </c>
      <c r="X31" s="154"/>
      <c r="Y31" s="150" t="str">
        <f t="shared" si="2"/>
        <v>제 13 호표</v>
      </c>
      <c r="Z31" s="150"/>
    </row>
    <row r="32" spans="2:26" ht="18" customHeight="1">
      <c r="B32" s="222" t="s">
        <v>2504</v>
      </c>
      <c r="C32" s="47"/>
      <c r="D32" s="48">
        <f t="shared" ref="D32:I32" si="5">SUBTOTAL(9,D33:D34)</f>
        <v>2.2999999999999998</v>
      </c>
      <c r="E32" s="49">
        <f t="shared" si="5"/>
        <v>7.6</v>
      </c>
      <c r="F32" s="49">
        <f t="shared" si="5"/>
        <v>11.3</v>
      </c>
      <c r="G32" s="49">
        <f t="shared" si="5"/>
        <v>14.4</v>
      </c>
      <c r="H32" s="49">
        <f t="shared" si="5"/>
        <v>15.8</v>
      </c>
      <c r="I32" s="50">
        <f t="shared" si="5"/>
        <v>8</v>
      </c>
      <c r="J32" s="389"/>
      <c r="L32" s="233"/>
      <c r="N32" s="292" t="str">
        <f t="shared" si="1"/>
        <v>4. 집행(사업)계획</v>
      </c>
      <c r="O32" s="37"/>
      <c r="P32" s="39"/>
      <c r="Q32" s="37"/>
      <c r="R32" s="117"/>
      <c r="S32" s="37"/>
      <c r="T32" s="37"/>
      <c r="U32" s="226"/>
      <c r="V32" s="231"/>
      <c r="W32" s="195">
        <f ca="1">SUBTOTAL(9,W33:W34)</f>
        <v>72601658</v>
      </c>
      <c r="X32" s="154"/>
      <c r="Y32" s="150" t="str">
        <f t="shared" si="2"/>
        <v/>
      </c>
      <c r="Z32" s="150"/>
    </row>
    <row r="33" spans="1:26" ht="18" customHeight="1">
      <c r="B33" s="223" t="s">
        <v>2505</v>
      </c>
      <c r="C33" s="23"/>
      <c r="D33" s="197">
        <v>1.3</v>
      </c>
      <c r="E33" s="198">
        <v>4.0999999999999996</v>
      </c>
      <c r="F33" s="198">
        <v>6</v>
      </c>
      <c r="G33" s="198">
        <v>7.2</v>
      </c>
      <c r="H33" s="198">
        <v>7.5</v>
      </c>
      <c r="I33" s="199">
        <v>4.0999999999999996</v>
      </c>
      <c r="J33" s="389" t="s">
        <v>1925</v>
      </c>
      <c r="L33" s="233">
        <v>1</v>
      </c>
      <c r="N33" s="296" t="str">
        <f t="shared" si="1"/>
        <v>4.1. 개발추진계획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SUM((ROUNDDOWN((D60:I60)*단가,0)))</f>
        <v>24120175</v>
      </c>
      <c r="X33" s="154"/>
      <c r="Y33" s="150" t="str">
        <f t="shared" si="2"/>
        <v>제 14 호표</v>
      </c>
      <c r="Z33" s="150"/>
    </row>
    <row r="34" spans="1:26" ht="18" customHeight="1">
      <c r="B34" s="223" t="s">
        <v>2506</v>
      </c>
      <c r="C34" s="23"/>
      <c r="D34" s="197">
        <v>1</v>
      </c>
      <c r="E34" s="198">
        <v>3.5</v>
      </c>
      <c r="F34" s="198">
        <v>5.3</v>
      </c>
      <c r="G34" s="198">
        <v>7.2</v>
      </c>
      <c r="H34" s="198">
        <v>8.3000000000000007</v>
      </c>
      <c r="I34" s="199">
        <v>3.9</v>
      </c>
      <c r="J34" s="389" t="s">
        <v>1925</v>
      </c>
      <c r="L34" s="233">
        <v>1</v>
      </c>
      <c r="N34" s="296" t="str">
        <f t="shared" si="1"/>
        <v>4.2. 관리운영계획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SUM((ROUNDDOWN((D61:I61)*단가,0)))</f>
        <v>48481483</v>
      </c>
      <c r="X34" s="154"/>
      <c r="Y34" s="150" t="str">
        <f t="shared" si="2"/>
        <v>제 15 호표</v>
      </c>
      <c r="Z34" s="150"/>
    </row>
    <row r="35" spans="1:26" ht="18" customHeight="1">
      <c r="B35" s="222" t="s">
        <v>424</v>
      </c>
      <c r="C35" s="47"/>
      <c r="D35" s="48">
        <f t="shared" ref="D35:I35" si="6">SUBTOTAL(9,D36:D37)</f>
        <v>2.2000000000000002</v>
      </c>
      <c r="E35" s="49">
        <f t="shared" si="6"/>
        <v>7.6999999999999993</v>
      </c>
      <c r="F35" s="49">
        <f t="shared" si="6"/>
        <v>9.4</v>
      </c>
      <c r="G35" s="49">
        <f t="shared" si="6"/>
        <v>15.899999999999999</v>
      </c>
      <c r="H35" s="49">
        <f t="shared" si="6"/>
        <v>18.100000000000001</v>
      </c>
      <c r="I35" s="50">
        <f t="shared" si="6"/>
        <v>10.199999999999999</v>
      </c>
      <c r="J35" s="389"/>
      <c r="L35" s="233"/>
      <c r="N35" s="292" t="str">
        <f t="shared" si="1"/>
        <v>5. 성과품작성</v>
      </c>
      <c r="O35" s="37"/>
      <c r="P35" s="39"/>
      <c r="Q35" s="37"/>
      <c r="R35" s="117"/>
      <c r="S35" s="37"/>
      <c r="T35" s="37"/>
      <c r="U35" s="226"/>
      <c r="V35" s="231"/>
      <c r="W35" s="195">
        <f ca="1">SUBTOTAL(9,W36:W37)</f>
        <v>72588356</v>
      </c>
      <c r="X35" s="154"/>
      <c r="Y35" s="150" t="str">
        <f t="shared" si="2"/>
        <v/>
      </c>
      <c r="Z35" s="150"/>
    </row>
    <row r="36" spans="1:26" ht="18" customHeight="1">
      <c r="B36" s="223" t="s">
        <v>2507</v>
      </c>
      <c r="C36" s="23"/>
      <c r="D36" s="197">
        <v>0.7</v>
      </c>
      <c r="E36" s="198">
        <v>2.6</v>
      </c>
      <c r="F36" s="198">
        <v>3.1</v>
      </c>
      <c r="G36" s="198">
        <v>5.3</v>
      </c>
      <c r="H36" s="198">
        <v>6</v>
      </c>
      <c r="I36" s="199">
        <v>3.4</v>
      </c>
      <c r="J36" s="389" t="s">
        <v>1925</v>
      </c>
      <c r="L36" s="233">
        <v>1</v>
      </c>
      <c r="N36" s="296" t="str">
        <f t="shared" si="1"/>
        <v>5.1. 보고서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SUM((ROUNDDOWN((D63:I63)*단가,0)))</f>
        <v>24111610</v>
      </c>
      <c r="X36" s="154"/>
      <c r="Y36" s="150" t="str">
        <f t="shared" si="2"/>
        <v>제 16 호표</v>
      </c>
      <c r="Z36" s="150"/>
    </row>
    <row r="37" spans="1:26" ht="18" customHeight="1">
      <c r="B37" s="259" t="s">
        <v>2508</v>
      </c>
      <c r="C37" s="43"/>
      <c r="D37" s="206">
        <v>1.5</v>
      </c>
      <c r="E37" s="207">
        <v>5.0999999999999996</v>
      </c>
      <c r="F37" s="207">
        <v>6.3</v>
      </c>
      <c r="G37" s="207">
        <v>10.6</v>
      </c>
      <c r="H37" s="207">
        <v>12.1</v>
      </c>
      <c r="I37" s="208">
        <v>6.8</v>
      </c>
      <c r="J37" s="390" t="s">
        <v>1925</v>
      </c>
      <c r="L37" s="233">
        <v>1</v>
      </c>
      <c r="N37" s="296" t="str">
        <f t="shared" si="1"/>
        <v>5.2. 관련도서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SUM((ROUNDDOWN((D64:I64)*단가,0)))</f>
        <v>48476746</v>
      </c>
      <c r="X37" s="154"/>
      <c r="Y37" s="150" t="str">
        <f t="shared" si="2"/>
        <v>제 17 호표</v>
      </c>
      <c r="Z37" s="150"/>
    </row>
    <row r="38" spans="1:26" ht="18" customHeight="1">
      <c r="B38" s="222" t="s">
        <v>426</v>
      </c>
      <c r="C38" s="47"/>
      <c r="D38" s="48">
        <f t="shared" ref="D38:I38" si="7">SUBTOTAL(9,D39:D41)</f>
        <v>1</v>
      </c>
      <c r="E38" s="49">
        <f t="shared" si="7"/>
        <v>2.2999999999999998</v>
      </c>
      <c r="F38" s="49">
        <f t="shared" si="7"/>
        <v>3.2</v>
      </c>
      <c r="G38" s="49">
        <f t="shared" si="7"/>
        <v>4.4000000000000004</v>
      </c>
      <c r="H38" s="49">
        <f t="shared" si="7"/>
        <v>4.2</v>
      </c>
      <c r="I38" s="50">
        <f t="shared" si="7"/>
        <v>3.0999999999999996</v>
      </c>
      <c r="J38" s="620"/>
      <c r="L38" s="233"/>
      <c r="N38" s="292" t="str">
        <f t="shared" si="1"/>
        <v>6. 기술협의</v>
      </c>
      <c r="O38" s="37"/>
      <c r="P38" s="39"/>
      <c r="Q38" s="37"/>
      <c r="R38" s="117"/>
      <c r="S38" s="37"/>
      <c r="T38" s="37"/>
      <c r="U38" s="226"/>
      <c r="V38" s="231"/>
      <c r="W38" s="195">
        <f ca="1">SUBTOTAL(9,W39:W41)</f>
        <v>5383555</v>
      </c>
      <c r="X38" s="154"/>
      <c r="Y38" s="150" t="str">
        <f t="shared" si="2"/>
        <v/>
      </c>
      <c r="Z38" s="150"/>
    </row>
    <row r="39" spans="1:26" ht="18" customHeight="1">
      <c r="B39" s="223" t="s">
        <v>2509</v>
      </c>
      <c r="C39" s="23"/>
      <c r="D39" s="197">
        <v>0.3</v>
      </c>
      <c r="E39" s="198">
        <v>0.6</v>
      </c>
      <c r="F39" s="198">
        <v>1</v>
      </c>
      <c r="G39" s="198">
        <v>1.5</v>
      </c>
      <c r="H39" s="198">
        <v>1.5</v>
      </c>
      <c r="I39" s="199">
        <v>0.9</v>
      </c>
      <c r="J39" s="389" t="s">
        <v>2512</v>
      </c>
      <c r="L39" s="233">
        <v>1</v>
      </c>
      <c r="N39" s="296" t="str">
        <f t="shared" si="1"/>
        <v>6.1. 위원회 심의 지원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SUM((ROUNDDOWN((D66:I66)*단가,0)))</f>
        <v>1696033</v>
      </c>
      <c r="X39" s="154"/>
      <c r="Y39" s="150" t="str">
        <f t="shared" si="2"/>
        <v>제 18 호표</v>
      </c>
      <c r="Z39" s="150"/>
    </row>
    <row r="40" spans="1:26" ht="18" customHeight="1">
      <c r="B40" s="223" t="s">
        <v>2510</v>
      </c>
      <c r="C40" s="23"/>
      <c r="D40" s="197">
        <v>0.3</v>
      </c>
      <c r="E40" s="198">
        <v>0.8</v>
      </c>
      <c r="F40" s="198">
        <v>1</v>
      </c>
      <c r="G40" s="198">
        <v>1.3</v>
      </c>
      <c r="H40" s="198">
        <v>1.2</v>
      </c>
      <c r="I40" s="199">
        <v>1</v>
      </c>
      <c r="J40" s="389" t="s">
        <v>2514</v>
      </c>
      <c r="L40" s="233">
        <v>1</v>
      </c>
      <c r="N40" s="296" t="str">
        <f t="shared" si="1"/>
        <v>6.2. 주민설명회 자료 작성 등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SUM((ROUNDDOWN((D67:I67)*단가,0)))</f>
        <v>1666047</v>
      </c>
      <c r="X40" s="154"/>
      <c r="Y40" s="150" t="str">
        <f t="shared" si="2"/>
        <v>제 19 호표</v>
      </c>
      <c r="Z40" s="150"/>
    </row>
    <row r="41" spans="1:26" ht="18" customHeight="1" thickBot="1">
      <c r="B41" s="223" t="s">
        <v>2511</v>
      </c>
      <c r="C41" s="23"/>
      <c r="D41" s="197">
        <v>0.4</v>
      </c>
      <c r="E41" s="198">
        <v>0.9</v>
      </c>
      <c r="F41" s="198">
        <v>1.2</v>
      </c>
      <c r="G41" s="198">
        <v>1.6</v>
      </c>
      <c r="H41" s="198">
        <v>1.5</v>
      </c>
      <c r="I41" s="199">
        <v>1.2</v>
      </c>
      <c r="J41" s="612" t="s">
        <v>2513</v>
      </c>
      <c r="L41" s="233">
        <v>1</v>
      </c>
      <c r="N41" s="296" t="str">
        <f t="shared" si="1"/>
        <v>6.3. 관계기관 협의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SUM((ROUNDDOWN((D68:I68)*단가,0)))</f>
        <v>2021475</v>
      </c>
      <c r="X41" s="154"/>
      <c r="Y41" s="150" t="str">
        <f t="shared" si="2"/>
        <v>제 20 호표</v>
      </c>
      <c r="Z41" s="150"/>
    </row>
    <row r="42" spans="1:26" ht="18" customHeight="1" thickBot="1"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379"/>
      <c r="P42" s="371"/>
      <c r="R42" s="357"/>
      <c r="S42" s="1"/>
      <c r="T42" s="1"/>
      <c r="U42" s="258"/>
      <c r="V42" s="380"/>
      <c r="W42" s="373"/>
      <c r="X42" s="374"/>
      <c r="Y42" s="378"/>
      <c r="Z42" s="378"/>
    </row>
    <row r="43" spans="1:26" ht="18" customHeight="1">
      <c r="B43" s="225" t="s">
        <v>2491</v>
      </c>
      <c r="C43" s="72"/>
      <c r="D43" s="203">
        <f t="shared" ref="D43:I43" si="8">SUBTOTAL(9,D44:D46)</f>
        <v>6.35</v>
      </c>
      <c r="E43" s="204">
        <f t="shared" si="8"/>
        <v>21.4</v>
      </c>
      <c r="F43" s="204">
        <f t="shared" si="8"/>
        <v>46.74</v>
      </c>
      <c r="G43" s="204">
        <f t="shared" si="8"/>
        <v>64.56</v>
      </c>
      <c r="H43" s="204">
        <f t="shared" si="8"/>
        <v>87.53</v>
      </c>
      <c r="I43" s="205">
        <f t="shared" si="8"/>
        <v>51.09</v>
      </c>
      <c r="J43" s="73"/>
      <c r="M43" s="171"/>
      <c r="N43" s="290" t="s">
        <v>2611</v>
      </c>
      <c r="O43" s="129"/>
      <c r="P43" s="130"/>
      <c r="Q43" s="124"/>
      <c r="R43" s="131"/>
      <c r="S43" s="124"/>
      <c r="T43" s="124"/>
      <c r="U43" s="181"/>
      <c r="V43" s="181"/>
      <c r="W43" s="159">
        <f>SUBTOTAL(9,W44:W46)</f>
        <v>8000000</v>
      </c>
      <c r="X43" s="160"/>
      <c r="Y43" s="124"/>
      <c r="Z43" s="124"/>
    </row>
    <row r="44" spans="1:26" ht="18" customHeight="1">
      <c r="A44" s="326">
        <v>1</v>
      </c>
      <c r="B44" s="223" t="s">
        <v>1516</v>
      </c>
      <c r="C44" s="23"/>
      <c r="D44" s="197">
        <f t="array" ref="D44:I46">ROUNDUP(D17:I19*L17:L19*$D$5*$D$6,2)</f>
        <v>1.98</v>
      </c>
      <c r="E44" s="198">
        <v>6.34</v>
      </c>
      <c r="F44" s="198">
        <v>15.049999999999999</v>
      </c>
      <c r="G44" s="198">
        <v>20.200000000000003</v>
      </c>
      <c r="H44" s="198">
        <v>27.330000000000002</v>
      </c>
      <c r="I44" s="199">
        <v>16.240000000000002</v>
      </c>
      <c r="J44" s="74"/>
      <c r="M44" s="171"/>
      <c r="N44" s="291" t="str">
        <f>"여비("&amp;TEXT(T44,"#인 ×")&amp;TEXT(U44,"#일 ×")&amp;TEXT(V44,"###,###원)")</f>
        <v>여비(3인 ×10일 ×100,000원)</v>
      </c>
      <c r="O44" s="78"/>
      <c r="P44" s="52"/>
      <c r="Q44" s="51"/>
      <c r="T44" s="146">
        <v>3</v>
      </c>
      <c r="U44" s="146">
        <v>10</v>
      </c>
      <c r="V44" s="147">
        <v>100000</v>
      </c>
      <c r="W44" s="161">
        <f>T44*U44*V44</f>
        <v>3000000</v>
      </c>
      <c r="X44" s="162"/>
      <c r="Y44" s="51"/>
      <c r="Z44" s="51"/>
    </row>
    <row r="45" spans="1:26" ht="18" customHeight="1">
      <c r="A45" s="326">
        <v>2</v>
      </c>
      <c r="B45" s="223" t="s">
        <v>2492</v>
      </c>
      <c r="C45" s="23"/>
      <c r="D45" s="197">
        <v>1.59</v>
      </c>
      <c r="E45" s="198">
        <v>6.74</v>
      </c>
      <c r="F45" s="198">
        <v>14.66</v>
      </c>
      <c r="G45" s="198">
        <v>21.39</v>
      </c>
      <c r="H45" s="198">
        <v>30.89</v>
      </c>
      <c r="I45" s="199">
        <v>17.82</v>
      </c>
      <c r="J45" s="74"/>
      <c r="M45" s="171"/>
      <c r="N45" s="292" t="s">
        <v>46</v>
      </c>
      <c r="O45" s="79"/>
      <c r="P45" s="39"/>
      <c r="Q45" s="37"/>
      <c r="R45" s="117"/>
      <c r="S45" s="37"/>
      <c r="T45" s="37"/>
      <c r="U45" s="180"/>
      <c r="V45" s="180"/>
      <c r="W45" s="157">
        <v>4000000</v>
      </c>
      <c r="X45" s="158"/>
      <c r="Y45" s="37"/>
      <c r="Z45" s="37"/>
    </row>
    <row r="46" spans="1:26" ht="18" customHeight="1">
      <c r="A46" s="326">
        <v>3</v>
      </c>
      <c r="B46" s="223" t="s">
        <v>2493</v>
      </c>
      <c r="C46" s="23"/>
      <c r="D46" s="197">
        <v>2.78</v>
      </c>
      <c r="E46" s="198">
        <v>8.32</v>
      </c>
      <c r="F46" s="198">
        <v>17.03</v>
      </c>
      <c r="G46" s="198">
        <v>22.970000000000002</v>
      </c>
      <c r="H46" s="198">
        <v>29.310000000000002</v>
      </c>
      <c r="I46" s="199">
        <v>17.03</v>
      </c>
      <c r="J46" s="74"/>
      <c r="M46" s="171"/>
      <c r="N46" s="293" t="s">
        <v>13</v>
      </c>
      <c r="O46" s="132"/>
      <c r="P46" s="38"/>
      <c r="Q46" s="38"/>
      <c r="R46" s="116"/>
      <c r="S46" s="38"/>
      <c r="T46" s="38"/>
      <c r="U46" s="183"/>
      <c r="V46" s="183"/>
      <c r="W46" s="155">
        <v>1000000</v>
      </c>
      <c r="X46" s="156"/>
      <c r="Y46" s="38"/>
      <c r="Z46" s="38"/>
    </row>
    <row r="47" spans="1:26" ht="18" customHeight="1">
      <c r="B47" s="222" t="s">
        <v>52</v>
      </c>
      <c r="C47" s="47"/>
      <c r="D47" s="48">
        <f t="shared" ref="D47:I47" si="9">SUBTOTAL(9,D48:D52)</f>
        <v>24.58</v>
      </c>
      <c r="E47" s="49">
        <f t="shared" si="9"/>
        <v>84.77000000000001</v>
      </c>
      <c r="F47" s="49">
        <f t="shared" si="9"/>
        <v>133.08000000000001</v>
      </c>
      <c r="G47" s="49">
        <f t="shared" si="9"/>
        <v>144.16</v>
      </c>
      <c r="H47" s="49">
        <f t="shared" si="9"/>
        <v>173.48</v>
      </c>
      <c r="I47" s="50">
        <f t="shared" si="9"/>
        <v>74.86</v>
      </c>
      <c r="J47" s="74"/>
      <c r="M47" s="171"/>
      <c r="N47" s="127" t="s">
        <v>47</v>
      </c>
      <c r="O47" s="123"/>
      <c r="P47" s="123"/>
      <c r="Q47" s="123"/>
      <c r="R47" s="123"/>
      <c r="S47" s="123"/>
      <c r="T47" s="123"/>
      <c r="U47" s="184"/>
      <c r="V47" s="184"/>
      <c r="W47" s="163">
        <f ca="1">SUBTOTAL(9,W48:W49)</f>
        <v>1758863416</v>
      </c>
      <c r="X47" s="164"/>
      <c r="Y47" s="123"/>
      <c r="Z47" s="123"/>
    </row>
    <row r="48" spans="1:26" ht="18" customHeight="1">
      <c r="A48" s="326">
        <v>4</v>
      </c>
      <c r="B48" s="223" t="s">
        <v>2494</v>
      </c>
      <c r="C48" s="23"/>
      <c r="D48" s="197">
        <f t="array" ref="D48:I52">ROUNDUP(D21:I25*L21:L25*$D$5*$D$6,2)</f>
        <v>5.1499999999999995</v>
      </c>
      <c r="E48" s="198">
        <v>14.66</v>
      </c>
      <c r="F48" s="198">
        <v>24.16</v>
      </c>
      <c r="G48" s="198">
        <v>25.74</v>
      </c>
      <c r="H48" s="198">
        <v>32.08</v>
      </c>
      <c r="I48" s="199">
        <v>15.049999999999999</v>
      </c>
      <c r="J48" s="74"/>
      <c r="M48" s="171"/>
      <c r="N48" s="133" t="s">
        <v>861</v>
      </c>
      <c r="O48" s="124"/>
      <c r="P48" s="134"/>
      <c r="Q48" s="124"/>
      <c r="R48" s="131"/>
      <c r="S48" s="124"/>
      <c r="T48" s="181"/>
      <c r="U48" s="181"/>
      <c r="V48" s="190">
        <v>1.1499999999999999</v>
      </c>
      <c r="W48" s="159">
        <f ca="1">ROUNDDOWN(W15*V48,0)</f>
        <v>1126848428</v>
      </c>
      <c r="X48" s="160"/>
      <c r="Y48" s="124"/>
      <c r="Z48" s="124"/>
    </row>
    <row r="49" spans="1:26" ht="18" customHeight="1" thickBot="1">
      <c r="A49" s="326">
        <v>5</v>
      </c>
      <c r="B49" s="223" t="s">
        <v>2495</v>
      </c>
      <c r="C49" s="23"/>
      <c r="D49" s="197">
        <v>4.76</v>
      </c>
      <c r="E49" s="198">
        <v>16.240000000000002</v>
      </c>
      <c r="F49" s="198">
        <v>24.560000000000002</v>
      </c>
      <c r="G49" s="198">
        <v>24.560000000000002</v>
      </c>
      <c r="H49" s="198">
        <v>30.5</v>
      </c>
      <c r="I49" s="199">
        <v>12.28</v>
      </c>
      <c r="J49" s="74"/>
      <c r="M49" s="171"/>
      <c r="N49" s="135" t="s">
        <v>862</v>
      </c>
      <c r="O49" s="136"/>
      <c r="P49" s="137"/>
      <c r="Q49" s="136"/>
      <c r="R49" s="138"/>
      <c r="S49" s="136"/>
      <c r="T49" s="185"/>
      <c r="U49" s="185"/>
      <c r="V49" s="191">
        <v>0.3</v>
      </c>
      <c r="W49" s="165">
        <f ca="1">ROUNDDOWN((W15+W48)*V49,0)</f>
        <v>632014988</v>
      </c>
      <c r="X49" s="166"/>
      <c r="Y49" s="136"/>
      <c r="Z49" s="136"/>
    </row>
    <row r="50" spans="1:26" ht="18" customHeight="1">
      <c r="A50" s="326">
        <v>6</v>
      </c>
      <c r="B50" s="223" t="s">
        <v>2496</v>
      </c>
      <c r="C50" s="23"/>
      <c r="D50" s="197">
        <v>4.76</v>
      </c>
      <c r="E50" s="198">
        <v>17.430000000000003</v>
      </c>
      <c r="F50" s="198">
        <v>26.930000000000003</v>
      </c>
      <c r="G50" s="198">
        <v>31.68</v>
      </c>
      <c r="H50" s="198">
        <v>37.229999999999997</v>
      </c>
      <c r="I50" s="199">
        <v>15.049999999999999</v>
      </c>
      <c r="J50" s="74"/>
      <c r="M50" s="171"/>
    </row>
    <row r="51" spans="1:26" ht="18" customHeight="1">
      <c r="A51" s="326">
        <v>7</v>
      </c>
      <c r="B51" s="223" t="s">
        <v>2497</v>
      </c>
      <c r="C51" s="23"/>
      <c r="D51" s="197">
        <v>4.76</v>
      </c>
      <c r="E51" s="198">
        <v>17.430000000000003</v>
      </c>
      <c r="F51" s="198">
        <v>26.930000000000003</v>
      </c>
      <c r="G51" s="198">
        <v>31.68</v>
      </c>
      <c r="H51" s="198">
        <v>37.229999999999997</v>
      </c>
      <c r="I51" s="199">
        <v>15.049999999999999</v>
      </c>
      <c r="J51" s="74"/>
      <c r="M51" s="171"/>
    </row>
    <row r="52" spans="1:26" ht="18" customHeight="1" thickBot="1">
      <c r="A52" s="326">
        <v>8</v>
      </c>
      <c r="B52" s="223" t="s">
        <v>2498</v>
      </c>
      <c r="C52" s="23"/>
      <c r="D52" s="197">
        <v>5.1499999999999995</v>
      </c>
      <c r="E52" s="198">
        <v>19.010000000000002</v>
      </c>
      <c r="F52" s="198">
        <v>30.5</v>
      </c>
      <c r="G52" s="198">
        <v>30.5</v>
      </c>
      <c r="H52" s="198">
        <v>36.44</v>
      </c>
      <c r="I52" s="199">
        <v>17.430000000000003</v>
      </c>
      <c r="J52" s="74"/>
      <c r="M52" s="171"/>
      <c r="N52" s="66" t="s">
        <v>18</v>
      </c>
      <c r="O52" s="2"/>
      <c r="P52" s="2"/>
      <c r="Q52" s="2"/>
      <c r="R52" s="3"/>
      <c r="S52" s="4"/>
      <c r="T52" s="3"/>
      <c r="U52" s="4"/>
      <c r="V52" s="3"/>
      <c r="W52" s="4"/>
      <c r="X52" s="3"/>
      <c r="Y52" s="4"/>
      <c r="Z52" s="2"/>
    </row>
    <row r="53" spans="1:26" ht="18" customHeight="1">
      <c r="B53" s="222" t="s">
        <v>880</v>
      </c>
      <c r="C53" s="47"/>
      <c r="D53" s="48">
        <f t="shared" ref="D53:I53" si="10">SUBTOTAL(9,D54:D58)</f>
        <v>39.220000000000006</v>
      </c>
      <c r="E53" s="49">
        <f t="shared" si="10"/>
        <v>113.28</v>
      </c>
      <c r="F53" s="49">
        <f t="shared" si="10"/>
        <v>186.92999999999998</v>
      </c>
      <c r="G53" s="49">
        <f t="shared" si="10"/>
        <v>213.06999999999996</v>
      </c>
      <c r="H53" s="49">
        <f t="shared" si="10"/>
        <v>259</v>
      </c>
      <c r="I53" s="50">
        <f t="shared" si="10"/>
        <v>122.79</v>
      </c>
      <c r="J53" s="74"/>
      <c r="M53" s="171"/>
      <c r="N53" s="765" t="s">
        <v>19</v>
      </c>
      <c r="O53" s="755" t="s">
        <v>20</v>
      </c>
      <c r="P53" s="755" t="s">
        <v>21</v>
      </c>
      <c r="Q53" s="755" t="s">
        <v>16</v>
      </c>
      <c r="R53" s="5" t="s">
        <v>22</v>
      </c>
      <c r="S53" s="5"/>
      <c r="T53" s="5" t="s">
        <v>23</v>
      </c>
      <c r="U53" s="5"/>
      <c r="V53" s="5" t="s">
        <v>24</v>
      </c>
      <c r="W53" s="5"/>
      <c r="X53" s="5" t="s">
        <v>25</v>
      </c>
      <c r="Y53" s="5"/>
      <c r="Z53" s="755" t="s">
        <v>26</v>
      </c>
    </row>
    <row r="54" spans="1:26" ht="18" customHeight="1" thickBot="1">
      <c r="A54" s="326">
        <v>9</v>
      </c>
      <c r="B54" s="223" t="s">
        <v>2499</v>
      </c>
      <c r="C54" s="23"/>
      <c r="D54" s="197">
        <f t="array" ref="D54:I58">ROUNDUP(D27:I31*L27:L31*$D$5*$D$6,2)</f>
        <v>7.92</v>
      </c>
      <c r="E54" s="198">
        <v>24.950000000000003</v>
      </c>
      <c r="F54" s="198">
        <v>38.809999999999995</v>
      </c>
      <c r="G54" s="198">
        <v>46.73</v>
      </c>
      <c r="H54" s="198">
        <v>47.52</v>
      </c>
      <c r="I54" s="199">
        <v>25.35</v>
      </c>
      <c r="J54" s="74"/>
      <c r="M54" s="171"/>
      <c r="N54" s="766"/>
      <c r="O54" s="756"/>
      <c r="P54" s="756"/>
      <c r="Q54" s="756"/>
      <c r="R54" s="67" t="s">
        <v>27</v>
      </c>
      <c r="S54" s="67" t="s">
        <v>28</v>
      </c>
      <c r="T54" s="67" t="s">
        <v>27</v>
      </c>
      <c r="U54" s="67" t="s">
        <v>28</v>
      </c>
      <c r="V54" s="67" t="s">
        <v>27</v>
      </c>
      <c r="W54" s="67" t="s">
        <v>28</v>
      </c>
      <c r="X54" s="67" t="s">
        <v>27</v>
      </c>
      <c r="Y54" s="67" t="s">
        <v>28</v>
      </c>
      <c r="Z54" s="756"/>
    </row>
    <row r="55" spans="1:26" ht="18" customHeight="1" thickTop="1">
      <c r="A55" s="326">
        <v>10</v>
      </c>
      <c r="B55" s="223" t="s">
        <v>2500</v>
      </c>
      <c r="C55" s="23"/>
      <c r="D55" s="197">
        <v>7.92</v>
      </c>
      <c r="E55" s="198">
        <v>23.37</v>
      </c>
      <c r="F55" s="198">
        <v>38.809999999999995</v>
      </c>
      <c r="G55" s="198">
        <v>45.15</v>
      </c>
      <c r="H55" s="198">
        <v>62.57</v>
      </c>
      <c r="I55" s="199">
        <v>26.540000000000003</v>
      </c>
      <c r="J55" s="74"/>
      <c r="M55" s="171"/>
      <c r="N55" s="318" t="str">
        <f ca="1">"제 " &amp; Z55 &amp; " 호표  "&amp; OFFSET($A$1,MATCH(Z55,$A:$A,0)-1,1)</f>
        <v>제 1 호표  1.1. 자연환경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v>1</v>
      </c>
    </row>
    <row r="56" spans="1:26" ht="18" customHeight="1">
      <c r="A56" s="326">
        <v>11</v>
      </c>
      <c r="B56" s="223" t="s">
        <v>2501</v>
      </c>
      <c r="C56" s="23"/>
      <c r="D56" s="197">
        <v>9.51</v>
      </c>
      <c r="E56" s="198">
        <v>21.39</v>
      </c>
      <c r="F56" s="198">
        <v>39.21</v>
      </c>
      <c r="G56" s="198">
        <v>38.019999999999996</v>
      </c>
      <c r="H56" s="198">
        <v>47.129999999999995</v>
      </c>
      <c r="I56" s="199">
        <v>24.16</v>
      </c>
      <c r="J56" s="74"/>
      <c r="M56" s="171"/>
      <c r="N56" s="140" t="s">
        <v>43</v>
      </c>
      <c r="O56" s="172">
        <v>3</v>
      </c>
      <c r="P56" s="219">
        <f ca="1">OFFSET($A$1,MATCH(Z55,$A:$A,0)-1,O56)</f>
        <v>1.98</v>
      </c>
      <c r="Q56" s="141" t="s">
        <v>29</v>
      </c>
      <c r="R56" s="142">
        <f t="shared" ref="R56:S61" ca="1" si="11">T56</f>
        <v>467217</v>
      </c>
      <c r="S56" s="142">
        <f t="shared" ca="1" si="11"/>
        <v>925089</v>
      </c>
      <c r="T56" s="142">
        <f ca="1">기술사</f>
        <v>467217</v>
      </c>
      <c r="U56" s="142">
        <f t="shared" ref="U56:U61" ca="1" si="12">ROUNDDOWN(P56*R56,0)</f>
        <v>925089</v>
      </c>
      <c r="V56" s="142"/>
      <c r="W56" s="142"/>
      <c r="X56" s="142"/>
      <c r="Y56" s="142"/>
      <c r="Z56" s="114"/>
    </row>
    <row r="57" spans="1:26" ht="18" customHeight="1">
      <c r="A57" s="326">
        <v>12</v>
      </c>
      <c r="B57" s="223" t="s">
        <v>2502</v>
      </c>
      <c r="C57" s="23"/>
      <c r="D57" s="197">
        <v>6.74</v>
      </c>
      <c r="E57" s="198">
        <v>20.6</v>
      </c>
      <c r="F57" s="198">
        <v>35.25</v>
      </c>
      <c r="G57" s="198">
        <v>40</v>
      </c>
      <c r="H57" s="198">
        <v>55.44</v>
      </c>
      <c r="I57" s="199">
        <v>23.37</v>
      </c>
      <c r="J57" s="74"/>
      <c r="M57" s="171"/>
      <c r="N57" s="143" t="s">
        <v>32</v>
      </c>
      <c r="O57" s="173">
        <v>4</v>
      </c>
      <c r="P57" s="234">
        <f ca="1">OFFSET($A$1,MATCH(Z55,$A:$A,0)-1,O57)</f>
        <v>6.34</v>
      </c>
      <c r="Q57" s="144" t="s">
        <v>29</v>
      </c>
      <c r="R57" s="118">
        <f t="shared" ca="1" si="11"/>
        <v>373353</v>
      </c>
      <c r="S57" s="118">
        <f t="shared" ca="1" si="11"/>
        <v>2367058</v>
      </c>
      <c r="T57" s="118">
        <f ca="1">특급</f>
        <v>373353</v>
      </c>
      <c r="U57" s="118">
        <f t="shared" ca="1" si="12"/>
        <v>2367058</v>
      </c>
      <c r="V57" s="118"/>
      <c r="W57" s="118"/>
      <c r="X57" s="118"/>
      <c r="Y57" s="118"/>
      <c r="Z57" s="115"/>
    </row>
    <row r="58" spans="1:26" ht="18" customHeight="1">
      <c r="A58" s="326">
        <v>13</v>
      </c>
      <c r="B58" s="223" t="s">
        <v>2503</v>
      </c>
      <c r="C58" s="23"/>
      <c r="D58" s="197">
        <v>7.13</v>
      </c>
      <c r="E58" s="198">
        <v>22.970000000000002</v>
      </c>
      <c r="F58" s="198">
        <v>34.85</v>
      </c>
      <c r="G58" s="198">
        <v>43.169999999999995</v>
      </c>
      <c r="H58" s="198">
        <v>46.339999999999996</v>
      </c>
      <c r="I58" s="199">
        <v>23.37</v>
      </c>
      <c r="J58" s="74"/>
      <c r="M58" s="171"/>
      <c r="N58" s="145" t="s">
        <v>39</v>
      </c>
      <c r="O58" s="173">
        <v>5</v>
      </c>
      <c r="P58" s="234">
        <f ca="1">OFFSET($A$1,MATCH(Z55,$A:$A,0)-1,O58)</f>
        <v>15.049999999999999</v>
      </c>
      <c r="Q58" s="144" t="s">
        <v>29</v>
      </c>
      <c r="R58" s="118">
        <f t="shared" ca="1" si="11"/>
        <v>310884</v>
      </c>
      <c r="S58" s="118">
        <f t="shared" ca="1" si="11"/>
        <v>4678804</v>
      </c>
      <c r="T58" s="118">
        <f ca="1">고급</f>
        <v>310884</v>
      </c>
      <c r="U58" s="118">
        <f t="shared" ca="1" si="12"/>
        <v>4678804</v>
      </c>
      <c r="V58" s="118"/>
      <c r="W58" s="118"/>
      <c r="X58" s="118"/>
      <c r="Y58" s="118"/>
      <c r="Z58" s="115"/>
    </row>
    <row r="59" spans="1:26" ht="18" customHeight="1">
      <c r="B59" s="222" t="s">
        <v>2504</v>
      </c>
      <c r="C59" s="47"/>
      <c r="D59" s="48">
        <f t="shared" ref="D59:I59" si="13">SUBTOTAL(9,D60:D61)</f>
        <v>8.7200000000000006</v>
      </c>
      <c r="E59" s="49">
        <f t="shared" si="13"/>
        <v>30.5</v>
      </c>
      <c r="F59" s="49">
        <f t="shared" si="13"/>
        <v>37.230000000000004</v>
      </c>
      <c r="G59" s="49">
        <f t="shared" si="13"/>
        <v>62.97</v>
      </c>
      <c r="H59" s="49">
        <f t="shared" si="13"/>
        <v>71.679999999999993</v>
      </c>
      <c r="I59" s="50">
        <f t="shared" si="13"/>
        <v>40.400000000000006</v>
      </c>
      <c r="J59" s="74"/>
      <c r="M59" s="171"/>
      <c r="N59" s="145" t="s">
        <v>40</v>
      </c>
      <c r="O59" s="173">
        <v>6</v>
      </c>
      <c r="P59" s="234">
        <f ca="1">OFFSET($A$1,MATCH(Z55,$A:$A,0)-1,O59)</f>
        <v>20.200000000000003</v>
      </c>
      <c r="Q59" s="144" t="s">
        <v>29</v>
      </c>
      <c r="R59" s="118">
        <f t="shared" ca="1" si="11"/>
        <v>295138</v>
      </c>
      <c r="S59" s="118">
        <f t="shared" ca="1" si="11"/>
        <v>5961787</v>
      </c>
      <c r="T59" s="118">
        <f ca="1">중급</f>
        <v>295138</v>
      </c>
      <c r="U59" s="118">
        <f t="shared" ca="1" si="12"/>
        <v>5961787</v>
      </c>
      <c r="V59" s="118"/>
      <c r="W59" s="118"/>
      <c r="X59" s="118"/>
      <c r="Y59" s="118"/>
      <c r="Z59" s="115"/>
    </row>
    <row r="60" spans="1:26" ht="18" customHeight="1">
      <c r="A60" s="326">
        <v>14</v>
      </c>
      <c r="B60" s="223" t="s">
        <v>2505</v>
      </c>
      <c r="C60" s="23"/>
      <c r="D60" s="197">
        <f t="array" ref="D60:I61">ROUNDUP(D36:I37*L36:L37*$D$5*$D$6,2)</f>
        <v>2.78</v>
      </c>
      <c r="E60" s="198">
        <v>10.299999999999999</v>
      </c>
      <c r="F60" s="198">
        <v>12.28</v>
      </c>
      <c r="G60" s="198">
        <v>20.990000000000002</v>
      </c>
      <c r="H60" s="198">
        <v>23.76</v>
      </c>
      <c r="I60" s="199">
        <v>13.47</v>
      </c>
      <c r="J60" s="74"/>
      <c r="M60" s="171"/>
      <c r="N60" s="145" t="s">
        <v>41</v>
      </c>
      <c r="O60" s="173">
        <v>7</v>
      </c>
      <c r="P60" s="234">
        <f ca="1">OFFSET($A$1,MATCH(Z55,$A:$A,0)-1,O60)</f>
        <v>27.330000000000002</v>
      </c>
      <c r="Q60" s="144" t="s">
        <v>29</v>
      </c>
      <c r="R60" s="118">
        <f t="shared" ca="1" si="11"/>
        <v>235459</v>
      </c>
      <c r="S60" s="118">
        <f t="shared" ca="1" si="11"/>
        <v>6435094</v>
      </c>
      <c r="T60" s="118">
        <f ca="1">초급</f>
        <v>235459</v>
      </c>
      <c r="U60" s="118">
        <f t="shared" ca="1" si="12"/>
        <v>6435094</v>
      </c>
      <c r="V60" s="118"/>
      <c r="W60" s="118"/>
      <c r="X60" s="118"/>
      <c r="Y60" s="118"/>
      <c r="Z60" s="115"/>
    </row>
    <row r="61" spans="1:26" ht="18" customHeight="1">
      <c r="A61" s="326">
        <v>15</v>
      </c>
      <c r="B61" s="223" t="s">
        <v>2506</v>
      </c>
      <c r="C61" s="23"/>
      <c r="D61" s="197">
        <v>5.94</v>
      </c>
      <c r="E61" s="198">
        <v>20.200000000000003</v>
      </c>
      <c r="F61" s="198">
        <v>24.950000000000003</v>
      </c>
      <c r="G61" s="198">
        <v>41.98</v>
      </c>
      <c r="H61" s="198">
        <v>47.919999999999995</v>
      </c>
      <c r="I61" s="199">
        <v>26.930000000000003</v>
      </c>
      <c r="J61" s="74"/>
      <c r="M61" s="171"/>
      <c r="N61" s="319" t="s">
        <v>42</v>
      </c>
      <c r="O61" s="174">
        <v>8</v>
      </c>
      <c r="P61" s="235">
        <f ca="1">OFFSET($A$1,MATCH(Z55,$A:$A,0)-1,O61)</f>
        <v>16.240000000000002</v>
      </c>
      <c r="Q61" s="322" t="s">
        <v>29</v>
      </c>
      <c r="R61" s="323">
        <f t="shared" ca="1" si="11"/>
        <v>250087</v>
      </c>
      <c r="S61" s="323">
        <f t="shared" ca="1" si="11"/>
        <v>4061412</v>
      </c>
      <c r="T61" s="323">
        <f ca="1">보조원</f>
        <v>250087</v>
      </c>
      <c r="U61" s="323">
        <f t="shared" ca="1" si="12"/>
        <v>4061412</v>
      </c>
      <c r="V61" s="323"/>
      <c r="W61" s="323"/>
      <c r="X61" s="323"/>
      <c r="Y61" s="323"/>
      <c r="Z61" s="324"/>
    </row>
    <row r="62" spans="1:26" ht="18" customHeight="1">
      <c r="B62" s="222" t="s">
        <v>424</v>
      </c>
      <c r="C62" s="47"/>
      <c r="D62" s="48">
        <f t="shared" ref="D62:I62" si="14">SUBTOTAL(9,D63:D64)</f>
        <v>8.7119999999999997</v>
      </c>
      <c r="E62" s="49">
        <f t="shared" si="14"/>
        <v>30.492000000000001</v>
      </c>
      <c r="F62" s="49">
        <f t="shared" si="14"/>
        <v>37.224000000000004</v>
      </c>
      <c r="G62" s="49">
        <f t="shared" si="14"/>
        <v>62.963999999999999</v>
      </c>
      <c r="H62" s="49">
        <f t="shared" si="14"/>
        <v>71.676000000000002</v>
      </c>
      <c r="I62" s="50">
        <f t="shared" si="14"/>
        <v>40.392000000000003</v>
      </c>
      <c r="J62" s="74"/>
      <c r="M62" s="171"/>
      <c r="N62" s="139" t="s">
        <v>17</v>
      </c>
      <c r="O62" s="68"/>
      <c r="P62" s="69"/>
      <c r="Q62" s="70"/>
      <c r="R62" s="71"/>
      <c r="S62" s="71">
        <f ca="1">SUBTOTAL(9,S56:S61)</f>
        <v>24429244</v>
      </c>
      <c r="T62" s="71"/>
      <c r="U62" s="71">
        <f ca="1">SUBTOTAL(9,U56:U61)</f>
        <v>24429244</v>
      </c>
      <c r="V62" s="71"/>
      <c r="W62" s="71"/>
      <c r="X62" s="71"/>
      <c r="Y62" s="71"/>
      <c r="Z62" s="68"/>
    </row>
    <row r="63" spans="1:26" ht="18" customHeight="1">
      <c r="A63" s="326">
        <v>16</v>
      </c>
      <c r="B63" s="223" t="s">
        <v>2507</v>
      </c>
      <c r="C63" s="23"/>
      <c r="D63" s="197">
        <f t="array" ref="D63:I64">ROUNDUP(D36:I37*L36:L37*$D$5*$D$6,3)</f>
        <v>2.7719999999999998</v>
      </c>
      <c r="E63" s="198">
        <v>10.295999999999999</v>
      </c>
      <c r="F63" s="198">
        <v>12.276</v>
      </c>
      <c r="G63" s="198">
        <v>20.988</v>
      </c>
      <c r="H63" s="198">
        <v>23.76</v>
      </c>
      <c r="I63" s="199">
        <v>13.464</v>
      </c>
      <c r="J63" s="74"/>
      <c r="M63" s="171"/>
      <c r="N63" s="318" t="str">
        <f ca="1">"제 " &amp; Z63 &amp; " 호표  "&amp; OFFSET($A$1,MATCH(Z63,$A:$A,0)-1,1)</f>
        <v>제 2 호표  1.2. 인문환경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2</v>
      </c>
    </row>
    <row r="64" spans="1:26" ht="18" customHeight="1">
      <c r="A64" s="326">
        <v>17</v>
      </c>
      <c r="B64" s="259" t="s">
        <v>2508</v>
      </c>
      <c r="C64" s="43"/>
      <c r="D64" s="206">
        <v>5.94</v>
      </c>
      <c r="E64" s="207">
        <v>20.196000000000002</v>
      </c>
      <c r="F64" s="207">
        <v>24.948</v>
      </c>
      <c r="G64" s="207">
        <v>41.975999999999999</v>
      </c>
      <c r="H64" s="207">
        <v>47.915999999999997</v>
      </c>
      <c r="I64" s="208">
        <v>26.928000000000001</v>
      </c>
      <c r="J64" s="239"/>
      <c r="K64" s="171" t="s">
        <v>14</v>
      </c>
      <c r="L64" s="171"/>
      <c r="M64" s="171"/>
      <c r="N64" s="140" t="s">
        <v>43</v>
      </c>
      <c r="O64" s="172">
        <v>3</v>
      </c>
      <c r="P64" s="219">
        <f ca="1">OFFSET($A$1,MATCH(Z63,$A:$A,0)-1,O64)</f>
        <v>1.59</v>
      </c>
      <c r="Q64" s="141" t="s">
        <v>29</v>
      </c>
      <c r="R64" s="142">
        <f t="shared" ref="R64:S69" ca="1" si="15">T64</f>
        <v>467217</v>
      </c>
      <c r="S64" s="142">
        <f t="shared" ca="1" si="15"/>
        <v>742875</v>
      </c>
      <c r="T64" s="142">
        <f ca="1">기술사</f>
        <v>467217</v>
      </c>
      <c r="U64" s="142">
        <f t="shared" ref="U64:U69" ca="1" si="16">ROUNDDOWN(P64*R64,0)</f>
        <v>742875</v>
      </c>
      <c r="V64" s="142"/>
      <c r="W64" s="142"/>
      <c r="X64" s="142"/>
      <c r="Y64" s="142"/>
      <c r="Z64" s="114"/>
    </row>
    <row r="65" spans="1:26" ht="18" customHeight="1">
      <c r="B65" s="222" t="s">
        <v>426</v>
      </c>
      <c r="C65" s="47"/>
      <c r="D65" s="48">
        <f t="shared" ref="D65:I65" si="17">SUBTOTAL(9,D66:D68)</f>
        <v>1</v>
      </c>
      <c r="E65" s="49">
        <f t="shared" si="17"/>
        <v>2.2999999999999998</v>
      </c>
      <c r="F65" s="49">
        <f t="shared" si="17"/>
        <v>3.2</v>
      </c>
      <c r="G65" s="49">
        <f t="shared" si="17"/>
        <v>4.4000000000000004</v>
      </c>
      <c r="H65" s="49">
        <f t="shared" si="17"/>
        <v>4.2</v>
      </c>
      <c r="I65" s="50">
        <f t="shared" si="17"/>
        <v>3.0999999999999996</v>
      </c>
      <c r="J65" s="620"/>
      <c r="K65" s="171" t="s">
        <v>14</v>
      </c>
      <c r="L65" s="171"/>
      <c r="M65" s="171"/>
      <c r="N65" s="143" t="s">
        <v>32</v>
      </c>
      <c r="O65" s="173">
        <v>4</v>
      </c>
      <c r="P65" s="234">
        <f ca="1">OFFSET($A$1,MATCH(Z63,$A:$A,0)-1,O65)</f>
        <v>6.74</v>
      </c>
      <c r="Q65" s="144" t="s">
        <v>29</v>
      </c>
      <c r="R65" s="118">
        <f t="shared" ca="1" si="15"/>
        <v>373353</v>
      </c>
      <c r="S65" s="118">
        <f t="shared" ca="1" si="15"/>
        <v>2516399</v>
      </c>
      <c r="T65" s="118">
        <f ca="1">특급</f>
        <v>373353</v>
      </c>
      <c r="U65" s="118">
        <f t="shared" ca="1" si="16"/>
        <v>2516399</v>
      </c>
      <c r="V65" s="118"/>
      <c r="W65" s="118"/>
      <c r="X65" s="118"/>
      <c r="Y65" s="118"/>
      <c r="Z65" s="115"/>
    </row>
    <row r="66" spans="1:26" ht="18" customHeight="1">
      <c r="A66" s="326">
        <v>18</v>
      </c>
      <c r="B66" s="223" t="s">
        <v>2509</v>
      </c>
      <c r="C66" s="23"/>
      <c r="D66" s="197">
        <f t="array" ref="D66:I66">ROUNDUP(D39:I39*L39,3)</f>
        <v>0.3</v>
      </c>
      <c r="E66" s="198">
        <v>0.6</v>
      </c>
      <c r="F66" s="198">
        <v>1</v>
      </c>
      <c r="G66" s="198">
        <v>1.5</v>
      </c>
      <c r="H66" s="198">
        <v>1.5</v>
      </c>
      <c r="I66" s="199">
        <v>0.9</v>
      </c>
      <c r="J66" s="389"/>
      <c r="K66" s="171" t="s">
        <v>14</v>
      </c>
      <c r="L66" s="171"/>
      <c r="M66" s="171"/>
      <c r="N66" s="145" t="s">
        <v>39</v>
      </c>
      <c r="O66" s="173">
        <v>5</v>
      </c>
      <c r="P66" s="234">
        <f ca="1">OFFSET($A$1,MATCH(Z63,$A:$A,0)-1,O66)</f>
        <v>14.66</v>
      </c>
      <c r="Q66" s="144" t="s">
        <v>29</v>
      </c>
      <c r="R66" s="118">
        <f t="shared" ca="1" si="15"/>
        <v>310884</v>
      </c>
      <c r="S66" s="118">
        <f t="shared" ca="1" si="15"/>
        <v>4557559</v>
      </c>
      <c r="T66" s="118">
        <f ca="1">고급</f>
        <v>310884</v>
      </c>
      <c r="U66" s="118">
        <f t="shared" ca="1" si="16"/>
        <v>4557559</v>
      </c>
      <c r="V66" s="118"/>
      <c r="W66" s="118"/>
      <c r="X66" s="118"/>
      <c r="Y66" s="118"/>
      <c r="Z66" s="115"/>
    </row>
    <row r="67" spans="1:26" ht="18" customHeight="1">
      <c r="A67" s="326">
        <v>19</v>
      </c>
      <c r="B67" s="223" t="s">
        <v>2510</v>
      </c>
      <c r="C67" s="23"/>
      <c r="D67" s="197">
        <f t="array" ref="D67:I67">ROUNDUP(D40:I40*L40*$I$5,3)</f>
        <v>0.3</v>
      </c>
      <c r="E67" s="198">
        <v>0.8</v>
      </c>
      <c r="F67" s="198">
        <v>1</v>
      </c>
      <c r="G67" s="198">
        <v>1.3</v>
      </c>
      <c r="H67" s="198">
        <v>1.2</v>
      </c>
      <c r="I67" s="199">
        <v>1</v>
      </c>
      <c r="J67" s="389"/>
      <c r="K67" s="171" t="s">
        <v>14</v>
      </c>
      <c r="L67" s="171"/>
      <c r="M67" s="171"/>
      <c r="N67" s="145" t="s">
        <v>40</v>
      </c>
      <c r="O67" s="173">
        <v>6</v>
      </c>
      <c r="P67" s="234">
        <f ca="1">OFFSET($A$1,MATCH(Z63,$A:$A,0)-1,O67)</f>
        <v>21.39</v>
      </c>
      <c r="Q67" s="144" t="s">
        <v>29</v>
      </c>
      <c r="R67" s="118">
        <f t="shared" ca="1" si="15"/>
        <v>295138</v>
      </c>
      <c r="S67" s="118">
        <f t="shared" ca="1" si="15"/>
        <v>6313001</v>
      </c>
      <c r="T67" s="118">
        <f ca="1">중급</f>
        <v>295138</v>
      </c>
      <c r="U67" s="118">
        <f t="shared" ca="1" si="16"/>
        <v>6313001</v>
      </c>
      <c r="V67" s="118"/>
      <c r="W67" s="118"/>
      <c r="X67" s="118"/>
      <c r="Y67" s="118"/>
      <c r="Z67" s="115"/>
    </row>
    <row r="68" spans="1:26" ht="18" customHeight="1" thickBot="1">
      <c r="A68" s="326">
        <v>20</v>
      </c>
      <c r="B68" s="388" t="s">
        <v>2511</v>
      </c>
      <c r="C68" s="342"/>
      <c r="D68" s="343">
        <f t="array" ref="D68:I68">ROUNDUP(D41:I41*L41,3)</f>
        <v>0.4</v>
      </c>
      <c r="E68" s="344">
        <v>0.9</v>
      </c>
      <c r="F68" s="344">
        <v>1.2</v>
      </c>
      <c r="G68" s="344">
        <v>1.6</v>
      </c>
      <c r="H68" s="344">
        <v>1.5</v>
      </c>
      <c r="I68" s="345">
        <v>1.2</v>
      </c>
      <c r="J68" s="612"/>
      <c r="K68" s="171" t="s">
        <v>14</v>
      </c>
      <c r="L68" s="171"/>
      <c r="M68" s="171"/>
      <c r="N68" s="145" t="s">
        <v>41</v>
      </c>
      <c r="O68" s="173">
        <v>7</v>
      </c>
      <c r="P68" s="234">
        <f ca="1">OFFSET($A$1,MATCH(Z63,$A:$A,0)-1,O68)</f>
        <v>30.89</v>
      </c>
      <c r="Q68" s="144" t="s">
        <v>29</v>
      </c>
      <c r="R68" s="118">
        <f t="shared" ca="1" si="15"/>
        <v>235459</v>
      </c>
      <c r="S68" s="118">
        <f t="shared" ca="1" si="15"/>
        <v>7273328</v>
      </c>
      <c r="T68" s="118">
        <f ca="1">초급</f>
        <v>235459</v>
      </c>
      <c r="U68" s="118">
        <f t="shared" ca="1" si="16"/>
        <v>7273328</v>
      </c>
      <c r="V68" s="118"/>
      <c r="W68" s="118"/>
      <c r="X68" s="118"/>
      <c r="Y68" s="118"/>
      <c r="Z68" s="115"/>
    </row>
    <row r="69" spans="1:26" ht="18" customHeight="1">
      <c r="B69" s="80" t="s">
        <v>15</v>
      </c>
      <c r="C69" s="9" t="s">
        <v>2515</v>
      </c>
      <c r="K69" s="171" t="s">
        <v>14</v>
      </c>
      <c r="L69" s="171"/>
      <c r="M69" s="171"/>
      <c r="N69" s="319" t="s">
        <v>42</v>
      </c>
      <c r="O69" s="174">
        <v>8</v>
      </c>
      <c r="P69" s="235">
        <f ca="1">OFFSET($A$1,MATCH(Z63,$A:$A,0)-1,O69)</f>
        <v>17.82</v>
      </c>
      <c r="Q69" s="322" t="s">
        <v>29</v>
      </c>
      <c r="R69" s="323">
        <f t="shared" ca="1" si="15"/>
        <v>250087</v>
      </c>
      <c r="S69" s="323">
        <f t="shared" ca="1" si="15"/>
        <v>4456550</v>
      </c>
      <c r="T69" s="323">
        <f ca="1">보조원</f>
        <v>250087</v>
      </c>
      <c r="U69" s="323">
        <f t="shared" ca="1" si="16"/>
        <v>4456550</v>
      </c>
      <c r="V69" s="323"/>
      <c r="W69" s="323"/>
      <c r="X69" s="323"/>
      <c r="Y69" s="323"/>
      <c r="Z69" s="324"/>
    </row>
    <row r="70" spans="1:26" ht="18" customHeight="1">
      <c r="C70" s="1" t="s">
        <v>2516</v>
      </c>
      <c r="K70" s="171" t="s">
        <v>14</v>
      </c>
      <c r="L70" s="171"/>
      <c r="M70" s="171"/>
      <c r="N70" s="139" t="s">
        <v>17</v>
      </c>
      <c r="O70" s="68"/>
      <c r="P70" s="69"/>
      <c r="Q70" s="70"/>
      <c r="R70" s="71"/>
      <c r="S70" s="71">
        <f ca="1">SUBTOTAL(9,S64:S69)</f>
        <v>25859712</v>
      </c>
      <c r="T70" s="71"/>
      <c r="U70" s="71">
        <f ca="1">SUBTOTAL(9,U64:U69)</f>
        <v>25859712</v>
      </c>
      <c r="V70" s="71"/>
      <c r="W70" s="71"/>
      <c r="X70" s="71"/>
      <c r="Y70" s="71"/>
      <c r="Z70" s="68"/>
    </row>
    <row r="71" spans="1:26" ht="18" customHeight="1">
      <c r="C71" s="9" t="s">
        <v>2517</v>
      </c>
      <c r="K71" s="171" t="s">
        <v>14</v>
      </c>
      <c r="L71" s="171"/>
      <c r="M71" s="171"/>
      <c r="N71" s="318" t="str">
        <f ca="1">"제 " &amp; Z71 &amp; " 호표  "&amp; OFFSET($A$1,MATCH(Z71,$A:$A,0)-1,1)</f>
        <v>제 3 호표  1.3. 종합분석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3</v>
      </c>
    </row>
    <row r="72" spans="1:26" ht="18" customHeight="1">
      <c r="C72" s="9"/>
      <c r="K72" s="171" t="s">
        <v>14</v>
      </c>
      <c r="L72" s="171"/>
      <c r="M72" s="171"/>
      <c r="N72" s="140" t="s">
        <v>43</v>
      </c>
      <c r="O72" s="172">
        <v>3</v>
      </c>
      <c r="P72" s="219">
        <f ca="1">OFFSET($A$1,MATCH(Z71,$A:$A,0)-1,O72)</f>
        <v>2.78</v>
      </c>
      <c r="Q72" s="141" t="s">
        <v>29</v>
      </c>
      <c r="R72" s="142">
        <f t="shared" ref="R72:S77" ca="1" si="18">T72</f>
        <v>467217</v>
      </c>
      <c r="S72" s="142">
        <f t="shared" ca="1" si="18"/>
        <v>1298863</v>
      </c>
      <c r="T72" s="142">
        <f ca="1">기술사</f>
        <v>467217</v>
      </c>
      <c r="U72" s="142">
        <f t="shared" ref="U72:U77" ca="1" si="19">ROUNDDOWN(P72*R72,0)</f>
        <v>1298863</v>
      </c>
      <c r="V72" s="142"/>
      <c r="W72" s="142"/>
      <c r="X72" s="142"/>
      <c r="Y72" s="142"/>
      <c r="Z72" s="114"/>
    </row>
    <row r="73" spans="1:26" ht="18" customHeight="1">
      <c r="C73" s="9"/>
      <c r="K73" s="171" t="s">
        <v>14</v>
      </c>
      <c r="L73" s="171"/>
      <c r="M73" s="171"/>
      <c r="N73" s="143" t="s">
        <v>32</v>
      </c>
      <c r="O73" s="173">
        <v>4</v>
      </c>
      <c r="P73" s="234">
        <f ca="1">OFFSET($A$1,MATCH(Z71,$A:$A,0)-1,O73)</f>
        <v>8.32</v>
      </c>
      <c r="Q73" s="144" t="s">
        <v>29</v>
      </c>
      <c r="R73" s="118">
        <f t="shared" ca="1" si="18"/>
        <v>373353</v>
      </c>
      <c r="S73" s="118">
        <f t="shared" ca="1" si="18"/>
        <v>3106296</v>
      </c>
      <c r="T73" s="118">
        <f ca="1">특급</f>
        <v>373353</v>
      </c>
      <c r="U73" s="118">
        <f t="shared" ca="1" si="19"/>
        <v>3106296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145" t="s">
        <v>39</v>
      </c>
      <c r="O74" s="173">
        <v>5</v>
      </c>
      <c r="P74" s="234">
        <f ca="1">OFFSET($A$1,MATCH(Z71,$A:$A,0)-1,O74)</f>
        <v>17.03</v>
      </c>
      <c r="Q74" s="144" t="s">
        <v>29</v>
      </c>
      <c r="R74" s="118">
        <f t="shared" ca="1" si="18"/>
        <v>310884</v>
      </c>
      <c r="S74" s="118">
        <f t="shared" ca="1" si="18"/>
        <v>5294354</v>
      </c>
      <c r="T74" s="118">
        <f ca="1">고급</f>
        <v>310884</v>
      </c>
      <c r="U74" s="118">
        <f t="shared" ca="1" si="19"/>
        <v>5294354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M75" s="171"/>
      <c r="N75" s="145" t="s">
        <v>40</v>
      </c>
      <c r="O75" s="173">
        <v>6</v>
      </c>
      <c r="P75" s="234">
        <f ca="1">OFFSET($A$1,MATCH(Z71,$A:$A,0)-1,O75)</f>
        <v>22.970000000000002</v>
      </c>
      <c r="Q75" s="144" t="s">
        <v>29</v>
      </c>
      <c r="R75" s="118">
        <f t="shared" ca="1" si="18"/>
        <v>295138</v>
      </c>
      <c r="S75" s="118">
        <f t="shared" ca="1" si="18"/>
        <v>6779319</v>
      </c>
      <c r="T75" s="118">
        <f ca="1">중급</f>
        <v>295138</v>
      </c>
      <c r="U75" s="118">
        <f t="shared" ca="1" si="19"/>
        <v>6779319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M76" s="171"/>
      <c r="N76" s="145" t="s">
        <v>41</v>
      </c>
      <c r="O76" s="173">
        <v>7</v>
      </c>
      <c r="P76" s="234">
        <f ca="1">OFFSET($A$1,MATCH(Z71,$A:$A,0)-1,O76)</f>
        <v>29.310000000000002</v>
      </c>
      <c r="Q76" s="144" t="s">
        <v>29</v>
      </c>
      <c r="R76" s="118">
        <f t="shared" ca="1" si="18"/>
        <v>235459</v>
      </c>
      <c r="S76" s="118">
        <f t="shared" ca="1" si="18"/>
        <v>6901303</v>
      </c>
      <c r="T76" s="118">
        <f ca="1">초급</f>
        <v>235459</v>
      </c>
      <c r="U76" s="118">
        <f t="shared" ca="1" si="19"/>
        <v>6901303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M77" s="171"/>
      <c r="N77" s="319" t="s">
        <v>42</v>
      </c>
      <c r="O77" s="174">
        <v>8</v>
      </c>
      <c r="P77" s="235">
        <f ca="1">OFFSET($A$1,MATCH(Z71,$A:$A,0)-1,O77)</f>
        <v>17.03</v>
      </c>
      <c r="Q77" s="322" t="s">
        <v>29</v>
      </c>
      <c r="R77" s="323">
        <f t="shared" ca="1" si="18"/>
        <v>250087</v>
      </c>
      <c r="S77" s="323">
        <f t="shared" ca="1" si="18"/>
        <v>4258981</v>
      </c>
      <c r="T77" s="323">
        <f ca="1">보조원</f>
        <v>250087</v>
      </c>
      <c r="U77" s="323">
        <f t="shared" ca="1" si="19"/>
        <v>4258981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M78" s="171"/>
      <c r="N78" s="139" t="s">
        <v>17</v>
      </c>
      <c r="O78" s="68"/>
      <c r="P78" s="69"/>
      <c r="Q78" s="70"/>
      <c r="R78" s="71"/>
      <c r="S78" s="71">
        <f ca="1">SUBTOTAL(9,S72:S77)</f>
        <v>27639116</v>
      </c>
      <c r="T78" s="71"/>
      <c r="U78" s="71">
        <f ca="1">SUBTOTAL(9,U72:U77)</f>
        <v>27639116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M79" s="171"/>
      <c r="N79" s="318" t="str">
        <f ca="1">"제 " &amp; Z79 &amp; " 호표  "&amp; OFFSET($A$1,MATCH(Z79,$A:$A,0)-1,1)</f>
        <v>제 4 호표  2.1. 개발방향설정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4</v>
      </c>
    </row>
    <row r="80" spans="1:26" ht="18" customHeight="1">
      <c r="K80" s="171" t="s">
        <v>14</v>
      </c>
      <c r="L80" s="171"/>
      <c r="M80" s="171"/>
      <c r="N80" s="140" t="s">
        <v>43</v>
      </c>
      <c r="O80" s="172">
        <v>3</v>
      </c>
      <c r="P80" s="219">
        <f ca="1">OFFSET($A$1,MATCH(Z79,$A:$A,0)-1,O80)</f>
        <v>5.1499999999999995</v>
      </c>
      <c r="Q80" s="141" t="s">
        <v>29</v>
      </c>
      <c r="R80" s="142">
        <f t="shared" ref="R80:S85" ca="1" si="20">T80</f>
        <v>467217</v>
      </c>
      <c r="S80" s="142">
        <f t="shared" ca="1" si="20"/>
        <v>2406167</v>
      </c>
      <c r="T80" s="142">
        <f ca="1">기술사</f>
        <v>467217</v>
      </c>
      <c r="U80" s="142">
        <f t="shared" ref="U80:U85" ca="1" si="21">ROUNDDOWN(P80*R80,0)</f>
        <v>2406167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M81" s="171"/>
      <c r="N81" s="143" t="s">
        <v>32</v>
      </c>
      <c r="O81" s="173">
        <v>4</v>
      </c>
      <c r="P81" s="234">
        <f ca="1">OFFSET($A$1,MATCH(Z79,$A:$A,0)-1,O81)</f>
        <v>14.66</v>
      </c>
      <c r="Q81" s="144" t="s">
        <v>29</v>
      </c>
      <c r="R81" s="118">
        <f t="shared" ca="1" si="20"/>
        <v>373353</v>
      </c>
      <c r="S81" s="118">
        <f t="shared" ca="1" si="20"/>
        <v>5473354</v>
      </c>
      <c r="T81" s="118">
        <f ca="1">특급</f>
        <v>373353</v>
      </c>
      <c r="U81" s="118">
        <f t="shared" ca="1" si="21"/>
        <v>5473354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39</v>
      </c>
      <c r="O82" s="173">
        <v>5</v>
      </c>
      <c r="P82" s="234">
        <f ca="1">OFFSET($A$1,MATCH(Z79,$A:$A,0)-1,O82)</f>
        <v>24.16</v>
      </c>
      <c r="Q82" s="144" t="s">
        <v>29</v>
      </c>
      <c r="R82" s="118">
        <f t="shared" ca="1" si="20"/>
        <v>310884</v>
      </c>
      <c r="S82" s="118">
        <f t="shared" ca="1" si="20"/>
        <v>7510957</v>
      </c>
      <c r="T82" s="118">
        <f ca="1">고급</f>
        <v>310884</v>
      </c>
      <c r="U82" s="118">
        <f t="shared" ca="1" si="21"/>
        <v>7510957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40</v>
      </c>
      <c r="O83" s="173">
        <v>6</v>
      </c>
      <c r="P83" s="234">
        <f ca="1">OFFSET($A$1,MATCH(Z79,$A:$A,0)-1,O83)</f>
        <v>25.74</v>
      </c>
      <c r="Q83" s="144" t="s">
        <v>29</v>
      </c>
      <c r="R83" s="118">
        <f t="shared" ca="1" si="20"/>
        <v>295138</v>
      </c>
      <c r="S83" s="118">
        <f t="shared" ca="1" si="20"/>
        <v>7596852</v>
      </c>
      <c r="T83" s="118">
        <f ca="1">중급</f>
        <v>295138</v>
      </c>
      <c r="U83" s="118">
        <f t="shared" ca="1" si="21"/>
        <v>7596852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41</v>
      </c>
      <c r="O84" s="173">
        <v>7</v>
      </c>
      <c r="P84" s="234">
        <f ca="1">OFFSET($A$1,MATCH(Z79,$A:$A,0)-1,O84)</f>
        <v>32.08</v>
      </c>
      <c r="Q84" s="144" t="s">
        <v>29</v>
      </c>
      <c r="R84" s="118">
        <f t="shared" ca="1" si="20"/>
        <v>235459</v>
      </c>
      <c r="S84" s="118">
        <f t="shared" ca="1" si="20"/>
        <v>7553524</v>
      </c>
      <c r="T84" s="118">
        <f ca="1">초급</f>
        <v>235459</v>
      </c>
      <c r="U84" s="118">
        <f t="shared" ca="1" si="21"/>
        <v>7553524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319" t="s">
        <v>42</v>
      </c>
      <c r="O85" s="174">
        <v>8</v>
      </c>
      <c r="P85" s="235">
        <f ca="1">OFFSET($A$1,MATCH(Z79,$A:$A,0)-1,O85)</f>
        <v>15.049999999999999</v>
      </c>
      <c r="Q85" s="322" t="s">
        <v>29</v>
      </c>
      <c r="R85" s="323">
        <f t="shared" ca="1" si="20"/>
        <v>250087</v>
      </c>
      <c r="S85" s="323">
        <f t="shared" ca="1" si="20"/>
        <v>3763809</v>
      </c>
      <c r="T85" s="323">
        <f ca="1">보조원</f>
        <v>250087</v>
      </c>
      <c r="U85" s="323">
        <f t="shared" ca="1" si="21"/>
        <v>3763809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M86" s="171"/>
      <c r="N86" s="139" t="s">
        <v>17</v>
      </c>
      <c r="O86" s="68"/>
      <c r="P86" s="69"/>
      <c r="Q86" s="70"/>
      <c r="R86" s="71"/>
      <c r="S86" s="71">
        <f ca="1">SUBTOTAL(9,S80:S85)</f>
        <v>34304663</v>
      </c>
      <c r="T86" s="71"/>
      <c r="U86" s="71">
        <f ca="1">SUBTOTAL(9,U80:U85)</f>
        <v>34304663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M87" s="171"/>
      <c r="N87" s="318" t="str">
        <f ca="1">"제 " &amp; Z87 &amp; " 호표  "&amp; OFFSET($A$1,MATCH(Z87,$A:$A,0)-1,1)</f>
        <v>제 5 호표  2.2. 계획지표설정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5</v>
      </c>
    </row>
    <row r="88" spans="11:26" ht="18" customHeight="1">
      <c r="K88" s="171" t="s">
        <v>14</v>
      </c>
      <c r="L88" s="171"/>
      <c r="M88" s="171"/>
      <c r="N88" s="140" t="s">
        <v>43</v>
      </c>
      <c r="O88" s="172">
        <v>3</v>
      </c>
      <c r="P88" s="219">
        <f ca="1">OFFSET($A$1,MATCH(Z87,$A:$A,0)-1,O88)</f>
        <v>4.76</v>
      </c>
      <c r="Q88" s="141" t="s">
        <v>29</v>
      </c>
      <c r="R88" s="142">
        <f t="shared" ref="R88:S93" ca="1" si="22">T88</f>
        <v>467217</v>
      </c>
      <c r="S88" s="142">
        <f t="shared" ca="1" si="22"/>
        <v>2223952</v>
      </c>
      <c r="T88" s="142">
        <f ca="1">기술사</f>
        <v>467217</v>
      </c>
      <c r="U88" s="142">
        <f t="shared" ref="U88:U93" ca="1" si="23">ROUNDDOWN(P88*R88,0)</f>
        <v>2223952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M89" s="171"/>
      <c r="N89" s="143" t="s">
        <v>32</v>
      </c>
      <c r="O89" s="173">
        <v>4</v>
      </c>
      <c r="P89" s="234">
        <f ca="1">OFFSET($A$1,MATCH(Z87,$A:$A,0)-1,O89)</f>
        <v>16.240000000000002</v>
      </c>
      <c r="Q89" s="144" t="s">
        <v>29</v>
      </c>
      <c r="R89" s="118">
        <f t="shared" ca="1" si="22"/>
        <v>373353</v>
      </c>
      <c r="S89" s="118">
        <f t="shared" ca="1" si="22"/>
        <v>6063252</v>
      </c>
      <c r="T89" s="118">
        <f ca="1">특급</f>
        <v>373353</v>
      </c>
      <c r="U89" s="118">
        <f t="shared" ca="1" si="23"/>
        <v>6063252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39</v>
      </c>
      <c r="O90" s="173">
        <v>5</v>
      </c>
      <c r="P90" s="234">
        <f ca="1">OFFSET($A$1,MATCH(Z87,$A:$A,0)-1,O90)</f>
        <v>24.560000000000002</v>
      </c>
      <c r="Q90" s="144" t="s">
        <v>29</v>
      </c>
      <c r="R90" s="118">
        <f t="shared" ca="1" si="22"/>
        <v>310884</v>
      </c>
      <c r="S90" s="118">
        <f t="shared" ca="1" si="22"/>
        <v>7635311</v>
      </c>
      <c r="T90" s="118">
        <f ca="1">고급</f>
        <v>310884</v>
      </c>
      <c r="U90" s="118">
        <f t="shared" ca="1" si="23"/>
        <v>7635311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40</v>
      </c>
      <c r="O91" s="173">
        <v>6</v>
      </c>
      <c r="P91" s="234">
        <f ca="1">OFFSET($A$1,MATCH(Z87,$A:$A,0)-1,O91)</f>
        <v>24.560000000000002</v>
      </c>
      <c r="Q91" s="144" t="s">
        <v>29</v>
      </c>
      <c r="R91" s="118">
        <f t="shared" ca="1" si="22"/>
        <v>295138</v>
      </c>
      <c r="S91" s="118">
        <f t="shared" ca="1" si="22"/>
        <v>7248589</v>
      </c>
      <c r="T91" s="118">
        <f ca="1">중급</f>
        <v>295138</v>
      </c>
      <c r="U91" s="118">
        <f t="shared" ca="1" si="23"/>
        <v>7248589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41</v>
      </c>
      <c r="O92" s="173">
        <v>7</v>
      </c>
      <c r="P92" s="234">
        <f ca="1">OFFSET($A$1,MATCH(Z87,$A:$A,0)-1,O92)</f>
        <v>30.5</v>
      </c>
      <c r="Q92" s="144" t="s">
        <v>29</v>
      </c>
      <c r="R92" s="118">
        <f t="shared" ca="1" si="22"/>
        <v>235459</v>
      </c>
      <c r="S92" s="118">
        <f t="shared" ca="1" si="22"/>
        <v>7181499</v>
      </c>
      <c r="T92" s="118">
        <f ca="1">초급</f>
        <v>235459</v>
      </c>
      <c r="U92" s="118">
        <f t="shared" ca="1" si="23"/>
        <v>7181499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319" t="s">
        <v>42</v>
      </c>
      <c r="O93" s="174">
        <v>8</v>
      </c>
      <c r="P93" s="235">
        <f ca="1">OFFSET($A$1,MATCH(Z87,$A:$A,0)-1,O93)</f>
        <v>12.28</v>
      </c>
      <c r="Q93" s="322" t="s">
        <v>29</v>
      </c>
      <c r="R93" s="323">
        <f t="shared" ca="1" si="22"/>
        <v>250087</v>
      </c>
      <c r="S93" s="323">
        <f t="shared" ca="1" si="22"/>
        <v>3071068</v>
      </c>
      <c r="T93" s="323">
        <f ca="1">보조원</f>
        <v>250087</v>
      </c>
      <c r="U93" s="323">
        <f t="shared" ca="1" si="23"/>
        <v>3071068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M94" s="171"/>
      <c r="N94" s="139" t="s">
        <v>17</v>
      </c>
      <c r="O94" s="68"/>
      <c r="P94" s="69"/>
      <c r="Q94" s="70"/>
      <c r="R94" s="71"/>
      <c r="S94" s="71">
        <f ca="1">SUBTOTAL(9,S88:S93)</f>
        <v>33423671</v>
      </c>
      <c r="T94" s="71"/>
      <c r="U94" s="71">
        <f ca="1">SUBTOTAL(9,U88:U93)</f>
        <v>33423671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M95" s="171"/>
      <c r="N95" s="318" t="str">
        <f ca="1">"제 " &amp; Z95 &amp; " 호표  "&amp; OFFSET($A$1,MATCH(Z95,$A:$A,0)-1,1)</f>
        <v>제 6 호표  2.3. 토지이용체계구상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6</v>
      </c>
    </row>
    <row r="96" spans="11:26" ht="18" customHeight="1">
      <c r="K96" s="171" t="s">
        <v>14</v>
      </c>
      <c r="L96" s="171"/>
      <c r="M96" s="171"/>
      <c r="N96" s="140" t="s">
        <v>43</v>
      </c>
      <c r="O96" s="172">
        <v>3</v>
      </c>
      <c r="P96" s="219">
        <f ca="1">OFFSET($A$1,MATCH(Z95,$A:$A,0)-1,O96)</f>
        <v>4.76</v>
      </c>
      <c r="Q96" s="141" t="s">
        <v>29</v>
      </c>
      <c r="R96" s="142">
        <f t="shared" ref="R96:S101" ca="1" si="24">T96</f>
        <v>467217</v>
      </c>
      <c r="S96" s="142">
        <f t="shared" ca="1" si="24"/>
        <v>2223952</v>
      </c>
      <c r="T96" s="142">
        <f ca="1">기술사</f>
        <v>467217</v>
      </c>
      <c r="U96" s="142">
        <f t="shared" ref="U96:U101" ca="1" si="25">ROUNDDOWN(P96*R96,0)</f>
        <v>2223952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M97" s="171"/>
      <c r="N97" s="143" t="s">
        <v>32</v>
      </c>
      <c r="O97" s="173">
        <v>4</v>
      </c>
      <c r="P97" s="234">
        <f ca="1">OFFSET($A$1,MATCH(Z95,$A:$A,0)-1,O97)</f>
        <v>17.430000000000003</v>
      </c>
      <c r="Q97" s="144" t="s">
        <v>29</v>
      </c>
      <c r="R97" s="118">
        <f t="shared" ca="1" si="24"/>
        <v>373353</v>
      </c>
      <c r="S97" s="118">
        <f t="shared" ca="1" si="24"/>
        <v>6507542</v>
      </c>
      <c r="T97" s="118">
        <f ca="1">특급</f>
        <v>373353</v>
      </c>
      <c r="U97" s="118">
        <f t="shared" ca="1" si="25"/>
        <v>6507542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39</v>
      </c>
      <c r="O98" s="173">
        <v>5</v>
      </c>
      <c r="P98" s="234">
        <f ca="1">OFFSET($A$1,MATCH(Z95,$A:$A,0)-1,O98)</f>
        <v>26.930000000000003</v>
      </c>
      <c r="Q98" s="144" t="s">
        <v>29</v>
      </c>
      <c r="R98" s="118">
        <f t="shared" ca="1" si="24"/>
        <v>310884</v>
      </c>
      <c r="S98" s="118">
        <f t="shared" ca="1" si="24"/>
        <v>8372106</v>
      </c>
      <c r="T98" s="118">
        <f ca="1">고급</f>
        <v>310884</v>
      </c>
      <c r="U98" s="118">
        <f t="shared" ca="1" si="25"/>
        <v>8372106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40</v>
      </c>
      <c r="O99" s="173">
        <v>6</v>
      </c>
      <c r="P99" s="234">
        <f ca="1">OFFSET($A$1,MATCH(Z95,$A:$A,0)-1,O99)</f>
        <v>31.68</v>
      </c>
      <c r="Q99" s="144" t="s">
        <v>29</v>
      </c>
      <c r="R99" s="118">
        <f t="shared" ca="1" si="24"/>
        <v>295138</v>
      </c>
      <c r="S99" s="118">
        <f t="shared" ca="1" si="24"/>
        <v>9349971</v>
      </c>
      <c r="T99" s="118">
        <f ca="1">중급</f>
        <v>295138</v>
      </c>
      <c r="U99" s="118">
        <f t="shared" ca="1" si="25"/>
        <v>9349971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41</v>
      </c>
      <c r="O100" s="173">
        <v>7</v>
      </c>
      <c r="P100" s="234">
        <f ca="1">OFFSET($A$1,MATCH(Z95,$A:$A,0)-1,O100)</f>
        <v>37.229999999999997</v>
      </c>
      <c r="Q100" s="144" t="s">
        <v>29</v>
      </c>
      <c r="R100" s="118">
        <f t="shared" ca="1" si="24"/>
        <v>235459</v>
      </c>
      <c r="S100" s="118">
        <f t="shared" ca="1" si="24"/>
        <v>8766138</v>
      </c>
      <c r="T100" s="118">
        <f ca="1">초급</f>
        <v>235459</v>
      </c>
      <c r="U100" s="118">
        <f t="shared" ca="1" si="25"/>
        <v>8766138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319" t="s">
        <v>42</v>
      </c>
      <c r="O101" s="174">
        <v>8</v>
      </c>
      <c r="P101" s="235">
        <f ca="1">OFFSET($A$1,MATCH(Z95,$A:$A,0)-1,O101)</f>
        <v>15.049999999999999</v>
      </c>
      <c r="Q101" s="322" t="s">
        <v>29</v>
      </c>
      <c r="R101" s="323">
        <f t="shared" ca="1" si="24"/>
        <v>250087</v>
      </c>
      <c r="S101" s="323">
        <f t="shared" ca="1" si="24"/>
        <v>3763809</v>
      </c>
      <c r="T101" s="323">
        <f ca="1">보조원</f>
        <v>250087</v>
      </c>
      <c r="U101" s="323">
        <f t="shared" ca="1" si="25"/>
        <v>3763809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M102" s="171"/>
      <c r="N102" s="139" t="s">
        <v>17</v>
      </c>
      <c r="O102" s="68"/>
      <c r="P102" s="69"/>
      <c r="Q102" s="70"/>
      <c r="R102" s="71"/>
      <c r="S102" s="71">
        <f ca="1">SUBTOTAL(9,S96:S101)</f>
        <v>38983518</v>
      </c>
      <c r="T102" s="71"/>
      <c r="U102" s="71">
        <f ca="1">SUBTOTAL(9,U96:U101)</f>
        <v>38983518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M103" s="171"/>
      <c r="N103" s="318" t="str">
        <f ca="1">"제 " &amp; Z103 &amp; " 호표  "&amp; OFFSET($A$1,MATCH(Z103,$A:$A,0)-1,1)</f>
        <v>제 7 호표  2.4. 동선체계구상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7</v>
      </c>
    </row>
    <row r="104" spans="11:26" ht="18" customHeight="1">
      <c r="K104" s="171" t="s">
        <v>14</v>
      </c>
      <c r="L104" s="171"/>
      <c r="M104" s="171"/>
      <c r="N104" s="140" t="s">
        <v>43</v>
      </c>
      <c r="O104" s="172">
        <v>3</v>
      </c>
      <c r="P104" s="219">
        <f ca="1">OFFSET($A$1,MATCH(Z103,$A:$A,0)-1,O104)</f>
        <v>4.76</v>
      </c>
      <c r="Q104" s="141" t="s">
        <v>29</v>
      </c>
      <c r="R104" s="142">
        <f t="shared" ref="R104:S109" ca="1" si="26">T104</f>
        <v>467217</v>
      </c>
      <c r="S104" s="142">
        <f t="shared" ca="1" si="26"/>
        <v>2223952</v>
      </c>
      <c r="T104" s="142">
        <f ca="1">기술사</f>
        <v>467217</v>
      </c>
      <c r="U104" s="142">
        <f t="shared" ref="U104:U109" ca="1" si="27">ROUNDDOWN(P104*R104,0)</f>
        <v>2223952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M105" s="171"/>
      <c r="N105" s="143" t="s">
        <v>32</v>
      </c>
      <c r="O105" s="173">
        <v>4</v>
      </c>
      <c r="P105" s="234">
        <f ca="1">OFFSET($A$1,MATCH(Z103,$A:$A,0)-1,O105)</f>
        <v>17.430000000000003</v>
      </c>
      <c r="Q105" s="144" t="s">
        <v>29</v>
      </c>
      <c r="R105" s="118">
        <f t="shared" ca="1" si="26"/>
        <v>373353</v>
      </c>
      <c r="S105" s="118">
        <f t="shared" ca="1" si="26"/>
        <v>6507542</v>
      </c>
      <c r="T105" s="118">
        <f ca="1">특급</f>
        <v>373353</v>
      </c>
      <c r="U105" s="118">
        <f t="shared" ca="1" si="27"/>
        <v>6507542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39</v>
      </c>
      <c r="O106" s="173">
        <v>5</v>
      </c>
      <c r="P106" s="234">
        <f ca="1">OFFSET($A$1,MATCH(Z103,$A:$A,0)-1,O106)</f>
        <v>26.930000000000003</v>
      </c>
      <c r="Q106" s="144" t="s">
        <v>29</v>
      </c>
      <c r="R106" s="118">
        <f t="shared" ca="1" si="26"/>
        <v>310884</v>
      </c>
      <c r="S106" s="118">
        <f t="shared" ca="1" si="26"/>
        <v>8372106</v>
      </c>
      <c r="T106" s="118">
        <f ca="1">고급</f>
        <v>310884</v>
      </c>
      <c r="U106" s="118">
        <f t="shared" ca="1" si="27"/>
        <v>8372106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40</v>
      </c>
      <c r="O107" s="173">
        <v>6</v>
      </c>
      <c r="P107" s="234">
        <f ca="1">OFFSET($A$1,MATCH(Z103,$A:$A,0)-1,O107)</f>
        <v>31.68</v>
      </c>
      <c r="Q107" s="144" t="s">
        <v>29</v>
      </c>
      <c r="R107" s="118">
        <f t="shared" ca="1" si="26"/>
        <v>295138</v>
      </c>
      <c r="S107" s="118">
        <f t="shared" ca="1" si="26"/>
        <v>9349971</v>
      </c>
      <c r="T107" s="118">
        <f ca="1">중급</f>
        <v>295138</v>
      </c>
      <c r="U107" s="118">
        <f t="shared" ca="1" si="27"/>
        <v>9349971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41</v>
      </c>
      <c r="O108" s="173">
        <v>7</v>
      </c>
      <c r="P108" s="234">
        <f ca="1">OFFSET($A$1,MATCH(Z103,$A:$A,0)-1,O108)</f>
        <v>37.229999999999997</v>
      </c>
      <c r="Q108" s="144" t="s">
        <v>29</v>
      </c>
      <c r="R108" s="118">
        <f t="shared" ca="1" si="26"/>
        <v>235459</v>
      </c>
      <c r="S108" s="118">
        <f t="shared" ca="1" si="26"/>
        <v>8766138</v>
      </c>
      <c r="T108" s="118">
        <f ca="1">초급</f>
        <v>235459</v>
      </c>
      <c r="U108" s="118">
        <f t="shared" ca="1" si="27"/>
        <v>8766138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319" t="s">
        <v>42</v>
      </c>
      <c r="O109" s="174">
        <v>8</v>
      </c>
      <c r="P109" s="235">
        <f ca="1">OFFSET($A$1,MATCH(Z103,$A:$A,0)-1,O109)</f>
        <v>15.049999999999999</v>
      </c>
      <c r="Q109" s="322" t="s">
        <v>29</v>
      </c>
      <c r="R109" s="323">
        <f t="shared" ca="1" si="26"/>
        <v>250087</v>
      </c>
      <c r="S109" s="323">
        <f t="shared" ca="1" si="26"/>
        <v>3763809</v>
      </c>
      <c r="T109" s="323">
        <f ca="1">보조원</f>
        <v>250087</v>
      </c>
      <c r="U109" s="323">
        <f t="shared" ca="1" si="27"/>
        <v>3763809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M110" s="171"/>
      <c r="N110" s="139" t="s">
        <v>17</v>
      </c>
      <c r="O110" s="68"/>
      <c r="P110" s="69"/>
      <c r="Q110" s="70"/>
      <c r="R110" s="71"/>
      <c r="S110" s="71">
        <f ca="1">SUBTOTAL(9,S104:S109)</f>
        <v>38983518</v>
      </c>
      <c r="T110" s="71"/>
      <c r="U110" s="71">
        <f ca="1">SUBTOTAL(9,U104:U109)</f>
        <v>38983518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M111" s="171"/>
      <c r="N111" s="318" t="str">
        <f ca="1">"제 " &amp; Z111 &amp; " 호표  "&amp; OFFSET($A$1,MATCH(Z111,$A:$A,0)-1,1)</f>
        <v>제 8 호표  2.5. 유치시설종류 및 규모설정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8</v>
      </c>
    </row>
    <row r="112" spans="11:26" ht="18" customHeight="1">
      <c r="K112" s="171" t="s">
        <v>14</v>
      </c>
      <c r="L112" s="171"/>
      <c r="M112" s="171"/>
      <c r="N112" s="140" t="s">
        <v>43</v>
      </c>
      <c r="O112" s="172">
        <v>3</v>
      </c>
      <c r="P112" s="219">
        <f ca="1">OFFSET($A$1,MATCH(Z111,$A:$A,0)-1,O112)</f>
        <v>5.1499999999999995</v>
      </c>
      <c r="Q112" s="141" t="s">
        <v>29</v>
      </c>
      <c r="R112" s="142">
        <f t="shared" ref="R112:S117" ca="1" si="28">T112</f>
        <v>467217</v>
      </c>
      <c r="S112" s="142">
        <f t="shared" ca="1" si="28"/>
        <v>2406167</v>
      </c>
      <c r="T112" s="142">
        <f ca="1">기술사</f>
        <v>467217</v>
      </c>
      <c r="U112" s="142">
        <f t="shared" ref="U112:U117" ca="1" si="29">ROUNDDOWN(P112*R112,0)</f>
        <v>2406167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M113" s="171"/>
      <c r="N113" s="143" t="s">
        <v>32</v>
      </c>
      <c r="O113" s="173">
        <v>4</v>
      </c>
      <c r="P113" s="234">
        <f ca="1">OFFSET($A$1,MATCH(Z111,$A:$A,0)-1,O113)</f>
        <v>19.010000000000002</v>
      </c>
      <c r="Q113" s="144" t="s">
        <v>29</v>
      </c>
      <c r="R113" s="118">
        <f t="shared" ca="1" si="28"/>
        <v>373353</v>
      </c>
      <c r="S113" s="118">
        <f t="shared" ca="1" si="28"/>
        <v>7097440</v>
      </c>
      <c r="T113" s="118">
        <f ca="1">특급</f>
        <v>373353</v>
      </c>
      <c r="U113" s="118">
        <f t="shared" ca="1" si="29"/>
        <v>7097440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39</v>
      </c>
      <c r="O114" s="173">
        <v>5</v>
      </c>
      <c r="P114" s="234">
        <f ca="1">OFFSET($A$1,MATCH(Z111,$A:$A,0)-1,O114)</f>
        <v>30.5</v>
      </c>
      <c r="Q114" s="144" t="s">
        <v>29</v>
      </c>
      <c r="R114" s="118">
        <f t="shared" ca="1" si="28"/>
        <v>310884</v>
      </c>
      <c r="S114" s="118">
        <f t="shared" ca="1" si="28"/>
        <v>9481962</v>
      </c>
      <c r="T114" s="118">
        <f ca="1">고급</f>
        <v>310884</v>
      </c>
      <c r="U114" s="118">
        <f t="shared" ca="1" si="29"/>
        <v>9481962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40</v>
      </c>
      <c r="O115" s="173">
        <v>6</v>
      </c>
      <c r="P115" s="234">
        <f ca="1">OFFSET($A$1,MATCH(Z111,$A:$A,0)-1,O115)</f>
        <v>30.5</v>
      </c>
      <c r="Q115" s="144" t="s">
        <v>29</v>
      </c>
      <c r="R115" s="118">
        <f t="shared" ca="1" si="28"/>
        <v>295138</v>
      </c>
      <c r="S115" s="118">
        <f t="shared" ca="1" si="28"/>
        <v>9001709</v>
      </c>
      <c r="T115" s="118">
        <f ca="1">중급</f>
        <v>295138</v>
      </c>
      <c r="U115" s="118">
        <f t="shared" ca="1" si="29"/>
        <v>9001709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41</v>
      </c>
      <c r="O116" s="173">
        <v>7</v>
      </c>
      <c r="P116" s="234">
        <f ca="1">OFFSET($A$1,MATCH(Z111,$A:$A,0)-1,O116)</f>
        <v>36.44</v>
      </c>
      <c r="Q116" s="144" t="s">
        <v>29</v>
      </c>
      <c r="R116" s="118">
        <f t="shared" ca="1" si="28"/>
        <v>235459</v>
      </c>
      <c r="S116" s="118">
        <f t="shared" ca="1" si="28"/>
        <v>8580125</v>
      </c>
      <c r="T116" s="118">
        <f ca="1">초급</f>
        <v>235459</v>
      </c>
      <c r="U116" s="118">
        <f t="shared" ca="1" si="29"/>
        <v>8580125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319" t="s">
        <v>42</v>
      </c>
      <c r="O117" s="174">
        <v>8</v>
      </c>
      <c r="P117" s="235">
        <f ca="1">OFFSET($A$1,MATCH(Z111,$A:$A,0)-1,O117)</f>
        <v>17.430000000000003</v>
      </c>
      <c r="Q117" s="322" t="s">
        <v>29</v>
      </c>
      <c r="R117" s="323">
        <f t="shared" ca="1" si="28"/>
        <v>250087</v>
      </c>
      <c r="S117" s="323">
        <f t="shared" ca="1" si="28"/>
        <v>4359016</v>
      </c>
      <c r="T117" s="323">
        <f ca="1">보조원</f>
        <v>250087</v>
      </c>
      <c r="U117" s="323">
        <f t="shared" ca="1" si="29"/>
        <v>4359016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40926419</v>
      </c>
      <c r="T118" s="71"/>
      <c r="U118" s="71">
        <f ca="1">SUBTOTAL(9,U112:U117)</f>
        <v>40926419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  <c r="N119" s="318" t="str">
        <f ca="1">"제 " &amp; Z119 &amp; " 호표  "&amp; OFFSET($A$1,MATCH(Z119,$A:$A,0)-1,1)</f>
        <v>제 9 호표  3.1. 토지이용계획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9</v>
      </c>
    </row>
    <row r="120" spans="11:26" ht="18" customHeight="1">
      <c r="K120" s="171" t="s">
        <v>14</v>
      </c>
      <c r="L120" s="171"/>
      <c r="M120" s="171"/>
      <c r="N120" s="140" t="s">
        <v>43</v>
      </c>
      <c r="O120" s="172">
        <v>3</v>
      </c>
      <c r="P120" s="219">
        <f ca="1">OFFSET($A$1,MATCH(Z119,$A:$A,0)-1,O120)</f>
        <v>7.92</v>
      </c>
      <c r="Q120" s="141" t="s">
        <v>29</v>
      </c>
      <c r="R120" s="142">
        <f t="shared" ref="R120:S125" ca="1" si="30">T120</f>
        <v>467217</v>
      </c>
      <c r="S120" s="142">
        <f t="shared" ca="1" si="30"/>
        <v>3700358</v>
      </c>
      <c r="T120" s="142">
        <f ca="1">기술사</f>
        <v>467217</v>
      </c>
      <c r="U120" s="142">
        <f t="shared" ref="U120:U125" ca="1" si="31">ROUNDDOWN(P120*R120,0)</f>
        <v>3700358</v>
      </c>
      <c r="V120" s="142"/>
      <c r="W120" s="142"/>
      <c r="X120" s="142"/>
      <c r="Y120" s="142"/>
      <c r="Z120" s="114"/>
    </row>
    <row r="121" spans="11:26" ht="18" customHeight="1">
      <c r="K121" s="171" t="s">
        <v>14</v>
      </c>
      <c r="L121" s="171"/>
      <c r="M121" s="171"/>
      <c r="N121" s="143" t="s">
        <v>32</v>
      </c>
      <c r="O121" s="173">
        <v>4</v>
      </c>
      <c r="P121" s="234">
        <f ca="1">OFFSET($A$1,MATCH(Z119,$A:$A,0)-1,O121)</f>
        <v>24.950000000000003</v>
      </c>
      <c r="Q121" s="144" t="s">
        <v>29</v>
      </c>
      <c r="R121" s="118">
        <f t="shared" ca="1" si="30"/>
        <v>373353</v>
      </c>
      <c r="S121" s="118">
        <f t="shared" ca="1" si="30"/>
        <v>9315157</v>
      </c>
      <c r="T121" s="118">
        <f ca="1">특급</f>
        <v>373353</v>
      </c>
      <c r="U121" s="118">
        <f t="shared" ca="1" si="31"/>
        <v>9315157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39</v>
      </c>
      <c r="O122" s="173">
        <v>5</v>
      </c>
      <c r="P122" s="234">
        <f ca="1">OFFSET($A$1,MATCH(Z119,$A:$A,0)-1,O122)</f>
        <v>38.809999999999995</v>
      </c>
      <c r="Q122" s="144" t="s">
        <v>29</v>
      </c>
      <c r="R122" s="118">
        <f t="shared" ca="1" si="30"/>
        <v>310884</v>
      </c>
      <c r="S122" s="118">
        <f t="shared" ca="1" si="30"/>
        <v>12065408</v>
      </c>
      <c r="T122" s="118">
        <f ca="1">고급</f>
        <v>310884</v>
      </c>
      <c r="U122" s="118">
        <f t="shared" ca="1" si="31"/>
        <v>12065408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40</v>
      </c>
      <c r="O123" s="173">
        <v>6</v>
      </c>
      <c r="P123" s="234">
        <f ca="1">OFFSET($A$1,MATCH(Z119,$A:$A,0)-1,O123)</f>
        <v>46.73</v>
      </c>
      <c r="Q123" s="144" t="s">
        <v>29</v>
      </c>
      <c r="R123" s="118">
        <f t="shared" ca="1" si="30"/>
        <v>295138</v>
      </c>
      <c r="S123" s="118">
        <f t="shared" ca="1" si="30"/>
        <v>13791798</v>
      </c>
      <c r="T123" s="118">
        <f ca="1">중급</f>
        <v>295138</v>
      </c>
      <c r="U123" s="118">
        <f t="shared" ca="1" si="31"/>
        <v>13791798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41</v>
      </c>
      <c r="O124" s="173">
        <v>7</v>
      </c>
      <c r="P124" s="234">
        <f ca="1">OFFSET($A$1,MATCH(Z119,$A:$A,0)-1,O124)</f>
        <v>47.52</v>
      </c>
      <c r="Q124" s="144" t="s">
        <v>29</v>
      </c>
      <c r="R124" s="118">
        <f t="shared" ca="1" si="30"/>
        <v>235459</v>
      </c>
      <c r="S124" s="118">
        <f t="shared" ca="1" si="30"/>
        <v>11189011</v>
      </c>
      <c r="T124" s="118">
        <f ca="1">초급</f>
        <v>235459</v>
      </c>
      <c r="U124" s="118">
        <f t="shared" ca="1" si="31"/>
        <v>11189011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319" t="s">
        <v>42</v>
      </c>
      <c r="O125" s="174">
        <v>8</v>
      </c>
      <c r="P125" s="235">
        <f ca="1">OFFSET($A$1,MATCH(Z119,$A:$A,0)-1,O125)</f>
        <v>25.35</v>
      </c>
      <c r="Q125" s="322" t="s">
        <v>29</v>
      </c>
      <c r="R125" s="323">
        <f t="shared" ca="1" si="30"/>
        <v>250087</v>
      </c>
      <c r="S125" s="323">
        <f t="shared" ca="1" si="30"/>
        <v>6339705</v>
      </c>
      <c r="T125" s="323">
        <f ca="1">보조원</f>
        <v>250087</v>
      </c>
      <c r="U125" s="323">
        <f t="shared" ca="1" si="31"/>
        <v>6339705</v>
      </c>
      <c r="V125" s="323"/>
      <c r="W125" s="323"/>
      <c r="X125" s="323"/>
      <c r="Y125" s="323"/>
      <c r="Z125" s="324"/>
    </row>
    <row r="126" spans="11:26" ht="18" customHeight="1">
      <c r="K126" s="171" t="s">
        <v>14</v>
      </c>
      <c r="L126" s="171"/>
      <c r="M126" s="171"/>
      <c r="N126" s="139" t="s">
        <v>17</v>
      </c>
      <c r="O126" s="68"/>
      <c r="P126" s="69"/>
      <c r="Q126" s="70"/>
      <c r="R126" s="71"/>
      <c r="S126" s="71">
        <f ca="1">SUBTOTAL(9,S120:S125)</f>
        <v>56401437</v>
      </c>
      <c r="T126" s="71"/>
      <c r="U126" s="71">
        <f ca="1">SUBTOTAL(9,U120:U125)</f>
        <v>56401437</v>
      </c>
      <c r="V126" s="71"/>
      <c r="W126" s="71"/>
      <c r="X126" s="71"/>
      <c r="Y126" s="71"/>
      <c r="Z126" s="68"/>
    </row>
    <row r="127" spans="11:26" ht="18" customHeight="1">
      <c r="K127" s="171" t="s">
        <v>14</v>
      </c>
      <c r="L127" s="171"/>
      <c r="M127" s="171"/>
      <c r="N127" s="318" t="str">
        <f ca="1">"제 " &amp; Z127 &amp; " 호표  "&amp; OFFSET($A$1,MATCH(Z127,$A:$A,0)-1,1)</f>
        <v>제 10 호표  3.2. 교통동선 및 포장계획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10</v>
      </c>
    </row>
    <row r="128" spans="11:26" ht="18" customHeight="1">
      <c r="K128" s="171" t="s">
        <v>14</v>
      </c>
      <c r="L128" s="171"/>
      <c r="M128" s="171"/>
      <c r="N128" s="140" t="s">
        <v>43</v>
      </c>
      <c r="O128" s="172">
        <v>3</v>
      </c>
      <c r="P128" s="219">
        <f ca="1">OFFSET($A$1,MATCH(Z127,$A:$A,0)-1,O128)</f>
        <v>7.92</v>
      </c>
      <c r="Q128" s="141" t="s">
        <v>29</v>
      </c>
      <c r="R128" s="142">
        <f t="shared" ref="R128:S133" ca="1" si="32">T128</f>
        <v>467217</v>
      </c>
      <c r="S128" s="142">
        <f t="shared" ca="1" si="32"/>
        <v>3700358</v>
      </c>
      <c r="T128" s="142">
        <f ca="1">기술사</f>
        <v>467217</v>
      </c>
      <c r="U128" s="142">
        <f t="shared" ref="U128:U133" ca="1" si="33">ROUNDDOWN(P128*R128,0)</f>
        <v>3700358</v>
      </c>
      <c r="V128" s="142"/>
      <c r="W128" s="142"/>
      <c r="X128" s="142"/>
      <c r="Y128" s="142"/>
      <c r="Z128" s="114"/>
    </row>
    <row r="129" spans="11:29" ht="18" customHeight="1">
      <c r="K129" s="171" t="s">
        <v>14</v>
      </c>
      <c r="L129" s="171"/>
      <c r="M129" s="171"/>
      <c r="N129" s="143" t="s">
        <v>32</v>
      </c>
      <c r="O129" s="173">
        <v>4</v>
      </c>
      <c r="P129" s="234">
        <f ca="1">OFFSET($A$1,MATCH(Z127,$A:$A,0)-1,O129)</f>
        <v>23.37</v>
      </c>
      <c r="Q129" s="144" t="s">
        <v>29</v>
      </c>
      <c r="R129" s="118">
        <f t="shared" ca="1" si="32"/>
        <v>373353</v>
      </c>
      <c r="S129" s="118">
        <f t="shared" ca="1" si="32"/>
        <v>8725259</v>
      </c>
      <c r="T129" s="118">
        <f ca="1">특급</f>
        <v>373353</v>
      </c>
      <c r="U129" s="118">
        <f t="shared" ca="1" si="33"/>
        <v>8725259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39</v>
      </c>
      <c r="O130" s="173">
        <v>5</v>
      </c>
      <c r="P130" s="234">
        <f ca="1">OFFSET($A$1,MATCH(Z127,$A:$A,0)-1,O130)</f>
        <v>38.809999999999995</v>
      </c>
      <c r="Q130" s="144" t="s">
        <v>29</v>
      </c>
      <c r="R130" s="118">
        <f t="shared" ca="1" si="32"/>
        <v>310884</v>
      </c>
      <c r="S130" s="118">
        <f t="shared" ca="1" si="32"/>
        <v>12065408</v>
      </c>
      <c r="T130" s="118">
        <f ca="1">고급</f>
        <v>310884</v>
      </c>
      <c r="U130" s="118">
        <f t="shared" ca="1" si="33"/>
        <v>12065408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40</v>
      </c>
      <c r="O131" s="173">
        <v>6</v>
      </c>
      <c r="P131" s="234">
        <f ca="1">OFFSET($A$1,MATCH(Z127,$A:$A,0)-1,O131)</f>
        <v>45.15</v>
      </c>
      <c r="Q131" s="144" t="s">
        <v>29</v>
      </c>
      <c r="R131" s="118">
        <f t="shared" ca="1" si="32"/>
        <v>295138</v>
      </c>
      <c r="S131" s="118">
        <f t="shared" ca="1" si="32"/>
        <v>13325480</v>
      </c>
      <c r="T131" s="118">
        <f ca="1">중급</f>
        <v>295138</v>
      </c>
      <c r="U131" s="118">
        <f t="shared" ca="1" si="33"/>
        <v>13325480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41</v>
      </c>
      <c r="O132" s="173">
        <v>7</v>
      </c>
      <c r="P132" s="234">
        <f ca="1">OFFSET($A$1,MATCH(Z127,$A:$A,0)-1,O132)</f>
        <v>62.57</v>
      </c>
      <c r="Q132" s="144" t="s">
        <v>29</v>
      </c>
      <c r="R132" s="118">
        <f t="shared" ca="1" si="32"/>
        <v>235459</v>
      </c>
      <c r="S132" s="118">
        <f t="shared" ca="1" si="32"/>
        <v>14732669</v>
      </c>
      <c r="T132" s="118">
        <f ca="1">초급</f>
        <v>235459</v>
      </c>
      <c r="U132" s="118">
        <f t="shared" ca="1" si="33"/>
        <v>14732669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319" t="s">
        <v>42</v>
      </c>
      <c r="O133" s="174">
        <v>8</v>
      </c>
      <c r="P133" s="235">
        <f ca="1">OFFSET($A$1,MATCH(Z127,$A:$A,0)-1,O133)</f>
        <v>26.540000000000003</v>
      </c>
      <c r="Q133" s="322" t="s">
        <v>29</v>
      </c>
      <c r="R133" s="323">
        <f t="shared" ca="1" si="32"/>
        <v>250087</v>
      </c>
      <c r="S133" s="323">
        <f t="shared" ca="1" si="32"/>
        <v>6637308</v>
      </c>
      <c r="T133" s="323">
        <f ca="1">보조원</f>
        <v>250087</v>
      </c>
      <c r="U133" s="323">
        <f t="shared" ca="1" si="33"/>
        <v>6637308</v>
      </c>
      <c r="V133" s="323"/>
      <c r="W133" s="323"/>
      <c r="X133" s="323"/>
      <c r="Y133" s="323"/>
      <c r="Z133" s="324"/>
    </row>
    <row r="134" spans="11:29" ht="18" customHeight="1">
      <c r="K134" s="171" t="s">
        <v>14</v>
      </c>
      <c r="L134" s="171"/>
      <c r="M134" s="171"/>
      <c r="N134" s="139" t="s">
        <v>17</v>
      </c>
      <c r="O134" s="68"/>
      <c r="P134" s="69"/>
      <c r="Q134" s="70"/>
      <c r="R134" s="71"/>
      <c r="S134" s="71">
        <f ca="1">SUBTOTAL(9,S128:S133)</f>
        <v>59186482</v>
      </c>
      <c r="T134" s="71"/>
      <c r="U134" s="71">
        <f ca="1">SUBTOTAL(9,U128:U133)</f>
        <v>59186482</v>
      </c>
      <c r="V134" s="71"/>
      <c r="W134" s="71"/>
      <c r="X134" s="71"/>
      <c r="Y134" s="71"/>
      <c r="Z134" s="68"/>
    </row>
    <row r="135" spans="11:29" ht="18" customHeight="1">
      <c r="K135" s="171" t="s">
        <v>14</v>
      </c>
      <c r="L135" s="171"/>
      <c r="M135" s="171"/>
      <c r="N135" s="318" t="str">
        <f ca="1">"제 " &amp; Z135 &amp; " 호표  "&amp; OFFSET($A$1,MATCH(Z135,$A:$A,0)-1,1)</f>
        <v>제 11 호표  3.3. 시설배치계획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11</v>
      </c>
    </row>
    <row r="136" spans="11:29" ht="18" customHeight="1">
      <c r="K136" s="171" t="s">
        <v>14</v>
      </c>
      <c r="L136" s="171"/>
      <c r="M136" s="171"/>
      <c r="N136" s="140" t="s">
        <v>43</v>
      </c>
      <c r="O136" s="172">
        <v>3</v>
      </c>
      <c r="P136" s="219">
        <f ca="1">OFFSET($A$1,MATCH(Z135,$A:$A,0)-1,O136)</f>
        <v>9.51</v>
      </c>
      <c r="Q136" s="141" t="s">
        <v>29</v>
      </c>
      <c r="R136" s="142">
        <f t="shared" ref="R136:S141" ca="1" si="34">T136</f>
        <v>467217</v>
      </c>
      <c r="S136" s="142">
        <f t="shared" ca="1" si="34"/>
        <v>4443233</v>
      </c>
      <c r="T136" s="142">
        <f ca="1">기술사</f>
        <v>467217</v>
      </c>
      <c r="U136" s="142">
        <f t="shared" ref="U136:U141" ca="1" si="35">ROUNDDOWN(P136*R136,0)</f>
        <v>4443233</v>
      </c>
      <c r="V136" s="142"/>
      <c r="W136" s="142"/>
      <c r="X136" s="142"/>
      <c r="Y136" s="142"/>
      <c r="Z136" s="114"/>
    </row>
    <row r="137" spans="11:29" ht="18" customHeight="1">
      <c r="K137" s="171" t="s">
        <v>14</v>
      </c>
      <c r="L137" s="171"/>
      <c r="M137" s="171"/>
      <c r="N137" s="143" t="s">
        <v>32</v>
      </c>
      <c r="O137" s="173">
        <v>4</v>
      </c>
      <c r="P137" s="234">
        <f ca="1">OFFSET($A$1,MATCH(Z135,$A:$A,0)-1,O137)</f>
        <v>21.39</v>
      </c>
      <c r="Q137" s="144" t="s">
        <v>29</v>
      </c>
      <c r="R137" s="118">
        <f t="shared" ca="1" si="34"/>
        <v>373353</v>
      </c>
      <c r="S137" s="118">
        <f t="shared" ca="1" si="34"/>
        <v>7986020</v>
      </c>
      <c r="T137" s="118">
        <f ca="1">특급</f>
        <v>373353</v>
      </c>
      <c r="U137" s="118">
        <f t="shared" ca="1" si="35"/>
        <v>7986020</v>
      </c>
      <c r="V137" s="118"/>
      <c r="W137" s="118"/>
      <c r="X137" s="118"/>
      <c r="Y137" s="118"/>
      <c r="Z137" s="115"/>
    </row>
    <row r="138" spans="11:29" ht="18" customHeight="1">
      <c r="K138" s="171" t="s">
        <v>14</v>
      </c>
      <c r="L138" s="171"/>
      <c r="M138" s="171"/>
      <c r="N138" s="145" t="s">
        <v>39</v>
      </c>
      <c r="O138" s="173">
        <v>5</v>
      </c>
      <c r="P138" s="234">
        <f ca="1">OFFSET($A$1,MATCH(Z135,$A:$A,0)-1,O138)</f>
        <v>39.21</v>
      </c>
      <c r="Q138" s="144" t="s">
        <v>29</v>
      </c>
      <c r="R138" s="118">
        <f t="shared" ca="1" si="34"/>
        <v>310884</v>
      </c>
      <c r="S138" s="118">
        <f t="shared" ca="1" si="34"/>
        <v>12189761</v>
      </c>
      <c r="T138" s="118">
        <f ca="1">고급</f>
        <v>310884</v>
      </c>
      <c r="U138" s="118">
        <f t="shared" ca="1" si="35"/>
        <v>12189761</v>
      </c>
      <c r="V138" s="118"/>
      <c r="W138" s="118"/>
      <c r="X138" s="118"/>
      <c r="Y138" s="118"/>
      <c r="Z138" s="115"/>
    </row>
    <row r="139" spans="11:29" ht="18" customHeight="1">
      <c r="K139" s="171" t="s">
        <v>14</v>
      </c>
      <c r="L139" s="171"/>
      <c r="M139" s="171"/>
      <c r="N139" s="145" t="s">
        <v>40</v>
      </c>
      <c r="O139" s="173">
        <v>6</v>
      </c>
      <c r="P139" s="234">
        <f ca="1">OFFSET($A$1,MATCH(Z135,$A:$A,0)-1,O139)</f>
        <v>38.019999999999996</v>
      </c>
      <c r="Q139" s="144" t="s">
        <v>29</v>
      </c>
      <c r="R139" s="118">
        <f t="shared" ca="1" si="34"/>
        <v>295138</v>
      </c>
      <c r="S139" s="118">
        <f t="shared" ca="1" si="34"/>
        <v>11221146</v>
      </c>
      <c r="T139" s="118">
        <f ca="1">중급</f>
        <v>295138</v>
      </c>
      <c r="U139" s="118">
        <f t="shared" ca="1" si="35"/>
        <v>11221146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41</v>
      </c>
      <c r="O140" s="173">
        <v>7</v>
      </c>
      <c r="P140" s="234">
        <f ca="1">OFFSET($A$1,MATCH(Z135,$A:$A,0)-1,O140)</f>
        <v>47.129999999999995</v>
      </c>
      <c r="Q140" s="144" t="s">
        <v>29</v>
      </c>
      <c r="R140" s="118">
        <f t="shared" ca="1" si="34"/>
        <v>235459</v>
      </c>
      <c r="S140" s="118">
        <f t="shared" ca="1" si="34"/>
        <v>11097182</v>
      </c>
      <c r="T140" s="118">
        <f ca="1">초급</f>
        <v>235459</v>
      </c>
      <c r="U140" s="118">
        <f t="shared" ca="1" si="35"/>
        <v>11097182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9" t="s">
        <v>42</v>
      </c>
      <c r="O141" s="174">
        <v>8</v>
      </c>
      <c r="P141" s="235">
        <f ca="1">OFFSET($A$1,MATCH(Z135,$A:$A,0)-1,O141)</f>
        <v>24.16</v>
      </c>
      <c r="Q141" s="322" t="s">
        <v>29</v>
      </c>
      <c r="R141" s="323">
        <f t="shared" ca="1" si="34"/>
        <v>250087</v>
      </c>
      <c r="S141" s="323">
        <f t="shared" ca="1" si="34"/>
        <v>6042101</v>
      </c>
      <c r="T141" s="323">
        <f ca="1">보조원</f>
        <v>250087</v>
      </c>
      <c r="U141" s="323">
        <f t="shared" ca="1" si="35"/>
        <v>6042101</v>
      </c>
      <c r="V141" s="323"/>
      <c r="W141" s="323"/>
      <c r="X141" s="323"/>
      <c r="Y141" s="323"/>
      <c r="Z141" s="324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39" t="s">
        <v>17</v>
      </c>
      <c r="O142" s="68"/>
      <c r="P142" s="69"/>
      <c r="Q142" s="70"/>
      <c r="R142" s="71"/>
      <c r="S142" s="71">
        <f ca="1">SUBTOTAL(9,S136:S141)</f>
        <v>52979443</v>
      </c>
      <c r="T142" s="71"/>
      <c r="U142" s="71">
        <f ca="1">SUBTOTAL(9,U136:U141)</f>
        <v>52979443</v>
      </c>
      <c r="V142" s="71"/>
      <c r="W142" s="71"/>
      <c r="X142" s="71"/>
      <c r="Y142" s="71"/>
      <c r="Z142" s="68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318" t="str">
        <f ca="1">"제 " &amp; Z143 &amp; " 호표  "&amp; OFFSET($A$1,MATCH(Z143,$A:$A,0)-1,1)</f>
        <v>제 12 호표  3.4. 식재계획</v>
      </c>
      <c r="O143" s="221"/>
      <c r="P143" s="148"/>
      <c r="Q143" s="148"/>
      <c r="R143" s="149"/>
      <c r="S143" s="149"/>
      <c r="T143" s="149"/>
      <c r="U143" s="149"/>
      <c r="V143" s="149"/>
      <c r="W143" s="149"/>
      <c r="X143" s="149"/>
      <c r="Y143" s="149"/>
      <c r="Z143" s="325">
        <f>Z135+1</f>
        <v>12</v>
      </c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0" t="s">
        <v>43</v>
      </c>
      <c r="O144" s="172">
        <v>3</v>
      </c>
      <c r="P144" s="219">
        <f ca="1">OFFSET($A$1,MATCH(Z143,$A:$A,0)-1,O144)</f>
        <v>6.74</v>
      </c>
      <c r="Q144" s="141" t="s">
        <v>29</v>
      </c>
      <c r="R144" s="142">
        <f t="shared" ref="R144:S149" ca="1" si="36">T144</f>
        <v>467217</v>
      </c>
      <c r="S144" s="142">
        <f t="shared" ca="1" si="36"/>
        <v>3149042</v>
      </c>
      <c r="T144" s="142">
        <f ca="1">기술사</f>
        <v>467217</v>
      </c>
      <c r="U144" s="142">
        <f t="shared" ref="U144:U149" ca="1" si="37">ROUNDDOWN(P144*R144,0)</f>
        <v>3149042</v>
      </c>
      <c r="V144" s="142"/>
      <c r="W144" s="142"/>
      <c r="X144" s="142"/>
      <c r="Y144" s="142"/>
      <c r="Z144" s="114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3" t="s">
        <v>32</v>
      </c>
      <c r="O145" s="173">
        <v>4</v>
      </c>
      <c r="P145" s="234">
        <f ca="1">OFFSET($A$1,MATCH(Z143,$A:$A,0)-1,O145)</f>
        <v>20.6</v>
      </c>
      <c r="Q145" s="144" t="s">
        <v>29</v>
      </c>
      <c r="R145" s="118">
        <f t="shared" ca="1" si="36"/>
        <v>373353</v>
      </c>
      <c r="S145" s="118">
        <f t="shared" ca="1" si="36"/>
        <v>7691071</v>
      </c>
      <c r="T145" s="118">
        <f ca="1">특급</f>
        <v>373353</v>
      </c>
      <c r="U145" s="118">
        <f t="shared" ca="1" si="37"/>
        <v>7691071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39</v>
      </c>
      <c r="O146" s="173">
        <v>5</v>
      </c>
      <c r="P146" s="234">
        <f ca="1">OFFSET($A$1,MATCH(Z143,$A:$A,0)-1,O146)</f>
        <v>35.25</v>
      </c>
      <c r="Q146" s="144" t="s">
        <v>29</v>
      </c>
      <c r="R146" s="118">
        <f t="shared" ca="1" si="36"/>
        <v>310884</v>
      </c>
      <c r="S146" s="118">
        <f t="shared" ca="1" si="36"/>
        <v>10958661</v>
      </c>
      <c r="T146" s="118">
        <f ca="1">고급</f>
        <v>310884</v>
      </c>
      <c r="U146" s="118">
        <f t="shared" ca="1" si="37"/>
        <v>10958661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40</v>
      </c>
      <c r="O147" s="173">
        <v>6</v>
      </c>
      <c r="P147" s="234">
        <f ca="1">OFFSET($A$1,MATCH(Z143,$A:$A,0)-1,O147)</f>
        <v>40</v>
      </c>
      <c r="Q147" s="144" t="s">
        <v>29</v>
      </c>
      <c r="R147" s="118">
        <f t="shared" ca="1" si="36"/>
        <v>295138</v>
      </c>
      <c r="S147" s="118">
        <f t="shared" ca="1" si="36"/>
        <v>11805520</v>
      </c>
      <c r="T147" s="118">
        <f ca="1">중급</f>
        <v>295138</v>
      </c>
      <c r="U147" s="118">
        <f t="shared" ca="1" si="37"/>
        <v>11805520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41</v>
      </c>
      <c r="O148" s="173">
        <v>7</v>
      </c>
      <c r="P148" s="234">
        <f ca="1">OFFSET($A$1,MATCH(Z143,$A:$A,0)-1,O148)</f>
        <v>55.44</v>
      </c>
      <c r="Q148" s="144" t="s">
        <v>29</v>
      </c>
      <c r="R148" s="118">
        <f t="shared" ca="1" si="36"/>
        <v>235459</v>
      </c>
      <c r="S148" s="118">
        <f t="shared" ca="1" si="36"/>
        <v>13053846</v>
      </c>
      <c r="T148" s="118">
        <f ca="1">초급</f>
        <v>235459</v>
      </c>
      <c r="U148" s="118">
        <f t="shared" ca="1" si="37"/>
        <v>13053846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9" t="s">
        <v>42</v>
      </c>
      <c r="O149" s="174">
        <v>8</v>
      </c>
      <c r="P149" s="235">
        <f ca="1">OFFSET($A$1,MATCH(Z143,$A:$A,0)-1,O149)</f>
        <v>23.37</v>
      </c>
      <c r="Q149" s="322" t="s">
        <v>29</v>
      </c>
      <c r="R149" s="323">
        <f t="shared" ca="1" si="36"/>
        <v>250087</v>
      </c>
      <c r="S149" s="323">
        <f t="shared" ca="1" si="36"/>
        <v>5844533</v>
      </c>
      <c r="T149" s="323">
        <f ca="1">보조원</f>
        <v>250087</v>
      </c>
      <c r="U149" s="323">
        <f t="shared" ca="1" si="37"/>
        <v>5844533</v>
      </c>
      <c r="V149" s="323"/>
      <c r="W149" s="323"/>
      <c r="X149" s="323"/>
      <c r="Y149" s="323"/>
      <c r="Z149" s="324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39" t="s">
        <v>17</v>
      </c>
      <c r="O150" s="68"/>
      <c r="P150" s="69"/>
      <c r="Q150" s="70"/>
      <c r="R150" s="71"/>
      <c r="S150" s="71">
        <f ca="1">SUBTOTAL(9,S144:S149)</f>
        <v>52502673</v>
      </c>
      <c r="T150" s="71"/>
      <c r="U150" s="71">
        <f ca="1">SUBTOTAL(9,U144:U149)</f>
        <v>52502673</v>
      </c>
      <c r="V150" s="71"/>
      <c r="W150" s="71"/>
      <c r="X150" s="71"/>
      <c r="Y150" s="71"/>
      <c r="Z150" s="68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318" t="str">
        <f ca="1">"제 " &amp; Z151 &amp; " 호표  "&amp; OFFSET($A$1,MATCH(Z151,$A:$A,0)-1,1)</f>
        <v>제 13 호표  3.5. 공급처리계획</v>
      </c>
      <c r="O151" s="221"/>
      <c r="P151" s="148"/>
      <c r="Q151" s="148"/>
      <c r="R151" s="149"/>
      <c r="S151" s="149"/>
      <c r="T151" s="149"/>
      <c r="U151" s="149"/>
      <c r="V151" s="149"/>
      <c r="W151" s="149"/>
      <c r="X151" s="149"/>
      <c r="Y151" s="149"/>
      <c r="Z151" s="325">
        <f>Z143+1</f>
        <v>13</v>
      </c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0" t="s">
        <v>43</v>
      </c>
      <c r="O152" s="172">
        <v>3</v>
      </c>
      <c r="P152" s="219">
        <f ca="1">OFFSET($A$1,MATCH(Z151,$A:$A,0)-1,O152)</f>
        <v>7.13</v>
      </c>
      <c r="Q152" s="141" t="s">
        <v>29</v>
      </c>
      <c r="R152" s="142">
        <f t="shared" ref="R152:S157" ca="1" si="38">T152</f>
        <v>467217</v>
      </c>
      <c r="S152" s="142">
        <f t="shared" ca="1" si="38"/>
        <v>3331257</v>
      </c>
      <c r="T152" s="142">
        <f ca="1">기술사</f>
        <v>467217</v>
      </c>
      <c r="U152" s="142">
        <f t="shared" ref="U152:U157" ca="1" si="39">ROUNDDOWN(P152*R152,0)</f>
        <v>3331257</v>
      </c>
      <c r="V152" s="142"/>
      <c r="W152" s="142"/>
      <c r="X152" s="142"/>
      <c r="Y152" s="142"/>
      <c r="Z152" s="114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3" t="s">
        <v>32</v>
      </c>
      <c r="O153" s="173">
        <v>4</v>
      </c>
      <c r="P153" s="234">
        <f ca="1">OFFSET($A$1,MATCH(Z151,$A:$A,0)-1,O153)</f>
        <v>22.970000000000002</v>
      </c>
      <c r="Q153" s="144" t="s">
        <v>29</v>
      </c>
      <c r="R153" s="118">
        <f t="shared" ca="1" si="38"/>
        <v>373353</v>
      </c>
      <c r="S153" s="118">
        <f t="shared" ca="1" si="38"/>
        <v>8575918</v>
      </c>
      <c r="T153" s="118">
        <f ca="1">특급</f>
        <v>373353</v>
      </c>
      <c r="U153" s="118">
        <f t="shared" ca="1" si="39"/>
        <v>8575918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39</v>
      </c>
      <c r="O154" s="173">
        <v>5</v>
      </c>
      <c r="P154" s="234">
        <f ca="1">OFFSET($A$1,MATCH(Z151,$A:$A,0)-1,O154)</f>
        <v>34.85</v>
      </c>
      <c r="Q154" s="144" t="s">
        <v>29</v>
      </c>
      <c r="R154" s="118">
        <f t="shared" ca="1" si="38"/>
        <v>310884</v>
      </c>
      <c r="S154" s="118">
        <f t="shared" ca="1" si="38"/>
        <v>10834307</v>
      </c>
      <c r="T154" s="118">
        <f ca="1">고급</f>
        <v>310884</v>
      </c>
      <c r="U154" s="118">
        <f t="shared" ca="1" si="39"/>
        <v>10834307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40</v>
      </c>
      <c r="O155" s="173">
        <v>6</v>
      </c>
      <c r="P155" s="234">
        <f ca="1">OFFSET($A$1,MATCH(Z151,$A:$A,0)-1,O155)</f>
        <v>43.169999999999995</v>
      </c>
      <c r="Q155" s="144" t="s">
        <v>29</v>
      </c>
      <c r="R155" s="118">
        <f t="shared" ca="1" si="38"/>
        <v>295138</v>
      </c>
      <c r="S155" s="118">
        <f t="shared" ca="1" si="38"/>
        <v>12741107</v>
      </c>
      <c r="T155" s="118">
        <f ca="1">중급</f>
        <v>295138</v>
      </c>
      <c r="U155" s="118">
        <f t="shared" ca="1" si="39"/>
        <v>12741107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41</v>
      </c>
      <c r="O156" s="173">
        <v>7</v>
      </c>
      <c r="P156" s="234">
        <f ca="1">OFFSET($A$1,MATCH(Z151,$A:$A,0)-1,O156)</f>
        <v>46.339999999999996</v>
      </c>
      <c r="Q156" s="144" t="s">
        <v>29</v>
      </c>
      <c r="R156" s="118">
        <f t="shared" ca="1" si="38"/>
        <v>235459</v>
      </c>
      <c r="S156" s="118">
        <f t="shared" ca="1" si="38"/>
        <v>10911170</v>
      </c>
      <c r="T156" s="118">
        <f ca="1">초급</f>
        <v>235459</v>
      </c>
      <c r="U156" s="118">
        <f t="shared" ca="1" si="39"/>
        <v>10911170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9" t="s">
        <v>42</v>
      </c>
      <c r="O157" s="174">
        <v>8</v>
      </c>
      <c r="P157" s="235">
        <f ca="1">OFFSET($A$1,MATCH(Z151,$A:$A,0)-1,O157)</f>
        <v>23.37</v>
      </c>
      <c r="Q157" s="322" t="s">
        <v>29</v>
      </c>
      <c r="R157" s="323">
        <f t="shared" ca="1" si="38"/>
        <v>250087</v>
      </c>
      <c r="S157" s="323">
        <f t="shared" ca="1" si="38"/>
        <v>5844533</v>
      </c>
      <c r="T157" s="323">
        <f ca="1">보조원</f>
        <v>250087</v>
      </c>
      <c r="U157" s="323">
        <f t="shared" ca="1" si="39"/>
        <v>5844533</v>
      </c>
      <c r="V157" s="323"/>
      <c r="W157" s="323"/>
      <c r="X157" s="323"/>
      <c r="Y157" s="323"/>
      <c r="Z157" s="324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39" t="s">
        <v>17</v>
      </c>
      <c r="O158" s="68"/>
      <c r="P158" s="69"/>
      <c r="Q158" s="70"/>
      <c r="R158" s="71"/>
      <c r="S158" s="71">
        <f ca="1">SUBTOTAL(9,S152:S157)</f>
        <v>52238292</v>
      </c>
      <c r="T158" s="71"/>
      <c r="U158" s="71">
        <f ca="1">SUBTOTAL(9,U152:U157)</f>
        <v>52238292</v>
      </c>
      <c r="V158" s="71"/>
      <c r="W158" s="71"/>
      <c r="X158" s="71"/>
      <c r="Y158" s="71"/>
      <c r="Z158" s="68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318" t="str">
        <f ca="1">"제 " &amp; Z159 &amp; " 호표  "&amp; OFFSET($A$1,MATCH(Z159,$A:$A,0)-1,1)</f>
        <v>제 14 호표  4.1. 개발추진계획</v>
      </c>
      <c r="O159" s="221"/>
      <c r="P159" s="148"/>
      <c r="Q159" s="148"/>
      <c r="R159" s="149"/>
      <c r="S159" s="149"/>
      <c r="T159" s="149"/>
      <c r="U159" s="149"/>
      <c r="V159" s="149"/>
      <c r="W159" s="149"/>
      <c r="X159" s="149"/>
      <c r="Y159" s="149"/>
      <c r="Z159" s="325">
        <f>Z151+1</f>
        <v>14</v>
      </c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0" t="s">
        <v>43</v>
      </c>
      <c r="O160" s="172">
        <v>3</v>
      </c>
      <c r="P160" s="219">
        <f ca="1">OFFSET($A$1,MATCH(Z159,$A:$A,0)-1,O160)</f>
        <v>2.78</v>
      </c>
      <c r="Q160" s="141" t="s">
        <v>29</v>
      </c>
      <c r="R160" s="142">
        <f t="shared" ref="R160:S165" ca="1" si="40">T160</f>
        <v>467217</v>
      </c>
      <c r="S160" s="142">
        <f t="shared" ca="1" si="40"/>
        <v>1298863</v>
      </c>
      <c r="T160" s="142">
        <f ca="1">기술사</f>
        <v>467217</v>
      </c>
      <c r="U160" s="142">
        <f t="shared" ref="U160:U165" ca="1" si="41">ROUNDDOWN(P160*R160,0)</f>
        <v>1298863</v>
      </c>
      <c r="V160" s="142"/>
      <c r="W160" s="142"/>
      <c r="X160" s="142"/>
      <c r="Y160" s="142"/>
      <c r="Z160" s="114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3" t="s">
        <v>32</v>
      </c>
      <c r="O161" s="173">
        <v>4</v>
      </c>
      <c r="P161" s="234">
        <f ca="1">OFFSET($A$1,MATCH(Z159,$A:$A,0)-1,O161)</f>
        <v>10.299999999999999</v>
      </c>
      <c r="Q161" s="144" t="s">
        <v>29</v>
      </c>
      <c r="R161" s="118">
        <f t="shared" ca="1" si="40"/>
        <v>373353</v>
      </c>
      <c r="S161" s="118">
        <f t="shared" ca="1" si="40"/>
        <v>3845535</v>
      </c>
      <c r="T161" s="118">
        <f ca="1">특급</f>
        <v>373353</v>
      </c>
      <c r="U161" s="118">
        <f t="shared" ca="1" si="41"/>
        <v>3845535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39</v>
      </c>
      <c r="O162" s="173">
        <v>5</v>
      </c>
      <c r="P162" s="234">
        <f ca="1">OFFSET($A$1,MATCH(Z159,$A:$A,0)-1,O162)</f>
        <v>12.28</v>
      </c>
      <c r="Q162" s="144" t="s">
        <v>29</v>
      </c>
      <c r="R162" s="118">
        <f t="shared" ca="1" si="40"/>
        <v>310884</v>
      </c>
      <c r="S162" s="118">
        <f t="shared" ca="1" si="40"/>
        <v>3817655</v>
      </c>
      <c r="T162" s="118">
        <f ca="1">고급</f>
        <v>310884</v>
      </c>
      <c r="U162" s="118">
        <f t="shared" ca="1" si="41"/>
        <v>3817655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40</v>
      </c>
      <c r="O163" s="173">
        <v>6</v>
      </c>
      <c r="P163" s="234">
        <f ca="1">OFFSET($A$1,MATCH(Z159,$A:$A,0)-1,O163)</f>
        <v>20.990000000000002</v>
      </c>
      <c r="Q163" s="144" t="s">
        <v>29</v>
      </c>
      <c r="R163" s="118">
        <f t="shared" ca="1" si="40"/>
        <v>295138</v>
      </c>
      <c r="S163" s="118">
        <f t="shared" ca="1" si="40"/>
        <v>6194946</v>
      </c>
      <c r="T163" s="118">
        <f ca="1">중급</f>
        <v>295138</v>
      </c>
      <c r="U163" s="118">
        <f t="shared" ca="1" si="41"/>
        <v>6194946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41</v>
      </c>
      <c r="O164" s="173">
        <v>7</v>
      </c>
      <c r="P164" s="234">
        <f ca="1">OFFSET($A$1,MATCH(Z159,$A:$A,0)-1,O164)</f>
        <v>23.76</v>
      </c>
      <c r="Q164" s="144" t="s">
        <v>29</v>
      </c>
      <c r="R164" s="118">
        <f t="shared" ca="1" si="40"/>
        <v>235459</v>
      </c>
      <c r="S164" s="118">
        <f t="shared" ca="1" si="40"/>
        <v>5594505</v>
      </c>
      <c r="T164" s="118">
        <f ca="1">초급</f>
        <v>235459</v>
      </c>
      <c r="U164" s="118">
        <f t="shared" ca="1" si="41"/>
        <v>5594505</v>
      </c>
      <c r="V164" s="118"/>
      <c r="W164" s="118"/>
      <c r="X164" s="118"/>
      <c r="Y164" s="118"/>
      <c r="Z164" s="115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319" t="s">
        <v>42</v>
      </c>
      <c r="O165" s="174">
        <v>8</v>
      </c>
      <c r="P165" s="235">
        <f ca="1">OFFSET($A$1,MATCH(Z159,$A:$A,0)-1,O165)</f>
        <v>13.47</v>
      </c>
      <c r="Q165" s="322" t="s">
        <v>29</v>
      </c>
      <c r="R165" s="323">
        <f t="shared" ca="1" si="40"/>
        <v>250087</v>
      </c>
      <c r="S165" s="323">
        <f t="shared" ca="1" si="40"/>
        <v>3368671</v>
      </c>
      <c r="T165" s="323">
        <f ca="1">보조원</f>
        <v>250087</v>
      </c>
      <c r="U165" s="323">
        <f t="shared" ca="1" si="41"/>
        <v>3368671</v>
      </c>
      <c r="V165" s="323"/>
      <c r="W165" s="323"/>
      <c r="X165" s="323"/>
      <c r="Y165" s="323"/>
      <c r="Z165" s="324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139" t="s">
        <v>17</v>
      </c>
      <c r="O166" s="68"/>
      <c r="P166" s="69"/>
      <c r="Q166" s="70"/>
      <c r="R166" s="71"/>
      <c r="S166" s="71">
        <f ca="1">SUBTOTAL(9,S160:S165)</f>
        <v>24120175</v>
      </c>
      <c r="T166" s="71"/>
      <c r="U166" s="71">
        <f ca="1">SUBTOTAL(9,U160:U165)</f>
        <v>24120175</v>
      </c>
      <c r="V166" s="71"/>
      <c r="W166" s="71"/>
      <c r="X166" s="71"/>
      <c r="Y166" s="71"/>
      <c r="Z166" s="68"/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318" t="str">
        <f ca="1">"제 " &amp; Z167 &amp; " 호표  "&amp; OFFSET($A$1,MATCH(Z167,$A:$A,0)-1,1)</f>
        <v>제 15 호표  4.2. 관리운영계획</v>
      </c>
      <c r="O167" s="221"/>
      <c r="P167" s="148"/>
      <c r="Q167" s="148"/>
      <c r="R167" s="149"/>
      <c r="S167" s="149"/>
      <c r="T167" s="149"/>
      <c r="U167" s="149"/>
      <c r="V167" s="149"/>
      <c r="W167" s="149"/>
      <c r="X167" s="149"/>
      <c r="Y167" s="149"/>
      <c r="Z167" s="325">
        <f>Z159+1</f>
        <v>15</v>
      </c>
    </row>
    <row r="168" spans="11:29" ht="18" customHeight="1">
      <c r="K168" s="171" t="s">
        <v>14</v>
      </c>
      <c r="L168" s="171"/>
      <c r="M168" s="171"/>
      <c r="N168" s="140" t="s">
        <v>43</v>
      </c>
      <c r="O168" s="172">
        <v>3</v>
      </c>
      <c r="P168" s="219">
        <f ca="1">OFFSET($A$1,MATCH(Z167,$A:$A,0)-1,O168)</f>
        <v>5.94</v>
      </c>
      <c r="Q168" s="141" t="s">
        <v>29</v>
      </c>
      <c r="R168" s="142">
        <f t="shared" ref="R168:S173" ca="1" si="42">T168</f>
        <v>467217</v>
      </c>
      <c r="S168" s="142">
        <f t="shared" ca="1" si="42"/>
        <v>2775268</v>
      </c>
      <c r="T168" s="142">
        <f ca="1">기술사</f>
        <v>467217</v>
      </c>
      <c r="U168" s="142">
        <f t="shared" ref="U168:U173" ca="1" si="43">ROUNDDOWN(P168*R168,0)</f>
        <v>2775268</v>
      </c>
      <c r="V168" s="142"/>
      <c r="W168" s="142"/>
      <c r="X168" s="142"/>
      <c r="Y168" s="142"/>
      <c r="Z168" s="114"/>
    </row>
    <row r="169" spans="11:29" ht="18" customHeight="1">
      <c r="K169" s="171" t="s">
        <v>14</v>
      </c>
      <c r="L169" s="171"/>
      <c r="M169" s="171"/>
      <c r="N169" s="143" t="s">
        <v>32</v>
      </c>
      <c r="O169" s="173">
        <v>4</v>
      </c>
      <c r="P169" s="234">
        <f ca="1">OFFSET($A$1,MATCH(Z167,$A:$A,0)-1,O169)</f>
        <v>20.200000000000003</v>
      </c>
      <c r="Q169" s="144" t="s">
        <v>29</v>
      </c>
      <c r="R169" s="118">
        <f t="shared" ca="1" si="42"/>
        <v>373353</v>
      </c>
      <c r="S169" s="118">
        <f t="shared" ca="1" si="42"/>
        <v>7541730</v>
      </c>
      <c r="T169" s="118">
        <f ca="1">특급</f>
        <v>373353</v>
      </c>
      <c r="U169" s="118">
        <f t="shared" ca="1" si="43"/>
        <v>7541730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39</v>
      </c>
      <c r="O170" s="173">
        <v>5</v>
      </c>
      <c r="P170" s="234">
        <f ca="1">OFFSET($A$1,MATCH(Z167,$A:$A,0)-1,O170)</f>
        <v>24.950000000000003</v>
      </c>
      <c r="Q170" s="144" t="s">
        <v>29</v>
      </c>
      <c r="R170" s="118">
        <f t="shared" ca="1" si="42"/>
        <v>310884</v>
      </c>
      <c r="S170" s="118">
        <f t="shared" ca="1" si="42"/>
        <v>7756555</v>
      </c>
      <c r="T170" s="118">
        <f ca="1">고급</f>
        <v>310884</v>
      </c>
      <c r="U170" s="118">
        <f t="shared" ca="1" si="43"/>
        <v>7756555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40</v>
      </c>
      <c r="O171" s="173">
        <v>6</v>
      </c>
      <c r="P171" s="234">
        <f ca="1">OFFSET($A$1,MATCH(Z167,$A:$A,0)-1,O171)</f>
        <v>41.98</v>
      </c>
      <c r="Q171" s="144" t="s">
        <v>29</v>
      </c>
      <c r="R171" s="118">
        <f t="shared" ca="1" si="42"/>
        <v>295138</v>
      </c>
      <c r="S171" s="118">
        <f t="shared" ca="1" si="42"/>
        <v>12389893</v>
      </c>
      <c r="T171" s="118">
        <f ca="1">중급</f>
        <v>295138</v>
      </c>
      <c r="U171" s="118">
        <f t="shared" ca="1" si="43"/>
        <v>12389893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41</v>
      </c>
      <c r="O172" s="173">
        <v>7</v>
      </c>
      <c r="P172" s="234">
        <f ca="1">OFFSET($A$1,MATCH(Z167,$A:$A,0)-1,O172)</f>
        <v>47.919999999999995</v>
      </c>
      <c r="Q172" s="144" t="s">
        <v>29</v>
      </c>
      <c r="R172" s="118">
        <f t="shared" ca="1" si="42"/>
        <v>235459</v>
      </c>
      <c r="S172" s="118">
        <f t="shared" ca="1" si="42"/>
        <v>11283195</v>
      </c>
      <c r="T172" s="118">
        <f ca="1">초급</f>
        <v>235459</v>
      </c>
      <c r="U172" s="118">
        <f t="shared" ca="1" si="43"/>
        <v>11283195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319" t="s">
        <v>42</v>
      </c>
      <c r="O173" s="174">
        <v>8</v>
      </c>
      <c r="P173" s="235">
        <f ca="1">OFFSET($A$1,MATCH(Z167,$A:$A,0)-1,O173)</f>
        <v>26.930000000000003</v>
      </c>
      <c r="Q173" s="322" t="s">
        <v>29</v>
      </c>
      <c r="R173" s="323">
        <f t="shared" ca="1" si="42"/>
        <v>250087</v>
      </c>
      <c r="S173" s="323">
        <f t="shared" ca="1" si="42"/>
        <v>6734842</v>
      </c>
      <c r="T173" s="323">
        <f ca="1">보조원</f>
        <v>250087</v>
      </c>
      <c r="U173" s="323">
        <f t="shared" ca="1" si="43"/>
        <v>6734842</v>
      </c>
      <c r="V173" s="323"/>
      <c r="W173" s="323"/>
      <c r="X173" s="323"/>
      <c r="Y173" s="323"/>
      <c r="Z173" s="324"/>
    </row>
    <row r="174" spans="11:29" ht="18" customHeight="1">
      <c r="K174" s="171" t="s">
        <v>14</v>
      </c>
      <c r="L174" s="171"/>
      <c r="M174" s="171"/>
      <c r="N174" s="139" t="s">
        <v>17</v>
      </c>
      <c r="O174" s="68"/>
      <c r="P174" s="69"/>
      <c r="Q174" s="70"/>
      <c r="R174" s="71"/>
      <c r="S174" s="71">
        <f ca="1">SUBTOTAL(9,S168:S173)</f>
        <v>48481483</v>
      </c>
      <c r="T174" s="71"/>
      <c r="U174" s="71">
        <f ca="1">SUBTOTAL(9,U168:U173)</f>
        <v>48481483</v>
      </c>
      <c r="V174" s="71"/>
      <c r="W174" s="71"/>
      <c r="X174" s="71"/>
      <c r="Y174" s="71"/>
      <c r="Z174" s="68"/>
    </row>
    <row r="175" spans="11:29" ht="18" customHeight="1">
      <c r="K175" s="171" t="s">
        <v>14</v>
      </c>
      <c r="L175" s="171"/>
      <c r="M175" s="171"/>
      <c r="N175" s="318" t="str">
        <f ca="1">"제 " &amp; Z175 &amp; " 호표  "&amp; OFFSET($A$1,MATCH(Z175,$A:$A,0)-1,1)</f>
        <v>제 16 호표  5.1. 보고서</v>
      </c>
      <c r="O175" s="221"/>
      <c r="P175" s="148"/>
      <c r="Q175" s="148"/>
      <c r="R175" s="149"/>
      <c r="S175" s="149"/>
      <c r="T175" s="149"/>
      <c r="U175" s="149"/>
      <c r="V175" s="149"/>
      <c r="W175" s="149"/>
      <c r="X175" s="149"/>
      <c r="Y175" s="149"/>
      <c r="Z175" s="325">
        <f>Z167+1</f>
        <v>16</v>
      </c>
    </row>
    <row r="176" spans="11:29" ht="18" customHeight="1">
      <c r="K176" s="171" t="s">
        <v>14</v>
      </c>
      <c r="L176" s="171"/>
      <c r="M176" s="171"/>
      <c r="N176" s="140" t="s">
        <v>43</v>
      </c>
      <c r="O176" s="172">
        <v>3</v>
      </c>
      <c r="P176" s="219">
        <f ca="1">OFFSET($A$1,MATCH(Z175,$A:$A,0)-1,O176)</f>
        <v>2.7719999999999998</v>
      </c>
      <c r="Q176" s="141" t="s">
        <v>29</v>
      </c>
      <c r="R176" s="142">
        <f t="shared" ref="R176:S181" ca="1" si="44">T176</f>
        <v>467217</v>
      </c>
      <c r="S176" s="142">
        <f t="shared" ca="1" si="44"/>
        <v>1295125</v>
      </c>
      <c r="T176" s="142">
        <f ca="1">기술사</f>
        <v>467217</v>
      </c>
      <c r="U176" s="142">
        <f t="shared" ref="U176:U181" ca="1" si="45">ROUNDDOWN(P176*R176,0)</f>
        <v>1295125</v>
      </c>
      <c r="V176" s="142"/>
      <c r="W176" s="142"/>
      <c r="X176" s="142"/>
      <c r="Y176" s="142"/>
      <c r="Z176" s="114"/>
    </row>
    <row r="177" spans="11:26" ht="18" customHeight="1">
      <c r="K177" s="171" t="s">
        <v>14</v>
      </c>
      <c r="L177" s="171"/>
      <c r="M177" s="171"/>
      <c r="N177" s="143" t="s">
        <v>32</v>
      </c>
      <c r="O177" s="173">
        <v>4</v>
      </c>
      <c r="P177" s="234">
        <f ca="1">OFFSET($A$1,MATCH(Z175,$A:$A,0)-1,O177)</f>
        <v>10.295999999999999</v>
      </c>
      <c r="Q177" s="144" t="s">
        <v>29</v>
      </c>
      <c r="R177" s="118">
        <f t="shared" ca="1" si="44"/>
        <v>373353</v>
      </c>
      <c r="S177" s="118">
        <f t="shared" ca="1" si="44"/>
        <v>3844042</v>
      </c>
      <c r="T177" s="118">
        <f ca="1">특급</f>
        <v>373353</v>
      </c>
      <c r="U177" s="118">
        <f t="shared" ca="1" si="45"/>
        <v>3844042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39</v>
      </c>
      <c r="O178" s="173">
        <v>5</v>
      </c>
      <c r="P178" s="234">
        <f ca="1">OFFSET($A$1,MATCH(Z175,$A:$A,0)-1,O178)</f>
        <v>12.276</v>
      </c>
      <c r="Q178" s="144" t="s">
        <v>29</v>
      </c>
      <c r="R178" s="118">
        <f t="shared" ca="1" si="44"/>
        <v>310884</v>
      </c>
      <c r="S178" s="118">
        <f t="shared" ca="1" si="44"/>
        <v>3816411</v>
      </c>
      <c r="T178" s="118">
        <f ca="1">고급</f>
        <v>310884</v>
      </c>
      <c r="U178" s="118">
        <f t="shared" ca="1" si="45"/>
        <v>3816411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40</v>
      </c>
      <c r="O179" s="173">
        <v>6</v>
      </c>
      <c r="P179" s="234">
        <f ca="1">OFFSET($A$1,MATCH(Z175,$A:$A,0)-1,O179)</f>
        <v>20.988</v>
      </c>
      <c r="Q179" s="144" t="s">
        <v>29</v>
      </c>
      <c r="R179" s="118">
        <f t="shared" ca="1" si="44"/>
        <v>295138</v>
      </c>
      <c r="S179" s="118">
        <f t="shared" ca="1" si="44"/>
        <v>6194356</v>
      </c>
      <c r="T179" s="118">
        <f ca="1">중급</f>
        <v>295138</v>
      </c>
      <c r="U179" s="118">
        <f t="shared" ca="1" si="45"/>
        <v>6194356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41</v>
      </c>
      <c r="O180" s="173">
        <v>7</v>
      </c>
      <c r="P180" s="234">
        <f ca="1">OFFSET($A$1,MATCH(Z175,$A:$A,0)-1,O180)</f>
        <v>23.76</v>
      </c>
      <c r="Q180" s="144" t="s">
        <v>29</v>
      </c>
      <c r="R180" s="118">
        <f t="shared" ca="1" si="44"/>
        <v>235459</v>
      </c>
      <c r="S180" s="118">
        <f t="shared" ca="1" si="44"/>
        <v>5594505</v>
      </c>
      <c r="T180" s="118">
        <f ca="1">초급</f>
        <v>235459</v>
      </c>
      <c r="U180" s="118">
        <f t="shared" ca="1" si="45"/>
        <v>5594505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319" t="s">
        <v>42</v>
      </c>
      <c r="O181" s="174">
        <v>8</v>
      </c>
      <c r="P181" s="235">
        <f ca="1">OFFSET($A$1,MATCH(Z175,$A:$A,0)-1,O181)</f>
        <v>13.464</v>
      </c>
      <c r="Q181" s="322" t="s">
        <v>29</v>
      </c>
      <c r="R181" s="323">
        <f t="shared" ca="1" si="44"/>
        <v>250087</v>
      </c>
      <c r="S181" s="323">
        <f t="shared" ca="1" si="44"/>
        <v>3367171</v>
      </c>
      <c r="T181" s="323">
        <f ca="1">보조원</f>
        <v>250087</v>
      </c>
      <c r="U181" s="323">
        <f t="shared" ca="1" si="45"/>
        <v>3367171</v>
      </c>
      <c r="V181" s="323"/>
      <c r="W181" s="323"/>
      <c r="X181" s="323"/>
      <c r="Y181" s="323"/>
      <c r="Z181" s="324"/>
    </row>
    <row r="182" spans="11:26" ht="18" customHeight="1">
      <c r="K182" s="171" t="s">
        <v>14</v>
      </c>
      <c r="L182" s="171"/>
      <c r="M182" s="171"/>
      <c r="N182" s="139" t="s">
        <v>17</v>
      </c>
      <c r="O182" s="68"/>
      <c r="P182" s="69"/>
      <c r="Q182" s="70"/>
      <c r="R182" s="71"/>
      <c r="S182" s="71">
        <f ca="1">SUBTOTAL(9,S176:S181)</f>
        <v>24111610</v>
      </c>
      <c r="T182" s="71"/>
      <c r="U182" s="71">
        <f ca="1">SUBTOTAL(9,U176:U181)</f>
        <v>24111610</v>
      </c>
      <c r="V182" s="71"/>
      <c r="W182" s="71"/>
      <c r="X182" s="71"/>
      <c r="Y182" s="71"/>
      <c r="Z182" s="68"/>
    </row>
    <row r="183" spans="11:26" ht="18" customHeight="1">
      <c r="K183" s="171" t="s">
        <v>14</v>
      </c>
      <c r="L183" s="171"/>
      <c r="M183" s="171"/>
      <c r="N183" s="318" t="str">
        <f ca="1">"제 " &amp; Z183 &amp; " 호표  "&amp; OFFSET($A$1,MATCH(Z183,$A:$A,0)-1,1)</f>
        <v>제 17 호표  5.2. 관련도서</v>
      </c>
      <c r="O183" s="221"/>
      <c r="P183" s="148"/>
      <c r="Q183" s="148"/>
      <c r="R183" s="149"/>
      <c r="S183" s="149"/>
      <c r="T183" s="149"/>
      <c r="U183" s="149"/>
      <c r="V183" s="149"/>
      <c r="W183" s="149"/>
      <c r="X183" s="149"/>
      <c r="Y183" s="149"/>
      <c r="Z183" s="325">
        <f>Z175+1</f>
        <v>17</v>
      </c>
    </row>
    <row r="184" spans="11:26" ht="18" customHeight="1">
      <c r="K184" s="171" t="s">
        <v>14</v>
      </c>
      <c r="L184" s="171"/>
      <c r="M184" s="171"/>
      <c r="N184" s="140" t="s">
        <v>43</v>
      </c>
      <c r="O184" s="172">
        <v>3</v>
      </c>
      <c r="P184" s="219">
        <f ca="1">OFFSET($A$1,MATCH(Z183,$A:$A,0)-1,O184)</f>
        <v>5.94</v>
      </c>
      <c r="Q184" s="141" t="s">
        <v>29</v>
      </c>
      <c r="R184" s="142">
        <f t="shared" ref="R184:S189" ca="1" si="46">T184</f>
        <v>467217</v>
      </c>
      <c r="S184" s="142">
        <f t="shared" ca="1" si="46"/>
        <v>2775268</v>
      </c>
      <c r="T184" s="142">
        <f ca="1">기술사</f>
        <v>467217</v>
      </c>
      <c r="U184" s="142">
        <f t="shared" ref="U184:U189" ca="1" si="47">ROUNDDOWN(P184*R184,0)</f>
        <v>2775268</v>
      </c>
      <c r="V184" s="142"/>
      <c r="W184" s="142"/>
      <c r="X184" s="142"/>
      <c r="Y184" s="142"/>
      <c r="Z184" s="114"/>
    </row>
    <row r="185" spans="11:26" ht="18" customHeight="1">
      <c r="K185" s="171" t="s">
        <v>14</v>
      </c>
      <c r="L185" s="171"/>
      <c r="M185" s="171"/>
      <c r="N185" s="143" t="s">
        <v>32</v>
      </c>
      <c r="O185" s="173">
        <v>4</v>
      </c>
      <c r="P185" s="234">
        <f ca="1">OFFSET($A$1,MATCH(Z183,$A:$A,0)-1,O185)</f>
        <v>20.196000000000002</v>
      </c>
      <c r="Q185" s="144" t="s">
        <v>29</v>
      </c>
      <c r="R185" s="118">
        <f t="shared" ca="1" si="46"/>
        <v>373353</v>
      </c>
      <c r="S185" s="118">
        <f t="shared" ca="1" si="46"/>
        <v>7540237</v>
      </c>
      <c r="T185" s="118">
        <f ca="1">특급</f>
        <v>373353</v>
      </c>
      <c r="U185" s="118">
        <f t="shared" ca="1" si="47"/>
        <v>7540237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39</v>
      </c>
      <c r="O186" s="173">
        <v>5</v>
      </c>
      <c r="P186" s="234">
        <f ca="1">OFFSET($A$1,MATCH(Z183,$A:$A,0)-1,O186)</f>
        <v>24.948</v>
      </c>
      <c r="Q186" s="144" t="s">
        <v>29</v>
      </c>
      <c r="R186" s="118">
        <f t="shared" ca="1" si="46"/>
        <v>310884</v>
      </c>
      <c r="S186" s="118">
        <f t="shared" ca="1" si="46"/>
        <v>7755934</v>
      </c>
      <c r="T186" s="118">
        <f ca="1">고급</f>
        <v>310884</v>
      </c>
      <c r="U186" s="118">
        <f t="shared" ca="1" si="47"/>
        <v>7755934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40</v>
      </c>
      <c r="O187" s="173">
        <v>6</v>
      </c>
      <c r="P187" s="234">
        <f ca="1">OFFSET($A$1,MATCH(Z183,$A:$A,0)-1,O187)</f>
        <v>41.975999999999999</v>
      </c>
      <c r="Q187" s="144" t="s">
        <v>29</v>
      </c>
      <c r="R187" s="118">
        <f t="shared" ca="1" si="46"/>
        <v>295138</v>
      </c>
      <c r="S187" s="118">
        <f t="shared" ca="1" si="46"/>
        <v>12388712</v>
      </c>
      <c r="T187" s="118">
        <f ca="1">중급</f>
        <v>295138</v>
      </c>
      <c r="U187" s="118">
        <f t="shared" ca="1" si="47"/>
        <v>12388712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41</v>
      </c>
      <c r="O188" s="173">
        <v>7</v>
      </c>
      <c r="P188" s="234">
        <f ca="1">OFFSET($A$1,MATCH(Z183,$A:$A,0)-1,O188)</f>
        <v>47.915999999999997</v>
      </c>
      <c r="Q188" s="144" t="s">
        <v>29</v>
      </c>
      <c r="R188" s="118">
        <f t="shared" ca="1" si="46"/>
        <v>235459</v>
      </c>
      <c r="S188" s="118">
        <f t="shared" ca="1" si="46"/>
        <v>11282253</v>
      </c>
      <c r="T188" s="118">
        <f ca="1">초급</f>
        <v>235459</v>
      </c>
      <c r="U188" s="118">
        <f t="shared" ca="1" si="47"/>
        <v>11282253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319" t="s">
        <v>42</v>
      </c>
      <c r="O189" s="174">
        <v>8</v>
      </c>
      <c r="P189" s="235">
        <f ca="1">OFFSET($A$1,MATCH(Z183,$A:$A,0)-1,O189)</f>
        <v>26.928000000000001</v>
      </c>
      <c r="Q189" s="322" t="s">
        <v>29</v>
      </c>
      <c r="R189" s="323">
        <f t="shared" ca="1" si="46"/>
        <v>250087</v>
      </c>
      <c r="S189" s="323">
        <f t="shared" ca="1" si="46"/>
        <v>6734342</v>
      </c>
      <c r="T189" s="323">
        <f ca="1">보조원</f>
        <v>250087</v>
      </c>
      <c r="U189" s="323">
        <f t="shared" ca="1" si="47"/>
        <v>6734342</v>
      </c>
      <c r="V189" s="323"/>
      <c r="W189" s="323"/>
      <c r="X189" s="323"/>
      <c r="Y189" s="323"/>
      <c r="Z189" s="324"/>
    </row>
    <row r="190" spans="11:26" ht="18" customHeight="1">
      <c r="K190" s="171" t="s">
        <v>14</v>
      </c>
      <c r="L190" s="171"/>
      <c r="M190" s="171"/>
      <c r="N190" s="139" t="s">
        <v>17</v>
      </c>
      <c r="O190" s="68"/>
      <c r="P190" s="69"/>
      <c r="Q190" s="70"/>
      <c r="R190" s="71"/>
      <c r="S190" s="71">
        <f ca="1">SUBTOTAL(9,S184:S189)</f>
        <v>48476746</v>
      </c>
      <c r="T190" s="71"/>
      <c r="U190" s="71">
        <f ca="1">SUBTOTAL(9,U184:U189)</f>
        <v>48476746</v>
      </c>
      <c r="V190" s="71"/>
      <c r="W190" s="71"/>
      <c r="X190" s="71"/>
      <c r="Y190" s="71"/>
      <c r="Z190" s="68"/>
    </row>
    <row r="191" spans="11:26" ht="18" customHeight="1">
      <c r="K191" s="171" t="s">
        <v>14</v>
      </c>
      <c r="L191" s="171"/>
      <c r="M191" s="171"/>
      <c r="N191" s="318" t="str">
        <f ca="1">"제 " &amp; Z191 &amp; " 호표  "&amp; OFFSET($A$1,MATCH(Z191,$A:$A,0)-1,1)</f>
        <v>제 18 호표  6.1. 위원회 심의 지원</v>
      </c>
      <c r="O191" s="221"/>
      <c r="P191" s="148"/>
      <c r="Q191" s="148"/>
      <c r="R191" s="149"/>
      <c r="S191" s="149"/>
      <c r="T191" s="149"/>
      <c r="U191" s="149"/>
      <c r="V191" s="149"/>
      <c r="W191" s="149"/>
      <c r="X191" s="149"/>
      <c r="Y191" s="149"/>
      <c r="Z191" s="325">
        <f>Z183+1</f>
        <v>18</v>
      </c>
    </row>
    <row r="192" spans="11:26" ht="18" customHeight="1">
      <c r="K192" s="171" t="s">
        <v>14</v>
      </c>
      <c r="L192" s="171"/>
      <c r="M192" s="171"/>
      <c r="N192" s="140" t="s">
        <v>43</v>
      </c>
      <c r="O192" s="172">
        <v>3</v>
      </c>
      <c r="P192" s="219">
        <f ca="1">OFFSET($A$1,MATCH(Z191,$A:$A,0)-1,O192)</f>
        <v>0.3</v>
      </c>
      <c r="Q192" s="141" t="s">
        <v>29</v>
      </c>
      <c r="R192" s="142">
        <f t="shared" ref="R192:S197" ca="1" si="48">T192</f>
        <v>467217</v>
      </c>
      <c r="S192" s="142">
        <f t="shared" ca="1" si="48"/>
        <v>140165</v>
      </c>
      <c r="T192" s="142">
        <f ca="1">기술사</f>
        <v>467217</v>
      </c>
      <c r="U192" s="142">
        <f t="shared" ref="U192:U197" ca="1" si="49">ROUNDDOWN(P192*R192,0)</f>
        <v>140165</v>
      </c>
      <c r="V192" s="142"/>
      <c r="W192" s="142"/>
      <c r="X192" s="142"/>
      <c r="Y192" s="142"/>
      <c r="Z192" s="114"/>
    </row>
    <row r="193" spans="11:26" ht="18" customHeight="1">
      <c r="K193" s="171" t="s">
        <v>14</v>
      </c>
      <c r="L193" s="171"/>
      <c r="M193" s="171"/>
      <c r="N193" s="143" t="s">
        <v>32</v>
      </c>
      <c r="O193" s="173">
        <v>4</v>
      </c>
      <c r="P193" s="234">
        <f ca="1">OFFSET($A$1,MATCH(Z191,$A:$A,0)-1,O193)</f>
        <v>0.6</v>
      </c>
      <c r="Q193" s="144" t="s">
        <v>29</v>
      </c>
      <c r="R193" s="118">
        <f t="shared" ca="1" si="48"/>
        <v>373353</v>
      </c>
      <c r="S193" s="118">
        <f t="shared" ca="1" si="48"/>
        <v>224011</v>
      </c>
      <c r="T193" s="118">
        <f ca="1">특급</f>
        <v>373353</v>
      </c>
      <c r="U193" s="118">
        <f t="shared" ca="1" si="49"/>
        <v>224011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39</v>
      </c>
      <c r="O194" s="173">
        <v>5</v>
      </c>
      <c r="P194" s="234">
        <f ca="1">OFFSET($A$1,MATCH(Z191,$A:$A,0)-1,O194)</f>
        <v>1</v>
      </c>
      <c r="Q194" s="144" t="s">
        <v>29</v>
      </c>
      <c r="R194" s="118">
        <f t="shared" ca="1" si="48"/>
        <v>310884</v>
      </c>
      <c r="S194" s="118">
        <f t="shared" ca="1" si="48"/>
        <v>310884</v>
      </c>
      <c r="T194" s="118">
        <f ca="1">고급</f>
        <v>310884</v>
      </c>
      <c r="U194" s="118">
        <f t="shared" ca="1" si="49"/>
        <v>310884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40</v>
      </c>
      <c r="O195" s="173">
        <v>6</v>
      </c>
      <c r="P195" s="234">
        <f ca="1">OFFSET($A$1,MATCH(Z191,$A:$A,0)-1,O195)</f>
        <v>1.5</v>
      </c>
      <c r="Q195" s="144" t="s">
        <v>29</v>
      </c>
      <c r="R195" s="118">
        <f t="shared" ca="1" si="48"/>
        <v>295138</v>
      </c>
      <c r="S195" s="118">
        <f t="shared" ca="1" si="48"/>
        <v>442707</v>
      </c>
      <c r="T195" s="118">
        <f ca="1">중급</f>
        <v>295138</v>
      </c>
      <c r="U195" s="118">
        <f t="shared" ca="1" si="49"/>
        <v>442707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41</v>
      </c>
      <c r="O196" s="173">
        <v>7</v>
      </c>
      <c r="P196" s="234">
        <f ca="1">OFFSET($A$1,MATCH(Z191,$A:$A,0)-1,O196)</f>
        <v>1.5</v>
      </c>
      <c r="Q196" s="144" t="s">
        <v>29</v>
      </c>
      <c r="R196" s="118">
        <f t="shared" ca="1" si="48"/>
        <v>235459</v>
      </c>
      <c r="S196" s="118">
        <f t="shared" ca="1" si="48"/>
        <v>353188</v>
      </c>
      <c r="T196" s="118">
        <f ca="1">초급</f>
        <v>235459</v>
      </c>
      <c r="U196" s="118">
        <f t="shared" ca="1" si="49"/>
        <v>353188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319" t="s">
        <v>42</v>
      </c>
      <c r="O197" s="174">
        <v>8</v>
      </c>
      <c r="P197" s="235">
        <f ca="1">OFFSET($A$1,MATCH(Z191,$A:$A,0)-1,O197)</f>
        <v>0.9</v>
      </c>
      <c r="Q197" s="322" t="s">
        <v>29</v>
      </c>
      <c r="R197" s="323">
        <f t="shared" ca="1" si="48"/>
        <v>250087</v>
      </c>
      <c r="S197" s="323">
        <f t="shared" ca="1" si="48"/>
        <v>225078</v>
      </c>
      <c r="T197" s="323">
        <f ca="1">보조원</f>
        <v>250087</v>
      </c>
      <c r="U197" s="323">
        <f t="shared" ca="1" si="49"/>
        <v>225078</v>
      </c>
      <c r="V197" s="323"/>
      <c r="W197" s="323"/>
      <c r="X197" s="323"/>
      <c r="Y197" s="323"/>
      <c r="Z197" s="324"/>
    </row>
    <row r="198" spans="11:26" ht="18" customHeight="1">
      <c r="K198" s="171" t="s">
        <v>14</v>
      </c>
      <c r="L198" s="171"/>
      <c r="M198" s="171"/>
      <c r="N198" s="139" t="s">
        <v>17</v>
      </c>
      <c r="O198" s="68"/>
      <c r="P198" s="69"/>
      <c r="Q198" s="70"/>
      <c r="R198" s="71"/>
      <c r="S198" s="71">
        <f ca="1">SUBTOTAL(9,S192:S197)</f>
        <v>1696033</v>
      </c>
      <c r="T198" s="71"/>
      <c r="U198" s="71">
        <f ca="1">SUBTOTAL(9,U192:U197)</f>
        <v>1696033</v>
      </c>
      <c r="V198" s="71"/>
      <c r="W198" s="71"/>
      <c r="X198" s="71"/>
      <c r="Y198" s="71"/>
      <c r="Z198" s="68"/>
    </row>
    <row r="199" spans="11:26" ht="18" customHeight="1">
      <c r="K199" s="171" t="s">
        <v>14</v>
      </c>
      <c r="L199" s="171"/>
      <c r="M199" s="171"/>
      <c r="N199" s="318" t="str">
        <f ca="1">"제 " &amp; Z199 &amp; " 호표  "&amp; OFFSET($A$1,MATCH(Z199,$A:$A,0)-1,1)</f>
        <v>제 19 호표  6.2. 주민설명회 자료 작성 등</v>
      </c>
      <c r="O199" s="221"/>
      <c r="P199" s="148"/>
      <c r="Q199" s="148"/>
      <c r="R199" s="149"/>
      <c r="S199" s="149"/>
      <c r="T199" s="149"/>
      <c r="U199" s="149"/>
      <c r="V199" s="149"/>
      <c r="W199" s="149"/>
      <c r="X199" s="149"/>
      <c r="Y199" s="149"/>
      <c r="Z199" s="325">
        <f>Z191+1</f>
        <v>19</v>
      </c>
    </row>
    <row r="200" spans="11:26" ht="18" customHeight="1">
      <c r="K200" s="171" t="s">
        <v>14</v>
      </c>
      <c r="L200" s="171"/>
      <c r="M200" s="171"/>
      <c r="N200" s="140" t="s">
        <v>43</v>
      </c>
      <c r="O200" s="172">
        <v>3</v>
      </c>
      <c r="P200" s="219">
        <f ca="1">OFFSET($A$1,MATCH(Z199,$A:$A,0)-1,O200)</f>
        <v>0.3</v>
      </c>
      <c r="Q200" s="141" t="s">
        <v>29</v>
      </c>
      <c r="R200" s="142">
        <f t="shared" ref="R200:S205" ca="1" si="50">T200</f>
        <v>467217</v>
      </c>
      <c r="S200" s="142">
        <f t="shared" ca="1" si="50"/>
        <v>140165</v>
      </c>
      <c r="T200" s="142">
        <f ca="1">기술사</f>
        <v>467217</v>
      </c>
      <c r="U200" s="142">
        <f t="shared" ref="U200:U205" ca="1" si="51">ROUNDDOWN(P200*R200,0)</f>
        <v>140165</v>
      </c>
      <c r="V200" s="142"/>
      <c r="W200" s="142"/>
      <c r="X200" s="142"/>
      <c r="Y200" s="142"/>
      <c r="Z200" s="114"/>
    </row>
    <row r="201" spans="11:26" ht="18" customHeight="1">
      <c r="K201" s="171" t="s">
        <v>14</v>
      </c>
      <c r="L201" s="171"/>
      <c r="M201" s="171"/>
      <c r="N201" s="143" t="s">
        <v>32</v>
      </c>
      <c r="O201" s="173">
        <v>4</v>
      </c>
      <c r="P201" s="234">
        <f ca="1">OFFSET($A$1,MATCH(Z199,$A:$A,0)-1,O201)</f>
        <v>0.8</v>
      </c>
      <c r="Q201" s="144" t="s">
        <v>29</v>
      </c>
      <c r="R201" s="118">
        <f t="shared" ca="1" si="50"/>
        <v>373353</v>
      </c>
      <c r="S201" s="118">
        <f t="shared" ca="1" si="50"/>
        <v>298682</v>
      </c>
      <c r="T201" s="118">
        <f ca="1">특급</f>
        <v>373353</v>
      </c>
      <c r="U201" s="118">
        <f t="shared" ca="1" si="51"/>
        <v>298682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39</v>
      </c>
      <c r="O202" s="173">
        <v>5</v>
      </c>
      <c r="P202" s="234">
        <f ca="1">OFFSET($A$1,MATCH(Z199,$A:$A,0)-1,O202)</f>
        <v>1</v>
      </c>
      <c r="Q202" s="144" t="s">
        <v>29</v>
      </c>
      <c r="R202" s="118">
        <f t="shared" ca="1" si="50"/>
        <v>310884</v>
      </c>
      <c r="S202" s="118">
        <f t="shared" ca="1" si="50"/>
        <v>310884</v>
      </c>
      <c r="T202" s="118">
        <f ca="1">고급</f>
        <v>310884</v>
      </c>
      <c r="U202" s="118">
        <f t="shared" ca="1" si="51"/>
        <v>310884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40</v>
      </c>
      <c r="O203" s="173">
        <v>6</v>
      </c>
      <c r="P203" s="234">
        <f ca="1">OFFSET($A$1,MATCH(Z199,$A:$A,0)-1,O203)</f>
        <v>1.3</v>
      </c>
      <c r="Q203" s="144" t="s">
        <v>29</v>
      </c>
      <c r="R203" s="118">
        <f t="shared" ca="1" si="50"/>
        <v>295138</v>
      </c>
      <c r="S203" s="118">
        <f t="shared" ca="1" si="50"/>
        <v>383679</v>
      </c>
      <c r="T203" s="118">
        <f ca="1">중급</f>
        <v>295138</v>
      </c>
      <c r="U203" s="118">
        <f t="shared" ca="1" si="51"/>
        <v>383679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41</v>
      </c>
      <c r="O204" s="173">
        <v>7</v>
      </c>
      <c r="P204" s="234">
        <f ca="1">OFFSET($A$1,MATCH(Z199,$A:$A,0)-1,O204)</f>
        <v>1.2</v>
      </c>
      <c r="Q204" s="144" t="s">
        <v>29</v>
      </c>
      <c r="R204" s="118">
        <f t="shared" ca="1" si="50"/>
        <v>235459</v>
      </c>
      <c r="S204" s="118">
        <f t="shared" ca="1" si="50"/>
        <v>282550</v>
      </c>
      <c r="T204" s="118">
        <f ca="1">초급</f>
        <v>235459</v>
      </c>
      <c r="U204" s="118">
        <f t="shared" ca="1" si="51"/>
        <v>282550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319" t="s">
        <v>42</v>
      </c>
      <c r="O205" s="174">
        <v>8</v>
      </c>
      <c r="P205" s="235">
        <f ca="1">OFFSET($A$1,MATCH(Z199,$A:$A,0)-1,O205)</f>
        <v>1</v>
      </c>
      <c r="Q205" s="322" t="s">
        <v>29</v>
      </c>
      <c r="R205" s="323">
        <f t="shared" ca="1" si="50"/>
        <v>250087</v>
      </c>
      <c r="S205" s="323">
        <f t="shared" ca="1" si="50"/>
        <v>250087</v>
      </c>
      <c r="T205" s="323">
        <f ca="1">보조원</f>
        <v>250087</v>
      </c>
      <c r="U205" s="323">
        <f t="shared" ca="1" si="51"/>
        <v>250087</v>
      </c>
      <c r="V205" s="323"/>
      <c r="W205" s="323"/>
      <c r="X205" s="323"/>
      <c r="Y205" s="323"/>
      <c r="Z205" s="324"/>
    </row>
    <row r="206" spans="11:26" ht="18" customHeight="1">
      <c r="K206" s="171" t="s">
        <v>14</v>
      </c>
      <c r="L206" s="171"/>
      <c r="M206" s="171"/>
      <c r="N206" s="139" t="s">
        <v>17</v>
      </c>
      <c r="O206" s="68"/>
      <c r="P206" s="69"/>
      <c r="Q206" s="70"/>
      <c r="R206" s="71"/>
      <c r="S206" s="71">
        <f ca="1">SUBTOTAL(9,S200:S205)</f>
        <v>1666047</v>
      </c>
      <c r="T206" s="71"/>
      <c r="U206" s="71">
        <f ca="1">SUBTOTAL(9,U200:U205)</f>
        <v>1666047</v>
      </c>
      <c r="V206" s="71"/>
      <c r="W206" s="71"/>
      <c r="X206" s="71"/>
      <c r="Y206" s="71"/>
      <c r="Z206" s="68"/>
    </row>
    <row r="207" spans="11:26" ht="18" customHeight="1">
      <c r="K207" s="171" t="s">
        <v>14</v>
      </c>
      <c r="L207" s="171"/>
      <c r="M207" s="171"/>
      <c r="N207" s="318" t="str">
        <f ca="1">"제 " &amp; Z207 &amp; " 호표  "&amp; OFFSET($A$1,MATCH(Z207,$A:$A,0)-1,1)</f>
        <v>제 20 호표  6.3. 관계기관 협의</v>
      </c>
      <c r="O207" s="221"/>
      <c r="P207" s="148"/>
      <c r="Q207" s="148"/>
      <c r="R207" s="149"/>
      <c r="S207" s="149"/>
      <c r="T207" s="149"/>
      <c r="U207" s="149"/>
      <c r="V207" s="149"/>
      <c r="W207" s="149"/>
      <c r="X207" s="149"/>
      <c r="Y207" s="149"/>
      <c r="Z207" s="325">
        <f>Z199+1</f>
        <v>20</v>
      </c>
    </row>
    <row r="208" spans="11:26" ht="18" customHeight="1">
      <c r="K208" s="171" t="s">
        <v>14</v>
      </c>
      <c r="L208" s="171"/>
      <c r="M208" s="171"/>
      <c r="N208" s="140" t="s">
        <v>43</v>
      </c>
      <c r="O208" s="172">
        <v>3</v>
      </c>
      <c r="P208" s="219">
        <f ca="1">OFFSET($A$1,MATCH(Z207,$A:$A,0)-1,O208)</f>
        <v>0.4</v>
      </c>
      <c r="Q208" s="141" t="s">
        <v>29</v>
      </c>
      <c r="R208" s="142">
        <f t="shared" ref="R208:S213" ca="1" si="52">T208</f>
        <v>467217</v>
      </c>
      <c r="S208" s="142">
        <f t="shared" ca="1" si="52"/>
        <v>186886</v>
      </c>
      <c r="T208" s="142">
        <f ca="1">기술사</f>
        <v>467217</v>
      </c>
      <c r="U208" s="142">
        <f t="shared" ref="U208:U213" ca="1" si="53">ROUNDDOWN(P208*R208,0)</f>
        <v>186886</v>
      </c>
      <c r="V208" s="142"/>
      <c r="W208" s="142"/>
      <c r="X208" s="142"/>
      <c r="Y208" s="142"/>
      <c r="Z208" s="114"/>
    </row>
    <row r="209" spans="11:26" ht="18" customHeight="1">
      <c r="K209" s="171" t="s">
        <v>14</v>
      </c>
      <c r="L209" s="171"/>
      <c r="M209" s="171"/>
      <c r="N209" s="143" t="s">
        <v>32</v>
      </c>
      <c r="O209" s="173">
        <v>4</v>
      </c>
      <c r="P209" s="234">
        <f ca="1">OFFSET($A$1,MATCH(Z207,$A:$A,0)-1,O209)</f>
        <v>0.9</v>
      </c>
      <c r="Q209" s="144" t="s">
        <v>29</v>
      </c>
      <c r="R209" s="118">
        <f t="shared" ca="1" si="52"/>
        <v>373353</v>
      </c>
      <c r="S209" s="118">
        <f t="shared" ca="1" si="52"/>
        <v>336017</v>
      </c>
      <c r="T209" s="118">
        <f ca="1">특급</f>
        <v>373353</v>
      </c>
      <c r="U209" s="118">
        <f t="shared" ca="1" si="53"/>
        <v>336017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39</v>
      </c>
      <c r="O210" s="173">
        <v>5</v>
      </c>
      <c r="P210" s="234">
        <f ca="1">OFFSET($A$1,MATCH(Z207,$A:$A,0)-1,O210)</f>
        <v>1.2</v>
      </c>
      <c r="Q210" s="144" t="s">
        <v>29</v>
      </c>
      <c r="R210" s="118">
        <f t="shared" ca="1" si="52"/>
        <v>310884</v>
      </c>
      <c r="S210" s="118">
        <f t="shared" ca="1" si="52"/>
        <v>373060</v>
      </c>
      <c r="T210" s="118">
        <f ca="1">고급</f>
        <v>310884</v>
      </c>
      <c r="U210" s="118">
        <f t="shared" ca="1" si="53"/>
        <v>373060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40</v>
      </c>
      <c r="O211" s="173">
        <v>6</v>
      </c>
      <c r="P211" s="234">
        <f ca="1">OFFSET($A$1,MATCH(Z207,$A:$A,0)-1,O211)</f>
        <v>1.6</v>
      </c>
      <c r="Q211" s="144" t="s">
        <v>29</v>
      </c>
      <c r="R211" s="118">
        <f t="shared" ca="1" si="52"/>
        <v>295138</v>
      </c>
      <c r="S211" s="118">
        <f t="shared" ca="1" si="52"/>
        <v>472220</v>
      </c>
      <c r="T211" s="118">
        <f ca="1">중급</f>
        <v>295138</v>
      </c>
      <c r="U211" s="118">
        <f t="shared" ca="1" si="53"/>
        <v>472220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41</v>
      </c>
      <c r="O212" s="173">
        <v>7</v>
      </c>
      <c r="P212" s="234">
        <f ca="1">OFFSET($A$1,MATCH(Z207,$A:$A,0)-1,O212)</f>
        <v>1.5</v>
      </c>
      <c r="Q212" s="144" t="s">
        <v>29</v>
      </c>
      <c r="R212" s="118">
        <f t="shared" ca="1" si="52"/>
        <v>235459</v>
      </c>
      <c r="S212" s="118">
        <f t="shared" ca="1" si="52"/>
        <v>353188</v>
      </c>
      <c r="T212" s="118">
        <f ca="1">초급</f>
        <v>235459</v>
      </c>
      <c r="U212" s="118">
        <f t="shared" ca="1" si="53"/>
        <v>353188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319" t="s">
        <v>42</v>
      </c>
      <c r="O213" s="174">
        <v>8</v>
      </c>
      <c r="P213" s="235">
        <f ca="1">OFFSET($A$1,MATCH(Z207,$A:$A,0)-1,O213)</f>
        <v>1.2</v>
      </c>
      <c r="Q213" s="322" t="s">
        <v>29</v>
      </c>
      <c r="R213" s="323">
        <f t="shared" ca="1" si="52"/>
        <v>250087</v>
      </c>
      <c r="S213" s="323">
        <f t="shared" ca="1" si="52"/>
        <v>300104</v>
      </c>
      <c r="T213" s="323">
        <f ca="1">보조원</f>
        <v>250087</v>
      </c>
      <c r="U213" s="323">
        <f t="shared" ca="1" si="53"/>
        <v>300104</v>
      </c>
      <c r="V213" s="323"/>
      <c r="W213" s="323"/>
      <c r="X213" s="323"/>
      <c r="Y213" s="323"/>
      <c r="Z213" s="324"/>
    </row>
    <row r="214" spans="11:26" ht="18" customHeight="1">
      <c r="K214" s="171" t="s">
        <v>14</v>
      </c>
      <c r="L214" s="171"/>
      <c r="M214" s="171"/>
      <c r="N214" s="139" t="s">
        <v>17</v>
      </c>
      <c r="O214" s="68"/>
      <c r="P214" s="69"/>
      <c r="Q214" s="70"/>
      <c r="R214" s="71"/>
      <c r="S214" s="71">
        <f ca="1">SUBTOTAL(9,S208:S213)</f>
        <v>2021475</v>
      </c>
      <c r="T214" s="71"/>
      <c r="U214" s="71">
        <f ca="1">SUBTOTAL(9,U208:U213)</f>
        <v>2021475</v>
      </c>
      <c r="V214" s="71"/>
      <c r="W214" s="71"/>
      <c r="X214" s="71"/>
      <c r="Y214" s="71"/>
      <c r="Z214" s="68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26" ht="18" customHeight="1">
      <c r="K225" s="171" t="s">
        <v>14</v>
      </c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1:26" ht="18" customHeight="1">
      <c r="K226" s="171" t="s">
        <v>14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1:26" ht="18" customHeight="1">
      <c r="K227" s="171" t="s">
        <v>14</v>
      </c>
      <c r="L227" s="171"/>
      <c r="M227" s="171"/>
    </row>
    <row r="228" spans="11:26" ht="18" customHeight="1">
      <c r="K228" s="171" t="s">
        <v>14</v>
      </c>
      <c r="L228" s="171"/>
      <c r="M228" s="171"/>
    </row>
    <row r="229" spans="11:26" ht="18" customHeight="1">
      <c r="K229" s="171" t="s">
        <v>14</v>
      </c>
      <c r="L229" s="171"/>
      <c r="M229" s="171"/>
    </row>
    <row r="230" spans="11:26" ht="18" customHeight="1">
      <c r="K230" s="171" t="s">
        <v>14</v>
      </c>
      <c r="L230" s="171"/>
      <c r="M230" s="171"/>
    </row>
    <row r="231" spans="11:26" ht="18" customHeight="1">
      <c r="K231" s="171" t="s">
        <v>14</v>
      </c>
      <c r="L231" s="171"/>
      <c r="M231" s="171"/>
    </row>
    <row r="232" spans="11:26" ht="18" customHeight="1">
      <c r="K232" s="171" t="s">
        <v>14</v>
      </c>
      <c r="L232" s="171"/>
      <c r="M232" s="171"/>
    </row>
    <row r="233" spans="11:26" ht="18" customHeight="1">
      <c r="K233" s="171" t="s">
        <v>14</v>
      </c>
      <c r="L233" s="171"/>
      <c r="M233" s="171"/>
    </row>
    <row r="234" spans="11:26" ht="18" customHeight="1">
      <c r="K234" s="171" t="s">
        <v>14</v>
      </c>
      <c r="L234" s="171"/>
      <c r="M234" s="171"/>
    </row>
    <row r="235" spans="11:26" ht="18" customHeight="1">
      <c r="K235" s="171" t="s">
        <v>14</v>
      </c>
      <c r="L235" s="171"/>
      <c r="M235" s="171"/>
    </row>
    <row r="236" spans="11:26" ht="18" customHeight="1">
      <c r="K236" s="171" t="s">
        <v>14</v>
      </c>
      <c r="L236" s="171"/>
      <c r="M236" s="171"/>
    </row>
    <row r="237" spans="11:26" ht="18" customHeight="1">
      <c r="K237" s="171" t="s">
        <v>14</v>
      </c>
      <c r="L237" s="171"/>
      <c r="M237" s="171"/>
    </row>
    <row r="238" spans="11:26" ht="18" customHeight="1">
      <c r="K238" s="171" t="s">
        <v>14</v>
      </c>
      <c r="L238" s="171"/>
      <c r="M238" s="171"/>
    </row>
    <row r="239" spans="11:26" ht="18" customHeight="1">
      <c r="K239" s="171" t="s">
        <v>14</v>
      </c>
      <c r="L239" s="171"/>
      <c r="M239" s="171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</row>
    <row r="756" spans="12:13" ht="18" customHeight="1">
      <c r="L756" s="171"/>
    </row>
    <row r="757" spans="12:13" ht="18" customHeight="1">
      <c r="L757" s="171"/>
    </row>
    <row r="758" spans="12:13" ht="18" customHeight="1">
      <c r="L758" s="171"/>
    </row>
    <row r="759" spans="12:13" ht="18" customHeight="1">
      <c r="L759" s="171"/>
    </row>
    <row r="760" spans="12:13" ht="18" customHeight="1">
      <c r="L760" s="171"/>
    </row>
    <row r="761" spans="12:13" ht="18" customHeight="1">
      <c r="L761" s="171"/>
    </row>
    <row r="762" spans="12:13" ht="18" customHeight="1">
      <c r="L762" s="171"/>
    </row>
    <row r="763" spans="12:13" ht="18" customHeight="1">
      <c r="L763" s="171"/>
    </row>
    <row r="764" spans="12:13" ht="18" customHeight="1">
      <c r="L764" s="171"/>
    </row>
    <row r="765" spans="12:13" ht="18" customHeight="1">
      <c r="L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</sheetData>
  <mergeCells count="19">
    <mergeCell ref="B3:C3"/>
    <mergeCell ref="D3:E3"/>
    <mergeCell ref="B4:C4"/>
    <mergeCell ref="D4:E4"/>
    <mergeCell ref="B5:C5"/>
    <mergeCell ref="D5:E5"/>
    <mergeCell ref="B6:C6"/>
    <mergeCell ref="D6:E6"/>
    <mergeCell ref="B14:C15"/>
    <mergeCell ref="J14:J15"/>
    <mergeCell ref="L14:L15"/>
    <mergeCell ref="O53:O54"/>
    <mergeCell ref="P53:P54"/>
    <mergeCell ref="Q53:Q54"/>
    <mergeCell ref="Z53:Z54"/>
    <mergeCell ref="G3:H3"/>
    <mergeCell ref="G4:H4"/>
    <mergeCell ref="G5:H5"/>
    <mergeCell ref="N53:N54"/>
  </mergeCells>
  <phoneticPr fontId="14" type="noConversion"/>
  <conditionalFormatting sqref="V16:V42">
    <cfRule type="cellIs" dxfId="27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0449" r:id="rId4" name="Drop Down 1">
              <controlPr defaultSize="0" autoLine="0" autoPict="0">
                <anchor moveWithCells="1">
                  <from>
                    <xdr:col>6</xdr:col>
                    <xdr:colOff>409575</xdr:colOff>
                    <xdr:row>0</xdr:row>
                    <xdr:rowOff>200025</xdr:rowOff>
                  </from>
                  <to>
                    <xdr:col>10</xdr:col>
                    <xdr:colOff>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10">
    <tabColor rgb="FFFFFF00"/>
    <pageSetUpPr fitToPage="1"/>
  </sheetPr>
  <dimension ref="A1:AC774"/>
  <sheetViews>
    <sheetView showGridLines="0" zoomScale="85" zoomScaleNormal="85" zoomScaleSheetLayoutView="75" workbookViewId="0">
      <selection activeCell="N3" sqref="N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2520</v>
      </c>
      <c r="Z1" s="391" t="s">
        <v>2486</v>
      </c>
    </row>
    <row r="2" spans="1:26" ht="19.5" thickBot="1">
      <c r="B2" s="66" t="s">
        <v>2521</v>
      </c>
      <c r="Z2" s="391" t="s">
        <v>2487</v>
      </c>
    </row>
    <row r="3" spans="1:26" ht="18" customHeight="1">
      <c r="B3" s="773" t="s">
        <v>48</v>
      </c>
      <c r="C3" s="774"/>
      <c r="D3" s="775">
        <v>10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Z3" s="391" t="s">
        <v>2488</v>
      </c>
    </row>
    <row r="4" spans="1:26" ht="18" customHeight="1">
      <c r="B4" s="777" t="s">
        <v>54</v>
      </c>
      <c r="C4" s="778"/>
      <c r="D4" s="779">
        <v>99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B5" s="777" t="s">
        <v>2489</v>
      </c>
      <c r="C5" s="814"/>
      <c r="D5" s="859">
        <f>ROUND((IF(D4&lt;=5,5,D4)/D3)^0.6,2)</f>
        <v>3.96</v>
      </c>
      <c r="E5" s="860"/>
      <c r="F5" s="217"/>
      <c r="G5" s="817" t="s">
        <v>1102</v>
      </c>
      <c r="H5" s="818"/>
      <c r="I5" s="746">
        <f>ROUND(I4/I3,3)</f>
        <v>1</v>
      </c>
      <c r="J5" s="671"/>
    </row>
    <row r="6" spans="1:26" ht="18" customHeight="1" thickBot="1">
      <c r="A6" s="358"/>
      <c r="B6" s="781" t="s">
        <v>2490</v>
      </c>
      <c r="C6" s="782"/>
      <c r="D6" s="857">
        <f>CHOOSE(F6,1,1.1,1.2)</f>
        <v>1</v>
      </c>
      <c r="E6" s="858"/>
      <c r="F6" s="621">
        <v>1</v>
      </c>
      <c r="G6" s="9" t="s">
        <v>1107</v>
      </c>
      <c r="J6" s="36"/>
      <c r="K6" s="6"/>
    </row>
    <row r="7" spans="1:26" ht="18" customHeight="1">
      <c r="B7" s="9" t="s">
        <v>2483</v>
      </c>
      <c r="C7" s="36"/>
      <c r="D7" s="36"/>
      <c r="E7" s="36"/>
      <c r="F7" s="36"/>
      <c r="G7" s="36"/>
      <c r="R7" s="1"/>
      <c r="S7" s="1"/>
      <c r="T7" s="1"/>
    </row>
    <row r="8" spans="1:26" ht="18" customHeight="1">
      <c r="B8" s="1" t="s">
        <v>2484</v>
      </c>
      <c r="G8" s="36"/>
      <c r="W8" s="188" t="s">
        <v>3</v>
      </c>
      <c r="X8" s="189"/>
    </row>
    <row r="9" spans="1:26" ht="18" customHeight="1">
      <c r="B9" s="1" t="s">
        <v>2485</v>
      </c>
      <c r="G9" s="36"/>
      <c r="W9" s="676"/>
      <c r="X9" s="676"/>
    </row>
    <row r="10" spans="1:26" ht="18" customHeight="1">
      <c r="G10" s="36"/>
      <c r="W10" s="676"/>
      <c r="X10" s="676"/>
    </row>
    <row r="11" spans="1:26" ht="18" customHeight="1">
      <c r="G11" s="36"/>
      <c r="W11" s="676"/>
      <c r="X11" s="676"/>
    </row>
    <row r="12" spans="1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1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SUBTOTAL(9,W14:W49)</f>
        <v>2075906698</v>
      </c>
      <c r="X13" s="187"/>
      <c r="Y13" s="177"/>
      <c r="Z13" s="167"/>
    </row>
    <row r="14" spans="1:26" ht="18" customHeight="1"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SUBTOTAL(9,W15:W46)</f>
        <v>747859284</v>
      </c>
      <c r="X14" s="164"/>
      <c r="Y14" s="178" t="s">
        <v>9</v>
      </c>
      <c r="Z14" s="179"/>
    </row>
    <row r="15" spans="1:26" ht="18" customHeight="1" thickBot="1">
      <c r="B15" s="759"/>
      <c r="C15" s="760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181"/>
      <c r="V15" s="218"/>
      <c r="W15" s="159">
        <f ca="1">SUBTOTAL(9,W16:W41)</f>
        <v>739859284</v>
      </c>
      <c r="X15" s="160"/>
      <c r="Y15" s="168"/>
      <c r="Z15" s="168"/>
    </row>
    <row r="16" spans="1:26" ht="18" customHeight="1">
      <c r="B16" s="225" t="s">
        <v>2491</v>
      </c>
      <c r="C16" s="72"/>
      <c r="D16" s="203">
        <f t="shared" ref="D16:I16" si="0">SUBTOTAL(9,D17:D19)</f>
        <v>1.6</v>
      </c>
      <c r="E16" s="204">
        <f t="shared" si="0"/>
        <v>5.1999999999999993</v>
      </c>
      <c r="F16" s="204">
        <f t="shared" si="0"/>
        <v>11.3</v>
      </c>
      <c r="G16" s="204">
        <f t="shared" si="0"/>
        <v>15.7</v>
      </c>
      <c r="H16" s="204">
        <f t="shared" si="0"/>
        <v>19</v>
      </c>
      <c r="I16" s="205">
        <f t="shared" si="0"/>
        <v>9.4</v>
      </c>
      <c r="J16" s="654"/>
      <c r="L16" s="232"/>
      <c r="N16" s="294" t="str">
        <f>B16</f>
        <v>1. 조사분석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SUBTOTAL(9,W17:W19)</f>
        <v>69953768</v>
      </c>
      <c r="X16" s="194"/>
      <c r="Y16" s="170"/>
      <c r="Z16" s="170"/>
    </row>
    <row r="17" spans="2:26" ht="18" customHeight="1">
      <c r="B17" s="223" t="s">
        <v>1516</v>
      </c>
      <c r="C17" s="23"/>
      <c r="D17" s="197">
        <v>0.4</v>
      </c>
      <c r="E17" s="198">
        <v>1.5</v>
      </c>
      <c r="F17" s="198">
        <v>3.4</v>
      </c>
      <c r="G17" s="198">
        <v>5</v>
      </c>
      <c r="H17" s="198">
        <v>6.4</v>
      </c>
      <c r="I17" s="199">
        <v>3.1</v>
      </c>
      <c r="J17" s="389" t="s">
        <v>1926</v>
      </c>
      <c r="L17" s="233">
        <v>1</v>
      </c>
      <c r="N17" s="296" t="str">
        <f t="shared" ref="N17:N41" si="1">B17</f>
        <v>1.1. 자연환경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SUM((ROUNDDOWN((D44:I44)*단가,0)))</f>
        <v>22031883</v>
      </c>
      <c r="X17" s="154"/>
      <c r="Y17" s="150" t="str">
        <f>IF(A44&gt;0, "제 " &amp;A44&amp; " 호표","")</f>
        <v>제 1 호표</v>
      </c>
      <c r="Z17" s="150"/>
    </row>
    <row r="18" spans="2:26" ht="18" customHeight="1">
      <c r="B18" s="223" t="s">
        <v>2492</v>
      </c>
      <c r="C18" s="23"/>
      <c r="D18" s="197">
        <v>0.4</v>
      </c>
      <c r="E18" s="198">
        <v>1.4</v>
      </c>
      <c r="F18" s="198">
        <v>3</v>
      </c>
      <c r="G18" s="198">
        <v>4.4000000000000004</v>
      </c>
      <c r="H18" s="198">
        <v>5.8</v>
      </c>
      <c r="I18" s="199">
        <v>2.8</v>
      </c>
      <c r="J18" s="389" t="s">
        <v>1925</v>
      </c>
      <c r="L18" s="233">
        <v>1</v>
      </c>
      <c r="N18" s="296" t="str">
        <f t="shared" si="1"/>
        <v>1.2. 인문환경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SUM((ROUNDDOWN((D45:I45)*단가,0)))</f>
        <v>19834497</v>
      </c>
      <c r="X18" s="154"/>
      <c r="Y18" s="150" t="str">
        <f t="shared" ref="Y18:Y41" si="2">IF(A45&gt;0, "제 " &amp;A45&amp; " 호표","")</f>
        <v>제 2 호표</v>
      </c>
      <c r="Z18" s="150"/>
    </row>
    <row r="19" spans="2:26" ht="18" customHeight="1">
      <c r="B19" s="223" t="s">
        <v>2493</v>
      </c>
      <c r="C19" s="23"/>
      <c r="D19" s="197">
        <v>0.8</v>
      </c>
      <c r="E19" s="198">
        <v>2.2999999999999998</v>
      </c>
      <c r="F19" s="198">
        <v>4.9000000000000004</v>
      </c>
      <c r="G19" s="198">
        <v>6.3</v>
      </c>
      <c r="H19" s="198">
        <v>6.8</v>
      </c>
      <c r="I19" s="199">
        <v>3.5</v>
      </c>
      <c r="J19" s="389" t="s">
        <v>1925</v>
      </c>
      <c r="L19" s="233">
        <v>1</v>
      </c>
      <c r="N19" s="296" t="str">
        <f t="shared" si="1"/>
        <v>1.3. 종합분석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SUM((ROUNDDOWN((D46:I46)*단가,0)))</f>
        <v>28087388</v>
      </c>
      <c r="X19" s="154"/>
      <c r="Y19" s="150" t="str">
        <f t="shared" si="2"/>
        <v>제 3 호표</v>
      </c>
      <c r="Z19" s="150"/>
    </row>
    <row r="20" spans="2:26" ht="18" customHeight="1">
      <c r="B20" s="222" t="s">
        <v>52</v>
      </c>
      <c r="C20" s="47"/>
      <c r="D20" s="48">
        <f t="shared" ref="D20:I20" si="3">SUBTOTAL(9,D21:D25)</f>
        <v>6.2</v>
      </c>
      <c r="E20" s="49">
        <f t="shared" si="3"/>
        <v>19.5</v>
      </c>
      <c r="F20" s="49">
        <f t="shared" si="3"/>
        <v>31.800000000000004</v>
      </c>
      <c r="G20" s="49">
        <f t="shared" si="3"/>
        <v>31.599999999999998</v>
      </c>
      <c r="H20" s="49">
        <f t="shared" si="3"/>
        <v>39.480000000000004</v>
      </c>
      <c r="I20" s="50">
        <f t="shared" si="3"/>
        <v>17.7</v>
      </c>
      <c r="J20" s="389"/>
      <c r="L20" s="233"/>
      <c r="N20" s="292" t="str">
        <f t="shared" si="1"/>
        <v>2. 기본구상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SUBTOTAL(9,W21:W25)</f>
        <v>382871468</v>
      </c>
      <c r="X20" s="196"/>
      <c r="Y20" s="150" t="str">
        <f t="shared" si="2"/>
        <v/>
      </c>
      <c r="Z20" s="150"/>
    </row>
    <row r="21" spans="2:26" ht="18" customHeight="1">
      <c r="B21" s="223" t="s">
        <v>2494</v>
      </c>
      <c r="C21" s="23"/>
      <c r="D21" s="197">
        <v>1.3</v>
      </c>
      <c r="E21" s="198">
        <v>3.6</v>
      </c>
      <c r="F21" s="198">
        <v>5.8</v>
      </c>
      <c r="G21" s="198">
        <v>5.7</v>
      </c>
      <c r="H21" s="198">
        <v>7.1</v>
      </c>
      <c r="I21" s="199">
        <v>3.2</v>
      </c>
      <c r="J21" s="389" t="s">
        <v>1925</v>
      </c>
      <c r="L21" s="233">
        <v>1</v>
      </c>
      <c r="N21" s="296" t="str">
        <f t="shared" si="1"/>
        <v>2.1. 개발방향설정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SUM((ROUNDDOWN((D51:I51)*단가,0)))</f>
        <v>40109822</v>
      </c>
      <c r="X21" s="154"/>
      <c r="Y21" s="150" t="str">
        <f t="shared" si="2"/>
        <v>제 4 호표</v>
      </c>
      <c r="Z21" s="150"/>
    </row>
    <row r="22" spans="2:26" ht="18" customHeight="1">
      <c r="B22" s="223" t="s">
        <v>2495</v>
      </c>
      <c r="C22" s="23"/>
      <c r="D22" s="197">
        <v>1.1000000000000001</v>
      </c>
      <c r="E22" s="198">
        <v>3.3</v>
      </c>
      <c r="F22" s="198">
        <v>5.5</v>
      </c>
      <c r="G22" s="198">
        <v>5.3</v>
      </c>
      <c r="H22" s="198">
        <v>6.6</v>
      </c>
      <c r="I22" s="199">
        <v>3</v>
      </c>
      <c r="J22" s="389" t="s">
        <v>1925</v>
      </c>
      <c r="L22" s="233">
        <v>1</v>
      </c>
      <c r="N22" s="296" t="str">
        <f t="shared" si="1"/>
        <v>2.2. 계획지표설정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SUM((ROUNDDOWN((D52:I52)*단가,0)))</f>
        <v>35184837</v>
      </c>
      <c r="X22" s="154"/>
      <c r="Y22" s="150" t="str">
        <f t="shared" si="2"/>
        <v>제 5 호표</v>
      </c>
      <c r="Z22" s="150"/>
    </row>
    <row r="23" spans="2:26" ht="18" customHeight="1">
      <c r="B23" s="223" t="s">
        <v>2496</v>
      </c>
      <c r="C23" s="23"/>
      <c r="D23" s="197">
        <v>1.2</v>
      </c>
      <c r="E23" s="198">
        <v>3.9</v>
      </c>
      <c r="F23" s="198">
        <v>6.5</v>
      </c>
      <c r="G23" s="198">
        <v>6.7</v>
      </c>
      <c r="H23" s="198">
        <v>8.3000000000000007</v>
      </c>
      <c r="I23" s="199">
        <v>3.6</v>
      </c>
      <c r="J23" s="389" t="s">
        <v>1925</v>
      </c>
      <c r="L23" s="233">
        <v>1</v>
      </c>
      <c r="N23" s="296" t="str">
        <f t="shared" si="1"/>
        <v>2.3. 토지이용체계구상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SUM((ROUNDDOWN((D53:I53)*단가,0)))</f>
        <v>219693128</v>
      </c>
      <c r="X23" s="154"/>
      <c r="Y23" s="150" t="str">
        <f t="shared" si="2"/>
        <v>제 6 호표</v>
      </c>
      <c r="Z23" s="150"/>
    </row>
    <row r="24" spans="2:26" ht="18" customHeight="1">
      <c r="B24" s="223" t="s">
        <v>2497</v>
      </c>
      <c r="C24" s="23"/>
      <c r="D24" s="197">
        <v>1.4</v>
      </c>
      <c r="E24" s="198">
        <v>4.4000000000000004</v>
      </c>
      <c r="F24" s="198">
        <v>7.4</v>
      </c>
      <c r="G24" s="198">
        <v>7.6</v>
      </c>
      <c r="H24" s="198">
        <v>9.6</v>
      </c>
      <c r="I24" s="199">
        <v>4.0999999999999996</v>
      </c>
      <c r="J24" s="389" t="s">
        <v>1925</v>
      </c>
      <c r="L24" s="233">
        <v>1</v>
      </c>
      <c r="N24" s="296" t="str">
        <f t="shared" si="1"/>
        <v>2.4. 동선체계구상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SUM((ROUNDDOWN((D54:I54)*단가,0)))</f>
        <v>38220264</v>
      </c>
      <c r="X24" s="154"/>
      <c r="Y24" s="150" t="str">
        <f t="shared" si="2"/>
        <v>제 7 호표</v>
      </c>
      <c r="Z24" s="150"/>
    </row>
    <row r="25" spans="2:26" ht="18" customHeight="1">
      <c r="B25" s="223" t="s">
        <v>2498</v>
      </c>
      <c r="C25" s="23"/>
      <c r="D25" s="197">
        <v>1.2</v>
      </c>
      <c r="E25" s="198">
        <v>4.3</v>
      </c>
      <c r="F25" s="198">
        <v>6.6</v>
      </c>
      <c r="G25" s="198">
        <v>6.3</v>
      </c>
      <c r="H25" s="198">
        <v>7.88</v>
      </c>
      <c r="I25" s="199">
        <v>3.8</v>
      </c>
      <c r="J25" s="389" t="s">
        <v>1925</v>
      </c>
      <c r="L25" s="233">
        <v>1</v>
      </c>
      <c r="N25" s="296" t="str">
        <f t="shared" si="1"/>
        <v>2.5. 유치시설종류 및 규모설정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SUM((ROUNDDOWN((D55:I55)*단가,0)))</f>
        <v>49663417</v>
      </c>
      <c r="X25" s="154"/>
      <c r="Y25" s="150" t="str">
        <f t="shared" si="2"/>
        <v>제 8 호표</v>
      </c>
      <c r="Z25" s="150"/>
    </row>
    <row r="26" spans="2:26" ht="18" customHeight="1">
      <c r="B26" s="222" t="s">
        <v>880</v>
      </c>
      <c r="C26" s="47"/>
      <c r="D26" s="48">
        <f t="shared" ref="D26:I26" si="4">SUBTOTAL(9,D27:D31)</f>
        <v>9.8000000000000007</v>
      </c>
      <c r="E26" s="49">
        <f t="shared" si="4"/>
        <v>24.6</v>
      </c>
      <c r="F26" s="49">
        <f t="shared" si="4"/>
        <v>39.9</v>
      </c>
      <c r="G26" s="49">
        <f t="shared" si="4"/>
        <v>42.2</v>
      </c>
      <c r="H26" s="49">
        <f t="shared" si="4"/>
        <v>46.400000000000006</v>
      </c>
      <c r="I26" s="50">
        <f t="shared" si="4"/>
        <v>23.68</v>
      </c>
      <c r="J26" s="389"/>
      <c r="L26" s="233"/>
      <c r="N26" s="292" t="str">
        <f t="shared" si="1"/>
        <v>3. 기본계획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SUBTOTAL(9,W27:W31)</f>
        <v>212202821</v>
      </c>
      <c r="X26" s="154"/>
      <c r="Y26" s="150" t="str">
        <f t="shared" si="2"/>
        <v/>
      </c>
      <c r="Z26" s="150"/>
    </row>
    <row r="27" spans="2:26" ht="18" customHeight="1">
      <c r="B27" s="223" t="s">
        <v>2499</v>
      </c>
      <c r="C27" s="23"/>
      <c r="D27" s="197">
        <v>1.6</v>
      </c>
      <c r="E27" s="198">
        <v>4.4000000000000004</v>
      </c>
      <c r="F27" s="198">
        <v>7.1</v>
      </c>
      <c r="G27" s="198">
        <v>7.5</v>
      </c>
      <c r="H27" s="198">
        <v>7.7</v>
      </c>
      <c r="I27" s="199">
        <v>4.0999999999999996</v>
      </c>
      <c r="J27" s="389" t="s">
        <v>1925</v>
      </c>
      <c r="L27" s="233">
        <v>1</v>
      </c>
      <c r="N27" s="296" t="str">
        <f t="shared" si="1"/>
        <v>3.1. 토지이용계획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SUM((ROUNDDOWN((D56:I56)*단가,0)))</f>
        <v>43526257</v>
      </c>
      <c r="X27" s="154"/>
      <c r="Y27" s="150" t="str">
        <f t="shared" si="2"/>
        <v>제 9 호표</v>
      </c>
      <c r="Z27" s="150"/>
    </row>
    <row r="28" spans="2:26" ht="18" customHeight="1">
      <c r="B28" s="223" t="s">
        <v>2500</v>
      </c>
      <c r="C28" s="23"/>
      <c r="D28" s="197">
        <v>2.2000000000000002</v>
      </c>
      <c r="E28" s="198">
        <v>5.6</v>
      </c>
      <c r="F28" s="198">
        <v>9.9</v>
      </c>
      <c r="G28" s="198">
        <v>9.5</v>
      </c>
      <c r="H28" s="198">
        <v>9.4</v>
      </c>
      <c r="I28" s="199">
        <v>5.3</v>
      </c>
      <c r="J28" s="389" t="s">
        <v>1925</v>
      </c>
      <c r="L28" s="233">
        <v>1</v>
      </c>
      <c r="N28" s="296" t="str">
        <f t="shared" si="1"/>
        <v>3.2. 교통동선 및 포장계획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SUM((ROUNDDOWN((D57:I57)*단가,0)))</f>
        <v>43001819</v>
      </c>
      <c r="X28" s="154"/>
      <c r="Y28" s="150" t="str">
        <f t="shared" si="2"/>
        <v>제 10 호표</v>
      </c>
      <c r="Z28" s="150"/>
    </row>
    <row r="29" spans="2:26" ht="18" customHeight="1">
      <c r="B29" s="223" t="s">
        <v>2501</v>
      </c>
      <c r="C29" s="23"/>
      <c r="D29" s="197">
        <v>2.2000000000000002</v>
      </c>
      <c r="E29" s="198">
        <v>4.8</v>
      </c>
      <c r="F29" s="198">
        <v>8.3000000000000007</v>
      </c>
      <c r="G29" s="198">
        <v>8.1</v>
      </c>
      <c r="H29" s="198">
        <v>8.4</v>
      </c>
      <c r="I29" s="199">
        <v>4.88</v>
      </c>
      <c r="J29" s="389" t="s">
        <v>1925</v>
      </c>
      <c r="L29" s="233">
        <v>1</v>
      </c>
      <c r="N29" s="296" t="str">
        <f t="shared" si="1"/>
        <v>3.3. 시설배치계획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SUM((ROUNDDOWN((D58:I58)*단가,0)))</f>
        <v>45281360</v>
      </c>
      <c r="X29" s="154"/>
      <c r="Y29" s="150" t="str">
        <f t="shared" si="2"/>
        <v>제 11 호표</v>
      </c>
      <c r="Z29" s="150"/>
    </row>
    <row r="30" spans="2:26" ht="18" customHeight="1">
      <c r="B30" s="223" t="s">
        <v>2502</v>
      </c>
      <c r="C30" s="23"/>
      <c r="D30" s="197">
        <v>1.8</v>
      </c>
      <c r="E30" s="198">
        <v>4.5</v>
      </c>
      <c r="F30" s="198">
        <v>7.1</v>
      </c>
      <c r="G30" s="198">
        <v>8.1</v>
      </c>
      <c r="H30" s="198">
        <v>11.1</v>
      </c>
      <c r="I30" s="199">
        <v>4.5</v>
      </c>
      <c r="J30" s="389" t="s">
        <v>1925</v>
      </c>
      <c r="L30" s="233">
        <v>1</v>
      </c>
      <c r="N30" s="296" t="str">
        <f t="shared" si="1"/>
        <v>3.4. 식재계획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SUM((ROUNDDOWN((D58:I58)*단가,0)))</f>
        <v>45281360</v>
      </c>
      <c r="X30" s="154"/>
      <c r="Y30" s="150" t="str">
        <f t="shared" si="2"/>
        <v>제 12 호표</v>
      </c>
      <c r="Z30" s="150"/>
    </row>
    <row r="31" spans="2:26" ht="18" customHeight="1">
      <c r="B31" s="223" t="s">
        <v>2503</v>
      </c>
      <c r="C31" s="23"/>
      <c r="D31" s="197">
        <v>2</v>
      </c>
      <c r="E31" s="198">
        <v>5.3</v>
      </c>
      <c r="F31" s="198">
        <v>7.5</v>
      </c>
      <c r="G31" s="198">
        <v>9</v>
      </c>
      <c r="H31" s="198">
        <v>9.8000000000000007</v>
      </c>
      <c r="I31" s="199">
        <v>4.9000000000000004</v>
      </c>
      <c r="J31" s="389" t="s">
        <v>1925</v>
      </c>
      <c r="L31" s="233">
        <v>1</v>
      </c>
      <c r="N31" s="296" t="str">
        <f t="shared" si="1"/>
        <v>3.5. 공급처리계획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SUM((ROUNDDOWN((D59:I59)*단가,0)))</f>
        <v>35112025</v>
      </c>
      <c r="X31" s="154"/>
      <c r="Y31" s="150" t="str">
        <f t="shared" si="2"/>
        <v>제 13 호표</v>
      </c>
      <c r="Z31" s="150"/>
    </row>
    <row r="32" spans="2:26" ht="18" customHeight="1">
      <c r="B32" s="222" t="s">
        <v>2504</v>
      </c>
      <c r="C32" s="47"/>
      <c r="D32" s="48">
        <f t="shared" ref="D32:I32" si="5">SUBTOTAL(9,D33:D34)</f>
        <v>2</v>
      </c>
      <c r="E32" s="49">
        <f t="shared" si="5"/>
        <v>7.1999999999999993</v>
      </c>
      <c r="F32" s="49">
        <f t="shared" si="5"/>
        <v>10.600000000000001</v>
      </c>
      <c r="G32" s="49">
        <f t="shared" si="5"/>
        <v>12.7</v>
      </c>
      <c r="H32" s="49">
        <f t="shared" si="5"/>
        <v>13.6</v>
      </c>
      <c r="I32" s="50">
        <f t="shared" si="5"/>
        <v>7.3000000000000007</v>
      </c>
      <c r="J32" s="389"/>
      <c r="L32" s="233"/>
      <c r="N32" s="292" t="str">
        <f t="shared" si="1"/>
        <v>4. 집행(사업)계획</v>
      </c>
      <c r="O32" s="37"/>
      <c r="P32" s="39"/>
      <c r="Q32" s="37"/>
      <c r="R32" s="117"/>
      <c r="S32" s="37"/>
      <c r="T32" s="37"/>
      <c r="U32" s="226"/>
      <c r="V32" s="231"/>
      <c r="W32" s="195">
        <f ca="1">SUBTOTAL(9,W33:W34)</f>
        <v>35112023</v>
      </c>
      <c r="X32" s="154"/>
      <c r="Y32" s="150" t="str">
        <f t="shared" si="2"/>
        <v/>
      </c>
      <c r="Z32" s="150"/>
    </row>
    <row r="33" spans="1:26" ht="18" customHeight="1">
      <c r="B33" s="223" t="s">
        <v>2505</v>
      </c>
      <c r="C33" s="23"/>
      <c r="D33" s="197">
        <v>1.1000000000000001</v>
      </c>
      <c r="E33" s="198">
        <v>3.8</v>
      </c>
      <c r="F33" s="198">
        <v>5.4</v>
      </c>
      <c r="G33" s="198">
        <v>6.4</v>
      </c>
      <c r="H33" s="198">
        <v>6.8</v>
      </c>
      <c r="I33" s="199">
        <v>3.7</v>
      </c>
      <c r="J33" s="389" t="s">
        <v>1925</v>
      </c>
      <c r="L33" s="233">
        <v>1</v>
      </c>
      <c r="N33" s="296" t="str">
        <f t="shared" si="1"/>
        <v>4.1. 개발추진계획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SUM((ROUNDDOWN((D60:I60)*단가,0)))</f>
        <v>11590132</v>
      </c>
      <c r="X33" s="154"/>
      <c r="Y33" s="150" t="str">
        <f t="shared" si="2"/>
        <v>제 14 호표</v>
      </c>
      <c r="Z33" s="150"/>
    </row>
    <row r="34" spans="1:26" ht="18" customHeight="1">
      <c r="B34" s="223" t="s">
        <v>2506</v>
      </c>
      <c r="C34" s="23"/>
      <c r="D34" s="197">
        <v>0.9</v>
      </c>
      <c r="E34" s="198">
        <v>3.4</v>
      </c>
      <c r="F34" s="198">
        <v>5.2</v>
      </c>
      <c r="G34" s="198">
        <v>6.3</v>
      </c>
      <c r="H34" s="198">
        <v>6.8</v>
      </c>
      <c r="I34" s="199">
        <v>3.6</v>
      </c>
      <c r="J34" s="389" t="s">
        <v>1925</v>
      </c>
      <c r="L34" s="233">
        <v>1</v>
      </c>
      <c r="N34" s="296" t="str">
        <f t="shared" si="1"/>
        <v>4.2. 관리운영계획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SUM((ROUNDDOWN((D61:I61)*단가,0)))</f>
        <v>23521891</v>
      </c>
      <c r="X34" s="154"/>
      <c r="Y34" s="150" t="str">
        <f t="shared" si="2"/>
        <v>제 15 호표</v>
      </c>
      <c r="Z34" s="150"/>
    </row>
    <row r="35" spans="1:26" ht="18" customHeight="1">
      <c r="B35" s="222" t="s">
        <v>424</v>
      </c>
      <c r="C35" s="47"/>
      <c r="D35" s="48">
        <f t="shared" ref="D35:I35" si="6">SUBTOTAL(9,D36:D37)</f>
        <v>0.89999999999999991</v>
      </c>
      <c r="E35" s="49">
        <f t="shared" si="6"/>
        <v>3.4</v>
      </c>
      <c r="F35" s="49">
        <f t="shared" si="6"/>
        <v>5.6999999999999993</v>
      </c>
      <c r="G35" s="49">
        <f t="shared" si="6"/>
        <v>8.1999999999999993</v>
      </c>
      <c r="H35" s="49">
        <f t="shared" si="6"/>
        <v>8.1999999999999993</v>
      </c>
      <c r="I35" s="50">
        <f t="shared" si="6"/>
        <v>4.1999999999999993</v>
      </c>
      <c r="J35" s="389"/>
      <c r="L35" s="233"/>
      <c r="N35" s="292" t="str">
        <f t="shared" si="1"/>
        <v>5. 성과품작성</v>
      </c>
      <c r="O35" s="37"/>
      <c r="P35" s="39"/>
      <c r="Q35" s="37"/>
      <c r="R35" s="117"/>
      <c r="S35" s="37"/>
      <c r="T35" s="37"/>
      <c r="U35" s="226"/>
      <c r="V35" s="231"/>
      <c r="W35" s="195">
        <f ca="1">SUBTOTAL(9,W36:W37)</f>
        <v>35098247</v>
      </c>
      <c r="X35" s="154"/>
      <c r="Y35" s="150" t="str">
        <f t="shared" si="2"/>
        <v/>
      </c>
      <c r="Z35" s="150"/>
    </row>
    <row r="36" spans="1:26" ht="18" customHeight="1">
      <c r="B36" s="223" t="s">
        <v>2507</v>
      </c>
      <c r="C36" s="23"/>
      <c r="D36" s="197">
        <v>0.3</v>
      </c>
      <c r="E36" s="198">
        <v>1.1000000000000001</v>
      </c>
      <c r="F36" s="198">
        <v>1.9</v>
      </c>
      <c r="G36" s="198">
        <v>2.7</v>
      </c>
      <c r="H36" s="198">
        <v>2.7</v>
      </c>
      <c r="I36" s="199">
        <v>1.4</v>
      </c>
      <c r="J36" s="389" t="s">
        <v>1925</v>
      </c>
      <c r="L36" s="233">
        <v>1</v>
      </c>
      <c r="N36" s="296" t="str">
        <f t="shared" si="1"/>
        <v>5.1. 보고서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SUM((ROUNDDOWN((D63:I63)*단가,0)))</f>
        <v>11580093</v>
      </c>
      <c r="X36" s="154"/>
      <c r="Y36" s="150" t="str">
        <f t="shared" si="2"/>
        <v>제 16 호표</v>
      </c>
      <c r="Z36" s="150"/>
    </row>
    <row r="37" spans="1:26" ht="18" customHeight="1">
      <c r="B37" s="259" t="s">
        <v>2508</v>
      </c>
      <c r="C37" s="43"/>
      <c r="D37" s="206">
        <v>0.6</v>
      </c>
      <c r="E37" s="207">
        <v>2.2999999999999998</v>
      </c>
      <c r="F37" s="207">
        <v>3.8</v>
      </c>
      <c r="G37" s="207">
        <v>5.5</v>
      </c>
      <c r="H37" s="207">
        <v>5.5</v>
      </c>
      <c r="I37" s="208">
        <v>2.8</v>
      </c>
      <c r="J37" s="390" t="s">
        <v>1925</v>
      </c>
      <c r="L37" s="233">
        <v>1</v>
      </c>
      <c r="N37" s="296" t="str">
        <f t="shared" si="1"/>
        <v>5.2. 관련도서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SUM((ROUNDDOWN((D64:I64)*단가,0)))</f>
        <v>23518154</v>
      </c>
      <c r="X37" s="154"/>
      <c r="Y37" s="150" t="str">
        <f t="shared" si="2"/>
        <v>제 17 호표</v>
      </c>
      <c r="Z37" s="150"/>
    </row>
    <row r="38" spans="1:26" ht="18" customHeight="1">
      <c r="B38" s="222" t="s">
        <v>426</v>
      </c>
      <c r="C38" s="47"/>
      <c r="D38" s="48">
        <f t="shared" ref="D38:I38" si="7">SUBTOTAL(9,D39:D41)</f>
        <v>0.89999999999999991</v>
      </c>
      <c r="E38" s="49">
        <f t="shared" si="7"/>
        <v>2.0999999999999996</v>
      </c>
      <c r="F38" s="49">
        <f t="shared" si="7"/>
        <v>2.9000000000000004</v>
      </c>
      <c r="G38" s="49">
        <f t="shared" si="7"/>
        <v>3.7</v>
      </c>
      <c r="H38" s="49">
        <f t="shared" si="7"/>
        <v>3.6</v>
      </c>
      <c r="I38" s="50">
        <f t="shared" si="7"/>
        <v>2.2999999999999998</v>
      </c>
      <c r="J38" s="620"/>
      <c r="L38" s="233"/>
      <c r="N38" s="292" t="str">
        <f t="shared" si="1"/>
        <v>6. 기술협의</v>
      </c>
      <c r="O38" s="37"/>
      <c r="P38" s="39"/>
      <c r="Q38" s="37"/>
      <c r="R38" s="117"/>
      <c r="S38" s="37"/>
      <c r="T38" s="37"/>
      <c r="U38" s="226"/>
      <c r="V38" s="231"/>
      <c r="W38" s="195">
        <f ca="1">SUBTOTAL(9,W39:W41)</f>
        <v>4620957</v>
      </c>
      <c r="X38" s="154"/>
      <c r="Y38" s="150" t="str">
        <f t="shared" si="2"/>
        <v/>
      </c>
      <c r="Z38" s="150"/>
    </row>
    <row r="39" spans="1:26" ht="18" customHeight="1">
      <c r="B39" s="223" t="s">
        <v>2509</v>
      </c>
      <c r="C39" s="23"/>
      <c r="D39" s="197">
        <v>0.3</v>
      </c>
      <c r="E39" s="198">
        <v>0.7</v>
      </c>
      <c r="F39" s="198">
        <v>1</v>
      </c>
      <c r="G39" s="198">
        <v>1.2</v>
      </c>
      <c r="H39" s="198">
        <v>1.2</v>
      </c>
      <c r="I39" s="199">
        <v>0.7</v>
      </c>
      <c r="J39" s="389" t="s">
        <v>2512</v>
      </c>
      <c r="L39" s="233">
        <v>1</v>
      </c>
      <c r="N39" s="296" t="str">
        <f t="shared" si="1"/>
        <v>6.1. 위원회 심의 지원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SUM((ROUNDDOWN((D66:I66)*단가,0)))</f>
        <v>1524171</v>
      </c>
      <c r="X39" s="154"/>
      <c r="Y39" s="150" t="str">
        <f t="shared" si="2"/>
        <v>제 18 호표</v>
      </c>
      <c r="Z39" s="150"/>
    </row>
    <row r="40" spans="1:26" ht="18" customHeight="1">
      <c r="B40" s="223" t="s">
        <v>2510</v>
      </c>
      <c r="C40" s="23"/>
      <c r="D40" s="197">
        <v>0.3</v>
      </c>
      <c r="E40" s="198">
        <v>0.6</v>
      </c>
      <c r="F40" s="198">
        <v>0.8</v>
      </c>
      <c r="G40" s="198">
        <v>0.9</v>
      </c>
      <c r="H40" s="198">
        <v>0.9</v>
      </c>
      <c r="I40" s="199">
        <v>0.6</v>
      </c>
      <c r="J40" s="389" t="s">
        <v>2514</v>
      </c>
      <c r="L40" s="233">
        <v>1</v>
      </c>
      <c r="N40" s="296" t="str">
        <f t="shared" si="1"/>
        <v>6.2. 주민설명회 자료 작성 등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SUM((ROUNDDOWN((D67:I67)*단가,0)))</f>
        <v>1240472</v>
      </c>
      <c r="X40" s="154"/>
      <c r="Y40" s="150" t="str">
        <f t="shared" si="2"/>
        <v>제 19 호표</v>
      </c>
      <c r="Z40" s="150"/>
    </row>
    <row r="41" spans="1:26" ht="18" customHeight="1" thickBot="1">
      <c r="B41" s="223" t="s">
        <v>2511</v>
      </c>
      <c r="C41" s="23"/>
      <c r="D41" s="197">
        <v>0.3</v>
      </c>
      <c r="E41" s="198">
        <v>0.8</v>
      </c>
      <c r="F41" s="198">
        <v>1.1000000000000001</v>
      </c>
      <c r="G41" s="198">
        <v>1.6</v>
      </c>
      <c r="H41" s="198">
        <v>1.5</v>
      </c>
      <c r="I41" s="199">
        <v>1</v>
      </c>
      <c r="J41" s="612" t="s">
        <v>2513</v>
      </c>
      <c r="L41" s="233">
        <v>1</v>
      </c>
      <c r="N41" s="296" t="str">
        <f t="shared" si="1"/>
        <v>6.3. 관계기관 협의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SUM((ROUNDDOWN((D68:I68)*단가,0)))</f>
        <v>1856314</v>
      </c>
      <c r="X41" s="154"/>
      <c r="Y41" s="150" t="str">
        <f t="shared" si="2"/>
        <v>제 20 호표</v>
      </c>
      <c r="Z41" s="150"/>
    </row>
    <row r="42" spans="1:26" ht="18" customHeight="1" thickBot="1"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379"/>
      <c r="P42" s="371"/>
      <c r="R42" s="357"/>
      <c r="S42" s="1"/>
      <c r="T42" s="1"/>
      <c r="U42" s="258"/>
      <c r="V42" s="380"/>
      <c r="W42" s="373"/>
      <c r="X42" s="374"/>
      <c r="Y42" s="378"/>
      <c r="Z42" s="378"/>
    </row>
    <row r="43" spans="1:26" ht="18" customHeight="1">
      <c r="B43" s="225" t="s">
        <v>2491</v>
      </c>
      <c r="C43" s="72"/>
      <c r="D43" s="203">
        <f t="shared" ref="D43:I43" si="8">SUBTOTAL(9,D44:D46)</f>
        <v>6.35</v>
      </c>
      <c r="E43" s="204">
        <f t="shared" si="8"/>
        <v>20.6</v>
      </c>
      <c r="F43" s="204">
        <f t="shared" si="8"/>
        <v>44.760000000000005</v>
      </c>
      <c r="G43" s="204">
        <f t="shared" si="8"/>
        <v>62.180000000000007</v>
      </c>
      <c r="H43" s="204">
        <f t="shared" si="8"/>
        <v>75.250000000000014</v>
      </c>
      <c r="I43" s="205">
        <f t="shared" si="8"/>
        <v>37.229999999999997</v>
      </c>
      <c r="J43" s="73"/>
      <c r="M43" s="171"/>
      <c r="N43" s="290" t="s">
        <v>2611</v>
      </c>
      <c r="O43" s="129"/>
      <c r="P43" s="130"/>
      <c r="Q43" s="124"/>
      <c r="R43" s="131"/>
      <c r="S43" s="124"/>
      <c r="T43" s="124"/>
      <c r="U43" s="181"/>
      <c r="V43" s="181"/>
      <c r="W43" s="159">
        <f>SUBTOTAL(9,W44:W46)</f>
        <v>8000000</v>
      </c>
      <c r="X43" s="160"/>
      <c r="Y43" s="124"/>
      <c r="Z43" s="124"/>
    </row>
    <row r="44" spans="1:26" ht="18" customHeight="1">
      <c r="A44" s="326">
        <v>1</v>
      </c>
      <c r="B44" s="223" t="s">
        <v>1516</v>
      </c>
      <c r="C44" s="23"/>
      <c r="D44" s="197">
        <f t="array" ref="D44:I46">ROUNDUP(D17:I19*L17:L19*$D$5*$D$6,2)</f>
        <v>1.59</v>
      </c>
      <c r="E44" s="198">
        <v>5.94</v>
      </c>
      <c r="F44" s="198">
        <v>13.47</v>
      </c>
      <c r="G44" s="198">
        <v>19.8</v>
      </c>
      <c r="H44" s="198">
        <v>25.35</v>
      </c>
      <c r="I44" s="199">
        <v>12.28</v>
      </c>
      <c r="J44" s="74"/>
      <c r="M44" s="171"/>
      <c r="N44" s="291" t="str">
        <f>"여비("&amp;TEXT(T44,"#인 ×")&amp;TEXT(U44,"#일 ×")&amp;TEXT(V44,"###,###원)")</f>
        <v>여비(3인 ×10일 ×100,000원)</v>
      </c>
      <c r="O44" s="78"/>
      <c r="P44" s="52"/>
      <c r="Q44" s="51"/>
      <c r="T44" s="146">
        <v>3</v>
      </c>
      <c r="U44" s="146">
        <v>10</v>
      </c>
      <c r="V44" s="147">
        <v>100000</v>
      </c>
      <c r="W44" s="161">
        <f>T44*U44*V44</f>
        <v>3000000</v>
      </c>
      <c r="X44" s="162"/>
      <c r="Y44" s="51"/>
      <c r="Z44" s="51"/>
    </row>
    <row r="45" spans="1:26" ht="18" customHeight="1">
      <c r="A45" s="326">
        <v>2</v>
      </c>
      <c r="B45" s="223" t="s">
        <v>2492</v>
      </c>
      <c r="C45" s="23"/>
      <c r="D45" s="197">
        <v>1.59</v>
      </c>
      <c r="E45" s="198">
        <v>5.55</v>
      </c>
      <c r="F45" s="198">
        <v>11.88</v>
      </c>
      <c r="G45" s="198">
        <v>17.430000000000003</v>
      </c>
      <c r="H45" s="198">
        <v>22.970000000000002</v>
      </c>
      <c r="I45" s="199">
        <v>11.09</v>
      </c>
      <c r="J45" s="74"/>
      <c r="M45" s="171"/>
      <c r="N45" s="292" t="s">
        <v>46</v>
      </c>
      <c r="O45" s="79"/>
      <c r="P45" s="39"/>
      <c r="Q45" s="37"/>
      <c r="R45" s="117"/>
      <c r="S45" s="37"/>
      <c r="T45" s="37"/>
      <c r="U45" s="180"/>
      <c r="V45" s="180"/>
      <c r="W45" s="157">
        <v>4000000</v>
      </c>
      <c r="X45" s="158"/>
      <c r="Y45" s="37"/>
      <c r="Z45" s="37"/>
    </row>
    <row r="46" spans="1:26" ht="18" customHeight="1">
      <c r="A46" s="326">
        <v>3</v>
      </c>
      <c r="B46" s="223" t="s">
        <v>2493</v>
      </c>
      <c r="C46" s="23"/>
      <c r="D46" s="197">
        <v>3.17</v>
      </c>
      <c r="E46" s="198">
        <v>9.11</v>
      </c>
      <c r="F46" s="198">
        <v>19.41</v>
      </c>
      <c r="G46" s="198">
        <v>24.950000000000003</v>
      </c>
      <c r="H46" s="198">
        <v>26.930000000000003</v>
      </c>
      <c r="I46" s="199">
        <v>13.86</v>
      </c>
      <c r="J46" s="74"/>
      <c r="M46" s="171"/>
      <c r="N46" s="293" t="s">
        <v>13</v>
      </c>
      <c r="O46" s="132"/>
      <c r="P46" s="38"/>
      <c r="Q46" s="38"/>
      <c r="R46" s="116"/>
      <c r="S46" s="38"/>
      <c r="T46" s="38"/>
      <c r="U46" s="183"/>
      <c r="V46" s="183"/>
      <c r="W46" s="155">
        <v>1000000</v>
      </c>
      <c r="X46" s="156"/>
      <c r="Y46" s="38"/>
      <c r="Z46" s="38"/>
    </row>
    <row r="47" spans="1:26" ht="18" customHeight="1">
      <c r="B47" s="222" t="s">
        <v>52</v>
      </c>
      <c r="C47" s="47"/>
      <c r="D47" s="48">
        <f t="shared" ref="D47:I47" si="9">SUBTOTAL(9,D48:D52)</f>
        <v>24.58</v>
      </c>
      <c r="E47" s="49">
        <f t="shared" si="9"/>
        <v>77.240000000000009</v>
      </c>
      <c r="F47" s="49">
        <f t="shared" si="9"/>
        <v>125.94</v>
      </c>
      <c r="G47" s="49">
        <f t="shared" si="9"/>
        <v>125.16000000000001</v>
      </c>
      <c r="H47" s="49">
        <f t="shared" si="9"/>
        <v>156.35999999999999</v>
      </c>
      <c r="I47" s="50">
        <f t="shared" si="9"/>
        <v>70.11</v>
      </c>
      <c r="J47" s="74"/>
      <c r="M47" s="171"/>
      <c r="N47" s="127" t="s">
        <v>47</v>
      </c>
      <c r="O47" s="123"/>
      <c r="P47" s="123"/>
      <c r="Q47" s="123"/>
      <c r="R47" s="123"/>
      <c r="S47" s="123"/>
      <c r="T47" s="123"/>
      <c r="U47" s="184"/>
      <c r="V47" s="184"/>
      <c r="W47" s="163">
        <f ca="1">SUBTOTAL(9,W48:W49)</f>
        <v>1328047414</v>
      </c>
      <c r="X47" s="164"/>
      <c r="Y47" s="123"/>
      <c r="Z47" s="123"/>
    </row>
    <row r="48" spans="1:26" ht="18" customHeight="1">
      <c r="A48" s="326">
        <v>4</v>
      </c>
      <c r="B48" s="223" t="s">
        <v>2494</v>
      </c>
      <c r="C48" s="23"/>
      <c r="D48" s="197">
        <f t="array" ref="D48:I52">ROUNDUP(D21:I25*L21:L25*$D$5*$D$6,2)</f>
        <v>5.1499999999999995</v>
      </c>
      <c r="E48" s="198">
        <v>14.26</v>
      </c>
      <c r="F48" s="198">
        <v>22.970000000000002</v>
      </c>
      <c r="G48" s="198">
        <v>22.580000000000002</v>
      </c>
      <c r="H48" s="198">
        <v>28.12</v>
      </c>
      <c r="I48" s="199">
        <v>12.68</v>
      </c>
      <c r="J48" s="74"/>
      <c r="M48" s="171"/>
      <c r="N48" s="133" t="s">
        <v>861</v>
      </c>
      <c r="O48" s="124"/>
      <c r="P48" s="134"/>
      <c r="Q48" s="124"/>
      <c r="R48" s="131"/>
      <c r="S48" s="124"/>
      <c r="T48" s="181"/>
      <c r="U48" s="181"/>
      <c r="V48" s="190">
        <v>1.1499999999999999</v>
      </c>
      <c r="W48" s="159">
        <f ca="1">ROUNDDOWN(W15*V48,0)</f>
        <v>850838176</v>
      </c>
      <c r="X48" s="160"/>
      <c r="Y48" s="124"/>
      <c r="Z48" s="124"/>
    </row>
    <row r="49" spans="1:26" ht="18" customHeight="1" thickBot="1">
      <c r="A49" s="326">
        <v>5</v>
      </c>
      <c r="B49" s="223" t="s">
        <v>2495</v>
      </c>
      <c r="C49" s="23"/>
      <c r="D49" s="197">
        <v>4.3599999999999994</v>
      </c>
      <c r="E49" s="198">
        <v>13.07</v>
      </c>
      <c r="F49" s="198">
        <v>21.78</v>
      </c>
      <c r="G49" s="198">
        <v>20.990000000000002</v>
      </c>
      <c r="H49" s="198">
        <v>26.14</v>
      </c>
      <c r="I49" s="199">
        <v>11.88</v>
      </c>
      <c r="J49" s="74"/>
      <c r="M49" s="171"/>
      <c r="N49" s="135" t="s">
        <v>862</v>
      </c>
      <c r="O49" s="136"/>
      <c r="P49" s="137"/>
      <c r="Q49" s="136"/>
      <c r="R49" s="138"/>
      <c r="S49" s="136"/>
      <c r="T49" s="185"/>
      <c r="U49" s="185"/>
      <c r="V49" s="191">
        <v>0.3</v>
      </c>
      <c r="W49" s="165">
        <f ca="1">ROUNDDOWN((W15+W48)*V49,0)</f>
        <v>477209238</v>
      </c>
      <c r="X49" s="166"/>
      <c r="Y49" s="136"/>
      <c r="Z49" s="136"/>
    </row>
    <row r="50" spans="1:26" ht="18" customHeight="1">
      <c r="A50" s="326">
        <v>6</v>
      </c>
      <c r="B50" s="223" t="s">
        <v>2496</v>
      </c>
      <c r="C50" s="23"/>
      <c r="D50" s="197">
        <v>4.76</v>
      </c>
      <c r="E50" s="198">
        <v>15.45</v>
      </c>
      <c r="F50" s="198">
        <v>25.74</v>
      </c>
      <c r="G50" s="198">
        <v>26.540000000000003</v>
      </c>
      <c r="H50" s="198">
        <v>32.869999999999997</v>
      </c>
      <c r="I50" s="199">
        <v>14.26</v>
      </c>
      <c r="J50" s="74"/>
      <c r="M50" s="171"/>
    </row>
    <row r="51" spans="1:26" ht="18" customHeight="1">
      <c r="A51" s="326">
        <v>7</v>
      </c>
      <c r="B51" s="223" t="s">
        <v>2497</v>
      </c>
      <c r="C51" s="23"/>
      <c r="D51" s="197">
        <v>5.55</v>
      </c>
      <c r="E51" s="198">
        <v>17.430000000000003</v>
      </c>
      <c r="F51" s="198">
        <v>29.310000000000002</v>
      </c>
      <c r="G51" s="198">
        <v>30.1</v>
      </c>
      <c r="H51" s="198">
        <v>38.019999999999996</v>
      </c>
      <c r="I51" s="199">
        <v>16.240000000000002</v>
      </c>
      <c r="J51" s="74"/>
      <c r="M51" s="171"/>
    </row>
    <row r="52" spans="1:26" ht="18" customHeight="1" thickBot="1">
      <c r="A52" s="326">
        <v>8</v>
      </c>
      <c r="B52" s="223" t="s">
        <v>2498</v>
      </c>
      <c r="C52" s="23"/>
      <c r="D52" s="197">
        <v>4.76</v>
      </c>
      <c r="E52" s="198">
        <v>17.03</v>
      </c>
      <c r="F52" s="198">
        <v>26.14</v>
      </c>
      <c r="G52" s="198">
        <v>24.950000000000003</v>
      </c>
      <c r="H52" s="198">
        <v>31.21</v>
      </c>
      <c r="I52" s="199">
        <v>15.049999999999999</v>
      </c>
      <c r="J52" s="74"/>
      <c r="M52" s="171"/>
      <c r="N52" s="66" t="s">
        <v>18</v>
      </c>
      <c r="O52" s="2"/>
      <c r="P52" s="2"/>
      <c r="Q52" s="2"/>
      <c r="R52" s="3"/>
      <c r="S52" s="4"/>
      <c r="T52" s="3"/>
      <c r="U52" s="4"/>
      <c r="V52" s="3"/>
      <c r="W52" s="4"/>
      <c r="X52" s="3"/>
      <c r="Y52" s="4"/>
      <c r="Z52" s="2"/>
    </row>
    <row r="53" spans="1:26" ht="18" customHeight="1">
      <c r="B53" s="222" t="s">
        <v>880</v>
      </c>
      <c r="C53" s="47"/>
      <c r="D53" s="48">
        <f t="shared" ref="D53:I53" si="10">SUBTOTAL(9,D54:D58)</f>
        <v>38.83</v>
      </c>
      <c r="E53" s="49">
        <f t="shared" si="10"/>
        <v>97.43</v>
      </c>
      <c r="F53" s="49">
        <f t="shared" si="10"/>
        <v>158.01999999999998</v>
      </c>
      <c r="G53" s="49">
        <f t="shared" si="10"/>
        <v>167.12</v>
      </c>
      <c r="H53" s="49">
        <f t="shared" si="10"/>
        <v>183.76999999999998</v>
      </c>
      <c r="I53" s="50">
        <f t="shared" si="10"/>
        <v>93.789999999999992</v>
      </c>
      <c r="J53" s="74"/>
      <c r="M53" s="171"/>
      <c r="N53" s="765" t="s">
        <v>19</v>
      </c>
      <c r="O53" s="755" t="s">
        <v>20</v>
      </c>
      <c r="P53" s="755" t="s">
        <v>21</v>
      </c>
      <c r="Q53" s="755" t="s">
        <v>16</v>
      </c>
      <c r="R53" s="5" t="s">
        <v>22</v>
      </c>
      <c r="S53" s="5"/>
      <c r="T53" s="5" t="s">
        <v>23</v>
      </c>
      <c r="U53" s="5"/>
      <c r="V53" s="5" t="s">
        <v>24</v>
      </c>
      <c r="W53" s="5"/>
      <c r="X53" s="5" t="s">
        <v>25</v>
      </c>
      <c r="Y53" s="5"/>
      <c r="Z53" s="755" t="s">
        <v>26</v>
      </c>
    </row>
    <row r="54" spans="1:26" ht="18" customHeight="1" thickBot="1">
      <c r="A54" s="326">
        <v>9</v>
      </c>
      <c r="B54" s="223" t="s">
        <v>2499</v>
      </c>
      <c r="C54" s="23"/>
      <c r="D54" s="197">
        <f t="array" ref="D54:I58">ROUNDUP(D27:I31*L27:L31*$D$5*$D$6,2)</f>
        <v>6.34</v>
      </c>
      <c r="E54" s="198">
        <v>17.430000000000003</v>
      </c>
      <c r="F54" s="198">
        <v>28.12</v>
      </c>
      <c r="G54" s="198">
        <v>29.7</v>
      </c>
      <c r="H54" s="198">
        <v>30.5</v>
      </c>
      <c r="I54" s="199">
        <v>16.240000000000002</v>
      </c>
      <c r="J54" s="74"/>
      <c r="M54" s="171"/>
      <c r="N54" s="766"/>
      <c r="O54" s="756"/>
      <c r="P54" s="756"/>
      <c r="Q54" s="756"/>
      <c r="R54" s="67" t="s">
        <v>27</v>
      </c>
      <c r="S54" s="67" t="s">
        <v>28</v>
      </c>
      <c r="T54" s="67" t="s">
        <v>27</v>
      </c>
      <c r="U54" s="67" t="s">
        <v>28</v>
      </c>
      <c r="V54" s="67" t="s">
        <v>27</v>
      </c>
      <c r="W54" s="67" t="s">
        <v>28</v>
      </c>
      <c r="X54" s="67" t="s">
        <v>27</v>
      </c>
      <c r="Y54" s="67" t="s">
        <v>28</v>
      </c>
      <c r="Z54" s="756"/>
    </row>
    <row r="55" spans="1:26" ht="18" customHeight="1" thickTop="1">
      <c r="A55" s="326">
        <v>10</v>
      </c>
      <c r="B55" s="223" t="s">
        <v>2500</v>
      </c>
      <c r="C55" s="23"/>
      <c r="D55" s="197">
        <v>8.7200000000000006</v>
      </c>
      <c r="E55" s="198">
        <v>22.180000000000003</v>
      </c>
      <c r="F55" s="198">
        <v>39.21</v>
      </c>
      <c r="G55" s="198">
        <v>37.619999999999997</v>
      </c>
      <c r="H55" s="198">
        <v>37.229999999999997</v>
      </c>
      <c r="I55" s="199">
        <v>20.990000000000002</v>
      </c>
      <c r="J55" s="74"/>
      <c r="M55" s="171"/>
      <c r="N55" s="318" t="str">
        <f ca="1">"제 " &amp; Z55 &amp; " 호표  "&amp; OFFSET($A$1,MATCH(Z55,$A:$A,0)-1,1)</f>
        <v>제 1 호표  1.1. 자연환경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v>1</v>
      </c>
    </row>
    <row r="56" spans="1:26" ht="18" customHeight="1">
      <c r="A56" s="326">
        <v>11</v>
      </c>
      <c r="B56" s="223" t="s">
        <v>2501</v>
      </c>
      <c r="C56" s="23"/>
      <c r="D56" s="197">
        <v>8.7200000000000006</v>
      </c>
      <c r="E56" s="198">
        <v>19.010000000000002</v>
      </c>
      <c r="F56" s="198">
        <v>32.869999999999997</v>
      </c>
      <c r="G56" s="198">
        <v>32.08</v>
      </c>
      <c r="H56" s="198">
        <v>33.269999999999996</v>
      </c>
      <c r="I56" s="199">
        <v>19.330000000000002</v>
      </c>
      <c r="J56" s="74"/>
      <c r="M56" s="171"/>
      <c r="N56" s="140" t="s">
        <v>43</v>
      </c>
      <c r="O56" s="172">
        <v>3</v>
      </c>
      <c r="P56" s="219">
        <f ca="1">OFFSET($A$1,MATCH(Z55,$A:$A,0)-1,O56)</f>
        <v>1.59</v>
      </c>
      <c r="Q56" s="141" t="s">
        <v>29</v>
      </c>
      <c r="R56" s="142">
        <f t="shared" ref="R56:S61" ca="1" si="11">T56</f>
        <v>467217</v>
      </c>
      <c r="S56" s="142">
        <f t="shared" ca="1" si="11"/>
        <v>742875</v>
      </c>
      <c r="T56" s="142">
        <f ca="1">기술사</f>
        <v>467217</v>
      </c>
      <c r="U56" s="142">
        <f t="shared" ref="U56:U61" ca="1" si="12">ROUNDDOWN(P56*R56,0)</f>
        <v>742875</v>
      </c>
      <c r="V56" s="142"/>
      <c r="W56" s="142"/>
      <c r="X56" s="142"/>
      <c r="Y56" s="142"/>
      <c r="Z56" s="114"/>
    </row>
    <row r="57" spans="1:26" ht="18" customHeight="1">
      <c r="A57" s="326">
        <v>12</v>
      </c>
      <c r="B57" s="223" t="s">
        <v>2502</v>
      </c>
      <c r="C57" s="23"/>
      <c r="D57" s="197">
        <v>7.13</v>
      </c>
      <c r="E57" s="198">
        <v>17.82</v>
      </c>
      <c r="F57" s="198">
        <v>28.12</v>
      </c>
      <c r="G57" s="198">
        <v>32.08</v>
      </c>
      <c r="H57" s="198">
        <v>43.96</v>
      </c>
      <c r="I57" s="199">
        <v>17.82</v>
      </c>
      <c r="J57" s="74"/>
      <c r="M57" s="171"/>
      <c r="N57" s="143" t="s">
        <v>32</v>
      </c>
      <c r="O57" s="173">
        <v>4</v>
      </c>
      <c r="P57" s="234">
        <f ca="1">OFFSET($A$1,MATCH(Z55,$A:$A,0)-1,O57)</f>
        <v>5.94</v>
      </c>
      <c r="Q57" s="144" t="s">
        <v>29</v>
      </c>
      <c r="R57" s="118">
        <f t="shared" ca="1" si="11"/>
        <v>373353</v>
      </c>
      <c r="S57" s="118">
        <f t="shared" ca="1" si="11"/>
        <v>2217716</v>
      </c>
      <c r="T57" s="118">
        <f ca="1">특급</f>
        <v>373353</v>
      </c>
      <c r="U57" s="118">
        <f t="shared" ca="1" si="12"/>
        <v>2217716</v>
      </c>
      <c r="V57" s="118"/>
      <c r="W57" s="118"/>
      <c r="X57" s="118"/>
      <c r="Y57" s="118"/>
      <c r="Z57" s="115"/>
    </row>
    <row r="58" spans="1:26" ht="18" customHeight="1">
      <c r="A58" s="326">
        <v>13</v>
      </c>
      <c r="B58" s="223" t="s">
        <v>2503</v>
      </c>
      <c r="C58" s="23"/>
      <c r="D58" s="197">
        <v>7.92</v>
      </c>
      <c r="E58" s="198">
        <v>20.990000000000002</v>
      </c>
      <c r="F58" s="198">
        <v>29.7</v>
      </c>
      <c r="G58" s="198">
        <v>35.64</v>
      </c>
      <c r="H58" s="198">
        <v>38.809999999999995</v>
      </c>
      <c r="I58" s="199">
        <v>19.41</v>
      </c>
      <c r="J58" s="74"/>
      <c r="M58" s="171"/>
      <c r="N58" s="145" t="s">
        <v>39</v>
      </c>
      <c r="O58" s="173">
        <v>5</v>
      </c>
      <c r="P58" s="234">
        <f ca="1">OFFSET($A$1,MATCH(Z55,$A:$A,0)-1,O58)</f>
        <v>13.47</v>
      </c>
      <c r="Q58" s="144" t="s">
        <v>29</v>
      </c>
      <c r="R58" s="118">
        <f t="shared" ca="1" si="11"/>
        <v>310884</v>
      </c>
      <c r="S58" s="118">
        <f t="shared" ca="1" si="11"/>
        <v>4187607</v>
      </c>
      <c r="T58" s="118">
        <f ca="1">고급</f>
        <v>310884</v>
      </c>
      <c r="U58" s="118">
        <f t="shared" ca="1" si="12"/>
        <v>4187607</v>
      </c>
      <c r="V58" s="118"/>
      <c r="W58" s="118"/>
      <c r="X58" s="118"/>
      <c r="Y58" s="118"/>
      <c r="Z58" s="115"/>
    </row>
    <row r="59" spans="1:26" ht="18" customHeight="1">
      <c r="B59" s="222" t="s">
        <v>2504</v>
      </c>
      <c r="C59" s="47"/>
      <c r="D59" s="48">
        <f t="shared" ref="D59:I59" si="13">SUBTOTAL(9,D60:D61)</f>
        <v>3.57</v>
      </c>
      <c r="E59" s="49">
        <f t="shared" si="13"/>
        <v>13.469999999999999</v>
      </c>
      <c r="F59" s="49">
        <f t="shared" si="13"/>
        <v>22.58</v>
      </c>
      <c r="G59" s="49">
        <f t="shared" si="13"/>
        <v>32.480000000000004</v>
      </c>
      <c r="H59" s="49">
        <f t="shared" si="13"/>
        <v>32.480000000000004</v>
      </c>
      <c r="I59" s="50">
        <f t="shared" si="13"/>
        <v>16.64</v>
      </c>
      <c r="J59" s="74"/>
      <c r="M59" s="171"/>
      <c r="N59" s="145" t="s">
        <v>40</v>
      </c>
      <c r="O59" s="173">
        <v>6</v>
      </c>
      <c r="P59" s="234">
        <f ca="1">OFFSET($A$1,MATCH(Z55,$A:$A,0)-1,O59)</f>
        <v>19.8</v>
      </c>
      <c r="Q59" s="144" t="s">
        <v>29</v>
      </c>
      <c r="R59" s="118">
        <f t="shared" ca="1" si="11"/>
        <v>295138</v>
      </c>
      <c r="S59" s="118">
        <f t="shared" ca="1" si="11"/>
        <v>5843732</v>
      </c>
      <c r="T59" s="118">
        <f ca="1">중급</f>
        <v>295138</v>
      </c>
      <c r="U59" s="118">
        <f t="shared" ca="1" si="12"/>
        <v>5843732</v>
      </c>
      <c r="V59" s="118"/>
      <c r="W59" s="118"/>
      <c r="X59" s="118"/>
      <c r="Y59" s="118"/>
      <c r="Z59" s="115"/>
    </row>
    <row r="60" spans="1:26" ht="18" customHeight="1">
      <c r="A60" s="326">
        <v>14</v>
      </c>
      <c r="B60" s="223" t="s">
        <v>2505</v>
      </c>
      <c r="C60" s="23"/>
      <c r="D60" s="197">
        <f t="array" ref="D60:I61">ROUNDUP(D36:I37*L36:L37*$D$5*$D$6,2)</f>
        <v>1.19</v>
      </c>
      <c r="E60" s="198">
        <v>4.3599999999999994</v>
      </c>
      <c r="F60" s="198">
        <v>7.5299999999999994</v>
      </c>
      <c r="G60" s="198">
        <v>10.7</v>
      </c>
      <c r="H60" s="198">
        <v>10.7</v>
      </c>
      <c r="I60" s="199">
        <v>5.55</v>
      </c>
      <c r="J60" s="74"/>
      <c r="M60" s="171"/>
      <c r="N60" s="145" t="s">
        <v>41</v>
      </c>
      <c r="O60" s="173">
        <v>7</v>
      </c>
      <c r="P60" s="234">
        <f ca="1">OFFSET($A$1,MATCH(Z55,$A:$A,0)-1,O60)</f>
        <v>25.35</v>
      </c>
      <c r="Q60" s="144" t="s">
        <v>29</v>
      </c>
      <c r="R60" s="118">
        <f t="shared" ca="1" si="11"/>
        <v>235459</v>
      </c>
      <c r="S60" s="118">
        <f t="shared" ca="1" si="11"/>
        <v>5968885</v>
      </c>
      <c r="T60" s="118">
        <f ca="1">초급</f>
        <v>235459</v>
      </c>
      <c r="U60" s="118">
        <f t="shared" ca="1" si="12"/>
        <v>5968885</v>
      </c>
      <c r="V60" s="118"/>
      <c r="W60" s="118"/>
      <c r="X60" s="118"/>
      <c r="Y60" s="118"/>
      <c r="Z60" s="115"/>
    </row>
    <row r="61" spans="1:26" ht="18" customHeight="1">
      <c r="A61" s="326">
        <v>15</v>
      </c>
      <c r="B61" s="223" t="s">
        <v>2506</v>
      </c>
      <c r="C61" s="23"/>
      <c r="D61" s="197">
        <v>2.38</v>
      </c>
      <c r="E61" s="198">
        <v>9.11</v>
      </c>
      <c r="F61" s="198">
        <v>15.049999999999999</v>
      </c>
      <c r="G61" s="198">
        <v>21.78</v>
      </c>
      <c r="H61" s="198">
        <v>21.78</v>
      </c>
      <c r="I61" s="199">
        <v>11.09</v>
      </c>
      <c r="J61" s="74"/>
      <c r="M61" s="171"/>
      <c r="N61" s="319" t="s">
        <v>42</v>
      </c>
      <c r="O61" s="174">
        <v>8</v>
      </c>
      <c r="P61" s="235">
        <f ca="1">OFFSET($A$1,MATCH(Z55,$A:$A,0)-1,O61)</f>
        <v>12.28</v>
      </c>
      <c r="Q61" s="322" t="s">
        <v>29</v>
      </c>
      <c r="R61" s="323">
        <f t="shared" ca="1" si="11"/>
        <v>250087</v>
      </c>
      <c r="S61" s="323">
        <f t="shared" ca="1" si="11"/>
        <v>3071068</v>
      </c>
      <c r="T61" s="323">
        <f ca="1">보조원</f>
        <v>250087</v>
      </c>
      <c r="U61" s="323">
        <f t="shared" ca="1" si="12"/>
        <v>3071068</v>
      </c>
      <c r="V61" s="323"/>
      <c r="W61" s="323"/>
      <c r="X61" s="323"/>
      <c r="Y61" s="323"/>
      <c r="Z61" s="324"/>
    </row>
    <row r="62" spans="1:26" ht="18" customHeight="1">
      <c r="B62" s="222" t="s">
        <v>424</v>
      </c>
      <c r="C62" s="47"/>
      <c r="D62" s="48">
        <f t="shared" ref="D62:I62" si="14">SUBTOTAL(9,D63:D64)</f>
        <v>3.5640000000000001</v>
      </c>
      <c r="E62" s="49">
        <f t="shared" si="14"/>
        <v>13.464</v>
      </c>
      <c r="F62" s="49">
        <f t="shared" si="14"/>
        <v>22.571999999999999</v>
      </c>
      <c r="G62" s="49">
        <f t="shared" si="14"/>
        <v>32.472000000000001</v>
      </c>
      <c r="H62" s="49">
        <f t="shared" si="14"/>
        <v>32.472000000000001</v>
      </c>
      <c r="I62" s="50">
        <f t="shared" si="14"/>
        <v>16.631999999999998</v>
      </c>
      <c r="J62" s="74"/>
      <c r="M62" s="171"/>
      <c r="N62" s="139" t="s">
        <v>17</v>
      </c>
      <c r="O62" s="68"/>
      <c r="P62" s="69"/>
      <c r="Q62" s="70"/>
      <c r="R62" s="71"/>
      <c r="S62" s="71">
        <f ca="1">SUBTOTAL(9,S56:S61)</f>
        <v>22031883</v>
      </c>
      <c r="T62" s="71"/>
      <c r="U62" s="71">
        <f ca="1">SUBTOTAL(9,U56:U61)</f>
        <v>22031883</v>
      </c>
      <c r="V62" s="71"/>
      <c r="W62" s="71"/>
      <c r="X62" s="71"/>
      <c r="Y62" s="71"/>
      <c r="Z62" s="68"/>
    </row>
    <row r="63" spans="1:26" ht="18" customHeight="1">
      <c r="A63" s="326">
        <v>16</v>
      </c>
      <c r="B63" s="223" t="s">
        <v>2507</v>
      </c>
      <c r="C63" s="23"/>
      <c r="D63" s="197">
        <f t="array" ref="D63:I64">ROUNDUP(D36:I37*L36:L37*$D$5*$D$6,3)</f>
        <v>1.1879999999999999</v>
      </c>
      <c r="E63" s="198">
        <v>4.3559999999999999</v>
      </c>
      <c r="F63" s="198">
        <v>7.524</v>
      </c>
      <c r="G63" s="198">
        <v>10.692</v>
      </c>
      <c r="H63" s="198">
        <v>10.692</v>
      </c>
      <c r="I63" s="199">
        <v>5.5439999999999996</v>
      </c>
      <c r="J63" s="74"/>
      <c r="M63" s="171"/>
      <c r="N63" s="318" t="str">
        <f ca="1">"제 " &amp; Z63 &amp; " 호표  "&amp; OFFSET($A$1,MATCH(Z63,$A:$A,0)-1,1)</f>
        <v>제 2 호표  1.2. 인문환경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2</v>
      </c>
    </row>
    <row r="64" spans="1:26" ht="18" customHeight="1">
      <c r="A64" s="326">
        <v>17</v>
      </c>
      <c r="B64" s="259" t="s">
        <v>2508</v>
      </c>
      <c r="C64" s="43"/>
      <c r="D64" s="206">
        <v>2.3759999999999999</v>
      </c>
      <c r="E64" s="207">
        <v>9.1080000000000005</v>
      </c>
      <c r="F64" s="207">
        <v>15.048</v>
      </c>
      <c r="G64" s="207">
        <v>21.78</v>
      </c>
      <c r="H64" s="207">
        <v>21.78</v>
      </c>
      <c r="I64" s="208">
        <v>11.087999999999999</v>
      </c>
      <c r="J64" s="239"/>
      <c r="K64" s="171" t="s">
        <v>14</v>
      </c>
      <c r="L64" s="171"/>
      <c r="M64" s="171"/>
      <c r="N64" s="140" t="s">
        <v>43</v>
      </c>
      <c r="O64" s="172">
        <v>3</v>
      </c>
      <c r="P64" s="219">
        <f ca="1">OFFSET($A$1,MATCH(Z63,$A:$A,0)-1,O64)</f>
        <v>1.59</v>
      </c>
      <c r="Q64" s="141" t="s">
        <v>29</v>
      </c>
      <c r="R64" s="142">
        <f t="shared" ref="R64:S69" ca="1" si="15">T64</f>
        <v>467217</v>
      </c>
      <c r="S64" s="142">
        <f t="shared" ca="1" si="15"/>
        <v>742875</v>
      </c>
      <c r="T64" s="142">
        <f ca="1">기술사</f>
        <v>467217</v>
      </c>
      <c r="U64" s="142">
        <f t="shared" ref="U64:U69" ca="1" si="16">ROUNDDOWN(P64*R64,0)</f>
        <v>742875</v>
      </c>
      <c r="V64" s="142"/>
      <c r="W64" s="142"/>
      <c r="X64" s="142"/>
      <c r="Y64" s="142"/>
      <c r="Z64" s="114"/>
    </row>
    <row r="65" spans="1:26" ht="18" customHeight="1">
      <c r="B65" s="222" t="s">
        <v>426</v>
      </c>
      <c r="C65" s="47"/>
      <c r="D65" s="48">
        <f t="shared" ref="D65:I65" si="17">SUBTOTAL(9,D66:D68)</f>
        <v>0.89999999999999991</v>
      </c>
      <c r="E65" s="49">
        <f t="shared" si="17"/>
        <v>2.0999999999999996</v>
      </c>
      <c r="F65" s="49">
        <f t="shared" si="17"/>
        <v>2.9000000000000004</v>
      </c>
      <c r="G65" s="49">
        <f t="shared" si="17"/>
        <v>3.7</v>
      </c>
      <c r="H65" s="49">
        <f t="shared" si="17"/>
        <v>3.6</v>
      </c>
      <c r="I65" s="50">
        <f t="shared" si="17"/>
        <v>2.2999999999999998</v>
      </c>
      <c r="J65" s="620"/>
      <c r="K65" s="171" t="s">
        <v>14</v>
      </c>
      <c r="L65" s="171"/>
      <c r="M65" s="171"/>
      <c r="N65" s="143" t="s">
        <v>32</v>
      </c>
      <c r="O65" s="173">
        <v>4</v>
      </c>
      <c r="P65" s="234">
        <f ca="1">OFFSET($A$1,MATCH(Z63,$A:$A,0)-1,O65)</f>
        <v>5.55</v>
      </c>
      <c r="Q65" s="144" t="s">
        <v>29</v>
      </c>
      <c r="R65" s="118">
        <f t="shared" ca="1" si="15"/>
        <v>373353</v>
      </c>
      <c r="S65" s="118">
        <f t="shared" ca="1" si="15"/>
        <v>2072109</v>
      </c>
      <c r="T65" s="118">
        <f ca="1">특급</f>
        <v>373353</v>
      </c>
      <c r="U65" s="118">
        <f t="shared" ca="1" si="16"/>
        <v>2072109</v>
      </c>
      <c r="V65" s="118"/>
      <c r="W65" s="118"/>
      <c r="X65" s="118"/>
      <c r="Y65" s="118"/>
      <c r="Z65" s="115"/>
    </row>
    <row r="66" spans="1:26" ht="18" customHeight="1">
      <c r="A66" s="326">
        <v>18</v>
      </c>
      <c r="B66" s="223" t="s">
        <v>2509</v>
      </c>
      <c r="C66" s="23"/>
      <c r="D66" s="197">
        <f t="array" ref="D66:I66">ROUNDUP(D39:I39*L39,3)</f>
        <v>0.3</v>
      </c>
      <c r="E66" s="198">
        <v>0.7</v>
      </c>
      <c r="F66" s="198">
        <v>1</v>
      </c>
      <c r="G66" s="198">
        <v>1.2</v>
      </c>
      <c r="H66" s="198">
        <v>1.2</v>
      </c>
      <c r="I66" s="199">
        <v>0.7</v>
      </c>
      <c r="J66" s="389"/>
      <c r="K66" s="171" t="s">
        <v>14</v>
      </c>
      <c r="L66" s="171"/>
      <c r="M66" s="171"/>
      <c r="N66" s="145" t="s">
        <v>39</v>
      </c>
      <c r="O66" s="173">
        <v>5</v>
      </c>
      <c r="P66" s="234">
        <f ca="1">OFFSET($A$1,MATCH(Z63,$A:$A,0)-1,O66)</f>
        <v>11.88</v>
      </c>
      <c r="Q66" s="144" t="s">
        <v>29</v>
      </c>
      <c r="R66" s="118">
        <f t="shared" ca="1" si="15"/>
        <v>310884</v>
      </c>
      <c r="S66" s="118">
        <f t="shared" ca="1" si="15"/>
        <v>3693301</v>
      </c>
      <c r="T66" s="118">
        <f ca="1">고급</f>
        <v>310884</v>
      </c>
      <c r="U66" s="118">
        <f t="shared" ca="1" si="16"/>
        <v>3693301</v>
      </c>
      <c r="V66" s="118"/>
      <c r="W66" s="118"/>
      <c r="X66" s="118"/>
      <c r="Y66" s="118"/>
      <c r="Z66" s="115"/>
    </row>
    <row r="67" spans="1:26" ht="18" customHeight="1">
      <c r="A67" s="326">
        <v>19</v>
      </c>
      <c r="B67" s="223" t="s">
        <v>2510</v>
      </c>
      <c r="C67" s="23"/>
      <c r="D67" s="197">
        <f t="array" ref="D67:I67">ROUNDUP(D40:I40*L40*$I$5,3)</f>
        <v>0.3</v>
      </c>
      <c r="E67" s="198">
        <v>0.6</v>
      </c>
      <c r="F67" s="198">
        <v>0.8</v>
      </c>
      <c r="G67" s="198">
        <v>0.9</v>
      </c>
      <c r="H67" s="198">
        <v>0.9</v>
      </c>
      <c r="I67" s="199">
        <v>0.6</v>
      </c>
      <c r="J67" s="389"/>
      <c r="K67" s="171" t="s">
        <v>14</v>
      </c>
      <c r="L67" s="171"/>
      <c r="M67" s="171"/>
      <c r="N67" s="145" t="s">
        <v>40</v>
      </c>
      <c r="O67" s="173">
        <v>6</v>
      </c>
      <c r="P67" s="234">
        <f ca="1">OFFSET($A$1,MATCH(Z63,$A:$A,0)-1,O67)</f>
        <v>17.430000000000003</v>
      </c>
      <c r="Q67" s="144" t="s">
        <v>29</v>
      </c>
      <c r="R67" s="118">
        <f t="shared" ca="1" si="15"/>
        <v>295138</v>
      </c>
      <c r="S67" s="118">
        <f t="shared" ca="1" si="15"/>
        <v>5144255</v>
      </c>
      <c r="T67" s="118">
        <f ca="1">중급</f>
        <v>295138</v>
      </c>
      <c r="U67" s="118">
        <f t="shared" ca="1" si="16"/>
        <v>5144255</v>
      </c>
      <c r="V67" s="118"/>
      <c r="W67" s="118"/>
      <c r="X67" s="118"/>
      <c r="Y67" s="118"/>
      <c r="Z67" s="115"/>
    </row>
    <row r="68" spans="1:26" ht="18" customHeight="1" thickBot="1">
      <c r="A68" s="326">
        <v>20</v>
      </c>
      <c r="B68" s="388" t="s">
        <v>2511</v>
      </c>
      <c r="C68" s="342"/>
      <c r="D68" s="343">
        <f t="array" ref="D68:I68">ROUNDUP(D41:I41*L41,3)</f>
        <v>0.3</v>
      </c>
      <c r="E68" s="344">
        <v>0.8</v>
      </c>
      <c r="F68" s="344">
        <v>1.1000000000000001</v>
      </c>
      <c r="G68" s="344">
        <v>1.6</v>
      </c>
      <c r="H68" s="344">
        <v>1.5</v>
      </c>
      <c r="I68" s="345">
        <v>1</v>
      </c>
      <c r="J68" s="612"/>
      <c r="K68" s="171" t="s">
        <v>14</v>
      </c>
      <c r="L68" s="171"/>
      <c r="M68" s="171"/>
      <c r="N68" s="145" t="s">
        <v>41</v>
      </c>
      <c r="O68" s="173">
        <v>7</v>
      </c>
      <c r="P68" s="234">
        <f ca="1">OFFSET($A$1,MATCH(Z63,$A:$A,0)-1,O68)</f>
        <v>22.970000000000002</v>
      </c>
      <c r="Q68" s="144" t="s">
        <v>29</v>
      </c>
      <c r="R68" s="118">
        <f t="shared" ca="1" si="15"/>
        <v>235459</v>
      </c>
      <c r="S68" s="118">
        <f t="shared" ca="1" si="15"/>
        <v>5408493</v>
      </c>
      <c r="T68" s="118">
        <f ca="1">초급</f>
        <v>235459</v>
      </c>
      <c r="U68" s="118">
        <f t="shared" ca="1" si="16"/>
        <v>5408493</v>
      </c>
      <c r="V68" s="118"/>
      <c r="W68" s="118"/>
      <c r="X68" s="118"/>
      <c r="Y68" s="118"/>
      <c r="Z68" s="115"/>
    </row>
    <row r="69" spans="1:26" ht="18" customHeight="1">
      <c r="B69" s="80" t="s">
        <v>15</v>
      </c>
      <c r="C69" s="9" t="s">
        <v>2515</v>
      </c>
      <c r="K69" s="171" t="s">
        <v>14</v>
      </c>
      <c r="L69" s="171"/>
      <c r="M69" s="171"/>
      <c r="N69" s="319" t="s">
        <v>42</v>
      </c>
      <c r="O69" s="174">
        <v>8</v>
      </c>
      <c r="P69" s="235">
        <f ca="1">OFFSET($A$1,MATCH(Z63,$A:$A,0)-1,O69)</f>
        <v>11.09</v>
      </c>
      <c r="Q69" s="322" t="s">
        <v>29</v>
      </c>
      <c r="R69" s="323">
        <f t="shared" ca="1" si="15"/>
        <v>250087</v>
      </c>
      <c r="S69" s="323">
        <f t="shared" ca="1" si="15"/>
        <v>2773464</v>
      </c>
      <c r="T69" s="323">
        <f ca="1">보조원</f>
        <v>250087</v>
      </c>
      <c r="U69" s="323">
        <f t="shared" ca="1" si="16"/>
        <v>2773464</v>
      </c>
      <c r="V69" s="323"/>
      <c r="W69" s="323"/>
      <c r="X69" s="323"/>
      <c r="Y69" s="323"/>
      <c r="Z69" s="324"/>
    </row>
    <row r="70" spans="1:26" ht="18" customHeight="1">
      <c r="C70" s="1" t="s">
        <v>2516</v>
      </c>
      <c r="K70" s="171" t="s">
        <v>14</v>
      </c>
      <c r="L70" s="171"/>
      <c r="M70" s="171"/>
      <c r="N70" s="139" t="s">
        <v>17</v>
      </c>
      <c r="O70" s="68"/>
      <c r="P70" s="69"/>
      <c r="Q70" s="70"/>
      <c r="R70" s="71"/>
      <c r="S70" s="71">
        <f ca="1">SUBTOTAL(9,S64:S69)</f>
        <v>19834497</v>
      </c>
      <c r="T70" s="71"/>
      <c r="U70" s="71">
        <f ca="1">SUBTOTAL(9,U64:U69)</f>
        <v>19834497</v>
      </c>
      <c r="V70" s="71"/>
      <c r="W70" s="71"/>
      <c r="X70" s="71"/>
      <c r="Y70" s="71"/>
      <c r="Z70" s="68"/>
    </row>
    <row r="71" spans="1:26" ht="18" customHeight="1">
      <c r="C71" s="9" t="s">
        <v>2517</v>
      </c>
      <c r="K71" s="171" t="s">
        <v>14</v>
      </c>
      <c r="L71" s="171"/>
      <c r="M71" s="171"/>
      <c r="N71" s="318" t="str">
        <f ca="1">"제 " &amp; Z71 &amp; " 호표  "&amp; OFFSET($A$1,MATCH(Z71,$A:$A,0)-1,1)</f>
        <v>제 3 호표  1.3. 종합분석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3</v>
      </c>
    </row>
    <row r="72" spans="1:26" ht="18" customHeight="1">
      <c r="C72" s="9"/>
      <c r="K72" s="171" t="s">
        <v>14</v>
      </c>
      <c r="L72" s="171"/>
      <c r="M72" s="171"/>
      <c r="N72" s="140" t="s">
        <v>43</v>
      </c>
      <c r="O72" s="172">
        <v>3</v>
      </c>
      <c r="P72" s="219">
        <f ca="1">OFFSET($A$1,MATCH(Z71,$A:$A,0)-1,O72)</f>
        <v>3.17</v>
      </c>
      <c r="Q72" s="141" t="s">
        <v>29</v>
      </c>
      <c r="R72" s="142">
        <f t="shared" ref="R72:S77" ca="1" si="18">T72</f>
        <v>467217</v>
      </c>
      <c r="S72" s="142">
        <f t="shared" ca="1" si="18"/>
        <v>1481077</v>
      </c>
      <c r="T72" s="142">
        <f ca="1">기술사</f>
        <v>467217</v>
      </c>
      <c r="U72" s="142">
        <f t="shared" ref="U72:U77" ca="1" si="19">ROUNDDOWN(P72*R72,0)</f>
        <v>1481077</v>
      </c>
      <c r="V72" s="142"/>
      <c r="W72" s="142"/>
      <c r="X72" s="142"/>
      <c r="Y72" s="142"/>
      <c r="Z72" s="114"/>
    </row>
    <row r="73" spans="1:26" ht="18" customHeight="1">
      <c r="C73" s="9"/>
      <c r="K73" s="171" t="s">
        <v>14</v>
      </c>
      <c r="L73" s="171"/>
      <c r="M73" s="171"/>
      <c r="N73" s="143" t="s">
        <v>32</v>
      </c>
      <c r="O73" s="173">
        <v>4</v>
      </c>
      <c r="P73" s="234">
        <f ca="1">OFFSET($A$1,MATCH(Z71,$A:$A,0)-1,O73)</f>
        <v>9.11</v>
      </c>
      <c r="Q73" s="144" t="s">
        <v>29</v>
      </c>
      <c r="R73" s="118">
        <f t="shared" ca="1" si="18"/>
        <v>373353</v>
      </c>
      <c r="S73" s="118">
        <f t="shared" ca="1" si="18"/>
        <v>3401245</v>
      </c>
      <c r="T73" s="118">
        <f ca="1">특급</f>
        <v>373353</v>
      </c>
      <c r="U73" s="118">
        <f t="shared" ca="1" si="19"/>
        <v>3401245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145" t="s">
        <v>39</v>
      </c>
      <c r="O74" s="173">
        <v>5</v>
      </c>
      <c r="P74" s="234">
        <f ca="1">OFFSET($A$1,MATCH(Z71,$A:$A,0)-1,O74)</f>
        <v>19.41</v>
      </c>
      <c r="Q74" s="144" t="s">
        <v>29</v>
      </c>
      <c r="R74" s="118">
        <f t="shared" ca="1" si="18"/>
        <v>310884</v>
      </c>
      <c r="S74" s="118">
        <f t="shared" ca="1" si="18"/>
        <v>6034258</v>
      </c>
      <c r="T74" s="118">
        <f ca="1">고급</f>
        <v>310884</v>
      </c>
      <c r="U74" s="118">
        <f t="shared" ca="1" si="19"/>
        <v>6034258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M75" s="171"/>
      <c r="N75" s="145" t="s">
        <v>40</v>
      </c>
      <c r="O75" s="173">
        <v>6</v>
      </c>
      <c r="P75" s="234">
        <f ca="1">OFFSET($A$1,MATCH(Z71,$A:$A,0)-1,O75)</f>
        <v>24.950000000000003</v>
      </c>
      <c r="Q75" s="144" t="s">
        <v>29</v>
      </c>
      <c r="R75" s="118">
        <f t="shared" ca="1" si="18"/>
        <v>295138</v>
      </c>
      <c r="S75" s="118">
        <f t="shared" ca="1" si="18"/>
        <v>7363693</v>
      </c>
      <c r="T75" s="118">
        <f ca="1">중급</f>
        <v>295138</v>
      </c>
      <c r="U75" s="118">
        <f t="shared" ca="1" si="19"/>
        <v>7363693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M76" s="171"/>
      <c r="N76" s="145" t="s">
        <v>41</v>
      </c>
      <c r="O76" s="173">
        <v>7</v>
      </c>
      <c r="P76" s="234">
        <f ca="1">OFFSET($A$1,MATCH(Z71,$A:$A,0)-1,O76)</f>
        <v>26.930000000000003</v>
      </c>
      <c r="Q76" s="144" t="s">
        <v>29</v>
      </c>
      <c r="R76" s="118">
        <f t="shared" ca="1" si="18"/>
        <v>235459</v>
      </c>
      <c r="S76" s="118">
        <f t="shared" ca="1" si="18"/>
        <v>6340910</v>
      </c>
      <c r="T76" s="118">
        <f ca="1">초급</f>
        <v>235459</v>
      </c>
      <c r="U76" s="118">
        <f t="shared" ca="1" si="19"/>
        <v>6340910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M77" s="171"/>
      <c r="N77" s="319" t="s">
        <v>42</v>
      </c>
      <c r="O77" s="174">
        <v>8</v>
      </c>
      <c r="P77" s="235">
        <f ca="1">OFFSET($A$1,MATCH(Z71,$A:$A,0)-1,O77)</f>
        <v>13.86</v>
      </c>
      <c r="Q77" s="322" t="s">
        <v>29</v>
      </c>
      <c r="R77" s="323">
        <f t="shared" ca="1" si="18"/>
        <v>250087</v>
      </c>
      <c r="S77" s="323">
        <f t="shared" ca="1" si="18"/>
        <v>3466205</v>
      </c>
      <c r="T77" s="323">
        <f ca="1">보조원</f>
        <v>250087</v>
      </c>
      <c r="U77" s="323">
        <f t="shared" ca="1" si="19"/>
        <v>3466205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M78" s="171"/>
      <c r="N78" s="139" t="s">
        <v>17</v>
      </c>
      <c r="O78" s="68"/>
      <c r="P78" s="69"/>
      <c r="Q78" s="70"/>
      <c r="R78" s="71"/>
      <c r="S78" s="71">
        <f ca="1">SUBTOTAL(9,S72:S77)</f>
        <v>28087388</v>
      </c>
      <c r="T78" s="71"/>
      <c r="U78" s="71">
        <f ca="1">SUBTOTAL(9,U72:U77)</f>
        <v>28087388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M79" s="171"/>
      <c r="N79" s="318" t="str">
        <f ca="1">"제 " &amp; Z79 &amp; " 호표  "&amp; OFFSET($A$1,MATCH(Z79,$A:$A,0)-1,1)</f>
        <v>제 4 호표  2.1. 개발방향설정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4</v>
      </c>
    </row>
    <row r="80" spans="1:26" ht="18" customHeight="1">
      <c r="K80" s="171" t="s">
        <v>14</v>
      </c>
      <c r="L80" s="171"/>
      <c r="M80" s="171"/>
      <c r="N80" s="140" t="s">
        <v>43</v>
      </c>
      <c r="O80" s="172">
        <v>3</v>
      </c>
      <c r="P80" s="219">
        <f ca="1">OFFSET($A$1,MATCH(Z79,$A:$A,0)-1,O80)</f>
        <v>5.1499999999999995</v>
      </c>
      <c r="Q80" s="141" t="s">
        <v>29</v>
      </c>
      <c r="R80" s="142">
        <f t="shared" ref="R80:S85" ca="1" si="20">T80</f>
        <v>467217</v>
      </c>
      <c r="S80" s="142">
        <f t="shared" ca="1" si="20"/>
        <v>2406167</v>
      </c>
      <c r="T80" s="142">
        <f ca="1">기술사</f>
        <v>467217</v>
      </c>
      <c r="U80" s="142">
        <f t="shared" ref="U80:U85" ca="1" si="21">ROUNDDOWN(P80*R80,0)</f>
        <v>2406167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M81" s="171"/>
      <c r="N81" s="143" t="s">
        <v>32</v>
      </c>
      <c r="O81" s="173">
        <v>4</v>
      </c>
      <c r="P81" s="234">
        <f ca="1">OFFSET($A$1,MATCH(Z79,$A:$A,0)-1,O81)</f>
        <v>14.26</v>
      </c>
      <c r="Q81" s="144" t="s">
        <v>29</v>
      </c>
      <c r="R81" s="118">
        <f t="shared" ca="1" si="20"/>
        <v>373353</v>
      </c>
      <c r="S81" s="118">
        <f t="shared" ca="1" si="20"/>
        <v>5324013</v>
      </c>
      <c r="T81" s="118">
        <f ca="1">특급</f>
        <v>373353</v>
      </c>
      <c r="U81" s="118">
        <f t="shared" ca="1" si="21"/>
        <v>5324013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39</v>
      </c>
      <c r="O82" s="173">
        <v>5</v>
      </c>
      <c r="P82" s="234">
        <f ca="1">OFFSET($A$1,MATCH(Z79,$A:$A,0)-1,O82)</f>
        <v>22.970000000000002</v>
      </c>
      <c r="Q82" s="144" t="s">
        <v>29</v>
      </c>
      <c r="R82" s="118">
        <f t="shared" ca="1" si="20"/>
        <v>310884</v>
      </c>
      <c r="S82" s="118">
        <f t="shared" ca="1" si="20"/>
        <v>7141005</v>
      </c>
      <c r="T82" s="118">
        <f ca="1">고급</f>
        <v>310884</v>
      </c>
      <c r="U82" s="118">
        <f t="shared" ca="1" si="21"/>
        <v>7141005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40</v>
      </c>
      <c r="O83" s="173">
        <v>6</v>
      </c>
      <c r="P83" s="234">
        <f ca="1">OFFSET($A$1,MATCH(Z79,$A:$A,0)-1,O83)</f>
        <v>22.580000000000002</v>
      </c>
      <c r="Q83" s="144" t="s">
        <v>29</v>
      </c>
      <c r="R83" s="118">
        <f t="shared" ca="1" si="20"/>
        <v>295138</v>
      </c>
      <c r="S83" s="118">
        <f t="shared" ca="1" si="20"/>
        <v>6664216</v>
      </c>
      <c r="T83" s="118">
        <f ca="1">중급</f>
        <v>295138</v>
      </c>
      <c r="U83" s="118">
        <f t="shared" ca="1" si="21"/>
        <v>6664216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41</v>
      </c>
      <c r="O84" s="173">
        <v>7</v>
      </c>
      <c r="P84" s="234">
        <f ca="1">OFFSET($A$1,MATCH(Z79,$A:$A,0)-1,O84)</f>
        <v>28.12</v>
      </c>
      <c r="Q84" s="144" t="s">
        <v>29</v>
      </c>
      <c r="R84" s="118">
        <f t="shared" ca="1" si="20"/>
        <v>235459</v>
      </c>
      <c r="S84" s="118">
        <f t="shared" ca="1" si="20"/>
        <v>6621107</v>
      </c>
      <c r="T84" s="118">
        <f ca="1">초급</f>
        <v>235459</v>
      </c>
      <c r="U84" s="118">
        <f t="shared" ca="1" si="21"/>
        <v>6621107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319" t="s">
        <v>42</v>
      </c>
      <c r="O85" s="174">
        <v>8</v>
      </c>
      <c r="P85" s="235">
        <f ca="1">OFFSET($A$1,MATCH(Z79,$A:$A,0)-1,O85)</f>
        <v>12.68</v>
      </c>
      <c r="Q85" s="322" t="s">
        <v>29</v>
      </c>
      <c r="R85" s="323">
        <f t="shared" ca="1" si="20"/>
        <v>250087</v>
      </c>
      <c r="S85" s="323">
        <f t="shared" ca="1" si="20"/>
        <v>3171103</v>
      </c>
      <c r="T85" s="323">
        <f ca="1">보조원</f>
        <v>250087</v>
      </c>
      <c r="U85" s="323">
        <f t="shared" ca="1" si="21"/>
        <v>3171103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M86" s="171"/>
      <c r="N86" s="139" t="s">
        <v>17</v>
      </c>
      <c r="O86" s="68"/>
      <c r="P86" s="69"/>
      <c r="Q86" s="70"/>
      <c r="R86" s="71"/>
      <c r="S86" s="71">
        <f ca="1">SUBTOTAL(9,S80:S85)</f>
        <v>31327611</v>
      </c>
      <c r="T86" s="71"/>
      <c r="U86" s="71">
        <f ca="1">SUBTOTAL(9,U80:U85)</f>
        <v>31327611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M87" s="171"/>
      <c r="N87" s="318" t="str">
        <f ca="1">"제 " &amp; Z87 &amp; " 호표  "&amp; OFFSET($A$1,MATCH(Z87,$A:$A,0)-1,1)</f>
        <v>제 5 호표  2.2. 계획지표설정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5</v>
      </c>
    </row>
    <row r="88" spans="11:26" ht="18" customHeight="1">
      <c r="K88" s="171" t="s">
        <v>14</v>
      </c>
      <c r="L88" s="171"/>
      <c r="M88" s="171"/>
      <c r="N88" s="140" t="s">
        <v>43</v>
      </c>
      <c r="O88" s="172">
        <v>3</v>
      </c>
      <c r="P88" s="219">
        <f ca="1">OFFSET($A$1,MATCH(Z87,$A:$A,0)-1,O88)</f>
        <v>4.3599999999999994</v>
      </c>
      <c r="Q88" s="141" t="s">
        <v>29</v>
      </c>
      <c r="R88" s="142">
        <f t="shared" ref="R88:S93" ca="1" si="22">T88</f>
        <v>467217</v>
      </c>
      <c r="S88" s="142">
        <f t="shared" ca="1" si="22"/>
        <v>2037066</v>
      </c>
      <c r="T88" s="142">
        <f ca="1">기술사</f>
        <v>467217</v>
      </c>
      <c r="U88" s="142">
        <f t="shared" ref="U88:U93" ca="1" si="23">ROUNDDOWN(P88*R88,0)</f>
        <v>2037066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M89" s="171"/>
      <c r="N89" s="143" t="s">
        <v>32</v>
      </c>
      <c r="O89" s="173">
        <v>4</v>
      </c>
      <c r="P89" s="234">
        <f ca="1">OFFSET($A$1,MATCH(Z87,$A:$A,0)-1,O89)</f>
        <v>13.07</v>
      </c>
      <c r="Q89" s="144" t="s">
        <v>29</v>
      </c>
      <c r="R89" s="118">
        <f t="shared" ca="1" si="22"/>
        <v>373353</v>
      </c>
      <c r="S89" s="118">
        <f t="shared" ca="1" si="22"/>
        <v>4879723</v>
      </c>
      <c r="T89" s="118">
        <f ca="1">특급</f>
        <v>373353</v>
      </c>
      <c r="U89" s="118">
        <f t="shared" ca="1" si="23"/>
        <v>4879723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39</v>
      </c>
      <c r="O90" s="173">
        <v>5</v>
      </c>
      <c r="P90" s="234">
        <f ca="1">OFFSET($A$1,MATCH(Z87,$A:$A,0)-1,O90)</f>
        <v>21.78</v>
      </c>
      <c r="Q90" s="144" t="s">
        <v>29</v>
      </c>
      <c r="R90" s="118">
        <f t="shared" ca="1" si="22"/>
        <v>310884</v>
      </c>
      <c r="S90" s="118">
        <f t="shared" ca="1" si="22"/>
        <v>6771053</v>
      </c>
      <c r="T90" s="118">
        <f ca="1">고급</f>
        <v>310884</v>
      </c>
      <c r="U90" s="118">
        <f t="shared" ca="1" si="23"/>
        <v>6771053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40</v>
      </c>
      <c r="O91" s="173">
        <v>6</v>
      </c>
      <c r="P91" s="234">
        <f ca="1">OFFSET($A$1,MATCH(Z87,$A:$A,0)-1,O91)</f>
        <v>20.990000000000002</v>
      </c>
      <c r="Q91" s="144" t="s">
        <v>29</v>
      </c>
      <c r="R91" s="118">
        <f t="shared" ca="1" si="22"/>
        <v>295138</v>
      </c>
      <c r="S91" s="118">
        <f t="shared" ca="1" si="22"/>
        <v>6194946</v>
      </c>
      <c r="T91" s="118">
        <f ca="1">중급</f>
        <v>295138</v>
      </c>
      <c r="U91" s="118">
        <f t="shared" ca="1" si="23"/>
        <v>6194946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41</v>
      </c>
      <c r="O92" s="173">
        <v>7</v>
      </c>
      <c r="P92" s="234">
        <f ca="1">OFFSET($A$1,MATCH(Z87,$A:$A,0)-1,O92)</f>
        <v>26.14</v>
      </c>
      <c r="Q92" s="144" t="s">
        <v>29</v>
      </c>
      <c r="R92" s="118">
        <f t="shared" ca="1" si="22"/>
        <v>235459</v>
      </c>
      <c r="S92" s="118">
        <f t="shared" ca="1" si="22"/>
        <v>6154898</v>
      </c>
      <c r="T92" s="118">
        <f ca="1">초급</f>
        <v>235459</v>
      </c>
      <c r="U92" s="118">
        <f t="shared" ca="1" si="23"/>
        <v>6154898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319" t="s">
        <v>42</v>
      </c>
      <c r="O93" s="174">
        <v>8</v>
      </c>
      <c r="P93" s="235">
        <f ca="1">OFFSET($A$1,MATCH(Z87,$A:$A,0)-1,O93)</f>
        <v>11.88</v>
      </c>
      <c r="Q93" s="322" t="s">
        <v>29</v>
      </c>
      <c r="R93" s="323">
        <f t="shared" ca="1" si="22"/>
        <v>250087</v>
      </c>
      <c r="S93" s="323">
        <f t="shared" ca="1" si="22"/>
        <v>2971033</v>
      </c>
      <c r="T93" s="323">
        <f ca="1">보조원</f>
        <v>250087</v>
      </c>
      <c r="U93" s="323">
        <f t="shared" ca="1" si="23"/>
        <v>2971033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M94" s="171"/>
      <c r="N94" s="139" t="s">
        <v>17</v>
      </c>
      <c r="O94" s="68"/>
      <c r="P94" s="69"/>
      <c r="Q94" s="70"/>
      <c r="R94" s="71"/>
      <c r="S94" s="71">
        <f ca="1">SUBTOTAL(9,S88:S93)</f>
        <v>29008719</v>
      </c>
      <c r="T94" s="71"/>
      <c r="U94" s="71">
        <f ca="1">SUBTOTAL(9,U88:U93)</f>
        <v>29008719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M95" s="171"/>
      <c r="N95" s="318" t="str">
        <f ca="1">"제 " &amp; Z95 &amp; " 호표  "&amp; OFFSET($A$1,MATCH(Z95,$A:$A,0)-1,1)</f>
        <v>제 6 호표  2.3. 토지이용체계구상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6</v>
      </c>
    </row>
    <row r="96" spans="11:26" ht="18" customHeight="1">
      <c r="K96" s="171" t="s">
        <v>14</v>
      </c>
      <c r="L96" s="171"/>
      <c r="M96" s="171"/>
      <c r="N96" s="140" t="s">
        <v>43</v>
      </c>
      <c r="O96" s="172">
        <v>3</v>
      </c>
      <c r="P96" s="219">
        <f ca="1">OFFSET($A$1,MATCH(Z95,$A:$A,0)-1,O96)</f>
        <v>4.76</v>
      </c>
      <c r="Q96" s="141" t="s">
        <v>29</v>
      </c>
      <c r="R96" s="142">
        <f t="shared" ref="R96:S101" ca="1" si="24">T96</f>
        <v>467217</v>
      </c>
      <c r="S96" s="142">
        <f t="shared" ca="1" si="24"/>
        <v>2223952</v>
      </c>
      <c r="T96" s="142">
        <f ca="1">기술사</f>
        <v>467217</v>
      </c>
      <c r="U96" s="142">
        <f t="shared" ref="U96:U101" ca="1" si="25">ROUNDDOWN(P96*R96,0)</f>
        <v>2223952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M97" s="171"/>
      <c r="N97" s="143" t="s">
        <v>32</v>
      </c>
      <c r="O97" s="173">
        <v>4</v>
      </c>
      <c r="P97" s="234">
        <f ca="1">OFFSET($A$1,MATCH(Z95,$A:$A,0)-1,O97)</f>
        <v>15.45</v>
      </c>
      <c r="Q97" s="144" t="s">
        <v>29</v>
      </c>
      <c r="R97" s="118">
        <f t="shared" ca="1" si="24"/>
        <v>373353</v>
      </c>
      <c r="S97" s="118">
        <f t="shared" ca="1" si="24"/>
        <v>5768303</v>
      </c>
      <c r="T97" s="118">
        <f ca="1">특급</f>
        <v>373353</v>
      </c>
      <c r="U97" s="118">
        <f t="shared" ca="1" si="25"/>
        <v>5768303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39</v>
      </c>
      <c r="O98" s="173">
        <v>5</v>
      </c>
      <c r="P98" s="234">
        <f ca="1">OFFSET($A$1,MATCH(Z95,$A:$A,0)-1,O98)</f>
        <v>25.74</v>
      </c>
      <c r="Q98" s="144" t="s">
        <v>29</v>
      </c>
      <c r="R98" s="118">
        <f t="shared" ca="1" si="24"/>
        <v>310884</v>
      </c>
      <c r="S98" s="118">
        <f t="shared" ca="1" si="24"/>
        <v>8002154</v>
      </c>
      <c r="T98" s="118">
        <f ca="1">고급</f>
        <v>310884</v>
      </c>
      <c r="U98" s="118">
        <f t="shared" ca="1" si="25"/>
        <v>8002154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40</v>
      </c>
      <c r="O99" s="173">
        <v>6</v>
      </c>
      <c r="P99" s="234">
        <f ca="1">OFFSET($A$1,MATCH(Z95,$A:$A,0)-1,O99)</f>
        <v>26.540000000000003</v>
      </c>
      <c r="Q99" s="144" t="s">
        <v>29</v>
      </c>
      <c r="R99" s="118">
        <f t="shared" ca="1" si="24"/>
        <v>295138</v>
      </c>
      <c r="S99" s="118">
        <f t="shared" ca="1" si="24"/>
        <v>7832962</v>
      </c>
      <c r="T99" s="118">
        <f ca="1">중급</f>
        <v>295138</v>
      </c>
      <c r="U99" s="118">
        <f t="shared" ca="1" si="25"/>
        <v>7832962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41</v>
      </c>
      <c r="O100" s="173">
        <v>7</v>
      </c>
      <c r="P100" s="234">
        <f ca="1">OFFSET($A$1,MATCH(Z95,$A:$A,0)-1,O100)</f>
        <v>32.869999999999997</v>
      </c>
      <c r="Q100" s="144" t="s">
        <v>29</v>
      </c>
      <c r="R100" s="118">
        <f t="shared" ca="1" si="24"/>
        <v>235459</v>
      </c>
      <c r="S100" s="118">
        <f t="shared" ca="1" si="24"/>
        <v>7739537</v>
      </c>
      <c r="T100" s="118">
        <f ca="1">초급</f>
        <v>235459</v>
      </c>
      <c r="U100" s="118">
        <f t="shared" ca="1" si="25"/>
        <v>7739537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319" t="s">
        <v>42</v>
      </c>
      <c r="O101" s="174">
        <v>8</v>
      </c>
      <c r="P101" s="235">
        <f ca="1">OFFSET($A$1,MATCH(Z95,$A:$A,0)-1,O101)</f>
        <v>14.26</v>
      </c>
      <c r="Q101" s="322" t="s">
        <v>29</v>
      </c>
      <c r="R101" s="323">
        <f t="shared" ca="1" si="24"/>
        <v>250087</v>
      </c>
      <c r="S101" s="323">
        <f t="shared" ca="1" si="24"/>
        <v>3566240</v>
      </c>
      <c r="T101" s="323">
        <f ca="1">보조원</f>
        <v>250087</v>
      </c>
      <c r="U101" s="323">
        <f t="shared" ca="1" si="25"/>
        <v>3566240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M102" s="171"/>
      <c r="N102" s="139" t="s">
        <v>17</v>
      </c>
      <c r="O102" s="68"/>
      <c r="P102" s="69"/>
      <c r="Q102" s="70"/>
      <c r="R102" s="71"/>
      <c r="S102" s="71">
        <f ca="1">SUBTOTAL(9,S96:S101)</f>
        <v>35133148</v>
      </c>
      <c r="T102" s="71"/>
      <c r="U102" s="71">
        <f ca="1">SUBTOTAL(9,U96:U101)</f>
        <v>35133148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M103" s="171"/>
      <c r="N103" s="318" t="str">
        <f ca="1">"제 " &amp; Z103 &amp; " 호표  "&amp; OFFSET($A$1,MATCH(Z103,$A:$A,0)-1,1)</f>
        <v>제 7 호표  2.4. 동선체계구상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7</v>
      </c>
    </row>
    <row r="104" spans="11:26" ht="18" customHeight="1">
      <c r="K104" s="171" t="s">
        <v>14</v>
      </c>
      <c r="L104" s="171"/>
      <c r="M104" s="171"/>
      <c r="N104" s="140" t="s">
        <v>43</v>
      </c>
      <c r="O104" s="172">
        <v>3</v>
      </c>
      <c r="P104" s="219">
        <f ca="1">OFFSET($A$1,MATCH(Z103,$A:$A,0)-1,O104)</f>
        <v>5.55</v>
      </c>
      <c r="Q104" s="141" t="s">
        <v>29</v>
      </c>
      <c r="R104" s="142">
        <f t="shared" ref="R104:S109" ca="1" si="26">T104</f>
        <v>467217</v>
      </c>
      <c r="S104" s="142">
        <f t="shared" ca="1" si="26"/>
        <v>2593054</v>
      </c>
      <c r="T104" s="142">
        <f ca="1">기술사</f>
        <v>467217</v>
      </c>
      <c r="U104" s="142">
        <f t="shared" ref="U104:U109" ca="1" si="27">ROUNDDOWN(P104*R104,0)</f>
        <v>2593054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M105" s="171"/>
      <c r="N105" s="143" t="s">
        <v>32</v>
      </c>
      <c r="O105" s="173">
        <v>4</v>
      </c>
      <c r="P105" s="234">
        <f ca="1">OFFSET($A$1,MATCH(Z103,$A:$A,0)-1,O105)</f>
        <v>17.430000000000003</v>
      </c>
      <c r="Q105" s="144" t="s">
        <v>29</v>
      </c>
      <c r="R105" s="118">
        <f t="shared" ca="1" si="26"/>
        <v>373353</v>
      </c>
      <c r="S105" s="118">
        <f t="shared" ca="1" si="26"/>
        <v>6507542</v>
      </c>
      <c r="T105" s="118">
        <f ca="1">특급</f>
        <v>373353</v>
      </c>
      <c r="U105" s="118">
        <f t="shared" ca="1" si="27"/>
        <v>6507542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39</v>
      </c>
      <c r="O106" s="173">
        <v>5</v>
      </c>
      <c r="P106" s="234">
        <f ca="1">OFFSET($A$1,MATCH(Z103,$A:$A,0)-1,O106)</f>
        <v>29.310000000000002</v>
      </c>
      <c r="Q106" s="144" t="s">
        <v>29</v>
      </c>
      <c r="R106" s="118">
        <f t="shared" ca="1" si="26"/>
        <v>310884</v>
      </c>
      <c r="S106" s="118">
        <f t="shared" ca="1" si="26"/>
        <v>9112010</v>
      </c>
      <c r="T106" s="118">
        <f ca="1">고급</f>
        <v>310884</v>
      </c>
      <c r="U106" s="118">
        <f t="shared" ca="1" si="27"/>
        <v>9112010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40</v>
      </c>
      <c r="O107" s="173">
        <v>6</v>
      </c>
      <c r="P107" s="234">
        <f ca="1">OFFSET($A$1,MATCH(Z103,$A:$A,0)-1,O107)</f>
        <v>30.1</v>
      </c>
      <c r="Q107" s="144" t="s">
        <v>29</v>
      </c>
      <c r="R107" s="118">
        <f t="shared" ca="1" si="26"/>
        <v>295138</v>
      </c>
      <c r="S107" s="118">
        <f t="shared" ca="1" si="26"/>
        <v>8883653</v>
      </c>
      <c r="T107" s="118">
        <f ca="1">중급</f>
        <v>295138</v>
      </c>
      <c r="U107" s="118">
        <f t="shared" ca="1" si="27"/>
        <v>8883653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41</v>
      </c>
      <c r="O108" s="173">
        <v>7</v>
      </c>
      <c r="P108" s="234">
        <f ca="1">OFFSET($A$1,MATCH(Z103,$A:$A,0)-1,O108)</f>
        <v>38.019999999999996</v>
      </c>
      <c r="Q108" s="144" t="s">
        <v>29</v>
      </c>
      <c r="R108" s="118">
        <f t="shared" ca="1" si="26"/>
        <v>235459</v>
      </c>
      <c r="S108" s="118">
        <f t="shared" ca="1" si="26"/>
        <v>8952151</v>
      </c>
      <c r="T108" s="118">
        <f ca="1">초급</f>
        <v>235459</v>
      </c>
      <c r="U108" s="118">
        <f t="shared" ca="1" si="27"/>
        <v>8952151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319" t="s">
        <v>42</v>
      </c>
      <c r="O109" s="174">
        <v>8</v>
      </c>
      <c r="P109" s="235">
        <f ca="1">OFFSET($A$1,MATCH(Z103,$A:$A,0)-1,O109)</f>
        <v>16.240000000000002</v>
      </c>
      <c r="Q109" s="322" t="s">
        <v>29</v>
      </c>
      <c r="R109" s="323">
        <f t="shared" ca="1" si="26"/>
        <v>250087</v>
      </c>
      <c r="S109" s="323">
        <f t="shared" ca="1" si="26"/>
        <v>4061412</v>
      </c>
      <c r="T109" s="323">
        <f ca="1">보조원</f>
        <v>250087</v>
      </c>
      <c r="U109" s="323">
        <f t="shared" ca="1" si="27"/>
        <v>4061412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M110" s="171"/>
      <c r="N110" s="139" t="s">
        <v>17</v>
      </c>
      <c r="O110" s="68"/>
      <c r="P110" s="69"/>
      <c r="Q110" s="70"/>
      <c r="R110" s="71"/>
      <c r="S110" s="71">
        <f ca="1">SUBTOTAL(9,S104:S109)</f>
        <v>40109822</v>
      </c>
      <c r="T110" s="71"/>
      <c r="U110" s="71">
        <f ca="1">SUBTOTAL(9,U104:U109)</f>
        <v>40109822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M111" s="171"/>
      <c r="N111" s="318" t="str">
        <f ca="1">"제 " &amp; Z111 &amp; " 호표  "&amp; OFFSET($A$1,MATCH(Z111,$A:$A,0)-1,1)</f>
        <v>제 8 호표  2.5. 유치시설종류 및 규모설정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8</v>
      </c>
    </row>
    <row r="112" spans="11:26" ht="18" customHeight="1">
      <c r="K112" s="171" t="s">
        <v>14</v>
      </c>
      <c r="L112" s="171"/>
      <c r="M112" s="171"/>
      <c r="N112" s="140" t="s">
        <v>43</v>
      </c>
      <c r="O112" s="172">
        <v>3</v>
      </c>
      <c r="P112" s="219">
        <f ca="1">OFFSET($A$1,MATCH(Z111,$A:$A,0)-1,O112)</f>
        <v>4.76</v>
      </c>
      <c r="Q112" s="141" t="s">
        <v>29</v>
      </c>
      <c r="R112" s="142">
        <f t="shared" ref="R112:S117" ca="1" si="28">T112</f>
        <v>467217</v>
      </c>
      <c r="S112" s="142">
        <f t="shared" ca="1" si="28"/>
        <v>2223952</v>
      </c>
      <c r="T112" s="142">
        <f ca="1">기술사</f>
        <v>467217</v>
      </c>
      <c r="U112" s="142">
        <f t="shared" ref="U112:U117" ca="1" si="29">ROUNDDOWN(P112*R112,0)</f>
        <v>2223952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M113" s="171"/>
      <c r="N113" s="143" t="s">
        <v>32</v>
      </c>
      <c r="O113" s="173">
        <v>4</v>
      </c>
      <c r="P113" s="234">
        <f ca="1">OFFSET($A$1,MATCH(Z111,$A:$A,0)-1,O113)</f>
        <v>17.03</v>
      </c>
      <c r="Q113" s="144" t="s">
        <v>29</v>
      </c>
      <c r="R113" s="118">
        <f t="shared" ca="1" si="28"/>
        <v>373353</v>
      </c>
      <c r="S113" s="118">
        <f t="shared" ca="1" si="28"/>
        <v>6358201</v>
      </c>
      <c r="T113" s="118">
        <f ca="1">특급</f>
        <v>373353</v>
      </c>
      <c r="U113" s="118">
        <f t="shared" ca="1" si="29"/>
        <v>6358201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39</v>
      </c>
      <c r="O114" s="173">
        <v>5</v>
      </c>
      <c r="P114" s="234">
        <f ca="1">OFFSET($A$1,MATCH(Z111,$A:$A,0)-1,O114)</f>
        <v>26.14</v>
      </c>
      <c r="Q114" s="144" t="s">
        <v>29</v>
      </c>
      <c r="R114" s="118">
        <f t="shared" ca="1" si="28"/>
        <v>310884</v>
      </c>
      <c r="S114" s="118">
        <f t="shared" ca="1" si="28"/>
        <v>8126507</v>
      </c>
      <c r="T114" s="118">
        <f ca="1">고급</f>
        <v>310884</v>
      </c>
      <c r="U114" s="118">
        <f t="shared" ca="1" si="29"/>
        <v>8126507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40</v>
      </c>
      <c r="O115" s="173">
        <v>6</v>
      </c>
      <c r="P115" s="234">
        <f ca="1">OFFSET($A$1,MATCH(Z111,$A:$A,0)-1,O115)</f>
        <v>24.950000000000003</v>
      </c>
      <c r="Q115" s="144" t="s">
        <v>29</v>
      </c>
      <c r="R115" s="118">
        <f t="shared" ca="1" si="28"/>
        <v>295138</v>
      </c>
      <c r="S115" s="118">
        <f t="shared" ca="1" si="28"/>
        <v>7363693</v>
      </c>
      <c r="T115" s="118">
        <f ca="1">중급</f>
        <v>295138</v>
      </c>
      <c r="U115" s="118">
        <f t="shared" ca="1" si="29"/>
        <v>7363693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41</v>
      </c>
      <c r="O116" s="173">
        <v>7</v>
      </c>
      <c r="P116" s="234">
        <f ca="1">OFFSET($A$1,MATCH(Z111,$A:$A,0)-1,O116)</f>
        <v>31.21</v>
      </c>
      <c r="Q116" s="144" t="s">
        <v>29</v>
      </c>
      <c r="R116" s="118">
        <f t="shared" ca="1" si="28"/>
        <v>235459</v>
      </c>
      <c r="S116" s="118">
        <f t="shared" ca="1" si="28"/>
        <v>7348675</v>
      </c>
      <c r="T116" s="118">
        <f ca="1">초급</f>
        <v>235459</v>
      </c>
      <c r="U116" s="118">
        <f t="shared" ca="1" si="29"/>
        <v>7348675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319" t="s">
        <v>42</v>
      </c>
      <c r="O117" s="174">
        <v>8</v>
      </c>
      <c r="P117" s="235">
        <f ca="1">OFFSET($A$1,MATCH(Z111,$A:$A,0)-1,O117)</f>
        <v>15.049999999999999</v>
      </c>
      <c r="Q117" s="322" t="s">
        <v>29</v>
      </c>
      <c r="R117" s="323">
        <f t="shared" ca="1" si="28"/>
        <v>250087</v>
      </c>
      <c r="S117" s="323">
        <f t="shared" ca="1" si="28"/>
        <v>3763809</v>
      </c>
      <c r="T117" s="323">
        <f ca="1">보조원</f>
        <v>250087</v>
      </c>
      <c r="U117" s="323">
        <f t="shared" ca="1" si="29"/>
        <v>3763809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35184837</v>
      </c>
      <c r="T118" s="71"/>
      <c r="U118" s="71">
        <f ca="1">SUBTOTAL(9,U112:U117)</f>
        <v>35184837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  <c r="N119" s="318" t="str">
        <f ca="1">"제 " &amp; Z119 &amp; " 호표  "&amp; OFFSET($A$1,MATCH(Z119,$A:$A,0)-1,1)</f>
        <v>제 9 호표  3.1. 토지이용계획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9</v>
      </c>
    </row>
    <row r="120" spans="11:26" ht="18" customHeight="1">
      <c r="K120" s="171" t="s">
        <v>14</v>
      </c>
      <c r="L120" s="171"/>
      <c r="M120" s="171"/>
      <c r="N120" s="140" t="s">
        <v>43</v>
      </c>
      <c r="O120" s="172">
        <v>3</v>
      </c>
      <c r="P120" s="219">
        <f ca="1">OFFSET($A$1,MATCH(Z119,$A:$A,0)-1,O120)</f>
        <v>6.34</v>
      </c>
      <c r="Q120" s="141" t="s">
        <v>29</v>
      </c>
      <c r="R120" s="142">
        <f t="shared" ref="R120:S125" ca="1" si="30">T120</f>
        <v>467217</v>
      </c>
      <c r="S120" s="142">
        <f t="shared" ca="1" si="30"/>
        <v>2962155</v>
      </c>
      <c r="T120" s="142">
        <f ca="1">기술사</f>
        <v>467217</v>
      </c>
      <c r="U120" s="142">
        <f t="shared" ref="U120:U125" ca="1" si="31">ROUNDDOWN(P120*R120,0)</f>
        <v>2962155</v>
      </c>
      <c r="V120" s="142"/>
      <c r="W120" s="142"/>
      <c r="X120" s="142"/>
      <c r="Y120" s="142"/>
      <c r="Z120" s="114"/>
    </row>
    <row r="121" spans="11:26" ht="18" customHeight="1">
      <c r="K121" s="171" t="s">
        <v>14</v>
      </c>
      <c r="L121" s="171"/>
      <c r="M121" s="171"/>
      <c r="N121" s="143" t="s">
        <v>32</v>
      </c>
      <c r="O121" s="173">
        <v>4</v>
      </c>
      <c r="P121" s="234">
        <f ca="1">OFFSET($A$1,MATCH(Z119,$A:$A,0)-1,O121)</f>
        <v>17.430000000000003</v>
      </c>
      <c r="Q121" s="144" t="s">
        <v>29</v>
      </c>
      <c r="R121" s="118">
        <f t="shared" ca="1" si="30"/>
        <v>373353</v>
      </c>
      <c r="S121" s="118">
        <f t="shared" ca="1" si="30"/>
        <v>6507542</v>
      </c>
      <c r="T121" s="118">
        <f ca="1">특급</f>
        <v>373353</v>
      </c>
      <c r="U121" s="118">
        <f t="shared" ca="1" si="31"/>
        <v>6507542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39</v>
      </c>
      <c r="O122" s="173">
        <v>5</v>
      </c>
      <c r="P122" s="234">
        <f ca="1">OFFSET($A$1,MATCH(Z119,$A:$A,0)-1,O122)</f>
        <v>28.12</v>
      </c>
      <c r="Q122" s="144" t="s">
        <v>29</v>
      </c>
      <c r="R122" s="118">
        <f t="shared" ca="1" si="30"/>
        <v>310884</v>
      </c>
      <c r="S122" s="118">
        <f t="shared" ca="1" si="30"/>
        <v>8742058</v>
      </c>
      <c r="T122" s="118">
        <f ca="1">고급</f>
        <v>310884</v>
      </c>
      <c r="U122" s="118">
        <f t="shared" ca="1" si="31"/>
        <v>8742058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40</v>
      </c>
      <c r="O123" s="173">
        <v>6</v>
      </c>
      <c r="P123" s="234">
        <f ca="1">OFFSET($A$1,MATCH(Z119,$A:$A,0)-1,O123)</f>
        <v>29.7</v>
      </c>
      <c r="Q123" s="144" t="s">
        <v>29</v>
      </c>
      <c r="R123" s="118">
        <f t="shared" ca="1" si="30"/>
        <v>295138</v>
      </c>
      <c r="S123" s="118">
        <f t="shared" ca="1" si="30"/>
        <v>8765598</v>
      </c>
      <c r="T123" s="118">
        <f ca="1">중급</f>
        <v>295138</v>
      </c>
      <c r="U123" s="118">
        <f t="shared" ca="1" si="31"/>
        <v>8765598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41</v>
      </c>
      <c r="O124" s="173">
        <v>7</v>
      </c>
      <c r="P124" s="234">
        <f ca="1">OFFSET($A$1,MATCH(Z119,$A:$A,0)-1,O124)</f>
        <v>30.5</v>
      </c>
      <c r="Q124" s="144" t="s">
        <v>29</v>
      </c>
      <c r="R124" s="118">
        <f t="shared" ca="1" si="30"/>
        <v>235459</v>
      </c>
      <c r="S124" s="118">
        <f t="shared" ca="1" si="30"/>
        <v>7181499</v>
      </c>
      <c r="T124" s="118">
        <f ca="1">초급</f>
        <v>235459</v>
      </c>
      <c r="U124" s="118">
        <f t="shared" ca="1" si="31"/>
        <v>7181499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319" t="s">
        <v>42</v>
      </c>
      <c r="O125" s="174">
        <v>8</v>
      </c>
      <c r="P125" s="235">
        <f ca="1">OFFSET($A$1,MATCH(Z119,$A:$A,0)-1,O125)</f>
        <v>16.240000000000002</v>
      </c>
      <c r="Q125" s="322" t="s">
        <v>29</v>
      </c>
      <c r="R125" s="323">
        <f t="shared" ca="1" si="30"/>
        <v>250087</v>
      </c>
      <c r="S125" s="323">
        <f t="shared" ca="1" si="30"/>
        <v>4061412</v>
      </c>
      <c r="T125" s="323">
        <f ca="1">보조원</f>
        <v>250087</v>
      </c>
      <c r="U125" s="323">
        <f t="shared" ca="1" si="31"/>
        <v>4061412</v>
      </c>
      <c r="V125" s="323"/>
      <c r="W125" s="323"/>
      <c r="X125" s="323"/>
      <c r="Y125" s="323"/>
      <c r="Z125" s="324"/>
    </row>
    <row r="126" spans="11:26" ht="18" customHeight="1">
      <c r="K126" s="171" t="s">
        <v>14</v>
      </c>
      <c r="L126" s="171"/>
      <c r="M126" s="171"/>
      <c r="N126" s="139" t="s">
        <v>17</v>
      </c>
      <c r="O126" s="68"/>
      <c r="P126" s="69"/>
      <c r="Q126" s="70"/>
      <c r="R126" s="71"/>
      <c r="S126" s="71">
        <f ca="1">SUBTOTAL(9,S120:S125)</f>
        <v>38220264</v>
      </c>
      <c r="T126" s="71"/>
      <c r="U126" s="71">
        <f ca="1">SUBTOTAL(9,U120:U125)</f>
        <v>38220264</v>
      </c>
      <c r="V126" s="71"/>
      <c r="W126" s="71"/>
      <c r="X126" s="71"/>
      <c r="Y126" s="71"/>
      <c r="Z126" s="68"/>
    </row>
    <row r="127" spans="11:26" ht="18" customHeight="1">
      <c r="K127" s="171" t="s">
        <v>14</v>
      </c>
      <c r="L127" s="171"/>
      <c r="M127" s="171"/>
      <c r="N127" s="318" t="str">
        <f ca="1">"제 " &amp; Z127 &amp; " 호표  "&amp; OFFSET($A$1,MATCH(Z127,$A:$A,0)-1,1)</f>
        <v>제 10 호표  3.2. 교통동선 및 포장계획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10</v>
      </c>
    </row>
    <row r="128" spans="11:26" ht="18" customHeight="1">
      <c r="K128" s="171" t="s">
        <v>14</v>
      </c>
      <c r="L128" s="171"/>
      <c r="M128" s="171"/>
      <c r="N128" s="140" t="s">
        <v>43</v>
      </c>
      <c r="O128" s="172">
        <v>3</v>
      </c>
      <c r="P128" s="219">
        <f ca="1">OFFSET($A$1,MATCH(Z127,$A:$A,0)-1,O128)</f>
        <v>8.7200000000000006</v>
      </c>
      <c r="Q128" s="141" t="s">
        <v>29</v>
      </c>
      <c r="R128" s="142">
        <f t="shared" ref="R128:S133" ca="1" si="32">T128</f>
        <v>467217</v>
      </c>
      <c r="S128" s="142">
        <f t="shared" ca="1" si="32"/>
        <v>4074132</v>
      </c>
      <c r="T128" s="142">
        <f ca="1">기술사</f>
        <v>467217</v>
      </c>
      <c r="U128" s="142">
        <f t="shared" ref="U128:U133" ca="1" si="33">ROUNDDOWN(P128*R128,0)</f>
        <v>4074132</v>
      </c>
      <c r="V128" s="142"/>
      <c r="W128" s="142"/>
      <c r="X128" s="142"/>
      <c r="Y128" s="142"/>
      <c r="Z128" s="114"/>
    </row>
    <row r="129" spans="11:29" ht="18" customHeight="1">
      <c r="K129" s="171" t="s">
        <v>14</v>
      </c>
      <c r="L129" s="171"/>
      <c r="M129" s="171"/>
      <c r="N129" s="143" t="s">
        <v>32</v>
      </c>
      <c r="O129" s="173">
        <v>4</v>
      </c>
      <c r="P129" s="234">
        <f ca="1">OFFSET($A$1,MATCH(Z127,$A:$A,0)-1,O129)</f>
        <v>22.180000000000003</v>
      </c>
      <c r="Q129" s="144" t="s">
        <v>29</v>
      </c>
      <c r="R129" s="118">
        <f t="shared" ca="1" si="32"/>
        <v>373353</v>
      </c>
      <c r="S129" s="118">
        <f t="shared" ca="1" si="32"/>
        <v>8280969</v>
      </c>
      <c r="T129" s="118">
        <f ca="1">특급</f>
        <v>373353</v>
      </c>
      <c r="U129" s="118">
        <f t="shared" ca="1" si="33"/>
        <v>8280969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39</v>
      </c>
      <c r="O130" s="173">
        <v>5</v>
      </c>
      <c r="P130" s="234">
        <f ca="1">OFFSET($A$1,MATCH(Z127,$A:$A,0)-1,O130)</f>
        <v>39.21</v>
      </c>
      <c r="Q130" s="144" t="s">
        <v>29</v>
      </c>
      <c r="R130" s="118">
        <f t="shared" ca="1" si="32"/>
        <v>310884</v>
      </c>
      <c r="S130" s="118">
        <f t="shared" ca="1" si="32"/>
        <v>12189761</v>
      </c>
      <c r="T130" s="118">
        <f ca="1">고급</f>
        <v>310884</v>
      </c>
      <c r="U130" s="118">
        <f t="shared" ca="1" si="33"/>
        <v>12189761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40</v>
      </c>
      <c r="O131" s="173">
        <v>6</v>
      </c>
      <c r="P131" s="234">
        <f ca="1">OFFSET($A$1,MATCH(Z127,$A:$A,0)-1,O131)</f>
        <v>37.619999999999997</v>
      </c>
      <c r="Q131" s="144" t="s">
        <v>29</v>
      </c>
      <c r="R131" s="118">
        <f t="shared" ca="1" si="32"/>
        <v>295138</v>
      </c>
      <c r="S131" s="118">
        <f t="shared" ca="1" si="32"/>
        <v>11103091</v>
      </c>
      <c r="T131" s="118">
        <f ca="1">중급</f>
        <v>295138</v>
      </c>
      <c r="U131" s="118">
        <f t="shared" ca="1" si="33"/>
        <v>11103091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41</v>
      </c>
      <c r="O132" s="173">
        <v>7</v>
      </c>
      <c r="P132" s="234">
        <f ca="1">OFFSET($A$1,MATCH(Z127,$A:$A,0)-1,O132)</f>
        <v>37.229999999999997</v>
      </c>
      <c r="Q132" s="144" t="s">
        <v>29</v>
      </c>
      <c r="R132" s="118">
        <f t="shared" ca="1" si="32"/>
        <v>235459</v>
      </c>
      <c r="S132" s="118">
        <f t="shared" ca="1" si="32"/>
        <v>8766138</v>
      </c>
      <c r="T132" s="118">
        <f ca="1">초급</f>
        <v>235459</v>
      </c>
      <c r="U132" s="118">
        <f t="shared" ca="1" si="33"/>
        <v>8766138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319" t="s">
        <v>42</v>
      </c>
      <c r="O133" s="174">
        <v>8</v>
      </c>
      <c r="P133" s="235">
        <f ca="1">OFFSET($A$1,MATCH(Z127,$A:$A,0)-1,O133)</f>
        <v>20.990000000000002</v>
      </c>
      <c r="Q133" s="322" t="s">
        <v>29</v>
      </c>
      <c r="R133" s="323">
        <f t="shared" ca="1" si="32"/>
        <v>250087</v>
      </c>
      <c r="S133" s="323">
        <f t="shared" ca="1" si="32"/>
        <v>5249326</v>
      </c>
      <c r="T133" s="323">
        <f ca="1">보조원</f>
        <v>250087</v>
      </c>
      <c r="U133" s="323">
        <f t="shared" ca="1" si="33"/>
        <v>5249326</v>
      </c>
      <c r="V133" s="323"/>
      <c r="W133" s="323"/>
      <c r="X133" s="323"/>
      <c r="Y133" s="323"/>
      <c r="Z133" s="324"/>
    </row>
    <row r="134" spans="11:29" ht="18" customHeight="1">
      <c r="K134" s="171" t="s">
        <v>14</v>
      </c>
      <c r="L134" s="171"/>
      <c r="M134" s="171"/>
      <c r="N134" s="139" t="s">
        <v>17</v>
      </c>
      <c r="O134" s="68"/>
      <c r="P134" s="69"/>
      <c r="Q134" s="70"/>
      <c r="R134" s="71"/>
      <c r="S134" s="71">
        <f ca="1">SUBTOTAL(9,S128:S133)</f>
        <v>49663417</v>
      </c>
      <c r="T134" s="71"/>
      <c r="U134" s="71">
        <f ca="1">SUBTOTAL(9,U128:U133)</f>
        <v>49663417</v>
      </c>
      <c r="V134" s="71"/>
      <c r="W134" s="71"/>
      <c r="X134" s="71"/>
      <c r="Y134" s="71"/>
      <c r="Z134" s="68"/>
    </row>
    <row r="135" spans="11:29" ht="18" customHeight="1">
      <c r="K135" s="171" t="s">
        <v>14</v>
      </c>
      <c r="L135" s="171"/>
      <c r="M135" s="171"/>
      <c r="N135" s="318" t="str">
        <f ca="1">"제 " &amp; Z135 &amp; " 호표  "&amp; OFFSET($A$1,MATCH(Z135,$A:$A,0)-1,1)</f>
        <v>제 11 호표  3.3. 시설배치계획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11</v>
      </c>
    </row>
    <row r="136" spans="11:29" ht="18" customHeight="1">
      <c r="K136" s="171" t="s">
        <v>14</v>
      </c>
      <c r="L136" s="171"/>
      <c r="M136" s="171"/>
      <c r="N136" s="140" t="s">
        <v>43</v>
      </c>
      <c r="O136" s="172">
        <v>3</v>
      </c>
      <c r="P136" s="219">
        <f ca="1">OFFSET($A$1,MATCH(Z135,$A:$A,0)-1,O136)</f>
        <v>8.7200000000000006</v>
      </c>
      <c r="Q136" s="141" t="s">
        <v>29</v>
      </c>
      <c r="R136" s="142">
        <f t="shared" ref="R136:S141" ca="1" si="34">T136</f>
        <v>467217</v>
      </c>
      <c r="S136" s="142">
        <f t="shared" ca="1" si="34"/>
        <v>4074132</v>
      </c>
      <c r="T136" s="142">
        <f ca="1">기술사</f>
        <v>467217</v>
      </c>
      <c r="U136" s="142">
        <f t="shared" ref="U136:U141" ca="1" si="35">ROUNDDOWN(P136*R136,0)</f>
        <v>4074132</v>
      </c>
      <c r="V136" s="142"/>
      <c r="W136" s="142"/>
      <c r="X136" s="142"/>
      <c r="Y136" s="142"/>
      <c r="Z136" s="114"/>
    </row>
    <row r="137" spans="11:29" ht="18" customHeight="1">
      <c r="K137" s="171" t="s">
        <v>14</v>
      </c>
      <c r="L137" s="171"/>
      <c r="M137" s="171"/>
      <c r="N137" s="143" t="s">
        <v>32</v>
      </c>
      <c r="O137" s="173">
        <v>4</v>
      </c>
      <c r="P137" s="234">
        <f ca="1">OFFSET($A$1,MATCH(Z135,$A:$A,0)-1,O137)</f>
        <v>19.010000000000002</v>
      </c>
      <c r="Q137" s="144" t="s">
        <v>29</v>
      </c>
      <c r="R137" s="118">
        <f t="shared" ca="1" si="34"/>
        <v>373353</v>
      </c>
      <c r="S137" s="118">
        <f t="shared" ca="1" si="34"/>
        <v>7097440</v>
      </c>
      <c r="T137" s="118">
        <f ca="1">특급</f>
        <v>373353</v>
      </c>
      <c r="U137" s="118">
        <f t="shared" ca="1" si="35"/>
        <v>7097440</v>
      </c>
      <c r="V137" s="118"/>
      <c r="W137" s="118"/>
      <c r="X137" s="118"/>
      <c r="Y137" s="118"/>
      <c r="Z137" s="115"/>
    </row>
    <row r="138" spans="11:29" ht="18" customHeight="1">
      <c r="K138" s="171" t="s">
        <v>14</v>
      </c>
      <c r="L138" s="171"/>
      <c r="M138" s="171"/>
      <c r="N138" s="145" t="s">
        <v>39</v>
      </c>
      <c r="O138" s="173">
        <v>5</v>
      </c>
      <c r="P138" s="234">
        <f ca="1">OFFSET($A$1,MATCH(Z135,$A:$A,0)-1,O138)</f>
        <v>32.869999999999997</v>
      </c>
      <c r="Q138" s="144" t="s">
        <v>29</v>
      </c>
      <c r="R138" s="118">
        <f t="shared" ca="1" si="34"/>
        <v>310884</v>
      </c>
      <c r="S138" s="118">
        <f t="shared" ca="1" si="34"/>
        <v>10218757</v>
      </c>
      <c r="T138" s="118">
        <f ca="1">고급</f>
        <v>310884</v>
      </c>
      <c r="U138" s="118">
        <f t="shared" ca="1" si="35"/>
        <v>10218757</v>
      </c>
      <c r="V138" s="118"/>
      <c r="W138" s="118"/>
      <c r="X138" s="118"/>
      <c r="Y138" s="118"/>
      <c r="Z138" s="115"/>
    </row>
    <row r="139" spans="11:29" ht="18" customHeight="1">
      <c r="K139" s="171" t="s">
        <v>14</v>
      </c>
      <c r="L139" s="171"/>
      <c r="M139" s="171"/>
      <c r="N139" s="145" t="s">
        <v>40</v>
      </c>
      <c r="O139" s="173">
        <v>6</v>
      </c>
      <c r="P139" s="234">
        <f ca="1">OFFSET($A$1,MATCH(Z135,$A:$A,0)-1,O139)</f>
        <v>32.08</v>
      </c>
      <c r="Q139" s="144" t="s">
        <v>29</v>
      </c>
      <c r="R139" s="118">
        <f t="shared" ca="1" si="34"/>
        <v>295138</v>
      </c>
      <c r="S139" s="118">
        <f t="shared" ca="1" si="34"/>
        <v>9468027</v>
      </c>
      <c r="T139" s="118">
        <f ca="1">중급</f>
        <v>295138</v>
      </c>
      <c r="U139" s="118">
        <f t="shared" ca="1" si="35"/>
        <v>9468027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41</v>
      </c>
      <c r="O140" s="173">
        <v>7</v>
      </c>
      <c r="P140" s="234">
        <f ca="1">OFFSET($A$1,MATCH(Z135,$A:$A,0)-1,O140)</f>
        <v>33.269999999999996</v>
      </c>
      <c r="Q140" s="144" t="s">
        <v>29</v>
      </c>
      <c r="R140" s="118">
        <f t="shared" ca="1" si="34"/>
        <v>235459</v>
      </c>
      <c r="S140" s="118">
        <f t="shared" ca="1" si="34"/>
        <v>7833720</v>
      </c>
      <c r="T140" s="118">
        <f ca="1">초급</f>
        <v>235459</v>
      </c>
      <c r="U140" s="118">
        <f t="shared" ca="1" si="35"/>
        <v>7833720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9" t="s">
        <v>42</v>
      </c>
      <c r="O141" s="174">
        <v>8</v>
      </c>
      <c r="P141" s="235">
        <f ca="1">OFFSET($A$1,MATCH(Z135,$A:$A,0)-1,O141)</f>
        <v>19.330000000000002</v>
      </c>
      <c r="Q141" s="322" t="s">
        <v>29</v>
      </c>
      <c r="R141" s="323">
        <f t="shared" ca="1" si="34"/>
        <v>250087</v>
      </c>
      <c r="S141" s="323">
        <f t="shared" ca="1" si="34"/>
        <v>4834181</v>
      </c>
      <c r="T141" s="323">
        <f ca="1">보조원</f>
        <v>250087</v>
      </c>
      <c r="U141" s="323">
        <f t="shared" ca="1" si="35"/>
        <v>4834181</v>
      </c>
      <c r="V141" s="323"/>
      <c r="W141" s="323"/>
      <c r="X141" s="323"/>
      <c r="Y141" s="323"/>
      <c r="Z141" s="324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39" t="s">
        <v>17</v>
      </c>
      <c r="O142" s="68"/>
      <c r="P142" s="69"/>
      <c r="Q142" s="70"/>
      <c r="R142" s="71"/>
      <c r="S142" s="71">
        <f ca="1">SUBTOTAL(9,S136:S141)</f>
        <v>43526257</v>
      </c>
      <c r="T142" s="71"/>
      <c r="U142" s="71">
        <f ca="1">SUBTOTAL(9,U136:U141)</f>
        <v>43526257</v>
      </c>
      <c r="V142" s="71"/>
      <c r="W142" s="71"/>
      <c r="X142" s="71"/>
      <c r="Y142" s="71"/>
      <c r="Z142" s="68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318" t="str">
        <f ca="1">"제 " &amp; Z143 &amp; " 호표  "&amp; OFFSET($A$1,MATCH(Z143,$A:$A,0)-1,1)</f>
        <v>제 12 호표  3.4. 식재계획</v>
      </c>
      <c r="O143" s="221"/>
      <c r="P143" s="148"/>
      <c r="Q143" s="148"/>
      <c r="R143" s="149"/>
      <c r="S143" s="149"/>
      <c r="T143" s="149"/>
      <c r="U143" s="149"/>
      <c r="V143" s="149"/>
      <c r="W143" s="149"/>
      <c r="X143" s="149"/>
      <c r="Y143" s="149"/>
      <c r="Z143" s="325">
        <f>Z135+1</f>
        <v>12</v>
      </c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0" t="s">
        <v>43</v>
      </c>
      <c r="O144" s="172">
        <v>3</v>
      </c>
      <c r="P144" s="219">
        <f ca="1">OFFSET($A$1,MATCH(Z143,$A:$A,0)-1,O144)</f>
        <v>7.13</v>
      </c>
      <c r="Q144" s="141" t="s">
        <v>29</v>
      </c>
      <c r="R144" s="142">
        <f t="shared" ref="R144:S149" ca="1" si="36">T144</f>
        <v>467217</v>
      </c>
      <c r="S144" s="142">
        <f t="shared" ca="1" si="36"/>
        <v>3331257</v>
      </c>
      <c r="T144" s="142">
        <f ca="1">기술사</f>
        <v>467217</v>
      </c>
      <c r="U144" s="142">
        <f t="shared" ref="U144:U149" ca="1" si="37">ROUNDDOWN(P144*R144,0)</f>
        <v>3331257</v>
      </c>
      <c r="V144" s="142"/>
      <c r="W144" s="142"/>
      <c r="X144" s="142"/>
      <c r="Y144" s="142"/>
      <c r="Z144" s="114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3" t="s">
        <v>32</v>
      </c>
      <c r="O145" s="173">
        <v>4</v>
      </c>
      <c r="P145" s="234">
        <f ca="1">OFFSET($A$1,MATCH(Z143,$A:$A,0)-1,O145)</f>
        <v>17.82</v>
      </c>
      <c r="Q145" s="144" t="s">
        <v>29</v>
      </c>
      <c r="R145" s="118">
        <f t="shared" ca="1" si="36"/>
        <v>373353</v>
      </c>
      <c r="S145" s="118">
        <f t="shared" ca="1" si="36"/>
        <v>6653150</v>
      </c>
      <c r="T145" s="118">
        <f ca="1">특급</f>
        <v>373353</v>
      </c>
      <c r="U145" s="118">
        <f t="shared" ca="1" si="37"/>
        <v>6653150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39</v>
      </c>
      <c r="O146" s="173">
        <v>5</v>
      </c>
      <c r="P146" s="234">
        <f ca="1">OFFSET($A$1,MATCH(Z143,$A:$A,0)-1,O146)</f>
        <v>28.12</v>
      </c>
      <c r="Q146" s="144" t="s">
        <v>29</v>
      </c>
      <c r="R146" s="118">
        <f t="shared" ca="1" si="36"/>
        <v>310884</v>
      </c>
      <c r="S146" s="118">
        <f t="shared" ca="1" si="36"/>
        <v>8742058</v>
      </c>
      <c r="T146" s="118">
        <f ca="1">고급</f>
        <v>310884</v>
      </c>
      <c r="U146" s="118">
        <f t="shared" ca="1" si="37"/>
        <v>8742058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40</v>
      </c>
      <c r="O147" s="173">
        <v>6</v>
      </c>
      <c r="P147" s="234">
        <f ca="1">OFFSET($A$1,MATCH(Z143,$A:$A,0)-1,O147)</f>
        <v>32.08</v>
      </c>
      <c r="Q147" s="144" t="s">
        <v>29</v>
      </c>
      <c r="R147" s="118">
        <f t="shared" ca="1" si="36"/>
        <v>295138</v>
      </c>
      <c r="S147" s="118">
        <f t="shared" ca="1" si="36"/>
        <v>9468027</v>
      </c>
      <c r="T147" s="118">
        <f ca="1">중급</f>
        <v>295138</v>
      </c>
      <c r="U147" s="118">
        <f t="shared" ca="1" si="37"/>
        <v>9468027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41</v>
      </c>
      <c r="O148" s="173">
        <v>7</v>
      </c>
      <c r="P148" s="234">
        <f ca="1">OFFSET($A$1,MATCH(Z143,$A:$A,0)-1,O148)</f>
        <v>43.96</v>
      </c>
      <c r="Q148" s="144" t="s">
        <v>29</v>
      </c>
      <c r="R148" s="118">
        <f t="shared" ca="1" si="36"/>
        <v>235459</v>
      </c>
      <c r="S148" s="118">
        <f t="shared" ca="1" si="36"/>
        <v>10350777</v>
      </c>
      <c r="T148" s="118">
        <f ca="1">초급</f>
        <v>235459</v>
      </c>
      <c r="U148" s="118">
        <f t="shared" ca="1" si="37"/>
        <v>10350777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9" t="s">
        <v>42</v>
      </c>
      <c r="O149" s="174">
        <v>8</v>
      </c>
      <c r="P149" s="235">
        <f ca="1">OFFSET($A$1,MATCH(Z143,$A:$A,0)-1,O149)</f>
        <v>17.82</v>
      </c>
      <c r="Q149" s="322" t="s">
        <v>29</v>
      </c>
      <c r="R149" s="323">
        <f t="shared" ca="1" si="36"/>
        <v>250087</v>
      </c>
      <c r="S149" s="323">
        <f t="shared" ca="1" si="36"/>
        <v>4456550</v>
      </c>
      <c r="T149" s="323">
        <f ca="1">보조원</f>
        <v>250087</v>
      </c>
      <c r="U149" s="323">
        <f t="shared" ca="1" si="37"/>
        <v>4456550</v>
      </c>
      <c r="V149" s="323"/>
      <c r="W149" s="323"/>
      <c r="X149" s="323"/>
      <c r="Y149" s="323"/>
      <c r="Z149" s="324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39" t="s">
        <v>17</v>
      </c>
      <c r="O150" s="68"/>
      <c r="P150" s="69"/>
      <c r="Q150" s="70"/>
      <c r="R150" s="71"/>
      <c r="S150" s="71">
        <f ca="1">SUBTOTAL(9,S144:S149)</f>
        <v>43001819</v>
      </c>
      <c r="T150" s="71"/>
      <c r="U150" s="71">
        <f ca="1">SUBTOTAL(9,U144:U149)</f>
        <v>43001819</v>
      </c>
      <c r="V150" s="71"/>
      <c r="W150" s="71"/>
      <c r="X150" s="71"/>
      <c r="Y150" s="71"/>
      <c r="Z150" s="68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318" t="str">
        <f ca="1">"제 " &amp; Z151 &amp; " 호표  "&amp; OFFSET($A$1,MATCH(Z151,$A:$A,0)-1,1)</f>
        <v>제 13 호표  3.5. 공급처리계획</v>
      </c>
      <c r="O151" s="221"/>
      <c r="P151" s="148"/>
      <c r="Q151" s="148"/>
      <c r="R151" s="149"/>
      <c r="S151" s="149"/>
      <c r="T151" s="149"/>
      <c r="U151" s="149"/>
      <c r="V151" s="149"/>
      <c r="W151" s="149"/>
      <c r="X151" s="149"/>
      <c r="Y151" s="149"/>
      <c r="Z151" s="325">
        <f>Z143+1</f>
        <v>13</v>
      </c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0" t="s">
        <v>43</v>
      </c>
      <c r="O152" s="172">
        <v>3</v>
      </c>
      <c r="P152" s="219">
        <f ca="1">OFFSET($A$1,MATCH(Z151,$A:$A,0)-1,O152)</f>
        <v>7.92</v>
      </c>
      <c r="Q152" s="141" t="s">
        <v>29</v>
      </c>
      <c r="R152" s="142">
        <f t="shared" ref="R152:S157" ca="1" si="38">T152</f>
        <v>467217</v>
      </c>
      <c r="S152" s="142">
        <f t="shared" ca="1" si="38"/>
        <v>3700358</v>
      </c>
      <c r="T152" s="142">
        <f ca="1">기술사</f>
        <v>467217</v>
      </c>
      <c r="U152" s="142">
        <f t="shared" ref="U152:U157" ca="1" si="39">ROUNDDOWN(P152*R152,0)</f>
        <v>3700358</v>
      </c>
      <c r="V152" s="142"/>
      <c r="W152" s="142"/>
      <c r="X152" s="142"/>
      <c r="Y152" s="142"/>
      <c r="Z152" s="114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3" t="s">
        <v>32</v>
      </c>
      <c r="O153" s="173">
        <v>4</v>
      </c>
      <c r="P153" s="234">
        <f ca="1">OFFSET($A$1,MATCH(Z151,$A:$A,0)-1,O153)</f>
        <v>20.990000000000002</v>
      </c>
      <c r="Q153" s="144" t="s">
        <v>29</v>
      </c>
      <c r="R153" s="118">
        <f t="shared" ca="1" si="38"/>
        <v>373353</v>
      </c>
      <c r="S153" s="118">
        <f t="shared" ca="1" si="38"/>
        <v>7836679</v>
      </c>
      <c r="T153" s="118">
        <f ca="1">특급</f>
        <v>373353</v>
      </c>
      <c r="U153" s="118">
        <f t="shared" ca="1" si="39"/>
        <v>7836679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39</v>
      </c>
      <c r="O154" s="173">
        <v>5</v>
      </c>
      <c r="P154" s="234">
        <f ca="1">OFFSET($A$1,MATCH(Z151,$A:$A,0)-1,O154)</f>
        <v>29.7</v>
      </c>
      <c r="Q154" s="144" t="s">
        <v>29</v>
      </c>
      <c r="R154" s="118">
        <f t="shared" ca="1" si="38"/>
        <v>310884</v>
      </c>
      <c r="S154" s="118">
        <f t="shared" ca="1" si="38"/>
        <v>9233254</v>
      </c>
      <c r="T154" s="118">
        <f ca="1">고급</f>
        <v>310884</v>
      </c>
      <c r="U154" s="118">
        <f t="shared" ca="1" si="39"/>
        <v>9233254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40</v>
      </c>
      <c r="O155" s="173">
        <v>6</v>
      </c>
      <c r="P155" s="234">
        <f ca="1">OFFSET($A$1,MATCH(Z151,$A:$A,0)-1,O155)</f>
        <v>35.64</v>
      </c>
      <c r="Q155" s="144" t="s">
        <v>29</v>
      </c>
      <c r="R155" s="118">
        <f t="shared" ca="1" si="38"/>
        <v>295138</v>
      </c>
      <c r="S155" s="118">
        <f t="shared" ca="1" si="38"/>
        <v>10518718</v>
      </c>
      <c r="T155" s="118">
        <f ca="1">중급</f>
        <v>295138</v>
      </c>
      <c r="U155" s="118">
        <f t="shared" ca="1" si="39"/>
        <v>10518718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41</v>
      </c>
      <c r="O156" s="173">
        <v>7</v>
      </c>
      <c r="P156" s="234">
        <f ca="1">OFFSET($A$1,MATCH(Z151,$A:$A,0)-1,O156)</f>
        <v>38.809999999999995</v>
      </c>
      <c r="Q156" s="144" t="s">
        <v>29</v>
      </c>
      <c r="R156" s="118">
        <f t="shared" ca="1" si="38"/>
        <v>235459</v>
      </c>
      <c r="S156" s="118">
        <f t="shared" ca="1" si="38"/>
        <v>9138163</v>
      </c>
      <c r="T156" s="118">
        <f ca="1">초급</f>
        <v>235459</v>
      </c>
      <c r="U156" s="118">
        <f t="shared" ca="1" si="39"/>
        <v>9138163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9" t="s">
        <v>42</v>
      </c>
      <c r="O157" s="174">
        <v>8</v>
      </c>
      <c r="P157" s="235">
        <f ca="1">OFFSET($A$1,MATCH(Z151,$A:$A,0)-1,O157)</f>
        <v>19.41</v>
      </c>
      <c r="Q157" s="322" t="s">
        <v>29</v>
      </c>
      <c r="R157" s="323">
        <f t="shared" ca="1" si="38"/>
        <v>250087</v>
      </c>
      <c r="S157" s="323">
        <f t="shared" ca="1" si="38"/>
        <v>4854188</v>
      </c>
      <c r="T157" s="323">
        <f ca="1">보조원</f>
        <v>250087</v>
      </c>
      <c r="U157" s="323">
        <f t="shared" ca="1" si="39"/>
        <v>4854188</v>
      </c>
      <c r="V157" s="323"/>
      <c r="W157" s="323"/>
      <c r="X157" s="323"/>
      <c r="Y157" s="323"/>
      <c r="Z157" s="324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39" t="s">
        <v>17</v>
      </c>
      <c r="O158" s="68"/>
      <c r="P158" s="69"/>
      <c r="Q158" s="70"/>
      <c r="R158" s="71"/>
      <c r="S158" s="71">
        <f ca="1">SUBTOTAL(9,S152:S157)</f>
        <v>45281360</v>
      </c>
      <c r="T158" s="71"/>
      <c r="U158" s="71">
        <f ca="1">SUBTOTAL(9,U152:U157)</f>
        <v>45281360</v>
      </c>
      <c r="V158" s="71"/>
      <c r="W158" s="71"/>
      <c r="X158" s="71"/>
      <c r="Y158" s="71"/>
      <c r="Z158" s="68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318" t="str">
        <f ca="1">"제 " &amp; Z159 &amp; " 호표  "&amp; OFFSET($A$1,MATCH(Z159,$A:$A,0)-1,1)</f>
        <v>제 14 호표  4.1. 개발추진계획</v>
      </c>
      <c r="O159" s="221"/>
      <c r="P159" s="148"/>
      <c r="Q159" s="148"/>
      <c r="R159" s="149"/>
      <c r="S159" s="149"/>
      <c r="T159" s="149"/>
      <c r="U159" s="149"/>
      <c r="V159" s="149"/>
      <c r="W159" s="149"/>
      <c r="X159" s="149"/>
      <c r="Y159" s="149"/>
      <c r="Z159" s="325">
        <f>Z151+1</f>
        <v>14</v>
      </c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0" t="s">
        <v>43</v>
      </c>
      <c r="O160" s="172">
        <v>3</v>
      </c>
      <c r="P160" s="219">
        <f ca="1">OFFSET($A$1,MATCH(Z159,$A:$A,0)-1,O160)</f>
        <v>1.19</v>
      </c>
      <c r="Q160" s="141" t="s">
        <v>29</v>
      </c>
      <c r="R160" s="142">
        <f t="shared" ref="R160:S165" ca="1" si="40">T160</f>
        <v>467217</v>
      </c>
      <c r="S160" s="142">
        <f t="shared" ca="1" si="40"/>
        <v>555988</v>
      </c>
      <c r="T160" s="142">
        <f ca="1">기술사</f>
        <v>467217</v>
      </c>
      <c r="U160" s="142">
        <f t="shared" ref="U160:U165" ca="1" si="41">ROUNDDOWN(P160*R160,0)</f>
        <v>555988</v>
      </c>
      <c r="V160" s="142"/>
      <c r="W160" s="142"/>
      <c r="X160" s="142"/>
      <c r="Y160" s="142"/>
      <c r="Z160" s="114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3" t="s">
        <v>32</v>
      </c>
      <c r="O161" s="173">
        <v>4</v>
      </c>
      <c r="P161" s="234">
        <f ca="1">OFFSET($A$1,MATCH(Z159,$A:$A,0)-1,O161)</f>
        <v>4.3599999999999994</v>
      </c>
      <c r="Q161" s="144" t="s">
        <v>29</v>
      </c>
      <c r="R161" s="118">
        <f t="shared" ca="1" si="40"/>
        <v>373353</v>
      </c>
      <c r="S161" s="118">
        <f t="shared" ca="1" si="40"/>
        <v>1627819</v>
      </c>
      <c r="T161" s="118">
        <f ca="1">특급</f>
        <v>373353</v>
      </c>
      <c r="U161" s="118">
        <f t="shared" ca="1" si="41"/>
        <v>1627819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39</v>
      </c>
      <c r="O162" s="173">
        <v>5</v>
      </c>
      <c r="P162" s="234">
        <f ca="1">OFFSET($A$1,MATCH(Z159,$A:$A,0)-1,O162)</f>
        <v>7.5299999999999994</v>
      </c>
      <c r="Q162" s="144" t="s">
        <v>29</v>
      </c>
      <c r="R162" s="118">
        <f t="shared" ca="1" si="40"/>
        <v>310884</v>
      </c>
      <c r="S162" s="118">
        <f t="shared" ca="1" si="40"/>
        <v>2340956</v>
      </c>
      <c r="T162" s="118">
        <f ca="1">고급</f>
        <v>310884</v>
      </c>
      <c r="U162" s="118">
        <f t="shared" ca="1" si="41"/>
        <v>2340956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40</v>
      </c>
      <c r="O163" s="173">
        <v>6</v>
      </c>
      <c r="P163" s="234">
        <f ca="1">OFFSET($A$1,MATCH(Z159,$A:$A,0)-1,O163)</f>
        <v>10.7</v>
      </c>
      <c r="Q163" s="144" t="s">
        <v>29</v>
      </c>
      <c r="R163" s="118">
        <f t="shared" ca="1" si="40"/>
        <v>295138</v>
      </c>
      <c r="S163" s="118">
        <f t="shared" ca="1" si="40"/>
        <v>3157976</v>
      </c>
      <c r="T163" s="118">
        <f ca="1">중급</f>
        <v>295138</v>
      </c>
      <c r="U163" s="118">
        <f t="shared" ca="1" si="41"/>
        <v>3157976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41</v>
      </c>
      <c r="O164" s="173">
        <v>7</v>
      </c>
      <c r="P164" s="234">
        <f ca="1">OFFSET($A$1,MATCH(Z159,$A:$A,0)-1,O164)</f>
        <v>10.7</v>
      </c>
      <c r="Q164" s="144" t="s">
        <v>29</v>
      </c>
      <c r="R164" s="118">
        <f t="shared" ca="1" si="40"/>
        <v>235459</v>
      </c>
      <c r="S164" s="118">
        <f t="shared" ca="1" si="40"/>
        <v>2519411</v>
      </c>
      <c r="T164" s="118">
        <f ca="1">초급</f>
        <v>235459</v>
      </c>
      <c r="U164" s="118">
        <f t="shared" ca="1" si="41"/>
        <v>2519411</v>
      </c>
      <c r="V164" s="118"/>
      <c r="W164" s="118"/>
      <c r="X164" s="118"/>
      <c r="Y164" s="118"/>
      <c r="Z164" s="115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319" t="s">
        <v>42</v>
      </c>
      <c r="O165" s="174">
        <v>8</v>
      </c>
      <c r="P165" s="235">
        <f ca="1">OFFSET($A$1,MATCH(Z159,$A:$A,0)-1,O165)</f>
        <v>5.55</v>
      </c>
      <c r="Q165" s="322" t="s">
        <v>29</v>
      </c>
      <c r="R165" s="323">
        <f t="shared" ca="1" si="40"/>
        <v>250087</v>
      </c>
      <c r="S165" s="323">
        <f t="shared" ca="1" si="40"/>
        <v>1387982</v>
      </c>
      <c r="T165" s="323">
        <f ca="1">보조원</f>
        <v>250087</v>
      </c>
      <c r="U165" s="323">
        <f t="shared" ca="1" si="41"/>
        <v>1387982</v>
      </c>
      <c r="V165" s="323"/>
      <c r="W165" s="323"/>
      <c r="X165" s="323"/>
      <c r="Y165" s="323"/>
      <c r="Z165" s="324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139" t="s">
        <v>17</v>
      </c>
      <c r="O166" s="68"/>
      <c r="P166" s="69"/>
      <c r="Q166" s="70"/>
      <c r="R166" s="71"/>
      <c r="S166" s="71">
        <f ca="1">SUBTOTAL(9,S160:S165)</f>
        <v>11590132</v>
      </c>
      <c r="T166" s="71"/>
      <c r="U166" s="71">
        <f ca="1">SUBTOTAL(9,U160:U165)</f>
        <v>11590132</v>
      </c>
      <c r="V166" s="71"/>
      <c r="W166" s="71"/>
      <c r="X166" s="71"/>
      <c r="Y166" s="71"/>
      <c r="Z166" s="68"/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318" t="str">
        <f ca="1">"제 " &amp; Z167 &amp; " 호표  "&amp; OFFSET($A$1,MATCH(Z167,$A:$A,0)-1,1)</f>
        <v>제 15 호표  4.2. 관리운영계획</v>
      </c>
      <c r="O167" s="221"/>
      <c r="P167" s="148"/>
      <c r="Q167" s="148"/>
      <c r="R167" s="149"/>
      <c r="S167" s="149"/>
      <c r="T167" s="149"/>
      <c r="U167" s="149"/>
      <c r="V167" s="149"/>
      <c r="W167" s="149"/>
      <c r="X167" s="149"/>
      <c r="Y167" s="149"/>
      <c r="Z167" s="325">
        <f>Z159+1</f>
        <v>15</v>
      </c>
    </row>
    <row r="168" spans="11:29" ht="18" customHeight="1">
      <c r="K168" s="171" t="s">
        <v>14</v>
      </c>
      <c r="L168" s="171"/>
      <c r="M168" s="171"/>
      <c r="N168" s="140" t="s">
        <v>43</v>
      </c>
      <c r="O168" s="172">
        <v>3</v>
      </c>
      <c r="P168" s="219">
        <f ca="1">OFFSET($A$1,MATCH(Z167,$A:$A,0)-1,O168)</f>
        <v>2.38</v>
      </c>
      <c r="Q168" s="141" t="s">
        <v>29</v>
      </c>
      <c r="R168" s="142">
        <f t="shared" ref="R168:S173" ca="1" si="42">T168</f>
        <v>467217</v>
      </c>
      <c r="S168" s="142">
        <f t="shared" ca="1" si="42"/>
        <v>1111976</v>
      </c>
      <c r="T168" s="142">
        <f ca="1">기술사</f>
        <v>467217</v>
      </c>
      <c r="U168" s="142">
        <f t="shared" ref="U168:U173" ca="1" si="43">ROUNDDOWN(P168*R168,0)</f>
        <v>1111976</v>
      </c>
      <c r="V168" s="142"/>
      <c r="W168" s="142"/>
      <c r="X168" s="142"/>
      <c r="Y168" s="142"/>
      <c r="Z168" s="114"/>
    </row>
    <row r="169" spans="11:29" ht="18" customHeight="1">
      <c r="K169" s="171" t="s">
        <v>14</v>
      </c>
      <c r="L169" s="171"/>
      <c r="M169" s="171"/>
      <c r="N169" s="143" t="s">
        <v>32</v>
      </c>
      <c r="O169" s="173">
        <v>4</v>
      </c>
      <c r="P169" s="234">
        <f ca="1">OFFSET($A$1,MATCH(Z167,$A:$A,0)-1,O169)</f>
        <v>9.11</v>
      </c>
      <c r="Q169" s="144" t="s">
        <v>29</v>
      </c>
      <c r="R169" s="118">
        <f t="shared" ca="1" si="42"/>
        <v>373353</v>
      </c>
      <c r="S169" s="118">
        <f t="shared" ca="1" si="42"/>
        <v>3401245</v>
      </c>
      <c r="T169" s="118">
        <f ca="1">특급</f>
        <v>373353</v>
      </c>
      <c r="U169" s="118">
        <f t="shared" ca="1" si="43"/>
        <v>3401245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39</v>
      </c>
      <c r="O170" s="173">
        <v>5</v>
      </c>
      <c r="P170" s="234">
        <f ca="1">OFFSET($A$1,MATCH(Z167,$A:$A,0)-1,O170)</f>
        <v>15.049999999999999</v>
      </c>
      <c r="Q170" s="144" t="s">
        <v>29</v>
      </c>
      <c r="R170" s="118">
        <f t="shared" ca="1" si="42"/>
        <v>310884</v>
      </c>
      <c r="S170" s="118">
        <f t="shared" ca="1" si="42"/>
        <v>4678804</v>
      </c>
      <c r="T170" s="118">
        <f ca="1">고급</f>
        <v>310884</v>
      </c>
      <c r="U170" s="118">
        <f t="shared" ca="1" si="43"/>
        <v>4678804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40</v>
      </c>
      <c r="O171" s="173">
        <v>6</v>
      </c>
      <c r="P171" s="234">
        <f ca="1">OFFSET($A$1,MATCH(Z167,$A:$A,0)-1,O171)</f>
        <v>21.78</v>
      </c>
      <c r="Q171" s="144" t="s">
        <v>29</v>
      </c>
      <c r="R171" s="118">
        <f t="shared" ca="1" si="42"/>
        <v>295138</v>
      </c>
      <c r="S171" s="118">
        <f t="shared" ca="1" si="42"/>
        <v>6428105</v>
      </c>
      <c r="T171" s="118">
        <f ca="1">중급</f>
        <v>295138</v>
      </c>
      <c r="U171" s="118">
        <f t="shared" ca="1" si="43"/>
        <v>6428105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41</v>
      </c>
      <c r="O172" s="173">
        <v>7</v>
      </c>
      <c r="P172" s="234">
        <f ca="1">OFFSET($A$1,MATCH(Z167,$A:$A,0)-1,O172)</f>
        <v>21.78</v>
      </c>
      <c r="Q172" s="144" t="s">
        <v>29</v>
      </c>
      <c r="R172" s="118">
        <f t="shared" ca="1" si="42"/>
        <v>235459</v>
      </c>
      <c r="S172" s="118">
        <f t="shared" ca="1" si="42"/>
        <v>5128297</v>
      </c>
      <c r="T172" s="118">
        <f ca="1">초급</f>
        <v>235459</v>
      </c>
      <c r="U172" s="118">
        <f t="shared" ca="1" si="43"/>
        <v>5128297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319" t="s">
        <v>42</v>
      </c>
      <c r="O173" s="174">
        <v>8</v>
      </c>
      <c r="P173" s="235">
        <f ca="1">OFFSET($A$1,MATCH(Z167,$A:$A,0)-1,O173)</f>
        <v>11.09</v>
      </c>
      <c r="Q173" s="322" t="s">
        <v>29</v>
      </c>
      <c r="R173" s="323">
        <f t="shared" ca="1" si="42"/>
        <v>250087</v>
      </c>
      <c r="S173" s="323">
        <f t="shared" ca="1" si="42"/>
        <v>2773464</v>
      </c>
      <c r="T173" s="323">
        <f ca="1">보조원</f>
        <v>250087</v>
      </c>
      <c r="U173" s="323">
        <f t="shared" ca="1" si="43"/>
        <v>2773464</v>
      </c>
      <c r="V173" s="323"/>
      <c r="W173" s="323"/>
      <c r="X173" s="323"/>
      <c r="Y173" s="323"/>
      <c r="Z173" s="324"/>
    </row>
    <row r="174" spans="11:29" ht="18" customHeight="1">
      <c r="K174" s="171" t="s">
        <v>14</v>
      </c>
      <c r="L174" s="171"/>
      <c r="M174" s="171"/>
      <c r="N174" s="139" t="s">
        <v>17</v>
      </c>
      <c r="O174" s="68"/>
      <c r="P174" s="69"/>
      <c r="Q174" s="70"/>
      <c r="R174" s="71"/>
      <c r="S174" s="71">
        <f ca="1">SUBTOTAL(9,S168:S173)</f>
        <v>23521891</v>
      </c>
      <c r="T174" s="71"/>
      <c r="U174" s="71">
        <f ca="1">SUBTOTAL(9,U168:U173)</f>
        <v>23521891</v>
      </c>
      <c r="V174" s="71"/>
      <c r="W174" s="71"/>
      <c r="X174" s="71"/>
      <c r="Y174" s="71"/>
      <c r="Z174" s="68"/>
    </row>
    <row r="175" spans="11:29" ht="18" customHeight="1">
      <c r="K175" s="171" t="s">
        <v>14</v>
      </c>
      <c r="L175" s="171"/>
      <c r="M175" s="171"/>
      <c r="N175" s="318" t="str">
        <f ca="1">"제 " &amp; Z175 &amp; " 호표  "&amp; OFFSET($A$1,MATCH(Z175,$A:$A,0)-1,1)</f>
        <v>제 16 호표  5.1. 보고서</v>
      </c>
      <c r="O175" s="221"/>
      <c r="P175" s="148"/>
      <c r="Q175" s="148"/>
      <c r="R175" s="149"/>
      <c r="S175" s="149"/>
      <c r="T175" s="149"/>
      <c r="U175" s="149"/>
      <c r="V175" s="149"/>
      <c r="W175" s="149"/>
      <c r="X175" s="149"/>
      <c r="Y175" s="149"/>
      <c r="Z175" s="325">
        <f>Z167+1</f>
        <v>16</v>
      </c>
    </row>
    <row r="176" spans="11:29" ht="18" customHeight="1">
      <c r="K176" s="171" t="s">
        <v>14</v>
      </c>
      <c r="L176" s="171"/>
      <c r="M176" s="171"/>
      <c r="N176" s="140" t="s">
        <v>43</v>
      </c>
      <c r="O176" s="172">
        <v>3</v>
      </c>
      <c r="P176" s="219">
        <f ca="1">OFFSET($A$1,MATCH(Z175,$A:$A,0)-1,O176)</f>
        <v>1.1879999999999999</v>
      </c>
      <c r="Q176" s="141" t="s">
        <v>29</v>
      </c>
      <c r="R176" s="142">
        <f t="shared" ref="R176:S181" ca="1" si="44">T176</f>
        <v>467217</v>
      </c>
      <c r="S176" s="142">
        <f t="shared" ca="1" si="44"/>
        <v>555053</v>
      </c>
      <c r="T176" s="142">
        <f ca="1">기술사</f>
        <v>467217</v>
      </c>
      <c r="U176" s="142">
        <f t="shared" ref="U176:U181" ca="1" si="45">ROUNDDOWN(P176*R176,0)</f>
        <v>555053</v>
      </c>
      <c r="V176" s="142"/>
      <c r="W176" s="142"/>
      <c r="X176" s="142"/>
      <c r="Y176" s="142"/>
      <c r="Z176" s="114"/>
    </row>
    <row r="177" spans="11:26" ht="18" customHeight="1">
      <c r="K177" s="171" t="s">
        <v>14</v>
      </c>
      <c r="L177" s="171"/>
      <c r="M177" s="171"/>
      <c r="N177" s="143" t="s">
        <v>32</v>
      </c>
      <c r="O177" s="173">
        <v>4</v>
      </c>
      <c r="P177" s="234">
        <f ca="1">OFFSET($A$1,MATCH(Z175,$A:$A,0)-1,O177)</f>
        <v>4.3559999999999999</v>
      </c>
      <c r="Q177" s="144" t="s">
        <v>29</v>
      </c>
      <c r="R177" s="118">
        <f t="shared" ca="1" si="44"/>
        <v>373353</v>
      </c>
      <c r="S177" s="118">
        <f t="shared" ca="1" si="44"/>
        <v>1626325</v>
      </c>
      <c r="T177" s="118">
        <f ca="1">특급</f>
        <v>373353</v>
      </c>
      <c r="U177" s="118">
        <f t="shared" ca="1" si="45"/>
        <v>1626325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39</v>
      </c>
      <c r="O178" s="173">
        <v>5</v>
      </c>
      <c r="P178" s="234">
        <f ca="1">OFFSET($A$1,MATCH(Z175,$A:$A,0)-1,O178)</f>
        <v>7.524</v>
      </c>
      <c r="Q178" s="144" t="s">
        <v>29</v>
      </c>
      <c r="R178" s="118">
        <f t="shared" ca="1" si="44"/>
        <v>310884</v>
      </c>
      <c r="S178" s="118">
        <f t="shared" ca="1" si="44"/>
        <v>2339091</v>
      </c>
      <c r="T178" s="118">
        <f ca="1">고급</f>
        <v>310884</v>
      </c>
      <c r="U178" s="118">
        <f t="shared" ca="1" si="45"/>
        <v>2339091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40</v>
      </c>
      <c r="O179" s="173">
        <v>6</v>
      </c>
      <c r="P179" s="234">
        <f ca="1">OFFSET($A$1,MATCH(Z175,$A:$A,0)-1,O179)</f>
        <v>10.692</v>
      </c>
      <c r="Q179" s="144" t="s">
        <v>29</v>
      </c>
      <c r="R179" s="118">
        <f t="shared" ca="1" si="44"/>
        <v>295138</v>
      </c>
      <c r="S179" s="118">
        <f t="shared" ca="1" si="44"/>
        <v>3155615</v>
      </c>
      <c r="T179" s="118">
        <f ca="1">중급</f>
        <v>295138</v>
      </c>
      <c r="U179" s="118">
        <f t="shared" ca="1" si="45"/>
        <v>3155615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41</v>
      </c>
      <c r="O180" s="173">
        <v>7</v>
      </c>
      <c r="P180" s="234">
        <f ca="1">OFFSET($A$1,MATCH(Z175,$A:$A,0)-1,O180)</f>
        <v>10.692</v>
      </c>
      <c r="Q180" s="144" t="s">
        <v>29</v>
      </c>
      <c r="R180" s="118">
        <f t="shared" ca="1" si="44"/>
        <v>235459</v>
      </c>
      <c r="S180" s="118">
        <f t="shared" ca="1" si="44"/>
        <v>2517527</v>
      </c>
      <c r="T180" s="118">
        <f ca="1">초급</f>
        <v>235459</v>
      </c>
      <c r="U180" s="118">
        <f t="shared" ca="1" si="45"/>
        <v>2517527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319" t="s">
        <v>42</v>
      </c>
      <c r="O181" s="174">
        <v>8</v>
      </c>
      <c r="P181" s="235">
        <f ca="1">OFFSET($A$1,MATCH(Z175,$A:$A,0)-1,O181)</f>
        <v>5.5439999999999996</v>
      </c>
      <c r="Q181" s="322" t="s">
        <v>29</v>
      </c>
      <c r="R181" s="323">
        <f t="shared" ca="1" si="44"/>
        <v>250087</v>
      </c>
      <c r="S181" s="323">
        <f t="shared" ca="1" si="44"/>
        <v>1386482</v>
      </c>
      <c r="T181" s="323">
        <f ca="1">보조원</f>
        <v>250087</v>
      </c>
      <c r="U181" s="323">
        <f t="shared" ca="1" si="45"/>
        <v>1386482</v>
      </c>
      <c r="V181" s="323"/>
      <c r="W181" s="323"/>
      <c r="X181" s="323"/>
      <c r="Y181" s="323"/>
      <c r="Z181" s="324"/>
    </row>
    <row r="182" spans="11:26" ht="18" customHeight="1">
      <c r="K182" s="171" t="s">
        <v>14</v>
      </c>
      <c r="L182" s="171"/>
      <c r="M182" s="171"/>
      <c r="N182" s="139" t="s">
        <v>17</v>
      </c>
      <c r="O182" s="68"/>
      <c r="P182" s="69"/>
      <c r="Q182" s="70"/>
      <c r="R182" s="71"/>
      <c r="S182" s="71">
        <f ca="1">SUBTOTAL(9,S176:S181)</f>
        <v>11580093</v>
      </c>
      <c r="T182" s="71"/>
      <c r="U182" s="71">
        <f ca="1">SUBTOTAL(9,U176:U181)</f>
        <v>11580093</v>
      </c>
      <c r="V182" s="71"/>
      <c r="W182" s="71"/>
      <c r="X182" s="71"/>
      <c r="Y182" s="71"/>
      <c r="Z182" s="68"/>
    </row>
    <row r="183" spans="11:26" ht="18" customHeight="1">
      <c r="K183" s="171" t="s">
        <v>14</v>
      </c>
      <c r="L183" s="171"/>
      <c r="M183" s="171"/>
      <c r="N183" s="318" t="str">
        <f ca="1">"제 " &amp; Z183 &amp; " 호표  "&amp; OFFSET($A$1,MATCH(Z183,$A:$A,0)-1,1)</f>
        <v>제 17 호표  5.2. 관련도서</v>
      </c>
      <c r="O183" s="221"/>
      <c r="P183" s="148"/>
      <c r="Q183" s="148"/>
      <c r="R183" s="149"/>
      <c r="S183" s="149"/>
      <c r="T183" s="149"/>
      <c r="U183" s="149"/>
      <c r="V183" s="149"/>
      <c r="W183" s="149"/>
      <c r="X183" s="149"/>
      <c r="Y183" s="149"/>
      <c r="Z183" s="325">
        <f>Z175+1</f>
        <v>17</v>
      </c>
    </row>
    <row r="184" spans="11:26" ht="18" customHeight="1">
      <c r="K184" s="171" t="s">
        <v>14</v>
      </c>
      <c r="L184" s="171"/>
      <c r="M184" s="171"/>
      <c r="N184" s="140" t="s">
        <v>43</v>
      </c>
      <c r="O184" s="172">
        <v>3</v>
      </c>
      <c r="P184" s="219">
        <f ca="1">OFFSET($A$1,MATCH(Z183,$A:$A,0)-1,O184)</f>
        <v>2.3759999999999999</v>
      </c>
      <c r="Q184" s="141" t="s">
        <v>29</v>
      </c>
      <c r="R184" s="142">
        <f t="shared" ref="R184:S189" ca="1" si="46">T184</f>
        <v>467217</v>
      </c>
      <c r="S184" s="142">
        <f t="shared" ca="1" si="46"/>
        <v>1110107</v>
      </c>
      <c r="T184" s="142">
        <f ca="1">기술사</f>
        <v>467217</v>
      </c>
      <c r="U184" s="142">
        <f t="shared" ref="U184:U189" ca="1" si="47">ROUNDDOWN(P184*R184,0)</f>
        <v>1110107</v>
      </c>
      <c r="V184" s="142"/>
      <c r="W184" s="142"/>
      <c r="X184" s="142"/>
      <c r="Y184" s="142"/>
      <c r="Z184" s="114"/>
    </row>
    <row r="185" spans="11:26" ht="18" customHeight="1">
      <c r="K185" s="171" t="s">
        <v>14</v>
      </c>
      <c r="L185" s="171"/>
      <c r="M185" s="171"/>
      <c r="N185" s="143" t="s">
        <v>32</v>
      </c>
      <c r="O185" s="173">
        <v>4</v>
      </c>
      <c r="P185" s="234">
        <f ca="1">OFFSET($A$1,MATCH(Z183,$A:$A,0)-1,O185)</f>
        <v>9.1080000000000005</v>
      </c>
      <c r="Q185" s="144" t="s">
        <v>29</v>
      </c>
      <c r="R185" s="118">
        <f t="shared" ca="1" si="46"/>
        <v>373353</v>
      </c>
      <c r="S185" s="118">
        <f t="shared" ca="1" si="46"/>
        <v>3400499</v>
      </c>
      <c r="T185" s="118">
        <f ca="1">특급</f>
        <v>373353</v>
      </c>
      <c r="U185" s="118">
        <f t="shared" ca="1" si="47"/>
        <v>3400499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39</v>
      </c>
      <c r="O186" s="173">
        <v>5</v>
      </c>
      <c r="P186" s="234">
        <f ca="1">OFFSET($A$1,MATCH(Z183,$A:$A,0)-1,O186)</f>
        <v>15.048</v>
      </c>
      <c r="Q186" s="144" t="s">
        <v>29</v>
      </c>
      <c r="R186" s="118">
        <f t="shared" ca="1" si="46"/>
        <v>310884</v>
      </c>
      <c r="S186" s="118">
        <f t="shared" ca="1" si="46"/>
        <v>4678182</v>
      </c>
      <c r="T186" s="118">
        <f ca="1">고급</f>
        <v>310884</v>
      </c>
      <c r="U186" s="118">
        <f t="shared" ca="1" si="47"/>
        <v>4678182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40</v>
      </c>
      <c r="O187" s="173">
        <v>6</v>
      </c>
      <c r="P187" s="234">
        <f ca="1">OFFSET($A$1,MATCH(Z183,$A:$A,0)-1,O187)</f>
        <v>21.78</v>
      </c>
      <c r="Q187" s="144" t="s">
        <v>29</v>
      </c>
      <c r="R187" s="118">
        <f t="shared" ca="1" si="46"/>
        <v>295138</v>
      </c>
      <c r="S187" s="118">
        <f t="shared" ca="1" si="46"/>
        <v>6428105</v>
      </c>
      <c r="T187" s="118">
        <f ca="1">중급</f>
        <v>295138</v>
      </c>
      <c r="U187" s="118">
        <f t="shared" ca="1" si="47"/>
        <v>6428105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41</v>
      </c>
      <c r="O188" s="173">
        <v>7</v>
      </c>
      <c r="P188" s="234">
        <f ca="1">OFFSET($A$1,MATCH(Z183,$A:$A,0)-1,O188)</f>
        <v>21.78</v>
      </c>
      <c r="Q188" s="144" t="s">
        <v>29</v>
      </c>
      <c r="R188" s="118">
        <f t="shared" ca="1" si="46"/>
        <v>235459</v>
      </c>
      <c r="S188" s="118">
        <f t="shared" ca="1" si="46"/>
        <v>5128297</v>
      </c>
      <c r="T188" s="118">
        <f ca="1">초급</f>
        <v>235459</v>
      </c>
      <c r="U188" s="118">
        <f t="shared" ca="1" si="47"/>
        <v>5128297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319" t="s">
        <v>42</v>
      </c>
      <c r="O189" s="174">
        <v>8</v>
      </c>
      <c r="P189" s="235">
        <f ca="1">OFFSET($A$1,MATCH(Z183,$A:$A,0)-1,O189)</f>
        <v>11.087999999999999</v>
      </c>
      <c r="Q189" s="322" t="s">
        <v>29</v>
      </c>
      <c r="R189" s="323">
        <f t="shared" ca="1" si="46"/>
        <v>250087</v>
      </c>
      <c r="S189" s="323">
        <f t="shared" ca="1" si="46"/>
        <v>2772964</v>
      </c>
      <c r="T189" s="323">
        <f ca="1">보조원</f>
        <v>250087</v>
      </c>
      <c r="U189" s="323">
        <f t="shared" ca="1" si="47"/>
        <v>2772964</v>
      </c>
      <c r="V189" s="323"/>
      <c r="W189" s="323"/>
      <c r="X189" s="323"/>
      <c r="Y189" s="323"/>
      <c r="Z189" s="324"/>
    </row>
    <row r="190" spans="11:26" ht="18" customHeight="1">
      <c r="K190" s="171" t="s">
        <v>14</v>
      </c>
      <c r="L190" s="171"/>
      <c r="M190" s="171"/>
      <c r="N190" s="139" t="s">
        <v>17</v>
      </c>
      <c r="O190" s="68"/>
      <c r="P190" s="69"/>
      <c r="Q190" s="70"/>
      <c r="R190" s="71"/>
      <c r="S190" s="71">
        <f ca="1">SUBTOTAL(9,S184:S189)</f>
        <v>23518154</v>
      </c>
      <c r="T190" s="71"/>
      <c r="U190" s="71">
        <f ca="1">SUBTOTAL(9,U184:U189)</f>
        <v>23518154</v>
      </c>
      <c r="V190" s="71"/>
      <c r="W190" s="71"/>
      <c r="X190" s="71"/>
      <c r="Y190" s="71"/>
      <c r="Z190" s="68"/>
    </row>
    <row r="191" spans="11:26" ht="18" customHeight="1">
      <c r="K191" s="171" t="s">
        <v>14</v>
      </c>
      <c r="L191" s="171"/>
      <c r="M191" s="171"/>
      <c r="N191" s="318" t="str">
        <f ca="1">"제 " &amp; Z191 &amp; " 호표  "&amp; OFFSET($A$1,MATCH(Z191,$A:$A,0)-1,1)</f>
        <v>제 18 호표  6.1. 위원회 심의 지원</v>
      </c>
      <c r="O191" s="221"/>
      <c r="P191" s="148"/>
      <c r="Q191" s="148"/>
      <c r="R191" s="149"/>
      <c r="S191" s="149"/>
      <c r="T191" s="149"/>
      <c r="U191" s="149"/>
      <c r="V191" s="149"/>
      <c r="W191" s="149"/>
      <c r="X191" s="149"/>
      <c r="Y191" s="149"/>
      <c r="Z191" s="325">
        <f>Z183+1</f>
        <v>18</v>
      </c>
    </row>
    <row r="192" spans="11:26" ht="18" customHeight="1">
      <c r="K192" s="171" t="s">
        <v>14</v>
      </c>
      <c r="L192" s="171"/>
      <c r="M192" s="171"/>
      <c r="N192" s="140" t="s">
        <v>43</v>
      </c>
      <c r="O192" s="172">
        <v>3</v>
      </c>
      <c r="P192" s="219">
        <f ca="1">OFFSET($A$1,MATCH(Z191,$A:$A,0)-1,O192)</f>
        <v>0.3</v>
      </c>
      <c r="Q192" s="141" t="s">
        <v>29</v>
      </c>
      <c r="R192" s="142">
        <f t="shared" ref="R192:S197" ca="1" si="48">T192</f>
        <v>467217</v>
      </c>
      <c r="S192" s="142">
        <f t="shared" ca="1" si="48"/>
        <v>140165</v>
      </c>
      <c r="T192" s="142">
        <f ca="1">기술사</f>
        <v>467217</v>
      </c>
      <c r="U192" s="142">
        <f t="shared" ref="U192:U197" ca="1" si="49">ROUNDDOWN(P192*R192,0)</f>
        <v>140165</v>
      </c>
      <c r="V192" s="142"/>
      <c r="W192" s="142"/>
      <c r="X192" s="142"/>
      <c r="Y192" s="142"/>
      <c r="Z192" s="114"/>
    </row>
    <row r="193" spans="11:26" ht="18" customHeight="1">
      <c r="K193" s="171" t="s">
        <v>14</v>
      </c>
      <c r="L193" s="171"/>
      <c r="M193" s="171"/>
      <c r="N193" s="143" t="s">
        <v>32</v>
      </c>
      <c r="O193" s="173">
        <v>4</v>
      </c>
      <c r="P193" s="234">
        <f ca="1">OFFSET($A$1,MATCH(Z191,$A:$A,0)-1,O193)</f>
        <v>0.7</v>
      </c>
      <c r="Q193" s="144" t="s">
        <v>29</v>
      </c>
      <c r="R193" s="118">
        <f t="shared" ca="1" si="48"/>
        <v>373353</v>
      </c>
      <c r="S193" s="118">
        <f t="shared" ca="1" si="48"/>
        <v>261347</v>
      </c>
      <c r="T193" s="118">
        <f ca="1">특급</f>
        <v>373353</v>
      </c>
      <c r="U193" s="118">
        <f t="shared" ca="1" si="49"/>
        <v>261347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39</v>
      </c>
      <c r="O194" s="173">
        <v>5</v>
      </c>
      <c r="P194" s="234">
        <f ca="1">OFFSET($A$1,MATCH(Z191,$A:$A,0)-1,O194)</f>
        <v>1</v>
      </c>
      <c r="Q194" s="144" t="s">
        <v>29</v>
      </c>
      <c r="R194" s="118">
        <f t="shared" ca="1" si="48"/>
        <v>310884</v>
      </c>
      <c r="S194" s="118">
        <f t="shared" ca="1" si="48"/>
        <v>310884</v>
      </c>
      <c r="T194" s="118">
        <f ca="1">고급</f>
        <v>310884</v>
      </c>
      <c r="U194" s="118">
        <f t="shared" ca="1" si="49"/>
        <v>310884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40</v>
      </c>
      <c r="O195" s="173">
        <v>6</v>
      </c>
      <c r="P195" s="234">
        <f ca="1">OFFSET($A$1,MATCH(Z191,$A:$A,0)-1,O195)</f>
        <v>1.2</v>
      </c>
      <c r="Q195" s="144" t="s">
        <v>29</v>
      </c>
      <c r="R195" s="118">
        <f t="shared" ca="1" si="48"/>
        <v>295138</v>
      </c>
      <c r="S195" s="118">
        <f t="shared" ca="1" si="48"/>
        <v>354165</v>
      </c>
      <c r="T195" s="118">
        <f ca="1">중급</f>
        <v>295138</v>
      </c>
      <c r="U195" s="118">
        <f t="shared" ca="1" si="49"/>
        <v>354165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41</v>
      </c>
      <c r="O196" s="173">
        <v>7</v>
      </c>
      <c r="P196" s="234">
        <f ca="1">OFFSET($A$1,MATCH(Z191,$A:$A,0)-1,O196)</f>
        <v>1.2</v>
      </c>
      <c r="Q196" s="144" t="s">
        <v>29</v>
      </c>
      <c r="R196" s="118">
        <f t="shared" ca="1" si="48"/>
        <v>235459</v>
      </c>
      <c r="S196" s="118">
        <f t="shared" ca="1" si="48"/>
        <v>282550</v>
      </c>
      <c r="T196" s="118">
        <f ca="1">초급</f>
        <v>235459</v>
      </c>
      <c r="U196" s="118">
        <f t="shared" ca="1" si="49"/>
        <v>282550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319" t="s">
        <v>42</v>
      </c>
      <c r="O197" s="174">
        <v>8</v>
      </c>
      <c r="P197" s="235">
        <f ca="1">OFFSET($A$1,MATCH(Z191,$A:$A,0)-1,O197)</f>
        <v>0.7</v>
      </c>
      <c r="Q197" s="322" t="s">
        <v>29</v>
      </c>
      <c r="R197" s="323">
        <f t="shared" ca="1" si="48"/>
        <v>250087</v>
      </c>
      <c r="S197" s="323">
        <f t="shared" ca="1" si="48"/>
        <v>175060</v>
      </c>
      <c r="T197" s="323">
        <f ca="1">보조원</f>
        <v>250087</v>
      </c>
      <c r="U197" s="323">
        <f t="shared" ca="1" si="49"/>
        <v>175060</v>
      </c>
      <c r="V197" s="323"/>
      <c r="W197" s="323"/>
      <c r="X197" s="323"/>
      <c r="Y197" s="323"/>
      <c r="Z197" s="324"/>
    </row>
    <row r="198" spans="11:26" ht="18" customHeight="1">
      <c r="K198" s="171" t="s">
        <v>14</v>
      </c>
      <c r="L198" s="171"/>
      <c r="M198" s="171"/>
      <c r="N198" s="139" t="s">
        <v>17</v>
      </c>
      <c r="O198" s="68"/>
      <c r="P198" s="69"/>
      <c r="Q198" s="70"/>
      <c r="R198" s="71"/>
      <c r="S198" s="71">
        <f ca="1">SUBTOTAL(9,S192:S197)</f>
        <v>1524171</v>
      </c>
      <c r="T198" s="71"/>
      <c r="U198" s="71">
        <f ca="1">SUBTOTAL(9,U192:U197)</f>
        <v>1524171</v>
      </c>
      <c r="V198" s="71"/>
      <c r="W198" s="71"/>
      <c r="X198" s="71"/>
      <c r="Y198" s="71"/>
      <c r="Z198" s="68"/>
    </row>
    <row r="199" spans="11:26" ht="18" customHeight="1">
      <c r="K199" s="171" t="s">
        <v>14</v>
      </c>
      <c r="L199" s="171"/>
      <c r="M199" s="171"/>
      <c r="N199" s="318" t="str">
        <f ca="1">"제 " &amp; Z199 &amp; " 호표  "&amp; OFFSET($A$1,MATCH(Z199,$A:$A,0)-1,1)</f>
        <v>제 19 호표  6.2. 주민설명회 자료 작성 등</v>
      </c>
      <c r="O199" s="221"/>
      <c r="P199" s="148"/>
      <c r="Q199" s="148"/>
      <c r="R199" s="149"/>
      <c r="S199" s="149"/>
      <c r="T199" s="149"/>
      <c r="U199" s="149"/>
      <c r="V199" s="149"/>
      <c r="W199" s="149"/>
      <c r="X199" s="149"/>
      <c r="Y199" s="149"/>
      <c r="Z199" s="325">
        <f>Z191+1</f>
        <v>19</v>
      </c>
    </row>
    <row r="200" spans="11:26" ht="18" customHeight="1">
      <c r="K200" s="171" t="s">
        <v>14</v>
      </c>
      <c r="L200" s="171"/>
      <c r="M200" s="171"/>
      <c r="N200" s="140" t="s">
        <v>43</v>
      </c>
      <c r="O200" s="172">
        <v>3</v>
      </c>
      <c r="P200" s="219">
        <f ca="1">OFFSET($A$1,MATCH(Z199,$A:$A,0)-1,O200)</f>
        <v>0.3</v>
      </c>
      <c r="Q200" s="141" t="s">
        <v>29</v>
      </c>
      <c r="R200" s="142">
        <f t="shared" ref="R200:S205" ca="1" si="50">T200</f>
        <v>467217</v>
      </c>
      <c r="S200" s="142">
        <f t="shared" ca="1" si="50"/>
        <v>140165</v>
      </c>
      <c r="T200" s="142">
        <f ca="1">기술사</f>
        <v>467217</v>
      </c>
      <c r="U200" s="142">
        <f t="shared" ref="U200:U205" ca="1" si="51">ROUNDDOWN(P200*R200,0)</f>
        <v>140165</v>
      </c>
      <c r="V200" s="142"/>
      <c r="W200" s="142"/>
      <c r="X200" s="142"/>
      <c r="Y200" s="142"/>
      <c r="Z200" s="114"/>
    </row>
    <row r="201" spans="11:26" ht="18" customHeight="1">
      <c r="K201" s="171" t="s">
        <v>14</v>
      </c>
      <c r="L201" s="171"/>
      <c r="M201" s="171"/>
      <c r="N201" s="143" t="s">
        <v>32</v>
      </c>
      <c r="O201" s="173">
        <v>4</v>
      </c>
      <c r="P201" s="234">
        <f ca="1">OFFSET($A$1,MATCH(Z199,$A:$A,0)-1,O201)</f>
        <v>0.6</v>
      </c>
      <c r="Q201" s="144" t="s">
        <v>29</v>
      </c>
      <c r="R201" s="118">
        <f t="shared" ca="1" si="50"/>
        <v>373353</v>
      </c>
      <c r="S201" s="118">
        <f t="shared" ca="1" si="50"/>
        <v>224011</v>
      </c>
      <c r="T201" s="118">
        <f ca="1">특급</f>
        <v>373353</v>
      </c>
      <c r="U201" s="118">
        <f t="shared" ca="1" si="51"/>
        <v>224011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39</v>
      </c>
      <c r="O202" s="173">
        <v>5</v>
      </c>
      <c r="P202" s="234">
        <f ca="1">OFFSET($A$1,MATCH(Z199,$A:$A,0)-1,O202)</f>
        <v>0.8</v>
      </c>
      <c r="Q202" s="144" t="s">
        <v>29</v>
      </c>
      <c r="R202" s="118">
        <f t="shared" ca="1" si="50"/>
        <v>310884</v>
      </c>
      <c r="S202" s="118">
        <f t="shared" ca="1" si="50"/>
        <v>248707</v>
      </c>
      <c r="T202" s="118">
        <f ca="1">고급</f>
        <v>310884</v>
      </c>
      <c r="U202" s="118">
        <f t="shared" ca="1" si="51"/>
        <v>248707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40</v>
      </c>
      <c r="O203" s="173">
        <v>6</v>
      </c>
      <c r="P203" s="234">
        <f ca="1">OFFSET($A$1,MATCH(Z199,$A:$A,0)-1,O203)</f>
        <v>0.9</v>
      </c>
      <c r="Q203" s="144" t="s">
        <v>29</v>
      </c>
      <c r="R203" s="118">
        <f t="shared" ca="1" si="50"/>
        <v>295138</v>
      </c>
      <c r="S203" s="118">
        <f t="shared" ca="1" si="50"/>
        <v>265624</v>
      </c>
      <c r="T203" s="118">
        <f ca="1">중급</f>
        <v>295138</v>
      </c>
      <c r="U203" s="118">
        <f t="shared" ca="1" si="51"/>
        <v>265624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41</v>
      </c>
      <c r="O204" s="173">
        <v>7</v>
      </c>
      <c r="P204" s="234">
        <f ca="1">OFFSET($A$1,MATCH(Z199,$A:$A,0)-1,O204)</f>
        <v>0.9</v>
      </c>
      <c r="Q204" s="144" t="s">
        <v>29</v>
      </c>
      <c r="R204" s="118">
        <f t="shared" ca="1" si="50"/>
        <v>235459</v>
      </c>
      <c r="S204" s="118">
        <f t="shared" ca="1" si="50"/>
        <v>211913</v>
      </c>
      <c r="T204" s="118">
        <f ca="1">초급</f>
        <v>235459</v>
      </c>
      <c r="U204" s="118">
        <f t="shared" ca="1" si="51"/>
        <v>211913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319" t="s">
        <v>42</v>
      </c>
      <c r="O205" s="174">
        <v>8</v>
      </c>
      <c r="P205" s="235">
        <f ca="1">OFFSET($A$1,MATCH(Z199,$A:$A,0)-1,O205)</f>
        <v>0.6</v>
      </c>
      <c r="Q205" s="322" t="s">
        <v>29</v>
      </c>
      <c r="R205" s="323">
        <f t="shared" ca="1" si="50"/>
        <v>250087</v>
      </c>
      <c r="S205" s="323">
        <f t="shared" ca="1" si="50"/>
        <v>150052</v>
      </c>
      <c r="T205" s="323">
        <f ca="1">보조원</f>
        <v>250087</v>
      </c>
      <c r="U205" s="323">
        <f t="shared" ca="1" si="51"/>
        <v>150052</v>
      </c>
      <c r="V205" s="323"/>
      <c r="W205" s="323"/>
      <c r="X205" s="323"/>
      <c r="Y205" s="323"/>
      <c r="Z205" s="324"/>
    </row>
    <row r="206" spans="11:26" ht="18" customHeight="1">
      <c r="K206" s="171" t="s">
        <v>14</v>
      </c>
      <c r="L206" s="171"/>
      <c r="M206" s="171"/>
      <c r="N206" s="139" t="s">
        <v>17</v>
      </c>
      <c r="O206" s="68"/>
      <c r="P206" s="69"/>
      <c r="Q206" s="70"/>
      <c r="R206" s="71"/>
      <c r="S206" s="71">
        <f ca="1">SUBTOTAL(9,S200:S205)</f>
        <v>1240472</v>
      </c>
      <c r="T206" s="71"/>
      <c r="U206" s="71">
        <f ca="1">SUBTOTAL(9,U200:U205)</f>
        <v>1240472</v>
      </c>
      <c r="V206" s="71"/>
      <c r="W206" s="71"/>
      <c r="X206" s="71"/>
      <c r="Y206" s="71"/>
      <c r="Z206" s="68"/>
    </row>
    <row r="207" spans="11:26" ht="18" customHeight="1">
      <c r="K207" s="171" t="s">
        <v>14</v>
      </c>
      <c r="L207" s="171"/>
      <c r="M207" s="171"/>
      <c r="N207" s="318" t="str">
        <f ca="1">"제 " &amp; Z207 &amp; " 호표  "&amp; OFFSET($A$1,MATCH(Z207,$A:$A,0)-1,1)</f>
        <v>제 20 호표  6.3. 관계기관 협의</v>
      </c>
      <c r="O207" s="221"/>
      <c r="P207" s="148"/>
      <c r="Q207" s="148"/>
      <c r="R207" s="149"/>
      <c r="S207" s="149"/>
      <c r="T207" s="149"/>
      <c r="U207" s="149"/>
      <c r="V207" s="149"/>
      <c r="W207" s="149"/>
      <c r="X207" s="149"/>
      <c r="Y207" s="149"/>
      <c r="Z207" s="325">
        <f>Z199+1</f>
        <v>20</v>
      </c>
    </row>
    <row r="208" spans="11:26" ht="18" customHeight="1">
      <c r="K208" s="171" t="s">
        <v>14</v>
      </c>
      <c r="L208" s="171"/>
      <c r="M208" s="171"/>
      <c r="N208" s="140" t="s">
        <v>43</v>
      </c>
      <c r="O208" s="172">
        <v>3</v>
      </c>
      <c r="P208" s="219">
        <f ca="1">OFFSET($A$1,MATCH(Z207,$A:$A,0)-1,O208)</f>
        <v>0.3</v>
      </c>
      <c r="Q208" s="141" t="s">
        <v>29</v>
      </c>
      <c r="R208" s="142">
        <f t="shared" ref="R208:S213" ca="1" si="52">T208</f>
        <v>467217</v>
      </c>
      <c r="S208" s="142">
        <f t="shared" ca="1" si="52"/>
        <v>140165</v>
      </c>
      <c r="T208" s="142">
        <f ca="1">기술사</f>
        <v>467217</v>
      </c>
      <c r="U208" s="142">
        <f t="shared" ref="U208:U213" ca="1" si="53">ROUNDDOWN(P208*R208,0)</f>
        <v>140165</v>
      </c>
      <c r="V208" s="142"/>
      <c r="W208" s="142"/>
      <c r="X208" s="142"/>
      <c r="Y208" s="142"/>
      <c r="Z208" s="114"/>
    </row>
    <row r="209" spans="11:26" ht="18" customHeight="1">
      <c r="K209" s="171" t="s">
        <v>14</v>
      </c>
      <c r="L209" s="171"/>
      <c r="M209" s="171"/>
      <c r="N209" s="143" t="s">
        <v>32</v>
      </c>
      <c r="O209" s="173">
        <v>4</v>
      </c>
      <c r="P209" s="234">
        <f ca="1">OFFSET($A$1,MATCH(Z207,$A:$A,0)-1,O209)</f>
        <v>0.8</v>
      </c>
      <c r="Q209" s="144" t="s">
        <v>29</v>
      </c>
      <c r="R209" s="118">
        <f t="shared" ca="1" si="52"/>
        <v>373353</v>
      </c>
      <c r="S209" s="118">
        <f t="shared" ca="1" si="52"/>
        <v>298682</v>
      </c>
      <c r="T209" s="118">
        <f ca="1">특급</f>
        <v>373353</v>
      </c>
      <c r="U209" s="118">
        <f t="shared" ca="1" si="53"/>
        <v>298682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39</v>
      </c>
      <c r="O210" s="173">
        <v>5</v>
      </c>
      <c r="P210" s="234">
        <f ca="1">OFFSET($A$1,MATCH(Z207,$A:$A,0)-1,O210)</f>
        <v>1.1000000000000001</v>
      </c>
      <c r="Q210" s="144" t="s">
        <v>29</v>
      </c>
      <c r="R210" s="118">
        <f t="shared" ca="1" si="52"/>
        <v>310884</v>
      </c>
      <c r="S210" s="118">
        <f t="shared" ca="1" si="52"/>
        <v>341972</v>
      </c>
      <c r="T210" s="118">
        <f ca="1">고급</f>
        <v>310884</v>
      </c>
      <c r="U210" s="118">
        <f t="shared" ca="1" si="53"/>
        <v>341972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40</v>
      </c>
      <c r="O211" s="173">
        <v>6</v>
      </c>
      <c r="P211" s="234">
        <f ca="1">OFFSET($A$1,MATCH(Z207,$A:$A,0)-1,O211)</f>
        <v>1.6</v>
      </c>
      <c r="Q211" s="144" t="s">
        <v>29</v>
      </c>
      <c r="R211" s="118">
        <f t="shared" ca="1" si="52"/>
        <v>295138</v>
      </c>
      <c r="S211" s="118">
        <f t="shared" ca="1" si="52"/>
        <v>472220</v>
      </c>
      <c r="T211" s="118">
        <f ca="1">중급</f>
        <v>295138</v>
      </c>
      <c r="U211" s="118">
        <f t="shared" ca="1" si="53"/>
        <v>472220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41</v>
      </c>
      <c r="O212" s="173">
        <v>7</v>
      </c>
      <c r="P212" s="234">
        <f ca="1">OFFSET($A$1,MATCH(Z207,$A:$A,0)-1,O212)</f>
        <v>1.5</v>
      </c>
      <c r="Q212" s="144" t="s">
        <v>29</v>
      </c>
      <c r="R212" s="118">
        <f t="shared" ca="1" si="52"/>
        <v>235459</v>
      </c>
      <c r="S212" s="118">
        <f t="shared" ca="1" si="52"/>
        <v>353188</v>
      </c>
      <c r="T212" s="118">
        <f ca="1">초급</f>
        <v>235459</v>
      </c>
      <c r="U212" s="118">
        <f t="shared" ca="1" si="53"/>
        <v>353188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319" t="s">
        <v>42</v>
      </c>
      <c r="O213" s="174">
        <v>8</v>
      </c>
      <c r="P213" s="235">
        <f ca="1">OFFSET($A$1,MATCH(Z207,$A:$A,0)-1,O213)</f>
        <v>1</v>
      </c>
      <c r="Q213" s="322" t="s">
        <v>29</v>
      </c>
      <c r="R213" s="323">
        <f t="shared" ca="1" si="52"/>
        <v>250087</v>
      </c>
      <c r="S213" s="323">
        <f t="shared" ca="1" si="52"/>
        <v>250087</v>
      </c>
      <c r="T213" s="323">
        <f ca="1">보조원</f>
        <v>250087</v>
      </c>
      <c r="U213" s="323">
        <f t="shared" ca="1" si="53"/>
        <v>250087</v>
      </c>
      <c r="V213" s="323"/>
      <c r="W213" s="323"/>
      <c r="X213" s="323"/>
      <c r="Y213" s="323"/>
      <c r="Z213" s="324"/>
    </row>
    <row r="214" spans="11:26" ht="18" customHeight="1">
      <c r="K214" s="171" t="s">
        <v>14</v>
      </c>
      <c r="L214" s="171"/>
      <c r="M214" s="171"/>
      <c r="N214" s="139" t="s">
        <v>17</v>
      </c>
      <c r="O214" s="68"/>
      <c r="P214" s="69"/>
      <c r="Q214" s="70"/>
      <c r="R214" s="71"/>
      <c r="S214" s="71">
        <f ca="1">SUBTOTAL(9,S208:S213)</f>
        <v>1856314</v>
      </c>
      <c r="T214" s="71"/>
      <c r="U214" s="71">
        <f ca="1">SUBTOTAL(9,U208:U213)</f>
        <v>1856314</v>
      </c>
      <c r="V214" s="71"/>
      <c r="W214" s="71"/>
      <c r="X214" s="71"/>
      <c r="Y214" s="71"/>
      <c r="Z214" s="68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26" ht="18" customHeight="1">
      <c r="K225" s="171" t="s">
        <v>14</v>
      </c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1:26" ht="18" customHeight="1">
      <c r="K226" s="171" t="s">
        <v>14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1:26" ht="18" customHeight="1">
      <c r="K227" s="171" t="s">
        <v>14</v>
      </c>
      <c r="L227" s="171"/>
      <c r="M227" s="171"/>
    </row>
    <row r="228" spans="11:26" ht="18" customHeight="1">
      <c r="K228" s="171" t="s">
        <v>14</v>
      </c>
      <c r="L228" s="171"/>
      <c r="M228" s="171"/>
    </row>
    <row r="229" spans="11:26" ht="18" customHeight="1">
      <c r="K229" s="171" t="s">
        <v>14</v>
      </c>
      <c r="L229" s="171"/>
      <c r="M229" s="171"/>
    </row>
    <row r="230" spans="11:26" ht="18" customHeight="1">
      <c r="K230" s="171" t="s">
        <v>14</v>
      </c>
      <c r="L230" s="171"/>
      <c r="M230" s="171"/>
    </row>
    <row r="231" spans="11:26" ht="18" customHeight="1">
      <c r="K231" s="171" t="s">
        <v>14</v>
      </c>
      <c r="L231" s="171"/>
      <c r="M231" s="171"/>
    </row>
    <row r="232" spans="11:26" ht="18" customHeight="1">
      <c r="K232" s="171" t="s">
        <v>14</v>
      </c>
      <c r="L232" s="171"/>
      <c r="M232" s="171"/>
    </row>
    <row r="233" spans="11:26" ht="18" customHeight="1">
      <c r="K233" s="171" t="s">
        <v>14</v>
      </c>
      <c r="L233" s="171"/>
      <c r="M233" s="171"/>
    </row>
    <row r="234" spans="11:26" ht="18" customHeight="1">
      <c r="K234" s="171" t="s">
        <v>14</v>
      </c>
      <c r="L234" s="171"/>
      <c r="M234" s="171"/>
    </row>
    <row r="235" spans="11:26" ht="18" customHeight="1">
      <c r="K235" s="171" t="s">
        <v>14</v>
      </c>
      <c r="L235" s="171"/>
      <c r="M235" s="171"/>
    </row>
    <row r="236" spans="11:26" ht="18" customHeight="1">
      <c r="K236" s="171" t="s">
        <v>14</v>
      </c>
      <c r="L236" s="171"/>
      <c r="M236" s="171"/>
    </row>
    <row r="237" spans="11:26" ht="18" customHeight="1">
      <c r="K237" s="171" t="s">
        <v>14</v>
      </c>
      <c r="L237" s="171"/>
      <c r="M237" s="171"/>
    </row>
    <row r="238" spans="11:26" ht="18" customHeight="1">
      <c r="K238" s="171" t="s">
        <v>14</v>
      </c>
      <c r="L238" s="171"/>
      <c r="M238" s="171"/>
    </row>
    <row r="239" spans="11:26" ht="18" customHeight="1">
      <c r="K239" s="171" t="s">
        <v>14</v>
      </c>
      <c r="L239" s="171"/>
      <c r="M239" s="171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</row>
    <row r="756" spans="12:13" ht="18" customHeight="1">
      <c r="L756" s="171"/>
    </row>
    <row r="757" spans="12:13" ht="18" customHeight="1">
      <c r="L757" s="171"/>
    </row>
    <row r="758" spans="12:13" ht="18" customHeight="1">
      <c r="L758" s="171"/>
    </row>
    <row r="759" spans="12:13" ht="18" customHeight="1">
      <c r="L759" s="171"/>
    </row>
    <row r="760" spans="12:13" ht="18" customHeight="1">
      <c r="L760" s="171"/>
    </row>
    <row r="761" spans="12:13" ht="18" customHeight="1">
      <c r="L761" s="171"/>
    </row>
    <row r="762" spans="12:13" ht="18" customHeight="1">
      <c r="L762" s="171"/>
    </row>
    <row r="763" spans="12:13" ht="18" customHeight="1">
      <c r="L763" s="171"/>
    </row>
    <row r="764" spans="12:13" ht="18" customHeight="1">
      <c r="L764" s="171"/>
    </row>
    <row r="765" spans="12:13" ht="18" customHeight="1">
      <c r="L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</sheetData>
  <mergeCells count="19">
    <mergeCell ref="B14:C15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Z53:Z54"/>
    <mergeCell ref="J14:J15"/>
    <mergeCell ref="L14:L15"/>
    <mergeCell ref="N53:N54"/>
    <mergeCell ref="O53:O54"/>
    <mergeCell ref="P53:P54"/>
    <mergeCell ref="Q53:Q54"/>
  </mergeCells>
  <phoneticPr fontId="14" type="noConversion"/>
  <conditionalFormatting sqref="V16:V42">
    <cfRule type="cellIs" dxfId="26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1473" r:id="rId4" name="Drop Down 1">
              <controlPr defaultSize="0" autoLine="0" autoPict="0">
                <anchor moveWithCells="1">
                  <from>
                    <xdr:col>6</xdr:col>
                    <xdr:colOff>409575</xdr:colOff>
                    <xdr:row>0</xdr:row>
                    <xdr:rowOff>200025</xdr:rowOff>
                  </from>
                  <to>
                    <xdr:col>11</xdr:col>
                    <xdr:colOff>228600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11">
    <tabColor rgb="FFFFFF00"/>
    <pageSetUpPr fitToPage="1"/>
  </sheetPr>
  <dimension ref="A1:AC774"/>
  <sheetViews>
    <sheetView showGridLines="0" zoomScale="85" zoomScaleNormal="85" zoomScaleSheetLayoutView="75" workbookViewId="0">
      <selection activeCell="N3" sqref="N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881</v>
      </c>
      <c r="Z1" s="391" t="s">
        <v>2527</v>
      </c>
    </row>
    <row r="2" spans="1:26" ht="19.5" thickBot="1">
      <c r="B2" s="66" t="s">
        <v>2518</v>
      </c>
      <c r="Z2" s="391" t="s">
        <v>2528</v>
      </c>
    </row>
    <row r="3" spans="1:26" ht="18" customHeight="1">
      <c r="B3" s="773" t="s">
        <v>48</v>
      </c>
      <c r="C3" s="774"/>
      <c r="D3" s="775">
        <v>10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Z3" s="391" t="s">
        <v>2529</v>
      </c>
    </row>
    <row r="4" spans="1:26" ht="18" customHeight="1">
      <c r="B4" s="777" t="s">
        <v>54</v>
      </c>
      <c r="C4" s="778"/>
      <c r="D4" s="779">
        <v>99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B5" s="777" t="s">
        <v>2489</v>
      </c>
      <c r="C5" s="814"/>
      <c r="D5" s="859">
        <f>ROUND((IF(D4&lt;=5,5,D4)/D3)^0.6,2)</f>
        <v>3.96</v>
      </c>
      <c r="E5" s="860"/>
      <c r="F5" s="217"/>
      <c r="G5" s="817" t="s">
        <v>1102</v>
      </c>
      <c r="H5" s="818"/>
      <c r="I5" s="746">
        <f>ROUND(I4/I3,3)</f>
        <v>1</v>
      </c>
      <c r="J5" s="671"/>
    </row>
    <row r="6" spans="1:26" ht="18" customHeight="1" thickBot="1">
      <c r="A6" s="358"/>
      <c r="B6" s="781" t="s">
        <v>2490</v>
      </c>
      <c r="C6" s="782"/>
      <c r="D6" s="857">
        <f>CHOOSE(F6,1,1.2,1.4)</f>
        <v>1.2</v>
      </c>
      <c r="E6" s="858"/>
      <c r="F6" s="621">
        <v>2</v>
      </c>
      <c r="G6" s="9" t="s">
        <v>1107</v>
      </c>
      <c r="J6" s="36"/>
      <c r="K6" s="6"/>
    </row>
    <row r="7" spans="1:26" ht="18" customHeight="1">
      <c r="B7" s="9" t="s">
        <v>2483</v>
      </c>
      <c r="C7" s="36"/>
      <c r="D7" s="36"/>
      <c r="E7" s="36"/>
      <c r="F7" s="36"/>
      <c r="G7" s="36"/>
      <c r="R7" s="1"/>
      <c r="S7" s="1"/>
      <c r="T7" s="1"/>
    </row>
    <row r="8" spans="1:26" ht="18" customHeight="1">
      <c r="B8" s="1" t="s">
        <v>2524</v>
      </c>
      <c r="G8" s="36"/>
      <c r="W8" s="188" t="s">
        <v>3</v>
      </c>
      <c r="X8" s="189"/>
    </row>
    <row r="9" spans="1:26" ht="18" customHeight="1">
      <c r="G9" s="36"/>
      <c r="W9" s="676"/>
      <c r="X9" s="676"/>
    </row>
    <row r="10" spans="1:26" ht="18" customHeight="1">
      <c r="G10" s="36"/>
      <c r="W10" s="676"/>
      <c r="X10" s="676"/>
    </row>
    <row r="11" spans="1:26" ht="18" customHeight="1">
      <c r="G11" s="36"/>
      <c r="W11" s="676"/>
      <c r="X11" s="676"/>
    </row>
    <row r="12" spans="1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1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SUBTOTAL(9,W14:W49)</f>
        <v>2544159418</v>
      </c>
      <c r="X13" s="187"/>
      <c r="Y13" s="177"/>
      <c r="Z13" s="167"/>
    </row>
    <row r="14" spans="1:26" ht="18" customHeight="1"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SUBTOTAL(9,W15:W46)</f>
        <v>915391563</v>
      </c>
      <c r="X14" s="164"/>
      <c r="Y14" s="178" t="s">
        <v>9</v>
      </c>
      <c r="Z14" s="179"/>
    </row>
    <row r="15" spans="1:26" ht="18" customHeight="1" thickBot="1">
      <c r="B15" s="759"/>
      <c r="C15" s="760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181"/>
      <c r="V15" s="218"/>
      <c r="W15" s="159">
        <f ca="1">SUBTOTAL(9,W16:W41)</f>
        <v>907391563</v>
      </c>
      <c r="X15" s="160"/>
      <c r="Y15" s="168"/>
      <c r="Z15" s="168"/>
    </row>
    <row r="16" spans="1:26" ht="18" customHeight="1">
      <c r="B16" s="225" t="s">
        <v>2491</v>
      </c>
      <c r="C16" s="72"/>
      <c r="D16" s="203">
        <f t="shared" ref="D16:I16" si="0">SUBTOTAL(9,D17:D19)</f>
        <v>1.1000000000000001</v>
      </c>
      <c r="E16" s="204">
        <f t="shared" si="0"/>
        <v>3.2</v>
      </c>
      <c r="F16" s="204">
        <f t="shared" si="0"/>
        <v>8.5</v>
      </c>
      <c r="G16" s="204">
        <f t="shared" si="0"/>
        <v>11.799999999999999</v>
      </c>
      <c r="H16" s="204">
        <f t="shared" si="0"/>
        <v>15.86</v>
      </c>
      <c r="I16" s="205">
        <f t="shared" si="0"/>
        <v>9.5</v>
      </c>
      <c r="J16" s="654"/>
      <c r="L16" s="232"/>
      <c r="N16" s="294" t="str">
        <f>B16</f>
        <v>1. 조사분석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SUBTOTAL(9,W17:W19)</f>
        <v>66295431</v>
      </c>
      <c r="X16" s="194"/>
      <c r="Y16" s="170"/>
      <c r="Z16" s="170"/>
    </row>
    <row r="17" spans="2:26" ht="18" customHeight="1">
      <c r="B17" s="223" t="s">
        <v>1516</v>
      </c>
      <c r="C17" s="23"/>
      <c r="D17" s="197">
        <v>0.2</v>
      </c>
      <c r="E17" s="198">
        <v>1</v>
      </c>
      <c r="F17" s="198">
        <v>2.2999999999999998</v>
      </c>
      <c r="G17" s="198">
        <v>3.4</v>
      </c>
      <c r="H17" s="198">
        <v>4.88</v>
      </c>
      <c r="I17" s="199">
        <v>2.9</v>
      </c>
      <c r="J17" s="389" t="s">
        <v>1926</v>
      </c>
      <c r="L17" s="233">
        <v>1</v>
      </c>
      <c r="N17" s="296" t="str">
        <f t="shared" ref="N17:N41" si="1">B17</f>
        <v>1.1. 자연환경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SUM((ROUNDDOWN((D44:I44)*단가,0)))</f>
        <v>19302073</v>
      </c>
      <c r="X17" s="154"/>
      <c r="Y17" s="150" t="str">
        <f>IF(A44&gt;0, "제 " &amp;A44&amp; " 호표","")</f>
        <v>제 1 호표</v>
      </c>
      <c r="Z17" s="150"/>
    </row>
    <row r="18" spans="2:26" ht="18" customHeight="1">
      <c r="B18" s="223" t="s">
        <v>2492</v>
      </c>
      <c r="C18" s="23"/>
      <c r="D18" s="197">
        <v>0.3</v>
      </c>
      <c r="E18" s="198">
        <v>1.2</v>
      </c>
      <c r="F18" s="198">
        <v>2.8</v>
      </c>
      <c r="G18" s="198">
        <v>3.8</v>
      </c>
      <c r="H18" s="198">
        <v>5.0999999999999996</v>
      </c>
      <c r="I18" s="199">
        <v>3.1</v>
      </c>
      <c r="J18" s="389" t="s">
        <v>1925</v>
      </c>
      <c r="L18" s="233">
        <v>1</v>
      </c>
      <c r="N18" s="296" t="str">
        <f t="shared" si="1"/>
        <v>1.2. 인문환경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SUM((ROUNDDOWN((D45:I45)*단가,0)))</f>
        <v>21661831</v>
      </c>
      <c r="X18" s="154"/>
      <c r="Y18" s="150" t="str">
        <f t="shared" ref="Y18:Y41" si="2">IF(A45&gt;0, "제 " &amp;A45&amp; " 호표","")</f>
        <v>제 2 호표</v>
      </c>
      <c r="Z18" s="150"/>
    </row>
    <row r="19" spans="2:26" ht="18" customHeight="1">
      <c r="B19" s="223" t="s">
        <v>2493</v>
      </c>
      <c r="C19" s="23"/>
      <c r="D19" s="197">
        <v>0.6</v>
      </c>
      <c r="E19" s="198">
        <v>1</v>
      </c>
      <c r="F19" s="198">
        <v>3.4</v>
      </c>
      <c r="G19" s="198">
        <v>4.5999999999999996</v>
      </c>
      <c r="H19" s="198">
        <v>5.88</v>
      </c>
      <c r="I19" s="199">
        <v>3.5</v>
      </c>
      <c r="J19" s="389" t="s">
        <v>1925</v>
      </c>
      <c r="L19" s="233">
        <v>1</v>
      </c>
      <c r="N19" s="296" t="str">
        <f t="shared" si="1"/>
        <v>1.3. 종합분석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SUM((ROUNDDOWN((D46:I46)*단가,0)))</f>
        <v>25331527</v>
      </c>
      <c r="X19" s="154"/>
      <c r="Y19" s="150" t="str">
        <f t="shared" si="2"/>
        <v>제 3 호표</v>
      </c>
      <c r="Z19" s="150"/>
    </row>
    <row r="20" spans="2:26" ht="18" customHeight="1">
      <c r="B20" s="222" t="s">
        <v>52</v>
      </c>
      <c r="C20" s="47"/>
      <c r="D20" s="48">
        <f t="shared" ref="D20:I20" si="3">SUBTOTAL(9,D21:D25)</f>
        <v>5.0999999999999996</v>
      </c>
      <c r="E20" s="49">
        <f t="shared" si="3"/>
        <v>14.700000000000003</v>
      </c>
      <c r="F20" s="49">
        <f t="shared" si="3"/>
        <v>26.6</v>
      </c>
      <c r="G20" s="49">
        <f t="shared" si="3"/>
        <v>28.999999999999996</v>
      </c>
      <c r="H20" s="49">
        <f t="shared" si="3"/>
        <v>38.700000000000003</v>
      </c>
      <c r="I20" s="50">
        <f t="shared" si="3"/>
        <v>19.2</v>
      </c>
      <c r="J20" s="389"/>
      <c r="L20" s="233"/>
      <c r="N20" s="292" t="str">
        <f t="shared" si="1"/>
        <v>2. 기본구상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SUBTOTAL(9,W21:W25)</f>
        <v>402734191</v>
      </c>
      <c r="X20" s="196"/>
      <c r="Y20" s="150" t="str">
        <f t="shared" si="2"/>
        <v/>
      </c>
      <c r="Z20" s="150"/>
    </row>
    <row r="21" spans="2:26" ht="18" customHeight="1">
      <c r="B21" s="223" t="s">
        <v>2494</v>
      </c>
      <c r="C21" s="23"/>
      <c r="D21" s="197">
        <v>1</v>
      </c>
      <c r="E21" s="198">
        <v>2.6</v>
      </c>
      <c r="F21" s="198">
        <v>4.4000000000000004</v>
      </c>
      <c r="G21" s="198">
        <v>5.5</v>
      </c>
      <c r="H21" s="198">
        <v>7.4</v>
      </c>
      <c r="I21" s="199">
        <v>3.6</v>
      </c>
      <c r="J21" s="389" t="s">
        <v>1925</v>
      </c>
      <c r="L21" s="233">
        <v>1</v>
      </c>
      <c r="N21" s="296" t="str">
        <f t="shared" si="1"/>
        <v>2.1. 개발방향설정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SUM((ROUNDDOWN((D51:I51)*단가,0)))</f>
        <v>33736562</v>
      </c>
      <c r="X21" s="154"/>
      <c r="Y21" s="150" t="str">
        <f t="shared" si="2"/>
        <v>제 4 호표</v>
      </c>
      <c r="Z21" s="150"/>
    </row>
    <row r="22" spans="2:26" ht="18" customHeight="1">
      <c r="B22" s="223" t="s">
        <v>2523</v>
      </c>
      <c r="C22" s="23"/>
      <c r="D22" s="197">
        <v>1.2</v>
      </c>
      <c r="E22" s="198">
        <v>3.3</v>
      </c>
      <c r="F22" s="198">
        <v>6</v>
      </c>
      <c r="G22" s="198">
        <v>5.7</v>
      </c>
      <c r="H22" s="198">
        <v>7.5</v>
      </c>
      <c r="I22" s="199">
        <v>3.9</v>
      </c>
      <c r="J22" s="389" t="s">
        <v>1925</v>
      </c>
      <c r="L22" s="233">
        <v>1</v>
      </c>
      <c r="N22" s="296" t="str">
        <f t="shared" si="1"/>
        <v>2.2. 수요 및 규모추정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SUM((ROUNDDOWN((D52:I52)*단가,0)))</f>
        <v>42731531</v>
      </c>
      <c r="X22" s="154"/>
      <c r="Y22" s="150" t="str">
        <f t="shared" si="2"/>
        <v>제 5 호표</v>
      </c>
      <c r="Z22" s="150"/>
    </row>
    <row r="23" spans="2:26" ht="18" customHeight="1">
      <c r="B23" s="223" t="s">
        <v>2496</v>
      </c>
      <c r="C23" s="23"/>
      <c r="D23" s="197">
        <v>0.9</v>
      </c>
      <c r="E23" s="198">
        <v>2.7</v>
      </c>
      <c r="F23" s="198">
        <v>5</v>
      </c>
      <c r="G23" s="198">
        <v>5.6</v>
      </c>
      <c r="H23" s="198">
        <v>7.9</v>
      </c>
      <c r="I23" s="199">
        <v>3.5</v>
      </c>
      <c r="J23" s="389" t="s">
        <v>1925</v>
      </c>
      <c r="L23" s="233">
        <v>1</v>
      </c>
      <c r="N23" s="296" t="str">
        <f t="shared" si="1"/>
        <v>2.3. 토지이용체계구상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SUM((ROUNDDOWN((D53:I53)*단가,0)))</f>
        <v>226800212</v>
      </c>
      <c r="X23" s="154"/>
      <c r="Y23" s="150" t="str">
        <f t="shared" si="2"/>
        <v>제 6 호표</v>
      </c>
      <c r="Z23" s="150"/>
    </row>
    <row r="24" spans="2:26" ht="18" customHeight="1">
      <c r="B24" s="223" t="s">
        <v>2497</v>
      </c>
      <c r="C24" s="23"/>
      <c r="D24" s="197">
        <v>0.9</v>
      </c>
      <c r="E24" s="198">
        <v>2.4</v>
      </c>
      <c r="F24" s="198">
        <v>4.8</v>
      </c>
      <c r="G24" s="198">
        <v>5.5</v>
      </c>
      <c r="H24" s="198">
        <v>7.5</v>
      </c>
      <c r="I24" s="199">
        <v>3.6</v>
      </c>
      <c r="J24" s="389" t="s">
        <v>1925</v>
      </c>
      <c r="L24" s="233">
        <v>1</v>
      </c>
      <c r="N24" s="296" t="str">
        <f t="shared" si="1"/>
        <v>2.4. 동선체계구상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SUM((ROUNDDOWN((D54:I54)*단가,0)))</f>
        <v>49732943</v>
      </c>
      <c r="X24" s="154"/>
      <c r="Y24" s="150" t="str">
        <f t="shared" si="2"/>
        <v>제 7 호표</v>
      </c>
      <c r="Z24" s="150"/>
    </row>
    <row r="25" spans="2:26" ht="18" customHeight="1">
      <c r="B25" s="223" t="s">
        <v>2498</v>
      </c>
      <c r="C25" s="23"/>
      <c r="D25" s="197">
        <v>1.1000000000000001</v>
      </c>
      <c r="E25" s="198">
        <v>3.7</v>
      </c>
      <c r="F25" s="198">
        <v>6.4</v>
      </c>
      <c r="G25" s="198">
        <v>6.7</v>
      </c>
      <c r="H25" s="198">
        <v>8.4</v>
      </c>
      <c r="I25" s="199">
        <v>4.5999999999999996</v>
      </c>
      <c r="J25" s="389" t="s">
        <v>1925</v>
      </c>
      <c r="L25" s="233">
        <v>1</v>
      </c>
      <c r="N25" s="296" t="str">
        <f t="shared" si="1"/>
        <v>2.5. 유치시설종류 및 규모설정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SUM((ROUNDDOWN((D55:I55)*단가,0)))</f>
        <v>49732943</v>
      </c>
      <c r="X25" s="154"/>
      <c r="Y25" s="150" t="str">
        <f t="shared" si="2"/>
        <v>제 8 호표</v>
      </c>
      <c r="Z25" s="150"/>
    </row>
    <row r="26" spans="2:26" ht="18" customHeight="1">
      <c r="B26" s="222" t="s">
        <v>880</v>
      </c>
      <c r="C26" s="47"/>
      <c r="D26" s="48">
        <f t="shared" ref="D26:I26" si="4">SUBTOTAL(9,D27:D31)</f>
        <v>6.9</v>
      </c>
      <c r="E26" s="49">
        <f t="shared" si="4"/>
        <v>20.52</v>
      </c>
      <c r="F26" s="49">
        <f t="shared" si="4"/>
        <v>31.900000000000002</v>
      </c>
      <c r="G26" s="49">
        <f t="shared" si="4"/>
        <v>37.199999999999996</v>
      </c>
      <c r="H26" s="49">
        <f t="shared" si="4"/>
        <v>43.78</v>
      </c>
      <c r="I26" s="50">
        <f t="shared" si="4"/>
        <v>22.500000000000004</v>
      </c>
      <c r="J26" s="389"/>
      <c r="L26" s="233"/>
      <c r="N26" s="292" t="str">
        <f t="shared" si="1"/>
        <v>3. 기본계획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SUBTOTAL(9,W27:W31)</f>
        <v>258390483</v>
      </c>
      <c r="X26" s="154"/>
      <c r="Y26" s="150" t="str">
        <f t="shared" si="2"/>
        <v/>
      </c>
      <c r="Z26" s="150"/>
    </row>
    <row r="27" spans="2:26" ht="18" customHeight="1">
      <c r="B27" s="223" t="s">
        <v>2499</v>
      </c>
      <c r="C27" s="23"/>
      <c r="D27" s="197">
        <v>1.4</v>
      </c>
      <c r="E27" s="198">
        <v>4.8</v>
      </c>
      <c r="F27" s="198">
        <v>7</v>
      </c>
      <c r="G27" s="198">
        <v>8.3000000000000007</v>
      </c>
      <c r="H27" s="198">
        <v>9.1999999999999993</v>
      </c>
      <c r="I27" s="199">
        <v>4.9000000000000004</v>
      </c>
      <c r="J27" s="389" t="s">
        <v>1925</v>
      </c>
      <c r="L27" s="233">
        <v>1</v>
      </c>
      <c r="N27" s="296" t="str">
        <f t="shared" si="1"/>
        <v>3.1. 토지이용계획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SUM((ROUNDDOWN((D56:I56)*단가,0)))</f>
        <v>41786765</v>
      </c>
      <c r="X27" s="154"/>
      <c r="Y27" s="150" t="str">
        <f t="shared" si="2"/>
        <v>제 9 호표</v>
      </c>
      <c r="Z27" s="150"/>
    </row>
    <row r="28" spans="2:26" ht="18" customHeight="1">
      <c r="B28" s="223" t="s">
        <v>2500</v>
      </c>
      <c r="C28" s="23"/>
      <c r="D28" s="197">
        <v>1.4</v>
      </c>
      <c r="E28" s="198">
        <v>4.8</v>
      </c>
      <c r="F28" s="198">
        <v>7</v>
      </c>
      <c r="G28" s="198">
        <v>8.3000000000000007</v>
      </c>
      <c r="H28" s="198">
        <v>9.1999999999999993</v>
      </c>
      <c r="I28" s="199">
        <v>4.9000000000000004</v>
      </c>
      <c r="J28" s="389" t="s">
        <v>1925</v>
      </c>
      <c r="L28" s="233">
        <v>1</v>
      </c>
      <c r="N28" s="296" t="str">
        <f t="shared" si="1"/>
        <v>3.2. 교통동선 및 포장계획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SUM((ROUNDDOWN((D57:I57)*단가,0)))</f>
        <v>42408019</v>
      </c>
      <c r="X28" s="154"/>
      <c r="Y28" s="150" t="str">
        <f t="shared" si="2"/>
        <v>제 10 호표</v>
      </c>
      <c r="Z28" s="150"/>
    </row>
    <row r="29" spans="2:26" ht="18" customHeight="1">
      <c r="B29" s="223" t="s">
        <v>2501</v>
      </c>
      <c r="C29" s="23"/>
      <c r="D29" s="197">
        <v>1.6</v>
      </c>
      <c r="E29" s="198">
        <v>3.4</v>
      </c>
      <c r="F29" s="198">
        <v>6.5</v>
      </c>
      <c r="G29" s="198">
        <v>6.4</v>
      </c>
      <c r="H29" s="198">
        <v>7.6</v>
      </c>
      <c r="I29" s="199">
        <v>4.3</v>
      </c>
      <c r="J29" s="389" t="s">
        <v>1925</v>
      </c>
      <c r="L29" s="233">
        <v>1</v>
      </c>
      <c r="N29" s="296" t="str">
        <f t="shared" si="1"/>
        <v>3.3. 시설배치계획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SUM((ROUNDDOWN((D58:I58)*단가,0)))</f>
        <v>43139533</v>
      </c>
      <c r="X29" s="154"/>
      <c r="Y29" s="150" t="str">
        <f t="shared" si="2"/>
        <v>제 11 호표</v>
      </c>
      <c r="Z29" s="150"/>
    </row>
    <row r="30" spans="2:26" ht="18" customHeight="1">
      <c r="B30" s="223" t="s">
        <v>2502</v>
      </c>
      <c r="C30" s="23"/>
      <c r="D30" s="197">
        <v>1.2</v>
      </c>
      <c r="E30" s="198">
        <v>3.3</v>
      </c>
      <c r="F30" s="198">
        <v>5.6</v>
      </c>
      <c r="G30" s="198">
        <v>6.9</v>
      </c>
      <c r="H30" s="198">
        <v>9.8800000000000008</v>
      </c>
      <c r="I30" s="199">
        <v>4.0999999999999996</v>
      </c>
      <c r="J30" s="389" t="s">
        <v>1925</v>
      </c>
      <c r="L30" s="233">
        <v>1</v>
      </c>
      <c r="N30" s="296" t="str">
        <f t="shared" si="1"/>
        <v>3.4. 식재계획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SUM((ROUNDDOWN((D58:I58)*단가,0)))</f>
        <v>43139533</v>
      </c>
      <c r="X30" s="154"/>
      <c r="Y30" s="150" t="str">
        <f t="shared" si="2"/>
        <v>제 12 호표</v>
      </c>
      <c r="Z30" s="150"/>
    </row>
    <row r="31" spans="2:26" ht="18" customHeight="1">
      <c r="B31" s="223" t="s">
        <v>2503</v>
      </c>
      <c r="C31" s="23"/>
      <c r="D31" s="197">
        <v>1.3</v>
      </c>
      <c r="E31" s="198">
        <v>4.22</v>
      </c>
      <c r="F31" s="198">
        <v>5.8</v>
      </c>
      <c r="G31" s="198">
        <v>7.3</v>
      </c>
      <c r="H31" s="198">
        <v>7.9</v>
      </c>
      <c r="I31" s="199">
        <v>4.3</v>
      </c>
      <c r="J31" s="389" t="s">
        <v>1925</v>
      </c>
      <c r="L31" s="233">
        <v>1</v>
      </c>
      <c r="N31" s="296" t="str">
        <f t="shared" si="1"/>
        <v>3.5. 공급처리계획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SUM((ROUNDDOWN((D59:I59)*단가,0)))</f>
        <v>87916633</v>
      </c>
      <c r="X31" s="154"/>
      <c r="Y31" s="150" t="str">
        <f t="shared" si="2"/>
        <v>제 13 호표</v>
      </c>
      <c r="Z31" s="150"/>
    </row>
    <row r="32" spans="2:26" ht="18" customHeight="1">
      <c r="B32" s="222" t="s">
        <v>2504</v>
      </c>
      <c r="C32" s="47"/>
      <c r="D32" s="48">
        <f t="shared" ref="D32:I32" si="5">SUBTOTAL(9,D33:D34)</f>
        <v>1.7000000000000002</v>
      </c>
      <c r="E32" s="49">
        <f t="shared" si="5"/>
        <v>6</v>
      </c>
      <c r="F32" s="49">
        <f t="shared" si="5"/>
        <v>8.8000000000000007</v>
      </c>
      <c r="G32" s="49">
        <f t="shared" si="5"/>
        <v>10.8</v>
      </c>
      <c r="H32" s="49">
        <f t="shared" si="5"/>
        <v>11</v>
      </c>
      <c r="I32" s="50">
        <f t="shared" si="5"/>
        <v>6</v>
      </c>
      <c r="J32" s="389"/>
      <c r="L32" s="233"/>
      <c r="N32" s="292" t="str">
        <f t="shared" si="1"/>
        <v>4. 집행(사업)계획</v>
      </c>
      <c r="O32" s="37"/>
      <c r="P32" s="39"/>
      <c r="Q32" s="37"/>
      <c r="R32" s="117"/>
      <c r="S32" s="37"/>
      <c r="T32" s="37"/>
      <c r="U32" s="226"/>
      <c r="V32" s="231"/>
      <c r="W32" s="195">
        <f ca="1">SUBTOTAL(9,W33:W34)</f>
        <v>87916630</v>
      </c>
      <c r="X32" s="154"/>
      <c r="Y32" s="150" t="str">
        <f t="shared" si="2"/>
        <v/>
      </c>
      <c r="Z32" s="150"/>
    </row>
    <row r="33" spans="1:26" ht="18" customHeight="1">
      <c r="B33" s="223" t="s">
        <v>2505</v>
      </c>
      <c r="C33" s="23"/>
      <c r="D33" s="197">
        <v>0.9</v>
      </c>
      <c r="E33" s="198">
        <v>3</v>
      </c>
      <c r="F33" s="198">
        <v>4.5</v>
      </c>
      <c r="G33" s="198">
        <v>5.0999999999999996</v>
      </c>
      <c r="H33" s="198">
        <v>5.3</v>
      </c>
      <c r="I33" s="199">
        <v>2.9</v>
      </c>
      <c r="J33" s="389" t="s">
        <v>1925</v>
      </c>
      <c r="L33" s="233">
        <v>1</v>
      </c>
      <c r="N33" s="296" t="str">
        <f t="shared" si="1"/>
        <v>4.1. 개발추진계획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SUM((ROUNDDOWN((D60:I60)*단가,0)))</f>
        <v>29481046</v>
      </c>
      <c r="X33" s="154"/>
      <c r="Y33" s="150" t="str">
        <f t="shared" si="2"/>
        <v>제 14 호표</v>
      </c>
      <c r="Z33" s="150"/>
    </row>
    <row r="34" spans="1:26" ht="18" customHeight="1">
      <c r="B34" s="223" t="s">
        <v>2506</v>
      </c>
      <c r="C34" s="23"/>
      <c r="D34" s="197">
        <v>0.8</v>
      </c>
      <c r="E34" s="198">
        <v>3</v>
      </c>
      <c r="F34" s="198">
        <v>4.3</v>
      </c>
      <c r="G34" s="198">
        <v>5.7</v>
      </c>
      <c r="H34" s="198">
        <v>5.7</v>
      </c>
      <c r="I34" s="199">
        <v>3.1</v>
      </c>
      <c r="J34" s="389" t="s">
        <v>1925</v>
      </c>
      <c r="L34" s="233">
        <v>1</v>
      </c>
      <c r="N34" s="296" t="str">
        <f t="shared" si="1"/>
        <v>4.2. 관리운영계획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SUM((ROUNDDOWN((D61:I61)*단가,0)))</f>
        <v>58435584</v>
      </c>
      <c r="X34" s="154"/>
      <c r="Y34" s="150" t="str">
        <f t="shared" si="2"/>
        <v>제 15 호표</v>
      </c>
      <c r="Z34" s="150"/>
    </row>
    <row r="35" spans="1:26" ht="18" customHeight="1">
      <c r="B35" s="222" t="s">
        <v>424</v>
      </c>
      <c r="C35" s="47"/>
      <c r="D35" s="48">
        <f t="shared" ref="D35:I35" si="6">SUBTOTAL(9,D36:D37)</f>
        <v>2.2999999999999998</v>
      </c>
      <c r="E35" s="49">
        <f t="shared" si="6"/>
        <v>7.1999999999999993</v>
      </c>
      <c r="F35" s="49">
        <f t="shared" si="6"/>
        <v>11.6</v>
      </c>
      <c r="G35" s="49">
        <f t="shared" si="6"/>
        <v>17.899999999999999</v>
      </c>
      <c r="H35" s="49">
        <f t="shared" si="6"/>
        <v>15.899999999999999</v>
      </c>
      <c r="I35" s="50">
        <f t="shared" si="6"/>
        <v>8.3999999999999986</v>
      </c>
      <c r="J35" s="389"/>
      <c r="L35" s="233"/>
      <c r="N35" s="292" t="str">
        <f t="shared" si="1"/>
        <v>5. 성과품작성</v>
      </c>
      <c r="O35" s="37"/>
      <c r="P35" s="39"/>
      <c r="Q35" s="37"/>
      <c r="R35" s="117"/>
      <c r="S35" s="37"/>
      <c r="T35" s="37"/>
      <c r="U35" s="226"/>
      <c r="V35" s="231"/>
      <c r="W35" s="195">
        <f ca="1">SUBTOTAL(9,W36:W37)</f>
        <v>87896635</v>
      </c>
      <c r="X35" s="154"/>
      <c r="Y35" s="150" t="str">
        <f t="shared" si="2"/>
        <v/>
      </c>
      <c r="Z35" s="150"/>
    </row>
    <row r="36" spans="1:26" ht="18" customHeight="1">
      <c r="B36" s="223" t="s">
        <v>2507</v>
      </c>
      <c r="C36" s="23"/>
      <c r="D36" s="197">
        <v>0.8</v>
      </c>
      <c r="E36" s="198">
        <v>2.4</v>
      </c>
      <c r="F36" s="198">
        <v>3.9</v>
      </c>
      <c r="G36" s="198">
        <v>6</v>
      </c>
      <c r="H36" s="198">
        <v>5.3</v>
      </c>
      <c r="I36" s="199">
        <v>2.8</v>
      </c>
      <c r="J36" s="389" t="s">
        <v>1925</v>
      </c>
      <c r="L36" s="233">
        <v>1</v>
      </c>
      <c r="N36" s="296" t="str">
        <f t="shared" si="1"/>
        <v>5.1. 보고서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SUM((ROUNDDOWN((D63:I63)*단가,0)))</f>
        <v>29468963</v>
      </c>
      <c r="X36" s="154"/>
      <c r="Y36" s="150" t="str">
        <f t="shared" si="2"/>
        <v>제 16 호표</v>
      </c>
      <c r="Z36" s="150"/>
    </row>
    <row r="37" spans="1:26" ht="18" customHeight="1">
      <c r="B37" s="259" t="s">
        <v>2508</v>
      </c>
      <c r="C37" s="43"/>
      <c r="D37" s="206">
        <v>1.5</v>
      </c>
      <c r="E37" s="207">
        <v>4.8</v>
      </c>
      <c r="F37" s="207">
        <v>7.7</v>
      </c>
      <c r="G37" s="207">
        <v>11.9</v>
      </c>
      <c r="H37" s="207">
        <v>10.6</v>
      </c>
      <c r="I37" s="208">
        <v>5.6</v>
      </c>
      <c r="J37" s="390" t="s">
        <v>1925</v>
      </c>
      <c r="L37" s="233">
        <v>1</v>
      </c>
      <c r="N37" s="296" t="str">
        <f t="shared" si="1"/>
        <v>5.2. 관련도서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SUM((ROUNDDOWN((D64:I64)*단가,0)))</f>
        <v>58427672</v>
      </c>
      <c r="X37" s="154"/>
      <c r="Y37" s="150" t="str">
        <f t="shared" si="2"/>
        <v>제 17 호표</v>
      </c>
      <c r="Z37" s="150"/>
    </row>
    <row r="38" spans="1:26" ht="18" customHeight="1">
      <c r="B38" s="222" t="s">
        <v>426</v>
      </c>
      <c r="C38" s="47"/>
      <c r="D38" s="48">
        <f t="shared" ref="D38:I38" si="7">SUBTOTAL(9,D39:D41)</f>
        <v>0.8</v>
      </c>
      <c r="E38" s="49">
        <f t="shared" si="7"/>
        <v>1.8</v>
      </c>
      <c r="F38" s="49">
        <f t="shared" si="7"/>
        <v>2.5</v>
      </c>
      <c r="G38" s="49">
        <f t="shared" si="7"/>
        <v>3.4999999999999996</v>
      </c>
      <c r="H38" s="49">
        <f t="shared" si="7"/>
        <v>3.3</v>
      </c>
      <c r="I38" s="50">
        <f t="shared" si="7"/>
        <v>2.1</v>
      </c>
      <c r="J38" s="620"/>
      <c r="L38" s="233"/>
      <c r="N38" s="292" t="str">
        <f t="shared" si="1"/>
        <v>6. 기술협의</v>
      </c>
      <c r="O38" s="37"/>
      <c r="P38" s="39"/>
      <c r="Q38" s="37"/>
      <c r="R38" s="117"/>
      <c r="S38" s="37"/>
      <c r="T38" s="37"/>
      <c r="U38" s="226"/>
      <c r="V38" s="231"/>
      <c r="W38" s="195">
        <f ca="1">SUBTOTAL(9,W39:W41)</f>
        <v>4158193</v>
      </c>
      <c r="X38" s="154"/>
      <c r="Y38" s="150" t="str">
        <f t="shared" si="2"/>
        <v/>
      </c>
      <c r="Z38" s="150"/>
    </row>
    <row r="39" spans="1:26" ht="18" customHeight="1">
      <c r="B39" s="223" t="s">
        <v>2509</v>
      </c>
      <c r="C39" s="23"/>
      <c r="D39" s="197">
        <v>0.3</v>
      </c>
      <c r="E39" s="198">
        <v>0.6</v>
      </c>
      <c r="F39" s="198">
        <v>1</v>
      </c>
      <c r="G39" s="198">
        <v>1.4</v>
      </c>
      <c r="H39" s="198">
        <v>1.4</v>
      </c>
      <c r="I39" s="199">
        <v>0.8</v>
      </c>
      <c r="J39" s="389" t="s">
        <v>2512</v>
      </c>
      <c r="L39" s="233">
        <v>1</v>
      </c>
      <c r="N39" s="296" t="str">
        <f t="shared" si="1"/>
        <v>6.1. 위원회 심의 지원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SUM((ROUNDDOWN((D66:I66)*단가,0)))</f>
        <v>1617964</v>
      </c>
      <c r="X39" s="154"/>
      <c r="Y39" s="150" t="str">
        <f t="shared" si="2"/>
        <v>제 18 호표</v>
      </c>
      <c r="Z39" s="150"/>
    </row>
    <row r="40" spans="1:26" ht="18" customHeight="1">
      <c r="B40" s="223" t="s">
        <v>2510</v>
      </c>
      <c r="C40" s="23"/>
      <c r="D40" s="197">
        <v>0.2</v>
      </c>
      <c r="E40" s="198">
        <v>0.4</v>
      </c>
      <c r="F40" s="198">
        <v>0.5</v>
      </c>
      <c r="G40" s="198">
        <v>0.7</v>
      </c>
      <c r="H40" s="198">
        <v>0.6</v>
      </c>
      <c r="I40" s="199">
        <v>0.4</v>
      </c>
      <c r="J40" s="389" t="s">
        <v>2514</v>
      </c>
      <c r="L40" s="233">
        <v>1</v>
      </c>
      <c r="N40" s="296" t="str">
        <f t="shared" si="1"/>
        <v>6.2. 주민설명회 자료 작성 등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SUM((ROUNDDOWN((D67:I67)*단가,0)))</f>
        <v>846131</v>
      </c>
      <c r="X40" s="154"/>
      <c r="Y40" s="150" t="str">
        <f t="shared" si="2"/>
        <v>제 19 호표</v>
      </c>
      <c r="Z40" s="150"/>
    </row>
    <row r="41" spans="1:26" ht="18" customHeight="1" thickBot="1">
      <c r="B41" s="223" t="s">
        <v>2511</v>
      </c>
      <c r="C41" s="23"/>
      <c r="D41" s="197">
        <v>0.3</v>
      </c>
      <c r="E41" s="198">
        <v>0.8</v>
      </c>
      <c r="F41" s="198">
        <v>1</v>
      </c>
      <c r="G41" s="198">
        <v>1.4</v>
      </c>
      <c r="H41" s="198">
        <v>1.3</v>
      </c>
      <c r="I41" s="199">
        <v>0.9</v>
      </c>
      <c r="J41" s="612" t="s">
        <v>2513</v>
      </c>
      <c r="L41" s="233">
        <v>1</v>
      </c>
      <c r="N41" s="296" t="str">
        <f t="shared" si="1"/>
        <v>6.3. 관계기관 협의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SUM((ROUNDDOWN((D68:I68)*단가,0)))</f>
        <v>1694098</v>
      </c>
      <c r="X41" s="154"/>
      <c r="Y41" s="150" t="str">
        <f t="shared" si="2"/>
        <v>제 20 호표</v>
      </c>
      <c r="Z41" s="150"/>
    </row>
    <row r="42" spans="1:26" ht="18" customHeight="1" thickBot="1"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379"/>
      <c r="P42" s="371"/>
      <c r="R42" s="357"/>
      <c r="S42" s="1"/>
      <c r="T42" s="1"/>
      <c r="U42" s="258"/>
      <c r="V42" s="380"/>
      <c r="W42" s="373"/>
      <c r="X42" s="374"/>
      <c r="Y42" s="378"/>
      <c r="Z42" s="378"/>
    </row>
    <row r="43" spans="1:26" ht="18" customHeight="1">
      <c r="B43" s="225" t="s">
        <v>2491</v>
      </c>
      <c r="C43" s="72"/>
      <c r="D43" s="203">
        <f t="shared" ref="D43:I43" si="8">SUBTOTAL(9,D44:D46)</f>
        <v>5.25</v>
      </c>
      <c r="E43" s="204">
        <f t="shared" si="8"/>
        <v>15.229999999999999</v>
      </c>
      <c r="F43" s="204">
        <f t="shared" si="8"/>
        <v>40.400000000000006</v>
      </c>
      <c r="G43" s="204">
        <f t="shared" si="8"/>
        <v>56.08</v>
      </c>
      <c r="H43" s="204">
        <f t="shared" si="8"/>
        <v>75.38000000000001</v>
      </c>
      <c r="I43" s="205">
        <f t="shared" si="8"/>
        <v>45.17</v>
      </c>
      <c r="J43" s="73"/>
      <c r="M43" s="171"/>
      <c r="N43" s="290" t="s">
        <v>2611</v>
      </c>
      <c r="O43" s="129"/>
      <c r="P43" s="130"/>
      <c r="Q43" s="124"/>
      <c r="R43" s="131"/>
      <c r="S43" s="124"/>
      <c r="T43" s="124"/>
      <c r="U43" s="181"/>
      <c r="V43" s="181"/>
      <c r="W43" s="159">
        <f>SUBTOTAL(9,W44:W46)</f>
        <v>8000000</v>
      </c>
      <c r="X43" s="160"/>
      <c r="Y43" s="124"/>
      <c r="Z43" s="124"/>
    </row>
    <row r="44" spans="1:26" ht="18" customHeight="1">
      <c r="A44" s="326">
        <v>1</v>
      </c>
      <c r="B44" s="223" t="s">
        <v>1516</v>
      </c>
      <c r="C44" s="23"/>
      <c r="D44" s="197">
        <f t="array" ref="D44:I46">ROUNDUP(D17:I19*L17:L19*$D$5*$D$6,2)</f>
        <v>0.96</v>
      </c>
      <c r="E44" s="198">
        <v>4.76</v>
      </c>
      <c r="F44" s="198">
        <v>10.93</v>
      </c>
      <c r="G44" s="198">
        <v>16.16</v>
      </c>
      <c r="H44" s="198">
        <v>23.19</v>
      </c>
      <c r="I44" s="199">
        <v>13.79</v>
      </c>
      <c r="J44" s="74"/>
      <c r="M44" s="171"/>
      <c r="N44" s="291" t="str">
        <f>"여비("&amp;TEXT(T44,"#인 ×")&amp;TEXT(U44,"#일 ×")&amp;TEXT(V44,"###,###원)")</f>
        <v>여비(3인 ×10일 ×100,000원)</v>
      </c>
      <c r="O44" s="78"/>
      <c r="P44" s="52"/>
      <c r="Q44" s="51"/>
      <c r="T44" s="146">
        <v>3</v>
      </c>
      <c r="U44" s="146">
        <v>10</v>
      </c>
      <c r="V44" s="147">
        <v>100000</v>
      </c>
      <c r="W44" s="161">
        <f>T44*U44*V44</f>
        <v>3000000</v>
      </c>
      <c r="X44" s="162"/>
      <c r="Y44" s="51"/>
      <c r="Z44" s="51"/>
    </row>
    <row r="45" spans="1:26" ht="18" customHeight="1">
      <c r="A45" s="326">
        <v>2</v>
      </c>
      <c r="B45" s="223" t="s">
        <v>2492</v>
      </c>
      <c r="C45" s="23"/>
      <c r="D45" s="197">
        <v>1.43</v>
      </c>
      <c r="E45" s="198">
        <v>5.71</v>
      </c>
      <c r="F45" s="198">
        <v>13.31</v>
      </c>
      <c r="G45" s="198">
        <v>18.060000000000002</v>
      </c>
      <c r="H45" s="198">
        <v>24.240000000000002</v>
      </c>
      <c r="I45" s="199">
        <v>14.74</v>
      </c>
      <c r="J45" s="74"/>
      <c r="M45" s="171"/>
      <c r="N45" s="292" t="s">
        <v>46</v>
      </c>
      <c r="O45" s="79"/>
      <c r="P45" s="39"/>
      <c r="Q45" s="37"/>
      <c r="R45" s="117"/>
      <c r="S45" s="37"/>
      <c r="T45" s="37"/>
      <c r="U45" s="180"/>
      <c r="V45" s="180"/>
      <c r="W45" s="157">
        <v>4000000</v>
      </c>
      <c r="X45" s="158"/>
      <c r="Y45" s="37"/>
      <c r="Z45" s="37"/>
    </row>
    <row r="46" spans="1:26" ht="18" customHeight="1">
      <c r="A46" s="326">
        <v>3</v>
      </c>
      <c r="B46" s="223" t="s">
        <v>2493</v>
      </c>
      <c r="C46" s="23"/>
      <c r="D46" s="197">
        <v>2.86</v>
      </c>
      <c r="E46" s="198">
        <v>4.76</v>
      </c>
      <c r="F46" s="198">
        <v>16.16</v>
      </c>
      <c r="G46" s="198">
        <v>21.860000000000003</v>
      </c>
      <c r="H46" s="198">
        <v>27.950000000000003</v>
      </c>
      <c r="I46" s="199">
        <v>16.64</v>
      </c>
      <c r="J46" s="74"/>
      <c r="M46" s="171"/>
      <c r="N46" s="293" t="s">
        <v>13</v>
      </c>
      <c r="O46" s="132"/>
      <c r="P46" s="38"/>
      <c r="Q46" s="38"/>
      <c r="R46" s="116"/>
      <c r="S46" s="38"/>
      <c r="T46" s="38"/>
      <c r="U46" s="183"/>
      <c r="V46" s="183"/>
      <c r="W46" s="155">
        <v>1000000</v>
      </c>
      <c r="X46" s="156"/>
      <c r="Y46" s="38"/>
      <c r="Z46" s="38"/>
    </row>
    <row r="47" spans="1:26" ht="18" customHeight="1">
      <c r="B47" s="222" t="s">
        <v>52</v>
      </c>
      <c r="C47" s="47"/>
      <c r="D47" s="48">
        <f t="shared" ref="D47:I47" si="9">SUBTOTAL(9,D48:D52)</f>
        <v>24.259999999999998</v>
      </c>
      <c r="E47" s="49">
        <f t="shared" si="9"/>
        <v>69.89</v>
      </c>
      <c r="F47" s="49">
        <f t="shared" si="9"/>
        <v>126.42000000000002</v>
      </c>
      <c r="G47" s="49">
        <f t="shared" si="9"/>
        <v>137.83000000000001</v>
      </c>
      <c r="H47" s="49">
        <f t="shared" si="9"/>
        <v>183.92</v>
      </c>
      <c r="I47" s="50">
        <f t="shared" si="9"/>
        <v>91.26</v>
      </c>
      <c r="J47" s="74"/>
      <c r="M47" s="171"/>
      <c r="N47" s="127" t="s">
        <v>47</v>
      </c>
      <c r="O47" s="123"/>
      <c r="P47" s="123"/>
      <c r="Q47" s="123"/>
      <c r="R47" s="123"/>
      <c r="S47" s="123"/>
      <c r="T47" s="123"/>
      <c r="U47" s="184"/>
      <c r="V47" s="184"/>
      <c r="W47" s="163">
        <f ca="1">SUBTOTAL(9,W48:W49)</f>
        <v>1628767855</v>
      </c>
      <c r="X47" s="164"/>
      <c r="Y47" s="123"/>
      <c r="Z47" s="123"/>
    </row>
    <row r="48" spans="1:26" ht="18" customHeight="1">
      <c r="A48" s="326">
        <v>4</v>
      </c>
      <c r="B48" s="223" t="s">
        <v>2494</v>
      </c>
      <c r="C48" s="23"/>
      <c r="D48" s="197">
        <f t="array" ref="D48:I52">ROUNDUP(D21:I25*L21:L25*$D$5*$D$6,2)</f>
        <v>4.76</v>
      </c>
      <c r="E48" s="198">
        <v>12.36</v>
      </c>
      <c r="F48" s="198">
        <v>20.91</v>
      </c>
      <c r="G48" s="198">
        <v>26.14</v>
      </c>
      <c r="H48" s="198">
        <v>35.169999999999995</v>
      </c>
      <c r="I48" s="199">
        <v>17.110000000000003</v>
      </c>
      <c r="J48" s="74"/>
      <c r="M48" s="171"/>
      <c r="N48" s="133" t="s">
        <v>861</v>
      </c>
      <c r="O48" s="124"/>
      <c r="P48" s="134"/>
      <c r="Q48" s="124"/>
      <c r="R48" s="131"/>
      <c r="S48" s="124"/>
      <c r="T48" s="181"/>
      <c r="U48" s="181"/>
      <c r="V48" s="190">
        <v>1.1499999999999999</v>
      </c>
      <c r="W48" s="159">
        <f ca="1">ROUNDDOWN(W15*V48,0)</f>
        <v>1043500297</v>
      </c>
      <c r="X48" s="160"/>
      <c r="Y48" s="124"/>
      <c r="Z48" s="124"/>
    </row>
    <row r="49" spans="1:26" ht="18" customHeight="1" thickBot="1">
      <c r="A49" s="326">
        <v>5</v>
      </c>
      <c r="B49" s="223" t="s">
        <v>2523</v>
      </c>
      <c r="C49" s="23"/>
      <c r="D49" s="197">
        <v>5.71</v>
      </c>
      <c r="E49" s="198">
        <v>15.69</v>
      </c>
      <c r="F49" s="198">
        <v>28.520000000000003</v>
      </c>
      <c r="G49" s="198">
        <v>27.09</v>
      </c>
      <c r="H49" s="198">
        <v>35.64</v>
      </c>
      <c r="I49" s="199">
        <v>18.540000000000003</v>
      </c>
      <c r="J49" s="74"/>
      <c r="M49" s="171"/>
      <c r="N49" s="135" t="s">
        <v>862</v>
      </c>
      <c r="O49" s="136"/>
      <c r="P49" s="137"/>
      <c r="Q49" s="136"/>
      <c r="R49" s="138"/>
      <c r="S49" s="136"/>
      <c r="T49" s="185"/>
      <c r="U49" s="185"/>
      <c r="V49" s="191">
        <v>0.3</v>
      </c>
      <c r="W49" s="165">
        <f ca="1">ROUNDDOWN((W15+W48)*V49,0)</f>
        <v>585267558</v>
      </c>
      <c r="X49" s="166"/>
      <c r="Y49" s="136"/>
      <c r="Z49" s="136"/>
    </row>
    <row r="50" spans="1:26" ht="18" customHeight="1">
      <c r="A50" s="326">
        <v>6</v>
      </c>
      <c r="B50" s="223" t="s">
        <v>2496</v>
      </c>
      <c r="C50" s="23"/>
      <c r="D50" s="197">
        <v>4.2799999999999994</v>
      </c>
      <c r="E50" s="198">
        <v>12.84</v>
      </c>
      <c r="F50" s="198">
        <v>23.76</v>
      </c>
      <c r="G50" s="198">
        <v>26.62</v>
      </c>
      <c r="H50" s="198">
        <v>37.549999999999997</v>
      </c>
      <c r="I50" s="199">
        <v>16.64</v>
      </c>
      <c r="J50" s="74"/>
      <c r="M50" s="171"/>
    </row>
    <row r="51" spans="1:26" ht="18" customHeight="1">
      <c r="A51" s="326">
        <v>7</v>
      </c>
      <c r="B51" s="223" t="s">
        <v>2497</v>
      </c>
      <c r="C51" s="23"/>
      <c r="D51" s="197">
        <v>4.2799999999999994</v>
      </c>
      <c r="E51" s="198">
        <v>11.41</v>
      </c>
      <c r="F51" s="198">
        <v>22.810000000000002</v>
      </c>
      <c r="G51" s="198">
        <v>26.14</v>
      </c>
      <c r="H51" s="198">
        <v>35.64</v>
      </c>
      <c r="I51" s="199">
        <v>17.110000000000003</v>
      </c>
      <c r="J51" s="74"/>
      <c r="M51" s="171"/>
    </row>
    <row r="52" spans="1:26" ht="18" customHeight="1" thickBot="1">
      <c r="A52" s="326">
        <v>8</v>
      </c>
      <c r="B52" s="223" t="s">
        <v>2498</v>
      </c>
      <c r="C52" s="23"/>
      <c r="D52" s="197">
        <v>5.2299999999999995</v>
      </c>
      <c r="E52" s="198">
        <v>17.59</v>
      </c>
      <c r="F52" s="198">
        <v>30.42</v>
      </c>
      <c r="G52" s="198">
        <v>31.84</v>
      </c>
      <c r="H52" s="198">
        <v>39.919999999999995</v>
      </c>
      <c r="I52" s="199">
        <v>21.860000000000003</v>
      </c>
      <c r="J52" s="74"/>
      <c r="M52" s="171"/>
      <c r="N52" s="66" t="s">
        <v>18</v>
      </c>
      <c r="O52" s="2"/>
      <c r="P52" s="2"/>
      <c r="Q52" s="2"/>
      <c r="R52" s="3"/>
      <c r="S52" s="4"/>
      <c r="T52" s="3"/>
      <c r="U52" s="4"/>
      <c r="V52" s="3"/>
      <c r="W52" s="4"/>
      <c r="X52" s="3"/>
      <c r="Y52" s="4"/>
      <c r="Z52" s="2"/>
    </row>
    <row r="53" spans="1:26" ht="18" customHeight="1">
      <c r="B53" s="222" t="s">
        <v>880</v>
      </c>
      <c r="C53" s="47"/>
      <c r="D53" s="48">
        <f t="shared" ref="D53:I53" si="10">SUBTOTAL(9,D54:D58)</f>
        <v>32.82</v>
      </c>
      <c r="E53" s="49">
        <f t="shared" si="10"/>
        <v>97.53</v>
      </c>
      <c r="F53" s="49">
        <f t="shared" si="10"/>
        <v>151.62</v>
      </c>
      <c r="G53" s="49">
        <f t="shared" si="10"/>
        <v>176.79999999999998</v>
      </c>
      <c r="H53" s="49">
        <f t="shared" si="10"/>
        <v>208.06</v>
      </c>
      <c r="I53" s="50">
        <f t="shared" si="10"/>
        <v>106.95000000000002</v>
      </c>
      <c r="J53" s="74"/>
      <c r="M53" s="171"/>
      <c r="N53" s="765" t="s">
        <v>19</v>
      </c>
      <c r="O53" s="755" t="s">
        <v>20</v>
      </c>
      <c r="P53" s="755" t="s">
        <v>21</v>
      </c>
      <c r="Q53" s="755" t="s">
        <v>16</v>
      </c>
      <c r="R53" s="5" t="s">
        <v>22</v>
      </c>
      <c r="S53" s="5"/>
      <c r="T53" s="5" t="s">
        <v>23</v>
      </c>
      <c r="U53" s="5"/>
      <c r="V53" s="5" t="s">
        <v>24</v>
      </c>
      <c r="W53" s="5"/>
      <c r="X53" s="5" t="s">
        <v>25</v>
      </c>
      <c r="Y53" s="5"/>
      <c r="Z53" s="755" t="s">
        <v>26</v>
      </c>
    </row>
    <row r="54" spans="1:26" ht="18" customHeight="1" thickBot="1">
      <c r="A54" s="326">
        <v>9</v>
      </c>
      <c r="B54" s="223" t="s">
        <v>2499</v>
      </c>
      <c r="C54" s="23"/>
      <c r="D54" s="197">
        <f t="array" ref="D54:I58">ROUNDUP(D27:I31*L27:L31*$D$5*$D$6,2)</f>
        <v>6.66</v>
      </c>
      <c r="E54" s="198">
        <v>22.810000000000002</v>
      </c>
      <c r="F54" s="198">
        <v>33.269999999999996</v>
      </c>
      <c r="G54" s="198">
        <v>39.449999999999996</v>
      </c>
      <c r="H54" s="198">
        <v>43.72</v>
      </c>
      <c r="I54" s="199">
        <v>23.290000000000003</v>
      </c>
      <c r="J54" s="74"/>
      <c r="M54" s="171"/>
      <c r="N54" s="766"/>
      <c r="O54" s="756"/>
      <c r="P54" s="756"/>
      <c r="Q54" s="756"/>
      <c r="R54" s="67" t="s">
        <v>27</v>
      </c>
      <c r="S54" s="67" t="s">
        <v>28</v>
      </c>
      <c r="T54" s="67" t="s">
        <v>27</v>
      </c>
      <c r="U54" s="67" t="s">
        <v>28</v>
      </c>
      <c r="V54" s="67" t="s">
        <v>27</v>
      </c>
      <c r="W54" s="67" t="s">
        <v>28</v>
      </c>
      <c r="X54" s="67" t="s">
        <v>27</v>
      </c>
      <c r="Y54" s="67" t="s">
        <v>28</v>
      </c>
      <c r="Z54" s="756"/>
    </row>
    <row r="55" spans="1:26" ht="18" customHeight="1" thickTop="1">
      <c r="A55" s="326">
        <v>10</v>
      </c>
      <c r="B55" s="223" t="s">
        <v>2500</v>
      </c>
      <c r="C55" s="23"/>
      <c r="D55" s="197">
        <v>6.66</v>
      </c>
      <c r="E55" s="198">
        <v>22.810000000000002</v>
      </c>
      <c r="F55" s="198">
        <v>33.269999999999996</v>
      </c>
      <c r="G55" s="198">
        <v>39.449999999999996</v>
      </c>
      <c r="H55" s="198">
        <v>43.72</v>
      </c>
      <c r="I55" s="199">
        <v>23.290000000000003</v>
      </c>
      <c r="J55" s="74"/>
      <c r="M55" s="171"/>
      <c r="N55" s="318" t="str">
        <f ca="1">"제 " &amp; Z55 &amp; " 호표  "&amp; OFFSET($A$1,MATCH(Z55,$A:$A,0)-1,1)</f>
        <v>제 1 호표  1.1. 자연환경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v>1</v>
      </c>
    </row>
    <row r="56" spans="1:26" ht="18" customHeight="1">
      <c r="A56" s="326">
        <v>11</v>
      </c>
      <c r="B56" s="223" t="s">
        <v>2501</v>
      </c>
      <c r="C56" s="23"/>
      <c r="D56" s="197">
        <v>7.6099999999999994</v>
      </c>
      <c r="E56" s="198">
        <v>16.16</v>
      </c>
      <c r="F56" s="198">
        <v>30.89</v>
      </c>
      <c r="G56" s="198">
        <v>30.42</v>
      </c>
      <c r="H56" s="198">
        <v>36.119999999999997</v>
      </c>
      <c r="I56" s="199">
        <v>20.440000000000001</v>
      </c>
      <c r="J56" s="74"/>
      <c r="M56" s="171"/>
      <c r="N56" s="140" t="s">
        <v>43</v>
      </c>
      <c r="O56" s="172">
        <v>3</v>
      </c>
      <c r="P56" s="219">
        <f ca="1">OFFSET($A$1,MATCH(Z55,$A:$A,0)-1,O56)</f>
        <v>0.96</v>
      </c>
      <c r="Q56" s="141" t="s">
        <v>29</v>
      </c>
      <c r="R56" s="142">
        <f t="shared" ref="R56:S61" ca="1" si="11">T56</f>
        <v>467217</v>
      </c>
      <c r="S56" s="142">
        <f t="shared" ca="1" si="11"/>
        <v>448528</v>
      </c>
      <c r="T56" s="142">
        <f ca="1">기술사</f>
        <v>467217</v>
      </c>
      <c r="U56" s="142">
        <f t="shared" ref="U56:U61" ca="1" si="12">ROUNDDOWN(P56*R56,0)</f>
        <v>448528</v>
      </c>
      <c r="V56" s="142"/>
      <c r="W56" s="142"/>
      <c r="X56" s="142"/>
      <c r="Y56" s="142"/>
      <c r="Z56" s="114"/>
    </row>
    <row r="57" spans="1:26" ht="18" customHeight="1">
      <c r="A57" s="326">
        <v>12</v>
      </c>
      <c r="B57" s="223" t="s">
        <v>2502</v>
      </c>
      <c r="C57" s="23"/>
      <c r="D57" s="197">
        <v>5.71</v>
      </c>
      <c r="E57" s="198">
        <v>15.69</v>
      </c>
      <c r="F57" s="198">
        <v>26.62</v>
      </c>
      <c r="G57" s="198">
        <v>32.79</v>
      </c>
      <c r="H57" s="198">
        <v>46.949999999999996</v>
      </c>
      <c r="I57" s="199">
        <v>19.490000000000002</v>
      </c>
      <c r="J57" s="74"/>
      <c r="M57" s="171"/>
      <c r="N57" s="143" t="s">
        <v>32</v>
      </c>
      <c r="O57" s="173">
        <v>4</v>
      </c>
      <c r="P57" s="234">
        <f ca="1">OFFSET($A$1,MATCH(Z55,$A:$A,0)-1,O57)</f>
        <v>4.76</v>
      </c>
      <c r="Q57" s="144" t="s">
        <v>29</v>
      </c>
      <c r="R57" s="118">
        <f t="shared" ca="1" si="11"/>
        <v>373353</v>
      </c>
      <c r="S57" s="118">
        <f t="shared" ca="1" si="11"/>
        <v>1777160</v>
      </c>
      <c r="T57" s="118">
        <f ca="1">특급</f>
        <v>373353</v>
      </c>
      <c r="U57" s="118">
        <f t="shared" ca="1" si="12"/>
        <v>1777160</v>
      </c>
      <c r="V57" s="118"/>
      <c r="W57" s="118"/>
      <c r="X57" s="118"/>
      <c r="Y57" s="118"/>
      <c r="Z57" s="115"/>
    </row>
    <row r="58" spans="1:26" ht="18" customHeight="1">
      <c r="A58" s="326">
        <v>13</v>
      </c>
      <c r="B58" s="223" t="s">
        <v>2503</v>
      </c>
      <c r="C58" s="23"/>
      <c r="D58" s="197">
        <v>6.18</v>
      </c>
      <c r="E58" s="198">
        <v>20.060000000000002</v>
      </c>
      <c r="F58" s="198">
        <v>27.57</v>
      </c>
      <c r="G58" s="198">
        <v>34.69</v>
      </c>
      <c r="H58" s="198">
        <v>37.549999999999997</v>
      </c>
      <c r="I58" s="199">
        <v>20.440000000000001</v>
      </c>
      <c r="J58" s="74"/>
      <c r="M58" s="171"/>
      <c r="N58" s="145" t="s">
        <v>39</v>
      </c>
      <c r="O58" s="173">
        <v>5</v>
      </c>
      <c r="P58" s="234">
        <f ca="1">OFFSET($A$1,MATCH(Z55,$A:$A,0)-1,O58)</f>
        <v>10.93</v>
      </c>
      <c r="Q58" s="144" t="s">
        <v>29</v>
      </c>
      <c r="R58" s="118">
        <f t="shared" ca="1" si="11"/>
        <v>310884</v>
      </c>
      <c r="S58" s="118">
        <f t="shared" ca="1" si="11"/>
        <v>3397962</v>
      </c>
      <c r="T58" s="118">
        <f ca="1">고급</f>
        <v>310884</v>
      </c>
      <c r="U58" s="118">
        <f t="shared" ca="1" si="12"/>
        <v>3397962</v>
      </c>
      <c r="V58" s="118"/>
      <c r="W58" s="118"/>
      <c r="X58" s="118"/>
      <c r="Y58" s="118"/>
      <c r="Z58" s="115"/>
    </row>
    <row r="59" spans="1:26" ht="18" customHeight="1">
      <c r="B59" s="222" t="s">
        <v>2504</v>
      </c>
      <c r="C59" s="47"/>
      <c r="D59" s="48">
        <f t="shared" ref="D59:I59" si="13">SUBTOTAL(9,D60:D61)</f>
        <v>10.94</v>
      </c>
      <c r="E59" s="49">
        <f t="shared" si="13"/>
        <v>34.22</v>
      </c>
      <c r="F59" s="49">
        <f t="shared" si="13"/>
        <v>55.14</v>
      </c>
      <c r="G59" s="49">
        <f t="shared" si="13"/>
        <v>85.07</v>
      </c>
      <c r="H59" s="49">
        <f t="shared" si="13"/>
        <v>75.569999999999993</v>
      </c>
      <c r="I59" s="50">
        <f t="shared" si="13"/>
        <v>39.93</v>
      </c>
      <c r="J59" s="74"/>
      <c r="M59" s="171"/>
      <c r="N59" s="145" t="s">
        <v>40</v>
      </c>
      <c r="O59" s="173">
        <v>6</v>
      </c>
      <c r="P59" s="234">
        <f ca="1">OFFSET($A$1,MATCH(Z55,$A:$A,0)-1,O59)</f>
        <v>16.16</v>
      </c>
      <c r="Q59" s="144" t="s">
        <v>29</v>
      </c>
      <c r="R59" s="118">
        <f t="shared" ca="1" si="11"/>
        <v>295138</v>
      </c>
      <c r="S59" s="118">
        <f t="shared" ca="1" si="11"/>
        <v>4769430</v>
      </c>
      <c r="T59" s="118">
        <f ca="1">중급</f>
        <v>295138</v>
      </c>
      <c r="U59" s="118">
        <f t="shared" ca="1" si="12"/>
        <v>4769430</v>
      </c>
      <c r="V59" s="118"/>
      <c r="W59" s="118"/>
      <c r="X59" s="118"/>
      <c r="Y59" s="118"/>
      <c r="Z59" s="115"/>
    </row>
    <row r="60" spans="1:26" ht="18" customHeight="1">
      <c r="A60" s="326">
        <v>14</v>
      </c>
      <c r="B60" s="223" t="s">
        <v>2505</v>
      </c>
      <c r="C60" s="23"/>
      <c r="D60" s="197">
        <f t="array" ref="D60:I61">ROUNDUP(D36:I37*L36:L37*$D$5*$D$6,2)</f>
        <v>3.8099999999999996</v>
      </c>
      <c r="E60" s="198">
        <v>11.41</v>
      </c>
      <c r="F60" s="198">
        <v>18.540000000000003</v>
      </c>
      <c r="G60" s="198">
        <v>28.520000000000003</v>
      </c>
      <c r="H60" s="198">
        <v>25.19</v>
      </c>
      <c r="I60" s="199">
        <v>13.31</v>
      </c>
      <c r="J60" s="74"/>
      <c r="M60" s="171"/>
      <c r="N60" s="145" t="s">
        <v>41</v>
      </c>
      <c r="O60" s="173">
        <v>7</v>
      </c>
      <c r="P60" s="234">
        <f ca="1">OFFSET($A$1,MATCH(Z55,$A:$A,0)-1,O60)</f>
        <v>23.19</v>
      </c>
      <c r="Q60" s="144" t="s">
        <v>29</v>
      </c>
      <c r="R60" s="118">
        <f t="shared" ca="1" si="11"/>
        <v>235459</v>
      </c>
      <c r="S60" s="118">
        <f t="shared" ca="1" si="11"/>
        <v>5460294</v>
      </c>
      <c r="T60" s="118">
        <f ca="1">초급</f>
        <v>235459</v>
      </c>
      <c r="U60" s="118">
        <f t="shared" ca="1" si="12"/>
        <v>5460294</v>
      </c>
      <c r="V60" s="118"/>
      <c r="W60" s="118"/>
      <c r="X60" s="118"/>
      <c r="Y60" s="118"/>
      <c r="Z60" s="115"/>
    </row>
    <row r="61" spans="1:26" ht="18" customHeight="1">
      <c r="A61" s="326">
        <v>15</v>
      </c>
      <c r="B61" s="223" t="s">
        <v>2506</v>
      </c>
      <c r="C61" s="23"/>
      <c r="D61" s="197">
        <v>7.13</v>
      </c>
      <c r="E61" s="198">
        <v>22.810000000000002</v>
      </c>
      <c r="F61" s="198">
        <v>36.6</v>
      </c>
      <c r="G61" s="198">
        <v>56.55</v>
      </c>
      <c r="H61" s="198">
        <v>50.379999999999995</v>
      </c>
      <c r="I61" s="199">
        <v>26.62</v>
      </c>
      <c r="J61" s="74"/>
      <c r="M61" s="171"/>
      <c r="N61" s="319" t="s">
        <v>42</v>
      </c>
      <c r="O61" s="174">
        <v>8</v>
      </c>
      <c r="P61" s="235">
        <f ca="1">OFFSET($A$1,MATCH(Z55,$A:$A,0)-1,O61)</f>
        <v>13.79</v>
      </c>
      <c r="Q61" s="322" t="s">
        <v>29</v>
      </c>
      <c r="R61" s="323">
        <f t="shared" ca="1" si="11"/>
        <v>250087</v>
      </c>
      <c r="S61" s="323">
        <f t="shared" ca="1" si="11"/>
        <v>3448699</v>
      </c>
      <c r="T61" s="323">
        <f ca="1">보조원</f>
        <v>250087</v>
      </c>
      <c r="U61" s="323">
        <f t="shared" ca="1" si="12"/>
        <v>3448699</v>
      </c>
      <c r="V61" s="323"/>
      <c r="W61" s="323"/>
      <c r="X61" s="323"/>
      <c r="Y61" s="323"/>
      <c r="Z61" s="324"/>
    </row>
    <row r="62" spans="1:26" ht="18" customHeight="1">
      <c r="B62" s="222" t="s">
        <v>424</v>
      </c>
      <c r="C62" s="47"/>
      <c r="D62" s="48">
        <f t="shared" ref="D62:I62" si="14">SUBTOTAL(9,D63:D64)</f>
        <v>10.93</v>
      </c>
      <c r="E62" s="49">
        <f t="shared" si="14"/>
        <v>34.215000000000003</v>
      </c>
      <c r="F62" s="49">
        <f t="shared" si="14"/>
        <v>55.124000000000002</v>
      </c>
      <c r="G62" s="49">
        <f t="shared" si="14"/>
        <v>85.061000000000007</v>
      </c>
      <c r="H62" s="49">
        <f t="shared" si="14"/>
        <v>75.557999999999993</v>
      </c>
      <c r="I62" s="50">
        <f t="shared" si="14"/>
        <v>39.917999999999999</v>
      </c>
      <c r="J62" s="74"/>
      <c r="M62" s="171"/>
      <c r="N62" s="139" t="s">
        <v>17</v>
      </c>
      <c r="O62" s="68"/>
      <c r="P62" s="69"/>
      <c r="Q62" s="70"/>
      <c r="R62" s="71"/>
      <c r="S62" s="71">
        <f ca="1">SUBTOTAL(9,S56:S61)</f>
        <v>19302073</v>
      </c>
      <c r="T62" s="71"/>
      <c r="U62" s="71">
        <f ca="1">SUBTOTAL(9,U56:U61)</f>
        <v>19302073</v>
      </c>
      <c r="V62" s="71"/>
      <c r="W62" s="71"/>
      <c r="X62" s="71"/>
      <c r="Y62" s="71"/>
      <c r="Z62" s="68"/>
    </row>
    <row r="63" spans="1:26" ht="18" customHeight="1">
      <c r="A63" s="326">
        <v>16</v>
      </c>
      <c r="B63" s="223" t="s">
        <v>2507</v>
      </c>
      <c r="C63" s="23"/>
      <c r="D63" s="197">
        <f t="array" ref="D63:I64">ROUNDUP(D36:I37*L36:L37*$D$5*$D$6,3)</f>
        <v>3.802</v>
      </c>
      <c r="E63" s="198">
        <v>11.404999999999999</v>
      </c>
      <c r="F63" s="198">
        <v>18.533000000000001</v>
      </c>
      <c r="G63" s="198">
        <v>28.512</v>
      </c>
      <c r="H63" s="198">
        <v>25.186</v>
      </c>
      <c r="I63" s="199">
        <v>13.305999999999999</v>
      </c>
      <c r="J63" s="74"/>
      <c r="M63" s="171"/>
      <c r="N63" s="318" t="str">
        <f ca="1">"제 " &amp; Z63 &amp; " 호표  "&amp; OFFSET($A$1,MATCH(Z63,$A:$A,0)-1,1)</f>
        <v>제 2 호표  1.2. 인문환경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2</v>
      </c>
    </row>
    <row r="64" spans="1:26" ht="18" customHeight="1">
      <c r="A64" s="326">
        <v>17</v>
      </c>
      <c r="B64" s="259" t="s">
        <v>2508</v>
      </c>
      <c r="C64" s="43"/>
      <c r="D64" s="206">
        <v>7.1280000000000001</v>
      </c>
      <c r="E64" s="207">
        <v>22.810000000000002</v>
      </c>
      <c r="F64" s="207">
        <v>36.591000000000001</v>
      </c>
      <c r="G64" s="207">
        <v>56.548999999999999</v>
      </c>
      <c r="H64" s="207">
        <v>50.372</v>
      </c>
      <c r="I64" s="208">
        <v>26.612000000000002</v>
      </c>
      <c r="J64" s="239"/>
      <c r="K64" s="171" t="s">
        <v>14</v>
      </c>
      <c r="L64" s="171"/>
      <c r="M64" s="171"/>
      <c r="N64" s="140" t="s">
        <v>43</v>
      </c>
      <c r="O64" s="172">
        <v>3</v>
      </c>
      <c r="P64" s="219">
        <f ca="1">OFFSET($A$1,MATCH(Z63,$A:$A,0)-1,O64)</f>
        <v>1.43</v>
      </c>
      <c r="Q64" s="141" t="s">
        <v>29</v>
      </c>
      <c r="R64" s="142">
        <f t="shared" ref="R64:S69" ca="1" si="15">T64</f>
        <v>467217</v>
      </c>
      <c r="S64" s="142">
        <f t="shared" ca="1" si="15"/>
        <v>668120</v>
      </c>
      <c r="T64" s="142">
        <f ca="1">기술사</f>
        <v>467217</v>
      </c>
      <c r="U64" s="142">
        <f t="shared" ref="U64:U69" ca="1" si="16">ROUNDDOWN(P64*R64,0)</f>
        <v>668120</v>
      </c>
      <c r="V64" s="142"/>
      <c r="W64" s="142"/>
      <c r="X64" s="142"/>
      <c r="Y64" s="142"/>
      <c r="Z64" s="114"/>
    </row>
    <row r="65" spans="1:26" ht="18" customHeight="1">
      <c r="B65" s="222" t="s">
        <v>426</v>
      </c>
      <c r="C65" s="47"/>
      <c r="D65" s="48">
        <f t="shared" ref="D65:I65" si="17">SUBTOTAL(9,D66:D68)</f>
        <v>0.8</v>
      </c>
      <c r="E65" s="49">
        <f t="shared" si="17"/>
        <v>1.8</v>
      </c>
      <c r="F65" s="49">
        <f t="shared" si="17"/>
        <v>2.5</v>
      </c>
      <c r="G65" s="49">
        <f t="shared" si="17"/>
        <v>3.4999999999999996</v>
      </c>
      <c r="H65" s="49">
        <f t="shared" si="17"/>
        <v>3.3</v>
      </c>
      <c r="I65" s="50">
        <f t="shared" si="17"/>
        <v>2.1</v>
      </c>
      <c r="J65" s="620"/>
      <c r="K65" s="171" t="s">
        <v>14</v>
      </c>
      <c r="L65" s="171"/>
      <c r="M65" s="171"/>
      <c r="N65" s="143" t="s">
        <v>32</v>
      </c>
      <c r="O65" s="173">
        <v>4</v>
      </c>
      <c r="P65" s="234">
        <f ca="1">OFFSET($A$1,MATCH(Z63,$A:$A,0)-1,O65)</f>
        <v>5.71</v>
      </c>
      <c r="Q65" s="144" t="s">
        <v>29</v>
      </c>
      <c r="R65" s="118">
        <f t="shared" ca="1" si="15"/>
        <v>373353</v>
      </c>
      <c r="S65" s="118">
        <f t="shared" ca="1" si="15"/>
        <v>2131845</v>
      </c>
      <c r="T65" s="118">
        <f ca="1">특급</f>
        <v>373353</v>
      </c>
      <c r="U65" s="118">
        <f t="shared" ca="1" si="16"/>
        <v>2131845</v>
      </c>
      <c r="V65" s="118"/>
      <c r="W65" s="118"/>
      <c r="X65" s="118"/>
      <c r="Y65" s="118"/>
      <c r="Z65" s="115"/>
    </row>
    <row r="66" spans="1:26" ht="18" customHeight="1">
      <c r="A66" s="326">
        <v>18</v>
      </c>
      <c r="B66" s="223" t="s">
        <v>2509</v>
      </c>
      <c r="C66" s="23"/>
      <c r="D66" s="197">
        <f t="array" ref="D66:I66">ROUNDUP(D39:I39*L39,3)</f>
        <v>0.3</v>
      </c>
      <c r="E66" s="198">
        <v>0.6</v>
      </c>
      <c r="F66" s="198">
        <v>1</v>
      </c>
      <c r="G66" s="198">
        <v>1.4</v>
      </c>
      <c r="H66" s="198">
        <v>1.4</v>
      </c>
      <c r="I66" s="199">
        <v>0.8</v>
      </c>
      <c r="J66" s="389"/>
      <c r="K66" s="171" t="s">
        <v>14</v>
      </c>
      <c r="L66" s="171"/>
      <c r="M66" s="171"/>
      <c r="N66" s="145" t="s">
        <v>39</v>
      </c>
      <c r="O66" s="173">
        <v>5</v>
      </c>
      <c r="P66" s="234">
        <f ca="1">OFFSET($A$1,MATCH(Z63,$A:$A,0)-1,O66)</f>
        <v>13.31</v>
      </c>
      <c r="Q66" s="144" t="s">
        <v>29</v>
      </c>
      <c r="R66" s="118">
        <f t="shared" ca="1" si="15"/>
        <v>310884</v>
      </c>
      <c r="S66" s="118">
        <f t="shared" ca="1" si="15"/>
        <v>4137866</v>
      </c>
      <c r="T66" s="118">
        <f ca="1">고급</f>
        <v>310884</v>
      </c>
      <c r="U66" s="118">
        <f t="shared" ca="1" si="16"/>
        <v>4137866</v>
      </c>
      <c r="V66" s="118"/>
      <c r="W66" s="118"/>
      <c r="X66" s="118"/>
      <c r="Y66" s="118"/>
      <c r="Z66" s="115"/>
    </row>
    <row r="67" spans="1:26" ht="18" customHeight="1">
      <c r="A67" s="326">
        <v>19</v>
      </c>
      <c r="B67" s="223" t="s">
        <v>2510</v>
      </c>
      <c r="C67" s="23"/>
      <c r="D67" s="197">
        <f t="array" ref="D67:I67">ROUNDUP(D40:I40*L40*$I$5,3)</f>
        <v>0.2</v>
      </c>
      <c r="E67" s="198">
        <v>0.4</v>
      </c>
      <c r="F67" s="198">
        <v>0.5</v>
      </c>
      <c r="G67" s="198">
        <v>0.7</v>
      </c>
      <c r="H67" s="198">
        <v>0.6</v>
      </c>
      <c r="I67" s="199">
        <v>0.4</v>
      </c>
      <c r="J67" s="389"/>
      <c r="K67" s="171" t="s">
        <v>14</v>
      </c>
      <c r="L67" s="171"/>
      <c r="M67" s="171"/>
      <c r="N67" s="145" t="s">
        <v>40</v>
      </c>
      <c r="O67" s="173">
        <v>6</v>
      </c>
      <c r="P67" s="234">
        <f ca="1">OFFSET($A$1,MATCH(Z63,$A:$A,0)-1,O67)</f>
        <v>18.060000000000002</v>
      </c>
      <c r="Q67" s="144" t="s">
        <v>29</v>
      </c>
      <c r="R67" s="118">
        <f t="shared" ca="1" si="15"/>
        <v>295138</v>
      </c>
      <c r="S67" s="118">
        <f t="shared" ca="1" si="15"/>
        <v>5330192</v>
      </c>
      <c r="T67" s="118">
        <f ca="1">중급</f>
        <v>295138</v>
      </c>
      <c r="U67" s="118">
        <f t="shared" ca="1" si="16"/>
        <v>5330192</v>
      </c>
      <c r="V67" s="118"/>
      <c r="W67" s="118"/>
      <c r="X67" s="118"/>
      <c r="Y67" s="118"/>
      <c r="Z67" s="115"/>
    </row>
    <row r="68" spans="1:26" ht="18" customHeight="1" thickBot="1">
      <c r="A68" s="326">
        <v>20</v>
      </c>
      <c r="B68" s="388" t="s">
        <v>2511</v>
      </c>
      <c r="C68" s="342"/>
      <c r="D68" s="343">
        <f t="array" ref="D68:I68">ROUNDUP(D41:I41*L41,3)</f>
        <v>0.3</v>
      </c>
      <c r="E68" s="344">
        <v>0.8</v>
      </c>
      <c r="F68" s="344">
        <v>1</v>
      </c>
      <c r="G68" s="344">
        <v>1.4</v>
      </c>
      <c r="H68" s="344">
        <v>1.3</v>
      </c>
      <c r="I68" s="345">
        <v>0.9</v>
      </c>
      <c r="J68" s="612"/>
      <c r="K68" s="171" t="s">
        <v>14</v>
      </c>
      <c r="L68" s="171"/>
      <c r="M68" s="171"/>
      <c r="N68" s="145" t="s">
        <v>41</v>
      </c>
      <c r="O68" s="173">
        <v>7</v>
      </c>
      <c r="P68" s="234">
        <f ca="1">OFFSET($A$1,MATCH(Z63,$A:$A,0)-1,O68)</f>
        <v>24.240000000000002</v>
      </c>
      <c r="Q68" s="144" t="s">
        <v>29</v>
      </c>
      <c r="R68" s="118">
        <f t="shared" ca="1" si="15"/>
        <v>235459</v>
      </c>
      <c r="S68" s="118">
        <f t="shared" ca="1" si="15"/>
        <v>5707526</v>
      </c>
      <c r="T68" s="118">
        <f ca="1">초급</f>
        <v>235459</v>
      </c>
      <c r="U68" s="118">
        <f t="shared" ca="1" si="16"/>
        <v>5707526</v>
      </c>
      <c r="V68" s="118"/>
      <c r="W68" s="118"/>
      <c r="X68" s="118"/>
      <c r="Y68" s="118"/>
      <c r="Z68" s="115"/>
    </row>
    <row r="69" spans="1:26" ht="18" customHeight="1">
      <c r="B69" s="80" t="s">
        <v>15</v>
      </c>
      <c r="C69" s="9" t="s">
        <v>2515</v>
      </c>
      <c r="K69" s="171" t="s">
        <v>14</v>
      </c>
      <c r="L69" s="171"/>
      <c r="M69" s="171"/>
      <c r="N69" s="319" t="s">
        <v>42</v>
      </c>
      <c r="O69" s="174">
        <v>8</v>
      </c>
      <c r="P69" s="235">
        <f ca="1">OFFSET($A$1,MATCH(Z63,$A:$A,0)-1,O69)</f>
        <v>14.74</v>
      </c>
      <c r="Q69" s="322" t="s">
        <v>29</v>
      </c>
      <c r="R69" s="323">
        <f t="shared" ca="1" si="15"/>
        <v>250087</v>
      </c>
      <c r="S69" s="323">
        <f t="shared" ca="1" si="15"/>
        <v>3686282</v>
      </c>
      <c r="T69" s="323">
        <f ca="1">보조원</f>
        <v>250087</v>
      </c>
      <c r="U69" s="323">
        <f t="shared" ca="1" si="16"/>
        <v>3686282</v>
      </c>
      <c r="V69" s="323"/>
      <c r="W69" s="323"/>
      <c r="X69" s="323"/>
      <c r="Y69" s="323"/>
      <c r="Z69" s="324"/>
    </row>
    <row r="70" spans="1:26" ht="18" customHeight="1">
      <c r="C70" s="1" t="s">
        <v>2516</v>
      </c>
      <c r="K70" s="171" t="s">
        <v>14</v>
      </c>
      <c r="L70" s="171"/>
      <c r="M70" s="171"/>
      <c r="N70" s="139" t="s">
        <v>17</v>
      </c>
      <c r="O70" s="68"/>
      <c r="P70" s="69"/>
      <c r="Q70" s="70"/>
      <c r="R70" s="71"/>
      <c r="S70" s="71">
        <f ca="1">SUBTOTAL(9,S64:S69)</f>
        <v>21661831</v>
      </c>
      <c r="T70" s="71"/>
      <c r="U70" s="71">
        <f ca="1">SUBTOTAL(9,U64:U69)</f>
        <v>21661831</v>
      </c>
      <c r="V70" s="71"/>
      <c r="W70" s="71"/>
      <c r="X70" s="71"/>
      <c r="Y70" s="71"/>
      <c r="Z70" s="68"/>
    </row>
    <row r="71" spans="1:26" ht="18" customHeight="1">
      <c r="C71" s="9" t="s">
        <v>2525</v>
      </c>
      <c r="K71" s="171" t="s">
        <v>14</v>
      </c>
      <c r="L71" s="171"/>
      <c r="M71" s="171"/>
      <c r="N71" s="318" t="str">
        <f ca="1">"제 " &amp; Z71 &amp; " 호표  "&amp; OFFSET($A$1,MATCH(Z71,$A:$A,0)-1,1)</f>
        <v>제 3 호표  1.3. 종합분석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3</v>
      </c>
    </row>
    <row r="72" spans="1:26" ht="18" customHeight="1">
      <c r="C72" s="9" t="s">
        <v>2526</v>
      </c>
      <c r="K72" s="171" t="s">
        <v>14</v>
      </c>
      <c r="L72" s="171"/>
      <c r="M72" s="171"/>
      <c r="N72" s="140" t="s">
        <v>43</v>
      </c>
      <c r="O72" s="172">
        <v>3</v>
      </c>
      <c r="P72" s="219">
        <f ca="1">OFFSET($A$1,MATCH(Z71,$A:$A,0)-1,O72)</f>
        <v>2.86</v>
      </c>
      <c r="Q72" s="141" t="s">
        <v>29</v>
      </c>
      <c r="R72" s="142">
        <f t="shared" ref="R72:S77" ca="1" si="18">T72</f>
        <v>467217</v>
      </c>
      <c r="S72" s="142">
        <f t="shared" ca="1" si="18"/>
        <v>1336240</v>
      </c>
      <c r="T72" s="142">
        <f ca="1">기술사</f>
        <v>467217</v>
      </c>
      <c r="U72" s="142">
        <f t="shared" ref="U72:U77" ca="1" si="19">ROUNDDOWN(P72*R72,0)</f>
        <v>1336240</v>
      </c>
      <c r="V72" s="142"/>
      <c r="W72" s="142"/>
      <c r="X72" s="142"/>
      <c r="Y72" s="142"/>
      <c r="Z72" s="114"/>
    </row>
    <row r="73" spans="1:26" ht="18" customHeight="1">
      <c r="C73" s="9"/>
      <c r="K73" s="171" t="s">
        <v>14</v>
      </c>
      <c r="L73" s="171"/>
      <c r="M73" s="171"/>
      <c r="N73" s="143" t="s">
        <v>32</v>
      </c>
      <c r="O73" s="173">
        <v>4</v>
      </c>
      <c r="P73" s="234">
        <f ca="1">OFFSET($A$1,MATCH(Z71,$A:$A,0)-1,O73)</f>
        <v>4.76</v>
      </c>
      <c r="Q73" s="144" t="s">
        <v>29</v>
      </c>
      <c r="R73" s="118">
        <f t="shared" ca="1" si="18"/>
        <v>373353</v>
      </c>
      <c r="S73" s="118">
        <f t="shared" ca="1" si="18"/>
        <v>1777160</v>
      </c>
      <c r="T73" s="118">
        <f ca="1">특급</f>
        <v>373353</v>
      </c>
      <c r="U73" s="118">
        <f t="shared" ca="1" si="19"/>
        <v>1777160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145" t="s">
        <v>39</v>
      </c>
      <c r="O74" s="173">
        <v>5</v>
      </c>
      <c r="P74" s="234">
        <f ca="1">OFFSET($A$1,MATCH(Z71,$A:$A,0)-1,O74)</f>
        <v>16.16</v>
      </c>
      <c r="Q74" s="144" t="s">
        <v>29</v>
      </c>
      <c r="R74" s="118">
        <f t="shared" ca="1" si="18"/>
        <v>310884</v>
      </c>
      <c r="S74" s="118">
        <f t="shared" ca="1" si="18"/>
        <v>5023885</v>
      </c>
      <c r="T74" s="118">
        <f ca="1">고급</f>
        <v>310884</v>
      </c>
      <c r="U74" s="118">
        <f t="shared" ca="1" si="19"/>
        <v>5023885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M75" s="171"/>
      <c r="N75" s="145" t="s">
        <v>40</v>
      </c>
      <c r="O75" s="173">
        <v>6</v>
      </c>
      <c r="P75" s="234">
        <f ca="1">OFFSET($A$1,MATCH(Z71,$A:$A,0)-1,O75)</f>
        <v>21.860000000000003</v>
      </c>
      <c r="Q75" s="144" t="s">
        <v>29</v>
      </c>
      <c r="R75" s="118">
        <f t="shared" ca="1" si="18"/>
        <v>295138</v>
      </c>
      <c r="S75" s="118">
        <f t="shared" ca="1" si="18"/>
        <v>6451716</v>
      </c>
      <c r="T75" s="118">
        <f ca="1">중급</f>
        <v>295138</v>
      </c>
      <c r="U75" s="118">
        <f t="shared" ca="1" si="19"/>
        <v>6451716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M76" s="171"/>
      <c r="N76" s="145" t="s">
        <v>41</v>
      </c>
      <c r="O76" s="173">
        <v>7</v>
      </c>
      <c r="P76" s="234">
        <f ca="1">OFFSET($A$1,MATCH(Z71,$A:$A,0)-1,O76)</f>
        <v>27.950000000000003</v>
      </c>
      <c r="Q76" s="144" t="s">
        <v>29</v>
      </c>
      <c r="R76" s="118">
        <f t="shared" ca="1" si="18"/>
        <v>235459</v>
      </c>
      <c r="S76" s="118">
        <f t="shared" ca="1" si="18"/>
        <v>6581079</v>
      </c>
      <c r="T76" s="118">
        <f ca="1">초급</f>
        <v>235459</v>
      </c>
      <c r="U76" s="118">
        <f t="shared" ca="1" si="19"/>
        <v>6581079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M77" s="171"/>
      <c r="N77" s="319" t="s">
        <v>42</v>
      </c>
      <c r="O77" s="174">
        <v>8</v>
      </c>
      <c r="P77" s="235">
        <f ca="1">OFFSET($A$1,MATCH(Z71,$A:$A,0)-1,O77)</f>
        <v>16.64</v>
      </c>
      <c r="Q77" s="322" t="s">
        <v>29</v>
      </c>
      <c r="R77" s="323">
        <f t="shared" ca="1" si="18"/>
        <v>250087</v>
      </c>
      <c r="S77" s="323">
        <f t="shared" ca="1" si="18"/>
        <v>4161447</v>
      </c>
      <c r="T77" s="323">
        <f ca="1">보조원</f>
        <v>250087</v>
      </c>
      <c r="U77" s="323">
        <f t="shared" ca="1" si="19"/>
        <v>4161447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M78" s="171"/>
      <c r="N78" s="139" t="s">
        <v>17</v>
      </c>
      <c r="O78" s="68"/>
      <c r="P78" s="69"/>
      <c r="Q78" s="70"/>
      <c r="R78" s="71"/>
      <c r="S78" s="71">
        <f ca="1">SUBTOTAL(9,S72:S77)</f>
        <v>25331527</v>
      </c>
      <c r="T78" s="71"/>
      <c r="U78" s="71">
        <f ca="1">SUBTOTAL(9,U72:U77)</f>
        <v>25331527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M79" s="171"/>
      <c r="N79" s="318" t="str">
        <f ca="1">"제 " &amp; Z79 &amp; " 호표  "&amp; OFFSET($A$1,MATCH(Z79,$A:$A,0)-1,1)</f>
        <v>제 4 호표  2.1. 개발방향설정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4</v>
      </c>
    </row>
    <row r="80" spans="1:26" ht="18" customHeight="1">
      <c r="K80" s="171" t="s">
        <v>14</v>
      </c>
      <c r="L80" s="171"/>
      <c r="M80" s="171"/>
      <c r="N80" s="140" t="s">
        <v>43</v>
      </c>
      <c r="O80" s="172">
        <v>3</v>
      </c>
      <c r="P80" s="219">
        <f ca="1">OFFSET($A$1,MATCH(Z79,$A:$A,0)-1,O80)</f>
        <v>4.76</v>
      </c>
      <c r="Q80" s="141" t="s">
        <v>29</v>
      </c>
      <c r="R80" s="142">
        <f t="shared" ref="R80:S85" ca="1" si="20">T80</f>
        <v>467217</v>
      </c>
      <c r="S80" s="142">
        <f t="shared" ca="1" si="20"/>
        <v>2223952</v>
      </c>
      <c r="T80" s="142">
        <f ca="1">기술사</f>
        <v>467217</v>
      </c>
      <c r="U80" s="142">
        <f t="shared" ref="U80:U85" ca="1" si="21">ROUNDDOWN(P80*R80,0)</f>
        <v>2223952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M81" s="171"/>
      <c r="N81" s="143" t="s">
        <v>32</v>
      </c>
      <c r="O81" s="173">
        <v>4</v>
      </c>
      <c r="P81" s="234">
        <f ca="1">OFFSET($A$1,MATCH(Z79,$A:$A,0)-1,O81)</f>
        <v>12.36</v>
      </c>
      <c r="Q81" s="144" t="s">
        <v>29</v>
      </c>
      <c r="R81" s="118">
        <f t="shared" ca="1" si="20"/>
        <v>373353</v>
      </c>
      <c r="S81" s="118">
        <f t="shared" ca="1" si="20"/>
        <v>4614643</v>
      </c>
      <c r="T81" s="118">
        <f ca="1">특급</f>
        <v>373353</v>
      </c>
      <c r="U81" s="118">
        <f t="shared" ca="1" si="21"/>
        <v>4614643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39</v>
      </c>
      <c r="O82" s="173">
        <v>5</v>
      </c>
      <c r="P82" s="234">
        <f ca="1">OFFSET($A$1,MATCH(Z79,$A:$A,0)-1,O82)</f>
        <v>20.91</v>
      </c>
      <c r="Q82" s="144" t="s">
        <v>29</v>
      </c>
      <c r="R82" s="118">
        <f t="shared" ca="1" si="20"/>
        <v>310884</v>
      </c>
      <c r="S82" s="118">
        <f t="shared" ca="1" si="20"/>
        <v>6500584</v>
      </c>
      <c r="T82" s="118">
        <f ca="1">고급</f>
        <v>310884</v>
      </c>
      <c r="U82" s="118">
        <f t="shared" ca="1" si="21"/>
        <v>6500584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40</v>
      </c>
      <c r="O83" s="173">
        <v>6</v>
      </c>
      <c r="P83" s="234">
        <f ca="1">OFFSET($A$1,MATCH(Z79,$A:$A,0)-1,O83)</f>
        <v>26.14</v>
      </c>
      <c r="Q83" s="144" t="s">
        <v>29</v>
      </c>
      <c r="R83" s="118">
        <f t="shared" ca="1" si="20"/>
        <v>295138</v>
      </c>
      <c r="S83" s="118">
        <f t="shared" ca="1" si="20"/>
        <v>7714907</v>
      </c>
      <c r="T83" s="118">
        <f ca="1">중급</f>
        <v>295138</v>
      </c>
      <c r="U83" s="118">
        <f t="shared" ca="1" si="21"/>
        <v>7714907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41</v>
      </c>
      <c r="O84" s="173">
        <v>7</v>
      </c>
      <c r="P84" s="234">
        <f ca="1">OFFSET($A$1,MATCH(Z79,$A:$A,0)-1,O84)</f>
        <v>35.169999999999995</v>
      </c>
      <c r="Q84" s="144" t="s">
        <v>29</v>
      </c>
      <c r="R84" s="118">
        <f t="shared" ca="1" si="20"/>
        <v>235459</v>
      </c>
      <c r="S84" s="118">
        <f t="shared" ca="1" si="20"/>
        <v>8281093</v>
      </c>
      <c r="T84" s="118">
        <f ca="1">초급</f>
        <v>235459</v>
      </c>
      <c r="U84" s="118">
        <f t="shared" ca="1" si="21"/>
        <v>8281093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319" t="s">
        <v>42</v>
      </c>
      <c r="O85" s="174">
        <v>8</v>
      </c>
      <c r="P85" s="235">
        <f ca="1">OFFSET($A$1,MATCH(Z79,$A:$A,0)-1,O85)</f>
        <v>17.110000000000003</v>
      </c>
      <c r="Q85" s="322" t="s">
        <v>29</v>
      </c>
      <c r="R85" s="323">
        <f t="shared" ca="1" si="20"/>
        <v>250087</v>
      </c>
      <c r="S85" s="323">
        <f t="shared" ca="1" si="20"/>
        <v>4278988</v>
      </c>
      <c r="T85" s="323">
        <f ca="1">보조원</f>
        <v>250087</v>
      </c>
      <c r="U85" s="323">
        <f t="shared" ca="1" si="21"/>
        <v>4278988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M86" s="171"/>
      <c r="N86" s="139" t="s">
        <v>17</v>
      </c>
      <c r="O86" s="68"/>
      <c r="P86" s="69"/>
      <c r="Q86" s="70"/>
      <c r="R86" s="71"/>
      <c r="S86" s="71">
        <f ca="1">SUBTOTAL(9,S80:S85)</f>
        <v>33614167</v>
      </c>
      <c r="T86" s="71"/>
      <c r="U86" s="71">
        <f ca="1">SUBTOTAL(9,U80:U85)</f>
        <v>33614167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M87" s="171"/>
      <c r="N87" s="318" t="str">
        <f ca="1">"제 " &amp; Z87 &amp; " 호표  "&amp; OFFSET($A$1,MATCH(Z87,$A:$A,0)-1,1)</f>
        <v>제 5 호표  2.2. 수요 및 규모추정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5</v>
      </c>
    </row>
    <row r="88" spans="11:26" ht="18" customHeight="1">
      <c r="K88" s="171" t="s">
        <v>14</v>
      </c>
      <c r="L88" s="171"/>
      <c r="M88" s="171"/>
      <c r="N88" s="140" t="s">
        <v>43</v>
      </c>
      <c r="O88" s="172">
        <v>3</v>
      </c>
      <c r="P88" s="219">
        <f ca="1">OFFSET($A$1,MATCH(Z87,$A:$A,0)-1,O88)</f>
        <v>5.71</v>
      </c>
      <c r="Q88" s="141" t="s">
        <v>29</v>
      </c>
      <c r="R88" s="142">
        <f t="shared" ref="R88:S93" ca="1" si="22">T88</f>
        <v>467217</v>
      </c>
      <c r="S88" s="142">
        <f t="shared" ca="1" si="22"/>
        <v>2667809</v>
      </c>
      <c r="T88" s="142">
        <f ca="1">기술사</f>
        <v>467217</v>
      </c>
      <c r="U88" s="142">
        <f t="shared" ref="U88:U93" ca="1" si="23">ROUNDDOWN(P88*R88,0)</f>
        <v>2667809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M89" s="171"/>
      <c r="N89" s="143" t="s">
        <v>32</v>
      </c>
      <c r="O89" s="173">
        <v>4</v>
      </c>
      <c r="P89" s="234">
        <f ca="1">OFFSET($A$1,MATCH(Z87,$A:$A,0)-1,O89)</f>
        <v>15.69</v>
      </c>
      <c r="Q89" s="144" t="s">
        <v>29</v>
      </c>
      <c r="R89" s="118">
        <f t="shared" ca="1" si="22"/>
        <v>373353</v>
      </c>
      <c r="S89" s="118">
        <f t="shared" ca="1" si="22"/>
        <v>5857908</v>
      </c>
      <c r="T89" s="118">
        <f ca="1">특급</f>
        <v>373353</v>
      </c>
      <c r="U89" s="118">
        <f t="shared" ca="1" si="23"/>
        <v>5857908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39</v>
      </c>
      <c r="O90" s="173">
        <v>5</v>
      </c>
      <c r="P90" s="234">
        <f ca="1">OFFSET($A$1,MATCH(Z87,$A:$A,0)-1,O90)</f>
        <v>28.520000000000003</v>
      </c>
      <c r="Q90" s="144" t="s">
        <v>29</v>
      </c>
      <c r="R90" s="118">
        <f t="shared" ca="1" si="22"/>
        <v>310884</v>
      </c>
      <c r="S90" s="118">
        <f t="shared" ca="1" si="22"/>
        <v>8866411</v>
      </c>
      <c r="T90" s="118">
        <f ca="1">고급</f>
        <v>310884</v>
      </c>
      <c r="U90" s="118">
        <f t="shared" ca="1" si="23"/>
        <v>8866411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40</v>
      </c>
      <c r="O91" s="173">
        <v>6</v>
      </c>
      <c r="P91" s="234">
        <f ca="1">OFFSET($A$1,MATCH(Z87,$A:$A,0)-1,O91)</f>
        <v>27.09</v>
      </c>
      <c r="Q91" s="144" t="s">
        <v>29</v>
      </c>
      <c r="R91" s="118">
        <f t="shared" ca="1" si="22"/>
        <v>295138</v>
      </c>
      <c r="S91" s="118">
        <f t="shared" ca="1" si="22"/>
        <v>7995288</v>
      </c>
      <c r="T91" s="118">
        <f ca="1">중급</f>
        <v>295138</v>
      </c>
      <c r="U91" s="118">
        <f t="shared" ca="1" si="23"/>
        <v>7995288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41</v>
      </c>
      <c r="O92" s="173">
        <v>7</v>
      </c>
      <c r="P92" s="234">
        <f ca="1">OFFSET($A$1,MATCH(Z87,$A:$A,0)-1,O92)</f>
        <v>35.64</v>
      </c>
      <c r="Q92" s="144" t="s">
        <v>29</v>
      </c>
      <c r="R92" s="118">
        <f t="shared" ca="1" si="22"/>
        <v>235459</v>
      </c>
      <c r="S92" s="118">
        <f t="shared" ca="1" si="22"/>
        <v>8391758</v>
      </c>
      <c r="T92" s="118">
        <f ca="1">초급</f>
        <v>235459</v>
      </c>
      <c r="U92" s="118">
        <f t="shared" ca="1" si="23"/>
        <v>8391758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319" t="s">
        <v>42</v>
      </c>
      <c r="O93" s="174">
        <v>8</v>
      </c>
      <c r="P93" s="235">
        <f ca="1">OFFSET($A$1,MATCH(Z87,$A:$A,0)-1,O93)</f>
        <v>18.540000000000003</v>
      </c>
      <c r="Q93" s="322" t="s">
        <v>29</v>
      </c>
      <c r="R93" s="323">
        <f t="shared" ca="1" si="22"/>
        <v>250087</v>
      </c>
      <c r="S93" s="323">
        <f t="shared" ca="1" si="22"/>
        <v>4636612</v>
      </c>
      <c r="T93" s="323">
        <f ca="1">보조원</f>
        <v>250087</v>
      </c>
      <c r="U93" s="323">
        <f t="shared" ca="1" si="23"/>
        <v>4636612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M94" s="171"/>
      <c r="N94" s="139" t="s">
        <v>17</v>
      </c>
      <c r="O94" s="68"/>
      <c r="P94" s="69"/>
      <c r="Q94" s="70"/>
      <c r="R94" s="71"/>
      <c r="S94" s="71">
        <f ca="1">SUBTOTAL(9,S88:S93)</f>
        <v>38415786</v>
      </c>
      <c r="T94" s="71"/>
      <c r="U94" s="71">
        <f ca="1">SUBTOTAL(9,U88:U93)</f>
        <v>38415786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M95" s="171"/>
      <c r="N95" s="318" t="str">
        <f ca="1">"제 " &amp; Z95 &amp; " 호표  "&amp; OFFSET($A$1,MATCH(Z95,$A:$A,0)-1,1)</f>
        <v>제 6 호표  2.3. 토지이용체계구상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6</v>
      </c>
    </row>
    <row r="96" spans="11:26" ht="18" customHeight="1">
      <c r="K96" s="171" t="s">
        <v>14</v>
      </c>
      <c r="L96" s="171"/>
      <c r="M96" s="171"/>
      <c r="N96" s="140" t="s">
        <v>43</v>
      </c>
      <c r="O96" s="172">
        <v>3</v>
      </c>
      <c r="P96" s="219">
        <f ca="1">OFFSET($A$1,MATCH(Z95,$A:$A,0)-1,O96)</f>
        <v>4.2799999999999994</v>
      </c>
      <c r="Q96" s="141" t="s">
        <v>29</v>
      </c>
      <c r="R96" s="142">
        <f t="shared" ref="R96:S101" ca="1" si="24">T96</f>
        <v>467217</v>
      </c>
      <c r="S96" s="142">
        <f t="shared" ca="1" si="24"/>
        <v>1999688</v>
      </c>
      <c r="T96" s="142">
        <f ca="1">기술사</f>
        <v>467217</v>
      </c>
      <c r="U96" s="142">
        <f t="shared" ref="U96:U101" ca="1" si="25">ROUNDDOWN(P96*R96,0)</f>
        <v>1999688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M97" s="171"/>
      <c r="N97" s="143" t="s">
        <v>32</v>
      </c>
      <c r="O97" s="173">
        <v>4</v>
      </c>
      <c r="P97" s="234">
        <f ca="1">OFFSET($A$1,MATCH(Z95,$A:$A,0)-1,O97)</f>
        <v>12.84</v>
      </c>
      <c r="Q97" s="144" t="s">
        <v>29</v>
      </c>
      <c r="R97" s="118">
        <f t="shared" ca="1" si="24"/>
        <v>373353</v>
      </c>
      <c r="S97" s="118">
        <f t="shared" ca="1" si="24"/>
        <v>4793852</v>
      </c>
      <c r="T97" s="118">
        <f ca="1">특급</f>
        <v>373353</v>
      </c>
      <c r="U97" s="118">
        <f t="shared" ca="1" si="25"/>
        <v>4793852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39</v>
      </c>
      <c r="O98" s="173">
        <v>5</v>
      </c>
      <c r="P98" s="234">
        <f ca="1">OFFSET($A$1,MATCH(Z95,$A:$A,0)-1,O98)</f>
        <v>23.76</v>
      </c>
      <c r="Q98" s="144" t="s">
        <v>29</v>
      </c>
      <c r="R98" s="118">
        <f t="shared" ca="1" si="24"/>
        <v>310884</v>
      </c>
      <c r="S98" s="118">
        <f t="shared" ca="1" si="24"/>
        <v>7386603</v>
      </c>
      <c r="T98" s="118">
        <f ca="1">고급</f>
        <v>310884</v>
      </c>
      <c r="U98" s="118">
        <f t="shared" ca="1" si="25"/>
        <v>7386603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40</v>
      </c>
      <c r="O99" s="173">
        <v>6</v>
      </c>
      <c r="P99" s="234">
        <f ca="1">OFFSET($A$1,MATCH(Z95,$A:$A,0)-1,O99)</f>
        <v>26.62</v>
      </c>
      <c r="Q99" s="144" t="s">
        <v>29</v>
      </c>
      <c r="R99" s="118">
        <f t="shared" ca="1" si="24"/>
        <v>295138</v>
      </c>
      <c r="S99" s="118">
        <f t="shared" ca="1" si="24"/>
        <v>7856573</v>
      </c>
      <c r="T99" s="118">
        <f ca="1">중급</f>
        <v>295138</v>
      </c>
      <c r="U99" s="118">
        <f t="shared" ca="1" si="25"/>
        <v>7856573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41</v>
      </c>
      <c r="O100" s="173">
        <v>7</v>
      </c>
      <c r="P100" s="234">
        <f ca="1">OFFSET($A$1,MATCH(Z95,$A:$A,0)-1,O100)</f>
        <v>37.549999999999997</v>
      </c>
      <c r="Q100" s="144" t="s">
        <v>29</v>
      </c>
      <c r="R100" s="118">
        <f t="shared" ca="1" si="24"/>
        <v>235459</v>
      </c>
      <c r="S100" s="118">
        <f t="shared" ca="1" si="24"/>
        <v>8841485</v>
      </c>
      <c r="T100" s="118">
        <f ca="1">초급</f>
        <v>235459</v>
      </c>
      <c r="U100" s="118">
        <f t="shared" ca="1" si="25"/>
        <v>8841485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319" t="s">
        <v>42</v>
      </c>
      <c r="O101" s="174">
        <v>8</v>
      </c>
      <c r="P101" s="235">
        <f ca="1">OFFSET($A$1,MATCH(Z95,$A:$A,0)-1,O101)</f>
        <v>16.64</v>
      </c>
      <c r="Q101" s="322" t="s">
        <v>29</v>
      </c>
      <c r="R101" s="323">
        <f t="shared" ca="1" si="24"/>
        <v>250087</v>
      </c>
      <c r="S101" s="323">
        <f t="shared" ca="1" si="24"/>
        <v>4161447</v>
      </c>
      <c r="T101" s="323">
        <f ca="1">보조원</f>
        <v>250087</v>
      </c>
      <c r="U101" s="323">
        <f t="shared" ca="1" si="25"/>
        <v>4161447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M102" s="171"/>
      <c r="N102" s="139" t="s">
        <v>17</v>
      </c>
      <c r="O102" s="68"/>
      <c r="P102" s="69"/>
      <c r="Q102" s="70"/>
      <c r="R102" s="71"/>
      <c r="S102" s="71">
        <f ca="1">SUBTOTAL(9,S96:S101)</f>
        <v>35039648</v>
      </c>
      <c r="T102" s="71"/>
      <c r="U102" s="71">
        <f ca="1">SUBTOTAL(9,U96:U101)</f>
        <v>35039648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M103" s="171"/>
      <c r="N103" s="318" t="str">
        <f ca="1">"제 " &amp; Z103 &amp; " 호표  "&amp; OFFSET($A$1,MATCH(Z103,$A:$A,0)-1,1)</f>
        <v>제 7 호표  2.4. 동선체계구상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7</v>
      </c>
    </row>
    <row r="104" spans="11:26" ht="18" customHeight="1">
      <c r="K104" s="171" t="s">
        <v>14</v>
      </c>
      <c r="L104" s="171"/>
      <c r="M104" s="171"/>
      <c r="N104" s="140" t="s">
        <v>43</v>
      </c>
      <c r="O104" s="172">
        <v>3</v>
      </c>
      <c r="P104" s="219">
        <f ca="1">OFFSET($A$1,MATCH(Z103,$A:$A,0)-1,O104)</f>
        <v>4.2799999999999994</v>
      </c>
      <c r="Q104" s="141" t="s">
        <v>29</v>
      </c>
      <c r="R104" s="142">
        <f t="shared" ref="R104:S109" ca="1" si="26">T104</f>
        <v>467217</v>
      </c>
      <c r="S104" s="142">
        <f t="shared" ca="1" si="26"/>
        <v>1999688</v>
      </c>
      <c r="T104" s="142">
        <f ca="1">기술사</f>
        <v>467217</v>
      </c>
      <c r="U104" s="142">
        <f t="shared" ref="U104:U109" ca="1" si="27">ROUNDDOWN(P104*R104,0)</f>
        <v>1999688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M105" s="171"/>
      <c r="N105" s="143" t="s">
        <v>32</v>
      </c>
      <c r="O105" s="173">
        <v>4</v>
      </c>
      <c r="P105" s="234">
        <f ca="1">OFFSET($A$1,MATCH(Z103,$A:$A,0)-1,O105)</f>
        <v>11.41</v>
      </c>
      <c r="Q105" s="144" t="s">
        <v>29</v>
      </c>
      <c r="R105" s="118">
        <f t="shared" ca="1" si="26"/>
        <v>373353</v>
      </c>
      <c r="S105" s="118">
        <f t="shared" ca="1" si="26"/>
        <v>4259957</v>
      </c>
      <c r="T105" s="118">
        <f ca="1">특급</f>
        <v>373353</v>
      </c>
      <c r="U105" s="118">
        <f t="shared" ca="1" si="27"/>
        <v>4259957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39</v>
      </c>
      <c r="O106" s="173">
        <v>5</v>
      </c>
      <c r="P106" s="234">
        <f ca="1">OFFSET($A$1,MATCH(Z103,$A:$A,0)-1,O106)</f>
        <v>22.810000000000002</v>
      </c>
      <c r="Q106" s="144" t="s">
        <v>29</v>
      </c>
      <c r="R106" s="118">
        <f t="shared" ca="1" si="26"/>
        <v>310884</v>
      </c>
      <c r="S106" s="118">
        <f t="shared" ca="1" si="26"/>
        <v>7091264</v>
      </c>
      <c r="T106" s="118">
        <f ca="1">고급</f>
        <v>310884</v>
      </c>
      <c r="U106" s="118">
        <f t="shared" ca="1" si="27"/>
        <v>7091264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40</v>
      </c>
      <c r="O107" s="173">
        <v>6</v>
      </c>
      <c r="P107" s="234">
        <f ca="1">OFFSET($A$1,MATCH(Z103,$A:$A,0)-1,O107)</f>
        <v>26.14</v>
      </c>
      <c r="Q107" s="144" t="s">
        <v>29</v>
      </c>
      <c r="R107" s="118">
        <f t="shared" ca="1" si="26"/>
        <v>295138</v>
      </c>
      <c r="S107" s="118">
        <f t="shared" ca="1" si="26"/>
        <v>7714907</v>
      </c>
      <c r="T107" s="118">
        <f ca="1">중급</f>
        <v>295138</v>
      </c>
      <c r="U107" s="118">
        <f t="shared" ca="1" si="27"/>
        <v>7714907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41</v>
      </c>
      <c r="O108" s="173">
        <v>7</v>
      </c>
      <c r="P108" s="234">
        <f ca="1">OFFSET($A$1,MATCH(Z103,$A:$A,0)-1,O108)</f>
        <v>35.64</v>
      </c>
      <c r="Q108" s="144" t="s">
        <v>29</v>
      </c>
      <c r="R108" s="118">
        <f t="shared" ca="1" si="26"/>
        <v>235459</v>
      </c>
      <c r="S108" s="118">
        <f t="shared" ca="1" si="26"/>
        <v>8391758</v>
      </c>
      <c r="T108" s="118">
        <f ca="1">초급</f>
        <v>235459</v>
      </c>
      <c r="U108" s="118">
        <f t="shared" ca="1" si="27"/>
        <v>8391758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319" t="s">
        <v>42</v>
      </c>
      <c r="O109" s="174">
        <v>8</v>
      </c>
      <c r="P109" s="235">
        <f ca="1">OFFSET($A$1,MATCH(Z103,$A:$A,0)-1,O109)</f>
        <v>17.110000000000003</v>
      </c>
      <c r="Q109" s="322" t="s">
        <v>29</v>
      </c>
      <c r="R109" s="323">
        <f t="shared" ca="1" si="26"/>
        <v>250087</v>
      </c>
      <c r="S109" s="323">
        <f t="shared" ca="1" si="26"/>
        <v>4278988</v>
      </c>
      <c r="T109" s="323">
        <f ca="1">보조원</f>
        <v>250087</v>
      </c>
      <c r="U109" s="323">
        <f t="shared" ca="1" si="27"/>
        <v>4278988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M110" s="171"/>
      <c r="N110" s="139" t="s">
        <v>17</v>
      </c>
      <c r="O110" s="68"/>
      <c r="P110" s="69"/>
      <c r="Q110" s="70"/>
      <c r="R110" s="71"/>
      <c r="S110" s="71">
        <f ca="1">SUBTOTAL(9,S104:S109)</f>
        <v>33736562</v>
      </c>
      <c r="T110" s="71"/>
      <c r="U110" s="71">
        <f ca="1">SUBTOTAL(9,U104:U109)</f>
        <v>33736562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M111" s="171"/>
      <c r="N111" s="318" t="str">
        <f ca="1">"제 " &amp; Z111 &amp; " 호표  "&amp; OFFSET($A$1,MATCH(Z111,$A:$A,0)-1,1)</f>
        <v>제 8 호표  2.5. 유치시설종류 및 규모설정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8</v>
      </c>
    </row>
    <row r="112" spans="11:26" ht="18" customHeight="1">
      <c r="K112" s="171" t="s">
        <v>14</v>
      </c>
      <c r="L112" s="171"/>
      <c r="M112" s="171"/>
      <c r="N112" s="140" t="s">
        <v>43</v>
      </c>
      <c r="O112" s="172">
        <v>3</v>
      </c>
      <c r="P112" s="219">
        <f ca="1">OFFSET($A$1,MATCH(Z111,$A:$A,0)-1,O112)</f>
        <v>5.2299999999999995</v>
      </c>
      <c r="Q112" s="141" t="s">
        <v>29</v>
      </c>
      <c r="R112" s="142">
        <f t="shared" ref="R112:S117" ca="1" si="28">T112</f>
        <v>467217</v>
      </c>
      <c r="S112" s="142">
        <f t="shared" ca="1" si="28"/>
        <v>2443544</v>
      </c>
      <c r="T112" s="142">
        <f ca="1">기술사</f>
        <v>467217</v>
      </c>
      <c r="U112" s="142">
        <f t="shared" ref="U112:U117" ca="1" si="29">ROUNDDOWN(P112*R112,0)</f>
        <v>2443544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M113" s="171"/>
      <c r="N113" s="143" t="s">
        <v>32</v>
      </c>
      <c r="O113" s="173">
        <v>4</v>
      </c>
      <c r="P113" s="234">
        <f ca="1">OFFSET($A$1,MATCH(Z111,$A:$A,0)-1,O113)</f>
        <v>17.59</v>
      </c>
      <c r="Q113" s="144" t="s">
        <v>29</v>
      </c>
      <c r="R113" s="118">
        <f t="shared" ca="1" si="28"/>
        <v>373353</v>
      </c>
      <c r="S113" s="118">
        <f t="shared" ca="1" si="28"/>
        <v>6567279</v>
      </c>
      <c r="T113" s="118">
        <f ca="1">특급</f>
        <v>373353</v>
      </c>
      <c r="U113" s="118">
        <f t="shared" ca="1" si="29"/>
        <v>6567279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39</v>
      </c>
      <c r="O114" s="173">
        <v>5</v>
      </c>
      <c r="P114" s="234">
        <f ca="1">OFFSET($A$1,MATCH(Z111,$A:$A,0)-1,O114)</f>
        <v>30.42</v>
      </c>
      <c r="Q114" s="144" t="s">
        <v>29</v>
      </c>
      <c r="R114" s="118">
        <f t="shared" ca="1" si="28"/>
        <v>310884</v>
      </c>
      <c r="S114" s="118">
        <f t="shared" ca="1" si="28"/>
        <v>9457091</v>
      </c>
      <c r="T114" s="118">
        <f ca="1">고급</f>
        <v>310884</v>
      </c>
      <c r="U114" s="118">
        <f t="shared" ca="1" si="29"/>
        <v>9457091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40</v>
      </c>
      <c r="O115" s="173">
        <v>6</v>
      </c>
      <c r="P115" s="234">
        <f ca="1">OFFSET($A$1,MATCH(Z111,$A:$A,0)-1,O115)</f>
        <v>31.84</v>
      </c>
      <c r="Q115" s="144" t="s">
        <v>29</v>
      </c>
      <c r="R115" s="118">
        <f t="shared" ca="1" si="28"/>
        <v>295138</v>
      </c>
      <c r="S115" s="118">
        <f t="shared" ca="1" si="28"/>
        <v>9397193</v>
      </c>
      <c r="T115" s="118">
        <f ca="1">중급</f>
        <v>295138</v>
      </c>
      <c r="U115" s="118">
        <f t="shared" ca="1" si="29"/>
        <v>9397193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41</v>
      </c>
      <c r="O116" s="173">
        <v>7</v>
      </c>
      <c r="P116" s="234">
        <f ca="1">OFFSET($A$1,MATCH(Z111,$A:$A,0)-1,O116)</f>
        <v>39.919999999999995</v>
      </c>
      <c r="Q116" s="144" t="s">
        <v>29</v>
      </c>
      <c r="R116" s="118">
        <f t="shared" ca="1" si="28"/>
        <v>235459</v>
      </c>
      <c r="S116" s="118">
        <f t="shared" ca="1" si="28"/>
        <v>9399523</v>
      </c>
      <c r="T116" s="118">
        <f ca="1">초급</f>
        <v>235459</v>
      </c>
      <c r="U116" s="118">
        <f t="shared" ca="1" si="29"/>
        <v>9399523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319" t="s">
        <v>42</v>
      </c>
      <c r="O117" s="174">
        <v>8</v>
      </c>
      <c r="P117" s="235">
        <f ca="1">OFFSET($A$1,MATCH(Z111,$A:$A,0)-1,O117)</f>
        <v>21.860000000000003</v>
      </c>
      <c r="Q117" s="322" t="s">
        <v>29</v>
      </c>
      <c r="R117" s="323">
        <f t="shared" ca="1" si="28"/>
        <v>250087</v>
      </c>
      <c r="S117" s="323">
        <f t="shared" ca="1" si="28"/>
        <v>5466901</v>
      </c>
      <c r="T117" s="323">
        <f ca="1">보조원</f>
        <v>250087</v>
      </c>
      <c r="U117" s="323">
        <f t="shared" ca="1" si="29"/>
        <v>5466901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42731531</v>
      </c>
      <c r="T118" s="71"/>
      <c r="U118" s="71">
        <f ca="1">SUBTOTAL(9,U112:U117)</f>
        <v>42731531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  <c r="N119" s="318" t="str">
        <f ca="1">"제 " &amp; Z119 &amp; " 호표  "&amp; OFFSET($A$1,MATCH(Z119,$A:$A,0)-1,1)</f>
        <v>제 9 호표  3.1. 토지이용계획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9</v>
      </c>
    </row>
    <row r="120" spans="11:26" ht="18" customHeight="1">
      <c r="K120" s="171" t="s">
        <v>14</v>
      </c>
      <c r="L120" s="171"/>
      <c r="M120" s="171"/>
      <c r="N120" s="140" t="s">
        <v>43</v>
      </c>
      <c r="O120" s="172">
        <v>3</v>
      </c>
      <c r="P120" s="219">
        <f ca="1">OFFSET($A$1,MATCH(Z119,$A:$A,0)-1,O120)</f>
        <v>6.66</v>
      </c>
      <c r="Q120" s="141" t="s">
        <v>29</v>
      </c>
      <c r="R120" s="142">
        <f t="shared" ref="R120:S125" ca="1" si="30">T120</f>
        <v>467217</v>
      </c>
      <c r="S120" s="142">
        <f t="shared" ca="1" si="30"/>
        <v>3111665</v>
      </c>
      <c r="T120" s="142">
        <f ca="1">기술사</f>
        <v>467217</v>
      </c>
      <c r="U120" s="142">
        <f t="shared" ref="U120:U125" ca="1" si="31">ROUNDDOWN(P120*R120,0)</f>
        <v>3111665</v>
      </c>
      <c r="V120" s="142"/>
      <c r="W120" s="142"/>
      <c r="X120" s="142"/>
      <c r="Y120" s="142"/>
      <c r="Z120" s="114"/>
    </row>
    <row r="121" spans="11:26" ht="18" customHeight="1">
      <c r="K121" s="171" t="s">
        <v>14</v>
      </c>
      <c r="L121" s="171"/>
      <c r="M121" s="171"/>
      <c r="N121" s="143" t="s">
        <v>32</v>
      </c>
      <c r="O121" s="173">
        <v>4</v>
      </c>
      <c r="P121" s="234">
        <f ca="1">OFFSET($A$1,MATCH(Z119,$A:$A,0)-1,O121)</f>
        <v>22.810000000000002</v>
      </c>
      <c r="Q121" s="144" t="s">
        <v>29</v>
      </c>
      <c r="R121" s="118">
        <f t="shared" ca="1" si="30"/>
        <v>373353</v>
      </c>
      <c r="S121" s="118">
        <f t="shared" ca="1" si="30"/>
        <v>8516181</v>
      </c>
      <c r="T121" s="118">
        <f ca="1">특급</f>
        <v>373353</v>
      </c>
      <c r="U121" s="118">
        <f t="shared" ca="1" si="31"/>
        <v>8516181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39</v>
      </c>
      <c r="O122" s="173">
        <v>5</v>
      </c>
      <c r="P122" s="234">
        <f ca="1">OFFSET($A$1,MATCH(Z119,$A:$A,0)-1,O122)</f>
        <v>33.269999999999996</v>
      </c>
      <c r="Q122" s="144" t="s">
        <v>29</v>
      </c>
      <c r="R122" s="118">
        <f t="shared" ca="1" si="30"/>
        <v>310884</v>
      </c>
      <c r="S122" s="118">
        <f t="shared" ca="1" si="30"/>
        <v>10343110</v>
      </c>
      <c r="T122" s="118">
        <f ca="1">고급</f>
        <v>310884</v>
      </c>
      <c r="U122" s="118">
        <f t="shared" ca="1" si="31"/>
        <v>10343110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40</v>
      </c>
      <c r="O123" s="173">
        <v>6</v>
      </c>
      <c r="P123" s="234">
        <f ca="1">OFFSET($A$1,MATCH(Z119,$A:$A,0)-1,O123)</f>
        <v>39.449999999999996</v>
      </c>
      <c r="Q123" s="144" t="s">
        <v>29</v>
      </c>
      <c r="R123" s="118">
        <f t="shared" ca="1" si="30"/>
        <v>295138</v>
      </c>
      <c r="S123" s="118">
        <f t="shared" ca="1" si="30"/>
        <v>11643194</v>
      </c>
      <c r="T123" s="118">
        <f ca="1">중급</f>
        <v>295138</v>
      </c>
      <c r="U123" s="118">
        <f t="shared" ca="1" si="31"/>
        <v>11643194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41</v>
      </c>
      <c r="O124" s="173">
        <v>7</v>
      </c>
      <c r="P124" s="234">
        <f ca="1">OFFSET($A$1,MATCH(Z119,$A:$A,0)-1,O124)</f>
        <v>43.72</v>
      </c>
      <c r="Q124" s="144" t="s">
        <v>29</v>
      </c>
      <c r="R124" s="118">
        <f t="shared" ca="1" si="30"/>
        <v>235459</v>
      </c>
      <c r="S124" s="118">
        <f t="shared" ca="1" si="30"/>
        <v>10294267</v>
      </c>
      <c r="T124" s="118">
        <f ca="1">초급</f>
        <v>235459</v>
      </c>
      <c r="U124" s="118">
        <f t="shared" ca="1" si="31"/>
        <v>10294267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319" t="s">
        <v>42</v>
      </c>
      <c r="O125" s="174">
        <v>8</v>
      </c>
      <c r="P125" s="235">
        <f ca="1">OFFSET($A$1,MATCH(Z119,$A:$A,0)-1,O125)</f>
        <v>23.290000000000003</v>
      </c>
      <c r="Q125" s="322" t="s">
        <v>29</v>
      </c>
      <c r="R125" s="323">
        <f t="shared" ca="1" si="30"/>
        <v>250087</v>
      </c>
      <c r="S125" s="323">
        <f t="shared" ca="1" si="30"/>
        <v>5824526</v>
      </c>
      <c r="T125" s="323">
        <f ca="1">보조원</f>
        <v>250087</v>
      </c>
      <c r="U125" s="323">
        <f t="shared" ca="1" si="31"/>
        <v>5824526</v>
      </c>
      <c r="V125" s="323"/>
      <c r="W125" s="323"/>
      <c r="X125" s="323"/>
      <c r="Y125" s="323"/>
      <c r="Z125" s="324"/>
    </row>
    <row r="126" spans="11:26" ht="18" customHeight="1">
      <c r="K126" s="171" t="s">
        <v>14</v>
      </c>
      <c r="L126" s="171"/>
      <c r="M126" s="171"/>
      <c r="N126" s="139" t="s">
        <v>17</v>
      </c>
      <c r="O126" s="68"/>
      <c r="P126" s="69"/>
      <c r="Q126" s="70"/>
      <c r="R126" s="71"/>
      <c r="S126" s="71">
        <f ca="1">SUBTOTAL(9,S120:S125)</f>
        <v>49732943</v>
      </c>
      <c r="T126" s="71"/>
      <c r="U126" s="71">
        <f ca="1">SUBTOTAL(9,U120:U125)</f>
        <v>49732943</v>
      </c>
      <c r="V126" s="71"/>
      <c r="W126" s="71"/>
      <c r="X126" s="71"/>
      <c r="Y126" s="71"/>
      <c r="Z126" s="68"/>
    </row>
    <row r="127" spans="11:26" ht="18" customHeight="1">
      <c r="K127" s="171" t="s">
        <v>14</v>
      </c>
      <c r="L127" s="171"/>
      <c r="M127" s="171"/>
      <c r="N127" s="318" t="str">
        <f ca="1">"제 " &amp; Z127 &amp; " 호표  "&amp; OFFSET($A$1,MATCH(Z127,$A:$A,0)-1,1)</f>
        <v>제 10 호표  3.2. 교통동선 및 포장계획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10</v>
      </c>
    </row>
    <row r="128" spans="11:26" ht="18" customHeight="1">
      <c r="K128" s="171" t="s">
        <v>14</v>
      </c>
      <c r="L128" s="171"/>
      <c r="M128" s="171"/>
      <c r="N128" s="140" t="s">
        <v>43</v>
      </c>
      <c r="O128" s="172">
        <v>3</v>
      </c>
      <c r="P128" s="219">
        <f ca="1">OFFSET($A$1,MATCH(Z127,$A:$A,0)-1,O128)</f>
        <v>6.66</v>
      </c>
      <c r="Q128" s="141" t="s">
        <v>29</v>
      </c>
      <c r="R128" s="142">
        <f t="shared" ref="R128:S133" ca="1" si="32">T128</f>
        <v>467217</v>
      </c>
      <c r="S128" s="142">
        <f t="shared" ca="1" si="32"/>
        <v>3111665</v>
      </c>
      <c r="T128" s="142">
        <f ca="1">기술사</f>
        <v>467217</v>
      </c>
      <c r="U128" s="142">
        <f t="shared" ref="U128:U133" ca="1" si="33">ROUNDDOWN(P128*R128,0)</f>
        <v>3111665</v>
      </c>
      <c r="V128" s="142"/>
      <c r="W128" s="142"/>
      <c r="X128" s="142"/>
      <c r="Y128" s="142"/>
      <c r="Z128" s="114"/>
    </row>
    <row r="129" spans="11:29" ht="18" customHeight="1">
      <c r="K129" s="171" t="s">
        <v>14</v>
      </c>
      <c r="L129" s="171"/>
      <c r="M129" s="171"/>
      <c r="N129" s="143" t="s">
        <v>32</v>
      </c>
      <c r="O129" s="173">
        <v>4</v>
      </c>
      <c r="P129" s="234">
        <f ca="1">OFFSET($A$1,MATCH(Z127,$A:$A,0)-1,O129)</f>
        <v>22.810000000000002</v>
      </c>
      <c r="Q129" s="144" t="s">
        <v>29</v>
      </c>
      <c r="R129" s="118">
        <f t="shared" ca="1" si="32"/>
        <v>373353</v>
      </c>
      <c r="S129" s="118">
        <f t="shared" ca="1" si="32"/>
        <v>8516181</v>
      </c>
      <c r="T129" s="118">
        <f ca="1">특급</f>
        <v>373353</v>
      </c>
      <c r="U129" s="118">
        <f t="shared" ca="1" si="33"/>
        <v>8516181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39</v>
      </c>
      <c r="O130" s="173">
        <v>5</v>
      </c>
      <c r="P130" s="234">
        <f ca="1">OFFSET($A$1,MATCH(Z127,$A:$A,0)-1,O130)</f>
        <v>33.269999999999996</v>
      </c>
      <c r="Q130" s="144" t="s">
        <v>29</v>
      </c>
      <c r="R130" s="118">
        <f t="shared" ca="1" si="32"/>
        <v>310884</v>
      </c>
      <c r="S130" s="118">
        <f t="shared" ca="1" si="32"/>
        <v>10343110</v>
      </c>
      <c r="T130" s="118">
        <f ca="1">고급</f>
        <v>310884</v>
      </c>
      <c r="U130" s="118">
        <f t="shared" ca="1" si="33"/>
        <v>10343110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40</v>
      </c>
      <c r="O131" s="173">
        <v>6</v>
      </c>
      <c r="P131" s="234">
        <f ca="1">OFFSET($A$1,MATCH(Z127,$A:$A,0)-1,O131)</f>
        <v>39.449999999999996</v>
      </c>
      <c r="Q131" s="144" t="s">
        <v>29</v>
      </c>
      <c r="R131" s="118">
        <f t="shared" ca="1" si="32"/>
        <v>295138</v>
      </c>
      <c r="S131" s="118">
        <f t="shared" ca="1" si="32"/>
        <v>11643194</v>
      </c>
      <c r="T131" s="118">
        <f ca="1">중급</f>
        <v>295138</v>
      </c>
      <c r="U131" s="118">
        <f t="shared" ca="1" si="33"/>
        <v>11643194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41</v>
      </c>
      <c r="O132" s="173">
        <v>7</v>
      </c>
      <c r="P132" s="234">
        <f ca="1">OFFSET($A$1,MATCH(Z127,$A:$A,0)-1,O132)</f>
        <v>43.72</v>
      </c>
      <c r="Q132" s="144" t="s">
        <v>29</v>
      </c>
      <c r="R132" s="118">
        <f t="shared" ca="1" si="32"/>
        <v>235459</v>
      </c>
      <c r="S132" s="118">
        <f t="shared" ca="1" si="32"/>
        <v>10294267</v>
      </c>
      <c r="T132" s="118">
        <f ca="1">초급</f>
        <v>235459</v>
      </c>
      <c r="U132" s="118">
        <f t="shared" ca="1" si="33"/>
        <v>10294267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319" t="s">
        <v>42</v>
      </c>
      <c r="O133" s="174">
        <v>8</v>
      </c>
      <c r="P133" s="235">
        <f ca="1">OFFSET($A$1,MATCH(Z127,$A:$A,0)-1,O133)</f>
        <v>23.290000000000003</v>
      </c>
      <c r="Q133" s="322" t="s">
        <v>29</v>
      </c>
      <c r="R133" s="323">
        <f t="shared" ca="1" si="32"/>
        <v>250087</v>
      </c>
      <c r="S133" s="323">
        <f t="shared" ca="1" si="32"/>
        <v>5824526</v>
      </c>
      <c r="T133" s="323">
        <f ca="1">보조원</f>
        <v>250087</v>
      </c>
      <c r="U133" s="323">
        <f t="shared" ca="1" si="33"/>
        <v>5824526</v>
      </c>
      <c r="V133" s="323"/>
      <c r="W133" s="323"/>
      <c r="X133" s="323"/>
      <c r="Y133" s="323"/>
      <c r="Z133" s="324"/>
    </row>
    <row r="134" spans="11:29" ht="18" customHeight="1">
      <c r="K134" s="171" t="s">
        <v>14</v>
      </c>
      <c r="L134" s="171"/>
      <c r="M134" s="171"/>
      <c r="N134" s="139" t="s">
        <v>17</v>
      </c>
      <c r="O134" s="68"/>
      <c r="P134" s="69"/>
      <c r="Q134" s="70"/>
      <c r="R134" s="71"/>
      <c r="S134" s="71">
        <f ca="1">SUBTOTAL(9,S128:S133)</f>
        <v>49732943</v>
      </c>
      <c r="T134" s="71"/>
      <c r="U134" s="71">
        <f ca="1">SUBTOTAL(9,U128:U133)</f>
        <v>49732943</v>
      </c>
      <c r="V134" s="71"/>
      <c r="W134" s="71"/>
      <c r="X134" s="71"/>
      <c r="Y134" s="71"/>
      <c r="Z134" s="68"/>
    </row>
    <row r="135" spans="11:29" ht="18" customHeight="1">
      <c r="K135" s="171" t="s">
        <v>14</v>
      </c>
      <c r="L135" s="171"/>
      <c r="M135" s="171"/>
      <c r="N135" s="318" t="str">
        <f ca="1">"제 " &amp; Z135 &amp; " 호표  "&amp; OFFSET($A$1,MATCH(Z135,$A:$A,0)-1,1)</f>
        <v>제 11 호표  3.3. 시설배치계획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11</v>
      </c>
    </row>
    <row r="136" spans="11:29" ht="18" customHeight="1">
      <c r="K136" s="171" t="s">
        <v>14</v>
      </c>
      <c r="L136" s="171"/>
      <c r="M136" s="171"/>
      <c r="N136" s="140" t="s">
        <v>43</v>
      </c>
      <c r="O136" s="172">
        <v>3</v>
      </c>
      <c r="P136" s="219">
        <f ca="1">OFFSET($A$1,MATCH(Z135,$A:$A,0)-1,O136)</f>
        <v>7.6099999999999994</v>
      </c>
      <c r="Q136" s="141" t="s">
        <v>29</v>
      </c>
      <c r="R136" s="142">
        <f t="shared" ref="R136:S141" ca="1" si="34">T136</f>
        <v>467217</v>
      </c>
      <c r="S136" s="142">
        <f t="shared" ca="1" si="34"/>
        <v>3555521</v>
      </c>
      <c r="T136" s="142">
        <f ca="1">기술사</f>
        <v>467217</v>
      </c>
      <c r="U136" s="142">
        <f t="shared" ref="U136:U141" ca="1" si="35">ROUNDDOWN(P136*R136,0)</f>
        <v>3555521</v>
      </c>
      <c r="V136" s="142"/>
      <c r="W136" s="142"/>
      <c r="X136" s="142"/>
      <c r="Y136" s="142"/>
      <c r="Z136" s="114"/>
    </row>
    <row r="137" spans="11:29" ht="18" customHeight="1">
      <c r="K137" s="171" t="s">
        <v>14</v>
      </c>
      <c r="L137" s="171"/>
      <c r="M137" s="171"/>
      <c r="N137" s="143" t="s">
        <v>32</v>
      </c>
      <c r="O137" s="173">
        <v>4</v>
      </c>
      <c r="P137" s="234">
        <f ca="1">OFFSET($A$1,MATCH(Z135,$A:$A,0)-1,O137)</f>
        <v>16.16</v>
      </c>
      <c r="Q137" s="144" t="s">
        <v>29</v>
      </c>
      <c r="R137" s="118">
        <f t="shared" ca="1" si="34"/>
        <v>373353</v>
      </c>
      <c r="S137" s="118">
        <f t="shared" ca="1" si="34"/>
        <v>6033384</v>
      </c>
      <c r="T137" s="118">
        <f ca="1">특급</f>
        <v>373353</v>
      </c>
      <c r="U137" s="118">
        <f t="shared" ca="1" si="35"/>
        <v>6033384</v>
      </c>
      <c r="V137" s="118"/>
      <c r="W137" s="118"/>
      <c r="X137" s="118"/>
      <c r="Y137" s="118"/>
      <c r="Z137" s="115"/>
    </row>
    <row r="138" spans="11:29" ht="18" customHeight="1">
      <c r="K138" s="171" t="s">
        <v>14</v>
      </c>
      <c r="L138" s="171"/>
      <c r="M138" s="171"/>
      <c r="N138" s="145" t="s">
        <v>39</v>
      </c>
      <c r="O138" s="173">
        <v>5</v>
      </c>
      <c r="P138" s="234">
        <f ca="1">OFFSET($A$1,MATCH(Z135,$A:$A,0)-1,O138)</f>
        <v>30.89</v>
      </c>
      <c r="Q138" s="144" t="s">
        <v>29</v>
      </c>
      <c r="R138" s="118">
        <f t="shared" ca="1" si="34"/>
        <v>310884</v>
      </c>
      <c r="S138" s="118">
        <f t="shared" ca="1" si="34"/>
        <v>9603206</v>
      </c>
      <c r="T138" s="118">
        <f ca="1">고급</f>
        <v>310884</v>
      </c>
      <c r="U138" s="118">
        <f t="shared" ca="1" si="35"/>
        <v>9603206</v>
      </c>
      <c r="V138" s="118"/>
      <c r="W138" s="118"/>
      <c r="X138" s="118"/>
      <c r="Y138" s="118"/>
      <c r="Z138" s="115"/>
    </row>
    <row r="139" spans="11:29" ht="18" customHeight="1">
      <c r="K139" s="171" t="s">
        <v>14</v>
      </c>
      <c r="L139" s="171"/>
      <c r="M139" s="171"/>
      <c r="N139" s="145" t="s">
        <v>40</v>
      </c>
      <c r="O139" s="173">
        <v>6</v>
      </c>
      <c r="P139" s="234">
        <f ca="1">OFFSET($A$1,MATCH(Z135,$A:$A,0)-1,O139)</f>
        <v>30.42</v>
      </c>
      <c r="Q139" s="144" t="s">
        <v>29</v>
      </c>
      <c r="R139" s="118">
        <f t="shared" ca="1" si="34"/>
        <v>295138</v>
      </c>
      <c r="S139" s="118">
        <f t="shared" ca="1" si="34"/>
        <v>8978097</v>
      </c>
      <c r="T139" s="118">
        <f ca="1">중급</f>
        <v>295138</v>
      </c>
      <c r="U139" s="118">
        <f t="shared" ca="1" si="35"/>
        <v>8978097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41</v>
      </c>
      <c r="O140" s="173">
        <v>7</v>
      </c>
      <c r="P140" s="234">
        <f ca="1">OFFSET($A$1,MATCH(Z135,$A:$A,0)-1,O140)</f>
        <v>36.119999999999997</v>
      </c>
      <c r="Q140" s="144" t="s">
        <v>29</v>
      </c>
      <c r="R140" s="118">
        <f t="shared" ca="1" si="34"/>
        <v>235459</v>
      </c>
      <c r="S140" s="118">
        <f t="shared" ca="1" si="34"/>
        <v>8504779</v>
      </c>
      <c r="T140" s="118">
        <f ca="1">초급</f>
        <v>235459</v>
      </c>
      <c r="U140" s="118">
        <f t="shared" ca="1" si="35"/>
        <v>8504779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9" t="s">
        <v>42</v>
      </c>
      <c r="O141" s="174">
        <v>8</v>
      </c>
      <c r="P141" s="235">
        <f ca="1">OFFSET($A$1,MATCH(Z135,$A:$A,0)-1,O141)</f>
        <v>20.440000000000001</v>
      </c>
      <c r="Q141" s="322" t="s">
        <v>29</v>
      </c>
      <c r="R141" s="323">
        <f t="shared" ca="1" si="34"/>
        <v>250087</v>
      </c>
      <c r="S141" s="323">
        <f t="shared" ca="1" si="34"/>
        <v>5111778</v>
      </c>
      <c r="T141" s="323">
        <f ca="1">보조원</f>
        <v>250087</v>
      </c>
      <c r="U141" s="323">
        <f t="shared" ca="1" si="35"/>
        <v>5111778</v>
      </c>
      <c r="V141" s="323"/>
      <c r="W141" s="323"/>
      <c r="X141" s="323"/>
      <c r="Y141" s="323"/>
      <c r="Z141" s="324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39" t="s">
        <v>17</v>
      </c>
      <c r="O142" s="68"/>
      <c r="P142" s="69"/>
      <c r="Q142" s="70"/>
      <c r="R142" s="71"/>
      <c r="S142" s="71">
        <f ca="1">SUBTOTAL(9,S136:S141)</f>
        <v>41786765</v>
      </c>
      <c r="T142" s="71"/>
      <c r="U142" s="71">
        <f ca="1">SUBTOTAL(9,U136:U141)</f>
        <v>41786765</v>
      </c>
      <c r="V142" s="71"/>
      <c r="W142" s="71"/>
      <c r="X142" s="71"/>
      <c r="Y142" s="71"/>
      <c r="Z142" s="68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318" t="str">
        <f ca="1">"제 " &amp; Z143 &amp; " 호표  "&amp; OFFSET($A$1,MATCH(Z143,$A:$A,0)-1,1)</f>
        <v>제 12 호표  3.4. 식재계획</v>
      </c>
      <c r="O143" s="221"/>
      <c r="P143" s="148"/>
      <c r="Q143" s="148"/>
      <c r="R143" s="149"/>
      <c r="S143" s="149"/>
      <c r="T143" s="149"/>
      <c r="U143" s="149"/>
      <c r="V143" s="149"/>
      <c r="W143" s="149"/>
      <c r="X143" s="149"/>
      <c r="Y143" s="149"/>
      <c r="Z143" s="325">
        <f>Z135+1</f>
        <v>12</v>
      </c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0" t="s">
        <v>43</v>
      </c>
      <c r="O144" s="172">
        <v>3</v>
      </c>
      <c r="P144" s="219">
        <f ca="1">OFFSET($A$1,MATCH(Z143,$A:$A,0)-1,O144)</f>
        <v>5.71</v>
      </c>
      <c r="Q144" s="141" t="s">
        <v>29</v>
      </c>
      <c r="R144" s="142">
        <f t="shared" ref="R144:S149" ca="1" si="36">T144</f>
        <v>467217</v>
      </c>
      <c r="S144" s="142">
        <f t="shared" ca="1" si="36"/>
        <v>2667809</v>
      </c>
      <c r="T144" s="142">
        <f ca="1">기술사</f>
        <v>467217</v>
      </c>
      <c r="U144" s="142">
        <f t="shared" ref="U144:U149" ca="1" si="37">ROUNDDOWN(P144*R144,0)</f>
        <v>2667809</v>
      </c>
      <c r="V144" s="142"/>
      <c r="W144" s="142"/>
      <c r="X144" s="142"/>
      <c r="Y144" s="142"/>
      <c r="Z144" s="114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3" t="s">
        <v>32</v>
      </c>
      <c r="O145" s="173">
        <v>4</v>
      </c>
      <c r="P145" s="234">
        <f ca="1">OFFSET($A$1,MATCH(Z143,$A:$A,0)-1,O145)</f>
        <v>15.69</v>
      </c>
      <c r="Q145" s="144" t="s">
        <v>29</v>
      </c>
      <c r="R145" s="118">
        <f t="shared" ca="1" si="36"/>
        <v>373353</v>
      </c>
      <c r="S145" s="118">
        <f t="shared" ca="1" si="36"/>
        <v>5857908</v>
      </c>
      <c r="T145" s="118">
        <f ca="1">특급</f>
        <v>373353</v>
      </c>
      <c r="U145" s="118">
        <f t="shared" ca="1" si="37"/>
        <v>5857908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39</v>
      </c>
      <c r="O146" s="173">
        <v>5</v>
      </c>
      <c r="P146" s="234">
        <f ca="1">OFFSET($A$1,MATCH(Z143,$A:$A,0)-1,O146)</f>
        <v>26.62</v>
      </c>
      <c r="Q146" s="144" t="s">
        <v>29</v>
      </c>
      <c r="R146" s="118">
        <f t="shared" ca="1" si="36"/>
        <v>310884</v>
      </c>
      <c r="S146" s="118">
        <f t="shared" ca="1" si="36"/>
        <v>8275732</v>
      </c>
      <c r="T146" s="118">
        <f ca="1">고급</f>
        <v>310884</v>
      </c>
      <c r="U146" s="118">
        <f t="shared" ca="1" si="37"/>
        <v>8275732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40</v>
      </c>
      <c r="O147" s="173">
        <v>6</v>
      </c>
      <c r="P147" s="234">
        <f ca="1">OFFSET($A$1,MATCH(Z143,$A:$A,0)-1,O147)</f>
        <v>32.79</v>
      </c>
      <c r="Q147" s="144" t="s">
        <v>29</v>
      </c>
      <c r="R147" s="118">
        <f t="shared" ca="1" si="36"/>
        <v>295138</v>
      </c>
      <c r="S147" s="118">
        <f t="shared" ca="1" si="36"/>
        <v>9677575</v>
      </c>
      <c r="T147" s="118">
        <f ca="1">중급</f>
        <v>295138</v>
      </c>
      <c r="U147" s="118">
        <f t="shared" ca="1" si="37"/>
        <v>9677575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41</v>
      </c>
      <c r="O148" s="173">
        <v>7</v>
      </c>
      <c r="P148" s="234">
        <f ca="1">OFFSET($A$1,MATCH(Z143,$A:$A,0)-1,O148)</f>
        <v>46.949999999999996</v>
      </c>
      <c r="Q148" s="144" t="s">
        <v>29</v>
      </c>
      <c r="R148" s="118">
        <f t="shared" ca="1" si="36"/>
        <v>235459</v>
      </c>
      <c r="S148" s="118">
        <f t="shared" ca="1" si="36"/>
        <v>11054800</v>
      </c>
      <c r="T148" s="118">
        <f ca="1">초급</f>
        <v>235459</v>
      </c>
      <c r="U148" s="118">
        <f t="shared" ca="1" si="37"/>
        <v>11054800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9" t="s">
        <v>42</v>
      </c>
      <c r="O149" s="174">
        <v>8</v>
      </c>
      <c r="P149" s="235">
        <f ca="1">OFFSET($A$1,MATCH(Z143,$A:$A,0)-1,O149)</f>
        <v>19.490000000000002</v>
      </c>
      <c r="Q149" s="322" t="s">
        <v>29</v>
      </c>
      <c r="R149" s="323">
        <f t="shared" ca="1" si="36"/>
        <v>250087</v>
      </c>
      <c r="S149" s="323">
        <f t="shared" ca="1" si="36"/>
        <v>4874195</v>
      </c>
      <c r="T149" s="323">
        <f ca="1">보조원</f>
        <v>250087</v>
      </c>
      <c r="U149" s="323">
        <f t="shared" ca="1" si="37"/>
        <v>4874195</v>
      </c>
      <c r="V149" s="323"/>
      <c r="W149" s="323"/>
      <c r="X149" s="323"/>
      <c r="Y149" s="323"/>
      <c r="Z149" s="324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39" t="s">
        <v>17</v>
      </c>
      <c r="O150" s="68"/>
      <c r="P150" s="69"/>
      <c r="Q150" s="70"/>
      <c r="R150" s="71"/>
      <c r="S150" s="71">
        <f ca="1">SUBTOTAL(9,S144:S149)</f>
        <v>42408019</v>
      </c>
      <c r="T150" s="71"/>
      <c r="U150" s="71">
        <f ca="1">SUBTOTAL(9,U144:U149)</f>
        <v>42408019</v>
      </c>
      <c r="V150" s="71"/>
      <c r="W150" s="71"/>
      <c r="X150" s="71"/>
      <c r="Y150" s="71"/>
      <c r="Z150" s="68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318" t="str">
        <f ca="1">"제 " &amp; Z151 &amp; " 호표  "&amp; OFFSET($A$1,MATCH(Z151,$A:$A,0)-1,1)</f>
        <v>제 13 호표  3.5. 공급처리계획</v>
      </c>
      <c r="O151" s="221"/>
      <c r="P151" s="148"/>
      <c r="Q151" s="148"/>
      <c r="R151" s="149"/>
      <c r="S151" s="149"/>
      <c r="T151" s="149"/>
      <c r="U151" s="149"/>
      <c r="V151" s="149"/>
      <c r="W151" s="149"/>
      <c r="X151" s="149"/>
      <c r="Y151" s="149"/>
      <c r="Z151" s="325">
        <f>Z143+1</f>
        <v>13</v>
      </c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0" t="s">
        <v>43</v>
      </c>
      <c r="O152" s="172">
        <v>3</v>
      </c>
      <c r="P152" s="219">
        <f ca="1">OFFSET($A$1,MATCH(Z151,$A:$A,0)-1,O152)</f>
        <v>6.18</v>
      </c>
      <c r="Q152" s="141" t="s">
        <v>29</v>
      </c>
      <c r="R152" s="142">
        <f t="shared" ref="R152:S157" ca="1" si="38">T152</f>
        <v>467217</v>
      </c>
      <c r="S152" s="142">
        <f t="shared" ca="1" si="38"/>
        <v>2887401</v>
      </c>
      <c r="T152" s="142">
        <f ca="1">기술사</f>
        <v>467217</v>
      </c>
      <c r="U152" s="142">
        <f t="shared" ref="U152:U157" ca="1" si="39">ROUNDDOWN(P152*R152,0)</f>
        <v>2887401</v>
      </c>
      <c r="V152" s="142"/>
      <c r="W152" s="142"/>
      <c r="X152" s="142"/>
      <c r="Y152" s="142"/>
      <c r="Z152" s="114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3" t="s">
        <v>32</v>
      </c>
      <c r="O153" s="173">
        <v>4</v>
      </c>
      <c r="P153" s="234">
        <f ca="1">OFFSET($A$1,MATCH(Z151,$A:$A,0)-1,O153)</f>
        <v>20.060000000000002</v>
      </c>
      <c r="Q153" s="144" t="s">
        <v>29</v>
      </c>
      <c r="R153" s="118">
        <f t="shared" ca="1" si="38"/>
        <v>373353</v>
      </c>
      <c r="S153" s="118">
        <f t="shared" ca="1" si="38"/>
        <v>7489461</v>
      </c>
      <c r="T153" s="118">
        <f ca="1">특급</f>
        <v>373353</v>
      </c>
      <c r="U153" s="118">
        <f t="shared" ca="1" si="39"/>
        <v>7489461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39</v>
      </c>
      <c r="O154" s="173">
        <v>5</v>
      </c>
      <c r="P154" s="234">
        <f ca="1">OFFSET($A$1,MATCH(Z151,$A:$A,0)-1,O154)</f>
        <v>27.57</v>
      </c>
      <c r="Q154" s="144" t="s">
        <v>29</v>
      </c>
      <c r="R154" s="118">
        <f t="shared" ca="1" si="38"/>
        <v>310884</v>
      </c>
      <c r="S154" s="118">
        <f t="shared" ca="1" si="38"/>
        <v>8571071</v>
      </c>
      <c r="T154" s="118">
        <f ca="1">고급</f>
        <v>310884</v>
      </c>
      <c r="U154" s="118">
        <f t="shared" ca="1" si="39"/>
        <v>8571071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40</v>
      </c>
      <c r="O155" s="173">
        <v>6</v>
      </c>
      <c r="P155" s="234">
        <f ca="1">OFFSET($A$1,MATCH(Z151,$A:$A,0)-1,O155)</f>
        <v>34.69</v>
      </c>
      <c r="Q155" s="144" t="s">
        <v>29</v>
      </c>
      <c r="R155" s="118">
        <f t="shared" ca="1" si="38"/>
        <v>295138</v>
      </c>
      <c r="S155" s="118">
        <f t="shared" ca="1" si="38"/>
        <v>10238337</v>
      </c>
      <c r="T155" s="118">
        <f ca="1">중급</f>
        <v>295138</v>
      </c>
      <c r="U155" s="118">
        <f t="shared" ca="1" si="39"/>
        <v>10238337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41</v>
      </c>
      <c r="O156" s="173">
        <v>7</v>
      </c>
      <c r="P156" s="234">
        <f ca="1">OFFSET($A$1,MATCH(Z151,$A:$A,0)-1,O156)</f>
        <v>37.549999999999997</v>
      </c>
      <c r="Q156" s="144" t="s">
        <v>29</v>
      </c>
      <c r="R156" s="118">
        <f t="shared" ca="1" si="38"/>
        <v>235459</v>
      </c>
      <c r="S156" s="118">
        <f t="shared" ca="1" si="38"/>
        <v>8841485</v>
      </c>
      <c r="T156" s="118">
        <f ca="1">초급</f>
        <v>235459</v>
      </c>
      <c r="U156" s="118">
        <f t="shared" ca="1" si="39"/>
        <v>8841485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9" t="s">
        <v>42</v>
      </c>
      <c r="O157" s="174">
        <v>8</v>
      </c>
      <c r="P157" s="235">
        <f ca="1">OFFSET($A$1,MATCH(Z151,$A:$A,0)-1,O157)</f>
        <v>20.440000000000001</v>
      </c>
      <c r="Q157" s="322" t="s">
        <v>29</v>
      </c>
      <c r="R157" s="323">
        <f t="shared" ca="1" si="38"/>
        <v>250087</v>
      </c>
      <c r="S157" s="323">
        <f t="shared" ca="1" si="38"/>
        <v>5111778</v>
      </c>
      <c r="T157" s="323">
        <f ca="1">보조원</f>
        <v>250087</v>
      </c>
      <c r="U157" s="323">
        <f t="shared" ca="1" si="39"/>
        <v>5111778</v>
      </c>
      <c r="V157" s="323"/>
      <c r="W157" s="323"/>
      <c r="X157" s="323"/>
      <c r="Y157" s="323"/>
      <c r="Z157" s="324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39" t="s">
        <v>17</v>
      </c>
      <c r="O158" s="68"/>
      <c r="P158" s="69"/>
      <c r="Q158" s="70"/>
      <c r="R158" s="71"/>
      <c r="S158" s="71">
        <f ca="1">SUBTOTAL(9,S152:S157)</f>
        <v>43139533</v>
      </c>
      <c r="T158" s="71"/>
      <c r="U158" s="71">
        <f ca="1">SUBTOTAL(9,U152:U157)</f>
        <v>43139533</v>
      </c>
      <c r="V158" s="71"/>
      <c r="W158" s="71"/>
      <c r="X158" s="71"/>
      <c r="Y158" s="71"/>
      <c r="Z158" s="68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318" t="str">
        <f ca="1">"제 " &amp; Z159 &amp; " 호표  "&amp; OFFSET($A$1,MATCH(Z159,$A:$A,0)-1,1)</f>
        <v>제 14 호표  4.1. 개발추진계획</v>
      </c>
      <c r="O159" s="221"/>
      <c r="P159" s="148"/>
      <c r="Q159" s="148"/>
      <c r="R159" s="149"/>
      <c r="S159" s="149"/>
      <c r="T159" s="149"/>
      <c r="U159" s="149"/>
      <c r="V159" s="149"/>
      <c r="W159" s="149"/>
      <c r="X159" s="149"/>
      <c r="Y159" s="149"/>
      <c r="Z159" s="325">
        <f>Z151+1</f>
        <v>14</v>
      </c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0" t="s">
        <v>43</v>
      </c>
      <c r="O160" s="172">
        <v>3</v>
      </c>
      <c r="P160" s="219">
        <f ca="1">OFFSET($A$1,MATCH(Z159,$A:$A,0)-1,O160)</f>
        <v>3.8099999999999996</v>
      </c>
      <c r="Q160" s="141" t="s">
        <v>29</v>
      </c>
      <c r="R160" s="142">
        <f t="shared" ref="R160:S165" ca="1" si="40">T160</f>
        <v>467217</v>
      </c>
      <c r="S160" s="142">
        <f t="shared" ca="1" si="40"/>
        <v>1780096</v>
      </c>
      <c r="T160" s="142">
        <f ca="1">기술사</f>
        <v>467217</v>
      </c>
      <c r="U160" s="142">
        <f t="shared" ref="U160:U165" ca="1" si="41">ROUNDDOWN(P160*R160,0)</f>
        <v>1780096</v>
      </c>
      <c r="V160" s="142"/>
      <c r="W160" s="142"/>
      <c r="X160" s="142"/>
      <c r="Y160" s="142"/>
      <c r="Z160" s="114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3" t="s">
        <v>32</v>
      </c>
      <c r="O161" s="173">
        <v>4</v>
      </c>
      <c r="P161" s="234">
        <f ca="1">OFFSET($A$1,MATCH(Z159,$A:$A,0)-1,O161)</f>
        <v>11.41</v>
      </c>
      <c r="Q161" s="144" t="s">
        <v>29</v>
      </c>
      <c r="R161" s="118">
        <f t="shared" ca="1" si="40"/>
        <v>373353</v>
      </c>
      <c r="S161" s="118">
        <f t="shared" ca="1" si="40"/>
        <v>4259957</v>
      </c>
      <c r="T161" s="118">
        <f ca="1">특급</f>
        <v>373353</v>
      </c>
      <c r="U161" s="118">
        <f t="shared" ca="1" si="41"/>
        <v>4259957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39</v>
      </c>
      <c r="O162" s="173">
        <v>5</v>
      </c>
      <c r="P162" s="234">
        <f ca="1">OFFSET($A$1,MATCH(Z159,$A:$A,0)-1,O162)</f>
        <v>18.540000000000003</v>
      </c>
      <c r="Q162" s="144" t="s">
        <v>29</v>
      </c>
      <c r="R162" s="118">
        <f t="shared" ca="1" si="40"/>
        <v>310884</v>
      </c>
      <c r="S162" s="118">
        <f t="shared" ca="1" si="40"/>
        <v>5763789</v>
      </c>
      <c r="T162" s="118">
        <f ca="1">고급</f>
        <v>310884</v>
      </c>
      <c r="U162" s="118">
        <f t="shared" ca="1" si="41"/>
        <v>5763789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40</v>
      </c>
      <c r="O163" s="173">
        <v>6</v>
      </c>
      <c r="P163" s="234">
        <f ca="1">OFFSET($A$1,MATCH(Z159,$A:$A,0)-1,O163)</f>
        <v>28.520000000000003</v>
      </c>
      <c r="Q163" s="144" t="s">
        <v>29</v>
      </c>
      <c r="R163" s="118">
        <f t="shared" ca="1" si="40"/>
        <v>295138</v>
      </c>
      <c r="S163" s="118">
        <f t="shared" ca="1" si="40"/>
        <v>8417335</v>
      </c>
      <c r="T163" s="118">
        <f ca="1">중급</f>
        <v>295138</v>
      </c>
      <c r="U163" s="118">
        <f t="shared" ca="1" si="41"/>
        <v>8417335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41</v>
      </c>
      <c r="O164" s="173">
        <v>7</v>
      </c>
      <c r="P164" s="234">
        <f ca="1">OFFSET($A$1,MATCH(Z159,$A:$A,0)-1,O164)</f>
        <v>25.19</v>
      </c>
      <c r="Q164" s="144" t="s">
        <v>29</v>
      </c>
      <c r="R164" s="118">
        <f t="shared" ca="1" si="40"/>
        <v>235459</v>
      </c>
      <c r="S164" s="118">
        <f t="shared" ca="1" si="40"/>
        <v>5931212</v>
      </c>
      <c r="T164" s="118">
        <f ca="1">초급</f>
        <v>235459</v>
      </c>
      <c r="U164" s="118">
        <f t="shared" ca="1" si="41"/>
        <v>5931212</v>
      </c>
      <c r="V164" s="118"/>
      <c r="W164" s="118"/>
      <c r="X164" s="118"/>
      <c r="Y164" s="118"/>
      <c r="Z164" s="115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319" t="s">
        <v>42</v>
      </c>
      <c r="O165" s="174">
        <v>8</v>
      </c>
      <c r="P165" s="235">
        <f ca="1">OFFSET($A$1,MATCH(Z159,$A:$A,0)-1,O165)</f>
        <v>13.31</v>
      </c>
      <c r="Q165" s="322" t="s">
        <v>29</v>
      </c>
      <c r="R165" s="323">
        <f t="shared" ca="1" si="40"/>
        <v>250087</v>
      </c>
      <c r="S165" s="323">
        <f t="shared" ca="1" si="40"/>
        <v>3328657</v>
      </c>
      <c r="T165" s="323">
        <f ca="1">보조원</f>
        <v>250087</v>
      </c>
      <c r="U165" s="323">
        <f t="shared" ca="1" si="41"/>
        <v>3328657</v>
      </c>
      <c r="V165" s="323"/>
      <c r="W165" s="323"/>
      <c r="X165" s="323"/>
      <c r="Y165" s="323"/>
      <c r="Z165" s="324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139" t="s">
        <v>17</v>
      </c>
      <c r="O166" s="68"/>
      <c r="P166" s="69"/>
      <c r="Q166" s="70"/>
      <c r="R166" s="71"/>
      <c r="S166" s="71">
        <f ca="1">SUBTOTAL(9,S160:S165)</f>
        <v>29481046</v>
      </c>
      <c r="T166" s="71"/>
      <c r="U166" s="71">
        <f ca="1">SUBTOTAL(9,U160:U165)</f>
        <v>29481046</v>
      </c>
      <c r="V166" s="71"/>
      <c r="W166" s="71"/>
      <c r="X166" s="71"/>
      <c r="Y166" s="71"/>
      <c r="Z166" s="68"/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318" t="str">
        <f ca="1">"제 " &amp; Z167 &amp; " 호표  "&amp; OFFSET($A$1,MATCH(Z167,$A:$A,0)-1,1)</f>
        <v>제 15 호표  4.2. 관리운영계획</v>
      </c>
      <c r="O167" s="221"/>
      <c r="P167" s="148"/>
      <c r="Q167" s="148"/>
      <c r="R167" s="149"/>
      <c r="S167" s="149"/>
      <c r="T167" s="149"/>
      <c r="U167" s="149"/>
      <c r="V167" s="149"/>
      <c r="W167" s="149"/>
      <c r="X167" s="149"/>
      <c r="Y167" s="149"/>
      <c r="Z167" s="325">
        <f>Z159+1</f>
        <v>15</v>
      </c>
    </row>
    <row r="168" spans="11:29" ht="18" customHeight="1">
      <c r="K168" s="171" t="s">
        <v>14</v>
      </c>
      <c r="L168" s="171"/>
      <c r="M168" s="171"/>
      <c r="N168" s="140" t="s">
        <v>43</v>
      </c>
      <c r="O168" s="172">
        <v>3</v>
      </c>
      <c r="P168" s="219">
        <f ca="1">OFFSET($A$1,MATCH(Z167,$A:$A,0)-1,O168)</f>
        <v>7.13</v>
      </c>
      <c r="Q168" s="141" t="s">
        <v>29</v>
      </c>
      <c r="R168" s="142">
        <f t="shared" ref="R168:S173" ca="1" si="42">T168</f>
        <v>467217</v>
      </c>
      <c r="S168" s="142">
        <f t="shared" ca="1" si="42"/>
        <v>3331257</v>
      </c>
      <c r="T168" s="142">
        <f ca="1">기술사</f>
        <v>467217</v>
      </c>
      <c r="U168" s="142">
        <f t="shared" ref="U168:U173" ca="1" si="43">ROUNDDOWN(P168*R168,0)</f>
        <v>3331257</v>
      </c>
      <c r="V168" s="142"/>
      <c r="W168" s="142"/>
      <c r="X168" s="142"/>
      <c r="Y168" s="142"/>
      <c r="Z168" s="114"/>
    </row>
    <row r="169" spans="11:29" ht="18" customHeight="1">
      <c r="K169" s="171" t="s">
        <v>14</v>
      </c>
      <c r="L169" s="171"/>
      <c r="M169" s="171"/>
      <c r="N169" s="143" t="s">
        <v>32</v>
      </c>
      <c r="O169" s="173">
        <v>4</v>
      </c>
      <c r="P169" s="234">
        <f ca="1">OFFSET($A$1,MATCH(Z167,$A:$A,0)-1,O169)</f>
        <v>22.810000000000002</v>
      </c>
      <c r="Q169" s="144" t="s">
        <v>29</v>
      </c>
      <c r="R169" s="118">
        <f t="shared" ca="1" si="42"/>
        <v>373353</v>
      </c>
      <c r="S169" s="118">
        <f t="shared" ca="1" si="42"/>
        <v>8516181</v>
      </c>
      <c r="T169" s="118">
        <f ca="1">특급</f>
        <v>373353</v>
      </c>
      <c r="U169" s="118">
        <f t="shared" ca="1" si="43"/>
        <v>8516181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39</v>
      </c>
      <c r="O170" s="173">
        <v>5</v>
      </c>
      <c r="P170" s="234">
        <f ca="1">OFFSET($A$1,MATCH(Z167,$A:$A,0)-1,O170)</f>
        <v>36.6</v>
      </c>
      <c r="Q170" s="144" t="s">
        <v>29</v>
      </c>
      <c r="R170" s="118">
        <f t="shared" ca="1" si="42"/>
        <v>310884</v>
      </c>
      <c r="S170" s="118">
        <f t="shared" ca="1" si="42"/>
        <v>11378354</v>
      </c>
      <c r="T170" s="118">
        <f ca="1">고급</f>
        <v>310884</v>
      </c>
      <c r="U170" s="118">
        <f t="shared" ca="1" si="43"/>
        <v>11378354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40</v>
      </c>
      <c r="O171" s="173">
        <v>6</v>
      </c>
      <c r="P171" s="234">
        <f ca="1">OFFSET($A$1,MATCH(Z167,$A:$A,0)-1,O171)</f>
        <v>56.55</v>
      </c>
      <c r="Q171" s="144" t="s">
        <v>29</v>
      </c>
      <c r="R171" s="118">
        <f t="shared" ca="1" si="42"/>
        <v>295138</v>
      </c>
      <c r="S171" s="118">
        <f t="shared" ca="1" si="42"/>
        <v>16690053</v>
      </c>
      <c r="T171" s="118">
        <f ca="1">중급</f>
        <v>295138</v>
      </c>
      <c r="U171" s="118">
        <f t="shared" ca="1" si="43"/>
        <v>16690053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41</v>
      </c>
      <c r="O172" s="173">
        <v>7</v>
      </c>
      <c r="P172" s="234">
        <f ca="1">OFFSET($A$1,MATCH(Z167,$A:$A,0)-1,O172)</f>
        <v>50.379999999999995</v>
      </c>
      <c r="Q172" s="144" t="s">
        <v>29</v>
      </c>
      <c r="R172" s="118">
        <f t="shared" ca="1" si="42"/>
        <v>235459</v>
      </c>
      <c r="S172" s="118">
        <f t="shared" ca="1" si="42"/>
        <v>11862424</v>
      </c>
      <c r="T172" s="118">
        <f ca="1">초급</f>
        <v>235459</v>
      </c>
      <c r="U172" s="118">
        <f t="shared" ca="1" si="43"/>
        <v>11862424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319" t="s">
        <v>42</v>
      </c>
      <c r="O173" s="174">
        <v>8</v>
      </c>
      <c r="P173" s="235">
        <f ca="1">OFFSET($A$1,MATCH(Z167,$A:$A,0)-1,O173)</f>
        <v>26.62</v>
      </c>
      <c r="Q173" s="322" t="s">
        <v>29</v>
      </c>
      <c r="R173" s="323">
        <f t="shared" ca="1" si="42"/>
        <v>250087</v>
      </c>
      <c r="S173" s="323">
        <f t="shared" ca="1" si="42"/>
        <v>6657315</v>
      </c>
      <c r="T173" s="323">
        <f ca="1">보조원</f>
        <v>250087</v>
      </c>
      <c r="U173" s="323">
        <f t="shared" ca="1" si="43"/>
        <v>6657315</v>
      </c>
      <c r="V173" s="323"/>
      <c r="W173" s="323"/>
      <c r="X173" s="323"/>
      <c r="Y173" s="323"/>
      <c r="Z173" s="324"/>
    </row>
    <row r="174" spans="11:29" ht="18" customHeight="1">
      <c r="K174" s="171" t="s">
        <v>14</v>
      </c>
      <c r="L174" s="171"/>
      <c r="M174" s="171"/>
      <c r="N174" s="139" t="s">
        <v>17</v>
      </c>
      <c r="O174" s="68"/>
      <c r="P174" s="69"/>
      <c r="Q174" s="70"/>
      <c r="R174" s="71"/>
      <c r="S174" s="71">
        <f ca="1">SUBTOTAL(9,S168:S173)</f>
        <v>58435584</v>
      </c>
      <c r="T174" s="71"/>
      <c r="U174" s="71">
        <f ca="1">SUBTOTAL(9,U168:U173)</f>
        <v>58435584</v>
      </c>
      <c r="V174" s="71"/>
      <c r="W174" s="71"/>
      <c r="X174" s="71"/>
      <c r="Y174" s="71"/>
      <c r="Z174" s="68"/>
    </row>
    <row r="175" spans="11:29" ht="18" customHeight="1">
      <c r="K175" s="171" t="s">
        <v>14</v>
      </c>
      <c r="L175" s="171"/>
      <c r="M175" s="171"/>
      <c r="N175" s="318" t="str">
        <f ca="1">"제 " &amp; Z175 &amp; " 호표  "&amp; OFFSET($A$1,MATCH(Z175,$A:$A,0)-1,1)</f>
        <v>제 16 호표  5.1. 보고서</v>
      </c>
      <c r="O175" s="221"/>
      <c r="P175" s="148"/>
      <c r="Q175" s="148"/>
      <c r="R175" s="149"/>
      <c r="S175" s="149"/>
      <c r="T175" s="149"/>
      <c r="U175" s="149"/>
      <c r="V175" s="149"/>
      <c r="W175" s="149"/>
      <c r="X175" s="149"/>
      <c r="Y175" s="149"/>
      <c r="Z175" s="325">
        <f>Z167+1</f>
        <v>16</v>
      </c>
    </row>
    <row r="176" spans="11:29" ht="18" customHeight="1">
      <c r="K176" s="171" t="s">
        <v>14</v>
      </c>
      <c r="L176" s="171"/>
      <c r="M176" s="171"/>
      <c r="N176" s="140" t="s">
        <v>43</v>
      </c>
      <c r="O176" s="172">
        <v>3</v>
      </c>
      <c r="P176" s="219">
        <f ca="1">OFFSET($A$1,MATCH(Z175,$A:$A,0)-1,O176)</f>
        <v>3.802</v>
      </c>
      <c r="Q176" s="141" t="s">
        <v>29</v>
      </c>
      <c r="R176" s="142">
        <f t="shared" ref="R176:S181" ca="1" si="44">T176</f>
        <v>467217</v>
      </c>
      <c r="S176" s="142">
        <f t="shared" ca="1" si="44"/>
        <v>1776359</v>
      </c>
      <c r="T176" s="142">
        <f ca="1">기술사</f>
        <v>467217</v>
      </c>
      <c r="U176" s="142">
        <f t="shared" ref="U176:U181" ca="1" si="45">ROUNDDOWN(P176*R176,0)</f>
        <v>1776359</v>
      </c>
      <c r="V176" s="142"/>
      <c r="W176" s="142"/>
      <c r="X176" s="142"/>
      <c r="Y176" s="142"/>
      <c r="Z176" s="114"/>
    </row>
    <row r="177" spans="11:26" ht="18" customHeight="1">
      <c r="K177" s="171" t="s">
        <v>14</v>
      </c>
      <c r="L177" s="171"/>
      <c r="M177" s="171"/>
      <c r="N177" s="143" t="s">
        <v>32</v>
      </c>
      <c r="O177" s="173">
        <v>4</v>
      </c>
      <c r="P177" s="234">
        <f ca="1">OFFSET($A$1,MATCH(Z175,$A:$A,0)-1,O177)</f>
        <v>11.404999999999999</v>
      </c>
      <c r="Q177" s="144" t="s">
        <v>29</v>
      </c>
      <c r="R177" s="118">
        <f t="shared" ca="1" si="44"/>
        <v>373353</v>
      </c>
      <c r="S177" s="118">
        <f t="shared" ca="1" si="44"/>
        <v>4258090</v>
      </c>
      <c r="T177" s="118">
        <f ca="1">특급</f>
        <v>373353</v>
      </c>
      <c r="U177" s="118">
        <f t="shared" ca="1" si="45"/>
        <v>4258090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39</v>
      </c>
      <c r="O178" s="173">
        <v>5</v>
      </c>
      <c r="P178" s="234">
        <f ca="1">OFFSET($A$1,MATCH(Z175,$A:$A,0)-1,O178)</f>
        <v>18.533000000000001</v>
      </c>
      <c r="Q178" s="144" t="s">
        <v>29</v>
      </c>
      <c r="R178" s="118">
        <f t="shared" ca="1" si="44"/>
        <v>310884</v>
      </c>
      <c r="S178" s="118">
        <f t="shared" ca="1" si="44"/>
        <v>5761613</v>
      </c>
      <c r="T178" s="118">
        <f ca="1">고급</f>
        <v>310884</v>
      </c>
      <c r="U178" s="118">
        <f t="shared" ca="1" si="45"/>
        <v>5761613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40</v>
      </c>
      <c r="O179" s="173">
        <v>6</v>
      </c>
      <c r="P179" s="234">
        <f ca="1">OFFSET($A$1,MATCH(Z175,$A:$A,0)-1,O179)</f>
        <v>28.512</v>
      </c>
      <c r="Q179" s="144" t="s">
        <v>29</v>
      </c>
      <c r="R179" s="118">
        <f t="shared" ca="1" si="44"/>
        <v>295138</v>
      </c>
      <c r="S179" s="118">
        <f t="shared" ca="1" si="44"/>
        <v>8414974</v>
      </c>
      <c r="T179" s="118">
        <f ca="1">중급</f>
        <v>295138</v>
      </c>
      <c r="U179" s="118">
        <f t="shared" ca="1" si="45"/>
        <v>8414974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41</v>
      </c>
      <c r="O180" s="173">
        <v>7</v>
      </c>
      <c r="P180" s="234">
        <f ca="1">OFFSET($A$1,MATCH(Z175,$A:$A,0)-1,O180)</f>
        <v>25.186</v>
      </c>
      <c r="Q180" s="144" t="s">
        <v>29</v>
      </c>
      <c r="R180" s="118">
        <f t="shared" ca="1" si="44"/>
        <v>235459</v>
      </c>
      <c r="S180" s="118">
        <f t="shared" ca="1" si="44"/>
        <v>5930270</v>
      </c>
      <c r="T180" s="118">
        <f ca="1">초급</f>
        <v>235459</v>
      </c>
      <c r="U180" s="118">
        <f t="shared" ca="1" si="45"/>
        <v>5930270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319" t="s">
        <v>42</v>
      </c>
      <c r="O181" s="174">
        <v>8</v>
      </c>
      <c r="P181" s="235">
        <f ca="1">OFFSET($A$1,MATCH(Z175,$A:$A,0)-1,O181)</f>
        <v>13.305999999999999</v>
      </c>
      <c r="Q181" s="322" t="s">
        <v>29</v>
      </c>
      <c r="R181" s="323">
        <f t="shared" ca="1" si="44"/>
        <v>250087</v>
      </c>
      <c r="S181" s="323">
        <f t="shared" ca="1" si="44"/>
        <v>3327657</v>
      </c>
      <c r="T181" s="323">
        <f ca="1">보조원</f>
        <v>250087</v>
      </c>
      <c r="U181" s="323">
        <f t="shared" ca="1" si="45"/>
        <v>3327657</v>
      </c>
      <c r="V181" s="323"/>
      <c r="W181" s="323"/>
      <c r="X181" s="323"/>
      <c r="Y181" s="323"/>
      <c r="Z181" s="324"/>
    </row>
    <row r="182" spans="11:26" ht="18" customHeight="1">
      <c r="K182" s="171" t="s">
        <v>14</v>
      </c>
      <c r="L182" s="171"/>
      <c r="M182" s="171"/>
      <c r="N182" s="139" t="s">
        <v>17</v>
      </c>
      <c r="O182" s="68"/>
      <c r="P182" s="69"/>
      <c r="Q182" s="70"/>
      <c r="R182" s="71"/>
      <c r="S182" s="71">
        <f ca="1">SUBTOTAL(9,S176:S181)</f>
        <v>29468963</v>
      </c>
      <c r="T182" s="71"/>
      <c r="U182" s="71">
        <f ca="1">SUBTOTAL(9,U176:U181)</f>
        <v>29468963</v>
      </c>
      <c r="V182" s="71"/>
      <c r="W182" s="71"/>
      <c r="X182" s="71"/>
      <c r="Y182" s="71"/>
      <c r="Z182" s="68"/>
    </row>
    <row r="183" spans="11:26" ht="18" customHeight="1">
      <c r="K183" s="171" t="s">
        <v>14</v>
      </c>
      <c r="L183" s="171"/>
      <c r="M183" s="171"/>
      <c r="N183" s="318" t="str">
        <f ca="1">"제 " &amp; Z183 &amp; " 호표  "&amp; OFFSET($A$1,MATCH(Z183,$A:$A,0)-1,1)</f>
        <v>제 17 호표  5.2. 관련도서</v>
      </c>
      <c r="O183" s="221"/>
      <c r="P183" s="148"/>
      <c r="Q183" s="148"/>
      <c r="R183" s="149"/>
      <c r="S183" s="149"/>
      <c r="T183" s="149"/>
      <c r="U183" s="149"/>
      <c r="V183" s="149"/>
      <c r="W183" s="149"/>
      <c r="X183" s="149"/>
      <c r="Y183" s="149"/>
      <c r="Z183" s="325">
        <f>Z175+1</f>
        <v>17</v>
      </c>
    </row>
    <row r="184" spans="11:26" ht="18" customHeight="1">
      <c r="K184" s="171" t="s">
        <v>14</v>
      </c>
      <c r="L184" s="171"/>
      <c r="M184" s="171"/>
      <c r="N184" s="140" t="s">
        <v>43</v>
      </c>
      <c r="O184" s="172">
        <v>3</v>
      </c>
      <c r="P184" s="219">
        <f ca="1">OFFSET($A$1,MATCH(Z183,$A:$A,0)-1,O184)</f>
        <v>7.1280000000000001</v>
      </c>
      <c r="Q184" s="141" t="s">
        <v>29</v>
      </c>
      <c r="R184" s="142">
        <f t="shared" ref="R184:S189" ca="1" si="46">T184</f>
        <v>467217</v>
      </c>
      <c r="S184" s="142">
        <f t="shared" ca="1" si="46"/>
        <v>3330322</v>
      </c>
      <c r="T184" s="142">
        <f ca="1">기술사</f>
        <v>467217</v>
      </c>
      <c r="U184" s="142">
        <f t="shared" ref="U184:U189" ca="1" si="47">ROUNDDOWN(P184*R184,0)</f>
        <v>3330322</v>
      </c>
      <c r="V184" s="142"/>
      <c r="W184" s="142"/>
      <c r="X184" s="142"/>
      <c r="Y184" s="142"/>
      <c r="Z184" s="114"/>
    </row>
    <row r="185" spans="11:26" ht="18" customHeight="1">
      <c r="K185" s="171" t="s">
        <v>14</v>
      </c>
      <c r="L185" s="171"/>
      <c r="M185" s="171"/>
      <c r="N185" s="143" t="s">
        <v>32</v>
      </c>
      <c r="O185" s="173">
        <v>4</v>
      </c>
      <c r="P185" s="234">
        <f ca="1">OFFSET($A$1,MATCH(Z183,$A:$A,0)-1,O185)</f>
        <v>22.810000000000002</v>
      </c>
      <c r="Q185" s="144" t="s">
        <v>29</v>
      </c>
      <c r="R185" s="118">
        <f t="shared" ca="1" si="46"/>
        <v>373353</v>
      </c>
      <c r="S185" s="118">
        <f t="shared" ca="1" si="46"/>
        <v>8516181</v>
      </c>
      <c r="T185" s="118">
        <f ca="1">특급</f>
        <v>373353</v>
      </c>
      <c r="U185" s="118">
        <f t="shared" ca="1" si="47"/>
        <v>8516181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39</v>
      </c>
      <c r="O186" s="173">
        <v>5</v>
      </c>
      <c r="P186" s="234">
        <f ca="1">OFFSET($A$1,MATCH(Z183,$A:$A,0)-1,O186)</f>
        <v>36.591000000000001</v>
      </c>
      <c r="Q186" s="144" t="s">
        <v>29</v>
      </c>
      <c r="R186" s="118">
        <f t="shared" ca="1" si="46"/>
        <v>310884</v>
      </c>
      <c r="S186" s="118">
        <f t="shared" ca="1" si="46"/>
        <v>11375556</v>
      </c>
      <c r="T186" s="118">
        <f ca="1">고급</f>
        <v>310884</v>
      </c>
      <c r="U186" s="118">
        <f t="shared" ca="1" si="47"/>
        <v>11375556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40</v>
      </c>
      <c r="O187" s="173">
        <v>6</v>
      </c>
      <c r="P187" s="234">
        <f ca="1">OFFSET($A$1,MATCH(Z183,$A:$A,0)-1,O187)</f>
        <v>56.548999999999999</v>
      </c>
      <c r="Q187" s="144" t="s">
        <v>29</v>
      </c>
      <c r="R187" s="118">
        <f t="shared" ca="1" si="46"/>
        <v>295138</v>
      </c>
      <c r="S187" s="118">
        <f t="shared" ca="1" si="46"/>
        <v>16689758</v>
      </c>
      <c r="T187" s="118">
        <f ca="1">중급</f>
        <v>295138</v>
      </c>
      <c r="U187" s="118">
        <f t="shared" ca="1" si="47"/>
        <v>16689758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41</v>
      </c>
      <c r="O188" s="173">
        <v>7</v>
      </c>
      <c r="P188" s="234">
        <f ca="1">OFFSET($A$1,MATCH(Z183,$A:$A,0)-1,O188)</f>
        <v>50.372</v>
      </c>
      <c r="Q188" s="144" t="s">
        <v>29</v>
      </c>
      <c r="R188" s="118">
        <f t="shared" ca="1" si="46"/>
        <v>235459</v>
      </c>
      <c r="S188" s="118">
        <f t="shared" ca="1" si="46"/>
        <v>11860540</v>
      </c>
      <c r="T188" s="118">
        <f ca="1">초급</f>
        <v>235459</v>
      </c>
      <c r="U188" s="118">
        <f t="shared" ca="1" si="47"/>
        <v>11860540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319" t="s">
        <v>42</v>
      </c>
      <c r="O189" s="174">
        <v>8</v>
      </c>
      <c r="P189" s="235">
        <f ca="1">OFFSET($A$1,MATCH(Z183,$A:$A,0)-1,O189)</f>
        <v>26.612000000000002</v>
      </c>
      <c r="Q189" s="322" t="s">
        <v>29</v>
      </c>
      <c r="R189" s="323">
        <f t="shared" ca="1" si="46"/>
        <v>250087</v>
      </c>
      <c r="S189" s="323">
        <f t="shared" ca="1" si="46"/>
        <v>6655315</v>
      </c>
      <c r="T189" s="323">
        <f ca="1">보조원</f>
        <v>250087</v>
      </c>
      <c r="U189" s="323">
        <f t="shared" ca="1" si="47"/>
        <v>6655315</v>
      </c>
      <c r="V189" s="323"/>
      <c r="W189" s="323"/>
      <c r="X189" s="323"/>
      <c r="Y189" s="323"/>
      <c r="Z189" s="324"/>
    </row>
    <row r="190" spans="11:26" ht="18" customHeight="1">
      <c r="K190" s="171" t="s">
        <v>14</v>
      </c>
      <c r="L190" s="171"/>
      <c r="M190" s="171"/>
      <c r="N190" s="139" t="s">
        <v>17</v>
      </c>
      <c r="O190" s="68"/>
      <c r="P190" s="69"/>
      <c r="Q190" s="70"/>
      <c r="R190" s="71"/>
      <c r="S190" s="71">
        <f ca="1">SUBTOTAL(9,S184:S189)</f>
        <v>58427672</v>
      </c>
      <c r="T190" s="71"/>
      <c r="U190" s="71">
        <f ca="1">SUBTOTAL(9,U184:U189)</f>
        <v>58427672</v>
      </c>
      <c r="V190" s="71"/>
      <c r="W190" s="71"/>
      <c r="X190" s="71"/>
      <c r="Y190" s="71"/>
      <c r="Z190" s="68"/>
    </row>
    <row r="191" spans="11:26" ht="18" customHeight="1">
      <c r="K191" s="171" t="s">
        <v>14</v>
      </c>
      <c r="L191" s="171"/>
      <c r="M191" s="171"/>
      <c r="N191" s="318" t="str">
        <f ca="1">"제 " &amp; Z191 &amp; " 호표  "&amp; OFFSET($A$1,MATCH(Z191,$A:$A,0)-1,1)</f>
        <v>제 18 호표  6.1. 위원회 심의 지원</v>
      </c>
      <c r="O191" s="221"/>
      <c r="P191" s="148"/>
      <c r="Q191" s="148"/>
      <c r="R191" s="149"/>
      <c r="S191" s="149"/>
      <c r="T191" s="149"/>
      <c r="U191" s="149"/>
      <c r="V191" s="149"/>
      <c r="W191" s="149"/>
      <c r="X191" s="149"/>
      <c r="Y191" s="149"/>
      <c r="Z191" s="325">
        <f>Z183+1</f>
        <v>18</v>
      </c>
    </row>
    <row r="192" spans="11:26" ht="18" customHeight="1">
      <c r="K192" s="171" t="s">
        <v>14</v>
      </c>
      <c r="L192" s="171"/>
      <c r="M192" s="171"/>
      <c r="N192" s="140" t="s">
        <v>43</v>
      </c>
      <c r="O192" s="172">
        <v>3</v>
      </c>
      <c r="P192" s="219">
        <f ca="1">OFFSET($A$1,MATCH(Z191,$A:$A,0)-1,O192)</f>
        <v>0.3</v>
      </c>
      <c r="Q192" s="141" t="s">
        <v>29</v>
      </c>
      <c r="R192" s="142">
        <f t="shared" ref="R192:S197" ca="1" si="48">T192</f>
        <v>467217</v>
      </c>
      <c r="S192" s="142">
        <f t="shared" ca="1" si="48"/>
        <v>140165</v>
      </c>
      <c r="T192" s="142">
        <f ca="1">기술사</f>
        <v>467217</v>
      </c>
      <c r="U192" s="142">
        <f t="shared" ref="U192:U197" ca="1" si="49">ROUNDDOWN(P192*R192,0)</f>
        <v>140165</v>
      </c>
      <c r="V192" s="142"/>
      <c r="W192" s="142"/>
      <c r="X192" s="142"/>
      <c r="Y192" s="142"/>
      <c r="Z192" s="114"/>
    </row>
    <row r="193" spans="11:26" ht="18" customHeight="1">
      <c r="K193" s="171" t="s">
        <v>14</v>
      </c>
      <c r="L193" s="171"/>
      <c r="M193" s="171"/>
      <c r="N193" s="143" t="s">
        <v>32</v>
      </c>
      <c r="O193" s="173">
        <v>4</v>
      </c>
      <c r="P193" s="234">
        <f ca="1">OFFSET($A$1,MATCH(Z191,$A:$A,0)-1,O193)</f>
        <v>0.6</v>
      </c>
      <c r="Q193" s="144" t="s">
        <v>29</v>
      </c>
      <c r="R193" s="118">
        <f t="shared" ca="1" si="48"/>
        <v>373353</v>
      </c>
      <c r="S193" s="118">
        <f t="shared" ca="1" si="48"/>
        <v>224011</v>
      </c>
      <c r="T193" s="118">
        <f ca="1">특급</f>
        <v>373353</v>
      </c>
      <c r="U193" s="118">
        <f t="shared" ca="1" si="49"/>
        <v>224011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39</v>
      </c>
      <c r="O194" s="173">
        <v>5</v>
      </c>
      <c r="P194" s="234">
        <f ca="1">OFFSET($A$1,MATCH(Z191,$A:$A,0)-1,O194)</f>
        <v>1</v>
      </c>
      <c r="Q194" s="144" t="s">
        <v>29</v>
      </c>
      <c r="R194" s="118">
        <f t="shared" ca="1" si="48"/>
        <v>310884</v>
      </c>
      <c r="S194" s="118">
        <f t="shared" ca="1" si="48"/>
        <v>310884</v>
      </c>
      <c r="T194" s="118">
        <f ca="1">고급</f>
        <v>310884</v>
      </c>
      <c r="U194" s="118">
        <f t="shared" ca="1" si="49"/>
        <v>310884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40</v>
      </c>
      <c r="O195" s="173">
        <v>6</v>
      </c>
      <c r="P195" s="234">
        <f ca="1">OFFSET($A$1,MATCH(Z191,$A:$A,0)-1,O195)</f>
        <v>1.4</v>
      </c>
      <c r="Q195" s="144" t="s">
        <v>29</v>
      </c>
      <c r="R195" s="118">
        <f t="shared" ca="1" si="48"/>
        <v>295138</v>
      </c>
      <c r="S195" s="118">
        <f t="shared" ca="1" si="48"/>
        <v>413193</v>
      </c>
      <c r="T195" s="118">
        <f ca="1">중급</f>
        <v>295138</v>
      </c>
      <c r="U195" s="118">
        <f t="shared" ca="1" si="49"/>
        <v>413193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41</v>
      </c>
      <c r="O196" s="173">
        <v>7</v>
      </c>
      <c r="P196" s="234">
        <f ca="1">OFFSET($A$1,MATCH(Z191,$A:$A,0)-1,O196)</f>
        <v>1.4</v>
      </c>
      <c r="Q196" s="144" t="s">
        <v>29</v>
      </c>
      <c r="R196" s="118">
        <f t="shared" ca="1" si="48"/>
        <v>235459</v>
      </c>
      <c r="S196" s="118">
        <f t="shared" ca="1" si="48"/>
        <v>329642</v>
      </c>
      <c r="T196" s="118">
        <f ca="1">초급</f>
        <v>235459</v>
      </c>
      <c r="U196" s="118">
        <f t="shared" ca="1" si="49"/>
        <v>329642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319" t="s">
        <v>42</v>
      </c>
      <c r="O197" s="174">
        <v>8</v>
      </c>
      <c r="P197" s="235">
        <f ca="1">OFFSET($A$1,MATCH(Z191,$A:$A,0)-1,O197)</f>
        <v>0.8</v>
      </c>
      <c r="Q197" s="322" t="s">
        <v>29</v>
      </c>
      <c r="R197" s="323">
        <f t="shared" ca="1" si="48"/>
        <v>250087</v>
      </c>
      <c r="S197" s="323">
        <f t="shared" ca="1" si="48"/>
        <v>200069</v>
      </c>
      <c r="T197" s="323">
        <f ca="1">보조원</f>
        <v>250087</v>
      </c>
      <c r="U197" s="323">
        <f t="shared" ca="1" si="49"/>
        <v>200069</v>
      </c>
      <c r="V197" s="323"/>
      <c r="W197" s="323"/>
      <c r="X197" s="323"/>
      <c r="Y197" s="323"/>
      <c r="Z197" s="324"/>
    </row>
    <row r="198" spans="11:26" ht="18" customHeight="1">
      <c r="K198" s="171" t="s">
        <v>14</v>
      </c>
      <c r="L198" s="171"/>
      <c r="M198" s="171"/>
      <c r="N198" s="139" t="s">
        <v>17</v>
      </c>
      <c r="O198" s="68"/>
      <c r="P198" s="69"/>
      <c r="Q198" s="70"/>
      <c r="R198" s="71"/>
      <c r="S198" s="71">
        <f ca="1">SUBTOTAL(9,S192:S197)</f>
        <v>1617964</v>
      </c>
      <c r="T198" s="71"/>
      <c r="U198" s="71">
        <f ca="1">SUBTOTAL(9,U192:U197)</f>
        <v>1617964</v>
      </c>
      <c r="V198" s="71"/>
      <c r="W198" s="71"/>
      <c r="X198" s="71"/>
      <c r="Y198" s="71"/>
      <c r="Z198" s="68"/>
    </row>
    <row r="199" spans="11:26" ht="18" customHeight="1">
      <c r="K199" s="171" t="s">
        <v>14</v>
      </c>
      <c r="L199" s="171"/>
      <c r="M199" s="171"/>
      <c r="N199" s="318" t="str">
        <f ca="1">"제 " &amp; Z199 &amp; " 호표  "&amp; OFFSET($A$1,MATCH(Z199,$A:$A,0)-1,1)</f>
        <v>제 19 호표  6.2. 주민설명회 자료 작성 등</v>
      </c>
      <c r="O199" s="221"/>
      <c r="P199" s="148"/>
      <c r="Q199" s="148"/>
      <c r="R199" s="149"/>
      <c r="S199" s="149"/>
      <c r="T199" s="149"/>
      <c r="U199" s="149"/>
      <c r="V199" s="149"/>
      <c r="W199" s="149"/>
      <c r="X199" s="149"/>
      <c r="Y199" s="149"/>
      <c r="Z199" s="325">
        <f>Z191+1</f>
        <v>19</v>
      </c>
    </row>
    <row r="200" spans="11:26" ht="18" customHeight="1">
      <c r="K200" s="171" t="s">
        <v>14</v>
      </c>
      <c r="L200" s="171"/>
      <c r="M200" s="171"/>
      <c r="N200" s="140" t="s">
        <v>43</v>
      </c>
      <c r="O200" s="172">
        <v>3</v>
      </c>
      <c r="P200" s="219">
        <f ca="1">OFFSET($A$1,MATCH(Z199,$A:$A,0)-1,O200)</f>
        <v>0.2</v>
      </c>
      <c r="Q200" s="141" t="s">
        <v>29</v>
      </c>
      <c r="R200" s="142">
        <f t="shared" ref="R200:S205" ca="1" si="50">T200</f>
        <v>467217</v>
      </c>
      <c r="S200" s="142">
        <f t="shared" ca="1" si="50"/>
        <v>93443</v>
      </c>
      <c r="T200" s="142">
        <f ca="1">기술사</f>
        <v>467217</v>
      </c>
      <c r="U200" s="142">
        <f t="shared" ref="U200:U205" ca="1" si="51">ROUNDDOWN(P200*R200,0)</f>
        <v>93443</v>
      </c>
      <c r="V200" s="142"/>
      <c r="W200" s="142"/>
      <c r="X200" s="142"/>
      <c r="Y200" s="142"/>
      <c r="Z200" s="114"/>
    </row>
    <row r="201" spans="11:26" ht="18" customHeight="1">
      <c r="K201" s="171" t="s">
        <v>14</v>
      </c>
      <c r="L201" s="171"/>
      <c r="M201" s="171"/>
      <c r="N201" s="143" t="s">
        <v>32</v>
      </c>
      <c r="O201" s="173">
        <v>4</v>
      </c>
      <c r="P201" s="234">
        <f ca="1">OFFSET($A$1,MATCH(Z199,$A:$A,0)-1,O201)</f>
        <v>0.4</v>
      </c>
      <c r="Q201" s="144" t="s">
        <v>29</v>
      </c>
      <c r="R201" s="118">
        <f t="shared" ca="1" si="50"/>
        <v>373353</v>
      </c>
      <c r="S201" s="118">
        <f t="shared" ca="1" si="50"/>
        <v>149341</v>
      </c>
      <c r="T201" s="118">
        <f ca="1">특급</f>
        <v>373353</v>
      </c>
      <c r="U201" s="118">
        <f t="shared" ca="1" si="51"/>
        <v>149341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39</v>
      </c>
      <c r="O202" s="173">
        <v>5</v>
      </c>
      <c r="P202" s="234">
        <f ca="1">OFFSET($A$1,MATCH(Z199,$A:$A,0)-1,O202)</f>
        <v>0.5</v>
      </c>
      <c r="Q202" s="144" t="s">
        <v>29</v>
      </c>
      <c r="R202" s="118">
        <f t="shared" ca="1" si="50"/>
        <v>310884</v>
      </c>
      <c r="S202" s="118">
        <f t="shared" ca="1" si="50"/>
        <v>155442</v>
      </c>
      <c r="T202" s="118">
        <f ca="1">고급</f>
        <v>310884</v>
      </c>
      <c r="U202" s="118">
        <f t="shared" ca="1" si="51"/>
        <v>155442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40</v>
      </c>
      <c r="O203" s="173">
        <v>6</v>
      </c>
      <c r="P203" s="234">
        <f ca="1">OFFSET($A$1,MATCH(Z199,$A:$A,0)-1,O203)</f>
        <v>0.7</v>
      </c>
      <c r="Q203" s="144" t="s">
        <v>29</v>
      </c>
      <c r="R203" s="118">
        <f t="shared" ca="1" si="50"/>
        <v>295138</v>
      </c>
      <c r="S203" s="118">
        <f t="shared" ca="1" si="50"/>
        <v>206596</v>
      </c>
      <c r="T203" s="118">
        <f ca="1">중급</f>
        <v>295138</v>
      </c>
      <c r="U203" s="118">
        <f t="shared" ca="1" si="51"/>
        <v>206596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41</v>
      </c>
      <c r="O204" s="173">
        <v>7</v>
      </c>
      <c r="P204" s="234">
        <f ca="1">OFFSET($A$1,MATCH(Z199,$A:$A,0)-1,O204)</f>
        <v>0.6</v>
      </c>
      <c r="Q204" s="144" t="s">
        <v>29</v>
      </c>
      <c r="R204" s="118">
        <f t="shared" ca="1" si="50"/>
        <v>235459</v>
      </c>
      <c r="S204" s="118">
        <f t="shared" ca="1" si="50"/>
        <v>141275</v>
      </c>
      <c r="T204" s="118">
        <f ca="1">초급</f>
        <v>235459</v>
      </c>
      <c r="U204" s="118">
        <f t="shared" ca="1" si="51"/>
        <v>141275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319" t="s">
        <v>42</v>
      </c>
      <c r="O205" s="174">
        <v>8</v>
      </c>
      <c r="P205" s="235">
        <f ca="1">OFFSET($A$1,MATCH(Z199,$A:$A,0)-1,O205)</f>
        <v>0.4</v>
      </c>
      <c r="Q205" s="322" t="s">
        <v>29</v>
      </c>
      <c r="R205" s="323">
        <f t="shared" ca="1" si="50"/>
        <v>250087</v>
      </c>
      <c r="S205" s="323">
        <f t="shared" ca="1" si="50"/>
        <v>100034</v>
      </c>
      <c r="T205" s="323">
        <f ca="1">보조원</f>
        <v>250087</v>
      </c>
      <c r="U205" s="323">
        <f t="shared" ca="1" si="51"/>
        <v>100034</v>
      </c>
      <c r="V205" s="323"/>
      <c r="W205" s="323"/>
      <c r="X205" s="323"/>
      <c r="Y205" s="323"/>
      <c r="Z205" s="324"/>
    </row>
    <row r="206" spans="11:26" ht="18" customHeight="1">
      <c r="K206" s="171" t="s">
        <v>14</v>
      </c>
      <c r="L206" s="171"/>
      <c r="M206" s="171"/>
      <c r="N206" s="139" t="s">
        <v>17</v>
      </c>
      <c r="O206" s="68"/>
      <c r="P206" s="69"/>
      <c r="Q206" s="70"/>
      <c r="R206" s="71"/>
      <c r="S206" s="71">
        <f ca="1">SUBTOTAL(9,S200:S205)</f>
        <v>846131</v>
      </c>
      <c r="T206" s="71"/>
      <c r="U206" s="71">
        <f ca="1">SUBTOTAL(9,U200:U205)</f>
        <v>846131</v>
      </c>
      <c r="V206" s="71"/>
      <c r="W206" s="71"/>
      <c r="X206" s="71"/>
      <c r="Y206" s="71"/>
      <c r="Z206" s="68"/>
    </row>
    <row r="207" spans="11:26" ht="18" customHeight="1">
      <c r="K207" s="171" t="s">
        <v>14</v>
      </c>
      <c r="L207" s="171"/>
      <c r="M207" s="171"/>
      <c r="N207" s="318" t="str">
        <f ca="1">"제 " &amp; Z207 &amp; " 호표  "&amp; OFFSET($A$1,MATCH(Z207,$A:$A,0)-1,1)</f>
        <v>제 20 호표  6.3. 관계기관 협의</v>
      </c>
      <c r="O207" s="221"/>
      <c r="P207" s="148"/>
      <c r="Q207" s="148"/>
      <c r="R207" s="149"/>
      <c r="S207" s="149"/>
      <c r="T207" s="149"/>
      <c r="U207" s="149"/>
      <c r="V207" s="149"/>
      <c r="W207" s="149"/>
      <c r="X207" s="149"/>
      <c r="Y207" s="149"/>
      <c r="Z207" s="325">
        <f>Z199+1</f>
        <v>20</v>
      </c>
    </row>
    <row r="208" spans="11:26" ht="18" customHeight="1">
      <c r="K208" s="171" t="s">
        <v>14</v>
      </c>
      <c r="L208" s="171"/>
      <c r="M208" s="171"/>
      <c r="N208" s="140" t="s">
        <v>43</v>
      </c>
      <c r="O208" s="172">
        <v>3</v>
      </c>
      <c r="P208" s="219">
        <f ca="1">OFFSET($A$1,MATCH(Z207,$A:$A,0)-1,O208)</f>
        <v>0.3</v>
      </c>
      <c r="Q208" s="141" t="s">
        <v>29</v>
      </c>
      <c r="R208" s="142">
        <f t="shared" ref="R208:S213" ca="1" si="52">T208</f>
        <v>467217</v>
      </c>
      <c r="S208" s="142">
        <f t="shared" ca="1" si="52"/>
        <v>140165</v>
      </c>
      <c r="T208" s="142">
        <f ca="1">기술사</f>
        <v>467217</v>
      </c>
      <c r="U208" s="142">
        <f t="shared" ref="U208:U213" ca="1" si="53">ROUNDDOWN(P208*R208,0)</f>
        <v>140165</v>
      </c>
      <c r="V208" s="142"/>
      <c r="W208" s="142"/>
      <c r="X208" s="142"/>
      <c r="Y208" s="142"/>
      <c r="Z208" s="114"/>
    </row>
    <row r="209" spans="11:26" ht="18" customHeight="1">
      <c r="K209" s="171" t="s">
        <v>14</v>
      </c>
      <c r="L209" s="171"/>
      <c r="M209" s="171"/>
      <c r="N209" s="143" t="s">
        <v>32</v>
      </c>
      <c r="O209" s="173">
        <v>4</v>
      </c>
      <c r="P209" s="234">
        <f ca="1">OFFSET($A$1,MATCH(Z207,$A:$A,0)-1,O209)</f>
        <v>0.8</v>
      </c>
      <c r="Q209" s="144" t="s">
        <v>29</v>
      </c>
      <c r="R209" s="118">
        <f t="shared" ca="1" si="52"/>
        <v>373353</v>
      </c>
      <c r="S209" s="118">
        <f t="shared" ca="1" si="52"/>
        <v>298682</v>
      </c>
      <c r="T209" s="118">
        <f ca="1">특급</f>
        <v>373353</v>
      </c>
      <c r="U209" s="118">
        <f t="shared" ca="1" si="53"/>
        <v>298682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39</v>
      </c>
      <c r="O210" s="173">
        <v>5</v>
      </c>
      <c r="P210" s="234">
        <f ca="1">OFFSET($A$1,MATCH(Z207,$A:$A,0)-1,O210)</f>
        <v>1</v>
      </c>
      <c r="Q210" s="144" t="s">
        <v>29</v>
      </c>
      <c r="R210" s="118">
        <f t="shared" ca="1" si="52"/>
        <v>310884</v>
      </c>
      <c r="S210" s="118">
        <f t="shared" ca="1" si="52"/>
        <v>310884</v>
      </c>
      <c r="T210" s="118">
        <f ca="1">고급</f>
        <v>310884</v>
      </c>
      <c r="U210" s="118">
        <f t="shared" ca="1" si="53"/>
        <v>310884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40</v>
      </c>
      <c r="O211" s="173">
        <v>6</v>
      </c>
      <c r="P211" s="234">
        <f ca="1">OFFSET($A$1,MATCH(Z207,$A:$A,0)-1,O211)</f>
        <v>1.4</v>
      </c>
      <c r="Q211" s="144" t="s">
        <v>29</v>
      </c>
      <c r="R211" s="118">
        <f t="shared" ca="1" si="52"/>
        <v>295138</v>
      </c>
      <c r="S211" s="118">
        <f t="shared" ca="1" si="52"/>
        <v>413193</v>
      </c>
      <c r="T211" s="118">
        <f ca="1">중급</f>
        <v>295138</v>
      </c>
      <c r="U211" s="118">
        <f t="shared" ca="1" si="53"/>
        <v>413193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41</v>
      </c>
      <c r="O212" s="173">
        <v>7</v>
      </c>
      <c r="P212" s="234">
        <f ca="1">OFFSET($A$1,MATCH(Z207,$A:$A,0)-1,O212)</f>
        <v>1.3</v>
      </c>
      <c r="Q212" s="144" t="s">
        <v>29</v>
      </c>
      <c r="R212" s="118">
        <f t="shared" ca="1" si="52"/>
        <v>235459</v>
      </c>
      <c r="S212" s="118">
        <f t="shared" ca="1" si="52"/>
        <v>306096</v>
      </c>
      <c r="T212" s="118">
        <f ca="1">초급</f>
        <v>235459</v>
      </c>
      <c r="U212" s="118">
        <f t="shared" ca="1" si="53"/>
        <v>306096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319" t="s">
        <v>42</v>
      </c>
      <c r="O213" s="174">
        <v>8</v>
      </c>
      <c r="P213" s="235">
        <f ca="1">OFFSET($A$1,MATCH(Z207,$A:$A,0)-1,O213)</f>
        <v>0.9</v>
      </c>
      <c r="Q213" s="322" t="s">
        <v>29</v>
      </c>
      <c r="R213" s="323">
        <f t="shared" ca="1" si="52"/>
        <v>250087</v>
      </c>
      <c r="S213" s="323">
        <f t="shared" ca="1" si="52"/>
        <v>225078</v>
      </c>
      <c r="T213" s="323">
        <f ca="1">보조원</f>
        <v>250087</v>
      </c>
      <c r="U213" s="323">
        <f t="shared" ca="1" si="53"/>
        <v>225078</v>
      </c>
      <c r="V213" s="323"/>
      <c r="W213" s="323"/>
      <c r="X213" s="323"/>
      <c r="Y213" s="323"/>
      <c r="Z213" s="324"/>
    </row>
    <row r="214" spans="11:26" ht="18" customHeight="1">
      <c r="K214" s="171" t="s">
        <v>14</v>
      </c>
      <c r="L214" s="171"/>
      <c r="M214" s="171"/>
      <c r="N214" s="139" t="s">
        <v>17</v>
      </c>
      <c r="O214" s="68"/>
      <c r="P214" s="69"/>
      <c r="Q214" s="70"/>
      <c r="R214" s="71"/>
      <c r="S214" s="71">
        <f ca="1">SUBTOTAL(9,S208:S213)</f>
        <v>1694098</v>
      </c>
      <c r="T214" s="71"/>
      <c r="U214" s="71">
        <f ca="1">SUBTOTAL(9,U208:U213)</f>
        <v>1694098</v>
      </c>
      <c r="V214" s="71"/>
      <c r="W214" s="71"/>
      <c r="X214" s="71"/>
      <c r="Y214" s="71"/>
      <c r="Z214" s="68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26" ht="18" customHeight="1">
      <c r="K225" s="171" t="s">
        <v>14</v>
      </c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1:26" ht="18" customHeight="1">
      <c r="K226" s="171" t="s">
        <v>14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1:26" ht="18" customHeight="1">
      <c r="K227" s="171" t="s">
        <v>14</v>
      </c>
      <c r="L227" s="171"/>
      <c r="M227" s="171"/>
    </row>
    <row r="228" spans="11:26" ht="18" customHeight="1">
      <c r="K228" s="171" t="s">
        <v>14</v>
      </c>
      <c r="L228" s="171"/>
      <c r="M228" s="171"/>
    </row>
    <row r="229" spans="11:26" ht="18" customHeight="1">
      <c r="K229" s="171" t="s">
        <v>14</v>
      </c>
      <c r="L229" s="171"/>
      <c r="M229" s="171"/>
    </row>
    <row r="230" spans="11:26" ht="18" customHeight="1">
      <c r="K230" s="171" t="s">
        <v>14</v>
      </c>
      <c r="L230" s="171"/>
      <c r="M230" s="171"/>
    </row>
    <row r="231" spans="11:26" ht="18" customHeight="1">
      <c r="K231" s="171" t="s">
        <v>14</v>
      </c>
      <c r="L231" s="171"/>
      <c r="M231" s="171"/>
    </row>
    <row r="232" spans="11:26" ht="18" customHeight="1">
      <c r="K232" s="171" t="s">
        <v>14</v>
      </c>
      <c r="L232" s="171"/>
      <c r="M232" s="171"/>
    </row>
    <row r="233" spans="11:26" ht="18" customHeight="1">
      <c r="K233" s="171" t="s">
        <v>14</v>
      </c>
      <c r="L233" s="171"/>
      <c r="M233" s="171"/>
    </row>
    <row r="234" spans="11:26" ht="18" customHeight="1">
      <c r="K234" s="171" t="s">
        <v>14</v>
      </c>
      <c r="L234" s="171"/>
      <c r="M234" s="171"/>
    </row>
    <row r="235" spans="11:26" ht="18" customHeight="1">
      <c r="K235" s="171" t="s">
        <v>14</v>
      </c>
      <c r="L235" s="171"/>
      <c r="M235" s="171"/>
    </row>
    <row r="236" spans="11:26" ht="18" customHeight="1">
      <c r="K236" s="171" t="s">
        <v>14</v>
      </c>
      <c r="L236" s="171"/>
      <c r="M236" s="171"/>
    </row>
    <row r="237" spans="11:26" ht="18" customHeight="1">
      <c r="K237" s="171" t="s">
        <v>14</v>
      </c>
      <c r="L237" s="171"/>
      <c r="M237" s="171"/>
    </row>
    <row r="238" spans="11:26" ht="18" customHeight="1">
      <c r="K238" s="171" t="s">
        <v>14</v>
      </c>
      <c r="L238" s="171"/>
      <c r="M238" s="171"/>
    </row>
    <row r="239" spans="11:26" ht="18" customHeight="1">
      <c r="K239" s="171" t="s">
        <v>14</v>
      </c>
      <c r="L239" s="171"/>
      <c r="M239" s="171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</row>
    <row r="756" spans="12:13" ht="18" customHeight="1">
      <c r="L756" s="171"/>
    </row>
    <row r="757" spans="12:13" ht="18" customHeight="1">
      <c r="L757" s="171"/>
    </row>
    <row r="758" spans="12:13" ht="18" customHeight="1">
      <c r="L758" s="171"/>
    </row>
    <row r="759" spans="12:13" ht="18" customHeight="1">
      <c r="L759" s="171"/>
    </row>
    <row r="760" spans="12:13" ht="18" customHeight="1">
      <c r="L760" s="171"/>
    </row>
    <row r="761" spans="12:13" ht="18" customHeight="1">
      <c r="L761" s="171"/>
    </row>
    <row r="762" spans="12:13" ht="18" customHeight="1">
      <c r="L762" s="171"/>
    </row>
    <row r="763" spans="12:13" ht="18" customHeight="1">
      <c r="L763" s="171"/>
    </row>
    <row r="764" spans="12:13" ht="18" customHeight="1">
      <c r="L764" s="171"/>
    </row>
    <row r="765" spans="12:13" ht="18" customHeight="1">
      <c r="L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</sheetData>
  <mergeCells count="19">
    <mergeCell ref="B14:C15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Z53:Z54"/>
    <mergeCell ref="J14:J15"/>
    <mergeCell ref="L14:L15"/>
    <mergeCell ref="N53:N54"/>
    <mergeCell ref="O53:O54"/>
    <mergeCell ref="P53:P54"/>
    <mergeCell ref="Q53:Q54"/>
  </mergeCells>
  <phoneticPr fontId="14" type="noConversion"/>
  <conditionalFormatting sqref="V16:V42">
    <cfRule type="cellIs" dxfId="25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2497" r:id="rId4" name="Drop Down 1">
              <controlPr defaultSize="0" autoLine="0" autoPict="0">
                <anchor moveWithCells="1">
                  <from>
                    <xdr:col>6</xdr:col>
                    <xdr:colOff>409575</xdr:colOff>
                    <xdr:row>0</xdr:row>
                    <xdr:rowOff>200025</xdr:rowOff>
                  </from>
                  <to>
                    <xdr:col>11</xdr:col>
                    <xdr:colOff>228600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codeName="Sheet12">
    <tabColor rgb="FFFFFF00"/>
    <pageSetUpPr fitToPage="1"/>
  </sheetPr>
  <dimension ref="A1:AC770"/>
  <sheetViews>
    <sheetView showGridLines="0" zoomScale="85" zoomScaleNormal="85" zoomScaleSheetLayoutView="75" workbookViewId="0">
      <selection activeCell="O7" sqref="O7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2530</v>
      </c>
      <c r="Z1" s="391" t="s">
        <v>2535</v>
      </c>
    </row>
    <row r="2" spans="1:26" ht="19.5" thickBot="1">
      <c r="B2" s="66" t="s">
        <v>2531</v>
      </c>
      <c r="Z2" s="391" t="s">
        <v>2536</v>
      </c>
    </row>
    <row r="3" spans="1:26" ht="18" customHeight="1">
      <c r="B3" s="773" t="s">
        <v>48</v>
      </c>
      <c r="C3" s="774"/>
      <c r="D3" s="775">
        <v>10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Z3" s="391" t="s">
        <v>2537</v>
      </c>
    </row>
    <row r="4" spans="1:26" ht="18" customHeight="1">
      <c r="B4" s="777" t="s">
        <v>54</v>
      </c>
      <c r="C4" s="778"/>
      <c r="D4" s="779">
        <v>10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B5" s="777" t="s">
        <v>2489</v>
      </c>
      <c r="C5" s="814"/>
      <c r="D5" s="859">
        <f>ROUND((IF(D4&lt;=5,5,D4)/D3)^0.6,2)</f>
        <v>1</v>
      </c>
      <c r="E5" s="860"/>
      <c r="F5" s="217"/>
      <c r="G5" s="817" t="s">
        <v>1102</v>
      </c>
      <c r="H5" s="818"/>
      <c r="I5" s="746">
        <f>ROUND(I4/I3,3)</f>
        <v>1</v>
      </c>
      <c r="J5" s="671"/>
    </row>
    <row r="6" spans="1:26" ht="18" customHeight="1" thickBot="1">
      <c r="A6" s="358"/>
      <c r="B6" s="781" t="s">
        <v>2490</v>
      </c>
      <c r="C6" s="782"/>
      <c r="D6" s="857">
        <f>CHOOSE(F6,0.8,1,1.2)</f>
        <v>1.2</v>
      </c>
      <c r="E6" s="858"/>
      <c r="F6" s="621">
        <v>3</v>
      </c>
      <c r="G6" s="9" t="s">
        <v>1107</v>
      </c>
      <c r="J6" s="36"/>
      <c r="K6" s="6"/>
    </row>
    <row r="7" spans="1:26" ht="18" customHeight="1">
      <c r="B7" s="9" t="s">
        <v>2483</v>
      </c>
      <c r="C7" s="36"/>
      <c r="D7" s="36"/>
      <c r="E7" s="36"/>
      <c r="F7" s="36"/>
      <c r="G7" s="36"/>
      <c r="R7" s="1"/>
      <c r="S7" s="1"/>
      <c r="T7" s="1"/>
    </row>
    <row r="8" spans="1:26" ht="18" customHeight="1">
      <c r="B8" s="1" t="s">
        <v>2524</v>
      </c>
      <c r="G8" s="36"/>
      <c r="W8" s="188" t="s">
        <v>3</v>
      </c>
      <c r="X8" s="189"/>
    </row>
    <row r="9" spans="1:26" ht="18" customHeight="1">
      <c r="G9" s="36"/>
      <c r="W9" s="676"/>
      <c r="X9" s="676"/>
    </row>
    <row r="10" spans="1:26" ht="18" customHeight="1">
      <c r="G10" s="36"/>
      <c r="W10" s="676"/>
      <c r="X10" s="676"/>
    </row>
    <row r="11" spans="1:26" ht="18" customHeight="1">
      <c r="G11" s="36"/>
      <c r="W11" s="676"/>
      <c r="X11" s="676"/>
    </row>
    <row r="12" spans="1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1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SUBTOTAL(9,W14:W47)</f>
        <v>655185281</v>
      </c>
      <c r="X13" s="187"/>
      <c r="Y13" s="177"/>
      <c r="Z13" s="167"/>
    </row>
    <row r="14" spans="1:26" ht="18" customHeight="1"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SUBTOTAL(9,W15:W44)</f>
        <v>239551085</v>
      </c>
      <c r="X14" s="164"/>
      <c r="Y14" s="178" t="s">
        <v>9</v>
      </c>
      <c r="Z14" s="179"/>
    </row>
    <row r="15" spans="1:26" ht="18" customHeight="1" thickBot="1">
      <c r="B15" s="759"/>
      <c r="C15" s="760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181"/>
      <c r="V15" s="218"/>
      <c r="W15" s="159">
        <f ca="1">SUBTOTAL(9,W16:W39)</f>
        <v>231551085</v>
      </c>
      <c r="X15" s="160"/>
      <c r="Y15" s="168"/>
      <c r="Z15" s="168"/>
    </row>
    <row r="16" spans="1:26" ht="18" customHeight="1">
      <c r="B16" s="225" t="s">
        <v>2491</v>
      </c>
      <c r="C16" s="72"/>
      <c r="D16" s="203">
        <f t="shared" ref="D16:I16" si="0">SUBTOTAL(9,D17:D19)</f>
        <v>1.8</v>
      </c>
      <c r="E16" s="204">
        <f t="shared" si="0"/>
        <v>5.3</v>
      </c>
      <c r="F16" s="204">
        <f t="shared" si="0"/>
        <v>11.9</v>
      </c>
      <c r="G16" s="204">
        <f t="shared" si="0"/>
        <v>16.899999999999999</v>
      </c>
      <c r="H16" s="204">
        <f t="shared" si="0"/>
        <v>24.400000000000002</v>
      </c>
      <c r="I16" s="205">
        <f t="shared" si="0"/>
        <v>11.5</v>
      </c>
      <c r="J16" s="654"/>
      <c r="L16" s="232"/>
      <c r="N16" s="294" t="str">
        <f>B16</f>
        <v>1. 조사분석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SUBTOTAL(9,W17:W19)</f>
        <v>24153969</v>
      </c>
      <c r="X16" s="194"/>
      <c r="Y16" s="170"/>
      <c r="Z16" s="170"/>
    </row>
    <row r="17" spans="2:26" ht="18" customHeight="1">
      <c r="B17" s="223" t="s">
        <v>1516</v>
      </c>
      <c r="C17" s="23"/>
      <c r="D17" s="197">
        <v>0.4</v>
      </c>
      <c r="E17" s="198">
        <v>1.6</v>
      </c>
      <c r="F17" s="198">
        <v>3.5</v>
      </c>
      <c r="G17" s="198">
        <v>5.0999999999999996</v>
      </c>
      <c r="H17" s="198">
        <v>7.8</v>
      </c>
      <c r="I17" s="199">
        <v>3.5</v>
      </c>
      <c r="J17" s="389" t="s">
        <v>1926</v>
      </c>
      <c r="L17" s="233">
        <v>1</v>
      </c>
      <c r="N17" s="296" t="str">
        <f t="shared" ref="N17:N39" si="1">B17</f>
        <v>1.1. 자연환경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SUM((ROUNDDOWN((D42:I42)*단가,0)))</f>
        <v>7307318</v>
      </c>
      <c r="X17" s="154"/>
      <c r="Y17" s="150" t="str">
        <f t="shared" ref="Y17:Y39" si="2">IF(A42&gt;0, "제 " &amp;A42&amp; " 호표","")</f>
        <v>제 1 호표</v>
      </c>
      <c r="Z17" s="150"/>
    </row>
    <row r="18" spans="2:26" ht="18" customHeight="1">
      <c r="B18" s="223" t="s">
        <v>2492</v>
      </c>
      <c r="C18" s="23"/>
      <c r="D18" s="197">
        <v>0.6</v>
      </c>
      <c r="E18" s="198">
        <v>1.7</v>
      </c>
      <c r="F18" s="198">
        <v>4.2</v>
      </c>
      <c r="G18" s="198">
        <v>5.7</v>
      </c>
      <c r="H18" s="198">
        <v>8.3000000000000007</v>
      </c>
      <c r="I18" s="199">
        <v>3.9</v>
      </c>
      <c r="J18" s="389" t="s">
        <v>1925</v>
      </c>
      <c r="L18" s="233">
        <v>1</v>
      </c>
      <c r="N18" s="296" t="str">
        <f t="shared" si="1"/>
        <v>1.2. 인문환경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SUM((ROUNDDOWN((D43:I43)*단가,0)))</f>
        <v>8199212</v>
      </c>
      <c r="X18" s="154"/>
      <c r="Y18" s="150" t="str">
        <f t="shared" si="2"/>
        <v>제 2 호표</v>
      </c>
      <c r="Z18" s="150"/>
    </row>
    <row r="19" spans="2:26" ht="18" customHeight="1">
      <c r="B19" s="223" t="s">
        <v>2493</v>
      </c>
      <c r="C19" s="23"/>
      <c r="D19" s="197">
        <v>0.8</v>
      </c>
      <c r="E19" s="198">
        <v>2</v>
      </c>
      <c r="F19" s="198">
        <v>4.2</v>
      </c>
      <c r="G19" s="198">
        <v>6.1</v>
      </c>
      <c r="H19" s="198">
        <v>8.3000000000000007</v>
      </c>
      <c r="I19" s="199">
        <v>4.0999999999999996</v>
      </c>
      <c r="J19" s="389" t="s">
        <v>1925</v>
      </c>
      <c r="L19" s="233">
        <v>1</v>
      </c>
      <c r="N19" s="296" t="str">
        <f t="shared" si="1"/>
        <v>1.3. 종합분석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SUM((ROUNDDOWN((D44:I44)*단가,0)))</f>
        <v>8647439</v>
      </c>
      <c r="X19" s="154"/>
      <c r="Y19" s="150" t="str">
        <f t="shared" si="2"/>
        <v>제 3 호표</v>
      </c>
      <c r="Z19" s="150"/>
    </row>
    <row r="20" spans="2:26" ht="18" customHeight="1">
      <c r="B20" s="222" t="s">
        <v>52</v>
      </c>
      <c r="C20" s="47"/>
      <c r="D20" s="48">
        <f t="shared" ref="D20:I20" si="3">SUBTOTAL(9,D21:D23)</f>
        <v>5.3</v>
      </c>
      <c r="E20" s="49">
        <f t="shared" si="3"/>
        <v>15.18</v>
      </c>
      <c r="F20" s="49">
        <f t="shared" si="3"/>
        <v>26.2</v>
      </c>
      <c r="G20" s="49">
        <f t="shared" si="3"/>
        <v>27.200000000000003</v>
      </c>
      <c r="H20" s="49">
        <f t="shared" si="3"/>
        <v>34.799999999999997</v>
      </c>
      <c r="I20" s="50">
        <f t="shared" si="3"/>
        <v>15</v>
      </c>
      <c r="J20" s="389"/>
      <c r="L20" s="233"/>
      <c r="N20" s="292" t="str">
        <f t="shared" si="1"/>
        <v>2. 기본구상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SUBTOTAL(9,W21:W23)</f>
        <v>76327588</v>
      </c>
      <c r="X20" s="196"/>
      <c r="Y20" s="150" t="str">
        <f t="shared" si="2"/>
        <v/>
      </c>
      <c r="Z20" s="150"/>
    </row>
    <row r="21" spans="2:26" ht="18" customHeight="1">
      <c r="B21" s="223" t="s">
        <v>2494</v>
      </c>
      <c r="C21" s="23"/>
      <c r="D21" s="197">
        <v>1.7</v>
      </c>
      <c r="E21" s="198">
        <v>4.88</v>
      </c>
      <c r="F21" s="198">
        <v>8.1999999999999993</v>
      </c>
      <c r="G21" s="198">
        <v>8.8000000000000007</v>
      </c>
      <c r="H21" s="198">
        <v>10.4</v>
      </c>
      <c r="I21" s="199">
        <v>4.9000000000000004</v>
      </c>
      <c r="J21" s="389" t="s">
        <v>1925</v>
      </c>
      <c r="L21" s="233">
        <v>1</v>
      </c>
      <c r="N21" s="296" t="str">
        <f t="shared" si="1"/>
        <v>2.1. 개발방향설정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SUM((ROUNDDOWN((D46:I46)*단가,0)))</f>
        <v>13725764</v>
      </c>
      <c r="X21" s="154"/>
      <c r="Y21" s="150" t="str">
        <f t="shared" si="2"/>
        <v>제 4 호표</v>
      </c>
      <c r="Z21" s="150"/>
    </row>
    <row r="22" spans="2:26" ht="18" customHeight="1">
      <c r="B22" s="223" t="s">
        <v>2532</v>
      </c>
      <c r="C22" s="23"/>
      <c r="D22" s="197">
        <v>1.6</v>
      </c>
      <c r="E22" s="198">
        <v>4.5</v>
      </c>
      <c r="F22" s="198">
        <v>7.3</v>
      </c>
      <c r="G22" s="198">
        <v>7</v>
      </c>
      <c r="H22" s="198">
        <v>10</v>
      </c>
      <c r="I22" s="199">
        <v>4.3</v>
      </c>
      <c r="J22" s="389" t="s">
        <v>1925</v>
      </c>
      <c r="L22" s="233">
        <v>1</v>
      </c>
      <c r="N22" s="296" t="str">
        <f t="shared" si="1"/>
        <v>2.2. 계획지표설정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SUM((ROUNDDOWN((D47:I47)*단가,0)))</f>
        <v>12231620</v>
      </c>
      <c r="X22" s="154"/>
      <c r="Y22" s="150" t="str">
        <f t="shared" si="2"/>
        <v>제 5 호표</v>
      </c>
      <c r="Z22" s="150"/>
    </row>
    <row r="23" spans="2:26" ht="18" customHeight="1">
      <c r="B23" s="223" t="s">
        <v>2533</v>
      </c>
      <c r="C23" s="23"/>
      <c r="D23" s="197">
        <v>2</v>
      </c>
      <c r="E23" s="198">
        <v>5.8</v>
      </c>
      <c r="F23" s="198">
        <v>10.7</v>
      </c>
      <c r="G23" s="198">
        <v>11.4</v>
      </c>
      <c r="H23" s="198">
        <v>14.4</v>
      </c>
      <c r="I23" s="199">
        <v>5.8</v>
      </c>
      <c r="J23" s="389" t="s">
        <v>1925</v>
      </c>
      <c r="L23" s="233">
        <v>1</v>
      </c>
      <c r="N23" s="296" t="str">
        <f t="shared" si="1"/>
        <v>2.3. 종합배치계획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SUM((ROUNDDOWN((D49:I49)*단가,0)))</f>
        <v>50370204</v>
      </c>
      <c r="X23" s="154"/>
      <c r="Y23" s="150" t="str">
        <f t="shared" si="2"/>
        <v>제 6 호표</v>
      </c>
      <c r="Z23" s="150"/>
    </row>
    <row r="24" spans="2:26" ht="18" customHeight="1">
      <c r="B24" s="222" t="s">
        <v>880</v>
      </c>
      <c r="C24" s="47"/>
      <c r="D24" s="48">
        <f t="shared" ref="D24:I24" si="4">SUBTOTAL(9,D25:D29)</f>
        <v>11.1</v>
      </c>
      <c r="E24" s="49">
        <f t="shared" si="4"/>
        <v>28.300000000000004</v>
      </c>
      <c r="F24" s="49">
        <f t="shared" si="4"/>
        <v>48</v>
      </c>
      <c r="G24" s="49">
        <f t="shared" si="4"/>
        <v>55.099999999999994</v>
      </c>
      <c r="H24" s="49">
        <f t="shared" si="4"/>
        <v>65.099999999999994</v>
      </c>
      <c r="I24" s="50">
        <f t="shared" si="4"/>
        <v>30.1</v>
      </c>
      <c r="J24" s="389"/>
      <c r="L24" s="233"/>
      <c r="N24" s="292" t="str">
        <f t="shared" si="1"/>
        <v>3. 기본계획</v>
      </c>
      <c r="O24" s="37"/>
      <c r="P24" s="39"/>
      <c r="Q24" s="37"/>
      <c r="R24" s="117"/>
      <c r="S24" s="37"/>
      <c r="T24" s="37"/>
      <c r="U24" s="226"/>
      <c r="V24" s="231"/>
      <c r="W24" s="195">
        <f ca="1">SUBTOTAL(9,W25:W29)</f>
        <v>83795232</v>
      </c>
      <c r="X24" s="154"/>
      <c r="Y24" s="150" t="str">
        <f t="shared" si="2"/>
        <v/>
      </c>
      <c r="Z24" s="150"/>
    </row>
    <row r="25" spans="2:26" ht="18" customHeight="1">
      <c r="B25" s="223" t="s">
        <v>2499</v>
      </c>
      <c r="C25" s="23"/>
      <c r="D25" s="197">
        <v>2.4</v>
      </c>
      <c r="E25" s="198">
        <v>6.2</v>
      </c>
      <c r="F25" s="198">
        <v>10.6</v>
      </c>
      <c r="G25" s="198">
        <v>12.5</v>
      </c>
      <c r="H25" s="198">
        <v>13.4</v>
      </c>
      <c r="I25" s="199">
        <v>6.6</v>
      </c>
      <c r="J25" s="389" t="s">
        <v>1925</v>
      </c>
      <c r="L25" s="233">
        <v>1</v>
      </c>
      <c r="N25" s="296" t="str">
        <f t="shared" si="1"/>
        <v>3.1. 토지이용계획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SUM((ROUNDDOWN((D52:I52)*단가,0)))</f>
        <v>17175753</v>
      </c>
      <c r="X25" s="154"/>
      <c r="Y25" s="150" t="str">
        <f t="shared" si="2"/>
        <v>제 7 호표</v>
      </c>
      <c r="Z25" s="150"/>
    </row>
    <row r="26" spans="2:26" ht="18" customHeight="1">
      <c r="B26" s="223" t="s">
        <v>2500</v>
      </c>
      <c r="C26" s="23"/>
      <c r="D26" s="197">
        <v>2.2999999999999998</v>
      </c>
      <c r="E26" s="198">
        <v>6.1</v>
      </c>
      <c r="F26" s="198">
        <v>10.3</v>
      </c>
      <c r="G26" s="198">
        <v>12.1</v>
      </c>
      <c r="H26" s="198">
        <v>13</v>
      </c>
      <c r="I26" s="199">
        <v>6.4</v>
      </c>
      <c r="J26" s="389" t="s">
        <v>1925</v>
      </c>
      <c r="L26" s="233">
        <v>1</v>
      </c>
      <c r="N26" s="296" t="str">
        <f t="shared" si="1"/>
        <v>3.2. 교통동선 및 포장계획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SUM((ROUNDDOWN((D53:I53)*단가,0)))</f>
        <v>15573869</v>
      </c>
      <c r="X26" s="154"/>
      <c r="Y26" s="150" t="str">
        <f t="shared" si="2"/>
        <v>제 8 호표</v>
      </c>
      <c r="Z26" s="150"/>
    </row>
    <row r="27" spans="2:26" ht="18" customHeight="1">
      <c r="B27" s="223" t="s">
        <v>2501</v>
      </c>
      <c r="C27" s="23"/>
      <c r="D27" s="197">
        <v>2.7</v>
      </c>
      <c r="E27" s="198">
        <v>5.8</v>
      </c>
      <c r="F27" s="198">
        <v>10.5</v>
      </c>
      <c r="G27" s="198">
        <v>10.199999999999999</v>
      </c>
      <c r="H27" s="198">
        <v>13</v>
      </c>
      <c r="I27" s="199">
        <v>6.2</v>
      </c>
      <c r="J27" s="389" t="s">
        <v>1925</v>
      </c>
      <c r="L27" s="233">
        <v>1</v>
      </c>
      <c r="N27" s="296" t="str">
        <f t="shared" si="1"/>
        <v>3.3. 시설배치계획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SUM((ROUNDDOWN((D54:I54)*단가,0)))</f>
        <v>14985474</v>
      </c>
      <c r="X27" s="154"/>
      <c r="Y27" s="150" t="str">
        <f t="shared" si="2"/>
        <v>제 9 호표</v>
      </c>
      <c r="Z27" s="150"/>
    </row>
    <row r="28" spans="2:26" ht="18" customHeight="1">
      <c r="B28" s="223" t="s">
        <v>2502</v>
      </c>
      <c r="C28" s="23"/>
      <c r="D28" s="197">
        <v>1.8</v>
      </c>
      <c r="E28" s="198">
        <v>5.0999999999999996</v>
      </c>
      <c r="F28" s="198">
        <v>8.3000000000000007</v>
      </c>
      <c r="G28" s="198">
        <v>10.1</v>
      </c>
      <c r="H28" s="198">
        <v>14</v>
      </c>
      <c r="I28" s="199">
        <v>5.5</v>
      </c>
      <c r="J28" s="389" t="s">
        <v>1925</v>
      </c>
      <c r="L28" s="233">
        <v>1</v>
      </c>
      <c r="N28" s="296" t="str">
        <f t="shared" si="1"/>
        <v>3.4. 식재계획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SUM((ROUNDDOWN((D54:I54)*단가,0)))</f>
        <v>14985474</v>
      </c>
      <c r="X28" s="154"/>
      <c r="Y28" s="150" t="str">
        <f t="shared" si="2"/>
        <v>제 10 호표</v>
      </c>
      <c r="Z28" s="150"/>
    </row>
    <row r="29" spans="2:26" ht="18" customHeight="1">
      <c r="B29" s="223" t="s">
        <v>2503</v>
      </c>
      <c r="C29" s="23"/>
      <c r="D29" s="197">
        <v>1.9</v>
      </c>
      <c r="E29" s="198">
        <v>5.0999999999999996</v>
      </c>
      <c r="F29" s="198">
        <v>8.3000000000000007</v>
      </c>
      <c r="G29" s="198">
        <v>10.199999999999999</v>
      </c>
      <c r="H29" s="198">
        <v>11.7</v>
      </c>
      <c r="I29" s="199">
        <v>5.4</v>
      </c>
      <c r="J29" s="389" t="s">
        <v>1925</v>
      </c>
      <c r="L29" s="233">
        <v>1</v>
      </c>
      <c r="N29" s="296" t="str">
        <f t="shared" si="1"/>
        <v>3.5. 공급처리계획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SUM((ROUNDDOWN((D55:I55)*단가,0)))</f>
        <v>21074662</v>
      </c>
      <c r="X29" s="154"/>
      <c r="Y29" s="150" t="str">
        <f t="shared" si="2"/>
        <v>제 11 호표</v>
      </c>
      <c r="Z29" s="150"/>
    </row>
    <row r="30" spans="2:26" ht="18" customHeight="1">
      <c r="B30" s="222" t="s">
        <v>2504</v>
      </c>
      <c r="C30" s="47"/>
      <c r="D30" s="48">
        <f t="shared" ref="D30:I30" si="5">SUBTOTAL(9,D31:D32)</f>
        <v>2.2999999999999998</v>
      </c>
      <c r="E30" s="49">
        <f t="shared" si="5"/>
        <v>7.8999999999999995</v>
      </c>
      <c r="F30" s="49">
        <f t="shared" si="5"/>
        <v>11.3</v>
      </c>
      <c r="G30" s="49">
        <f t="shared" si="5"/>
        <v>12.5</v>
      </c>
      <c r="H30" s="49">
        <f t="shared" si="5"/>
        <v>14.3</v>
      </c>
      <c r="I30" s="50">
        <f t="shared" si="5"/>
        <v>9.3000000000000007</v>
      </c>
      <c r="J30" s="389"/>
      <c r="L30" s="233"/>
      <c r="N30" s="292" t="str">
        <f t="shared" si="1"/>
        <v>4. 집행(사업)계획</v>
      </c>
      <c r="O30" s="37"/>
      <c r="P30" s="39"/>
      <c r="Q30" s="37"/>
      <c r="R30" s="117"/>
      <c r="S30" s="37"/>
      <c r="T30" s="37"/>
      <c r="U30" s="226"/>
      <c r="V30" s="231"/>
      <c r="W30" s="195">
        <f ca="1">SUBTOTAL(9,W31:W32)</f>
        <v>21074660</v>
      </c>
      <c r="X30" s="154"/>
      <c r="Y30" s="150" t="str">
        <f t="shared" si="2"/>
        <v/>
      </c>
      <c r="Z30" s="150"/>
    </row>
    <row r="31" spans="2:26" ht="18" customHeight="1">
      <c r="B31" s="223" t="s">
        <v>2505</v>
      </c>
      <c r="C31" s="23"/>
      <c r="D31" s="197">
        <v>1.2</v>
      </c>
      <c r="E31" s="198">
        <v>4.0999999999999996</v>
      </c>
      <c r="F31" s="198">
        <v>5.7</v>
      </c>
      <c r="G31" s="198">
        <v>5.9</v>
      </c>
      <c r="H31" s="198">
        <v>7.1</v>
      </c>
      <c r="I31" s="199">
        <v>4.7</v>
      </c>
      <c r="J31" s="389" t="s">
        <v>1925</v>
      </c>
      <c r="L31" s="233">
        <v>1</v>
      </c>
      <c r="N31" s="296" t="str">
        <f t="shared" si="1"/>
        <v>4.1. 개발추진계획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SUM((ROUNDDOWN((D56:I56)*단가,0)))</f>
        <v>7034305</v>
      </c>
      <c r="X31" s="154"/>
      <c r="Y31" s="150" t="str">
        <f t="shared" si="2"/>
        <v>제 12 호표</v>
      </c>
      <c r="Z31" s="150"/>
    </row>
    <row r="32" spans="2:26" ht="18" customHeight="1">
      <c r="B32" s="223" t="s">
        <v>2506</v>
      </c>
      <c r="C32" s="23"/>
      <c r="D32" s="197">
        <v>1.1000000000000001</v>
      </c>
      <c r="E32" s="198">
        <v>3.8</v>
      </c>
      <c r="F32" s="198">
        <v>5.6</v>
      </c>
      <c r="G32" s="198">
        <v>6.6</v>
      </c>
      <c r="H32" s="198">
        <v>7.2</v>
      </c>
      <c r="I32" s="199">
        <v>4.5999999999999996</v>
      </c>
      <c r="J32" s="389" t="s">
        <v>1925</v>
      </c>
      <c r="L32" s="233">
        <v>1</v>
      </c>
      <c r="N32" s="296" t="str">
        <f t="shared" si="1"/>
        <v>4.2. 관리운영계획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SUM((ROUNDDOWN((D57:I57)*단가,0)))</f>
        <v>14040355</v>
      </c>
      <c r="X32" s="154"/>
      <c r="Y32" s="150" t="str">
        <f t="shared" si="2"/>
        <v>제 13 호표</v>
      </c>
      <c r="Z32" s="150"/>
    </row>
    <row r="33" spans="1:26" ht="18" customHeight="1">
      <c r="B33" s="222" t="s">
        <v>424</v>
      </c>
      <c r="C33" s="47"/>
      <c r="D33" s="48">
        <f t="shared" ref="D33:I33" si="6">SUBTOTAL(9,D34:D35)</f>
        <v>2.0999999999999996</v>
      </c>
      <c r="E33" s="49">
        <f t="shared" si="6"/>
        <v>6</v>
      </c>
      <c r="F33" s="49">
        <f t="shared" si="6"/>
        <v>12.600000000000001</v>
      </c>
      <c r="G33" s="49">
        <f t="shared" si="6"/>
        <v>14.100000000000001</v>
      </c>
      <c r="H33" s="49">
        <f t="shared" si="6"/>
        <v>16.399999999999999</v>
      </c>
      <c r="I33" s="50">
        <f t="shared" si="6"/>
        <v>9.6000000000000014</v>
      </c>
      <c r="J33" s="389"/>
      <c r="L33" s="233"/>
      <c r="N33" s="292" t="str">
        <f t="shared" si="1"/>
        <v>5. 성과품작성</v>
      </c>
      <c r="O33" s="37"/>
      <c r="P33" s="39"/>
      <c r="Q33" s="37"/>
      <c r="R33" s="117"/>
      <c r="S33" s="37"/>
      <c r="T33" s="37"/>
      <c r="U33" s="226"/>
      <c r="V33" s="231"/>
      <c r="W33" s="195">
        <f ca="1">SUBTOTAL(9,W34:W35)</f>
        <v>21074660</v>
      </c>
      <c r="X33" s="154"/>
      <c r="Y33" s="150" t="str">
        <f t="shared" si="2"/>
        <v/>
      </c>
      <c r="Z33" s="150"/>
    </row>
    <row r="34" spans="1:26" ht="18" customHeight="1">
      <c r="B34" s="223" t="s">
        <v>2507</v>
      </c>
      <c r="C34" s="23"/>
      <c r="D34" s="197">
        <v>0.7</v>
      </c>
      <c r="E34" s="198">
        <v>2</v>
      </c>
      <c r="F34" s="198">
        <v>4.2</v>
      </c>
      <c r="G34" s="198">
        <v>4.7</v>
      </c>
      <c r="H34" s="198">
        <v>5.5</v>
      </c>
      <c r="I34" s="199">
        <v>3.2</v>
      </c>
      <c r="J34" s="389" t="s">
        <v>1925</v>
      </c>
      <c r="L34" s="233">
        <v>1</v>
      </c>
      <c r="N34" s="296" t="str">
        <f t="shared" si="1"/>
        <v>5.1. 보고서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SUM((ROUNDDOWN((D59:I59)*단가,0)))</f>
        <v>7034305</v>
      </c>
      <c r="X34" s="154"/>
      <c r="Y34" s="150" t="str">
        <f t="shared" si="2"/>
        <v>제 14 호표</v>
      </c>
      <c r="Z34" s="150"/>
    </row>
    <row r="35" spans="1:26" ht="18" customHeight="1">
      <c r="B35" s="259" t="s">
        <v>2508</v>
      </c>
      <c r="C35" s="43"/>
      <c r="D35" s="206">
        <v>1.4</v>
      </c>
      <c r="E35" s="207">
        <v>4</v>
      </c>
      <c r="F35" s="207">
        <v>8.4</v>
      </c>
      <c r="G35" s="207">
        <v>9.4</v>
      </c>
      <c r="H35" s="207">
        <v>10.9</v>
      </c>
      <c r="I35" s="208">
        <v>6.4</v>
      </c>
      <c r="J35" s="390" t="s">
        <v>1925</v>
      </c>
      <c r="L35" s="233">
        <v>1</v>
      </c>
      <c r="N35" s="296" t="str">
        <f t="shared" si="1"/>
        <v>5.2. 관련도서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SUM((ROUNDDOWN((D60:I60)*단가,0)))</f>
        <v>14040355</v>
      </c>
      <c r="X35" s="154"/>
      <c r="Y35" s="150" t="str">
        <f t="shared" si="2"/>
        <v>제 15 호표</v>
      </c>
      <c r="Z35" s="150"/>
    </row>
    <row r="36" spans="1:26" ht="18" customHeight="1">
      <c r="B36" s="222" t="s">
        <v>426</v>
      </c>
      <c r="C36" s="47"/>
      <c r="D36" s="48">
        <f t="shared" ref="D36:I36" si="7">SUBTOTAL(9,D37:D39)</f>
        <v>1</v>
      </c>
      <c r="E36" s="49">
        <f t="shared" si="7"/>
        <v>2.2000000000000002</v>
      </c>
      <c r="F36" s="49">
        <f t="shared" si="7"/>
        <v>3.1</v>
      </c>
      <c r="G36" s="49">
        <f t="shared" si="7"/>
        <v>4</v>
      </c>
      <c r="H36" s="49">
        <f t="shared" si="7"/>
        <v>4</v>
      </c>
      <c r="I36" s="50">
        <f t="shared" si="7"/>
        <v>3</v>
      </c>
      <c r="J36" s="620"/>
      <c r="L36" s="233"/>
      <c r="N36" s="292" t="str">
        <f t="shared" si="1"/>
        <v>6. 기술협의</v>
      </c>
      <c r="O36" s="37"/>
      <c r="P36" s="39"/>
      <c r="Q36" s="37"/>
      <c r="R36" s="117"/>
      <c r="S36" s="37"/>
      <c r="T36" s="37"/>
      <c r="U36" s="226"/>
      <c r="V36" s="231"/>
      <c r="W36" s="195">
        <f ca="1">SUBTOTAL(9,W37:W39)</f>
        <v>5124976</v>
      </c>
      <c r="X36" s="154"/>
      <c r="Y36" s="150" t="str">
        <f t="shared" si="2"/>
        <v/>
      </c>
      <c r="Z36" s="150"/>
    </row>
    <row r="37" spans="1:26" ht="18" customHeight="1">
      <c r="B37" s="223" t="s">
        <v>2509</v>
      </c>
      <c r="C37" s="23"/>
      <c r="D37" s="197">
        <v>0.3</v>
      </c>
      <c r="E37" s="198">
        <v>0.7</v>
      </c>
      <c r="F37" s="198">
        <v>1.1000000000000001</v>
      </c>
      <c r="G37" s="198">
        <v>1.5</v>
      </c>
      <c r="H37" s="198">
        <v>1.5</v>
      </c>
      <c r="I37" s="199">
        <v>1</v>
      </c>
      <c r="J37" s="389" t="s">
        <v>2512</v>
      </c>
      <c r="L37" s="233">
        <v>1</v>
      </c>
      <c r="N37" s="296" t="str">
        <f t="shared" si="1"/>
        <v>6.1. 위원회 심의 지원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SUM((ROUNDDOWN((D62:I62)*단가,0)))</f>
        <v>1789466</v>
      </c>
      <c r="X37" s="154"/>
      <c r="Y37" s="150" t="str">
        <f t="shared" si="2"/>
        <v>제 16 호표</v>
      </c>
      <c r="Z37" s="150"/>
    </row>
    <row r="38" spans="1:26" ht="18" customHeight="1">
      <c r="B38" s="223" t="s">
        <v>2510</v>
      </c>
      <c r="C38" s="23"/>
      <c r="D38" s="197">
        <v>0.3</v>
      </c>
      <c r="E38" s="198">
        <v>0.7</v>
      </c>
      <c r="F38" s="198">
        <v>0.9</v>
      </c>
      <c r="G38" s="198">
        <v>1.1000000000000001</v>
      </c>
      <c r="H38" s="198">
        <v>1.1000000000000001</v>
      </c>
      <c r="I38" s="199">
        <v>0.9</v>
      </c>
      <c r="J38" s="389" t="s">
        <v>2514</v>
      </c>
      <c r="L38" s="233">
        <v>1</v>
      </c>
      <c r="N38" s="296" t="str">
        <f t="shared" si="1"/>
        <v>6.2. 주민설명회 자료 작성 등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SUM((ROUNDDOWN((D63:I63)*단가,0)))</f>
        <v>1490040</v>
      </c>
      <c r="X38" s="154"/>
      <c r="Y38" s="150" t="str">
        <f t="shared" si="2"/>
        <v>제 17 호표</v>
      </c>
      <c r="Z38" s="150"/>
    </row>
    <row r="39" spans="1:26" ht="18" customHeight="1" thickBot="1">
      <c r="B39" s="223" t="s">
        <v>2511</v>
      </c>
      <c r="C39" s="23"/>
      <c r="D39" s="197">
        <v>0.4</v>
      </c>
      <c r="E39" s="198">
        <v>0.8</v>
      </c>
      <c r="F39" s="198">
        <v>1.1000000000000001</v>
      </c>
      <c r="G39" s="198">
        <v>1.4</v>
      </c>
      <c r="H39" s="198">
        <v>1.4</v>
      </c>
      <c r="I39" s="199">
        <v>1.1000000000000001</v>
      </c>
      <c r="J39" s="612" t="s">
        <v>2513</v>
      </c>
      <c r="L39" s="233">
        <v>1</v>
      </c>
      <c r="N39" s="296" t="str">
        <f t="shared" si="1"/>
        <v>6.3. 관계기관 협의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SUM((ROUNDDOWN((D64:I64)*단가,0)))</f>
        <v>1845470</v>
      </c>
      <c r="X39" s="154"/>
      <c r="Y39" s="150" t="str">
        <f t="shared" si="2"/>
        <v>제 18 호표</v>
      </c>
      <c r="Z39" s="150"/>
    </row>
    <row r="40" spans="1:26" ht="18" customHeight="1" thickBot="1">
      <c r="B40" s="14" t="s">
        <v>30</v>
      </c>
      <c r="C40" s="16"/>
      <c r="D40" s="14" t="s">
        <v>12</v>
      </c>
      <c r="E40" s="15"/>
      <c r="F40" s="15"/>
      <c r="G40" s="15"/>
      <c r="H40" s="15"/>
      <c r="I40" s="16"/>
      <c r="J40" s="175" t="s">
        <v>31</v>
      </c>
      <c r="N40" s="379"/>
      <c r="P40" s="371"/>
      <c r="R40" s="357"/>
      <c r="S40" s="1"/>
      <c r="T40" s="1"/>
      <c r="U40" s="258"/>
      <c r="V40" s="380"/>
      <c r="W40" s="373"/>
      <c r="X40" s="374"/>
      <c r="Y40" s="378"/>
      <c r="Z40" s="378"/>
    </row>
    <row r="41" spans="1:26" ht="18" customHeight="1">
      <c r="B41" s="225" t="s">
        <v>2491</v>
      </c>
      <c r="C41" s="72"/>
      <c r="D41" s="203">
        <f t="shared" ref="D41:I41" si="8">SUBTOTAL(9,D42:D44)</f>
        <v>2.16</v>
      </c>
      <c r="E41" s="204">
        <f t="shared" si="8"/>
        <v>6.3599999999999994</v>
      </c>
      <c r="F41" s="204">
        <f t="shared" si="8"/>
        <v>14.280000000000001</v>
      </c>
      <c r="G41" s="204">
        <f t="shared" si="8"/>
        <v>20.28</v>
      </c>
      <c r="H41" s="204">
        <f t="shared" si="8"/>
        <v>29.28</v>
      </c>
      <c r="I41" s="205">
        <f t="shared" si="8"/>
        <v>13.799999999999999</v>
      </c>
      <c r="J41" s="73"/>
      <c r="M41" s="171"/>
      <c r="N41" s="290" t="s">
        <v>2611</v>
      </c>
      <c r="O41" s="129"/>
      <c r="P41" s="130"/>
      <c r="Q41" s="124"/>
      <c r="R41" s="131"/>
      <c r="S41" s="124"/>
      <c r="T41" s="124"/>
      <c r="U41" s="181"/>
      <c r="V41" s="181"/>
      <c r="W41" s="159">
        <f>SUBTOTAL(9,W42:W44)</f>
        <v>8000000</v>
      </c>
      <c r="X41" s="160"/>
      <c r="Y41" s="124"/>
      <c r="Z41" s="124"/>
    </row>
    <row r="42" spans="1:26" ht="18" customHeight="1">
      <c r="A42" s="326">
        <v>1</v>
      </c>
      <c r="B42" s="223" t="s">
        <v>1516</v>
      </c>
      <c r="C42" s="23"/>
      <c r="D42" s="197">
        <f t="array" ref="D42:I44">ROUNDUP(D17:I19*L17:L19*$D$5*$D$6,2)</f>
        <v>0.48</v>
      </c>
      <c r="E42" s="198">
        <v>1.92</v>
      </c>
      <c r="F42" s="198">
        <v>4.2</v>
      </c>
      <c r="G42" s="198">
        <v>6.12</v>
      </c>
      <c r="H42" s="198">
        <v>9.36</v>
      </c>
      <c r="I42" s="199">
        <v>4.2</v>
      </c>
      <c r="J42" s="74"/>
      <c r="M42" s="171"/>
      <c r="N42" s="291" t="str">
        <f>"여비("&amp;TEXT(T42,"#인 ×")&amp;TEXT(U42,"#일 ×")&amp;TEXT(V42,"###,###원)")</f>
        <v>여비(3인 ×10일 ×100,000원)</v>
      </c>
      <c r="O42" s="78"/>
      <c r="P42" s="52"/>
      <c r="Q42" s="51"/>
      <c r="T42" s="146">
        <v>3</v>
      </c>
      <c r="U42" s="146">
        <v>10</v>
      </c>
      <c r="V42" s="147">
        <v>100000</v>
      </c>
      <c r="W42" s="161">
        <f>T42*U42*V42</f>
        <v>3000000</v>
      </c>
      <c r="X42" s="162"/>
      <c r="Y42" s="51"/>
      <c r="Z42" s="51"/>
    </row>
    <row r="43" spans="1:26" ht="18" customHeight="1">
      <c r="A43" s="326">
        <v>2</v>
      </c>
      <c r="B43" s="223" t="s">
        <v>2492</v>
      </c>
      <c r="C43" s="23"/>
      <c r="D43" s="197">
        <v>0.72</v>
      </c>
      <c r="E43" s="198">
        <v>2.04</v>
      </c>
      <c r="F43" s="198">
        <v>5.04</v>
      </c>
      <c r="G43" s="198">
        <v>6.84</v>
      </c>
      <c r="H43" s="198">
        <v>9.9600000000000009</v>
      </c>
      <c r="I43" s="199">
        <v>4.68</v>
      </c>
      <c r="J43" s="74"/>
      <c r="M43" s="171"/>
      <c r="N43" s="292" t="s">
        <v>46</v>
      </c>
      <c r="O43" s="79"/>
      <c r="P43" s="39"/>
      <c r="Q43" s="37"/>
      <c r="R43" s="117"/>
      <c r="S43" s="37"/>
      <c r="T43" s="37"/>
      <c r="U43" s="180"/>
      <c r="V43" s="180"/>
      <c r="W43" s="157">
        <v>4000000</v>
      </c>
      <c r="X43" s="158"/>
      <c r="Y43" s="37"/>
      <c r="Z43" s="37"/>
    </row>
    <row r="44" spans="1:26" ht="18" customHeight="1">
      <c r="A44" s="326">
        <v>3</v>
      </c>
      <c r="B44" s="223" t="s">
        <v>2493</v>
      </c>
      <c r="C44" s="23"/>
      <c r="D44" s="197">
        <v>0.96</v>
      </c>
      <c r="E44" s="198">
        <v>2.4</v>
      </c>
      <c r="F44" s="198">
        <v>5.04</v>
      </c>
      <c r="G44" s="198">
        <v>7.32</v>
      </c>
      <c r="H44" s="198">
        <v>9.9600000000000009</v>
      </c>
      <c r="I44" s="199">
        <v>4.92</v>
      </c>
      <c r="J44" s="74"/>
      <c r="M44" s="171"/>
      <c r="N44" s="293" t="s">
        <v>13</v>
      </c>
      <c r="O44" s="132"/>
      <c r="P44" s="38"/>
      <c r="Q44" s="38"/>
      <c r="R44" s="116"/>
      <c r="S44" s="38"/>
      <c r="T44" s="38"/>
      <c r="U44" s="183"/>
      <c r="V44" s="183"/>
      <c r="W44" s="155">
        <v>1000000</v>
      </c>
      <c r="X44" s="156"/>
      <c r="Y44" s="38"/>
      <c r="Z44" s="38"/>
    </row>
    <row r="45" spans="1:26" ht="18" customHeight="1">
      <c r="B45" s="222" t="s">
        <v>52</v>
      </c>
      <c r="C45" s="47"/>
      <c r="D45" s="48">
        <f t="shared" ref="D45:I45" si="9">SUBTOTAL(9,D46:D48)</f>
        <v>6.3599999999999994</v>
      </c>
      <c r="E45" s="49">
        <f t="shared" si="9"/>
        <v>18.22</v>
      </c>
      <c r="F45" s="49">
        <f t="shared" si="9"/>
        <v>31.44</v>
      </c>
      <c r="G45" s="49">
        <f t="shared" si="9"/>
        <v>32.64</v>
      </c>
      <c r="H45" s="49">
        <f t="shared" si="9"/>
        <v>41.760000000000005</v>
      </c>
      <c r="I45" s="50">
        <f t="shared" si="9"/>
        <v>18</v>
      </c>
      <c r="J45" s="74"/>
      <c r="M45" s="171"/>
      <c r="N45" s="127" t="s">
        <v>47</v>
      </c>
      <c r="O45" s="123"/>
      <c r="P45" s="123"/>
      <c r="Q45" s="123"/>
      <c r="R45" s="123"/>
      <c r="S45" s="123"/>
      <c r="T45" s="123"/>
      <c r="U45" s="184"/>
      <c r="V45" s="184"/>
      <c r="W45" s="163">
        <f ca="1">SUBTOTAL(9,W46:W47)</f>
        <v>415634196</v>
      </c>
      <c r="X45" s="164"/>
      <c r="Y45" s="123"/>
      <c r="Z45" s="123"/>
    </row>
    <row r="46" spans="1:26" ht="18" customHeight="1">
      <c r="A46" s="326">
        <v>4</v>
      </c>
      <c r="B46" s="223" t="s">
        <v>2494</v>
      </c>
      <c r="C46" s="23"/>
      <c r="D46" s="197">
        <f t="array" ref="D46:I48">ROUNDUP(D21:I23*L21:L23*$D$5*$D$6,2)</f>
        <v>2.04</v>
      </c>
      <c r="E46" s="198">
        <v>5.8599999999999994</v>
      </c>
      <c r="F46" s="198">
        <v>9.84</v>
      </c>
      <c r="G46" s="198">
        <v>10.56</v>
      </c>
      <c r="H46" s="198">
        <v>12.48</v>
      </c>
      <c r="I46" s="199">
        <v>5.88</v>
      </c>
      <c r="J46" s="74"/>
      <c r="M46" s="171"/>
      <c r="N46" s="133" t="s">
        <v>861</v>
      </c>
      <c r="O46" s="124"/>
      <c r="P46" s="134"/>
      <c r="Q46" s="124"/>
      <c r="R46" s="131"/>
      <c r="S46" s="124"/>
      <c r="T46" s="181"/>
      <c r="U46" s="181"/>
      <c r="V46" s="190">
        <v>1.1499999999999999</v>
      </c>
      <c r="W46" s="159">
        <f ca="1">ROUNDDOWN(W15*V46,0)</f>
        <v>266283747</v>
      </c>
      <c r="X46" s="160"/>
      <c r="Y46" s="124"/>
      <c r="Z46" s="124"/>
    </row>
    <row r="47" spans="1:26" ht="18" customHeight="1" thickBot="1">
      <c r="A47" s="326">
        <v>5</v>
      </c>
      <c r="B47" s="223" t="s">
        <v>2523</v>
      </c>
      <c r="C47" s="23"/>
      <c r="D47" s="197">
        <v>1.92</v>
      </c>
      <c r="E47" s="198">
        <v>5.4</v>
      </c>
      <c r="F47" s="198">
        <v>8.76</v>
      </c>
      <c r="G47" s="198">
        <v>8.4</v>
      </c>
      <c r="H47" s="198">
        <v>12</v>
      </c>
      <c r="I47" s="199">
        <v>5.16</v>
      </c>
      <c r="J47" s="74"/>
      <c r="M47" s="171"/>
      <c r="N47" s="135" t="s">
        <v>862</v>
      </c>
      <c r="O47" s="136"/>
      <c r="P47" s="137"/>
      <c r="Q47" s="136"/>
      <c r="R47" s="138"/>
      <c r="S47" s="136"/>
      <c r="T47" s="185"/>
      <c r="U47" s="185"/>
      <c r="V47" s="191">
        <v>0.3</v>
      </c>
      <c r="W47" s="165">
        <f ca="1">ROUNDDOWN((W15+W46)*V47,0)</f>
        <v>149350449</v>
      </c>
      <c r="X47" s="166"/>
      <c r="Y47" s="136"/>
      <c r="Z47" s="136"/>
    </row>
    <row r="48" spans="1:26" ht="18" customHeight="1">
      <c r="A48" s="326">
        <v>6</v>
      </c>
      <c r="B48" s="223" t="s">
        <v>2496</v>
      </c>
      <c r="C48" s="23"/>
      <c r="D48" s="197">
        <v>2.4</v>
      </c>
      <c r="E48" s="198">
        <v>6.96</v>
      </c>
      <c r="F48" s="198">
        <v>12.84</v>
      </c>
      <c r="G48" s="198">
        <v>13.68</v>
      </c>
      <c r="H48" s="198">
        <v>17.28</v>
      </c>
      <c r="I48" s="199">
        <v>6.96</v>
      </c>
      <c r="J48" s="74"/>
      <c r="M48" s="171"/>
    </row>
    <row r="49" spans="1:26" ht="18" customHeight="1">
      <c r="B49" s="222" t="s">
        <v>880</v>
      </c>
      <c r="C49" s="47"/>
      <c r="D49" s="48">
        <f>SUBTOTAL(9,D50:D54)</f>
        <v>13.319999999999999</v>
      </c>
      <c r="E49" s="49">
        <f>SUBTOTAL(9,E52:E54)</f>
        <v>19.2</v>
      </c>
      <c r="F49" s="49">
        <f>SUBTOTAL(9,F52:F54)</f>
        <v>32.520000000000003</v>
      </c>
      <c r="G49" s="49">
        <f>SUBTOTAL(9,G52:G54)</f>
        <v>36.6</v>
      </c>
      <c r="H49" s="49">
        <f>SUBTOTAL(9,H52:H54)</f>
        <v>46.44</v>
      </c>
      <c r="I49" s="50">
        <f>SUBTOTAL(9,I52:I54)</f>
        <v>20.52</v>
      </c>
      <c r="J49" s="74"/>
      <c r="M49" s="171"/>
    </row>
    <row r="50" spans="1:26" ht="18" customHeight="1" thickBot="1">
      <c r="A50" s="326">
        <v>7</v>
      </c>
      <c r="B50" s="223" t="s">
        <v>2499</v>
      </c>
      <c r="C50" s="23"/>
      <c r="D50" s="197">
        <f t="array" ref="D50:I54">ROUNDUP(D25:I29*L25:L29*$D$5*$D$6,2)</f>
        <v>2.88</v>
      </c>
      <c r="E50" s="198">
        <v>7.44</v>
      </c>
      <c r="F50" s="198">
        <v>12.72</v>
      </c>
      <c r="G50" s="198">
        <v>15</v>
      </c>
      <c r="H50" s="198">
        <v>16.079999999999998</v>
      </c>
      <c r="I50" s="199">
        <v>7.92</v>
      </c>
      <c r="J50" s="74"/>
      <c r="M50" s="171"/>
      <c r="N50" s="66" t="s">
        <v>18</v>
      </c>
      <c r="O50" s="2"/>
      <c r="P50" s="2"/>
      <c r="Q50" s="2"/>
      <c r="R50" s="3"/>
      <c r="S50" s="4"/>
      <c r="T50" s="3"/>
      <c r="U50" s="4"/>
      <c r="V50" s="3"/>
      <c r="W50" s="4"/>
      <c r="X50" s="3"/>
      <c r="Y50" s="4"/>
      <c r="Z50" s="2"/>
    </row>
    <row r="51" spans="1:26" ht="18" customHeight="1">
      <c r="A51" s="326">
        <v>8</v>
      </c>
      <c r="B51" s="223" t="s">
        <v>2500</v>
      </c>
      <c r="C51" s="23"/>
      <c r="D51" s="197">
        <v>2.76</v>
      </c>
      <c r="E51" s="198">
        <v>7.32</v>
      </c>
      <c r="F51" s="198">
        <v>12.36</v>
      </c>
      <c r="G51" s="198">
        <v>14.52</v>
      </c>
      <c r="H51" s="198">
        <v>15.6</v>
      </c>
      <c r="I51" s="199">
        <v>7.68</v>
      </c>
      <c r="J51" s="74"/>
      <c r="M51" s="171"/>
      <c r="N51" s="765" t="s">
        <v>19</v>
      </c>
      <c r="O51" s="755" t="s">
        <v>20</v>
      </c>
      <c r="P51" s="755" t="s">
        <v>21</v>
      </c>
      <c r="Q51" s="755" t="s">
        <v>16</v>
      </c>
      <c r="R51" s="5" t="s">
        <v>22</v>
      </c>
      <c r="S51" s="5"/>
      <c r="T51" s="5" t="s">
        <v>23</v>
      </c>
      <c r="U51" s="5"/>
      <c r="V51" s="5" t="s">
        <v>24</v>
      </c>
      <c r="W51" s="5"/>
      <c r="X51" s="5" t="s">
        <v>25</v>
      </c>
      <c r="Y51" s="5"/>
      <c r="Z51" s="755" t="s">
        <v>26</v>
      </c>
    </row>
    <row r="52" spans="1:26" ht="18" customHeight="1" thickBot="1">
      <c r="A52" s="326">
        <v>9</v>
      </c>
      <c r="B52" s="223" t="s">
        <v>2501</v>
      </c>
      <c r="C52" s="23"/>
      <c r="D52" s="197">
        <v>3.24</v>
      </c>
      <c r="E52" s="198">
        <v>6.96</v>
      </c>
      <c r="F52" s="198">
        <v>12.6</v>
      </c>
      <c r="G52" s="198">
        <v>12.24</v>
      </c>
      <c r="H52" s="198">
        <v>15.6</v>
      </c>
      <c r="I52" s="199">
        <v>7.44</v>
      </c>
      <c r="J52" s="74"/>
      <c r="M52" s="171"/>
      <c r="N52" s="766"/>
      <c r="O52" s="756"/>
      <c r="P52" s="756"/>
      <c r="Q52" s="756"/>
      <c r="R52" s="67" t="s">
        <v>27</v>
      </c>
      <c r="S52" s="67" t="s">
        <v>28</v>
      </c>
      <c r="T52" s="67" t="s">
        <v>27</v>
      </c>
      <c r="U52" s="67" t="s">
        <v>28</v>
      </c>
      <c r="V52" s="67" t="s">
        <v>27</v>
      </c>
      <c r="W52" s="67" t="s">
        <v>28</v>
      </c>
      <c r="X52" s="67" t="s">
        <v>27</v>
      </c>
      <c r="Y52" s="67" t="s">
        <v>28</v>
      </c>
      <c r="Z52" s="756"/>
    </row>
    <row r="53" spans="1:26" ht="18" customHeight="1" thickTop="1">
      <c r="A53" s="326">
        <v>10</v>
      </c>
      <c r="B53" s="223" t="s">
        <v>2502</v>
      </c>
      <c r="C53" s="23"/>
      <c r="D53" s="197">
        <v>2.16</v>
      </c>
      <c r="E53" s="198">
        <v>6.12</v>
      </c>
      <c r="F53" s="198">
        <v>9.9600000000000009</v>
      </c>
      <c r="G53" s="198">
        <v>12.12</v>
      </c>
      <c r="H53" s="198">
        <v>16.8</v>
      </c>
      <c r="I53" s="199">
        <v>6.6</v>
      </c>
      <c r="J53" s="74"/>
      <c r="M53" s="171"/>
      <c r="N53" s="318" t="str">
        <f ca="1">"제 " &amp; Z53 &amp; " 호표  "&amp; OFFSET($A$1,MATCH(Z53,$A:$A,0)-1,1)</f>
        <v>제 1 호표  1.1. 자연환경</v>
      </c>
      <c r="O53" s="221"/>
      <c r="P53" s="148"/>
      <c r="Q53" s="148"/>
      <c r="R53" s="149"/>
      <c r="S53" s="149"/>
      <c r="T53" s="149"/>
      <c r="U53" s="149"/>
      <c r="V53" s="149"/>
      <c r="W53" s="149"/>
      <c r="X53" s="149"/>
      <c r="Y53" s="149"/>
      <c r="Z53" s="325">
        <v>1</v>
      </c>
    </row>
    <row r="54" spans="1:26" ht="18" customHeight="1">
      <c r="A54" s="326">
        <v>11</v>
      </c>
      <c r="B54" s="223" t="s">
        <v>2503</v>
      </c>
      <c r="C54" s="23"/>
      <c r="D54" s="197">
        <v>2.2799999999999998</v>
      </c>
      <c r="E54" s="198">
        <v>6.12</v>
      </c>
      <c r="F54" s="198">
        <v>9.9600000000000009</v>
      </c>
      <c r="G54" s="198">
        <v>12.24</v>
      </c>
      <c r="H54" s="198">
        <v>14.04</v>
      </c>
      <c r="I54" s="199">
        <v>6.48</v>
      </c>
      <c r="J54" s="74"/>
      <c r="M54" s="171"/>
      <c r="N54" s="140" t="s">
        <v>43</v>
      </c>
      <c r="O54" s="172">
        <v>3</v>
      </c>
      <c r="P54" s="219">
        <f ca="1">OFFSET($A$1,MATCH(Z53,$A:$A,0)-1,O54)</f>
        <v>0.48</v>
      </c>
      <c r="Q54" s="141" t="s">
        <v>29</v>
      </c>
      <c r="R54" s="142">
        <f t="shared" ref="R54:S59" ca="1" si="10">T54</f>
        <v>467217</v>
      </c>
      <c r="S54" s="142">
        <f t="shared" ca="1" si="10"/>
        <v>224264</v>
      </c>
      <c r="T54" s="142">
        <f ca="1">기술사</f>
        <v>467217</v>
      </c>
      <c r="U54" s="142">
        <f t="shared" ref="U54:U59" ca="1" si="11">ROUNDDOWN(P54*R54,0)</f>
        <v>224264</v>
      </c>
      <c r="V54" s="142"/>
      <c r="W54" s="142"/>
      <c r="X54" s="142"/>
      <c r="Y54" s="142"/>
      <c r="Z54" s="114"/>
    </row>
    <row r="55" spans="1:26" ht="18" customHeight="1">
      <c r="B55" s="222" t="s">
        <v>2504</v>
      </c>
      <c r="C55" s="47"/>
      <c r="D55" s="48">
        <f t="shared" ref="D55:I55" si="12">SUBTOTAL(9,D56:D57)</f>
        <v>2.52</v>
      </c>
      <c r="E55" s="49">
        <f t="shared" si="12"/>
        <v>7.1999999999999993</v>
      </c>
      <c r="F55" s="49">
        <f t="shared" si="12"/>
        <v>15.120000000000001</v>
      </c>
      <c r="G55" s="49">
        <f t="shared" si="12"/>
        <v>16.919999999999998</v>
      </c>
      <c r="H55" s="49">
        <f t="shared" si="12"/>
        <v>19.68</v>
      </c>
      <c r="I55" s="50">
        <f t="shared" si="12"/>
        <v>11.52</v>
      </c>
      <c r="J55" s="74"/>
      <c r="M55" s="171"/>
      <c r="N55" s="143" t="s">
        <v>32</v>
      </c>
      <c r="O55" s="173">
        <v>4</v>
      </c>
      <c r="P55" s="234">
        <f ca="1">OFFSET($A$1,MATCH(Z53,$A:$A,0)-1,O55)</f>
        <v>1.92</v>
      </c>
      <c r="Q55" s="144" t="s">
        <v>29</v>
      </c>
      <c r="R55" s="118">
        <f t="shared" ca="1" si="10"/>
        <v>373353</v>
      </c>
      <c r="S55" s="118">
        <f t="shared" ca="1" si="10"/>
        <v>716837</v>
      </c>
      <c r="T55" s="118">
        <f ca="1">특급</f>
        <v>373353</v>
      </c>
      <c r="U55" s="118">
        <f t="shared" ca="1" si="11"/>
        <v>716837</v>
      </c>
      <c r="V55" s="118"/>
      <c r="W55" s="118"/>
      <c r="X55" s="118"/>
      <c r="Y55" s="118"/>
      <c r="Z55" s="115"/>
    </row>
    <row r="56" spans="1:26" ht="18" customHeight="1">
      <c r="A56" s="326">
        <v>12</v>
      </c>
      <c r="B56" s="223" t="s">
        <v>2505</v>
      </c>
      <c r="C56" s="23"/>
      <c r="D56" s="197">
        <f t="array" ref="D56:I57">ROUNDUP(D34:I35*L34:L35*$D$5*$D$6,2)</f>
        <v>0.84</v>
      </c>
      <c r="E56" s="198">
        <v>2.4</v>
      </c>
      <c r="F56" s="198">
        <v>5.04</v>
      </c>
      <c r="G56" s="198">
        <v>5.64</v>
      </c>
      <c r="H56" s="198">
        <v>6.6</v>
      </c>
      <c r="I56" s="199">
        <v>3.84</v>
      </c>
      <c r="J56" s="74"/>
      <c r="M56" s="171"/>
      <c r="N56" s="145" t="s">
        <v>39</v>
      </c>
      <c r="O56" s="173">
        <v>5</v>
      </c>
      <c r="P56" s="234">
        <f ca="1">OFFSET($A$1,MATCH(Z53,$A:$A,0)-1,O56)</f>
        <v>4.2</v>
      </c>
      <c r="Q56" s="144" t="s">
        <v>29</v>
      </c>
      <c r="R56" s="118">
        <f t="shared" ca="1" si="10"/>
        <v>310884</v>
      </c>
      <c r="S56" s="118">
        <f t="shared" ca="1" si="10"/>
        <v>1305712</v>
      </c>
      <c r="T56" s="118">
        <f ca="1">고급</f>
        <v>310884</v>
      </c>
      <c r="U56" s="118">
        <f t="shared" ca="1" si="11"/>
        <v>1305712</v>
      </c>
      <c r="V56" s="118"/>
      <c r="W56" s="118"/>
      <c r="X56" s="118"/>
      <c r="Y56" s="118"/>
      <c r="Z56" s="115"/>
    </row>
    <row r="57" spans="1:26" ht="18" customHeight="1">
      <c r="A57" s="326">
        <v>13</v>
      </c>
      <c r="B57" s="223" t="s">
        <v>2506</v>
      </c>
      <c r="C57" s="23"/>
      <c r="D57" s="197">
        <v>1.68</v>
      </c>
      <c r="E57" s="198">
        <v>4.8</v>
      </c>
      <c r="F57" s="198">
        <v>10.08</v>
      </c>
      <c r="G57" s="198">
        <v>11.28</v>
      </c>
      <c r="H57" s="198">
        <v>13.08</v>
      </c>
      <c r="I57" s="199">
        <v>7.68</v>
      </c>
      <c r="J57" s="74"/>
      <c r="M57" s="171"/>
      <c r="N57" s="145" t="s">
        <v>40</v>
      </c>
      <c r="O57" s="173">
        <v>6</v>
      </c>
      <c r="P57" s="234">
        <f ca="1">OFFSET($A$1,MATCH(Z53,$A:$A,0)-1,O57)</f>
        <v>6.12</v>
      </c>
      <c r="Q57" s="144" t="s">
        <v>29</v>
      </c>
      <c r="R57" s="118">
        <f t="shared" ca="1" si="10"/>
        <v>295138</v>
      </c>
      <c r="S57" s="118">
        <f t="shared" ca="1" si="10"/>
        <v>1806244</v>
      </c>
      <c r="T57" s="118">
        <f ca="1">중급</f>
        <v>295138</v>
      </c>
      <c r="U57" s="118">
        <f t="shared" ca="1" si="11"/>
        <v>1806244</v>
      </c>
      <c r="V57" s="118"/>
      <c r="W57" s="118"/>
      <c r="X57" s="118"/>
      <c r="Y57" s="118"/>
      <c r="Z57" s="115"/>
    </row>
    <row r="58" spans="1:26" ht="18" customHeight="1">
      <c r="B58" s="222" t="s">
        <v>424</v>
      </c>
      <c r="C58" s="47"/>
      <c r="D58" s="48">
        <f t="shared" ref="D58:I58" si="13">SUBTOTAL(9,D59:D60)</f>
        <v>2.52</v>
      </c>
      <c r="E58" s="49">
        <f t="shared" si="13"/>
        <v>7.1999999999999993</v>
      </c>
      <c r="F58" s="49">
        <f t="shared" si="13"/>
        <v>15.120000000000001</v>
      </c>
      <c r="G58" s="49">
        <f t="shared" si="13"/>
        <v>16.919999999999998</v>
      </c>
      <c r="H58" s="49">
        <f t="shared" si="13"/>
        <v>19.68</v>
      </c>
      <c r="I58" s="50">
        <f t="shared" si="13"/>
        <v>11.52</v>
      </c>
      <c r="J58" s="74"/>
      <c r="M58" s="171"/>
      <c r="N58" s="145" t="s">
        <v>41</v>
      </c>
      <c r="O58" s="173">
        <v>7</v>
      </c>
      <c r="P58" s="234">
        <f ca="1">OFFSET($A$1,MATCH(Z53,$A:$A,0)-1,O58)</f>
        <v>9.36</v>
      </c>
      <c r="Q58" s="144" t="s">
        <v>29</v>
      </c>
      <c r="R58" s="118">
        <f t="shared" ca="1" si="10"/>
        <v>235459</v>
      </c>
      <c r="S58" s="118">
        <f t="shared" ca="1" si="10"/>
        <v>2203896</v>
      </c>
      <c r="T58" s="118">
        <f ca="1">초급</f>
        <v>235459</v>
      </c>
      <c r="U58" s="118">
        <f t="shared" ca="1" si="11"/>
        <v>2203896</v>
      </c>
      <c r="V58" s="118"/>
      <c r="W58" s="118"/>
      <c r="X58" s="118"/>
      <c r="Y58" s="118"/>
      <c r="Z58" s="115"/>
    </row>
    <row r="59" spans="1:26" ht="18" customHeight="1">
      <c r="A59" s="326">
        <v>14</v>
      </c>
      <c r="B59" s="223" t="s">
        <v>2507</v>
      </c>
      <c r="C59" s="23"/>
      <c r="D59" s="197">
        <f t="array" ref="D59:I60">ROUNDUP(D34:I35*L34:L35*$D$5*$D$6,3)</f>
        <v>0.84</v>
      </c>
      <c r="E59" s="198">
        <v>2.4</v>
      </c>
      <c r="F59" s="198">
        <v>5.04</v>
      </c>
      <c r="G59" s="198">
        <v>5.64</v>
      </c>
      <c r="H59" s="198">
        <v>6.6</v>
      </c>
      <c r="I59" s="199">
        <v>3.84</v>
      </c>
      <c r="J59" s="74"/>
      <c r="M59" s="171"/>
      <c r="N59" s="319" t="s">
        <v>42</v>
      </c>
      <c r="O59" s="174">
        <v>8</v>
      </c>
      <c r="P59" s="235">
        <f ca="1">OFFSET($A$1,MATCH(Z53,$A:$A,0)-1,O59)</f>
        <v>4.2</v>
      </c>
      <c r="Q59" s="322" t="s">
        <v>29</v>
      </c>
      <c r="R59" s="323">
        <f t="shared" ca="1" si="10"/>
        <v>250087</v>
      </c>
      <c r="S59" s="323">
        <f t="shared" ca="1" si="10"/>
        <v>1050365</v>
      </c>
      <c r="T59" s="323">
        <f ca="1">보조원</f>
        <v>250087</v>
      </c>
      <c r="U59" s="323">
        <f t="shared" ca="1" si="11"/>
        <v>1050365</v>
      </c>
      <c r="V59" s="323"/>
      <c r="W59" s="323"/>
      <c r="X59" s="323"/>
      <c r="Y59" s="323"/>
      <c r="Z59" s="324"/>
    </row>
    <row r="60" spans="1:26" ht="18" customHeight="1">
      <c r="A60" s="326">
        <v>15</v>
      </c>
      <c r="B60" s="259" t="s">
        <v>2508</v>
      </c>
      <c r="C60" s="43"/>
      <c r="D60" s="206">
        <v>1.68</v>
      </c>
      <c r="E60" s="207">
        <v>4.8</v>
      </c>
      <c r="F60" s="207">
        <v>10.08</v>
      </c>
      <c r="G60" s="207">
        <v>11.28</v>
      </c>
      <c r="H60" s="207">
        <v>13.08</v>
      </c>
      <c r="I60" s="208">
        <v>7.68</v>
      </c>
      <c r="J60" s="239"/>
      <c r="K60" s="171" t="s">
        <v>14</v>
      </c>
      <c r="L60" s="171"/>
      <c r="M60" s="171"/>
      <c r="N60" s="139" t="s">
        <v>17</v>
      </c>
      <c r="O60" s="68"/>
      <c r="P60" s="69"/>
      <c r="Q60" s="70"/>
      <c r="R60" s="71"/>
      <c r="S60" s="71">
        <f ca="1">SUBTOTAL(9,S54:S59)</f>
        <v>7307318</v>
      </c>
      <c r="T60" s="71"/>
      <c r="U60" s="71">
        <f ca="1">SUBTOTAL(9,U54:U59)</f>
        <v>7307318</v>
      </c>
      <c r="V60" s="71"/>
      <c r="W60" s="71"/>
      <c r="X60" s="71"/>
      <c r="Y60" s="71"/>
      <c r="Z60" s="68"/>
    </row>
    <row r="61" spans="1:26" ht="18" customHeight="1">
      <c r="B61" s="222" t="s">
        <v>426</v>
      </c>
      <c r="C61" s="47"/>
      <c r="D61" s="48">
        <f t="shared" ref="D61:I61" si="14">SUBTOTAL(9,D62:D64)</f>
        <v>1</v>
      </c>
      <c r="E61" s="49">
        <f t="shared" si="14"/>
        <v>2.2000000000000002</v>
      </c>
      <c r="F61" s="49">
        <f t="shared" si="14"/>
        <v>3.1</v>
      </c>
      <c r="G61" s="49">
        <f t="shared" si="14"/>
        <v>4</v>
      </c>
      <c r="H61" s="49">
        <f t="shared" si="14"/>
        <v>4</v>
      </c>
      <c r="I61" s="50">
        <f t="shared" si="14"/>
        <v>3</v>
      </c>
      <c r="J61" s="620"/>
      <c r="K61" s="171" t="s">
        <v>14</v>
      </c>
      <c r="L61" s="171"/>
      <c r="M61" s="171"/>
      <c r="N61" s="318" t="str">
        <f ca="1">"제 " &amp; Z61 &amp; " 호표  "&amp; OFFSET($A$1,MATCH(Z61,$A:$A,0)-1,1)</f>
        <v>제 2 호표  1.2. 인문환경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f>Z53+1</f>
        <v>2</v>
      </c>
    </row>
    <row r="62" spans="1:26" ht="18" customHeight="1">
      <c r="A62" s="326">
        <v>16</v>
      </c>
      <c r="B62" s="223" t="s">
        <v>2509</v>
      </c>
      <c r="C62" s="23"/>
      <c r="D62" s="197">
        <f t="array" ref="D62:I62">ROUNDUP(D37:I37*L37,3)</f>
        <v>0.3</v>
      </c>
      <c r="E62" s="198">
        <v>0.7</v>
      </c>
      <c r="F62" s="198">
        <v>1.1000000000000001</v>
      </c>
      <c r="G62" s="198">
        <v>1.5</v>
      </c>
      <c r="H62" s="198">
        <v>1.5</v>
      </c>
      <c r="I62" s="199">
        <v>1</v>
      </c>
      <c r="J62" s="389"/>
      <c r="K62" s="171" t="s">
        <v>14</v>
      </c>
      <c r="L62" s="171"/>
      <c r="M62" s="171"/>
      <c r="N62" s="140" t="s">
        <v>43</v>
      </c>
      <c r="O62" s="172">
        <v>3</v>
      </c>
      <c r="P62" s="219">
        <f ca="1">OFFSET($A$1,MATCH(Z61,$A:$A,0)-1,O62)</f>
        <v>0.72</v>
      </c>
      <c r="Q62" s="141" t="s">
        <v>29</v>
      </c>
      <c r="R62" s="142">
        <f t="shared" ref="R62:S67" ca="1" si="15">T62</f>
        <v>467217</v>
      </c>
      <c r="S62" s="142">
        <f t="shared" ca="1" si="15"/>
        <v>336396</v>
      </c>
      <c r="T62" s="142">
        <f ca="1">기술사</f>
        <v>467217</v>
      </c>
      <c r="U62" s="142">
        <f t="shared" ref="U62:U67" ca="1" si="16">ROUNDDOWN(P62*R62,0)</f>
        <v>336396</v>
      </c>
      <c r="V62" s="142"/>
      <c r="W62" s="142"/>
      <c r="X62" s="142"/>
      <c r="Y62" s="142"/>
      <c r="Z62" s="114"/>
    </row>
    <row r="63" spans="1:26" ht="18" customHeight="1">
      <c r="A63" s="326">
        <v>17</v>
      </c>
      <c r="B63" s="223" t="s">
        <v>2510</v>
      </c>
      <c r="C63" s="23"/>
      <c r="D63" s="197">
        <f t="array" ref="D63:I63">ROUNDUP(D38:I38*L38*$I$5,3)</f>
        <v>0.3</v>
      </c>
      <c r="E63" s="198">
        <v>0.7</v>
      </c>
      <c r="F63" s="198">
        <v>0.9</v>
      </c>
      <c r="G63" s="198">
        <v>1.1000000000000001</v>
      </c>
      <c r="H63" s="198">
        <v>1.1000000000000001</v>
      </c>
      <c r="I63" s="199">
        <v>0.9</v>
      </c>
      <c r="J63" s="389"/>
      <c r="K63" s="171" t="s">
        <v>14</v>
      </c>
      <c r="L63" s="171"/>
      <c r="M63" s="171"/>
      <c r="N63" s="143" t="s">
        <v>32</v>
      </c>
      <c r="O63" s="173">
        <v>4</v>
      </c>
      <c r="P63" s="234">
        <f ca="1">OFFSET($A$1,MATCH(Z61,$A:$A,0)-1,O63)</f>
        <v>2.04</v>
      </c>
      <c r="Q63" s="144" t="s">
        <v>29</v>
      </c>
      <c r="R63" s="118">
        <f t="shared" ca="1" si="15"/>
        <v>373353</v>
      </c>
      <c r="S63" s="118">
        <f t="shared" ca="1" si="15"/>
        <v>761640</v>
      </c>
      <c r="T63" s="118">
        <f ca="1">특급</f>
        <v>373353</v>
      </c>
      <c r="U63" s="118">
        <f t="shared" ca="1" si="16"/>
        <v>761640</v>
      </c>
      <c r="V63" s="118"/>
      <c r="W63" s="118"/>
      <c r="X63" s="118"/>
      <c r="Y63" s="118"/>
      <c r="Z63" s="115"/>
    </row>
    <row r="64" spans="1:26" ht="18" customHeight="1" thickBot="1">
      <c r="A64" s="326">
        <v>18</v>
      </c>
      <c r="B64" s="388" t="s">
        <v>2511</v>
      </c>
      <c r="C64" s="342"/>
      <c r="D64" s="343">
        <f t="array" ref="D64:I64">ROUNDUP(D39:I39*L39,3)</f>
        <v>0.4</v>
      </c>
      <c r="E64" s="344">
        <v>0.8</v>
      </c>
      <c r="F64" s="344">
        <v>1.1000000000000001</v>
      </c>
      <c r="G64" s="344">
        <v>1.4</v>
      </c>
      <c r="H64" s="344">
        <v>1.4</v>
      </c>
      <c r="I64" s="345">
        <v>1.1000000000000001</v>
      </c>
      <c r="J64" s="612"/>
      <c r="K64" s="171" t="s">
        <v>14</v>
      </c>
      <c r="L64" s="171"/>
      <c r="M64" s="171"/>
      <c r="N64" s="145" t="s">
        <v>39</v>
      </c>
      <c r="O64" s="173">
        <v>5</v>
      </c>
      <c r="P64" s="234">
        <f ca="1">OFFSET($A$1,MATCH(Z61,$A:$A,0)-1,O64)</f>
        <v>5.04</v>
      </c>
      <c r="Q64" s="144" t="s">
        <v>29</v>
      </c>
      <c r="R64" s="118">
        <f t="shared" ca="1" si="15"/>
        <v>310884</v>
      </c>
      <c r="S64" s="118">
        <f t="shared" ca="1" si="15"/>
        <v>1566855</v>
      </c>
      <c r="T64" s="118">
        <f ca="1">고급</f>
        <v>310884</v>
      </c>
      <c r="U64" s="118">
        <f t="shared" ca="1" si="16"/>
        <v>1566855</v>
      </c>
      <c r="V64" s="118"/>
      <c r="W64" s="118"/>
      <c r="X64" s="118"/>
      <c r="Y64" s="118"/>
      <c r="Z64" s="115"/>
    </row>
    <row r="65" spans="2:26" ht="18" customHeight="1">
      <c r="B65" s="80" t="s">
        <v>15</v>
      </c>
      <c r="C65" s="9" t="s">
        <v>2515</v>
      </c>
      <c r="K65" s="171" t="s">
        <v>14</v>
      </c>
      <c r="L65" s="171"/>
      <c r="M65" s="171"/>
      <c r="N65" s="145" t="s">
        <v>40</v>
      </c>
      <c r="O65" s="173">
        <v>6</v>
      </c>
      <c r="P65" s="234">
        <f ca="1">OFFSET($A$1,MATCH(Z61,$A:$A,0)-1,O65)</f>
        <v>6.84</v>
      </c>
      <c r="Q65" s="144" t="s">
        <v>29</v>
      </c>
      <c r="R65" s="118">
        <f t="shared" ca="1" si="15"/>
        <v>295138</v>
      </c>
      <c r="S65" s="118">
        <f t="shared" ca="1" si="15"/>
        <v>2018743</v>
      </c>
      <c r="T65" s="118">
        <f ca="1">중급</f>
        <v>295138</v>
      </c>
      <c r="U65" s="118">
        <f t="shared" ca="1" si="16"/>
        <v>2018743</v>
      </c>
      <c r="V65" s="118"/>
      <c r="W65" s="118"/>
      <c r="X65" s="118"/>
      <c r="Y65" s="118"/>
      <c r="Z65" s="115"/>
    </row>
    <row r="66" spans="2:26" ht="18" customHeight="1">
      <c r="C66" s="1" t="s">
        <v>2516</v>
      </c>
      <c r="K66" s="171" t="s">
        <v>14</v>
      </c>
      <c r="L66" s="171"/>
      <c r="M66" s="171"/>
      <c r="N66" s="145" t="s">
        <v>41</v>
      </c>
      <c r="O66" s="173">
        <v>7</v>
      </c>
      <c r="P66" s="234">
        <f ca="1">OFFSET($A$1,MATCH(Z61,$A:$A,0)-1,O66)</f>
        <v>9.9600000000000009</v>
      </c>
      <c r="Q66" s="144" t="s">
        <v>29</v>
      </c>
      <c r="R66" s="118">
        <f t="shared" ca="1" si="15"/>
        <v>235459</v>
      </c>
      <c r="S66" s="118">
        <f t="shared" ca="1" si="15"/>
        <v>2345171</v>
      </c>
      <c r="T66" s="118">
        <f ca="1">초급</f>
        <v>235459</v>
      </c>
      <c r="U66" s="118">
        <f t="shared" ca="1" si="16"/>
        <v>2345171</v>
      </c>
      <c r="V66" s="118"/>
      <c r="W66" s="118"/>
      <c r="X66" s="118"/>
      <c r="Y66" s="118"/>
      <c r="Z66" s="115"/>
    </row>
    <row r="67" spans="2:26" ht="18" customHeight="1">
      <c r="C67" s="9" t="s">
        <v>2534</v>
      </c>
      <c r="K67" s="171" t="s">
        <v>14</v>
      </c>
      <c r="L67" s="171"/>
      <c r="M67" s="171"/>
      <c r="N67" s="319" t="s">
        <v>42</v>
      </c>
      <c r="O67" s="174">
        <v>8</v>
      </c>
      <c r="P67" s="235">
        <f ca="1">OFFSET($A$1,MATCH(Z61,$A:$A,0)-1,O67)</f>
        <v>4.68</v>
      </c>
      <c r="Q67" s="322" t="s">
        <v>29</v>
      </c>
      <c r="R67" s="323">
        <f t="shared" ca="1" si="15"/>
        <v>250087</v>
      </c>
      <c r="S67" s="323">
        <f t="shared" ca="1" si="15"/>
        <v>1170407</v>
      </c>
      <c r="T67" s="323">
        <f ca="1">보조원</f>
        <v>250087</v>
      </c>
      <c r="U67" s="323">
        <f t="shared" ca="1" si="16"/>
        <v>1170407</v>
      </c>
      <c r="V67" s="323"/>
      <c r="W67" s="323"/>
      <c r="X67" s="323"/>
      <c r="Y67" s="323"/>
      <c r="Z67" s="324"/>
    </row>
    <row r="68" spans="2:26" ht="18" customHeight="1">
      <c r="C68" s="9"/>
      <c r="K68" s="171" t="s">
        <v>14</v>
      </c>
      <c r="L68" s="171"/>
      <c r="M68" s="171"/>
      <c r="N68" s="139" t="s">
        <v>17</v>
      </c>
      <c r="O68" s="68"/>
      <c r="P68" s="69"/>
      <c r="Q68" s="70"/>
      <c r="R68" s="71"/>
      <c r="S68" s="71">
        <f ca="1">SUBTOTAL(9,S62:S67)</f>
        <v>8199212</v>
      </c>
      <c r="T68" s="71"/>
      <c r="U68" s="71">
        <f ca="1">SUBTOTAL(9,U62:U67)</f>
        <v>8199212</v>
      </c>
      <c r="V68" s="71"/>
      <c r="W68" s="71"/>
      <c r="X68" s="71"/>
      <c r="Y68" s="71"/>
      <c r="Z68" s="68"/>
    </row>
    <row r="69" spans="2:26" ht="18" customHeight="1">
      <c r="C69" s="9"/>
      <c r="K69" s="171" t="s">
        <v>14</v>
      </c>
      <c r="L69" s="171"/>
      <c r="M69" s="171"/>
      <c r="N69" s="318" t="str">
        <f ca="1">"제 " &amp; Z69 &amp; " 호표  "&amp; OFFSET($A$1,MATCH(Z69,$A:$A,0)-1,1)</f>
        <v>제 3 호표  1.3. 종합분석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3</v>
      </c>
    </row>
    <row r="70" spans="2:26" ht="18" customHeight="1">
      <c r="K70" s="171" t="s">
        <v>14</v>
      </c>
      <c r="L70" s="171"/>
      <c r="M70" s="171"/>
      <c r="N70" s="140" t="s">
        <v>43</v>
      </c>
      <c r="O70" s="172">
        <v>3</v>
      </c>
      <c r="P70" s="219">
        <f ca="1">OFFSET($A$1,MATCH(Z69,$A:$A,0)-1,O70)</f>
        <v>0.96</v>
      </c>
      <c r="Q70" s="141" t="s">
        <v>29</v>
      </c>
      <c r="R70" s="142">
        <f t="shared" ref="R70:S75" ca="1" si="17">T70</f>
        <v>467217</v>
      </c>
      <c r="S70" s="142">
        <f t="shared" ca="1" si="17"/>
        <v>448528</v>
      </c>
      <c r="T70" s="142">
        <f ca="1">기술사</f>
        <v>467217</v>
      </c>
      <c r="U70" s="142">
        <f t="shared" ref="U70:U75" ca="1" si="18">ROUNDDOWN(P70*R70,0)</f>
        <v>448528</v>
      </c>
      <c r="V70" s="142"/>
      <c r="W70" s="142"/>
      <c r="X70" s="142"/>
      <c r="Y70" s="142"/>
      <c r="Z70" s="114"/>
    </row>
    <row r="71" spans="2:26" ht="18" customHeight="1">
      <c r="K71" s="171" t="s">
        <v>14</v>
      </c>
      <c r="L71" s="171"/>
      <c r="M71" s="171"/>
      <c r="N71" s="143" t="s">
        <v>32</v>
      </c>
      <c r="O71" s="173">
        <v>4</v>
      </c>
      <c r="P71" s="234">
        <f ca="1">OFFSET($A$1,MATCH(Z69,$A:$A,0)-1,O71)</f>
        <v>2.4</v>
      </c>
      <c r="Q71" s="144" t="s">
        <v>29</v>
      </c>
      <c r="R71" s="118">
        <f t="shared" ca="1" si="17"/>
        <v>373353</v>
      </c>
      <c r="S71" s="118">
        <f t="shared" ca="1" si="17"/>
        <v>896047</v>
      </c>
      <c r="T71" s="118">
        <f ca="1">특급</f>
        <v>373353</v>
      </c>
      <c r="U71" s="118">
        <f t="shared" ca="1" si="18"/>
        <v>896047</v>
      </c>
      <c r="V71" s="118"/>
      <c r="W71" s="118"/>
      <c r="X71" s="118"/>
      <c r="Y71" s="118"/>
      <c r="Z71" s="115"/>
    </row>
    <row r="72" spans="2:26" ht="18" customHeight="1">
      <c r="K72" s="171" t="s">
        <v>14</v>
      </c>
      <c r="L72" s="171"/>
      <c r="M72" s="171"/>
      <c r="N72" s="145" t="s">
        <v>39</v>
      </c>
      <c r="O72" s="173">
        <v>5</v>
      </c>
      <c r="P72" s="234">
        <f ca="1">OFFSET($A$1,MATCH(Z69,$A:$A,0)-1,O72)</f>
        <v>5.04</v>
      </c>
      <c r="Q72" s="144" t="s">
        <v>29</v>
      </c>
      <c r="R72" s="118">
        <f t="shared" ca="1" si="17"/>
        <v>310884</v>
      </c>
      <c r="S72" s="118">
        <f t="shared" ca="1" si="17"/>
        <v>1566855</v>
      </c>
      <c r="T72" s="118">
        <f ca="1">고급</f>
        <v>310884</v>
      </c>
      <c r="U72" s="118">
        <f t="shared" ca="1" si="18"/>
        <v>1566855</v>
      </c>
      <c r="V72" s="118"/>
      <c r="W72" s="118"/>
      <c r="X72" s="118"/>
      <c r="Y72" s="118"/>
      <c r="Z72" s="115"/>
    </row>
    <row r="73" spans="2:26" ht="18" customHeight="1">
      <c r="K73" s="171" t="s">
        <v>14</v>
      </c>
      <c r="L73" s="171"/>
      <c r="M73" s="171"/>
      <c r="N73" s="145" t="s">
        <v>40</v>
      </c>
      <c r="O73" s="173">
        <v>6</v>
      </c>
      <c r="P73" s="234">
        <f ca="1">OFFSET($A$1,MATCH(Z69,$A:$A,0)-1,O73)</f>
        <v>7.32</v>
      </c>
      <c r="Q73" s="144" t="s">
        <v>29</v>
      </c>
      <c r="R73" s="118">
        <f t="shared" ca="1" si="17"/>
        <v>295138</v>
      </c>
      <c r="S73" s="118">
        <f t="shared" ca="1" si="17"/>
        <v>2160410</v>
      </c>
      <c r="T73" s="118">
        <f ca="1">중급</f>
        <v>295138</v>
      </c>
      <c r="U73" s="118">
        <f t="shared" ca="1" si="18"/>
        <v>2160410</v>
      </c>
      <c r="V73" s="118"/>
      <c r="W73" s="118"/>
      <c r="X73" s="118"/>
      <c r="Y73" s="118"/>
      <c r="Z73" s="115"/>
    </row>
    <row r="74" spans="2:26" ht="18" customHeight="1">
      <c r="K74" s="171" t="s">
        <v>14</v>
      </c>
      <c r="L74" s="171"/>
      <c r="M74" s="171"/>
      <c r="N74" s="145" t="s">
        <v>41</v>
      </c>
      <c r="O74" s="173">
        <v>7</v>
      </c>
      <c r="P74" s="234">
        <f ca="1">OFFSET($A$1,MATCH(Z69,$A:$A,0)-1,O74)</f>
        <v>9.9600000000000009</v>
      </c>
      <c r="Q74" s="144" t="s">
        <v>29</v>
      </c>
      <c r="R74" s="118">
        <f t="shared" ca="1" si="17"/>
        <v>235459</v>
      </c>
      <c r="S74" s="118">
        <f t="shared" ca="1" si="17"/>
        <v>2345171</v>
      </c>
      <c r="T74" s="118">
        <f ca="1">초급</f>
        <v>235459</v>
      </c>
      <c r="U74" s="118">
        <f t="shared" ca="1" si="18"/>
        <v>2345171</v>
      </c>
      <c r="V74" s="118"/>
      <c r="W74" s="118"/>
      <c r="X74" s="118"/>
      <c r="Y74" s="118"/>
      <c r="Z74" s="115"/>
    </row>
    <row r="75" spans="2:26" ht="18" customHeight="1">
      <c r="K75" s="171" t="s">
        <v>14</v>
      </c>
      <c r="L75" s="171"/>
      <c r="M75" s="171"/>
      <c r="N75" s="319" t="s">
        <v>42</v>
      </c>
      <c r="O75" s="174">
        <v>8</v>
      </c>
      <c r="P75" s="235">
        <f ca="1">OFFSET($A$1,MATCH(Z69,$A:$A,0)-1,O75)</f>
        <v>4.92</v>
      </c>
      <c r="Q75" s="322" t="s">
        <v>29</v>
      </c>
      <c r="R75" s="323">
        <f t="shared" ca="1" si="17"/>
        <v>250087</v>
      </c>
      <c r="S75" s="323">
        <f t="shared" ca="1" si="17"/>
        <v>1230428</v>
      </c>
      <c r="T75" s="323">
        <f ca="1">보조원</f>
        <v>250087</v>
      </c>
      <c r="U75" s="323">
        <f t="shared" ca="1" si="18"/>
        <v>1230428</v>
      </c>
      <c r="V75" s="323"/>
      <c r="W75" s="323"/>
      <c r="X75" s="323"/>
      <c r="Y75" s="323"/>
      <c r="Z75" s="324"/>
    </row>
    <row r="76" spans="2:26" ht="18" customHeight="1">
      <c r="K76" s="171" t="s">
        <v>14</v>
      </c>
      <c r="L76" s="171"/>
      <c r="M76" s="171"/>
      <c r="N76" s="139" t="s">
        <v>17</v>
      </c>
      <c r="O76" s="68"/>
      <c r="P76" s="69"/>
      <c r="Q76" s="70"/>
      <c r="R76" s="71"/>
      <c r="S76" s="71">
        <f ca="1">SUBTOTAL(9,S70:S75)</f>
        <v>8647439</v>
      </c>
      <c r="T76" s="71"/>
      <c r="U76" s="71">
        <f ca="1">SUBTOTAL(9,U70:U75)</f>
        <v>8647439</v>
      </c>
      <c r="V76" s="71"/>
      <c r="W76" s="71"/>
      <c r="X76" s="71"/>
      <c r="Y76" s="71"/>
      <c r="Z76" s="68"/>
    </row>
    <row r="77" spans="2:26" ht="18" customHeight="1">
      <c r="K77" s="171" t="s">
        <v>14</v>
      </c>
      <c r="L77" s="171"/>
      <c r="M77" s="171"/>
      <c r="N77" s="318" t="str">
        <f ca="1">"제 " &amp; Z77 &amp; " 호표  "&amp; OFFSET($A$1,MATCH(Z77,$A:$A,0)-1,1)</f>
        <v>제 4 호표  2.1. 개발방향설정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4</v>
      </c>
    </row>
    <row r="78" spans="2:26" ht="18" customHeight="1">
      <c r="K78" s="171" t="s">
        <v>14</v>
      </c>
      <c r="L78" s="171"/>
      <c r="M78" s="171"/>
      <c r="N78" s="140" t="s">
        <v>43</v>
      </c>
      <c r="O78" s="172">
        <v>3</v>
      </c>
      <c r="P78" s="219">
        <f ca="1">OFFSET($A$1,MATCH(Z77,$A:$A,0)-1,O78)</f>
        <v>2.04</v>
      </c>
      <c r="Q78" s="141" t="s">
        <v>29</v>
      </c>
      <c r="R78" s="142">
        <f t="shared" ref="R78:S83" ca="1" si="19">T78</f>
        <v>467217</v>
      </c>
      <c r="S78" s="142">
        <f t="shared" ca="1" si="19"/>
        <v>953122</v>
      </c>
      <c r="T78" s="142">
        <f ca="1">기술사</f>
        <v>467217</v>
      </c>
      <c r="U78" s="142">
        <f t="shared" ref="U78:U83" ca="1" si="20">ROUNDDOWN(P78*R78,0)</f>
        <v>953122</v>
      </c>
      <c r="V78" s="142"/>
      <c r="W78" s="142"/>
      <c r="X78" s="142"/>
      <c r="Y78" s="142"/>
      <c r="Z78" s="114"/>
    </row>
    <row r="79" spans="2:26" ht="18" customHeight="1">
      <c r="K79" s="171" t="s">
        <v>14</v>
      </c>
      <c r="L79" s="171"/>
      <c r="M79" s="171"/>
      <c r="N79" s="143" t="s">
        <v>32</v>
      </c>
      <c r="O79" s="173">
        <v>4</v>
      </c>
      <c r="P79" s="234">
        <f ca="1">OFFSET($A$1,MATCH(Z77,$A:$A,0)-1,O79)</f>
        <v>5.8599999999999994</v>
      </c>
      <c r="Q79" s="144" t="s">
        <v>29</v>
      </c>
      <c r="R79" s="118">
        <f t="shared" ca="1" si="19"/>
        <v>373353</v>
      </c>
      <c r="S79" s="118">
        <f t="shared" ca="1" si="19"/>
        <v>2187848</v>
      </c>
      <c r="T79" s="118">
        <f ca="1">특급</f>
        <v>373353</v>
      </c>
      <c r="U79" s="118">
        <f t="shared" ca="1" si="20"/>
        <v>2187848</v>
      </c>
      <c r="V79" s="118"/>
      <c r="W79" s="118"/>
      <c r="X79" s="118"/>
      <c r="Y79" s="118"/>
      <c r="Z79" s="115"/>
    </row>
    <row r="80" spans="2:26" ht="18" customHeight="1">
      <c r="K80" s="171" t="s">
        <v>14</v>
      </c>
      <c r="L80" s="171"/>
      <c r="M80" s="171"/>
      <c r="N80" s="145" t="s">
        <v>39</v>
      </c>
      <c r="O80" s="173">
        <v>5</v>
      </c>
      <c r="P80" s="234">
        <f ca="1">OFFSET($A$1,MATCH(Z77,$A:$A,0)-1,O80)</f>
        <v>9.84</v>
      </c>
      <c r="Q80" s="144" t="s">
        <v>29</v>
      </c>
      <c r="R80" s="118">
        <f t="shared" ca="1" si="19"/>
        <v>310884</v>
      </c>
      <c r="S80" s="118">
        <f t="shared" ca="1" si="19"/>
        <v>3059098</v>
      </c>
      <c r="T80" s="118">
        <f ca="1">고급</f>
        <v>310884</v>
      </c>
      <c r="U80" s="118">
        <f t="shared" ca="1" si="20"/>
        <v>3059098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40</v>
      </c>
      <c r="O81" s="173">
        <v>6</v>
      </c>
      <c r="P81" s="234">
        <f ca="1">OFFSET($A$1,MATCH(Z77,$A:$A,0)-1,O81)</f>
        <v>10.56</v>
      </c>
      <c r="Q81" s="144" t="s">
        <v>29</v>
      </c>
      <c r="R81" s="118">
        <f t="shared" ca="1" si="19"/>
        <v>295138</v>
      </c>
      <c r="S81" s="118">
        <f t="shared" ca="1" si="19"/>
        <v>3116657</v>
      </c>
      <c r="T81" s="118">
        <f ca="1">중급</f>
        <v>295138</v>
      </c>
      <c r="U81" s="118">
        <f t="shared" ca="1" si="20"/>
        <v>3116657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41</v>
      </c>
      <c r="O82" s="173">
        <v>7</v>
      </c>
      <c r="P82" s="234">
        <f ca="1">OFFSET($A$1,MATCH(Z77,$A:$A,0)-1,O82)</f>
        <v>12.48</v>
      </c>
      <c r="Q82" s="144" t="s">
        <v>29</v>
      </c>
      <c r="R82" s="118">
        <f t="shared" ca="1" si="19"/>
        <v>235459</v>
      </c>
      <c r="S82" s="118">
        <f t="shared" ca="1" si="19"/>
        <v>2938528</v>
      </c>
      <c r="T82" s="118">
        <f ca="1">초급</f>
        <v>235459</v>
      </c>
      <c r="U82" s="118">
        <f t="shared" ca="1" si="20"/>
        <v>2938528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319" t="s">
        <v>42</v>
      </c>
      <c r="O83" s="174">
        <v>8</v>
      </c>
      <c r="P83" s="235">
        <f ca="1">OFFSET($A$1,MATCH(Z77,$A:$A,0)-1,O83)</f>
        <v>5.88</v>
      </c>
      <c r="Q83" s="322" t="s">
        <v>29</v>
      </c>
      <c r="R83" s="323">
        <f t="shared" ca="1" si="19"/>
        <v>250087</v>
      </c>
      <c r="S83" s="323">
        <f t="shared" ca="1" si="19"/>
        <v>1470511</v>
      </c>
      <c r="T83" s="323">
        <f ca="1">보조원</f>
        <v>250087</v>
      </c>
      <c r="U83" s="323">
        <f t="shared" ca="1" si="20"/>
        <v>1470511</v>
      </c>
      <c r="V83" s="323"/>
      <c r="W83" s="323"/>
      <c r="X83" s="323"/>
      <c r="Y83" s="323"/>
      <c r="Z83" s="324"/>
    </row>
    <row r="84" spans="11:26" ht="18" customHeight="1">
      <c r="K84" s="171" t="s">
        <v>14</v>
      </c>
      <c r="L84" s="171"/>
      <c r="M84" s="171"/>
      <c r="N84" s="139" t="s">
        <v>17</v>
      </c>
      <c r="O84" s="68"/>
      <c r="P84" s="69"/>
      <c r="Q84" s="70"/>
      <c r="R84" s="71"/>
      <c r="S84" s="71">
        <f ca="1">SUBTOTAL(9,S78:S83)</f>
        <v>13725764</v>
      </c>
      <c r="T84" s="71"/>
      <c r="U84" s="71">
        <f ca="1">SUBTOTAL(9,U78:U83)</f>
        <v>13725764</v>
      </c>
      <c r="V84" s="71"/>
      <c r="W84" s="71"/>
      <c r="X84" s="71"/>
      <c r="Y84" s="71"/>
      <c r="Z84" s="68"/>
    </row>
    <row r="85" spans="11:26" ht="18" customHeight="1">
      <c r="K85" s="171" t="s">
        <v>14</v>
      </c>
      <c r="L85" s="171"/>
      <c r="M85" s="171"/>
      <c r="N85" s="318" t="str">
        <f ca="1">"제 " &amp; Z85 &amp; " 호표  "&amp; OFFSET($A$1,MATCH(Z85,$A:$A,0)-1,1)</f>
        <v>제 5 호표  2.2. 수요 및 규모추정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5</v>
      </c>
    </row>
    <row r="86" spans="11:26" ht="18" customHeight="1">
      <c r="K86" s="171" t="s">
        <v>14</v>
      </c>
      <c r="L86" s="171"/>
      <c r="M86" s="171"/>
      <c r="N86" s="140" t="s">
        <v>43</v>
      </c>
      <c r="O86" s="172">
        <v>3</v>
      </c>
      <c r="P86" s="219">
        <f ca="1">OFFSET($A$1,MATCH(Z85,$A:$A,0)-1,O86)</f>
        <v>1.92</v>
      </c>
      <c r="Q86" s="141" t="s">
        <v>29</v>
      </c>
      <c r="R86" s="142">
        <f t="shared" ref="R86:S91" ca="1" si="21">T86</f>
        <v>467217</v>
      </c>
      <c r="S86" s="142">
        <f t="shared" ca="1" si="21"/>
        <v>897056</v>
      </c>
      <c r="T86" s="142">
        <f ca="1">기술사</f>
        <v>467217</v>
      </c>
      <c r="U86" s="142">
        <f t="shared" ref="U86:U91" ca="1" si="22">ROUNDDOWN(P86*R86,0)</f>
        <v>897056</v>
      </c>
      <c r="V86" s="142"/>
      <c r="W86" s="142"/>
      <c r="X86" s="142"/>
      <c r="Y86" s="142"/>
      <c r="Z86" s="114"/>
    </row>
    <row r="87" spans="11:26" ht="18" customHeight="1">
      <c r="K87" s="171" t="s">
        <v>14</v>
      </c>
      <c r="L87" s="171"/>
      <c r="M87" s="171"/>
      <c r="N87" s="143" t="s">
        <v>32</v>
      </c>
      <c r="O87" s="173">
        <v>4</v>
      </c>
      <c r="P87" s="234">
        <f ca="1">OFFSET($A$1,MATCH(Z85,$A:$A,0)-1,O87)</f>
        <v>5.4</v>
      </c>
      <c r="Q87" s="144" t="s">
        <v>29</v>
      </c>
      <c r="R87" s="118">
        <f t="shared" ca="1" si="21"/>
        <v>373353</v>
      </c>
      <c r="S87" s="118">
        <f t="shared" ca="1" si="21"/>
        <v>2016106</v>
      </c>
      <c r="T87" s="118">
        <f ca="1">특급</f>
        <v>373353</v>
      </c>
      <c r="U87" s="118">
        <f t="shared" ca="1" si="22"/>
        <v>2016106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39</v>
      </c>
      <c r="O88" s="173">
        <v>5</v>
      </c>
      <c r="P88" s="234">
        <f ca="1">OFFSET($A$1,MATCH(Z85,$A:$A,0)-1,O88)</f>
        <v>8.76</v>
      </c>
      <c r="Q88" s="144" t="s">
        <v>29</v>
      </c>
      <c r="R88" s="118">
        <f t="shared" ca="1" si="21"/>
        <v>310884</v>
      </c>
      <c r="S88" s="118">
        <f t="shared" ca="1" si="21"/>
        <v>2723343</v>
      </c>
      <c r="T88" s="118">
        <f ca="1">고급</f>
        <v>310884</v>
      </c>
      <c r="U88" s="118">
        <f t="shared" ca="1" si="22"/>
        <v>2723343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40</v>
      </c>
      <c r="O89" s="173">
        <v>6</v>
      </c>
      <c r="P89" s="234">
        <f ca="1">OFFSET($A$1,MATCH(Z85,$A:$A,0)-1,O89)</f>
        <v>8.4</v>
      </c>
      <c r="Q89" s="144" t="s">
        <v>29</v>
      </c>
      <c r="R89" s="118">
        <f t="shared" ca="1" si="21"/>
        <v>295138</v>
      </c>
      <c r="S89" s="118">
        <f t="shared" ca="1" si="21"/>
        <v>2479159</v>
      </c>
      <c r="T89" s="118">
        <f ca="1">중급</f>
        <v>295138</v>
      </c>
      <c r="U89" s="118">
        <f t="shared" ca="1" si="22"/>
        <v>2479159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41</v>
      </c>
      <c r="O90" s="173">
        <v>7</v>
      </c>
      <c r="P90" s="234">
        <f ca="1">OFFSET($A$1,MATCH(Z85,$A:$A,0)-1,O90)</f>
        <v>12</v>
      </c>
      <c r="Q90" s="144" t="s">
        <v>29</v>
      </c>
      <c r="R90" s="118">
        <f t="shared" ca="1" si="21"/>
        <v>235459</v>
      </c>
      <c r="S90" s="118">
        <f t="shared" ca="1" si="21"/>
        <v>2825508</v>
      </c>
      <c r="T90" s="118">
        <f ca="1">초급</f>
        <v>235459</v>
      </c>
      <c r="U90" s="118">
        <f t="shared" ca="1" si="22"/>
        <v>2825508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319" t="s">
        <v>42</v>
      </c>
      <c r="O91" s="174">
        <v>8</v>
      </c>
      <c r="P91" s="235">
        <f ca="1">OFFSET($A$1,MATCH(Z85,$A:$A,0)-1,O91)</f>
        <v>5.16</v>
      </c>
      <c r="Q91" s="322" t="s">
        <v>29</v>
      </c>
      <c r="R91" s="323">
        <f t="shared" ca="1" si="21"/>
        <v>250087</v>
      </c>
      <c r="S91" s="323">
        <f t="shared" ca="1" si="21"/>
        <v>1290448</v>
      </c>
      <c r="T91" s="323">
        <f ca="1">보조원</f>
        <v>250087</v>
      </c>
      <c r="U91" s="323">
        <f t="shared" ca="1" si="22"/>
        <v>1290448</v>
      </c>
      <c r="V91" s="323"/>
      <c r="W91" s="323"/>
      <c r="X91" s="323"/>
      <c r="Y91" s="323"/>
      <c r="Z91" s="324"/>
    </row>
    <row r="92" spans="11:26" ht="18" customHeight="1">
      <c r="K92" s="171" t="s">
        <v>14</v>
      </c>
      <c r="L92" s="171"/>
      <c r="M92" s="171"/>
      <c r="N92" s="139" t="s">
        <v>17</v>
      </c>
      <c r="O92" s="68"/>
      <c r="P92" s="69"/>
      <c r="Q92" s="70"/>
      <c r="R92" s="71"/>
      <c r="S92" s="71">
        <f ca="1">SUBTOTAL(9,S86:S91)</f>
        <v>12231620</v>
      </c>
      <c r="T92" s="71"/>
      <c r="U92" s="71">
        <f ca="1">SUBTOTAL(9,U86:U91)</f>
        <v>12231620</v>
      </c>
      <c r="V92" s="71"/>
      <c r="W92" s="71"/>
      <c r="X92" s="71"/>
      <c r="Y92" s="71"/>
      <c r="Z92" s="68"/>
    </row>
    <row r="93" spans="11:26" ht="18" customHeight="1">
      <c r="K93" s="171" t="s">
        <v>14</v>
      </c>
      <c r="L93" s="171"/>
      <c r="M93" s="171"/>
      <c r="N93" s="318" t="str">
        <f ca="1">"제 " &amp; Z93 &amp; " 호표  "&amp; OFFSET($A$1,MATCH(Z93,$A:$A,0)-1,1)</f>
        <v>제 6 호표  2.3. 토지이용체계구상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6</v>
      </c>
    </row>
    <row r="94" spans="11:26" ht="18" customHeight="1">
      <c r="K94" s="171" t="s">
        <v>14</v>
      </c>
      <c r="L94" s="171"/>
      <c r="M94" s="171"/>
      <c r="N94" s="140" t="s">
        <v>43</v>
      </c>
      <c r="O94" s="172">
        <v>3</v>
      </c>
      <c r="P94" s="219">
        <f ca="1">OFFSET($A$1,MATCH(Z93,$A:$A,0)-1,O94)</f>
        <v>2.4</v>
      </c>
      <c r="Q94" s="141" t="s">
        <v>29</v>
      </c>
      <c r="R94" s="142">
        <f t="shared" ref="R94:S99" ca="1" si="23">T94</f>
        <v>467217</v>
      </c>
      <c r="S94" s="142">
        <f t="shared" ca="1" si="23"/>
        <v>1121320</v>
      </c>
      <c r="T94" s="142">
        <f ca="1">기술사</f>
        <v>467217</v>
      </c>
      <c r="U94" s="142">
        <f t="shared" ref="U94:U99" ca="1" si="24">ROUNDDOWN(P94*R94,0)</f>
        <v>1121320</v>
      </c>
      <c r="V94" s="142"/>
      <c r="W94" s="142"/>
      <c r="X94" s="142"/>
      <c r="Y94" s="142"/>
      <c r="Z94" s="114"/>
    </row>
    <row r="95" spans="11:26" ht="18" customHeight="1">
      <c r="K95" s="171" t="s">
        <v>14</v>
      </c>
      <c r="L95" s="171"/>
      <c r="M95" s="171"/>
      <c r="N95" s="143" t="s">
        <v>32</v>
      </c>
      <c r="O95" s="173">
        <v>4</v>
      </c>
      <c r="P95" s="234">
        <f ca="1">OFFSET($A$1,MATCH(Z93,$A:$A,0)-1,O95)</f>
        <v>6.96</v>
      </c>
      <c r="Q95" s="144" t="s">
        <v>29</v>
      </c>
      <c r="R95" s="118">
        <f t="shared" ca="1" si="23"/>
        <v>373353</v>
      </c>
      <c r="S95" s="118">
        <f t="shared" ca="1" si="23"/>
        <v>2598536</v>
      </c>
      <c r="T95" s="118">
        <f ca="1">특급</f>
        <v>373353</v>
      </c>
      <c r="U95" s="118">
        <f t="shared" ca="1" si="24"/>
        <v>2598536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39</v>
      </c>
      <c r="O96" s="173">
        <v>5</v>
      </c>
      <c r="P96" s="234">
        <f ca="1">OFFSET($A$1,MATCH(Z93,$A:$A,0)-1,O96)</f>
        <v>12.84</v>
      </c>
      <c r="Q96" s="144" t="s">
        <v>29</v>
      </c>
      <c r="R96" s="118">
        <f t="shared" ca="1" si="23"/>
        <v>310884</v>
      </c>
      <c r="S96" s="118">
        <f t="shared" ca="1" si="23"/>
        <v>3991750</v>
      </c>
      <c r="T96" s="118">
        <f ca="1">고급</f>
        <v>310884</v>
      </c>
      <c r="U96" s="118">
        <f t="shared" ca="1" si="24"/>
        <v>3991750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40</v>
      </c>
      <c r="O97" s="173">
        <v>6</v>
      </c>
      <c r="P97" s="234">
        <f ca="1">OFFSET($A$1,MATCH(Z93,$A:$A,0)-1,O97)</f>
        <v>13.68</v>
      </c>
      <c r="Q97" s="144" t="s">
        <v>29</v>
      </c>
      <c r="R97" s="118">
        <f t="shared" ca="1" si="23"/>
        <v>295138</v>
      </c>
      <c r="S97" s="118">
        <f t="shared" ca="1" si="23"/>
        <v>4037487</v>
      </c>
      <c r="T97" s="118">
        <f ca="1">중급</f>
        <v>295138</v>
      </c>
      <c r="U97" s="118">
        <f t="shared" ca="1" si="24"/>
        <v>4037487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41</v>
      </c>
      <c r="O98" s="173">
        <v>7</v>
      </c>
      <c r="P98" s="234">
        <f ca="1">OFFSET($A$1,MATCH(Z93,$A:$A,0)-1,O98)</f>
        <v>17.28</v>
      </c>
      <c r="Q98" s="144" t="s">
        <v>29</v>
      </c>
      <c r="R98" s="118">
        <f t="shared" ca="1" si="23"/>
        <v>235459</v>
      </c>
      <c r="S98" s="118">
        <f t="shared" ca="1" si="23"/>
        <v>4068731</v>
      </c>
      <c r="T98" s="118">
        <f ca="1">초급</f>
        <v>235459</v>
      </c>
      <c r="U98" s="118">
        <f t="shared" ca="1" si="24"/>
        <v>4068731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319" t="s">
        <v>42</v>
      </c>
      <c r="O99" s="174">
        <v>8</v>
      </c>
      <c r="P99" s="235">
        <f ca="1">OFFSET($A$1,MATCH(Z93,$A:$A,0)-1,O99)</f>
        <v>6.96</v>
      </c>
      <c r="Q99" s="322" t="s">
        <v>29</v>
      </c>
      <c r="R99" s="323">
        <f t="shared" ca="1" si="23"/>
        <v>250087</v>
      </c>
      <c r="S99" s="323">
        <f t="shared" ca="1" si="23"/>
        <v>1740605</v>
      </c>
      <c r="T99" s="323">
        <f ca="1">보조원</f>
        <v>250087</v>
      </c>
      <c r="U99" s="323">
        <f t="shared" ca="1" si="24"/>
        <v>1740605</v>
      </c>
      <c r="V99" s="323"/>
      <c r="W99" s="323"/>
      <c r="X99" s="323"/>
      <c r="Y99" s="323"/>
      <c r="Z99" s="324"/>
    </row>
    <row r="100" spans="11:26" ht="18" customHeight="1">
      <c r="K100" s="171" t="s">
        <v>14</v>
      </c>
      <c r="L100" s="171"/>
      <c r="M100" s="171"/>
      <c r="N100" s="139" t="s">
        <v>17</v>
      </c>
      <c r="O100" s="68"/>
      <c r="P100" s="69"/>
      <c r="Q100" s="70"/>
      <c r="R100" s="71"/>
      <c r="S100" s="71">
        <f ca="1">SUBTOTAL(9,S94:S99)</f>
        <v>17558429</v>
      </c>
      <c r="T100" s="71"/>
      <c r="U100" s="71">
        <f ca="1">SUBTOTAL(9,U94:U99)</f>
        <v>17558429</v>
      </c>
      <c r="V100" s="71"/>
      <c r="W100" s="71"/>
      <c r="X100" s="71"/>
      <c r="Y100" s="71"/>
      <c r="Z100" s="68"/>
    </row>
    <row r="101" spans="11:26" ht="18" customHeight="1">
      <c r="K101" s="171" t="s">
        <v>14</v>
      </c>
      <c r="L101" s="171"/>
      <c r="M101" s="171"/>
      <c r="N101" s="318" t="str">
        <f ca="1">"제 " &amp; Z101 &amp; " 호표  "&amp; OFFSET($A$1,MATCH(Z101,$A:$A,0)-1,1)</f>
        <v>제 7 호표  3.1. 토지이용계획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7</v>
      </c>
    </row>
    <row r="102" spans="11:26" ht="18" customHeight="1">
      <c r="K102" s="171" t="s">
        <v>14</v>
      </c>
      <c r="L102" s="171"/>
      <c r="M102" s="171"/>
      <c r="N102" s="140" t="s">
        <v>43</v>
      </c>
      <c r="O102" s="172">
        <v>3</v>
      </c>
      <c r="P102" s="219">
        <f ca="1">OFFSET($A$1,MATCH(Z101,$A:$A,0)-1,O102)</f>
        <v>2.88</v>
      </c>
      <c r="Q102" s="141" t="s">
        <v>29</v>
      </c>
      <c r="R102" s="142">
        <f t="shared" ref="R102:S107" ca="1" si="25">T102</f>
        <v>467217</v>
      </c>
      <c r="S102" s="142">
        <f t="shared" ca="1" si="25"/>
        <v>1345584</v>
      </c>
      <c r="T102" s="142">
        <f ca="1">기술사</f>
        <v>467217</v>
      </c>
      <c r="U102" s="142">
        <f t="shared" ref="U102:U107" ca="1" si="26">ROUNDDOWN(P102*R102,0)</f>
        <v>1345584</v>
      </c>
      <c r="V102" s="142"/>
      <c r="W102" s="142"/>
      <c r="X102" s="142"/>
      <c r="Y102" s="142"/>
      <c r="Z102" s="114"/>
    </row>
    <row r="103" spans="11:26" ht="18" customHeight="1">
      <c r="K103" s="171" t="s">
        <v>14</v>
      </c>
      <c r="L103" s="171"/>
      <c r="M103" s="171"/>
      <c r="N103" s="143" t="s">
        <v>32</v>
      </c>
      <c r="O103" s="173">
        <v>4</v>
      </c>
      <c r="P103" s="234">
        <f ca="1">OFFSET($A$1,MATCH(Z101,$A:$A,0)-1,O103)</f>
        <v>7.44</v>
      </c>
      <c r="Q103" s="144" t="s">
        <v>29</v>
      </c>
      <c r="R103" s="118">
        <f t="shared" ca="1" si="25"/>
        <v>373353</v>
      </c>
      <c r="S103" s="118">
        <f t="shared" ca="1" si="25"/>
        <v>2777746</v>
      </c>
      <c r="T103" s="118">
        <f ca="1">특급</f>
        <v>373353</v>
      </c>
      <c r="U103" s="118">
        <f t="shared" ca="1" si="26"/>
        <v>2777746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39</v>
      </c>
      <c r="O104" s="173">
        <v>5</v>
      </c>
      <c r="P104" s="234">
        <f ca="1">OFFSET($A$1,MATCH(Z101,$A:$A,0)-1,O104)</f>
        <v>12.72</v>
      </c>
      <c r="Q104" s="144" t="s">
        <v>29</v>
      </c>
      <c r="R104" s="118">
        <f t="shared" ca="1" si="25"/>
        <v>310884</v>
      </c>
      <c r="S104" s="118">
        <f t="shared" ca="1" si="25"/>
        <v>3954444</v>
      </c>
      <c r="T104" s="118">
        <f ca="1">고급</f>
        <v>310884</v>
      </c>
      <c r="U104" s="118">
        <f t="shared" ca="1" si="26"/>
        <v>3954444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40</v>
      </c>
      <c r="O105" s="173">
        <v>6</v>
      </c>
      <c r="P105" s="234">
        <f ca="1">OFFSET($A$1,MATCH(Z101,$A:$A,0)-1,O105)</f>
        <v>15</v>
      </c>
      <c r="Q105" s="144" t="s">
        <v>29</v>
      </c>
      <c r="R105" s="118">
        <f t="shared" ca="1" si="25"/>
        <v>295138</v>
      </c>
      <c r="S105" s="118">
        <f t="shared" ca="1" si="25"/>
        <v>4427070</v>
      </c>
      <c r="T105" s="118">
        <f ca="1">중급</f>
        <v>295138</v>
      </c>
      <c r="U105" s="118">
        <f t="shared" ca="1" si="26"/>
        <v>4427070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41</v>
      </c>
      <c r="O106" s="173">
        <v>7</v>
      </c>
      <c r="P106" s="234">
        <f ca="1">OFFSET($A$1,MATCH(Z101,$A:$A,0)-1,O106)</f>
        <v>16.079999999999998</v>
      </c>
      <c r="Q106" s="144" t="s">
        <v>29</v>
      </c>
      <c r="R106" s="118">
        <f t="shared" ca="1" si="25"/>
        <v>235459</v>
      </c>
      <c r="S106" s="118">
        <f t="shared" ca="1" si="25"/>
        <v>3786180</v>
      </c>
      <c r="T106" s="118">
        <f ca="1">초급</f>
        <v>235459</v>
      </c>
      <c r="U106" s="118">
        <f t="shared" ca="1" si="26"/>
        <v>3786180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319" t="s">
        <v>42</v>
      </c>
      <c r="O107" s="174">
        <v>8</v>
      </c>
      <c r="P107" s="235">
        <f ca="1">OFFSET($A$1,MATCH(Z101,$A:$A,0)-1,O107)</f>
        <v>7.92</v>
      </c>
      <c r="Q107" s="322" t="s">
        <v>29</v>
      </c>
      <c r="R107" s="323">
        <f t="shared" ca="1" si="25"/>
        <v>250087</v>
      </c>
      <c r="S107" s="323">
        <f t="shared" ca="1" si="25"/>
        <v>1980689</v>
      </c>
      <c r="T107" s="323">
        <f ca="1">보조원</f>
        <v>250087</v>
      </c>
      <c r="U107" s="323">
        <f t="shared" ca="1" si="26"/>
        <v>1980689</v>
      </c>
      <c r="V107" s="323"/>
      <c r="W107" s="323"/>
      <c r="X107" s="323"/>
      <c r="Y107" s="323"/>
      <c r="Z107" s="324"/>
    </row>
    <row r="108" spans="11:26" ht="18" customHeight="1">
      <c r="K108" s="171" t="s">
        <v>14</v>
      </c>
      <c r="L108" s="171"/>
      <c r="M108" s="171"/>
      <c r="N108" s="139" t="s">
        <v>17</v>
      </c>
      <c r="O108" s="68"/>
      <c r="P108" s="69"/>
      <c r="Q108" s="70"/>
      <c r="R108" s="71"/>
      <c r="S108" s="71">
        <f ca="1">SUBTOTAL(9,S102:S107)</f>
        <v>18271713</v>
      </c>
      <c r="T108" s="71"/>
      <c r="U108" s="71">
        <f ca="1">SUBTOTAL(9,U102:U107)</f>
        <v>18271713</v>
      </c>
      <c r="V108" s="71"/>
      <c r="W108" s="71"/>
      <c r="X108" s="71"/>
      <c r="Y108" s="71"/>
      <c r="Z108" s="68"/>
    </row>
    <row r="109" spans="11:26" ht="18" customHeight="1">
      <c r="K109" s="171" t="s">
        <v>14</v>
      </c>
      <c r="L109" s="171"/>
      <c r="M109" s="171"/>
      <c r="N109" s="318" t="str">
        <f ca="1">"제 " &amp; Z109 &amp; " 호표  "&amp; OFFSET($A$1,MATCH(Z109,$A:$A,0)-1,1)</f>
        <v>제 8 호표  3.2. 교통동선 및 포장계획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8</v>
      </c>
    </row>
    <row r="110" spans="11:26" ht="18" customHeight="1">
      <c r="K110" s="171" t="s">
        <v>14</v>
      </c>
      <c r="L110" s="171"/>
      <c r="M110" s="171"/>
      <c r="N110" s="140" t="s">
        <v>43</v>
      </c>
      <c r="O110" s="172">
        <v>3</v>
      </c>
      <c r="P110" s="219">
        <f ca="1">OFFSET($A$1,MATCH(Z109,$A:$A,0)-1,O110)</f>
        <v>2.76</v>
      </c>
      <c r="Q110" s="141" t="s">
        <v>29</v>
      </c>
      <c r="R110" s="142">
        <f t="shared" ref="R110:S115" ca="1" si="27">T110</f>
        <v>467217</v>
      </c>
      <c r="S110" s="142">
        <f t="shared" ca="1" si="27"/>
        <v>1289518</v>
      </c>
      <c r="T110" s="142">
        <f ca="1">기술사</f>
        <v>467217</v>
      </c>
      <c r="U110" s="142">
        <f t="shared" ref="U110:U115" ca="1" si="28">ROUNDDOWN(P110*R110,0)</f>
        <v>1289518</v>
      </c>
      <c r="V110" s="142"/>
      <c r="W110" s="142"/>
      <c r="X110" s="142"/>
      <c r="Y110" s="142"/>
      <c r="Z110" s="114"/>
    </row>
    <row r="111" spans="11:26" ht="18" customHeight="1">
      <c r="K111" s="171" t="s">
        <v>14</v>
      </c>
      <c r="L111" s="171"/>
      <c r="M111" s="171"/>
      <c r="N111" s="143" t="s">
        <v>32</v>
      </c>
      <c r="O111" s="173">
        <v>4</v>
      </c>
      <c r="P111" s="234">
        <f ca="1">OFFSET($A$1,MATCH(Z109,$A:$A,0)-1,O111)</f>
        <v>7.32</v>
      </c>
      <c r="Q111" s="144" t="s">
        <v>29</v>
      </c>
      <c r="R111" s="118">
        <f t="shared" ca="1" si="27"/>
        <v>373353</v>
      </c>
      <c r="S111" s="118">
        <f t="shared" ca="1" si="27"/>
        <v>2732943</v>
      </c>
      <c r="T111" s="118">
        <f ca="1">특급</f>
        <v>373353</v>
      </c>
      <c r="U111" s="118">
        <f t="shared" ca="1" si="28"/>
        <v>2732943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39</v>
      </c>
      <c r="O112" s="173">
        <v>5</v>
      </c>
      <c r="P112" s="234">
        <f ca="1">OFFSET($A$1,MATCH(Z109,$A:$A,0)-1,O112)</f>
        <v>12.36</v>
      </c>
      <c r="Q112" s="144" t="s">
        <v>29</v>
      </c>
      <c r="R112" s="118">
        <f t="shared" ca="1" si="27"/>
        <v>310884</v>
      </c>
      <c r="S112" s="118">
        <f t="shared" ca="1" si="27"/>
        <v>3842526</v>
      </c>
      <c r="T112" s="118">
        <f ca="1">고급</f>
        <v>310884</v>
      </c>
      <c r="U112" s="118">
        <f t="shared" ca="1" si="28"/>
        <v>3842526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40</v>
      </c>
      <c r="O113" s="173">
        <v>6</v>
      </c>
      <c r="P113" s="234">
        <f ca="1">OFFSET($A$1,MATCH(Z109,$A:$A,0)-1,O113)</f>
        <v>14.52</v>
      </c>
      <c r="Q113" s="144" t="s">
        <v>29</v>
      </c>
      <c r="R113" s="118">
        <f t="shared" ca="1" si="27"/>
        <v>295138</v>
      </c>
      <c r="S113" s="118">
        <f t="shared" ca="1" si="27"/>
        <v>4285403</v>
      </c>
      <c r="T113" s="118">
        <f ca="1">중급</f>
        <v>295138</v>
      </c>
      <c r="U113" s="118">
        <f t="shared" ca="1" si="28"/>
        <v>4285403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41</v>
      </c>
      <c r="O114" s="173">
        <v>7</v>
      </c>
      <c r="P114" s="234">
        <f ca="1">OFFSET($A$1,MATCH(Z109,$A:$A,0)-1,O114)</f>
        <v>15.6</v>
      </c>
      <c r="Q114" s="144" t="s">
        <v>29</v>
      </c>
      <c r="R114" s="118">
        <f t="shared" ca="1" si="27"/>
        <v>235459</v>
      </c>
      <c r="S114" s="118">
        <f t="shared" ca="1" si="27"/>
        <v>3673160</v>
      </c>
      <c r="T114" s="118">
        <f ca="1">초급</f>
        <v>235459</v>
      </c>
      <c r="U114" s="118">
        <f t="shared" ca="1" si="28"/>
        <v>3673160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319" t="s">
        <v>42</v>
      </c>
      <c r="O115" s="174">
        <v>8</v>
      </c>
      <c r="P115" s="235">
        <f ca="1">OFFSET($A$1,MATCH(Z109,$A:$A,0)-1,O115)</f>
        <v>7.68</v>
      </c>
      <c r="Q115" s="322" t="s">
        <v>29</v>
      </c>
      <c r="R115" s="323">
        <f t="shared" ca="1" si="27"/>
        <v>250087</v>
      </c>
      <c r="S115" s="323">
        <f t="shared" ca="1" si="27"/>
        <v>1920668</v>
      </c>
      <c r="T115" s="323">
        <f ca="1">보조원</f>
        <v>250087</v>
      </c>
      <c r="U115" s="323">
        <f t="shared" ca="1" si="28"/>
        <v>1920668</v>
      </c>
      <c r="V115" s="323"/>
      <c r="W115" s="323"/>
      <c r="X115" s="323"/>
      <c r="Y115" s="323"/>
      <c r="Z115" s="324"/>
    </row>
    <row r="116" spans="11:26" ht="18" customHeight="1">
      <c r="K116" s="171" t="s">
        <v>14</v>
      </c>
      <c r="L116" s="171"/>
      <c r="M116" s="171"/>
      <c r="N116" s="139" t="s">
        <v>17</v>
      </c>
      <c r="O116" s="68"/>
      <c r="P116" s="69"/>
      <c r="Q116" s="70"/>
      <c r="R116" s="71"/>
      <c r="S116" s="71">
        <f ca="1">SUBTOTAL(9,S110:S115)</f>
        <v>17744218</v>
      </c>
      <c r="T116" s="71"/>
      <c r="U116" s="71">
        <f ca="1">SUBTOTAL(9,U110:U115)</f>
        <v>17744218</v>
      </c>
      <c r="V116" s="71"/>
      <c r="W116" s="71"/>
      <c r="X116" s="71"/>
      <c r="Y116" s="71"/>
      <c r="Z116" s="68"/>
    </row>
    <row r="117" spans="11:26" ht="18" customHeight="1">
      <c r="K117" s="171" t="s">
        <v>14</v>
      </c>
      <c r="L117" s="171"/>
      <c r="M117" s="171"/>
      <c r="N117" s="318" t="str">
        <f ca="1">"제 " &amp; Z117 &amp; " 호표  "&amp; OFFSET($A$1,MATCH(Z117,$A:$A,0)-1,1)</f>
        <v>제 9 호표  3.3. 시설배치계획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9</v>
      </c>
    </row>
    <row r="118" spans="11:26" ht="18" customHeight="1">
      <c r="K118" s="171" t="s">
        <v>14</v>
      </c>
      <c r="L118" s="171"/>
      <c r="M118" s="171"/>
      <c r="N118" s="140" t="s">
        <v>43</v>
      </c>
      <c r="O118" s="172">
        <v>3</v>
      </c>
      <c r="P118" s="219">
        <f ca="1">OFFSET($A$1,MATCH(Z117,$A:$A,0)-1,O118)</f>
        <v>3.24</v>
      </c>
      <c r="Q118" s="141" t="s">
        <v>29</v>
      </c>
      <c r="R118" s="142">
        <f t="shared" ref="R118:S123" ca="1" si="29">T118</f>
        <v>467217</v>
      </c>
      <c r="S118" s="142">
        <f t="shared" ca="1" si="29"/>
        <v>1513783</v>
      </c>
      <c r="T118" s="142">
        <f ca="1">기술사</f>
        <v>467217</v>
      </c>
      <c r="U118" s="142">
        <f t="shared" ref="U118:U123" ca="1" si="30">ROUNDDOWN(P118*R118,0)</f>
        <v>1513783</v>
      </c>
      <c r="V118" s="142"/>
      <c r="W118" s="142"/>
      <c r="X118" s="142"/>
      <c r="Y118" s="142"/>
      <c r="Z118" s="114"/>
    </row>
    <row r="119" spans="11:26" ht="18" customHeight="1">
      <c r="K119" s="171" t="s">
        <v>14</v>
      </c>
      <c r="L119" s="171"/>
      <c r="M119" s="171"/>
      <c r="N119" s="143" t="s">
        <v>32</v>
      </c>
      <c r="O119" s="173">
        <v>4</v>
      </c>
      <c r="P119" s="234">
        <f ca="1">OFFSET($A$1,MATCH(Z117,$A:$A,0)-1,O119)</f>
        <v>6.96</v>
      </c>
      <c r="Q119" s="144" t="s">
        <v>29</v>
      </c>
      <c r="R119" s="118">
        <f t="shared" ca="1" si="29"/>
        <v>373353</v>
      </c>
      <c r="S119" s="118">
        <f t="shared" ca="1" si="29"/>
        <v>2598536</v>
      </c>
      <c r="T119" s="118">
        <f ca="1">특급</f>
        <v>373353</v>
      </c>
      <c r="U119" s="118">
        <f t="shared" ca="1" si="30"/>
        <v>2598536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39</v>
      </c>
      <c r="O120" s="173">
        <v>5</v>
      </c>
      <c r="P120" s="234">
        <f ca="1">OFFSET($A$1,MATCH(Z117,$A:$A,0)-1,O120)</f>
        <v>12.6</v>
      </c>
      <c r="Q120" s="144" t="s">
        <v>29</v>
      </c>
      <c r="R120" s="118">
        <f t="shared" ca="1" si="29"/>
        <v>310884</v>
      </c>
      <c r="S120" s="118">
        <f t="shared" ca="1" si="29"/>
        <v>3917138</v>
      </c>
      <c r="T120" s="118">
        <f ca="1">고급</f>
        <v>310884</v>
      </c>
      <c r="U120" s="118">
        <f t="shared" ca="1" si="30"/>
        <v>3917138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40</v>
      </c>
      <c r="O121" s="173">
        <v>6</v>
      </c>
      <c r="P121" s="234">
        <f ca="1">OFFSET($A$1,MATCH(Z117,$A:$A,0)-1,O121)</f>
        <v>12.24</v>
      </c>
      <c r="Q121" s="144" t="s">
        <v>29</v>
      </c>
      <c r="R121" s="118">
        <f t="shared" ca="1" si="29"/>
        <v>295138</v>
      </c>
      <c r="S121" s="118">
        <f t="shared" ca="1" si="29"/>
        <v>3612489</v>
      </c>
      <c r="T121" s="118">
        <f ca="1">중급</f>
        <v>295138</v>
      </c>
      <c r="U121" s="118">
        <f t="shared" ca="1" si="30"/>
        <v>3612489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41</v>
      </c>
      <c r="O122" s="173">
        <v>7</v>
      </c>
      <c r="P122" s="234">
        <f ca="1">OFFSET($A$1,MATCH(Z117,$A:$A,0)-1,O122)</f>
        <v>15.6</v>
      </c>
      <c r="Q122" s="144" t="s">
        <v>29</v>
      </c>
      <c r="R122" s="118">
        <f t="shared" ca="1" si="29"/>
        <v>235459</v>
      </c>
      <c r="S122" s="118">
        <f t="shared" ca="1" si="29"/>
        <v>3673160</v>
      </c>
      <c r="T122" s="118">
        <f ca="1">초급</f>
        <v>235459</v>
      </c>
      <c r="U122" s="118">
        <f t="shared" ca="1" si="30"/>
        <v>3673160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319" t="s">
        <v>42</v>
      </c>
      <c r="O123" s="174">
        <v>8</v>
      </c>
      <c r="P123" s="235">
        <f ca="1">OFFSET($A$1,MATCH(Z117,$A:$A,0)-1,O123)</f>
        <v>7.44</v>
      </c>
      <c r="Q123" s="322" t="s">
        <v>29</v>
      </c>
      <c r="R123" s="323">
        <f t="shared" ca="1" si="29"/>
        <v>250087</v>
      </c>
      <c r="S123" s="323">
        <f t="shared" ca="1" si="29"/>
        <v>1860647</v>
      </c>
      <c r="T123" s="323">
        <f ca="1">보조원</f>
        <v>250087</v>
      </c>
      <c r="U123" s="323">
        <f t="shared" ca="1" si="30"/>
        <v>1860647</v>
      </c>
      <c r="V123" s="323"/>
      <c r="W123" s="323"/>
      <c r="X123" s="323"/>
      <c r="Y123" s="323"/>
      <c r="Z123" s="324"/>
    </row>
    <row r="124" spans="11:26" ht="18" customHeight="1">
      <c r="K124" s="171" t="s">
        <v>14</v>
      </c>
      <c r="L124" s="171"/>
      <c r="M124" s="171"/>
      <c r="N124" s="139" t="s">
        <v>17</v>
      </c>
      <c r="O124" s="68"/>
      <c r="P124" s="69"/>
      <c r="Q124" s="70"/>
      <c r="R124" s="71"/>
      <c r="S124" s="71">
        <f ca="1">SUBTOTAL(9,S118:S123)</f>
        <v>17175753</v>
      </c>
      <c r="T124" s="71"/>
      <c r="U124" s="71">
        <f ca="1">SUBTOTAL(9,U118:U123)</f>
        <v>17175753</v>
      </c>
      <c r="V124" s="71"/>
      <c r="W124" s="71"/>
      <c r="X124" s="71"/>
      <c r="Y124" s="71"/>
      <c r="Z124" s="68"/>
    </row>
    <row r="125" spans="11:26" ht="18" customHeight="1">
      <c r="K125" s="171" t="s">
        <v>14</v>
      </c>
      <c r="L125" s="171"/>
      <c r="M125" s="171"/>
      <c r="N125" s="318" t="str">
        <f ca="1">"제 " &amp; Z125 &amp; " 호표  "&amp; OFFSET($A$1,MATCH(Z125,$A:$A,0)-1,1)</f>
        <v>제 10 호표  3.4. 식재계획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10</v>
      </c>
    </row>
    <row r="126" spans="11:26" ht="18" customHeight="1">
      <c r="K126" s="171" t="s">
        <v>14</v>
      </c>
      <c r="L126" s="171"/>
      <c r="M126" s="171"/>
      <c r="N126" s="140" t="s">
        <v>43</v>
      </c>
      <c r="O126" s="172">
        <v>3</v>
      </c>
      <c r="P126" s="219">
        <f ca="1">OFFSET($A$1,MATCH(Z125,$A:$A,0)-1,O126)</f>
        <v>2.16</v>
      </c>
      <c r="Q126" s="141" t="s">
        <v>29</v>
      </c>
      <c r="R126" s="142">
        <f t="shared" ref="R126:S131" ca="1" si="31">T126</f>
        <v>467217</v>
      </c>
      <c r="S126" s="142">
        <f t="shared" ca="1" si="31"/>
        <v>1009188</v>
      </c>
      <c r="T126" s="142">
        <f ca="1">기술사</f>
        <v>467217</v>
      </c>
      <c r="U126" s="142">
        <f t="shared" ref="U126:U131" ca="1" si="32">ROUNDDOWN(P126*R126,0)</f>
        <v>1009188</v>
      </c>
      <c r="V126" s="142"/>
      <c r="W126" s="142"/>
      <c r="X126" s="142"/>
      <c r="Y126" s="142"/>
      <c r="Z126" s="114"/>
    </row>
    <row r="127" spans="11:26" ht="18" customHeight="1">
      <c r="K127" s="171" t="s">
        <v>14</v>
      </c>
      <c r="L127" s="171"/>
      <c r="M127" s="171"/>
      <c r="N127" s="143" t="s">
        <v>32</v>
      </c>
      <c r="O127" s="173">
        <v>4</v>
      </c>
      <c r="P127" s="234">
        <f ca="1">OFFSET($A$1,MATCH(Z125,$A:$A,0)-1,O127)</f>
        <v>6.12</v>
      </c>
      <c r="Q127" s="144" t="s">
        <v>29</v>
      </c>
      <c r="R127" s="118">
        <f t="shared" ca="1" si="31"/>
        <v>373353</v>
      </c>
      <c r="S127" s="118">
        <f t="shared" ca="1" si="31"/>
        <v>2284920</v>
      </c>
      <c r="T127" s="118">
        <f ca="1">특급</f>
        <v>373353</v>
      </c>
      <c r="U127" s="118">
        <f t="shared" ca="1" si="32"/>
        <v>2284920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39</v>
      </c>
      <c r="O128" s="173">
        <v>5</v>
      </c>
      <c r="P128" s="234">
        <f ca="1">OFFSET($A$1,MATCH(Z125,$A:$A,0)-1,O128)</f>
        <v>9.9600000000000009</v>
      </c>
      <c r="Q128" s="144" t="s">
        <v>29</v>
      </c>
      <c r="R128" s="118">
        <f t="shared" ca="1" si="31"/>
        <v>310884</v>
      </c>
      <c r="S128" s="118">
        <f t="shared" ca="1" si="31"/>
        <v>3096404</v>
      </c>
      <c r="T128" s="118">
        <f ca="1">고급</f>
        <v>310884</v>
      </c>
      <c r="U128" s="118">
        <f t="shared" ca="1" si="32"/>
        <v>3096404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40</v>
      </c>
      <c r="O129" s="173">
        <v>6</v>
      </c>
      <c r="P129" s="234">
        <f ca="1">OFFSET($A$1,MATCH(Z125,$A:$A,0)-1,O129)</f>
        <v>12.12</v>
      </c>
      <c r="Q129" s="144" t="s">
        <v>29</v>
      </c>
      <c r="R129" s="118">
        <f t="shared" ca="1" si="31"/>
        <v>295138</v>
      </c>
      <c r="S129" s="118">
        <f t="shared" ca="1" si="31"/>
        <v>3577072</v>
      </c>
      <c r="T129" s="118">
        <f ca="1">중급</f>
        <v>295138</v>
      </c>
      <c r="U129" s="118">
        <f t="shared" ca="1" si="32"/>
        <v>3577072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41</v>
      </c>
      <c r="O130" s="173">
        <v>7</v>
      </c>
      <c r="P130" s="234">
        <f ca="1">OFFSET($A$1,MATCH(Z125,$A:$A,0)-1,O130)</f>
        <v>16.8</v>
      </c>
      <c r="Q130" s="144" t="s">
        <v>29</v>
      </c>
      <c r="R130" s="118">
        <f t="shared" ca="1" si="31"/>
        <v>235459</v>
      </c>
      <c r="S130" s="118">
        <f t="shared" ca="1" si="31"/>
        <v>3955711</v>
      </c>
      <c r="T130" s="118">
        <f ca="1">초급</f>
        <v>235459</v>
      </c>
      <c r="U130" s="118">
        <f t="shared" ca="1" si="32"/>
        <v>3955711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319" t="s">
        <v>42</v>
      </c>
      <c r="O131" s="174">
        <v>8</v>
      </c>
      <c r="P131" s="235">
        <f ca="1">OFFSET($A$1,MATCH(Z125,$A:$A,0)-1,O131)</f>
        <v>6.6</v>
      </c>
      <c r="Q131" s="322" t="s">
        <v>29</v>
      </c>
      <c r="R131" s="323">
        <f t="shared" ca="1" si="31"/>
        <v>250087</v>
      </c>
      <c r="S131" s="323">
        <f t="shared" ca="1" si="31"/>
        <v>1650574</v>
      </c>
      <c r="T131" s="323">
        <f ca="1">보조원</f>
        <v>250087</v>
      </c>
      <c r="U131" s="323">
        <f t="shared" ca="1" si="32"/>
        <v>1650574</v>
      </c>
      <c r="V131" s="323"/>
      <c r="W131" s="323"/>
      <c r="X131" s="323"/>
      <c r="Y131" s="323"/>
      <c r="Z131" s="324"/>
    </row>
    <row r="132" spans="11:29" ht="18" customHeight="1">
      <c r="K132" s="171" t="s">
        <v>14</v>
      </c>
      <c r="L132" s="171"/>
      <c r="M132" s="171"/>
      <c r="N132" s="139" t="s">
        <v>17</v>
      </c>
      <c r="O132" s="68"/>
      <c r="P132" s="69"/>
      <c r="Q132" s="70"/>
      <c r="R132" s="71"/>
      <c r="S132" s="71">
        <f ca="1">SUBTOTAL(9,S126:S131)</f>
        <v>15573869</v>
      </c>
      <c r="T132" s="71"/>
      <c r="U132" s="71">
        <f ca="1">SUBTOTAL(9,U126:U131)</f>
        <v>15573869</v>
      </c>
      <c r="V132" s="71"/>
      <c r="W132" s="71"/>
      <c r="X132" s="71"/>
      <c r="Y132" s="71"/>
      <c r="Z132" s="68"/>
    </row>
    <row r="133" spans="11:29" ht="18" customHeight="1">
      <c r="K133" s="171" t="s">
        <v>14</v>
      </c>
      <c r="L133" s="171"/>
      <c r="M133" s="171"/>
      <c r="N133" s="318" t="str">
        <f ca="1">"제 " &amp; Z133 &amp; " 호표  "&amp; OFFSET($A$1,MATCH(Z133,$A:$A,0)-1,1)</f>
        <v>제 11 호표  3.5. 공급처리계획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11</v>
      </c>
    </row>
    <row r="134" spans="11:29" ht="18" customHeight="1">
      <c r="K134" s="171" t="s">
        <v>14</v>
      </c>
      <c r="L134" s="171"/>
      <c r="M134" s="171"/>
      <c r="N134" s="140" t="s">
        <v>43</v>
      </c>
      <c r="O134" s="172">
        <v>3</v>
      </c>
      <c r="P134" s="219">
        <f ca="1">OFFSET($A$1,MATCH(Z133,$A:$A,0)-1,O134)</f>
        <v>2.2799999999999998</v>
      </c>
      <c r="Q134" s="141" t="s">
        <v>29</v>
      </c>
      <c r="R134" s="142">
        <f t="shared" ref="R134:S139" ca="1" si="33">T134</f>
        <v>467217</v>
      </c>
      <c r="S134" s="142">
        <f t="shared" ca="1" si="33"/>
        <v>1065254</v>
      </c>
      <c r="T134" s="142">
        <f ca="1">기술사</f>
        <v>467217</v>
      </c>
      <c r="U134" s="142">
        <f t="shared" ref="U134:U139" ca="1" si="34">ROUNDDOWN(P134*R134,0)</f>
        <v>1065254</v>
      </c>
      <c r="V134" s="142"/>
      <c r="W134" s="142"/>
      <c r="X134" s="142"/>
      <c r="Y134" s="142"/>
      <c r="Z134" s="114"/>
    </row>
    <row r="135" spans="11:29" ht="18" customHeight="1">
      <c r="K135" s="171" t="s">
        <v>14</v>
      </c>
      <c r="L135" s="171"/>
      <c r="M135" s="171"/>
      <c r="N135" s="143" t="s">
        <v>32</v>
      </c>
      <c r="O135" s="173">
        <v>4</v>
      </c>
      <c r="P135" s="234">
        <f ca="1">OFFSET($A$1,MATCH(Z133,$A:$A,0)-1,O135)</f>
        <v>6.12</v>
      </c>
      <c r="Q135" s="144" t="s">
        <v>29</v>
      </c>
      <c r="R135" s="118">
        <f t="shared" ca="1" si="33"/>
        <v>373353</v>
      </c>
      <c r="S135" s="118">
        <f t="shared" ca="1" si="33"/>
        <v>2284920</v>
      </c>
      <c r="T135" s="118">
        <f ca="1">특급</f>
        <v>373353</v>
      </c>
      <c r="U135" s="118">
        <f t="shared" ca="1" si="34"/>
        <v>2284920</v>
      </c>
      <c r="V135" s="118"/>
      <c r="W135" s="118"/>
      <c r="X135" s="118"/>
      <c r="Y135" s="118"/>
      <c r="Z135" s="115"/>
    </row>
    <row r="136" spans="11:29" ht="18" customHeight="1">
      <c r="K136" s="171" t="s">
        <v>14</v>
      </c>
      <c r="L136" s="171"/>
      <c r="M136" s="171"/>
      <c r="N136" s="145" t="s">
        <v>39</v>
      </c>
      <c r="O136" s="173">
        <v>5</v>
      </c>
      <c r="P136" s="234">
        <f ca="1">OFFSET($A$1,MATCH(Z133,$A:$A,0)-1,O136)</f>
        <v>9.9600000000000009</v>
      </c>
      <c r="Q136" s="144" t="s">
        <v>29</v>
      </c>
      <c r="R136" s="118">
        <f t="shared" ca="1" si="33"/>
        <v>310884</v>
      </c>
      <c r="S136" s="118">
        <f t="shared" ca="1" si="33"/>
        <v>3096404</v>
      </c>
      <c r="T136" s="118">
        <f ca="1">고급</f>
        <v>310884</v>
      </c>
      <c r="U136" s="118">
        <f t="shared" ca="1" si="34"/>
        <v>3096404</v>
      </c>
      <c r="V136" s="118"/>
      <c r="W136" s="118"/>
      <c r="X136" s="118"/>
      <c r="Y136" s="118"/>
      <c r="Z136" s="115"/>
    </row>
    <row r="137" spans="11:29" ht="18" customHeight="1">
      <c r="K137" s="171" t="s">
        <v>14</v>
      </c>
      <c r="L137" s="171"/>
      <c r="M137" s="171"/>
      <c r="N137" s="145" t="s">
        <v>40</v>
      </c>
      <c r="O137" s="173">
        <v>6</v>
      </c>
      <c r="P137" s="234">
        <f ca="1">OFFSET($A$1,MATCH(Z133,$A:$A,0)-1,O137)</f>
        <v>12.24</v>
      </c>
      <c r="Q137" s="144" t="s">
        <v>29</v>
      </c>
      <c r="R137" s="118">
        <f t="shared" ca="1" si="33"/>
        <v>295138</v>
      </c>
      <c r="S137" s="118">
        <f t="shared" ca="1" si="33"/>
        <v>3612489</v>
      </c>
      <c r="T137" s="118">
        <f ca="1">중급</f>
        <v>295138</v>
      </c>
      <c r="U137" s="118">
        <f t="shared" ca="1" si="34"/>
        <v>3612489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45" t="s">
        <v>41</v>
      </c>
      <c r="O138" s="173">
        <v>7</v>
      </c>
      <c r="P138" s="234">
        <f ca="1">OFFSET($A$1,MATCH(Z133,$A:$A,0)-1,O138)</f>
        <v>14.04</v>
      </c>
      <c r="Q138" s="144" t="s">
        <v>29</v>
      </c>
      <c r="R138" s="118">
        <f t="shared" ca="1" si="33"/>
        <v>235459</v>
      </c>
      <c r="S138" s="118">
        <f t="shared" ca="1" si="33"/>
        <v>3305844</v>
      </c>
      <c r="T138" s="118">
        <f ca="1">초급</f>
        <v>235459</v>
      </c>
      <c r="U138" s="118">
        <f t="shared" ca="1" si="34"/>
        <v>3305844</v>
      </c>
      <c r="V138" s="118"/>
      <c r="W138" s="118"/>
      <c r="X138" s="118"/>
      <c r="Y138" s="118"/>
      <c r="Z138" s="115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319" t="s">
        <v>42</v>
      </c>
      <c r="O139" s="174">
        <v>8</v>
      </c>
      <c r="P139" s="235">
        <f ca="1">OFFSET($A$1,MATCH(Z133,$A:$A,0)-1,O139)</f>
        <v>6.48</v>
      </c>
      <c r="Q139" s="322" t="s">
        <v>29</v>
      </c>
      <c r="R139" s="323">
        <f t="shared" ca="1" si="33"/>
        <v>250087</v>
      </c>
      <c r="S139" s="323">
        <f t="shared" ca="1" si="33"/>
        <v>1620563</v>
      </c>
      <c r="T139" s="323">
        <f ca="1">보조원</f>
        <v>250087</v>
      </c>
      <c r="U139" s="323">
        <f t="shared" ca="1" si="34"/>
        <v>1620563</v>
      </c>
      <c r="V139" s="323"/>
      <c r="W139" s="323"/>
      <c r="X139" s="323"/>
      <c r="Y139" s="323"/>
      <c r="Z139" s="324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39" t="s">
        <v>17</v>
      </c>
      <c r="O140" s="68"/>
      <c r="P140" s="69"/>
      <c r="Q140" s="70"/>
      <c r="R140" s="71"/>
      <c r="S140" s="71">
        <f ca="1">SUBTOTAL(9,S134:S139)</f>
        <v>14985474</v>
      </c>
      <c r="T140" s="71"/>
      <c r="U140" s="71">
        <f ca="1">SUBTOTAL(9,U134:U139)</f>
        <v>14985474</v>
      </c>
      <c r="V140" s="71"/>
      <c r="W140" s="71"/>
      <c r="X140" s="71"/>
      <c r="Y140" s="71"/>
      <c r="Z140" s="68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8" t="str">
        <f ca="1">"제 " &amp; Z141 &amp; " 호표  "&amp; OFFSET($A$1,MATCH(Z141,$A:$A,0)-1,1)</f>
        <v>제 12 호표  4.1. 개발추진계획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12</v>
      </c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40" t="s">
        <v>43</v>
      </c>
      <c r="O142" s="172">
        <v>3</v>
      </c>
      <c r="P142" s="219">
        <f ca="1">OFFSET($A$1,MATCH(Z141,$A:$A,0)-1,O142)</f>
        <v>0.84</v>
      </c>
      <c r="Q142" s="141" t="s">
        <v>29</v>
      </c>
      <c r="R142" s="142">
        <f t="shared" ref="R142:S147" ca="1" si="35">T142</f>
        <v>467217</v>
      </c>
      <c r="S142" s="142">
        <f t="shared" ca="1" si="35"/>
        <v>392462</v>
      </c>
      <c r="T142" s="142">
        <f ca="1">기술사</f>
        <v>467217</v>
      </c>
      <c r="U142" s="142">
        <f t="shared" ref="U142:U147" ca="1" si="36">ROUNDDOWN(P142*R142,0)</f>
        <v>392462</v>
      </c>
      <c r="V142" s="142"/>
      <c r="W142" s="142"/>
      <c r="X142" s="142"/>
      <c r="Y142" s="142"/>
      <c r="Z142" s="114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3" t="s">
        <v>32</v>
      </c>
      <c r="O143" s="173">
        <v>4</v>
      </c>
      <c r="P143" s="234">
        <f ca="1">OFFSET($A$1,MATCH(Z141,$A:$A,0)-1,O143)</f>
        <v>2.4</v>
      </c>
      <c r="Q143" s="144" t="s">
        <v>29</v>
      </c>
      <c r="R143" s="118">
        <f t="shared" ca="1" si="35"/>
        <v>373353</v>
      </c>
      <c r="S143" s="118">
        <f t="shared" ca="1" si="35"/>
        <v>896047</v>
      </c>
      <c r="T143" s="118">
        <f ca="1">특급</f>
        <v>373353</v>
      </c>
      <c r="U143" s="118">
        <f t="shared" ca="1" si="36"/>
        <v>896047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5" t="s">
        <v>39</v>
      </c>
      <c r="O144" s="173">
        <v>5</v>
      </c>
      <c r="P144" s="234">
        <f ca="1">OFFSET($A$1,MATCH(Z141,$A:$A,0)-1,O144)</f>
        <v>5.04</v>
      </c>
      <c r="Q144" s="144" t="s">
        <v>29</v>
      </c>
      <c r="R144" s="118">
        <f t="shared" ca="1" si="35"/>
        <v>310884</v>
      </c>
      <c r="S144" s="118">
        <f t="shared" ca="1" si="35"/>
        <v>1566855</v>
      </c>
      <c r="T144" s="118">
        <f ca="1">고급</f>
        <v>310884</v>
      </c>
      <c r="U144" s="118">
        <f t="shared" ca="1" si="36"/>
        <v>1566855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5" t="s">
        <v>40</v>
      </c>
      <c r="O145" s="173">
        <v>6</v>
      </c>
      <c r="P145" s="234">
        <f ca="1">OFFSET($A$1,MATCH(Z141,$A:$A,0)-1,O145)</f>
        <v>5.64</v>
      </c>
      <c r="Q145" s="144" t="s">
        <v>29</v>
      </c>
      <c r="R145" s="118">
        <f t="shared" ca="1" si="35"/>
        <v>295138</v>
      </c>
      <c r="S145" s="118">
        <f t="shared" ca="1" si="35"/>
        <v>1664578</v>
      </c>
      <c r="T145" s="118">
        <f ca="1">중급</f>
        <v>295138</v>
      </c>
      <c r="U145" s="118">
        <f t="shared" ca="1" si="36"/>
        <v>1664578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41</v>
      </c>
      <c r="O146" s="173">
        <v>7</v>
      </c>
      <c r="P146" s="234">
        <f ca="1">OFFSET($A$1,MATCH(Z141,$A:$A,0)-1,O146)</f>
        <v>6.6</v>
      </c>
      <c r="Q146" s="144" t="s">
        <v>29</v>
      </c>
      <c r="R146" s="118">
        <f t="shared" ca="1" si="35"/>
        <v>235459</v>
      </c>
      <c r="S146" s="118">
        <f t="shared" ca="1" si="35"/>
        <v>1554029</v>
      </c>
      <c r="T146" s="118">
        <f ca="1">초급</f>
        <v>235459</v>
      </c>
      <c r="U146" s="118">
        <f t="shared" ca="1" si="36"/>
        <v>1554029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319" t="s">
        <v>42</v>
      </c>
      <c r="O147" s="174">
        <v>8</v>
      </c>
      <c r="P147" s="235">
        <f ca="1">OFFSET($A$1,MATCH(Z141,$A:$A,0)-1,O147)</f>
        <v>3.84</v>
      </c>
      <c r="Q147" s="322" t="s">
        <v>29</v>
      </c>
      <c r="R147" s="323">
        <f t="shared" ca="1" si="35"/>
        <v>250087</v>
      </c>
      <c r="S147" s="323">
        <f t="shared" ca="1" si="35"/>
        <v>960334</v>
      </c>
      <c r="T147" s="323">
        <f ca="1">보조원</f>
        <v>250087</v>
      </c>
      <c r="U147" s="323">
        <f t="shared" ca="1" si="36"/>
        <v>960334</v>
      </c>
      <c r="V147" s="323"/>
      <c r="W147" s="323"/>
      <c r="X147" s="323"/>
      <c r="Y147" s="323"/>
      <c r="Z147" s="324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39" t="s">
        <v>17</v>
      </c>
      <c r="O148" s="68"/>
      <c r="P148" s="69"/>
      <c r="Q148" s="70"/>
      <c r="R148" s="71"/>
      <c r="S148" s="71">
        <f ca="1">SUBTOTAL(9,S142:S147)</f>
        <v>7034305</v>
      </c>
      <c r="T148" s="71"/>
      <c r="U148" s="71">
        <f ca="1">SUBTOTAL(9,U142:U147)</f>
        <v>7034305</v>
      </c>
      <c r="V148" s="71"/>
      <c r="W148" s="71"/>
      <c r="X148" s="71"/>
      <c r="Y148" s="71"/>
      <c r="Z148" s="68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8" t="str">
        <f ca="1">"제 " &amp; Z149 &amp; " 호표  "&amp; OFFSET($A$1,MATCH(Z149,$A:$A,0)-1,1)</f>
        <v>제 13 호표  4.2. 관리운영계획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13</v>
      </c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40" t="s">
        <v>43</v>
      </c>
      <c r="O150" s="172">
        <v>3</v>
      </c>
      <c r="P150" s="219">
        <f ca="1">OFFSET($A$1,MATCH(Z149,$A:$A,0)-1,O150)</f>
        <v>1.68</v>
      </c>
      <c r="Q150" s="141" t="s">
        <v>29</v>
      </c>
      <c r="R150" s="142">
        <f t="shared" ref="R150:S155" ca="1" si="37">T150</f>
        <v>467217</v>
      </c>
      <c r="S150" s="142">
        <f t="shared" ca="1" si="37"/>
        <v>784924</v>
      </c>
      <c r="T150" s="142">
        <f ca="1">기술사</f>
        <v>467217</v>
      </c>
      <c r="U150" s="142">
        <f t="shared" ref="U150:U155" ca="1" si="38">ROUNDDOWN(P150*R150,0)</f>
        <v>784924</v>
      </c>
      <c r="V150" s="142"/>
      <c r="W150" s="142"/>
      <c r="X150" s="142"/>
      <c r="Y150" s="142"/>
      <c r="Z150" s="11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3" t="s">
        <v>32</v>
      </c>
      <c r="O151" s="173">
        <v>4</v>
      </c>
      <c r="P151" s="234">
        <f ca="1">OFFSET($A$1,MATCH(Z149,$A:$A,0)-1,O151)</f>
        <v>4.8</v>
      </c>
      <c r="Q151" s="144" t="s">
        <v>29</v>
      </c>
      <c r="R151" s="118">
        <f t="shared" ca="1" si="37"/>
        <v>373353</v>
      </c>
      <c r="S151" s="118">
        <f t="shared" ca="1" si="37"/>
        <v>1792094</v>
      </c>
      <c r="T151" s="118">
        <f ca="1">특급</f>
        <v>373353</v>
      </c>
      <c r="U151" s="118">
        <f t="shared" ca="1" si="38"/>
        <v>1792094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39</v>
      </c>
      <c r="O152" s="173">
        <v>5</v>
      </c>
      <c r="P152" s="234">
        <f ca="1">OFFSET($A$1,MATCH(Z149,$A:$A,0)-1,O152)</f>
        <v>10.08</v>
      </c>
      <c r="Q152" s="144" t="s">
        <v>29</v>
      </c>
      <c r="R152" s="118">
        <f t="shared" ca="1" si="37"/>
        <v>310884</v>
      </c>
      <c r="S152" s="118">
        <f t="shared" ca="1" si="37"/>
        <v>3133710</v>
      </c>
      <c r="T152" s="118">
        <f ca="1">고급</f>
        <v>310884</v>
      </c>
      <c r="U152" s="118">
        <f t="shared" ca="1" si="38"/>
        <v>3133710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40</v>
      </c>
      <c r="O153" s="173">
        <v>6</v>
      </c>
      <c r="P153" s="234">
        <f ca="1">OFFSET($A$1,MATCH(Z149,$A:$A,0)-1,O153)</f>
        <v>11.28</v>
      </c>
      <c r="Q153" s="144" t="s">
        <v>29</v>
      </c>
      <c r="R153" s="118">
        <f t="shared" ca="1" si="37"/>
        <v>295138</v>
      </c>
      <c r="S153" s="118">
        <f t="shared" ca="1" si="37"/>
        <v>3329156</v>
      </c>
      <c r="T153" s="118">
        <f ca="1">중급</f>
        <v>295138</v>
      </c>
      <c r="U153" s="118">
        <f t="shared" ca="1" si="38"/>
        <v>3329156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41</v>
      </c>
      <c r="O154" s="173">
        <v>7</v>
      </c>
      <c r="P154" s="234">
        <f ca="1">OFFSET($A$1,MATCH(Z149,$A:$A,0)-1,O154)</f>
        <v>13.08</v>
      </c>
      <c r="Q154" s="144" t="s">
        <v>29</v>
      </c>
      <c r="R154" s="118">
        <f t="shared" ca="1" si="37"/>
        <v>235459</v>
      </c>
      <c r="S154" s="118">
        <f t="shared" ca="1" si="37"/>
        <v>3079803</v>
      </c>
      <c r="T154" s="118">
        <f ca="1">초급</f>
        <v>235459</v>
      </c>
      <c r="U154" s="118">
        <f t="shared" ca="1" si="38"/>
        <v>3079803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319" t="s">
        <v>42</v>
      </c>
      <c r="O155" s="174">
        <v>8</v>
      </c>
      <c r="P155" s="235">
        <f ca="1">OFFSET($A$1,MATCH(Z149,$A:$A,0)-1,O155)</f>
        <v>7.68</v>
      </c>
      <c r="Q155" s="322" t="s">
        <v>29</v>
      </c>
      <c r="R155" s="323">
        <f t="shared" ca="1" si="37"/>
        <v>250087</v>
      </c>
      <c r="S155" s="323">
        <f t="shared" ca="1" si="37"/>
        <v>1920668</v>
      </c>
      <c r="T155" s="323">
        <f ca="1">보조원</f>
        <v>250087</v>
      </c>
      <c r="U155" s="323">
        <f t="shared" ca="1" si="38"/>
        <v>1920668</v>
      </c>
      <c r="V155" s="323"/>
      <c r="W155" s="323"/>
      <c r="X155" s="323"/>
      <c r="Y155" s="323"/>
      <c r="Z155" s="324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39" t="s">
        <v>17</v>
      </c>
      <c r="O156" s="68"/>
      <c r="P156" s="69"/>
      <c r="Q156" s="70"/>
      <c r="R156" s="71"/>
      <c r="S156" s="71">
        <f ca="1">SUBTOTAL(9,S150:S155)</f>
        <v>14040355</v>
      </c>
      <c r="T156" s="71"/>
      <c r="U156" s="71">
        <f ca="1">SUBTOTAL(9,U150:U155)</f>
        <v>14040355</v>
      </c>
      <c r="V156" s="71"/>
      <c r="W156" s="71"/>
      <c r="X156" s="71"/>
      <c r="Y156" s="71"/>
      <c r="Z156" s="68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8" t="str">
        <f ca="1">"제 " &amp; Z157 &amp; " 호표  "&amp; OFFSET($A$1,MATCH(Z157,$A:$A,0)-1,1)</f>
        <v>제 14 호표  5.1. 보고서</v>
      </c>
      <c r="O157" s="221"/>
      <c r="P157" s="148"/>
      <c r="Q157" s="148"/>
      <c r="R157" s="149"/>
      <c r="S157" s="149"/>
      <c r="T157" s="149"/>
      <c r="U157" s="149"/>
      <c r="V157" s="149"/>
      <c r="W157" s="149"/>
      <c r="X157" s="149"/>
      <c r="Y157" s="149"/>
      <c r="Z157" s="325">
        <f>Z149+1</f>
        <v>14</v>
      </c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0" t="s">
        <v>43</v>
      </c>
      <c r="O158" s="172">
        <v>3</v>
      </c>
      <c r="P158" s="219">
        <f ca="1">OFFSET($A$1,MATCH(Z157,$A:$A,0)-1,O158)</f>
        <v>0.84</v>
      </c>
      <c r="Q158" s="141" t="s">
        <v>29</v>
      </c>
      <c r="R158" s="142">
        <f t="shared" ref="R158:S163" ca="1" si="39">T158</f>
        <v>467217</v>
      </c>
      <c r="S158" s="142">
        <f t="shared" ca="1" si="39"/>
        <v>392462</v>
      </c>
      <c r="T158" s="142">
        <f ca="1">기술사</f>
        <v>467217</v>
      </c>
      <c r="U158" s="142">
        <f t="shared" ref="U158:U163" ca="1" si="40">ROUNDDOWN(P158*R158,0)</f>
        <v>392462</v>
      </c>
      <c r="V158" s="142"/>
      <c r="W158" s="142"/>
      <c r="X158" s="142"/>
      <c r="Y158" s="142"/>
      <c r="Z158" s="11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3" t="s">
        <v>32</v>
      </c>
      <c r="O159" s="173">
        <v>4</v>
      </c>
      <c r="P159" s="234">
        <f ca="1">OFFSET($A$1,MATCH(Z157,$A:$A,0)-1,O159)</f>
        <v>2.4</v>
      </c>
      <c r="Q159" s="144" t="s">
        <v>29</v>
      </c>
      <c r="R159" s="118">
        <f t="shared" ca="1" si="39"/>
        <v>373353</v>
      </c>
      <c r="S159" s="118">
        <f t="shared" ca="1" si="39"/>
        <v>896047</v>
      </c>
      <c r="T159" s="118">
        <f ca="1">특급</f>
        <v>373353</v>
      </c>
      <c r="U159" s="118">
        <f t="shared" ca="1" si="40"/>
        <v>896047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39</v>
      </c>
      <c r="O160" s="173">
        <v>5</v>
      </c>
      <c r="P160" s="234">
        <f ca="1">OFFSET($A$1,MATCH(Z157,$A:$A,0)-1,O160)</f>
        <v>5.04</v>
      </c>
      <c r="Q160" s="144" t="s">
        <v>29</v>
      </c>
      <c r="R160" s="118">
        <f t="shared" ca="1" si="39"/>
        <v>310884</v>
      </c>
      <c r="S160" s="118">
        <f t="shared" ca="1" si="39"/>
        <v>1566855</v>
      </c>
      <c r="T160" s="118">
        <f ca="1">고급</f>
        <v>310884</v>
      </c>
      <c r="U160" s="118">
        <f t="shared" ca="1" si="40"/>
        <v>1566855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40</v>
      </c>
      <c r="O161" s="173">
        <v>6</v>
      </c>
      <c r="P161" s="234">
        <f ca="1">OFFSET($A$1,MATCH(Z157,$A:$A,0)-1,O161)</f>
        <v>5.64</v>
      </c>
      <c r="Q161" s="144" t="s">
        <v>29</v>
      </c>
      <c r="R161" s="118">
        <f t="shared" ca="1" si="39"/>
        <v>295138</v>
      </c>
      <c r="S161" s="118">
        <f t="shared" ca="1" si="39"/>
        <v>1664578</v>
      </c>
      <c r="T161" s="118">
        <f ca="1">중급</f>
        <v>295138</v>
      </c>
      <c r="U161" s="118">
        <f t="shared" ca="1" si="40"/>
        <v>1664578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41</v>
      </c>
      <c r="O162" s="173">
        <v>7</v>
      </c>
      <c r="P162" s="234">
        <f ca="1">OFFSET($A$1,MATCH(Z157,$A:$A,0)-1,O162)</f>
        <v>6.6</v>
      </c>
      <c r="Q162" s="144" t="s">
        <v>29</v>
      </c>
      <c r="R162" s="118">
        <f t="shared" ca="1" si="39"/>
        <v>235459</v>
      </c>
      <c r="S162" s="118">
        <f t="shared" ca="1" si="39"/>
        <v>1554029</v>
      </c>
      <c r="T162" s="118">
        <f ca="1">초급</f>
        <v>235459</v>
      </c>
      <c r="U162" s="118">
        <f t="shared" ca="1" si="40"/>
        <v>1554029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319" t="s">
        <v>42</v>
      </c>
      <c r="O163" s="174">
        <v>8</v>
      </c>
      <c r="P163" s="235">
        <f ca="1">OFFSET($A$1,MATCH(Z157,$A:$A,0)-1,O163)</f>
        <v>3.84</v>
      </c>
      <c r="Q163" s="322" t="s">
        <v>29</v>
      </c>
      <c r="R163" s="323">
        <f t="shared" ca="1" si="39"/>
        <v>250087</v>
      </c>
      <c r="S163" s="323">
        <f t="shared" ca="1" si="39"/>
        <v>960334</v>
      </c>
      <c r="T163" s="323">
        <f ca="1">보조원</f>
        <v>250087</v>
      </c>
      <c r="U163" s="323">
        <f t="shared" ca="1" si="40"/>
        <v>960334</v>
      </c>
      <c r="V163" s="323"/>
      <c r="W163" s="323"/>
      <c r="X163" s="323"/>
      <c r="Y163" s="323"/>
      <c r="Z163" s="324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39" t="s">
        <v>17</v>
      </c>
      <c r="O164" s="68"/>
      <c r="P164" s="69"/>
      <c r="Q164" s="70"/>
      <c r="R164" s="71"/>
      <c r="S164" s="71">
        <f ca="1">SUBTOTAL(9,S158:S163)</f>
        <v>7034305</v>
      </c>
      <c r="T164" s="71"/>
      <c r="U164" s="71">
        <f ca="1">SUBTOTAL(9,U158:U163)</f>
        <v>7034305</v>
      </c>
      <c r="V164" s="71"/>
      <c r="W164" s="71"/>
      <c r="X164" s="71"/>
      <c r="Y164" s="71"/>
      <c r="Z164" s="68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318" t="str">
        <f ca="1">"제 " &amp; Z165 &amp; " 호표  "&amp; OFFSET($A$1,MATCH(Z165,$A:$A,0)-1,1)</f>
        <v>제 15 호표  5.2. 관련도서</v>
      </c>
      <c r="O165" s="221"/>
      <c r="P165" s="148"/>
      <c r="Q165" s="148"/>
      <c r="R165" s="149"/>
      <c r="S165" s="149"/>
      <c r="T165" s="149"/>
      <c r="U165" s="149"/>
      <c r="V165" s="149"/>
      <c r="W165" s="149"/>
      <c r="X165" s="149"/>
      <c r="Y165" s="149"/>
      <c r="Z165" s="325">
        <f>Z157+1</f>
        <v>15</v>
      </c>
    </row>
    <row r="166" spans="11:29" ht="18" customHeight="1">
      <c r="K166" s="171" t="s">
        <v>14</v>
      </c>
      <c r="L166" s="171"/>
      <c r="M166" s="171"/>
      <c r="N166" s="140" t="s">
        <v>43</v>
      </c>
      <c r="O166" s="172">
        <v>3</v>
      </c>
      <c r="P166" s="219">
        <f ca="1">OFFSET($A$1,MATCH(Z165,$A:$A,0)-1,O166)</f>
        <v>1.68</v>
      </c>
      <c r="Q166" s="141" t="s">
        <v>29</v>
      </c>
      <c r="R166" s="142">
        <f t="shared" ref="R166:S171" ca="1" si="41">T166</f>
        <v>467217</v>
      </c>
      <c r="S166" s="142">
        <f t="shared" ca="1" si="41"/>
        <v>784924</v>
      </c>
      <c r="T166" s="142">
        <f ca="1">기술사</f>
        <v>467217</v>
      </c>
      <c r="U166" s="142">
        <f t="shared" ref="U166:U171" ca="1" si="42">ROUNDDOWN(P166*R166,0)</f>
        <v>784924</v>
      </c>
      <c r="V166" s="142"/>
      <c r="W166" s="142"/>
      <c r="X166" s="142"/>
      <c r="Y166" s="142"/>
      <c r="Z166" s="114"/>
    </row>
    <row r="167" spans="11:29" ht="18" customHeight="1">
      <c r="K167" s="171" t="s">
        <v>14</v>
      </c>
      <c r="L167" s="171"/>
      <c r="M167" s="171"/>
      <c r="N167" s="143" t="s">
        <v>32</v>
      </c>
      <c r="O167" s="173">
        <v>4</v>
      </c>
      <c r="P167" s="234">
        <f ca="1">OFFSET($A$1,MATCH(Z165,$A:$A,0)-1,O167)</f>
        <v>4.8</v>
      </c>
      <c r="Q167" s="144" t="s">
        <v>29</v>
      </c>
      <c r="R167" s="118">
        <f t="shared" ca="1" si="41"/>
        <v>373353</v>
      </c>
      <c r="S167" s="118">
        <f t="shared" ca="1" si="41"/>
        <v>1792094</v>
      </c>
      <c r="T167" s="118">
        <f ca="1">특급</f>
        <v>373353</v>
      </c>
      <c r="U167" s="118">
        <f t="shared" ca="1" si="42"/>
        <v>1792094</v>
      </c>
      <c r="V167" s="118"/>
      <c r="W167" s="118"/>
      <c r="X167" s="118"/>
      <c r="Y167" s="118"/>
      <c r="Z167" s="115"/>
    </row>
    <row r="168" spans="11:29" ht="18" customHeight="1">
      <c r="K168" s="171" t="s">
        <v>14</v>
      </c>
      <c r="L168" s="171"/>
      <c r="M168" s="171"/>
      <c r="N168" s="145" t="s">
        <v>39</v>
      </c>
      <c r="O168" s="173">
        <v>5</v>
      </c>
      <c r="P168" s="234">
        <f ca="1">OFFSET($A$1,MATCH(Z165,$A:$A,0)-1,O168)</f>
        <v>10.08</v>
      </c>
      <c r="Q168" s="144" t="s">
        <v>29</v>
      </c>
      <c r="R168" s="118">
        <f t="shared" ca="1" si="41"/>
        <v>310884</v>
      </c>
      <c r="S168" s="118">
        <f t="shared" ca="1" si="41"/>
        <v>3133710</v>
      </c>
      <c r="T168" s="118">
        <f ca="1">고급</f>
        <v>310884</v>
      </c>
      <c r="U168" s="118">
        <f t="shared" ca="1" si="42"/>
        <v>3133710</v>
      </c>
      <c r="V168" s="118"/>
      <c r="W168" s="118"/>
      <c r="X168" s="118"/>
      <c r="Y168" s="118"/>
      <c r="Z168" s="115"/>
    </row>
    <row r="169" spans="11:29" ht="18" customHeight="1">
      <c r="K169" s="171" t="s">
        <v>14</v>
      </c>
      <c r="L169" s="171"/>
      <c r="M169" s="171"/>
      <c r="N169" s="145" t="s">
        <v>40</v>
      </c>
      <c r="O169" s="173">
        <v>6</v>
      </c>
      <c r="P169" s="234">
        <f ca="1">OFFSET($A$1,MATCH(Z165,$A:$A,0)-1,O169)</f>
        <v>11.28</v>
      </c>
      <c r="Q169" s="144" t="s">
        <v>29</v>
      </c>
      <c r="R169" s="118">
        <f t="shared" ca="1" si="41"/>
        <v>295138</v>
      </c>
      <c r="S169" s="118">
        <f t="shared" ca="1" si="41"/>
        <v>3329156</v>
      </c>
      <c r="T169" s="118">
        <f ca="1">중급</f>
        <v>295138</v>
      </c>
      <c r="U169" s="118">
        <f t="shared" ca="1" si="42"/>
        <v>3329156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41</v>
      </c>
      <c r="O170" s="173">
        <v>7</v>
      </c>
      <c r="P170" s="234">
        <f ca="1">OFFSET($A$1,MATCH(Z165,$A:$A,0)-1,O170)</f>
        <v>13.08</v>
      </c>
      <c r="Q170" s="144" t="s">
        <v>29</v>
      </c>
      <c r="R170" s="118">
        <f t="shared" ca="1" si="41"/>
        <v>235459</v>
      </c>
      <c r="S170" s="118">
        <f t="shared" ca="1" si="41"/>
        <v>3079803</v>
      </c>
      <c r="T170" s="118">
        <f ca="1">초급</f>
        <v>235459</v>
      </c>
      <c r="U170" s="118">
        <f t="shared" ca="1" si="42"/>
        <v>3079803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319" t="s">
        <v>42</v>
      </c>
      <c r="O171" s="174">
        <v>8</v>
      </c>
      <c r="P171" s="235">
        <f ca="1">OFFSET($A$1,MATCH(Z165,$A:$A,0)-1,O171)</f>
        <v>7.68</v>
      </c>
      <c r="Q171" s="322" t="s">
        <v>29</v>
      </c>
      <c r="R171" s="323">
        <f t="shared" ca="1" si="41"/>
        <v>250087</v>
      </c>
      <c r="S171" s="323">
        <f t="shared" ca="1" si="41"/>
        <v>1920668</v>
      </c>
      <c r="T171" s="323">
        <f ca="1">보조원</f>
        <v>250087</v>
      </c>
      <c r="U171" s="323">
        <f t="shared" ca="1" si="42"/>
        <v>1920668</v>
      </c>
      <c r="V171" s="323"/>
      <c r="W171" s="323"/>
      <c r="X171" s="323"/>
      <c r="Y171" s="323"/>
      <c r="Z171" s="324"/>
    </row>
    <row r="172" spans="11:29" ht="18" customHeight="1">
      <c r="K172" s="171" t="s">
        <v>14</v>
      </c>
      <c r="L172" s="171"/>
      <c r="M172" s="171"/>
      <c r="N172" s="139" t="s">
        <v>17</v>
      </c>
      <c r="O172" s="68"/>
      <c r="P172" s="69"/>
      <c r="Q172" s="70"/>
      <c r="R172" s="71"/>
      <c r="S172" s="71">
        <f ca="1">SUBTOTAL(9,S166:S171)</f>
        <v>14040355</v>
      </c>
      <c r="T172" s="71"/>
      <c r="U172" s="71">
        <f ca="1">SUBTOTAL(9,U166:U171)</f>
        <v>14040355</v>
      </c>
      <c r="V172" s="71"/>
      <c r="W172" s="71"/>
      <c r="X172" s="71"/>
      <c r="Y172" s="71"/>
      <c r="Z172" s="68"/>
    </row>
    <row r="173" spans="11:29" ht="18" customHeight="1">
      <c r="K173" s="171" t="s">
        <v>14</v>
      </c>
      <c r="L173" s="171"/>
      <c r="M173" s="171"/>
      <c r="N173" s="318" t="str">
        <f ca="1">"제 " &amp; Z173 &amp; " 호표  "&amp; OFFSET($A$1,MATCH(Z173,$A:$A,0)-1,1)</f>
        <v>제 16 호표  6.1. 위원회 심의 지원</v>
      </c>
      <c r="O173" s="221"/>
      <c r="P173" s="148"/>
      <c r="Q173" s="148"/>
      <c r="R173" s="149"/>
      <c r="S173" s="149"/>
      <c r="T173" s="149"/>
      <c r="U173" s="149"/>
      <c r="V173" s="149"/>
      <c r="W173" s="149"/>
      <c r="X173" s="149"/>
      <c r="Y173" s="149"/>
      <c r="Z173" s="325">
        <f>Z165+1</f>
        <v>16</v>
      </c>
    </row>
    <row r="174" spans="11:29" ht="18" customHeight="1">
      <c r="K174" s="171" t="s">
        <v>14</v>
      </c>
      <c r="L174" s="171"/>
      <c r="M174" s="171"/>
      <c r="N174" s="140" t="s">
        <v>43</v>
      </c>
      <c r="O174" s="172">
        <v>3</v>
      </c>
      <c r="P174" s="219">
        <f ca="1">OFFSET($A$1,MATCH(Z173,$A:$A,0)-1,O174)</f>
        <v>0.3</v>
      </c>
      <c r="Q174" s="141" t="s">
        <v>29</v>
      </c>
      <c r="R174" s="142">
        <f t="shared" ref="R174:S179" ca="1" si="43">T174</f>
        <v>467217</v>
      </c>
      <c r="S174" s="142">
        <f t="shared" ca="1" si="43"/>
        <v>140165</v>
      </c>
      <c r="T174" s="142">
        <f ca="1">기술사</f>
        <v>467217</v>
      </c>
      <c r="U174" s="142">
        <f t="shared" ref="U174:U179" ca="1" si="44">ROUNDDOWN(P174*R174,0)</f>
        <v>140165</v>
      </c>
      <c r="V174" s="142"/>
      <c r="W174" s="142"/>
      <c r="X174" s="142"/>
      <c r="Y174" s="142"/>
      <c r="Z174" s="114"/>
    </row>
    <row r="175" spans="11:29" ht="18" customHeight="1">
      <c r="K175" s="171" t="s">
        <v>14</v>
      </c>
      <c r="L175" s="171"/>
      <c r="M175" s="171"/>
      <c r="N175" s="143" t="s">
        <v>32</v>
      </c>
      <c r="O175" s="173">
        <v>4</v>
      </c>
      <c r="P175" s="234">
        <f ca="1">OFFSET($A$1,MATCH(Z173,$A:$A,0)-1,O175)</f>
        <v>0.7</v>
      </c>
      <c r="Q175" s="144" t="s">
        <v>29</v>
      </c>
      <c r="R175" s="118">
        <f t="shared" ca="1" si="43"/>
        <v>373353</v>
      </c>
      <c r="S175" s="118">
        <f t="shared" ca="1" si="43"/>
        <v>261347</v>
      </c>
      <c r="T175" s="118">
        <f ca="1">특급</f>
        <v>373353</v>
      </c>
      <c r="U175" s="118">
        <f t="shared" ca="1" si="44"/>
        <v>261347</v>
      </c>
      <c r="V175" s="118"/>
      <c r="W175" s="118"/>
      <c r="X175" s="118"/>
      <c r="Y175" s="118"/>
      <c r="Z175" s="115"/>
    </row>
    <row r="176" spans="11:29" ht="18" customHeight="1">
      <c r="K176" s="171" t="s">
        <v>14</v>
      </c>
      <c r="L176" s="171"/>
      <c r="M176" s="171"/>
      <c r="N176" s="145" t="s">
        <v>39</v>
      </c>
      <c r="O176" s="173">
        <v>5</v>
      </c>
      <c r="P176" s="234">
        <f ca="1">OFFSET($A$1,MATCH(Z173,$A:$A,0)-1,O176)</f>
        <v>1.1000000000000001</v>
      </c>
      <c r="Q176" s="144" t="s">
        <v>29</v>
      </c>
      <c r="R176" s="118">
        <f t="shared" ca="1" si="43"/>
        <v>310884</v>
      </c>
      <c r="S176" s="118">
        <f t="shared" ca="1" si="43"/>
        <v>341972</v>
      </c>
      <c r="T176" s="118">
        <f ca="1">고급</f>
        <v>310884</v>
      </c>
      <c r="U176" s="118">
        <f t="shared" ca="1" si="44"/>
        <v>341972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40</v>
      </c>
      <c r="O177" s="173">
        <v>6</v>
      </c>
      <c r="P177" s="234">
        <f ca="1">OFFSET($A$1,MATCH(Z173,$A:$A,0)-1,O177)</f>
        <v>1.5</v>
      </c>
      <c r="Q177" s="144" t="s">
        <v>29</v>
      </c>
      <c r="R177" s="118">
        <f t="shared" ca="1" si="43"/>
        <v>295138</v>
      </c>
      <c r="S177" s="118">
        <f t="shared" ca="1" si="43"/>
        <v>442707</v>
      </c>
      <c r="T177" s="118">
        <f ca="1">중급</f>
        <v>295138</v>
      </c>
      <c r="U177" s="118">
        <f t="shared" ca="1" si="44"/>
        <v>442707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41</v>
      </c>
      <c r="O178" s="173">
        <v>7</v>
      </c>
      <c r="P178" s="234">
        <f ca="1">OFFSET($A$1,MATCH(Z173,$A:$A,0)-1,O178)</f>
        <v>1.5</v>
      </c>
      <c r="Q178" s="144" t="s">
        <v>29</v>
      </c>
      <c r="R178" s="118">
        <f t="shared" ca="1" si="43"/>
        <v>235459</v>
      </c>
      <c r="S178" s="118">
        <f t="shared" ca="1" si="43"/>
        <v>353188</v>
      </c>
      <c r="T178" s="118">
        <f ca="1">초급</f>
        <v>235459</v>
      </c>
      <c r="U178" s="118">
        <f t="shared" ca="1" si="44"/>
        <v>353188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319" t="s">
        <v>42</v>
      </c>
      <c r="O179" s="174">
        <v>8</v>
      </c>
      <c r="P179" s="235">
        <f ca="1">OFFSET($A$1,MATCH(Z173,$A:$A,0)-1,O179)</f>
        <v>1</v>
      </c>
      <c r="Q179" s="322" t="s">
        <v>29</v>
      </c>
      <c r="R179" s="323">
        <f t="shared" ca="1" si="43"/>
        <v>250087</v>
      </c>
      <c r="S179" s="323">
        <f t="shared" ca="1" si="43"/>
        <v>250087</v>
      </c>
      <c r="T179" s="323">
        <f ca="1">보조원</f>
        <v>250087</v>
      </c>
      <c r="U179" s="323">
        <f t="shared" ca="1" si="44"/>
        <v>250087</v>
      </c>
      <c r="V179" s="323"/>
      <c r="W179" s="323"/>
      <c r="X179" s="323"/>
      <c r="Y179" s="323"/>
      <c r="Z179" s="324"/>
    </row>
    <row r="180" spans="11:26" ht="18" customHeight="1">
      <c r="K180" s="171" t="s">
        <v>14</v>
      </c>
      <c r="L180" s="171"/>
      <c r="M180" s="171"/>
      <c r="N180" s="139" t="s">
        <v>17</v>
      </c>
      <c r="O180" s="68"/>
      <c r="P180" s="69"/>
      <c r="Q180" s="70"/>
      <c r="R180" s="71"/>
      <c r="S180" s="71">
        <f ca="1">SUBTOTAL(9,S174:S179)</f>
        <v>1789466</v>
      </c>
      <c r="T180" s="71"/>
      <c r="U180" s="71">
        <f ca="1">SUBTOTAL(9,U174:U179)</f>
        <v>1789466</v>
      </c>
      <c r="V180" s="71"/>
      <c r="W180" s="71"/>
      <c r="X180" s="71"/>
      <c r="Y180" s="71"/>
      <c r="Z180" s="68"/>
    </row>
    <row r="181" spans="11:26" ht="18" customHeight="1">
      <c r="K181" s="171" t="s">
        <v>14</v>
      </c>
      <c r="L181" s="171"/>
      <c r="M181" s="171"/>
      <c r="N181" s="318" t="str">
        <f ca="1">"제 " &amp; Z181 &amp; " 호표  "&amp; OFFSET($A$1,MATCH(Z181,$A:$A,0)-1,1)</f>
        <v>제 17 호표  6.2. 주민설명회 자료 작성 등</v>
      </c>
      <c r="O181" s="221"/>
      <c r="P181" s="148"/>
      <c r="Q181" s="148"/>
      <c r="R181" s="149"/>
      <c r="S181" s="149"/>
      <c r="T181" s="149"/>
      <c r="U181" s="149"/>
      <c r="V181" s="149"/>
      <c r="W181" s="149"/>
      <c r="X181" s="149"/>
      <c r="Y181" s="149"/>
      <c r="Z181" s="325">
        <f>Z173+1</f>
        <v>17</v>
      </c>
    </row>
    <row r="182" spans="11:26" ht="18" customHeight="1">
      <c r="K182" s="171" t="s">
        <v>14</v>
      </c>
      <c r="L182" s="171"/>
      <c r="M182" s="171"/>
      <c r="N182" s="140" t="s">
        <v>43</v>
      </c>
      <c r="O182" s="172">
        <v>3</v>
      </c>
      <c r="P182" s="219">
        <f ca="1">OFFSET($A$1,MATCH(Z181,$A:$A,0)-1,O182)</f>
        <v>0.3</v>
      </c>
      <c r="Q182" s="141" t="s">
        <v>29</v>
      </c>
      <c r="R182" s="142">
        <f t="shared" ref="R182:S187" ca="1" si="45">T182</f>
        <v>467217</v>
      </c>
      <c r="S182" s="142">
        <f t="shared" ca="1" si="45"/>
        <v>140165</v>
      </c>
      <c r="T182" s="142">
        <f ca="1">기술사</f>
        <v>467217</v>
      </c>
      <c r="U182" s="142">
        <f t="shared" ref="U182:U187" ca="1" si="46">ROUNDDOWN(P182*R182,0)</f>
        <v>140165</v>
      </c>
      <c r="V182" s="142"/>
      <c r="W182" s="142"/>
      <c r="X182" s="142"/>
      <c r="Y182" s="142"/>
      <c r="Z182" s="114"/>
    </row>
    <row r="183" spans="11:26" ht="18" customHeight="1">
      <c r="K183" s="171" t="s">
        <v>14</v>
      </c>
      <c r="L183" s="171"/>
      <c r="M183" s="171"/>
      <c r="N183" s="143" t="s">
        <v>32</v>
      </c>
      <c r="O183" s="173">
        <v>4</v>
      </c>
      <c r="P183" s="234">
        <f ca="1">OFFSET($A$1,MATCH(Z181,$A:$A,0)-1,O183)</f>
        <v>0.7</v>
      </c>
      <c r="Q183" s="144" t="s">
        <v>29</v>
      </c>
      <c r="R183" s="118">
        <f t="shared" ca="1" si="45"/>
        <v>373353</v>
      </c>
      <c r="S183" s="118">
        <f t="shared" ca="1" si="45"/>
        <v>261347</v>
      </c>
      <c r="T183" s="118">
        <f ca="1">특급</f>
        <v>373353</v>
      </c>
      <c r="U183" s="118">
        <f t="shared" ca="1" si="46"/>
        <v>261347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39</v>
      </c>
      <c r="O184" s="173">
        <v>5</v>
      </c>
      <c r="P184" s="234">
        <f ca="1">OFFSET($A$1,MATCH(Z181,$A:$A,0)-1,O184)</f>
        <v>0.9</v>
      </c>
      <c r="Q184" s="144" t="s">
        <v>29</v>
      </c>
      <c r="R184" s="118">
        <f t="shared" ca="1" si="45"/>
        <v>310884</v>
      </c>
      <c r="S184" s="118">
        <f t="shared" ca="1" si="45"/>
        <v>279795</v>
      </c>
      <c r="T184" s="118">
        <f ca="1">고급</f>
        <v>310884</v>
      </c>
      <c r="U184" s="118">
        <f t="shared" ca="1" si="46"/>
        <v>279795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40</v>
      </c>
      <c r="O185" s="173">
        <v>6</v>
      </c>
      <c r="P185" s="234">
        <f ca="1">OFFSET($A$1,MATCH(Z181,$A:$A,0)-1,O185)</f>
        <v>1.1000000000000001</v>
      </c>
      <c r="Q185" s="144" t="s">
        <v>29</v>
      </c>
      <c r="R185" s="118">
        <f t="shared" ca="1" si="45"/>
        <v>295138</v>
      </c>
      <c r="S185" s="118">
        <f t="shared" ca="1" si="45"/>
        <v>324651</v>
      </c>
      <c r="T185" s="118">
        <f ca="1">중급</f>
        <v>295138</v>
      </c>
      <c r="U185" s="118">
        <f t="shared" ca="1" si="46"/>
        <v>324651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41</v>
      </c>
      <c r="O186" s="173">
        <v>7</v>
      </c>
      <c r="P186" s="234">
        <f ca="1">OFFSET($A$1,MATCH(Z181,$A:$A,0)-1,O186)</f>
        <v>1.1000000000000001</v>
      </c>
      <c r="Q186" s="144" t="s">
        <v>29</v>
      </c>
      <c r="R186" s="118">
        <f t="shared" ca="1" si="45"/>
        <v>235459</v>
      </c>
      <c r="S186" s="118">
        <f t="shared" ca="1" si="45"/>
        <v>259004</v>
      </c>
      <c r="T186" s="118">
        <f ca="1">초급</f>
        <v>235459</v>
      </c>
      <c r="U186" s="118">
        <f t="shared" ca="1" si="46"/>
        <v>259004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319" t="s">
        <v>42</v>
      </c>
      <c r="O187" s="174">
        <v>8</v>
      </c>
      <c r="P187" s="235">
        <f ca="1">OFFSET($A$1,MATCH(Z181,$A:$A,0)-1,O187)</f>
        <v>0.9</v>
      </c>
      <c r="Q187" s="322" t="s">
        <v>29</v>
      </c>
      <c r="R187" s="323">
        <f t="shared" ca="1" si="45"/>
        <v>250087</v>
      </c>
      <c r="S187" s="323">
        <f t="shared" ca="1" si="45"/>
        <v>225078</v>
      </c>
      <c r="T187" s="323">
        <f ca="1">보조원</f>
        <v>250087</v>
      </c>
      <c r="U187" s="323">
        <f t="shared" ca="1" si="46"/>
        <v>225078</v>
      </c>
      <c r="V187" s="323"/>
      <c r="W187" s="323"/>
      <c r="X187" s="323"/>
      <c r="Y187" s="323"/>
      <c r="Z187" s="324"/>
    </row>
    <row r="188" spans="11:26" ht="18" customHeight="1">
      <c r="K188" s="171" t="s">
        <v>14</v>
      </c>
      <c r="L188" s="171"/>
      <c r="M188" s="171"/>
      <c r="N188" s="139" t="s">
        <v>17</v>
      </c>
      <c r="O188" s="68"/>
      <c r="P188" s="69"/>
      <c r="Q188" s="70"/>
      <c r="R188" s="71"/>
      <c r="S188" s="71">
        <f ca="1">SUBTOTAL(9,S182:S187)</f>
        <v>1490040</v>
      </c>
      <c r="T188" s="71"/>
      <c r="U188" s="71">
        <f ca="1">SUBTOTAL(9,U182:U187)</f>
        <v>1490040</v>
      </c>
      <c r="V188" s="71"/>
      <c r="W188" s="71"/>
      <c r="X188" s="71"/>
      <c r="Y188" s="71"/>
      <c r="Z188" s="68"/>
    </row>
    <row r="189" spans="11:26" ht="18" customHeight="1">
      <c r="K189" s="171" t="s">
        <v>14</v>
      </c>
      <c r="L189" s="171"/>
      <c r="M189" s="171"/>
      <c r="N189" s="318" t="str">
        <f ca="1">"제 " &amp; Z189 &amp; " 호표  "&amp; OFFSET($A$1,MATCH(Z189,$A:$A,0)-1,1)</f>
        <v>제 18 호표  6.3. 관계기관 협의</v>
      </c>
      <c r="O189" s="221"/>
      <c r="P189" s="148"/>
      <c r="Q189" s="148"/>
      <c r="R189" s="149"/>
      <c r="S189" s="149"/>
      <c r="T189" s="149"/>
      <c r="U189" s="149"/>
      <c r="V189" s="149"/>
      <c r="W189" s="149"/>
      <c r="X189" s="149"/>
      <c r="Y189" s="149"/>
      <c r="Z189" s="325">
        <f>Z181+1</f>
        <v>18</v>
      </c>
    </row>
    <row r="190" spans="11:26" ht="18" customHeight="1">
      <c r="K190" s="171" t="s">
        <v>14</v>
      </c>
      <c r="L190" s="171"/>
      <c r="M190" s="171"/>
      <c r="N190" s="140" t="s">
        <v>43</v>
      </c>
      <c r="O190" s="172">
        <v>3</v>
      </c>
      <c r="P190" s="219">
        <f ca="1">OFFSET($A$1,MATCH(Z189,$A:$A,0)-1,O190)</f>
        <v>0.4</v>
      </c>
      <c r="Q190" s="141" t="s">
        <v>29</v>
      </c>
      <c r="R190" s="142">
        <f t="shared" ref="R190:S195" ca="1" si="47">T190</f>
        <v>467217</v>
      </c>
      <c r="S190" s="142">
        <f t="shared" ca="1" si="47"/>
        <v>186886</v>
      </c>
      <c r="T190" s="142">
        <f ca="1">기술사</f>
        <v>467217</v>
      </c>
      <c r="U190" s="142">
        <f t="shared" ref="U190:U195" ca="1" si="48">ROUNDDOWN(P190*R190,0)</f>
        <v>186886</v>
      </c>
      <c r="V190" s="142"/>
      <c r="W190" s="142"/>
      <c r="X190" s="142"/>
      <c r="Y190" s="142"/>
      <c r="Z190" s="114"/>
    </row>
    <row r="191" spans="11:26" ht="18" customHeight="1">
      <c r="K191" s="171" t="s">
        <v>14</v>
      </c>
      <c r="L191" s="171"/>
      <c r="M191" s="171"/>
      <c r="N191" s="143" t="s">
        <v>32</v>
      </c>
      <c r="O191" s="173">
        <v>4</v>
      </c>
      <c r="P191" s="234">
        <f ca="1">OFFSET($A$1,MATCH(Z189,$A:$A,0)-1,O191)</f>
        <v>0.8</v>
      </c>
      <c r="Q191" s="144" t="s">
        <v>29</v>
      </c>
      <c r="R191" s="118">
        <f t="shared" ca="1" si="47"/>
        <v>373353</v>
      </c>
      <c r="S191" s="118">
        <f t="shared" ca="1" si="47"/>
        <v>298682</v>
      </c>
      <c r="T191" s="118">
        <f ca="1">특급</f>
        <v>373353</v>
      </c>
      <c r="U191" s="118">
        <f t="shared" ca="1" si="48"/>
        <v>298682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39</v>
      </c>
      <c r="O192" s="173">
        <v>5</v>
      </c>
      <c r="P192" s="234">
        <f ca="1">OFFSET($A$1,MATCH(Z189,$A:$A,0)-1,O192)</f>
        <v>1.1000000000000001</v>
      </c>
      <c r="Q192" s="144" t="s">
        <v>29</v>
      </c>
      <c r="R192" s="118">
        <f t="shared" ca="1" si="47"/>
        <v>310884</v>
      </c>
      <c r="S192" s="118">
        <f t="shared" ca="1" si="47"/>
        <v>341972</v>
      </c>
      <c r="T192" s="118">
        <f ca="1">고급</f>
        <v>310884</v>
      </c>
      <c r="U192" s="118">
        <f t="shared" ca="1" si="48"/>
        <v>341972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40</v>
      </c>
      <c r="O193" s="173">
        <v>6</v>
      </c>
      <c r="P193" s="234">
        <f ca="1">OFFSET($A$1,MATCH(Z189,$A:$A,0)-1,O193)</f>
        <v>1.4</v>
      </c>
      <c r="Q193" s="144" t="s">
        <v>29</v>
      </c>
      <c r="R193" s="118">
        <f t="shared" ca="1" si="47"/>
        <v>295138</v>
      </c>
      <c r="S193" s="118">
        <f t="shared" ca="1" si="47"/>
        <v>413193</v>
      </c>
      <c r="T193" s="118">
        <f ca="1">중급</f>
        <v>295138</v>
      </c>
      <c r="U193" s="118">
        <f t="shared" ca="1" si="48"/>
        <v>413193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41</v>
      </c>
      <c r="O194" s="173">
        <v>7</v>
      </c>
      <c r="P194" s="234">
        <f ca="1">OFFSET($A$1,MATCH(Z189,$A:$A,0)-1,O194)</f>
        <v>1.4</v>
      </c>
      <c r="Q194" s="144" t="s">
        <v>29</v>
      </c>
      <c r="R194" s="118">
        <f t="shared" ca="1" si="47"/>
        <v>235459</v>
      </c>
      <c r="S194" s="118">
        <f t="shared" ca="1" si="47"/>
        <v>329642</v>
      </c>
      <c r="T194" s="118">
        <f ca="1">초급</f>
        <v>235459</v>
      </c>
      <c r="U194" s="118">
        <f t="shared" ca="1" si="48"/>
        <v>329642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319" t="s">
        <v>42</v>
      </c>
      <c r="O195" s="174">
        <v>8</v>
      </c>
      <c r="P195" s="235">
        <f ca="1">OFFSET($A$1,MATCH(Z189,$A:$A,0)-1,O195)</f>
        <v>1.1000000000000001</v>
      </c>
      <c r="Q195" s="322" t="s">
        <v>29</v>
      </c>
      <c r="R195" s="323">
        <f t="shared" ca="1" si="47"/>
        <v>250087</v>
      </c>
      <c r="S195" s="323">
        <f t="shared" ca="1" si="47"/>
        <v>275095</v>
      </c>
      <c r="T195" s="323">
        <f ca="1">보조원</f>
        <v>250087</v>
      </c>
      <c r="U195" s="323">
        <f t="shared" ca="1" si="48"/>
        <v>275095</v>
      </c>
      <c r="V195" s="323"/>
      <c r="W195" s="323"/>
      <c r="X195" s="323"/>
      <c r="Y195" s="323"/>
      <c r="Z195" s="324"/>
    </row>
    <row r="196" spans="11:26" ht="18" customHeight="1">
      <c r="K196" s="171" t="s">
        <v>14</v>
      </c>
      <c r="L196" s="171"/>
      <c r="M196" s="171"/>
      <c r="N196" s="139" t="s">
        <v>17</v>
      </c>
      <c r="O196" s="68"/>
      <c r="P196" s="69"/>
      <c r="Q196" s="70"/>
      <c r="R196" s="71"/>
      <c r="S196" s="71">
        <f ca="1">SUBTOTAL(9,S190:S195)</f>
        <v>1845470</v>
      </c>
      <c r="T196" s="71"/>
      <c r="U196" s="71">
        <f ca="1">SUBTOTAL(9,U190:U195)</f>
        <v>1845470</v>
      </c>
      <c r="V196" s="71"/>
      <c r="W196" s="71"/>
      <c r="X196" s="71"/>
      <c r="Y196" s="71"/>
      <c r="Z196" s="68"/>
    </row>
    <row r="197" spans="11:26" ht="18" customHeight="1">
      <c r="K197" s="171" t="s">
        <v>14</v>
      </c>
      <c r="L197" s="171"/>
      <c r="M197" s="171"/>
      <c r="N197" s="318" t="e">
        <f ca="1">"제 " &amp; Z197 &amp; " 호표  "&amp; OFFSET($A$1,MATCH(Z197,$A:$A,0)-1,1)</f>
        <v>#N/A</v>
      </c>
      <c r="O197" s="221"/>
      <c r="P197" s="148"/>
      <c r="Q197" s="148"/>
      <c r="R197" s="149"/>
      <c r="S197" s="149"/>
      <c r="T197" s="149"/>
      <c r="U197" s="149"/>
      <c r="V197" s="149"/>
      <c r="W197" s="149"/>
      <c r="X197" s="149"/>
      <c r="Y197" s="149"/>
      <c r="Z197" s="325">
        <f>Z189+1</f>
        <v>19</v>
      </c>
    </row>
    <row r="198" spans="11:26" ht="18" customHeight="1">
      <c r="K198" s="171" t="s">
        <v>14</v>
      </c>
      <c r="L198" s="171"/>
      <c r="M198" s="171"/>
      <c r="N198" s="140" t="s">
        <v>43</v>
      </c>
      <c r="O198" s="172">
        <v>3</v>
      </c>
      <c r="P198" s="219" t="e">
        <f ca="1">OFFSET($A$1,MATCH(Z197,$A:$A,0)-1,O198)</f>
        <v>#N/A</v>
      </c>
      <c r="Q198" s="141" t="s">
        <v>29</v>
      </c>
      <c r="R198" s="142">
        <f t="shared" ref="R198:S203" ca="1" si="49">T198</f>
        <v>467217</v>
      </c>
      <c r="S198" s="142" t="e">
        <f t="shared" ca="1" si="49"/>
        <v>#N/A</v>
      </c>
      <c r="T198" s="142">
        <f ca="1">기술사</f>
        <v>467217</v>
      </c>
      <c r="U198" s="142" t="e">
        <f t="shared" ref="U198:U203" ca="1" si="50">ROUNDDOWN(P198*R198,0)</f>
        <v>#N/A</v>
      </c>
      <c r="V198" s="142"/>
      <c r="W198" s="142"/>
      <c r="X198" s="142"/>
      <c r="Y198" s="142"/>
      <c r="Z198" s="114"/>
    </row>
    <row r="199" spans="11:26" ht="18" customHeight="1">
      <c r="K199" s="171" t="s">
        <v>14</v>
      </c>
      <c r="L199" s="171"/>
      <c r="M199" s="171"/>
      <c r="N199" s="143" t="s">
        <v>32</v>
      </c>
      <c r="O199" s="173">
        <v>4</v>
      </c>
      <c r="P199" s="234" t="e">
        <f ca="1">OFFSET($A$1,MATCH(Z197,$A:$A,0)-1,O199)</f>
        <v>#N/A</v>
      </c>
      <c r="Q199" s="144" t="s">
        <v>29</v>
      </c>
      <c r="R199" s="118">
        <f t="shared" ca="1" si="49"/>
        <v>373353</v>
      </c>
      <c r="S199" s="118" t="e">
        <f t="shared" ca="1" si="49"/>
        <v>#N/A</v>
      </c>
      <c r="T199" s="118">
        <f ca="1">특급</f>
        <v>373353</v>
      </c>
      <c r="U199" s="118" t="e">
        <f t="shared" ca="1" si="50"/>
        <v>#N/A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39</v>
      </c>
      <c r="O200" s="173">
        <v>5</v>
      </c>
      <c r="P200" s="234" t="e">
        <f ca="1">OFFSET($A$1,MATCH(Z197,$A:$A,0)-1,O200)</f>
        <v>#N/A</v>
      </c>
      <c r="Q200" s="144" t="s">
        <v>29</v>
      </c>
      <c r="R200" s="118">
        <f t="shared" ca="1" si="49"/>
        <v>310884</v>
      </c>
      <c r="S200" s="118" t="e">
        <f t="shared" ca="1" si="49"/>
        <v>#N/A</v>
      </c>
      <c r="T200" s="118">
        <f ca="1">고급</f>
        <v>310884</v>
      </c>
      <c r="U200" s="118" t="e">
        <f t="shared" ca="1" si="50"/>
        <v>#N/A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40</v>
      </c>
      <c r="O201" s="173">
        <v>6</v>
      </c>
      <c r="P201" s="234" t="e">
        <f ca="1">OFFSET($A$1,MATCH(Z197,$A:$A,0)-1,O201)</f>
        <v>#N/A</v>
      </c>
      <c r="Q201" s="144" t="s">
        <v>29</v>
      </c>
      <c r="R201" s="118">
        <f t="shared" ca="1" si="49"/>
        <v>295138</v>
      </c>
      <c r="S201" s="118" t="e">
        <f t="shared" ca="1" si="49"/>
        <v>#N/A</v>
      </c>
      <c r="T201" s="118">
        <f ca="1">중급</f>
        <v>295138</v>
      </c>
      <c r="U201" s="118" t="e">
        <f t="shared" ca="1" si="50"/>
        <v>#N/A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41</v>
      </c>
      <c r="O202" s="173">
        <v>7</v>
      </c>
      <c r="P202" s="234" t="e">
        <f ca="1">OFFSET($A$1,MATCH(Z197,$A:$A,0)-1,O202)</f>
        <v>#N/A</v>
      </c>
      <c r="Q202" s="144" t="s">
        <v>29</v>
      </c>
      <c r="R202" s="118">
        <f t="shared" ca="1" si="49"/>
        <v>235459</v>
      </c>
      <c r="S202" s="118" t="e">
        <f t="shared" ca="1" si="49"/>
        <v>#N/A</v>
      </c>
      <c r="T202" s="118">
        <f ca="1">초급</f>
        <v>235459</v>
      </c>
      <c r="U202" s="118" t="e">
        <f t="shared" ca="1" si="50"/>
        <v>#N/A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319" t="s">
        <v>42</v>
      </c>
      <c r="O203" s="174">
        <v>8</v>
      </c>
      <c r="P203" s="235" t="e">
        <f ca="1">OFFSET($A$1,MATCH(Z197,$A:$A,0)-1,O203)</f>
        <v>#N/A</v>
      </c>
      <c r="Q203" s="322" t="s">
        <v>29</v>
      </c>
      <c r="R203" s="323">
        <f t="shared" ca="1" si="49"/>
        <v>250087</v>
      </c>
      <c r="S203" s="323" t="e">
        <f t="shared" ca="1" si="49"/>
        <v>#N/A</v>
      </c>
      <c r="T203" s="323">
        <f ca="1">보조원</f>
        <v>250087</v>
      </c>
      <c r="U203" s="323" t="e">
        <f t="shared" ca="1" si="50"/>
        <v>#N/A</v>
      </c>
      <c r="V203" s="323"/>
      <c r="W203" s="323"/>
      <c r="X203" s="323"/>
      <c r="Y203" s="323"/>
      <c r="Z203" s="324"/>
    </row>
    <row r="204" spans="11:26" ht="18" customHeight="1">
      <c r="K204" s="171" t="s">
        <v>14</v>
      </c>
      <c r="L204" s="171"/>
      <c r="M204" s="171"/>
      <c r="N204" s="139" t="s">
        <v>17</v>
      </c>
      <c r="O204" s="68"/>
      <c r="P204" s="69"/>
      <c r="Q204" s="70"/>
      <c r="R204" s="71"/>
      <c r="S204" s="71" t="e">
        <f ca="1">SUBTOTAL(9,S198:S203)</f>
        <v>#N/A</v>
      </c>
      <c r="T204" s="71"/>
      <c r="U204" s="71" t="e">
        <f ca="1">SUBTOTAL(9,U198:U203)</f>
        <v>#N/A</v>
      </c>
      <c r="V204" s="71"/>
      <c r="W204" s="71"/>
      <c r="X204" s="71"/>
      <c r="Y204" s="71"/>
      <c r="Z204" s="68"/>
    </row>
    <row r="205" spans="11:26" ht="18" customHeight="1">
      <c r="K205" s="171" t="s">
        <v>14</v>
      </c>
      <c r="L205" s="171"/>
      <c r="M205" s="171"/>
      <c r="N205" s="318" t="e">
        <f ca="1">"제 " &amp; Z205 &amp; " 호표  "&amp; OFFSET($A$1,MATCH(Z205,$A:$A,0)-1,1)</f>
        <v>#N/A</v>
      </c>
      <c r="O205" s="221"/>
      <c r="P205" s="148"/>
      <c r="Q205" s="148"/>
      <c r="R205" s="149"/>
      <c r="S205" s="149"/>
      <c r="T205" s="149"/>
      <c r="U205" s="149"/>
      <c r="V205" s="149"/>
      <c r="W205" s="149"/>
      <c r="X205" s="149"/>
      <c r="Y205" s="149"/>
      <c r="Z205" s="325">
        <f>Z197+1</f>
        <v>20</v>
      </c>
    </row>
    <row r="206" spans="11:26" ht="18" customHeight="1">
      <c r="K206" s="171" t="s">
        <v>14</v>
      </c>
      <c r="L206" s="171"/>
      <c r="M206" s="171"/>
      <c r="N206" s="140" t="s">
        <v>43</v>
      </c>
      <c r="O206" s="172">
        <v>3</v>
      </c>
      <c r="P206" s="219" t="e">
        <f ca="1">OFFSET($A$1,MATCH(Z205,$A:$A,0)-1,O206)</f>
        <v>#N/A</v>
      </c>
      <c r="Q206" s="141" t="s">
        <v>29</v>
      </c>
      <c r="R206" s="142">
        <f t="shared" ref="R206:S211" ca="1" si="51">T206</f>
        <v>467217</v>
      </c>
      <c r="S206" s="142" t="e">
        <f t="shared" ca="1" si="51"/>
        <v>#N/A</v>
      </c>
      <c r="T206" s="142">
        <f ca="1">기술사</f>
        <v>467217</v>
      </c>
      <c r="U206" s="142" t="e">
        <f t="shared" ref="U206:U211" ca="1" si="52">ROUNDDOWN(P206*R206,0)</f>
        <v>#N/A</v>
      </c>
      <c r="V206" s="142"/>
      <c r="W206" s="142"/>
      <c r="X206" s="142"/>
      <c r="Y206" s="142"/>
      <c r="Z206" s="114"/>
    </row>
    <row r="207" spans="11:26" ht="18" customHeight="1">
      <c r="K207" s="171" t="s">
        <v>14</v>
      </c>
      <c r="L207" s="171"/>
      <c r="M207" s="171"/>
      <c r="N207" s="143" t="s">
        <v>32</v>
      </c>
      <c r="O207" s="173">
        <v>4</v>
      </c>
      <c r="P207" s="234" t="e">
        <f ca="1">OFFSET($A$1,MATCH(Z205,$A:$A,0)-1,O207)</f>
        <v>#N/A</v>
      </c>
      <c r="Q207" s="144" t="s">
        <v>29</v>
      </c>
      <c r="R207" s="118">
        <f t="shared" ca="1" si="51"/>
        <v>373353</v>
      </c>
      <c r="S207" s="118" t="e">
        <f t="shared" ca="1" si="51"/>
        <v>#N/A</v>
      </c>
      <c r="T207" s="118">
        <f ca="1">특급</f>
        <v>373353</v>
      </c>
      <c r="U207" s="118" t="e">
        <f t="shared" ca="1" si="52"/>
        <v>#N/A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39</v>
      </c>
      <c r="O208" s="173">
        <v>5</v>
      </c>
      <c r="P208" s="234" t="e">
        <f ca="1">OFFSET($A$1,MATCH(Z205,$A:$A,0)-1,O208)</f>
        <v>#N/A</v>
      </c>
      <c r="Q208" s="144" t="s">
        <v>29</v>
      </c>
      <c r="R208" s="118">
        <f t="shared" ca="1" si="51"/>
        <v>310884</v>
      </c>
      <c r="S208" s="118" t="e">
        <f t="shared" ca="1" si="51"/>
        <v>#N/A</v>
      </c>
      <c r="T208" s="118">
        <f ca="1">고급</f>
        <v>310884</v>
      </c>
      <c r="U208" s="118" t="e">
        <f t="shared" ca="1" si="52"/>
        <v>#N/A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40</v>
      </c>
      <c r="O209" s="173">
        <v>6</v>
      </c>
      <c r="P209" s="234" t="e">
        <f ca="1">OFFSET($A$1,MATCH(Z205,$A:$A,0)-1,O209)</f>
        <v>#N/A</v>
      </c>
      <c r="Q209" s="144" t="s">
        <v>29</v>
      </c>
      <c r="R209" s="118">
        <f t="shared" ca="1" si="51"/>
        <v>295138</v>
      </c>
      <c r="S209" s="118" t="e">
        <f t="shared" ca="1" si="51"/>
        <v>#N/A</v>
      </c>
      <c r="T209" s="118">
        <f ca="1">중급</f>
        <v>295138</v>
      </c>
      <c r="U209" s="118" t="e">
        <f t="shared" ca="1" si="52"/>
        <v>#N/A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41</v>
      </c>
      <c r="O210" s="173">
        <v>7</v>
      </c>
      <c r="P210" s="234" t="e">
        <f ca="1">OFFSET($A$1,MATCH(Z205,$A:$A,0)-1,O210)</f>
        <v>#N/A</v>
      </c>
      <c r="Q210" s="144" t="s">
        <v>29</v>
      </c>
      <c r="R210" s="118">
        <f t="shared" ca="1" si="51"/>
        <v>235459</v>
      </c>
      <c r="S210" s="118" t="e">
        <f t="shared" ca="1" si="51"/>
        <v>#N/A</v>
      </c>
      <c r="T210" s="118">
        <f ca="1">초급</f>
        <v>235459</v>
      </c>
      <c r="U210" s="118" t="e">
        <f t="shared" ca="1" si="52"/>
        <v>#N/A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319" t="s">
        <v>42</v>
      </c>
      <c r="O211" s="174">
        <v>8</v>
      </c>
      <c r="P211" s="235" t="e">
        <f ca="1">OFFSET($A$1,MATCH(Z205,$A:$A,0)-1,O211)</f>
        <v>#N/A</v>
      </c>
      <c r="Q211" s="322" t="s">
        <v>29</v>
      </c>
      <c r="R211" s="323">
        <f t="shared" ca="1" si="51"/>
        <v>250087</v>
      </c>
      <c r="S211" s="323" t="e">
        <f t="shared" ca="1" si="51"/>
        <v>#N/A</v>
      </c>
      <c r="T211" s="323">
        <f ca="1">보조원</f>
        <v>250087</v>
      </c>
      <c r="U211" s="323" t="e">
        <f t="shared" ca="1" si="52"/>
        <v>#N/A</v>
      </c>
      <c r="V211" s="323"/>
      <c r="W211" s="323"/>
      <c r="X211" s="323"/>
      <c r="Y211" s="323"/>
      <c r="Z211" s="324"/>
    </row>
    <row r="212" spans="11:26" ht="18" customHeight="1">
      <c r="K212" s="171" t="s">
        <v>14</v>
      </c>
      <c r="L212" s="171"/>
      <c r="M212" s="171"/>
      <c r="N212" s="139" t="s">
        <v>17</v>
      </c>
      <c r="O212" s="68"/>
      <c r="P212" s="69"/>
      <c r="Q212" s="70"/>
      <c r="R212" s="71"/>
      <c r="S212" s="71" t="e">
        <f ca="1">SUBTOTAL(9,S206:S211)</f>
        <v>#N/A</v>
      </c>
      <c r="T212" s="71"/>
      <c r="U212" s="71" t="e">
        <f ca="1">SUBTOTAL(9,U206:U211)</f>
        <v>#N/A</v>
      </c>
      <c r="V212" s="71"/>
      <c r="W212" s="71"/>
      <c r="X212" s="71"/>
      <c r="Y212" s="71"/>
      <c r="Z212" s="68"/>
    </row>
    <row r="213" spans="11:26" ht="18" customHeight="1">
      <c r="K213" s="171" t="s">
        <v>14</v>
      </c>
      <c r="L213" s="171"/>
      <c r="M213" s="171"/>
      <c r="N213" s="171"/>
      <c r="O213" s="171"/>
      <c r="P213" s="171"/>
      <c r="Q213" s="171"/>
      <c r="R213" s="171"/>
      <c r="S213" s="171"/>
      <c r="T213" s="171"/>
      <c r="U213" s="171"/>
      <c r="V213" s="171"/>
      <c r="W213" s="171"/>
      <c r="X213" s="171"/>
      <c r="Y213" s="171"/>
      <c r="Z213" s="171"/>
    </row>
    <row r="214" spans="11:26" ht="18" customHeight="1">
      <c r="K214" s="171" t="s">
        <v>14</v>
      </c>
      <c r="L214" s="171"/>
      <c r="M214" s="171"/>
      <c r="N214" s="171"/>
      <c r="O214" s="171"/>
      <c r="P214" s="171"/>
      <c r="Q214" s="171"/>
      <c r="R214" s="171"/>
      <c r="S214" s="171"/>
      <c r="T214" s="171"/>
      <c r="U214" s="171"/>
      <c r="V214" s="171"/>
      <c r="W214" s="171"/>
      <c r="X214" s="171"/>
      <c r="Y214" s="171"/>
      <c r="Z214" s="171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2" ht="18" customHeight="1">
      <c r="L753" s="171"/>
    </row>
    <row r="754" spans="12:12" ht="18" customHeight="1">
      <c r="L754" s="171"/>
    </row>
    <row r="755" spans="12:12" ht="18" customHeight="1">
      <c r="L755" s="171"/>
    </row>
    <row r="756" spans="12:12" ht="18" customHeight="1">
      <c r="L756" s="171"/>
    </row>
    <row r="757" spans="12:12" ht="18" customHeight="1">
      <c r="L757" s="171"/>
    </row>
    <row r="758" spans="12:12" ht="18" customHeight="1">
      <c r="L758" s="171"/>
    </row>
    <row r="759" spans="12:12" ht="18" customHeight="1">
      <c r="L759" s="171"/>
    </row>
    <row r="760" spans="12:12" ht="18" customHeight="1">
      <c r="L760" s="171"/>
    </row>
    <row r="761" spans="12:12" ht="18" customHeight="1">
      <c r="L761" s="171"/>
    </row>
    <row r="762" spans="12:12" ht="18" customHeight="1">
      <c r="L762" s="171"/>
    </row>
    <row r="763" spans="12:12" ht="18" customHeight="1">
      <c r="L763" s="171"/>
    </row>
    <row r="764" spans="12:12" ht="18" customHeight="1">
      <c r="L764" s="171"/>
    </row>
    <row r="765" spans="12:12" ht="18" customHeight="1">
      <c r="L765" s="171"/>
    </row>
    <row r="766" spans="12:12" ht="18" customHeight="1">
      <c r="L766" s="171"/>
    </row>
    <row r="767" spans="12:12" ht="18" customHeight="1">
      <c r="L767" s="171"/>
    </row>
    <row r="768" spans="12:12" ht="18" customHeight="1">
      <c r="L768" s="171"/>
    </row>
    <row r="769" spans="12:12" ht="18" customHeight="1">
      <c r="L769" s="171"/>
    </row>
    <row r="770" spans="12:12" ht="18" customHeight="1">
      <c r="L770" s="171"/>
    </row>
  </sheetData>
  <mergeCells count="19">
    <mergeCell ref="B14:C15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Z51:Z52"/>
    <mergeCell ref="J14:J15"/>
    <mergeCell ref="L14:L15"/>
    <mergeCell ref="N51:N52"/>
    <mergeCell ref="O51:O52"/>
    <mergeCell ref="P51:P52"/>
    <mergeCell ref="Q51:Q52"/>
  </mergeCells>
  <phoneticPr fontId="14" type="noConversion"/>
  <conditionalFormatting sqref="V16:V40">
    <cfRule type="cellIs" dxfId="2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3" min="13" max="28" man="1"/>
    <brk id="8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3521" r:id="rId4" name="Drop Down 1">
              <controlPr defaultSize="0" autoLine="0" autoPict="0">
                <anchor moveWithCells="1">
                  <from>
                    <xdr:col>6</xdr:col>
                    <xdr:colOff>409575</xdr:colOff>
                    <xdr:row>0</xdr:row>
                    <xdr:rowOff>200025</xdr:rowOff>
                  </from>
                  <to>
                    <xdr:col>11</xdr:col>
                    <xdr:colOff>228600</xdr:colOff>
                    <xdr:row>1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 codeName="Sheet13">
    <tabColor rgb="FFFFFF00"/>
    <pageSetUpPr fitToPage="1"/>
  </sheetPr>
  <dimension ref="A1:AC774"/>
  <sheetViews>
    <sheetView showGridLines="0" zoomScale="85" zoomScaleNormal="85" zoomScaleSheetLayoutView="75" workbookViewId="0">
      <selection activeCell="N3" sqref="N3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2530</v>
      </c>
      <c r="Z1" s="391"/>
    </row>
    <row r="2" spans="1:26" ht="19.5" thickBot="1">
      <c r="B2" s="66" t="s">
        <v>2538</v>
      </c>
      <c r="Z2" s="391"/>
    </row>
    <row r="3" spans="1:26" ht="18" customHeight="1">
      <c r="B3" s="773" t="s">
        <v>48</v>
      </c>
      <c r="C3" s="774"/>
      <c r="D3" s="775">
        <v>10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  <c r="Z3" s="391"/>
    </row>
    <row r="4" spans="1:26" ht="18" customHeight="1">
      <c r="B4" s="777" t="s">
        <v>54</v>
      </c>
      <c r="C4" s="778"/>
      <c r="D4" s="779">
        <v>10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B5" s="781" t="s">
        <v>2489</v>
      </c>
      <c r="C5" s="782"/>
      <c r="D5" s="857">
        <f>ROUND((IF(D4&lt;=10,10,D4)/D3)^0.6,2)</f>
        <v>1</v>
      </c>
      <c r="E5" s="858"/>
      <c r="F5" s="45"/>
      <c r="G5" s="817" t="s">
        <v>1102</v>
      </c>
      <c r="H5" s="818"/>
      <c r="I5" s="746">
        <f>ROUND(I4/I3,3)</f>
        <v>1</v>
      </c>
      <c r="J5" s="671"/>
    </row>
    <row r="6" spans="1:26" ht="18" customHeight="1">
      <c r="A6" s="358"/>
      <c r="B6" s="9" t="s">
        <v>2552</v>
      </c>
      <c r="C6" s="9"/>
      <c r="D6" s="747"/>
      <c r="E6" s="747"/>
      <c r="F6" s="391"/>
      <c r="G6" s="9" t="s">
        <v>1107</v>
      </c>
      <c r="J6" s="36"/>
      <c r="K6" s="6"/>
    </row>
    <row r="7" spans="1:26" ht="18" customHeight="1">
      <c r="B7" s="1" t="s">
        <v>2553</v>
      </c>
      <c r="C7" s="36"/>
      <c r="D7" s="36"/>
      <c r="E7" s="36"/>
      <c r="F7" s="36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>
      <c r="G9" s="36"/>
      <c r="W9" s="676"/>
      <c r="X9" s="676"/>
    </row>
    <row r="10" spans="1:26" ht="18" customHeight="1">
      <c r="G10" s="36"/>
      <c r="W10" s="676"/>
      <c r="X10" s="676"/>
    </row>
    <row r="11" spans="1:26" ht="18" customHeight="1">
      <c r="G11" s="36"/>
      <c r="W11" s="676"/>
      <c r="X11" s="676"/>
    </row>
    <row r="12" spans="1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1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SUBTOTAL(9,W14:W49)</f>
        <v>846841794</v>
      </c>
      <c r="X13" s="187"/>
      <c r="Y13" s="177"/>
      <c r="Z13" s="167"/>
    </row>
    <row r="14" spans="1:26" ht="18" customHeight="1"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SUBTOTAL(9,W15:W46)</f>
        <v>308122288</v>
      </c>
      <c r="X14" s="164"/>
      <c r="Y14" s="178" t="s">
        <v>9</v>
      </c>
      <c r="Z14" s="179"/>
    </row>
    <row r="15" spans="1:26" ht="18" customHeight="1" thickBot="1">
      <c r="B15" s="759"/>
      <c r="C15" s="760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181"/>
      <c r="V15" s="218"/>
      <c r="W15" s="159">
        <f ca="1">SUBTOTAL(9,W16:W41)</f>
        <v>300122288</v>
      </c>
      <c r="X15" s="160"/>
      <c r="Y15" s="168"/>
      <c r="Z15" s="168"/>
    </row>
    <row r="16" spans="1:26" ht="18" customHeight="1">
      <c r="B16" s="225" t="s">
        <v>2491</v>
      </c>
      <c r="C16" s="72"/>
      <c r="D16" s="203">
        <f t="shared" ref="D16:I16" si="0">SUBTOTAL(9,D17:D20)</f>
        <v>5.2</v>
      </c>
      <c r="E16" s="204">
        <f t="shared" si="0"/>
        <v>14.5</v>
      </c>
      <c r="F16" s="204">
        <f t="shared" si="0"/>
        <v>31.299999999999997</v>
      </c>
      <c r="G16" s="204">
        <f t="shared" si="0"/>
        <v>43.4</v>
      </c>
      <c r="H16" s="204">
        <f t="shared" si="0"/>
        <v>58.7</v>
      </c>
      <c r="I16" s="205">
        <f t="shared" si="0"/>
        <v>27.200000000000003</v>
      </c>
      <c r="J16" s="654"/>
      <c r="L16" s="232"/>
      <c r="N16" s="294" t="str">
        <f>B16</f>
        <v>1. 조사분석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SUBTOTAL(9,W17:W20)</f>
        <v>51006606</v>
      </c>
      <c r="X16" s="194"/>
      <c r="Y16" s="170"/>
      <c r="Z16" s="170"/>
    </row>
    <row r="17" spans="2:26" ht="18" customHeight="1">
      <c r="B17" s="223" t="s">
        <v>2539</v>
      </c>
      <c r="C17" s="23"/>
      <c r="D17" s="197">
        <v>1.7</v>
      </c>
      <c r="E17" s="198">
        <v>4</v>
      </c>
      <c r="F17" s="198">
        <v>8.1</v>
      </c>
      <c r="G17" s="198">
        <v>11</v>
      </c>
      <c r="H17" s="198">
        <v>15.6</v>
      </c>
      <c r="I17" s="199">
        <v>6.9</v>
      </c>
      <c r="J17" s="389" t="s">
        <v>1091</v>
      </c>
      <c r="L17" s="233">
        <v>1</v>
      </c>
      <c r="N17" s="296" t="str">
        <f t="shared" ref="N17:N41" si="1">B17</f>
        <v>1.1. 자연환경 조사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SUM((ROUNDDOWN((D44:I44)*단가,0)))</f>
        <v>13451118</v>
      </c>
      <c r="X17" s="154"/>
      <c r="Y17" s="150" t="str">
        <f>IF(A44&gt;0, "제 " &amp;A44&amp; " 호표","")</f>
        <v>제 1 호표</v>
      </c>
      <c r="Z17" s="150"/>
    </row>
    <row r="18" spans="2:26" ht="18" customHeight="1">
      <c r="B18" s="223" t="s">
        <v>2540</v>
      </c>
      <c r="C18" s="23"/>
      <c r="D18" s="197">
        <v>0.8</v>
      </c>
      <c r="E18" s="198">
        <v>2.9</v>
      </c>
      <c r="F18" s="198">
        <v>6</v>
      </c>
      <c r="G18" s="198">
        <v>8.9</v>
      </c>
      <c r="H18" s="198">
        <v>12.2</v>
      </c>
      <c r="I18" s="199">
        <v>5.6</v>
      </c>
      <c r="J18" s="389" t="s">
        <v>1090</v>
      </c>
      <c r="L18" s="233">
        <v>1</v>
      </c>
      <c r="N18" s="296" t="str">
        <f t="shared" si="1"/>
        <v>1.2. 인문/사회현황조사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SUM((ROUNDDOWN((D45:I45)*단가,0)))</f>
        <v>10221614</v>
      </c>
      <c r="X18" s="154"/>
      <c r="Y18" s="150" t="str">
        <f t="shared" ref="Y18:Y41" si="2">IF(A45&gt;0, "제 " &amp;A45&amp; " 호표","")</f>
        <v>제 2 호표</v>
      </c>
      <c r="Z18" s="150"/>
    </row>
    <row r="19" spans="2:26" ht="18" customHeight="1">
      <c r="B19" s="223" t="s">
        <v>2541</v>
      </c>
      <c r="C19" s="23"/>
      <c r="D19" s="197">
        <v>1</v>
      </c>
      <c r="E19" s="198">
        <v>3</v>
      </c>
      <c r="F19" s="198">
        <v>7.1</v>
      </c>
      <c r="G19" s="198">
        <v>11</v>
      </c>
      <c r="H19" s="198">
        <v>15.1</v>
      </c>
      <c r="I19" s="199">
        <v>7.6</v>
      </c>
      <c r="J19" s="389" t="s">
        <v>1090</v>
      </c>
      <c r="L19" s="233">
        <v>1</v>
      </c>
      <c r="N19" s="296" t="str">
        <f>B19</f>
        <v>1.3. 조사결과의 도면화</v>
      </c>
      <c r="O19" s="37"/>
      <c r="P19" s="37"/>
      <c r="Q19" s="37"/>
      <c r="R19" s="37"/>
      <c r="S19" s="37"/>
      <c r="T19" s="37"/>
      <c r="U19" s="226"/>
      <c r="V19" s="231"/>
      <c r="W19" s="153">
        <f t="array" aca="1" ref="W19" ca="1">SUM((ROUNDDOWN((D46:I46)*단가,0)))</f>
        <v>12497161</v>
      </c>
      <c r="X19" s="154"/>
      <c r="Y19" s="150" t="str">
        <f t="shared" si="2"/>
        <v>제 3 호표</v>
      </c>
      <c r="Z19" s="150"/>
    </row>
    <row r="20" spans="2:26" ht="18" customHeight="1">
      <c r="B20" s="223" t="s">
        <v>2542</v>
      </c>
      <c r="C20" s="23"/>
      <c r="D20" s="197">
        <v>1.7</v>
      </c>
      <c r="E20" s="198">
        <v>4.5999999999999996</v>
      </c>
      <c r="F20" s="198">
        <v>10.1</v>
      </c>
      <c r="G20" s="198">
        <v>12.5</v>
      </c>
      <c r="H20" s="198">
        <v>15.8</v>
      </c>
      <c r="I20" s="199">
        <v>7.1</v>
      </c>
      <c r="J20" s="389" t="s">
        <v>1090</v>
      </c>
      <c r="L20" s="233">
        <v>1</v>
      </c>
      <c r="N20" s="296" t="str">
        <f t="shared" si="1"/>
        <v>1.4. 분석/평가</v>
      </c>
      <c r="O20" s="37"/>
      <c r="P20" s="37"/>
      <c r="Q20" s="37"/>
      <c r="R20" s="37"/>
      <c r="S20" s="37"/>
      <c r="T20" s="37"/>
      <c r="U20" s="226"/>
      <c r="V20" s="231"/>
      <c r="W20" s="153">
        <f t="array" aca="1" ref="W20" ca="1">SUM((ROUNDDOWN((D47:I47)*단가,0)))</f>
        <v>14836713</v>
      </c>
      <c r="X20" s="154"/>
      <c r="Y20" s="150" t="str">
        <f t="shared" si="2"/>
        <v>제 4 호표</v>
      </c>
      <c r="Z20" s="150"/>
    </row>
    <row r="21" spans="2:26" ht="18" customHeight="1">
      <c r="B21" s="222" t="s">
        <v>52</v>
      </c>
      <c r="C21" s="47"/>
      <c r="D21" s="48">
        <f t="shared" ref="D21:I21" si="3">SUBTOTAL(9,D22:D26)</f>
        <v>13.099999999999998</v>
      </c>
      <c r="E21" s="49">
        <f t="shared" si="3"/>
        <v>43.099999999999994</v>
      </c>
      <c r="F21" s="49">
        <f t="shared" si="3"/>
        <v>65.100000000000009</v>
      </c>
      <c r="G21" s="49">
        <f t="shared" si="3"/>
        <v>66.2</v>
      </c>
      <c r="H21" s="49">
        <f t="shared" si="3"/>
        <v>72.699999999999989</v>
      </c>
      <c r="I21" s="50">
        <f t="shared" si="3"/>
        <v>37.450000000000003</v>
      </c>
      <c r="J21" s="389"/>
      <c r="L21" s="233"/>
      <c r="N21" s="292" t="str">
        <f t="shared" si="1"/>
        <v>2. 기본구상</v>
      </c>
      <c r="O21" s="37"/>
      <c r="P21" s="39"/>
      <c r="Q21" s="37"/>
      <c r="R21" s="117"/>
      <c r="S21" s="37"/>
      <c r="T21" s="37"/>
      <c r="U21" s="226"/>
      <c r="V21" s="231"/>
      <c r="W21" s="195">
        <f ca="1">SUBTOTAL(9,W22:W26)</f>
        <v>88472355</v>
      </c>
      <c r="X21" s="196"/>
      <c r="Y21" s="150" t="str">
        <f t="shared" si="2"/>
        <v/>
      </c>
      <c r="Z21" s="150"/>
    </row>
    <row r="22" spans="2:26" ht="18" customHeight="1">
      <c r="B22" s="223" t="s">
        <v>2543</v>
      </c>
      <c r="C22" s="23"/>
      <c r="D22" s="197">
        <v>2.2999999999999998</v>
      </c>
      <c r="E22" s="198">
        <v>7.6</v>
      </c>
      <c r="F22" s="198">
        <v>11.4</v>
      </c>
      <c r="G22" s="198">
        <v>11.1</v>
      </c>
      <c r="H22" s="198">
        <v>13.1</v>
      </c>
      <c r="I22" s="199">
        <v>6.4</v>
      </c>
      <c r="J22" s="389" t="s">
        <v>1090</v>
      </c>
      <c r="L22" s="233">
        <v>1</v>
      </c>
      <c r="N22" s="296" t="str">
        <f t="shared" si="1"/>
        <v>2.1. 계획의 목표설정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SUM((ROUNDDOWN((D49:I49)*단가,0)))</f>
        <v>15417257</v>
      </c>
      <c r="X22" s="154"/>
      <c r="Y22" s="150" t="str">
        <f t="shared" si="2"/>
        <v>제 5 호표</v>
      </c>
      <c r="Z22" s="150"/>
    </row>
    <row r="23" spans="2:26" ht="18" customHeight="1">
      <c r="B23" s="223" t="s">
        <v>2544</v>
      </c>
      <c r="C23" s="23"/>
      <c r="D23" s="197">
        <v>2.2999999999999998</v>
      </c>
      <c r="E23" s="198">
        <v>7.4</v>
      </c>
      <c r="F23" s="198">
        <v>11.2</v>
      </c>
      <c r="G23" s="198">
        <v>11</v>
      </c>
      <c r="H23" s="198">
        <v>12.9</v>
      </c>
      <c r="I23" s="199">
        <v>6.3</v>
      </c>
      <c r="J23" s="389" t="s">
        <v>1090</v>
      </c>
      <c r="L23" s="233">
        <v>1</v>
      </c>
      <c r="N23" s="296" t="str">
        <f t="shared" si="1"/>
        <v>2.2. 보호/관리/이용지역 설정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SUM((ROUNDDOWN((D50:I50)*단가,0)))</f>
        <v>15178798</v>
      </c>
      <c r="X23" s="154"/>
      <c r="Y23" s="150" t="str">
        <f t="shared" si="2"/>
        <v>제 6 호표</v>
      </c>
      <c r="Z23" s="150"/>
    </row>
    <row r="24" spans="2:26" ht="18" customHeight="1">
      <c r="B24" s="223" t="s">
        <v>2545</v>
      </c>
      <c r="C24" s="23"/>
      <c r="D24" s="197">
        <v>2.2999999999999998</v>
      </c>
      <c r="E24" s="198">
        <v>7.4</v>
      </c>
      <c r="F24" s="198">
        <v>13</v>
      </c>
      <c r="G24" s="198">
        <v>13.4</v>
      </c>
      <c r="H24" s="198">
        <v>15.9</v>
      </c>
      <c r="I24" s="199">
        <v>7.5</v>
      </c>
      <c r="J24" s="389" t="s">
        <v>1090</v>
      </c>
      <c r="L24" s="233">
        <v>1</v>
      </c>
      <c r="N24" s="296" t="str">
        <f>B24</f>
        <v>2.3. 이용체계구상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SUM((ROUNDDOWN((D51:I51)*단가,0)))</f>
        <v>17453202</v>
      </c>
      <c r="X24" s="154"/>
      <c r="Y24" s="150" t="str">
        <f t="shared" si="2"/>
        <v>제 7 호표</v>
      </c>
      <c r="Z24" s="150"/>
    </row>
    <row r="25" spans="2:26" ht="18" customHeight="1">
      <c r="B25" s="223" t="s">
        <v>2546</v>
      </c>
      <c r="C25" s="23"/>
      <c r="D25" s="197">
        <v>2.4</v>
      </c>
      <c r="E25" s="198">
        <v>9.1999999999999993</v>
      </c>
      <c r="F25" s="198">
        <v>13.8</v>
      </c>
      <c r="G25" s="198">
        <v>13.2</v>
      </c>
      <c r="H25" s="198">
        <v>13.4</v>
      </c>
      <c r="I25" s="199">
        <v>7.7</v>
      </c>
      <c r="J25" s="389" t="s">
        <v>1090</v>
      </c>
      <c r="L25" s="233">
        <v>1</v>
      </c>
      <c r="N25" s="296" t="str">
        <f>B25</f>
        <v>2.4. 시설종류 및 규모설정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SUM((ROUNDDOWN((D52:I52)*단가,0)))</f>
        <v>17823006</v>
      </c>
      <c r="X25" s="154"/>
      <c r="Y25" s="150" t="str">
        <f t="shared" si="2"/>
        <v>제 8 호표</v>
      </c>
      <c r="Z25" s="150"/>
    </row>
    <row r="26" spans="2:26" ht="18" customHeight="1">
      <c r="B26" s="223" t="s">
        <v>2547</v>
      </c>
      <c r="C26" s="23"/>
      <c r="D26" s="197">
        <v>3.8</v>
      </c>
      <c r="E26" s="198">
        <v>11.5</v>
      </c>
      <c r="F26" s="198">
        <v>15.7</v>
      </c>
      <c r="G26" s="198">
        <v>17.5</v>
      </c>
      <c r="H26" s="198">
        <v>17.399999999999999</v>
      </c>
      <c r="I26" s="199">
        <v>9.5500000000000007</v>
      </c>
      <c r="J26" s="389" t="s">
        <v>1090</v>
      </c>
      <c r="L26" s="233">
        <v>1</v>
      </c>
      <c r="N26" s="296" t="str">
        <f t="shared" si="1"/>
        <v>2.5. 환경/생태복원구상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SUM((ROUNDDOWN((D53:I53)*단가,0)))</f>
        <v>22600092</v>
      </c>
      <c r="X26" s="154"/>
      <c r="Y26" s="150" t="str">
        <f t="shared" si="2"/>
        <v>제 9 호표</v>
      </c>
      <c r="Z26" s="150"/>
    </row>
    <row r="27" spans="2:26" ht="18" customHeight="1">
      <c r="B27" s="222" t="s">
        <v>880</v>
      </c>
      <c r="C27" s="47"/>
      <c r="D27" s="48">
        <f t="shared" ref="D27:I27" si="4">SUBTOTAL(9,D28:D31)</f>
        <v>19.3</v>
      </c>
      <c r="E27" s="49">
        <f t="shared" si="4"/>
        <v>45.899999999999991</v>
      </c>
      <c r="F27" s="49">
        <f t="shared" si="4"/>
        <v>69.600000000000009</v>
      </c>
      <c r="G27" s="49">
        <f t="shared" si="4"/>
        <v>77</v>
      </c>
      <c r="H27" s="49">
        <f t="shared" si="4"/>
        <v>77.400000000000006</v>
      </c>
      <c r="I27" s="50">
        <f t="shared" si="4"/>
        <v>42.8</v>
      </c>
      <c r="J27" s="389"/>
      <c r="L27" s="233"/>
      <c r="N27" s="292" t="str">
        <f t="shared" si="1"/>
        <v>3. 기본계획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SUBTOTAL(9,W28:W31)</f>
        <v>99445584</v>
      </c>
      <c r="X27" s="154"/>
      <c r="Y27" s="150" t="str">
        <f t="shared" si="2"/>
        <v/>
      </c>
      <c r="Z27" s="150"/>
    </row>
    <row r="28" spans="2:26" ht="18" customHeight="1">
      <c r="B28" s="223" t="s">
        <v>2548</v>
      </c>
      <c r="C28" s="23"/>
      <c r="D28" s="197">
        <v>4.4000000000000004</v>
      </c>
      <c r="E28" s="198">
        <v>12.2</v>
      </c>
      <c r="F28" s="198">
        <v>16.3</v>
      </c>
      <c r="G28" s="198">
        <v>19.100000000000001</v>
      </c>
      <c r="H28" s="198">
        <v>18.899999999999999</v>
      </c>
      <c r="I28" s="199">
        <v>10.199999999999999</v>
      </c>
      <c r="J28" s="389" t="s">
        <v>1090</v>
      </c>
      <c r="L28" s="233">
        <v>1</v>
      </c>
      <c r="N28" s="296" t="str">
        <f t="shared" si="1"/>
        <v>3.1. 보호/관리/이용지역계획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SUM((ROUNDDOWN((D55:I55)*단가,0)))</f>
        <v>24316266</v>
      </c>
      <c r="X28" s="154"/>
      <c r="Y28" s="150" t="str">
        <f t="shared" si="2"/>
        <v>제 10 호표</v>
      </c>
      <c r="Z28" s="150"/>
    </row>
    <row r="29" spans="2:26" ht="18" customHeight="1">
      <c r="B29" s="223" t="s">
        <v>2549</v>
      </c>
      <c r="C29" s="23"/>
      <c r="D29" s="197">
        <v>5.4</v>
      </c>
      <c r="E29" s="198">
        <v>11.1</v>
      </c>
      <c r="F29" s="198">
        <v>19.600000000000001</v>
      </c>
      <c r="G29" s="198">
        <v>20</v>
      </c>
      <c r="H29" s="198">
        <v>19.899999999999999</v>
      </c>
      <c r="I29" s="199">
        <v>11.5</v>
      </c>
      <c r="J29" s="389" t="s">
        <v>1090</v>
      </c>
      <c r="L29" s="233">
        <v>1</v>
      </c>
      <c r="N29" s="296" t="str">
        <f t="shared" si="1"/>
        <v>3.2. 생태·복원 탐방계획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SUM((ROUNDDOWN((D56:I56)*단가,0)))</f>
        <v>26224909</v>
      </c>
      <c r="X29" s="154"/>
      <c r="Y29" s="150" t="str">
        <f t="shared" si="2"/>
        <v>제 11 호표</v>
      </c>
      <c r="Z29" s="150"/>
    </row>
    <row r="30" spans="2:26" ht="18" customHeight="1">
      <c r="B30" s="223" t="s">
        <v>2550</v>
      </c>
      <c r="C30" s="23"/>
      <c r="D30" s="197">
        <v>5</v>
      </c>
      <c r="E30" s="198">
        <v>10.4</v>
      </c>
      <c r="F30" s="198">
        <v>18.3</v>
      </c>
      <c r="G30" s="198">
        <v>18.7</v>
      </c>
      <c r="H30" s="198">
        <v>18.600000000000001</v>
      </c>
      <c r="I30" s="199">
        <v>10.8</v>
      </c>
      <c r="J30" s="389" t="s">
        <v>1090</v>
      </c>
      <c r="L30" s="233">
        <v>1</v>
      </c>
      <c r="N30" s="296" t="str">
        <f t="shared" si="1"/>
        <v>3.3. 이용 및 시설계획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SUM((ROUNDDOWN((D57:I57)*단가,0)))</f>
        <v>24507689</v>
      </c>
      <c r="X30" s="154"/>
      <c r="Y30" s="150" t="str">
        <f t="shared" si="2"/>
        <v>제 12 호표</v>
      </c>
      <c r="Z30" s="150"/>
    </row>
    <row r="31" spans="2:26" ht="18" customHeight="1">
      <c r="B31" s="223" t="s">
        <v>2551</v>
      </c>
      <c r="C31" s="23"/>
      <c r="D31" s="197">
        <v>4.5</v>
      </c>
      <c r="E31" s="198">
        <v>12.2</v>
      </c>
      <c r="F31" s="198">
        <v>15.4</v>
      </c>
      <c r="G31" s="198">
        <v>19.2</v>
      </c>
      <c r="H31" s="198">
        <v>20</v>
      </c>
      <c r="I31" s="199">
        <v>10.3</v>
      </c>
      <c r="J31" s="389" t="s">
        <v>1090</v>
      </c>
      <c r="L31" s="233">
        <v>1</v>
      </c>
      <c r="N31" s="296" t="str">
        <f t="shared" si="1"/>
        <v>3.4. 환경생태복원계획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SUM((ROUNDDOWN((D58:I58)*단가,0)))</f>
        <v>24396720</v>
      </c>
      <c r="X31" s="154"/>
      <c r="Y31" s="150" t="str">
        <f t="shared" si="2"/>
        <v>제 13 호표</v>
      </c>
      <c r="Z31" s="150"/>
    </row>
    <row r="32" spans="2:26" ht="18" customHeight="1">
      <c r="B32" s="222" t="s">
        <v>2504</v>
      </c>
      <c r="C32" s="47"/>
      <c r="D32" s="48">
        <f t="shared" ref="D32:I32" si="5">SUBTOTAL(9,D33:D34)</f>
        <v>3.9</v>
      </c>
      <c r="E32" s="49">
        <f t="shared" si="5"/>
        <v>14.9</v>
      </c>
      <c r="F32" s="49">
        <f t="shared" si="5"/>
        <v>21.4</v>
      </c>
      <c r="G32" s="49">
        <f t="shared" si="5"/>
        <v>25.700000000000003</v>
      </c>
      <c r="H32" s="49">
        <f t="shared" si="5"/>
        <v>24.700000000000003</v>
      </c>
      <c r="I32" s="50">
        <f t="shared" si="5"/>
        <v>14.3</v>
      </c>
      <c r="J32" s="389"/>
      <c r="L32" s="233"/>
      <c r="N32" s="292" t="str">
        <f t="shared" si="1"/>
        <v>4. 집행(사업)계획</v>
      </c>
      <c r="O32" s="37"/>
      <c r="P32" s="39"/>
      <c r="Q32" s="37"/>
      <c r="R32" s="117"/>
      <c r="S32" s="37"/>
      <c r="T32" s="37"/>
      <c r="U32" s="226"/>
      <c r="V32" s="231"/>
      <c r="W32" s="195">
        <f ca="1">SUBTOTAL(9,W33:W34)</f>
        <v>31015148</v>
      </c>
      <c r="X32" s="154"/>
      <c r="Y32" s="150" t="str">
        <f t="shared" si="2"/>
        <v/>
      </c>
      <c r="Z32" s="150"/>
    </row>
    <row r="33" spans="1:26" ht="18" customHeight="1">
      <c r="B33" s="223" t="s">
        <v>2505</v>
      </c>
      <c r="C33" s="23"/>
      <c r="D33" s="197">
        <v>1.9</v>
      </c>
      <c r="E33" s="198">
        <v>7.2</v>
      </c>
      <c r="F33" s="198">
        <v>10.3</v>
      </c>
      <c r="G33" s="198">
        <v>12.4</v>
      </c>
      <c r="H33" s="198">
        <v>11.9</v>
      </c>
      <c r="I33" s="199">
        <v>6.9</v>
      </c>
      <c r="J33" s="389" t="s">
        <v>1090</v>
      </c>
      <c r="L33" s="233">
        <v>1</v>
      </c>
      <c r="N33" s="296" t="str">
        <f t="shared" si="1"/>
        <v>4.1. 개발추진계획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SUM((ROUNDDOWN((D60:I60)*단가,0)))</f>
        <v>14965231</v>
      </c>
      <c r="X33" s="154"/>
      <c r="Y33" s="150" t="str">
        <f t="shared" si="2"/>
        <v>제 14 호표</v>
      </c>
      <c r="Z33" s="150"/>
    </row>
    <row r="34" spans="1:26" ht="18" customHeight="1">
      <c r="B34" s="223" t="s">
        <v>2506</v>
      </c>
      <c r="C34" s="23"/>
      <c r="D34" s="197">
        <v>2</v>
      </c>
      <c r="E34" s="198">
        <v>7.7</v>
      </c>
      <c r="F34" s="198">
        <v>11.1</v>
      </c>
      <c r="G34" s="198">
        <v>13.3</v>
      </c>
      <c r="H34" s="198">
        <v>12.8</v>
      </c>
      <c r="I34" s="199">
        <v>7.4</v>
      </c>
      <c r="J34" s="389" t="s">
        <v>1090</v>
      </c>
      <c r="L34" s="233">
        <v>1</v>
      </c>
      <c r="N34" s="296" t="str">
        <f t="shared" si="1"/>
        <v>4.2. 관리운영계획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SUM((ROUNDDOWN((D61:I61)*단가,0)))</f>
        <v>16049917</v>
      </c>
      <c r="X34" s="154"/>
      <c r="Y34" s="150" t="str">
        <f t="shared" si="2"/>
        <v>제 15 호표</v>
      </c>
      <c r="Z34" s="150"/>
    </row>
    <row r="35" spans="1:26" ht="18" customHeight="1">
      <c r="B35" s="222" t="s">
        <v>424</v>
      </c>
      <c r="C35" s="47"/>
      <c r="D35" s="48">
        <f t="shared" ref="D35:I35" si="6">SUBTOTAL(9,D36:D37)</f>
        <v>2.0999999999999996</v>
      </c>
      <c r="E35" s="49">
        <f t="shared" si="6"/>
        <v>7.4</v>
      </c>
      <c r="F35" s="49">
        <f t="shared" si="6"/>
        <v>14.8</v>
      </c>
      <c r="G35" s="49">
        <f t="shared" si="6"/>
        <v>17.700000000000003</v>
      </c>
      <c r="H35" s="49">
        <f t="shared" si="6"/>
        <v>19.799999999999997</v>
      </c>
      <c r="I35" s="50">
        <f t="shared" si="6"/>
        <v>8.9</v>
      </c>
      <c r="J35" s="389"/>
      <c r="L35" s="233"/>
      <c r="N35" s="292" t="str">
        <f t="shared" si="1"/>
        <v>5. 성과품작성</v>
      </c>
      <c r="O35" s="37"/>
      <c r="P35" s="39"/>
      <c r="Q35" s="37"/>
      <c r="R35" s="117"/>
      <c r="S35" s="37"/>
      <c r="T35" s="37"/>
      <c r="U35" s="226"/>
      <c r="V35" s="231"/>
      <c r="W35" s="195">
        <f ca="1">SUBTOTAL(9,W36:W37)</f>
        <v>20456850</v>
      </c>
      <c r="X35" s="154"/>
      <c r="Y35" s="150" t="str">
        <f t="shared" si="2"/>
        <v/>
      </c>
      <c r="Z35" s="150"/>
    </row>
    <row r="36" spans="1:26" ht="18" customHeight="1">
      <c r="B36" s="223" t="s">
        <v>2507</v>
      </c>
      <c r="C36" s="23"/>
      <c r="D36" s="197">
        <v>0.7</v>
      </c>
      <c r="E36" s="198">
        <v>2.5</v>
      </c>
      <c r="F36" s="198">
        <v>4.9000000000000004</v>
      </c>
      <c r="G36" s="198">
        <v>5.9</v>
      </c>
      <c r="H36" s="198">
        <v>6.6</v>
      </c>
      <c r="I36" s="199">
        <v>3</v>
      </c>
      <c r="J36" s="389" t="s">
        <v>1090</v>
      </c>
      <c r="L36" s="233">
        <v>1</v>
      </c>
      <c r="N36" s="296" t="str">
        <f t="shared" si="1"/>
        <v>5.1. 보고서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SUM((ROUNDDOWN((D63:I63)*단가,0)))</f>
        <v>6829368</v>
      </c>
      <c r="X36" s="154"/>
      <c r="Y36" s="150" t="str">
        <f t="shared" si="2"/>
        <v>제 16 호표</v>
      </c>
      <c r="Z36" s="150"/>
    </row>
    <row r="37" spans="1:26" ht="18" customHeight="1">
      <c r="B37" s="259" t="s">
        <v>2508</v>
      </c>
      <c r="C37" s="43"/>
      <c r="D37" s="206">
        <v>1.4</v>
      </c>
      <c r="E37" s="207">
        <v>4.9000000000000004</v>
      </c>
      <c r="F37" s="207">
        <v>9.9</v>
      </c>
      <c r="G37" s="207">
        <v>11.8</v>
      </c>
      <c r="H37" s="207">
        <v>13.2</v>
      </c>
      <c r="I37" s="208">
        <v>5.9</v>
      </c>
      <c r="J37" s="390" t="s">
        <v>1090</v>
      </c>
      <c r="L37" s="233">
        <v>1</v>
      </c>
      <c r="N37" s="296" t="str">
        <f t="shared" si="1"/>
        <v>5.2. 관련도서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SUM((ROUNDDOWN((D64:I64)*단가,0)))</f>
        <v>13627482</v>
      </c>
      <c r="X37" s="154"/>
      <c r="Y37" s="150" t="str">
        <f t="shared" si="2"/>
        <v>제 17 호표</v>
      </c>
      <c r="Z37" s="150"/>
    </row>
    <row r="38" spans="1:26" ht="18" customHeight="1">
      <c r="B38" s="222" t="s">
        <v>426</v>
      </c>
      <c r="C38" s="47"/>
      <c r="D38" s="48">
        <f t="shared" ref="D38:I38" si="7">SUBTOTAL(9,D39:D41)</f>
        <v>1.8</v>
      </c>
      <c r="E38" s="49">
        <f t="shared" si="7"/>
        <v>4.7</v>
      </c>
      <c r="F38" s="49">
        <f t="shared" si="7"/>
        <v>6.5</v>
      </c>
      <c r="G38" s="49">
        <f t="shared" si="7"/>
        <v>7.5</v>
      </c>
      <c r="H38" s="49">
        <f t="shared" si="7"/>
        <v>7.1999999999999993</v>
      </c>
      <c r="I38" s="50">
        <f t="shared" si="7"/>
        <v>4.8</v>
      </c>
      <c r="J38" s="620"/>
      <c r="L38" s="233"/>
      <c r="N38" s="292" t="str">
        <f t="shared" si="1"/>
        <v>6. 기술협의</v>
      </c>
      <c r="O38" s="37"/>
      <c r="P38" s="39"/>
      <c r="Q38" s="37"/>
      <c r="R38" s="117"/>
      <c r="S38" s="37"/>
      <c r="T38" s="37"/>
      <c r="U38" s="226"/>
      <c r="V38" s="231"/>
      <c r="W38" s="195">
        <f ca="1">SUBTOTAL(9,W39:W41)</f>
        <v>9725745</v>
      </c>
      <c r="X38" s="154"/>
      <c r="Y38" s="150" t="str">
        <f t="shared" si="2"/>
        <v/>
      </c>
      <c r="Z38" s="150"/>
    </row>
    <row r="39" spans="1:26" ht="18" customHeight="1">
      <c r="B39" s="223" t="s">
        <v>2509</v>
      </c>
      <c r="C39" s="23"/>
      <c r="D39" s="197">
        <v>0.5</v>
      </c>
      <c r="E39" s="198">
        <v>1.4</v>
      </c>
      <c r="F39" s="198">
        <v>2.1</v>
      </c>
      <c r="G39" s="198">
        <v>2.4</v>
      </c>
      <c r="H39" s="198">
        <v>2.4</v>
      </c>
      <c r="I39" s="199">
        <v>1.4</v>
      </c>
      <c r="J39" s="389" t="s">
        <v>2512</v>
      </c>
      <c r="L39" s="233">
        <v>1</v>
      </c>
      <c r="N39" s="296" t="str">
        <f t="shared" si="1"/>
        <v>6.1. 위원회 심의 지원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SUM((ROUNDDOWN((D66:I66)*단가,0)))</f>
        <v>3032711</v>
      </c>
      <c r="X39" s="154"/>
      <c r="Y39" s="150" t="str">
        <f t="shared" si="2"/>
        <v>제 18 호표</v>
      </c>
      <c r="Z39" s="150"/>
    </row>
    <row r="40" spans="1:26" ht="18" customHeight="1">
      <c r="B40" s="223" t="s">
        <v>2510</v>
      </c>
      <c r="C40" s="23"/>
      <c r="D40" s="197">
        <v>0.6</v>
      </c>
      <c r="E40" s="198">
        <v>1.6</v>
      </c>
      <c r="F40" s="198">
        <v>2.1</v>
      </c>
      <c r="G40" s="198">
        <v>2.4</v>
      </c>
      <c r="H40" s="198">
        <v>2.2999999999999998</v>
      </c>
      <c r="I40" s="199">
        <v>1.6</v>
      </c>
      <c r="J40" s="389" t="s">
        <v>2514</v>
      </c>
      <c r="L40" s="233">
        <v>1</v>
      </c>
      <c r="N40" s="296" t="str">
        <f t="shared" si="1"/>
        <v>6.2. 주민설명회 자료 작성 등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SUM((ROUNDDOWN((D67:I67)*단가,0)))</f>
        <v>3180575</v>
      </c>
      <c r="X40" s="154"/>
      <c r="Y40" s="150" t="str">
        <f t="shared" si="2"/>
        <v>제 19 호표</v>
      </c>
      <c r="Z40" s="150"/>
    </row>
    <row r="41" spans="1:26" ht="18" customHeight="1" thickBot="1">
      <c r="B41" s="223" t="s">
        <v>2511</v>
      </c>
      <c r="C41" s="23"/>
      <c r="D41" s="197">
        <v>0.7</v>
      </c>
      <c r="E41" s="198">
        <v>1.7</v>
      </c>
      <c r="F41" s="198">
        <v>2.2999999999999998</v>
      </c>
      <c r="G41" s="198">
        <v>2.7</v>
      </c>
      <c r="H41" s="198">
        <v>2.5</v>
      </c>
      <c r="I41" s="199">
        <v>1.8</v>
      </c>
      <c r="J41" s="612" t="s">
        <v>2513</v>
      </c>
      <c r="L41" s="233">
        <v>1</v>
      </c>
      <c r="N41" s="296" t="str">
        <f t="shared" si="1"/>
        <v>6.3. 관계기관 협의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SUM((ROUNDDOWN((D68:I68)*단가,0)))</f>
        <v>3512459</v>
      </c>
      <c r="X41" s="154"/>
      <c r="Y41" s="150" t="str">
        <f t="shared" si="2"/>
        <v>제 20 호표</v>
      </c>
      <c r="Z41" s="150"/>
    </row>
    <row r="42" spans="1:26" ht="18" customHeight="1" thickBot="1">
      <c r="B42" s="14" t="s">
        <v>30</v>
      </c>
      <c r="C42" s="16"/>
      <c r="D42" s="14" t="s">
        <v>12</v>
      </c>
      <c r="E42" s="15"/>
      <c r="F42" s="15"/>
      <c r="G42" s="15"/>
      <c r="H42" s="15"/>
      <c r="I42" s="16"/>
      <c r="J42" s="175" t="s">
        <v>31</v>
      </c>
      <c r="N42" s="379"/>
      <c r="P42" s="371"/>
      <c r="R42" s="357"/>
      <c r="S42" s="1"/>
      <c r="T42" s="1"/>
      <c r="U42" s="258"/>
      <c r="V42" s="380"/>
      <c r="W42" s="373"/>
      <c r="X42" s="374"/>
      <c r="Y42" s="378"/>
      <c r="Z42" s="378"/>
    </row>
    <row r="43" spans="1:26" ht="18" customHeight="1">
      <c r="B43" s="225" t="s">
        <v>2491</v>
      </c>
      <c r="C43" s="72"/>
      <c r="D43" s="203">
        <f t="shared" ref="D43:I43" si="8">SUBTOTAL(9,D44:D47)</f>
        <v>5.2</v>
      </c>
      <c r="E43" s="204">
        <f t="shared" si="8"/>
        <v>14.5</v>
      </c>
      <c r="F43" s="204">
        <f t="shared" si="8"/>
        <v>31.299999999999997</v>
      </c>
      <c r="G43" s="204">
        <f t="shared" si="8"/>
        <v>43.4</v>
      </c>
      <c r="H43" s="204">
        <f t="shared" si="8"/>
        <v>58.7</v>
      </c>
      <c r="I43" s="205">
        <f t="shared" si="8"/>
        <v>27.200000000000003</v>
      </c>
      <c r="J43" s="73"/>
      <c r="M43" s="171"/>
      <c r="N43" s="290" t="s">
        <v>2611</v>
      </c>
      <c r="O43" s="129"/>
      <c r="P43" s="130"/>
      <c r="Q43" s="124"/>
      <c r="R43" s="131"/>
      <c r="S43" s="124"/>
      <c r="T43" s="124"/>
      <c r="U43" s="181"/>
      <c r="V43" s="181"/>
      <c r="W43" s="159">
        <f>SUBTOTAL(9,W44:W46)</f>
        <v>8000000</v>
      </c>
      <c r="X43" s="160"/>
      <c r="Y43" s="124"/>
      <c r="Z43" s="124"/>
    </row>
    <row r="44" spans="1:26" ht="18" customHeight="1">
      <c r="A44" s="326">
        <v>1</v>
      </c>
      <c r="B44" s="223" t="s">
        <v>2539</v>
      </c>
      <c r="C44" s="23"/>
      <c r="D44" s="197">
        <f t="array" ref="D44:I47">ROUNDUP(D17:I20*L17:L20*$D$5,2)</f>
        <v>1.7</v>
      </c>
      <c r="E44" s="198">
        <v>4</v>
      </c>
      <c r="F44" s="198">
        <v>8.1</v>
      </c>
      <c r="G44" s="198">
        <v>11</v>
      </c>
      <c r="H44" s="198">
        <v>15.6</v>
      </c>
      <c r="I44" s="199">
        <v>6.9</v>
      </c>
      <c r="J44" s="74"/>
      <c r="M44" s="171"/>
      <c r="N44" s="291" t="str">
        <f>"여비("&amp;TEXT(T44,"#인 ×")&amp;TEXT(U44,"#일 ×")&amp;TEXT(V44,"###,###원)")</f>
        <v>여비(3인 ×10일 ×100,000원)</v>
      </c>
      <c r="O44" s="78"/>
      <c r="P44" s="52"/>
      <c r="Q44" s="51"/>
      <c r="T44" s="146">
        <v>3</v>
      </c>
      <c r="U44" s="146">
        <v>10</v>
      </c>
      <c r="V44" s="147">
        <v>100000</v>
      </c>
      <c r="W44" s="161">
        <f>T44*U44*V44</f>
        <v>3000000</v>
      </c>
      <c r="X44" s="162"/>
      <c r="Y44" s="51"/>
      <c r="Z44" s="51"/>
    </row>
    <row r="45" spans="1:26" ht="18" customHeight="1">
      <c r="A45" s="326">
        <v>2</v>
      </c>
      <c r="B45" s="223" t="s">
        <v>2540</v>
      </c>
      <c r="C45" s="23"/>
      <c r="D45" s="197">
        <v>0.8</v>
      </c>
      <c r="E45" s="198">
        <v>2.9</v>
      </c>
      <c r="F45" s="198">
        <v>6</v>
      </c>
      <c r="G45" s="198">
        <v>8.9</v>
      </c>
      <c r="H45" s="198">
        <v>12.2</v>
      </c>
      <c r="I45" s="199">
        <v>5.6</v>
      </c>
      <c r="J45" s="74"/>
      <c r="M45" s="171"/>
      <c r="N45" s="292" t="s">
        <v>46</v>
      </c>
      <c r="O45" s="79"/>
      <c r="P45" s="39"/>
      <c r="Q45" s="37"/>
      <c r="R45" s="117"/>
      <c r="S45" s="37"/>
      <c r="T45" s="37"/>
      <c r="U45" s="180"/>
      <c r="V45" s="180"/>
      <c r="W45" s="157">
        <v>4000000</v>
      </c>
      <c r="X45" s="158"/>
      <c r="Y45" s="37"/>
      <c r="Z45" s="37"/>
    </row>
    <row r="46" spans="1:26" ht="18" customHeight="1">
      <c r="A46" s="326">
        <v>3</v>
      </c>
      <c r="B46" s="223" t="s">
        <v>2541</v>
      </c>
      <c r="C46" s="23"/>
      <c r="D46" s="197">
        <v>1</v>
      </c>
      <c r="E46" s="198">
        <v>3</v>
      </c>
      <c r="F46" s="198">
        <v>7.1</v>
      </c>
      <c r="G46" s="198">
        <v>11</v>
      </c>
      <c r="H46" s="198">
        <v>15.1</v>
      </c>
      <c r="I46" s="199">
        <v>7.6</v>
      </c>
      <c r="J46" s="74"/>
      <c r="M46" s="171"/>
      <c r="N46" s="293" t="s">
        <v>13</v>
      </c>
      <c r="O46" s="132"/>
      <c r="P46" s="38"/>
      <c r="Q46" s="38"/>
      <c r="R46" s="116"/>
      <c r="S46" s="38"/>
      <c r="T46" s="38"/>
      <c r="U46" s="183"/>
      <c r="V46" s="183"/>
      <c r="W46" s="155">
        <v>1000000</v>
      </c>
      <c r="X46" s="156"/>
      <c r="Y46" s="38"/>
      <c r="Z46" s="38"/>
    </row>
    <row r="47" spans="1:26" ht="18" customHeight="1">
      <c r="A47" s="326">
        <v>4</v>
      </c>
      <c r="B47" s="223" t="s">
        <v>2542</v>
      </c>
      <c r="C47" s="23"/>
      <c r="D47" s="197">
        <v>1.7</v>
      </c>
      <c r="E47" s="198">
        <v>4.5999999999999996</v>
      </c>
      <c r="F47" s="198">
        <v>10.1</v>
      </c>
      <c r="G47" s="198">
        <v>12.5</v>
      </c>
      <c r="H47" s="198">
        <v>15.8</v>
      </c>
      <c r="I47" s="199">
        <v>7.1</v>
      </c>
      <c r="J47" s="74"/>
      <c r="M47" s="171"/>
      <c r="N47" s="127" t="s">
        <v>47</v>
      </c>
      <c r="O47" s="123"/>
      <c r="P47" s="123"/>
      <c r="Q47" s="123"/>
      <c r="R47" s="123"/>
      <c r="S47" s="123"/>
      <c r="T47" s="123"/>
      <c r="U47" s="184"/>
      <c r="V47" s="184"/>
      <c r="W47" s="163">
        <f ca="1">SUBTOTAL(9,W48:W49)</f>
        <v>538719506</v>
      </c>
      <c r="X47" s="164"/>
      <c r="Y47" s="123"/>
      <c r="Z47" s="123"/>
    </row>
    <row r="48" spans="1:26" ht="18" customHeight="1">
      <c r="B48" s="222" t="s">
        <v>52</v>
      </c>
      <c r="C48" s="47"/>
      <c r="D48" s="48">
        <f t="shared" ref="D48:I48" si="9">SUBTOTAL(9,D49:D53)</f>
        <v>13.099999999999998</v>
      </c>
      <c r="E48" s="49">
        <f t="shared" si="9"/>
        <v>43.099999999999994</v>
      </c>
      <c r="F48" s="49">
        <f t="shared" si="9"/>
        <v>65.100000000000009</v>
      </c>
      <c r="G48" s="49">
        <f t="shared" si="9"/>
        <v>66.2</v>
      </c>
      <c r="H48" s="49">
        <f t="shared" si="9"/>
        <v>72.699999999999989</v>
      </c>
      <c r="I48" s="50">
        <f t="shared" si="9"/>
        <v>37.450000000000003</v>
      </c>
      <c r="J48" s="74"/>
      <c r="M48" s="171"/>
      <c r="N48" s="133" t="s">
        <v>861</v>
      </c>
      <c r="O48" s="124"/>
      <c r="P48" s="134"/>
      <c r="Q48" s="124"/>
      <c r="R48" s="131"/>
      <c r="S48" s="124"/>
      <c r="T48" s="181"/>
      <c r="U48" s="181"/>
      <c r="V48" s="190">
        <v>1.1499999999999999</v>
      </c>
      <c r="W48" s="159">
        <f ca="1">ROUNDDOWN(W15*V48,0)</f>
        <v>345140631</v>
      </c>
      <c r="X48" s="160"/>
      <c r="Y48" s="124"/>
      <c r="Z48" s="124"/>
    </row>
    <row r="49" spans="1:26" ht="18" customHeight="1" thickBot="1">
      <c r="A49" s="326">
        <v>5</v>
      </c>
      <c r="B49" s="223" t="s">
        <v>2543</v>
      </c>
      <c r="C49" s="23"/>
      <c r="D49" s="197">
        <f t="array" ref="D49:I53">ROUNDUP(D22:I26*L22:L26*$D$5,2)</f>
        <v>2.2999999999999998</v>
      </c>
      <c r="E49" s="198">
        <v>7.6</v>
      </c>
      <c r="F49" s="198">
        <v>11.4</v>
      </c>
      <c r="G49" s="198">
        <v>11.1</v>
      </c>
      <c r="H49" s="198">
        <v>13.1</v>
      </c>
      <c r="I49" s="199">
        <v>6.4</v>
      </c>
      <c r="J49" s="74"/>
      <c r="M49" s="171"/>
      <c r="N49" s="135" t="s">
        <v>862</v>
      </c>
      <c r="O49" s="136"/>
      <c r="P49" s="137"/>
      <c r="Q49" s="136"/>
      <c r="R49" s="138"/>
      <c r="S49" s="136"/>
      <c r="T49" s="185"/>
      <c r="U49" s="185"/>
      <c r="V49" s="191">
        <v>0.3</v>
      </c>
      <c r="W49" s="165">
        <f ca="1">ROUNDDOWN((W15+W48)*V49,0)</f>
        <v>193578875</v>
      </c>
      <c r="X49" s="166"/>
      <c r="Y49" s="136"/>
      <c r="Z49" s="136"/>
    </row>
    <row r="50" spans="1:26" ht="18" customHeight="1">
      <c r="A50" s="326">
        <v>6</v>
      </c>
      <c r="B50" s="223" t="s">
        <v>2544</v>
      </c>
      <c r="C50" s="23"/>
      <c r="D50" s="197">
        <v>2.2999999999999998</v>
      </c>
      <c r="E50" s="198">
        <v>7.4</v>
      </c>
      <c r="F50" s="198">
        <v>11.2</v>
      </c>
      <c r="G50" s="198">
        <v>11</v>
      </c>
      <c r="H50" s="198">
        <v>12.9</v>
      </c>
      <c r="I50" s="199">
        <v>6.3</v>
      </c>
      <c r="J50" s="74"/>
      <c r="M50" s="171"/>
    </row>
    <row r="51" spans="1:26" ht="18" customHeight="1">
      <c r="A51" s="326">
        <v>7</v>
      </c>
      <c r="B51" s="223" t="s">
        <v>2545</v>
      </c>
      <c r="C51" s="23"/>
      <c r="D51" s="197">
        <v>2.2999999999999998</v>
      </c>
      <c r="E51" s="198">
        <v>7.4</v>
      </c>
      <c r="F51" s="198">
        <v>13</v>
      </c>
      <c r="G51" s="198">
        <v>13.4</v>
      </c>
      <c r="H51" s="198">
        <v>15.9</v>
      </c>
      <c r="I51" s="199">
        <v>7.5</v>
      </c>
      <c r="J51" s="74"/>
      <c r="M51" s="171"/>
    </row>
    <row r="52" spans="1:26" ht="18" customHeight="1" thickBot="1">
      <c r="A52" s="326">
        <v>8</v>
      </c>
      <c r="B52" s="223" t="s">
        <v>2546</v>
      </c>
      <c r="C52" s="23"/>
      <c r="D52" s="197">
        <v>2.4</v>
      </c>
      <c r="E52" s="198">
        <v>9.1999999999999993</v>
      </c>
      <c r="F52" s="198">
        <v>13.8</v>
      </c>
      <c r="G52" s="198">
        <v>13.2</v>
      </c>
      <c r="H52" s="198">
        <v>13.4</v>
      </c>
      <c r="I52" s="199">
        <v>7.7</v>
      </c>
      <c r="J52" s="74"/>
      <c r="M52" s="171"/>
      <c r="N52" s="66" t="s">
        <v>18</v>
      </c>
      <c r="O52" s="2"/>
      <c r="P52" s="2"/>
      <c r="Q52" s="2"/>
      <c r="R52" s="3"/>
      <c r="S52" s="4"/>
      <c r="T52" s="3"/>
      <c r="U52" s="4"/>
      <c r="V52" s="3"/>
      <c r="W52" s="4"/>
      <c r="X52" s="3"/>
      <c r="Y52" s="4"/>
      <c r="Z52" s="2"/>
    </row>
    <row r="53" spans="1:26" ht="18" customHeight="1">
      <c r="A53" s="326">
        <v>9</v>
      </c>
      <c r="B53" s="223" t="s">
        <v>2547</v>
      </c>
      <c r="C53" s="23"/>
      <c r="D53" s="197">
        <v>3.8</v>
      </c>
      <c r="E53" s="198">
        <v>11.5</v>
      </c>
      <c r="F53" s="198">
        <v>15.7</v>
      </c>
      <c r="G53" s="198">
        <v>17.5</v>
      </c>
      <c r="H53" s="198">
        <v>17.399999999999999</v>
      </c>
      <c r="I53" s="199">
        <v>9.5500000000000007</v>
      </c>
      <c r="J53" s="74"/>
      <c r="M53" s="171"/>
      <c r="N53" s="765" t="s">
        <v>19</v>
      </c>
      <c r="O53" s="755" t="s">
        <v>20</v>
      </c>
      <c r="P53" s="755" t="s">
        <v>21</v>
      </c>
      <c r="Q53" s="755" t="s">
        <v>16</v>
      </c>
      <c r="R53" s="5" t="s">
        <v>22</v>
      </c>
      <c r="S53" s="5"/>
      <c r="T53" s="5" t="s">
        <v>23</v>
      </c>
      <c r="U53" s="5"/>
      <c r="V53" s="5" t="s">
        <v>24</v>
      </c>
      <c r="W53" s="5"/>
      <c r="X53" s="5" t="s">
        <v>25</v>
      </c>
      <c r="Y53" s="5"/>
      <c r="Z53" s="755" t="s">
        <v>26</v>
      </c>
    </row>
    <row r="54" spans="1:26" ht="18" customHeight="1" thickBot="1">
      <c r="B54" s="222" t="s">
        <v>880</v>
      </c>
      <c r="C54" s="47"/>
      <c r="D54" s="48">
        <f>SUBTOTAL(9,D55:D58)</f>
        <v>19.3</v>
      </c>
      <c r="E54" s="49">
        <f>SUBTOTAL(9,E57:E58)</f>
        <v>22.6</v>
      </c>
      <c r="F54" s="49">
        <f>SUBTOTAL(9,F57:F58)</f>
        <v>33.700000000000003</v>
      </c>
      <c r="G54" s="49">
        <f>SUBTOTAL(9,G57:G58)</f>
        <v>37.9</v>
      </c>
      <c r="H54" s="49">
        <f>SUBTOTAL(9,H57:H58)</f>
        <v>38.6</v>
      </c>
      <c r="I54" s="50">
        <f>SUBTOTAL(9,I57:I58)</f>
        <v>21.1</v>
      </c>
      <c r="J54" s="74"/>
      <c r="M54" s="171"/>
      <c r="N54" s="766"/>
      <c r="O54" s="756"/>
      <c r="P54" s="756"/>
      <c r="Q54" s="756"/>
      <c r="R54" s="67" t="s">
        <v>27</v>
      </c>
      <c r="S54" s="67" t="s">
        <v>28</v>
      </c>
      <c r="T54" s="67" t="s">
        <v>27</v>
      </c>
      <c r="U54" s="67" t="s">
        <v>28</v>
      </c>
      <c r="V54" s="67" t="s">
        <v>27</v>
      </c>
      <c r="W54" s="67" t="s">
        <v>28</v>
      </c>
      <c r="X54" s="67" t="s">
        <v>27</v>
      </c>
      <c r="Y54" s="67" t="s">
        <v>28</v>
      </c>
      <c r="Z54" s="756"/>
    </row>
    <row r="55" spans="1:26" ht="18" customHeight="1" thickTop="1">
      <c r="A55" s="326">
        <v>10</v>
      </c>
      <c r="B55" s="223" t="s">
        <v>2548</v>
      </c>
      <c r="C55" s="23"/>
      <c r="D55" s="197">
        <f t="array" ref="D55:I58">ROUNDUP(D28:I31*L28:L31*$D$5,2)</f>
        <v>4.4000000000000004</v>
      </c>
      <c r="E55" s="198">
        <v>12.2</v>
      </c>
      <c r="F55" s="198">
        <v>16.3</v>
      </c>
      <c r="G55" s="198">
        <v>19.100000000000001</v>
      </c>
      <c r="H55" s="198">
        <v>18.899999999999999</v>
      </c>
      <c r="I55" s="199">
        <v>10.199999999999999</v>
      </c>
      <c r="J55" s="74"/>
      <c r="M55" s="171"/>
      <c r="N55" s="318" t="str">
        <f ca="1">"제 " &amp; Z55 &amp; " 호표  "&amp; OFFSET($A$1,MATCH(Z55,$A:$A,0)-1,1)</f>
        <v>제 1 호표  1.1. 자연환경 조사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v>1</v>
      </c>
    </row>
    <row r="56" spans="1:26" ht="18" customHeight="1">
      <c r="A56" s="326">
        <v>11</v>
      </c>
      <c r="B56" s="223" t="s">
        <v>2549</v>
      </c>
      <c r="C56" s="23"/>
      <c r="D56" s="197">
        <v>5.4</v>
      </c>
      <c r="E56" s="198">
        <v>11.1</v>
      </c>
      <c r="F56" s="198">
        <v>19.600000000000001</v>
      </c>
      <c r="G56" s="198">
        <v>20</v>
      </c>
      <c r="H56" s="198">
        <v>19.899999999999999</v>
      </c>
      <c r="I56" s="199">
        <v>11.5</v>
      </c>
      <c r="J56" s="74"/>
      <c r="M56" s="171"/>
      <c r="N56" s="140" t="s">
        <v>43</v>
      </c>
      <c r="O56" s="172">
        <v>3</v>
      </c>
      <c r="P56" s="219">
        <f ca="1">OFFSET($A$1,MATCH(Z55,$A:$A,0)-1,O56)</f>
        <v>1.7</v>
      </c>
      <c r="Q56" s="141" t="s">
        <v>29</v>
      </c>
      <c r="R56" s="142">
        <f t="shared" ref="R56:S61" ca="1" si="10">T56</f>
        <v>467217</v>
      </c>
      <c r="S56" s="142">
        <f t="shared" ca="1" si="10"/>
        <v>794268</v>
      </c>
      <c r="T56" s="142">
        <f ca="1">기술사</f>
        <v>467217</v>
      </c>
      <c r="U56" s="142">
        <f t="shared" ref="U56:U61" ca="1" si="11">ROUNDDOWN(P56*R56,0)</f>
        <v>794268</v>
      </c>
      <c r="V56" s="142"/>
      <c r="W56" s="142"/>
      <c r="X56" s="142"/>
      <c r="Y56" s="142"/>
      <c r="Z56" s="114"/>
    </row>
    <row r="57" spans="1:26" ht="18" customHeight="1">
      <c r="A57" s="326">
        <v>12</v>
      </c>
      <c r="B57" s="223" t="s">
        <v>2550</v>
      </c>
      <c r="C57" s="23"/>
      <c r="D57" s="197">
        <v>5</v>
      </c>
      <c r="E57" s="198">
        <v>10.4</v>
      </c>
      <c r="F57" s="198">
        <v>18.3</v>
      </c>
      <c r="G57" s="198">
        <v>18.7</v>
      </c>
      <c r="H57" s="198">
        <v>18.600000000000001</v>
      </c>
      <c r="I57" s="199">
        <v>10.8</v>
      </c>
      <c r="J57" s="74"/>
      <c r="M57" s="171"/>
      <c r="N57" s="143" t="s">
        <v>32</v>
      </c>
      <c r="O57" s="173">
        <v>4</v>
      </c>
      <c r="P57" s="234">
        <f ca="1">OFFSET($A$1,MATCH(Z55,$A:$A,0)-1,O57)</f>
        <v>4</v>
      </c>
      <c r="Q57" s="144" t="s">
        <v>29</v>
      </c>
      <c r="R57" s="118">
        <f t="shared" ca="1" si="10"/>
        <v>373353</v>
      </c>
      <c r="S57" s="118">
        <f t="shared" ca="1" si="10"/>
        <v>1493412</v>
      </c>
      <c r="T57" s="118">
        <f ca="1">특급</f>
        <v>373353</v>
      </c>
      <c r="U57" s="118">
        <f t="shared" ca="1" si="11"/>
        <v>1493412</v>
      </c>
      <c r="V57" s="118"/>
      <c r="W57" s="118"/>
      <c r="X57" s="118"/>
      <c r="Y57" s="118"/>
      <c r="Z57" s="115"/>
    </row>
    <row r="58" spans="1:26" ht="18" customHeight="1">
      <c r="A58" s="326">
        <v>13</v>
      </c>
      <c r="B58" s="223" t="s">
        <v>2551</v>
      </c>
      <c r="C58" s="23"/>
      <c r="D58" s="197">
        <v>4.5</v>
      </c>
      <c r="E58" s="198">
        <v>12.2</v>
      </c>
      <c r="F58" s="198">
        <v>15.4</v>
      </c>
      <c r="G58" s="198">
        <v>19.2</v>
      </c>
      <c r="H58" s="198">
        <v>20</v>
      </c>
      <c r="I58" s="199">
        <v>10.3</v>
      </c>
      <c r="J58" s="74"/>
      <c r="M58" s="171"/>
      <c r="N58" s="145" t="s">
        <v>39</v>
      </c>
      <c r="O58" s="173">
        <v>5</v>
      </c>
      <c r="P58" s="234">
        <f ca="1">OFFSET($A$1,MATCH(Z55,$A:$A,0)-1,O58)</f>
        <v>8.1</v>
      </c>
      <c r="Q58" s="144" t="s">
        <v>29</v>
      </c>
      <c r="R58" s="118">
        <f t="shared" ca="1" si="10"/>
        <v>310884</v>
      </c>
      <c r="S58" s="118">
        <f t="shared" ca="1" si="10"/>
        <v>2518160</v>
      </c>
      <c r="T58" s="118">
        <f ca="1">고급</f>
        <v>310884</v>
      </c>
      <c r="U58" s="118">
        <f t="shared" ca="1" si="11"/>
        <v>2518160</v>
      </c>
      <c r="V58" s="118"/>
      <c r="W58" s="118"/>
      <c r="X58" s="118"/>
      <c r="Y58" s="118"/>
      <c r="Z58" s="115"/>
    </row>
    <row r="59" spans="1:26" ht="18" customHeight="1">
      <c r="B59" s="222" t="s">
        <v>2504</v>
      </c>
      <c r="C59" s="47"/>
      <c r="D59" s="48">
        <f t="shared" ref="D59:I59" si="12">SUBTOTAL(9,D60:D61)</f>
        <v>3.9</v>
      </c>
      <c r="E59" s="49">
        <f t="shared" si="12"/>
        <v>14.9</v>
      </c>
      <c r="F59" s="49">
        <f t="shared" si="12"/>
        <v>21.4</v>
      </c>
      <c r="G59" s="49">
        <f t="shared" si="12"/>
        <v>25.700000000000003</v>
      </c>
      <c r="H59" s="49">
        <f t="shared" si="12"/>
        <v>24.700000000000003</v>
      </c>
      <c r="I59" s="50">
        <f t="shared" si="12"/>
        <v>14.3</v>
      </c>
      <c r="J59" s="74"/>
      <c r="M59" s="171"/>
      <c r="N59" s="145" t="s">
        <v>40</v>
      </c>
      <c r="O59" s="173">
        <v>6</v>
      </c>
      <c r="P59" s="234">
        <f ca="1">OFFSET($A$1,MATCH(Z55,$A:$A,0)-1,O59)</f>
        <v>11</v>
      </c>
      <c r="Q59" s="144" t="s">
        <v>29</v>
      </c>
      <c r="R59" s="118">
        <f t="shared" ca="1" si="10"/>
        <v>295138</v>
      </c>
      <c r="S59" s="118">
        <f t="shared" ca="1" si="10"/>
        <v>3246518</v>
      </c>
      <c r="T59" s="118">
        <f ca="1">중급</f>
        <v>295138</v>
      </c>
      <c r="U59" s="118">
        <f t="shared" ca="1" si="11"/>
        <v>3246518</v>
      </c>
      <c r="V59" s="118"/>
      <c r="W59" s="118"/>
      <c r="X59" s="118"/>
      <c r="Y59" s="118"/>
      <c r="Z59" s="115"/>
    </row>
    <row r="60" spans="1:26" ht="18" customHeight="1">
      <c r="A60" s="326">
        <v>14</v>
      </c>
      <c r="B60" s="223" t="s">
        <v>2505</v>
      </c>
      <c r="C60" s="23"/>
      <c r="D60" s="197">
        <f t="array" ref="D60:I61">ROUNDUP(D33:I34*L33:L34*$D$5,2)</f>
        <v>1.9</v>
      </c>
      <c r="E60" s="198">
        <v>7.2</v>
      </c>
      <c r="F60" s="198">
        <v>10.3</v>
      </c>
      <c r="G60" s="198">
        <v>12.4</v>
      </c>
      <c r="H60" s="198">
        <v>11.9</v>
      </c>
      <c r="I60" s="199">
        <v>6.9</v>
      </c>
      <c r="J60" s="74"/>
      <c r="M60" s="171"/>
      <c r="N60" s="145" t="s">
        <v>41</v>
      </c>
      <c r="O60" s="173">
        <v>7</v>
      </c>
      <c r="P60" s="234">
        <f ca="1">OFFSET($A$1,MATCH(Z55,$A:$A,0)-1,O60)</f>
        <v>15.6</v>
      </c>
      <c r="Q60" s="144" t="s">
        <v>29</v>
      </c>
      <c r="R60" s="118">
        <f t="shared" ca="1" si="10"/>
        <v>235459</v>
      </c>
      <c r="S60" s="118">
        <f t="shared" ca="1" si="10"/>
        <v>3673160</v>
      </c>
      <c r="T60" s="118">
        <f ca="1">초급</f>
        <v>235459</v>
      </c>
      <c r="U60" s="118">
        <f t="shared" ca="1" si="11"/>
        <v>3673160</v>
      </c>
      <c r="V60" s="118"/>
      <c r="W60" s="118"/>
      <c r="X60" s="118"/>
      <c r="Y60" s="118"/>
      <c r="Z60" s="115"/>
    </row>
    <row r="61" spans="1:26" ht="18" customHeight="1">
      <c r="A61" s="326">
        <v>15</v>
      </c>
      <c r="B61" s="223" t="s">
        <v>2506</v>
      </c>
      <c r="C61" s="23"/>
      <c r="D61" s="197">
        <v>2</v>
      </c>
      <c r="E61" s="198">
        <v>7.7</v>
      </c>
      <c r="F61" s="198">
        <v>11.1</v>
      </c>
      <c r="G61" s="198">
        <v>13.3</v>
      </c>
      <c r="H61" s="198">
        <v>12.8</v>
      </c>
      <c r="I61" s="199">
        <v>7.4</v>
      </c>
      <c r="J61" s="74"/>
      <c r="M61" s="171"/>
      <c r="N61" s="319" t="s">
        <v>42</v>
      </c>
      <c r="O61" s="174">
        <v>8</v>
      </c>
      <c r="P61" s="235">
        <f ca="1">OFFSET($A$1,MATCH(Z55,$A:$A,0)-1,O61)</f>
        <v>6.9</v>
      </c>
      <c r="Q61" s="322" t="s">
        <v>29</v>
      </c>
      <c r="R61" s="323">
        <f t="shared" ca="1" si="10"/>
        <v>250087</v>
      </c>
      <c r="S61" s="323">
        <f t="shared" ca="1" si="10"/>
        <v>1725600</v>
      </c>
      <c r="T61" s="323">
        <f ca="1">보조원</f>
        <v>250087</v>
      </c>
      <c r="U61" s="323">
        <f t="shared" ca="1" si="11"/>
        <v>1725600</v>
      </c>
      <c r="V61" s="323"/>
      <c r="W61" s="323"/>
      <c r="X61" s="323"/>
      <c r="Y61" s="323"/>
      <c r="Z61" s="324"/>
    </row>
    <row r="62" spans="1:26" ht="18" customHeight="1">
      <c r="B62" s="222" t="s">
        <v>424</v>
      </c>
      <c r="C62" s="47"/>
      <c r="D62" s="48">
        <f t="shared" ref="D62:I62" si="13">SUBTOTAL(9,D63:D64)</f>
        <v>2.0999999999999996</v>
      </c>
      <c r="E62" s="49">
        <f t="shared" si="13"/>
        <v>7.4</v>
      </c>
      <c r="F62" s="49">
        <f t="shared" si="13"/>
        <v>14.8</v>
      </c>
      <c r="G62" s="49">
        <f t="shared" si="13"/>
        <v>17.700000000000003</v>
      </c>
      <c r="H62" s="49">
        <f t="shared" si="13"/>
        <v>19.799999999999997</v>
      </c>
      <c r="I62" s="50">
        <f t="shared" si="13"/>
        <v>8.9</v>
      </c>
      <c r="J62" s="74"/>
      <c r="M62" s="171"/>
      <c r="N62" s="139" t="s">
        <v>17</v>
      </c>
      <c r="O62" s="68"/>
      <c r="P62" s="69"/>
      <c r="Q62" s="70"/>
      <c r="R62" s="71"/>
      <c r="S62" s="71">
        <f ca="1">SUBTOTAL(9,S56:S61)</f>
        <v>13451118</v>
      </c>
      <c r="T62" s="71"/>
      <c r="U62" s="71">
        <f ca="1">SUBTOTAL(9,U56:U61)</f>
        <v>13451118</v>
      </c>
      <c r="V62" s="71"/>
      <c r="W62" s="71"/>
      <c r="X62" s="71"/>
      <c r="Y62" s="71"/>
      <c r="Z62" s="68"/>
    </row>
    <row r="63" spans="1:26" ht="18" customHeight="1">
      <c r="A63" s="326">
        <v>16</v>
      </c>
      <c r="B63" s="223" t="s">
        <v>2507</v>
      </c>
      <c r="C63" s="23"/>
      <c r="D63" s="197">
        <f t="array" ref="D63:I64">ROUNDUP(D36:I37*L36:L37*$D$5,3)</f>
        <v>0.7</v>
      </c>
      <c r="E63" s="198">
        <v>2.5</v>
      </c>
      <c r="F63" s="198">
        <v>4.9000000000000004</v>
      </c>
      <c r="G63" s="198">
        <v>5.9</v>
      </c>
      <c r="H63" s="198">
        <v>6.6</v>
      </c>
      <c r="I63" s="199">
        <v>3</v>
      </c>
      <c r="J63" s="74"/>
      <c r="M63" s="171"/>
      <c r="N63" s="318" t="str">
        <f ca="1">"제 " &amp; Z63 &amp; " 호표  "&amp; OFFSET($A$1,MATCH(Z63,$A:$A,0)-1,1)</f>
        <v>제 2 호표  1.2. 인문/사회현황조사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2</v>
      </c>
    </row>
    <row r="64" spans="1:26" ht="18" customHeight="1">
      <c r="A64" s="326">
        <v>17</v>
      </c>
      <c r="B64" s="259" t="s">
        <v>2508</v>
      </c>
      <c r="C64" s="43"/>
      <c r="D64" s="206">
        <v>1.4</v>
      </c>
      <c r="E64" s="207">
        <v>4.9000000000000004</v>
      </c>
      <c r="F64" s="207">
        <v>9.9</v>
      </c>
      <c r="G64" s="207">
        <v>11.8</v>
      </c>
      <c r="H64" s="207">
        <v>13.2</v>
      </c>
      <c r="I64" s="208">
        <v>5.9</v>
      </c>
      <c r="J64" s="239"/>
      <c r="K64" s="171" t="s">
        <v>14</v>
      </c>
      <c r="L64" s="171"/>
      <c r="M64" s="171"/>
      <c r="N64" s="140" t="s">
        <v>43</v>
      </c>
      <c r="O64" s="172">
        <v>3</v>
      </c>
      <c r="P64" s="219">
        <f ca="1">OFFSET($A$1,MATCH(Z63,$A:$A,0)-1,O64)</f>
        <v>0.8</v>
      </c>
      <c r="Q64" s="141" t="s">
        <v>29</v>
      </c>
      <c r="R64" s="142">
        <f t="shared" ref="R64:S69" ca="1" si="14">T64</f>
        <v>467217</v>
      </c>
      <c r="S64" s="142">
        <f t="shared" ca="1" si="14"/>
        <v>373773</v>
      </c>
      <c r="T64" s="142">
        <f ca="1">기술사</f>
        <v>467217</v>
      </c>
      <c r="U64" s="142">
        <f t="shared" ref="U64:U69" ca="1" si="15">ROUNDDOWN(P64*R64,0)</f>
        <v>373773</v>
      </c>
      <c r="V64" s="142"/>
      <c r="W64" s="142"/>
      <c r="X64" s="142"/>
      <c r="Y64" s="142"/>
      <c r="Z64" s="114"/>
    </row>
    <row r="65" spans="1:26" ht="18" customHeight="1">
      <c r="B65" s="222" t="s">
        <v>426</v>
      </c>
      <c r="C65" s="47"/>
      <c r="D65" s="48">
        <f t="shared" ref="D65:I65" si="16">SUBTOTAL(9,D66:D68)</f>
        <v>1.8</v>
      </c>
      <c r="E65" s="49">
        <f t="shared" si="16"/>
        <v>4.7</v>
      </c>
      <c r="F65" s="49">
        <f t="shared" si="16"/>
        <v>6.5</v>
      </c>
      <c r="G65" s="49">
        <f t="shared" si="16"/>
        <v>7.5</v>
      </c>
      <c r="H65" s="49">
        <f t="shared" si="16"/>
        <v>7.1999999999999993</v>
      </c>
      <c r="I65" s="50">
        <f t="shared" si="16"/>
        <v>4.8</v>
      </c>
      <c r="J65" s="620"/>
      <c r="K65" s="171" t="s">
        <v>14</v>
      </c>
      <c r="L65" s="171"/>
      <c r="M65" s="171"/>
      <c r="N65" s="143" t="s">
        <v>32</v>
      </c>
      <c r="O65" s="173">
        <v>4</v>
      </c>
      <c r="P65" s="234">
        <f ca="1">OFFSET($A$1,MATCH(Z63,$A:$A,0)-1,O65)</f>
        <v>2.9</v>
      </c>
      <c r="Q65" s="144" t="s">
        <v>29</v>
      </c>
      <c r="R65" s="118">
        <f t="shared" ca="1" si="14"/>
        <v>373353</v>
      </c>
      <c r="S65" s="118">
        <f t="shared" ca="1" si="14"/>
        <v>1082723</v>
      </c>
      <c r="T65" s="118">
        <f ca="1">특급</f>
        <v>373353</v>
      </c>
      <c r="U65" s="118">
        <f t="shared" ca="1" si="15"/>
        <v>1082723</v>
      </c>
      <c r="V65" s="118"/>
      <c r="W65" s="118"/>
      <c r="X65" s="118"/>
      <c r="Y65" s="118"/>
      <c r="Z65" s="115"/>
    </row>
    <row r="66" spans="1:26" ht="18" customHeight="1">
      <c r="A66" s="326">
        <v>18</v>
      </c>
      <c r="B66" s="223" t="s">
        <v>2509</v>
      </c>
      <c r="C66" s="23"/>
      <c r="D66" s="197">
        <f t="array" ref="D66:I66">ROUNDUP(D39:I39*L39,3)</f>
        <v>0.5</v>
      </c>
      <c r="E66" s="198">
        <v>1.4</v>
      </c>
      <c r="F66" s="198">
        <v>2.1</v>
      </c>
      <c r="G66" s="198">
        <v>2.4</v>
      </c>
      <c r="H66" s="198">
        <v>2.4</v>
      </c>
      <c r="I66" s="199">
        <v>1.4</v>
      </c>
      <c r="J66" s="389"/>
      <c r="K66" s="171" t="s">
        <v>14</v>
      </c>
      <c r="L66" s="171"/>
      <c r="M66" s="171"/>
      <c r="N66" s="145" t="s">
        <v>39</v>
      </c>
      <c r="O66" s="173">
        <v>5</v>
      </c>
      <c r="P66" s="234">
        <f ca="1">OFFSET($A$1,MATCH(Z63,$A:$A,0)-1,O66)</f>
        <v>6</v>
      </c>
      <c r="Q66" s="144" t="s">
        <v>29</v>
      </c>
      <c r="R66" s="118">
        <f t="shared" ca="1" si="14"/>
        <v>310884</v>
      </c>
      <c r="S66" s="118">
        <f t="shared" ca="1" si="14"/>
        <v>1865304</v>
      </c>
      <c r="T66" s="118">
        <f ca="1">고급</f>
        <v>310884</v>
      </c>
      <c r="U66" s="118">
        <f t="shared" ca="1" si="15"/>
        <v>1865304</v>
      </c>
      <c r="V66" s="118"/>
      <c r="W66" s="118"/>
      <c r="X66" s="118"/>
      <c r="Y66" s="118"/>
      <c r="Z66" s="115"/>
    </row>
    <row r="67" spans="1:26" ht="18" customHeight="1">
      <c r="A67" s="326">
        <v>19</v>
      </c>
      <c r="B67" s="223" t="s">
        <v>2510</v>
      </c>
      <c r="C67" s="23"/>
      <c r="D67" s="197">
        <f t="array" ref="D67:I67">ROUNDUP(D40:I40*L40*$I$5,3)</f>
        <v>0.6</v>
      </c>
      <c r="E67" s="198">
        <v>1.6</v>
      </c>
      <c r="F67" s="198">
        <v>2.1</v>
      </c>
      <c r="G67" s="198">
        <v>2.4</v>
      </c>
      <c r="H67" s="198">
        <v>2.2999999999999998</v>
      </c>
      <c r="I67" s="199">
        <v>1.6</v>
      </c>
      <c r="J67" s="389"/>
      <c r="K67" s="171" t="s">
        <v>14</v>
      </c>
      <c r="L67" s="171"/>
      <c r="M67" s="171"/>
      <c r="N67" s="145" t="s">
        <v>40</v>
      </c>
      <c r="O67" s="173">
        <v>6</v>
      </c>
      <c r="P67" s="234">
        <f ca="1">OFFSET($A$1,MATCH(Z63,$A:$A,0)-1,O67)</f>
        <v>8.9</v>
      </c>
      <c r="Q67" s="144" t="s">
        <v>29</v>
      </c>
      <c r="R67" s="118">
        <f t="shared" ca="1" si="14"/>
        <v>295138</v>
      </c>
      <c r="S67" s="118">
        <f t="shared" ca="1" si="14"/>
        <v>2626728</v>
      </c>
      <c r="T67" s="118">
        <f ca="1">중급</f>
        <v>295138</v>
      </c>
      <c r="U67" s="118">
        <f t="shared" ca="1" si="15"/>
        <v>2626728</v>
      </c>
      <c r="V67" s="118"/>
      <c r="W67" s="118"/>
      <c r="X67" s="118"/>
      <c r="Y67" s="118"/>
      <c r="Z67" s="115"/>
    </row>
    <row r="68" spans="1:26" ht="18" customHeight="1" thickBot="1">
      <c r="A68" s="326">
        <v>20</v>
      </c>
      <c r="B68" s="388" t="s">
        <v>2511</v>
      </c>
      <c r="C68" s="342"/>
      <c r="D68" s="343">
        <f t="array" ref="D68:I68">ROUNDUP(D41:I41*L41,3)</f>
        <v>0.7</v>
      </c>
      <c r="E68" s="344">
        <v>1.7</v>
      </c>
      <c r="F68" s="344">
        <v>2.2999999999999998</v>
      </c>
      <c r="G68" s="344">
        <v>2.7</v>
      </c>
      <c r="H68" s="344">
        <v>2.5</v>
      </c>
      <c r="I68" s="345">
        <v>1.8</v>
      </c>
      <c r="J68" s="612"/>
      <c r="K68" s="171" t="s">
        <v>14</v>
      </c>
      <c r="L68" s="171"/>
      <c r="M68" s="171"/>
      <c r="N68" s="145" t="s">
        <v>41</v>
      </c>
      <c r="O68" s="173">
        <v>7</v>
      </c>
      <c r="P68" s="234">
        <f ca="1">OFFSET($A$1,MATCH(Z63,$A:$A,0)-1,O68)</f>
        <v>12.2</v>
      </c>
      <c r="Q68" s="144" t="s">
        <v>29</v>
      </c>
      <c r="R68" s="118">
        <f t="shared" ca="1" si="14"/>
        <v>235459</v>
      </c>
      <c r="S68" s="118">
        <f t="shared" ca="1" si="14"/>
        <v>2872599</v>
      </c>
      <c r="T68" s="118">
        <f ca="1">초급</f>
        <v>235459</v>
      </c>
      <c r="U68" s="118">
        <f t="shared" ca="1" si="15"/>
        <v>2872599</v>
      </c>
      <c r="V68" s="118"/>
      <c r="W68" s="118"/>
      <c r="X68" s="118"/>
      <c r="Y68" s="118"/>
      <c r="Z68" s="115"/>
    </row>
    <row r="69" spans="1:26" ht="18" customHeight="1">
      <c r="B69" s="80" t="s">
        <v>15</v>
      </c>
      <c r="C69" s="9" t="s">
        <v>2515</v>
      </c>
      <c r="K69" s="171" t="s">
        <v>14</v>
      </c>
      <c r="L69" s="171"/>
      <c r="M69" s="171"/>
      <c r="N69" s="319" t="s">
        <v>42</v>
      </c>
      <c r="O69" s="174">
        <v>8</v>
      </c>
      <c r="P69" s="235">
        <f ca="1">OFFSET($A$1,MATCH(Z63,$A:$A,0)-1,O69)</f>
        <v>5.6</v>
      </c>
      <c r="Q69" s="322" t="s">
        <v>29</v>
      </c>
      <c r="R69" s="323">
        <f t="shared" ca="1" si="14"/>
        <v>250087</v>
      </c>
      <c r="S69" s="323">
        <f t="shared" ca="1" si="14"/>
        <v>1400487</v>
      </c>
      <c r="T69" s="323">
        <f ca="1">보조원</f>
        <v>250087</v>
      </c>
      <c r="U69" s="323">
        <f t="shared" ca="1" si="15"/>
        <v>1400487</v>
      </c>
      <c r="V69" s="323"/>
      <c r="W69" s="323"/>
      <c r="X69" s="323"/>
      <c r="Y69" s="323"/>
      <c r="Z69" s="324"/>
    </row>
    <row r="70" spans="1:26" ht="18" customHeight="1">
      <c r="C70" s="1" t="s">
        <v>2516</v>
      </c>
      <c r="K70" s="171" t="s">
        <v>14</v>
      </c>
      <c r="L70" s="171"/>
      <c r="M70" s="171"/>
      <c r="N70" s="139" t="s">
        <v>17</v>
      </c>
      <c r="O70" s="68"/>
      <c r="P70" s="69"/>
      <c r="Q70" s="70"/>
      <c r="R70" s="71"/>
      <c r="S70" s="71">
        <f ca="1">SUBTOTAL(9,S64:S69)</f>
        <v>10221614</v>
      </c>
      <c r="T70" s="71"/>
      <c r="U70" s="71">
        <f ca="1">SUBTOTAL(9,U64:U69)</f>
        <v>10221614</v>
      </c>
      <c r="V70" s="71"/>
      <c r="W70" s="71"/>
      <c r="X70" s="71"/>
      <c r="Y70" s="71"/>
      <c r="Z70" s="68"/>
    </row>
    <row r="71" spans="1:26" ht="18" customHeight="1">
      <c r="C71" s="9" t="s">
        <v>2534</v>
      </c>
      <c r="K71" s="171" t="s">
        <v>14</v>
      </c>
      <c r="L71" s="171"/>
      <c r="M71" s="171"/>
      <c r="N71" s="318" t="str">
        <f ca="1">"제 " &amp; Z71 &amp; " 호표  "&amp; OFFSET($A$1,MATCH(Z71,$A:$A,0)-1,1)</f>
        <v>제 3 호표  1.3. 조사결과의 도면화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3</v>
      </c>
    </row>
    <row r="72" spans="1:26" ht="18" customHeight="1">
      <c r="C72" s="9"/>
      <c r="K72" s="171" t="s">
        <v>14</v>
      </c>
      <c r="L72" s="171"/>
      <c r="M72" s="171"/>
      <c r="N72" s="140" t="s">
        <v>43</v>
      </c>
      <c r="O72" s="172">
        <v>3</v>
      </c>
      <c r="P72" s="219">
        <f ca="1">OFFSET($A$1,MATCH(Z71,$A:$A,0)-1,O72)</f>
        <v>1</v>
      </c>
      <c r="Q72" s="141" t="s">
        <v>29</v>
      </c>
      <c r="R72" s="142">
        <f t="shared" ref="R72:S77" ca="1" si="17">T72</f>
        <v>467217</v>
      </c>
      <c r="S72" s="142">
        <f t="shared" ca="1" si="17"/>
        <v>467217</v>
      </c>
      <c r="T72" s="142">
        <f ca="1">기술사</f>
        <v>467217</v>
      </c>
      <c r="U72" s="142">
        <f t="shared" ref="U72:U77" ca="1" si="18">ROUNDDOWN(P72*R72,0)</f>
        <v>467217</v>
      </c>
      <c r="V72" s="142"/>
      <c r="W72" s="142"/>
      <c r="X72" s="142"/>
      <c r="Y72" s="142"/>
      <c r="Z72" s="114"/>
    </row>
    <row r="73" spans="1:26" ht="18" customHeight="1">
      <c r="C73" s="9"/>
      <c r="K73" s="171" t="s">
        <v>14</v>
      </c>
      <c r="L73" s="171"/>
      <c r="M73" s="171"/>
      <c r="N73" s="143" t="s">
        <v>32</v>
      </c>
      <c r="O73" s="173">
        <v>4</v>
      </c>
      <c r="P73" s="234">
        <f ca="1">OFFSET($A$1,MATCH(Z71,$A:$A,0)-1,O73)</f>
        <v>3</v>
      </c>
      <c r="Q73" s="144" t="s">
        <v>29</v>
      </c>
      <c r="R73" s="118">
        <f t="shared" ca="1" si="17"/>
        <v>373353</v>
      </c>
      <c r="S73" s="118">
        <f t="shared" ca="1" si="17"/>
        <v>1120059</v>
      </c>
      <c r="T73" s="118">
        <f ca="1">특급</f>
        <v>373353</v>
      </c>
      <c r="U73" s="118">
        <f t="shared" ca="1" si="18"/>
        <v>1120059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145" t="s">
        <v>39</v>
      </c>
      <c r="O74" s="173">
        <v>5</v>
      </c>
      <c r="P74" s="234">
        <f ca="1">OFFSET($A$1,MATCH(Z71,$A:$A,0)-1,O74)</f>
        <v>7.1</v>
      </c>
      <c r="Q74" s="144" t="s">
        <v>29</v>
      </c>
      <c r="R74" s="118">
        <f t="shared" ca="1" si="17"/>
        <v>310884</v>
      </c>
      <c r="S74" s="118">
        <f t="shared" ca="1" si="17"/>
        <v>2207276</v>
      </c>
      <c r="T74" s="118">
        <f ca="1">고급</f>
        <v>310884</v>
      </c>
      <c r="U74" s="118">
        <f t="shared" ca="1" si="18"/>
        <v>2207276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M75" s="171"/>
      <c r="N75" s="145" t="s">
        <v>40</v>
      </c>
      <c r="O75" s="173">
        <v>6</v>
      </c>
      <c r="P75" s="234">
        <f ca="1">OFFSET($A$1,MATCH(Z71,$A:$A,0)-1,O75)</f>
        <v>11</v>
      </c>
      <c r="Q75" s="144" t="s">
        <v>29</v>
      </c>
      <c r="R75" s="118">
        <f t="shared" ca="1" si="17"/>
        <v>295138</v>
      </c>
      <c r="S75" s="118">
        <f t="shared" ca="1" si="17"/>
        <v>3246518</v>
      </c>
      <c r="T75" s="118">
        <f ca="1">중급</f>
        <v>295138</v>
      </c>
      <c r="U75" s="118">
        <f t="shared" ca="1" si="18"/>
        <v>3246518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M76" s="171"/>
      <c r="N76" s="145" t="s">
        <v>41</v>
      </c>
      <c r="O76" s="173">
        <v>7</v>
      </c>
      <c r="P76" s="234">
        <f ca="1">OFFSET($A$1,MATCH(Z71,$A:$A,0)-1,O76)</f>
        <v>15.1</v>
      </c>
      <c r="Q76" s="144" t="s">
        <v>29</v>
      </c>
      <c r="R76" s="118">
        <f t="shared" ca="1" si="17"/>
        <v>235459</v>
      </c>
      <c r="S76" s="118">
        <f t="shared" ca="1" si="17"/>
        <v>3555430</v>
      </c>
      <c r="T76" s="118">
        <f ca="1">초급</f>
        <v>235459</v>
      </c>
      <c r="U76" s="118">
        <f t="shared" ca="1" si="18"/>
        <v>3555430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M77" s="171"/>
      <c r="N77" s="319" t="s">
        <v>42</v>
      </c>
      <c r="O77" s="174">
        <v>8</v>
      </c>
      <c r="P77" s="235">
        <f ca="1">OFFSET($A$1,MATCH(Z71,$A:$A,0)-1,O77)</f>
        <v>7.6</v>
      </c>
      <c r="Q77" s="322" t="s">
        <v>29</v>
      </c>
      <c r="R77" s="323">
        <f t="shared" ca="1" si="17"/>
        <v>250087</v>
      </c>
      <c r="S77" s="323">
        <f t="shared" ca="1" si="17"/>
        <v>1900661</v>
      </c>
      <c r="T77" s="323">
        <f ca="1">보조원</f>
        <v>250087</v>
      </c>
      <c r="U77" s="323">
        <f t="shared" ca="1" si="18"/>
        <v>1900661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M78" s="171"/>
      <c r="N78" s="139" t="s">
        <v>17</v>
      </c>
      <c r="O78" s="68"/>
      <c r="P78" s="69"/>
      <c r="Q78" s="70"/>
      <c r="R78" s="71"/>
      <c r="S78" s="71">
        <f ca="1">SUBTOTAL(9,S72:S77)</f>
        <v>12497161</v>
      </c>
      <c r="T78" s="71"/>
      <c r="U78" s="71">
        <f ca="1">SUBTOTAL(9,U72:U77)</f>
        <v>12497161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M79" s="171"/>
      <c r="N79" s="318" t="str">
        <f ca="1">"제 " &amp; Z79 &amp; " 호표  "&amp; OFFSET($A$1,MATCH(Z79,$A:$A,0)-1,1)</f>
        <v>제 4 호표  1.4. 분석/평가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4</v>
      </c>
    </row>
    <row r="80" spans="1:26" ht="18" customHeight="1">
      <c r="K80" s="171" t="s">
        <v>14</v>
      </c>
      <c r="L80" s="171"/>
      <c r="M80" s="171"/>
      <c r="N80" s="140" t="s">
        <v>43</v>
      </c>
      <c r="O80" s="172">
        <v>3</v>
      </c>
      <c r="P80" s="219">
        <f ca="1">OFFSET($A$1,MATCH(Z79,$A:$A,0)-1,O80)</f>
        <v>1.7</v>
      </c>
      <c r="Q80" s="141" t="s">
        <v>29</v>
      </c>
      <c r="R80" s="142">
        <f t="shared" ref="R80:S85" ca="1" si="19">T80</f>
        <v>467217</v>
      </c>
      <c r="S80" s="142">
        <f t="shared" ca="1" si="19"/>
        <v>794268</v>
      </c>
      <c r="T80" s="142">
        <f ca="1">기술사</f>
        <v>467217</v>
      </c>
      <c r="U80" s="142">
        <f t="shared" ref="U80:U85" ca="1" si="20">ROUNDDOWN(P80*R80,0)</f>
        <v>794268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M81" s="171"/>
      <c r="N81" s="143" t="s">
        <v>32</v>
      </c>
      <c r="O81" s="173">
        <v>4</v>
      </c>
      <c r="P81" s="234">
        <f ca="1">OFFSET($A$1,MATCH(Z79,$A:$A,0)-1,O81)</f>
        <v>4.5999999999999996</v>
      </c>
      <c r="Q81" s="144" t="s">
        <v>29</v>
      </c>
      <c r="R81" s="118">
        <f t="shared" ca="1" si="19"/>
        <v>373353</v>
      </c>
      <c r="S81" s="118">
        <f t="shared" ca="1" si="19"/>
        <v>1717423</v>
      </c>
      <c r="T81" s="118">
        <f ca="1">특급</f>
        <v>373353</v>
      </c>
      <c r="U81" s="118">
        <f t="shared" ca="1" si="20"/>
        <v>1717423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39</v>
      </c>
      <c r="O82" s="173">
        <v>5</v>
      </c>
      <c r="P82" s="234">
        <f ca="1">OFFSET($A$1,MATCH(Z79,$A:$A,0)-1,O82)</f>
        <v>10.1</v>
      </c>
      <c r="Q82" s="144" t="s">
        <v>29</v>
      </c>
      <c r="R82" s="118">
        <f t="shared" ca="1" si="19"/>
        <v>310884</v>
      </c>
      <c r="S82" s="118">
        <f t="shared" ca="1" si="19"/>
        <v>3139928</v>
      </c>
      <c r="T82" s="118">
        <f ca="1">고급</f>
        <v>310884</v>
      </c>
      <c r="U82" s="118">
        <f t="shared" ca="1" si="20"/>
        <v>3139928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40</v>
      </c>
      <c r="O83" s="173">
        <v>6</v>
      </c>
      <c r="P83" s="234">
        <f ca="1">OFFSET($A$1,MATCH(Z79,$A:$A,0)-1,O83)</f>
        <v>12.5</v>
      </c>
      <c r="Q83" s="144" t="s">
        <v>29</v>
      </c>
      <c r="R83" s="118">
        <f t="shared" ca="1" si="19"/>
        <v>295138</v>
      </c>
      <c r="S83" s="118">
        <f t="shared" ca="1" si="19"/>
        <v>3689225</v>
      </c>
      <c r="T83" s="118">
        <f ca="1">중급</f>
        <v>295138</v>
      </c>
      <c r="U83" s="118">
        <f t="shared" ca="1" si="20"/>
        <v>3689225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145" t="s">
        <v>41</v>
      </c>
      <c r="O84" s="173">
        <v>7</v>
      </c>
      <c r="P84" s="234">
        <f ca="1">OFFSET($A$1,MATCH(Z79,$A:$A,0)-1,O84)</f>
        <v>15.8</v>
      </c>
      <c r="Q84" s="144" t="s">
        <v>29</v>
      </c>
      <c r="R84" s="118">
        <f t="shared" ca="1" si="19"/>
        <v>235459</v>
      </c>
      <c r="S84" s="118">
        <f t="shared" ca="1" si="19"/>
        <v>3720252</v>
      </c>
      <c r="T84" s="118">
        <f ca="1">초급</f>
        <v>235459</v>
      </c>
      <c r="U84" s="118">
        <f t="shared" ca="1" si="20"/>
        <v>3720252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M85" s="171"/>
      <c r="N85" s="319" t="s">
        <v>42</v>
      </c>
      <c r="O85" s="174">
        <v>8</v>
      </c>
      <c r="P85" s="235">
        <f ca="1">OFFSET($A$1,MATCH(Z79,$A:$A,0)-1,O85)</f>
        <v>7.1</v>
      </c>
      <c r="Q85" s="322" t="s">
        <v>29</v>
      </c>
      <c r="R85" s="323">
        <f t="shared" ca="1" si="19"/>
        <v>250087</v>
      </c>
      <c r="S85" s="323">
        <f t="shared" ca="1" si="19"/>
        <v>1775617</v>
      </c>
      <c r="T85" s="323">
        <f ca="1">보조원</f>
        <v>250087</v>
      </c>
      <c r="U85" s="323">
        <f t="shared" ca="1" si="20"/>
        <v>1775617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M86" s="171"/>
      <c r="N86" s="139" t="s">
        <v>17</v>
      </c>
      <c r="O86" s="68"/>
      <c r="P86" s="69"/>
      <c r="Q86" s="70"/>
      <c r="R86" s="71"/>
      <c r="S86" s="71">
        <f ca="1">SUBTOTAL(9,S80:S85)</f>
        <v>14836713</v>
      </c>
      <c r="T86" s="71"/>
      <c r="U86" s="71">
        <f ca="1">SUBTOTAL(9,U80:U85)</f>
        <v>14836713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M87" s="171"/>
      <c r="N87" s="318" t="str">
        <f ca="1">"제 " &amp; Z87 &amp; " 호표  "&amp; OFFSET($A$1,MATCH(Z87,$A:$A,0)-1,1)</f>
        <v>제 5 호표  2.1. 계획의 목표설정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5</v>
      </c>
    </row>
    <row r="88" spans="11:26" ht="18" customHeight="1">
      <c r="K88" s="171" t="s">
        <v>14</v>
      </c>
      <c r="L88" s="171"/>
      <c r="M88" s="171"/>
      <c r="N88" s="140" t="s">
        <v>43</v>
      </c>
      <c r="O88" s="172">
        <v>3</v>
      </c>
      <c r="P88" s="219">
        <f ca="1">OFFSET($A$1,MATCH(Z87,$A:$A,0)-1,O88)</f>
        <v>2.2999999999999998</v>
      </c>
      <c r="Q88" s="141" t="s">
        <v>29</v>
      </c>
      <c r="R88" s="142">
        <f t="shared" ref="R88:S93" ca="1" si="21">T88</f>
        <v>467217</v>
      </c>
      <c r="S88" s="142">
        <f t="shared" ca="1" si="21"/>
        <v>1074599</v>
      </c>
      <c r="T88" s="142">
        <f ca="1">기술사</f>
        <v>467217</v>
      </c>
      <c r="U88" s="142">
        <f t="shared" ref="U88:U93" ca="1" si="22">ROUNDDOWN(P88*R88,0)</f>
        <v>1074599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M89" s="171"/>
      <c r="N89" s="143" t="s">
        <v>32</v>
      </c>
      <c r="O89" s="173">
        <v>4</v>
      </c>
      <c r="P89" s="234">
        <f ca="1">OFFSET($A$1,MATCH(Z87,$A:$A,0)-1,O89)</f>
        <v>7.6</v>
      </c>
      <c r="Q89" s="144" t="s">
        <v>29</v>
      </c>
      <c r="R89" s="118">
        <f t="shared" ca="1" si="21"/>
        <v>373353</v>
      </c>
      <c r="S89" s="118">
        <f t="shared" ca="1" si="21"/>
        <v>2837482</v>
      </c>
      <c r="T89" s="118">
        <f ca="1">특급</f>
        <v>373353</v>
      </c>
      <c r="U89" s="118">
        <f t="shared" ca="1" si="22"/>
        <v>2837482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39</v>
      </c>
      <c r="O90" s="173">
        <v>5</v>
      </c>
      <c r="P90" s="234">
        <f ca="1">OFFSET($A$1,MATCH(Z87,$A:$A,0)-1,O90)</f>
        <v>11.4</v>
      </c>
      <c r="Q90" s="144" t="s">
        <v>29</v>
      </c>
      <c r="R90" s="118">
        <f t="shared" ca="1" si="21"/>
        <v>310884</v>
      </c>
      <c r="S90" s="118">
        <f t="shared" ca="1" si="21"/>
        <v>3544077</v>
      </c>
      <c r="T90" s="118">
        <f ca="1">고급</f>
        <v>310884</v>
      </c>
      <c r="U90" s="118">
        <f t="shared" ca="1" si="22"/>
        <v>3544077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40</v>
      </c>
      <c r="O91" s="173">
        <v>6</v>
      </c>
      <c r="P91" s="234">
        <f ca="1">OFFSET($A$1,MATCH(Z87,$A:$A,0)-1,O91)</f>
        <v>11.1</v>
      </c>
      <c r="Q91" s="144" t="s">
        <v>29</v>
      </c>
      <c r="R91" s="118">
        <f t="shared" ca="1" si="21"/>
        <v>295138</v>
      </c>
      <c r="S91" s="118">
        <f t="shared" ca="1" si="21"/>
        <v>3276031</v>
      </c>
      <c r="T91" s="118">
        <f ca="1">중급</f>
        <v>295138</v>
      </c>
      <c r="U91" s="118">
        <f t="shared" ca="1" si="22"/>
        <v>3276031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145" t="s">
        <v>41</v>
      </c>
      <c r="O92" s="173">
        <v>7</v>
      </c>
      <c r="P92" s="234">
        <f ca="1">OFFSET($A$1,MATCH(Z87,$A:$A,0)-1,O92)</f>
        <v>13.1</v>
      </c>
      <c r="Q92" s="144" t="s">
        <v>29</v>
      </c>
      <c r="R92" s="118">
        <f t="shared" ca="1" si="21"/>
        <v>235459</v>
      </c>
      <c r="S92" s="118">
        <f t="shared" ca="1" si="21"/>
        <v>3084512</v>
      </c>
      <c r="T92" s="118">
        <f ca="1">초급</f>
        <v>235459</v>
      </c>
      <c r="U92" s="118">
        <f t="shared" ca="1" si="22"/>
        <v>3084512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M93" s="171"/>
      <c r="N93" s="319" t="s">
        <v>42</v>
      </c>
      <c r="O93" s="174">
        <v>8</v>
      </c>
      <c r="P93" s="235">
        <f ca="1">OFFSET($A$1,MATCH(Z87,$A:$A,0)-1,O93)</f>
        <v>6.4</v>
      </c>
      <c r="Q93" s="322" t="s">
        <v>29</v>
      </c>
      <c r="R93" s="323">
        <f t="shared" ca="1" si="21"/>
        <v>250087</v>
      </c>
      <c r="S93" s="323">
        <f t="shared" ca="1" si="21"/>
        <v>1600556</v>
      </c>
      <c r="T93" s="323">
        <f ca="1">보조원</f>
        <v>250087</v>
      </c>
      <c r="U93" s="323">
        <f t="shared" ca="1" si="22"/>
        <v>1600556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M94" s="171"/>
      <c r="N94" s="139" t="s">
        <v>17</v>
      </c>
      <c r="O94" s="68"/>
      <c r="P94" s="69"/>
      <c r="Q94" s="70"/>
      <c r="R94" s="71"/>
      <c r="S94" s="71">
        <f ca="1">SUBTOTAL(9,S88:S93)</f>
        <v>15417257</v>
      </c>
      <c r="T94" s="71"/>
      <c r="U94" s="71">
        <f ca="1">SUBTOTAL(9,U88:U93)</f>
        <v>15417257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M95" s="171"/>
      <c r="N95" s="318" t="str">
        <f ca="1">"제 " &amp; Z95 &amp; " 호표  "&amp; OFFSET($A$1,MATCH(Z95,$A:$A,0)-1,1)</f>
        <v>제 6 호표  2.2. 보호/관리/이용지역 설정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6</v>
      </c>
    </row>
    <row r="96" spans="11:26" ht="18" customHeight="1">
      <c r="K96" s="171" t="s">
        <v>14</v>
      </c>
      <c r="L96" s="171"/>
      <c r="M96" s="171"/>
      <c r="N96" s="140" t="s">
        <v>43</v>
      </c>
      <c r="O96" s="172">
        <v>3</v>
      </c>
      <c r="P96" s="219">
        <f ca="1">OFFSET($A$1,MATCH(Z95,$A:$A,0)-1,O96)</f>
        <v>2.2999999999999998</v>
      </c>
      <c r="Q96" s="141" t="s">
        <v>29</v>
      </c>
      <c r="R96" s="142">
        <f t="shared" ref="R96:S101" ca="1" si="23">T96</f>
        <v>467217</v>
      </c>
      <c r="S96" s="142">
        <f t="shared" ca="1" si="23"/>
        <v>1074599</v>
      </c>
      <c r="T96" s="142">
        <f ca="1">기술사</f>
        <v>467217</v>
      </c>
      <c r="U96" s="142">
        <f t="shared" ref="U96:U101" ca="1" si="24">ROUNDDOWN(P96*R96,0)</f>
        <v>1074599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M97" s="171"/>
      <c r="N97" s="143" t="s">
        <v>32</v>
      </c>
      <c r="O97" s="173">
        <v>4</v>
      </c>
      <c r="P97" s="234">
        <f ca="1">OFFSET($A$1,MATCH(Z95,$A:$A,0)-1,O97)</f>
        <v>7.4</v>
      </c>
      <c r="Q97" s="144" t="s">
        <v>29</v>
      </c>
      <c r="R97" s="118">
        <f t="shared" ca="1" si="23"/>
        <v>373353</v>
      </c>
      <c r="S97" s="118">
        <f t="shared" ca="1" si="23"/>
        <v>2762812</v>
      </c>
      <c r="T97" s="118">
        <f ca="1">특급</f>
        <v>373353</v>
      </c>
      <c r="U97" s="118">
        <f t="shared" ca="1" si="24"/>
        <v>2762812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39</v>
      </c>
      <c r="O98" s="173">
        <v>5</v>
      </c>
      <c r="P98" s="234">
        <f ca="1">OFFSET($A$1,MATCH(Z95,$A:$A,0)-1,O98)</f>
        <v>11.2</v>
      </c>
      <c r="Q98" s="144" t="s">
        <v>29</v>
      </c>
      <c r="R98" s="118">
        <f t="shared" ca="1" si="23"/>
        <v>310884</v>
      </c>
      <c r="S98" s="118">
        <f t="shared" ca="1" si="23"/>
        <v>3481900</v>
      </c>
      <c r="T98" s="118">
        <f ca="1">고급</f>
        <v>310884</v>
      </c>
      <c r="U98" s="118">
        <f t="shared" ca="1" si="24"/>
        <v>3481900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40</v>
      </c>
      <c r="O99" s="173">
        <v>6</v>
      </c>
      <c r="P99" s="234">
        <f ca="1">OFFSET($A$1,MATCH(Z95,$A:$A,0)-1,O99)</f>
        <v>11</v>
      </c>
      <c r="Q99" s="144" t="s">
        <v>29</v>
      </c>
      <c r="R99" s="118">
        <f t="shared" ca="1" si="23"/>
        <v>295138</v>
      </c>
      <c r="S99" s="118">
        <f t="shared" ca="1" si="23"/>
        <v>3246518</v>
      </c>
      <c r="T99" s="118">
        <f ca="1">중급</f>
        <v>295138</v>
      </c>
      <c r="U99" s="118">
        <f t="shared" ca="1" si="24"/>
        <v>3246518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145" t="s">
        <v>41</v>
      </c>
      <c r="O100" s="173">
        <v>7</v>
      </c>
      <c r="P100" s="234">
        <f ca="1">OFFSET($A$1,MATCH(Z95,$A:$A,0)-1,O100)</f>
        <v>12.9</v>
      </c>
      <c r="Q100" s="144" t="s">
        <v>29</v>
      </c>
      <c r="R100" s="118">
        <f t="shared" ca="1" si="23"/>
        <v>235459</v>
      </c>
      <c r="S100" s="118">
        <f t="shared" ca="1" si="23"/>
        <v>3037421</v>
      </c>
      <c r="T100" s="118">
        <f ca="1">초급</f>
        <v>235459</v>
      </c>
      <c r="U100" s="118">
        <f t="shared" ca="1" si="24"/>
        <v>3037421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M101" s="171"/>
      <c r="N101" s="319" t="s">
        <v>42</v>
      </c>
      <c r="O101" s="174">
        <v>8</v>
      </c>
      <c r="P101" s="235">
        <f ca="1">OFFSET($A$1,MATCH(Z95,$A:$A,0)-1,O101)</f>
        <v>6.3</v>
      </c>
      <c r="Q101" s="322" t="s">
        <v>29</v>
      </c>
      <c r="R101" s="323">
        <f t="shared" ca="1" si="23"/>
        <v>250087</v>
      </c>
      <c r="S101" s="323">
        <f t="shared" ca="1" si="23"/>
        <v>1575548</v>
      </c>
      <c r="T101" s="323">
        <f ca="1">보조원</f>
        <v>250087</v>
      </c>
      <c r="U101" s="323">
        <f t="shared" ca="1" si="24"/>
        <v>1575548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M102" s="171"/>
      <c r="N102" s="139" t="s">
        <v>17</v>
      </c>
      <c r="O102" s="68"/>
      <c r="P102" s="69"/>
      <c r="Q102" s="70"/>
      <c r="R102" s="71"/>
      <c r="S102" s="71">
        <f ca="1">SUBTOTAL(9,S96:S101)</f>
        <v>15178798</v>
      </c>
      <c r="T102" s="71"/>
      <c r="U102" s="71">
        <f ca="1">SUBTOTAL(9,U96:U101)</f>
        <v>15178798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M103" s="171"/>
      <c r="N103" s="318" t="str">
        <f ca="1">"제 " &amp; Z103 &amp; " 호표  "&amp; OFFSET($A$1,MATCH(Z103,$A:$A,0)-1,1)</f>
        <v>제 7 호표  2.3. 이용체계구상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7</v>
      </c>
    </row>
    <row r="104" spans="11:26" ht="18" customHeight="1">
      <c r="K104" s="171" t="s">
        <v>14</v>
      </c>
      <c r="L104" s="171"/>
      <c r="M104" s="171"/>
      <c r="N104" s="140" t="s">
        <v>43</v>
      </c>
      <c r="O104" s="172">
        <v>3</v>
      </c>
      <c r="P104" s="219">
        <f ca="1">OFFSET($A$1,MATCH(Z103,$A:$A,0)-1,O104)</f>
        <v>2.2999999999999998</v>
      </c>
      <c r="Q104" s="141" t="s">
        <v>29</v>
      </c>
      <c r="R104" s="142">
        <f t="shared" ref="R104:S109" ca="1" si="25">T104</f>
        <v>467217</v>
      </c>
      <c r="S104" s="142">
        <f t="shared" ca="1" si="25"/>
        <v>1074599</v>
      </c>
      <c r="T104" s="142">
        <f ca="1">기술사</f>
        <v>467217</v>
      </c>
      <c r="U104" s="142">
        <f t="shared" ref="U104:U109" ca="1" si="26">ROUNDDOWN(P104*R104,0)</f>
        <v>1074599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M105" s="171"/>
      <c r="N105" s="143" t="s">
        <v>32</v>
      </c>
      <c r="O105" s="173">
        <v>4</v>
      </c>
      <c r="P105" s="234">
        <f ca="1">OFFSET($A$1,MATCH(Z103,$A:$A,0)-1,O105)</f>
        <v>7.4</v>
      </c>
      <c r="Q105" s="144" t="s">
        <v>29</v>
      </c>
      <c r="R105" s="118">
        <f t="shared" ca="1" si="25"/>
        <v>373353</v>
      </c>
      <c r="S105" s="118">
        <f t="shared" ca="1" si="25"/>
        <v>2762812</v>
      </c>
      <c r="T105" s="118">
        <f ca="1">특급</f>
        <v>373353</v>
      </c>
      <c r="U105" s="118">
        <f t="shared" ca="1" si="26"/>
        <v>2762812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39</v>
      </c>
      <c r="O106" s="173">
        <v>5</v>
      </c>
      <c r="P106" s="234">
        <f ca="1">OFFSET($A$1,MATCH(Z103,$A:$A,0)-1,O106)</f>
        <v>13</v>
      </c>
      <c r="Q106" s="144" t="s">
        <v>29</v>
      </c>
      <c r="R106" s="118">
        <f t="shared" ca="1" si="25"/>
        <v>310884</v>
      </c>
      <c r="S106" s="118">
        <f t="shared" ca="1" si="25"/>
        <v>4041492</v>
      </c>
      <c r="T106" s="118">
        <f ca="1">고급</f>
        <v>310884</v>
      </c>
      <c r="U106" s="118">
        <f t="shared" ca="1" si="26"/>
        <v>4041492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40</v>
      </c>
      <c r="O107" s="173">
        <v>6</v>
      </c>
      <c r="P107" s="234">
        <f ca="1">OFFSET($A$1,MATCH(Z103,$A:$A,0)-1,O107)</f>
        <v>13.4</v>
      </c>
      <c r="Q107" s="144" t="s">
        <v>29</v>
      </c>
      <c r="R107" s="118">
        <f t="shared" ca="1" si="25"/>
        <v>295138</v>
      </c>
      <c r="S107" s="118">
        <f t="shared" ca="1" si="25"/>
        <v>3954849</v>
      </c>
      <c r="T107" s="118">
        <f ca="1">중급</f>
        <v>295138</v>
      </c>
      <c r="U107" s="118">
        <f t="shared" ca="1" si="26"/>
        <v>3954849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145" t="s">
        <v>41</v>
      </c>
      <c r="O108" s="173">
        <v>7</v>
      </c>
      <c r="P108" s="234">
        <f ca="1">OFFSET($A$1,MATCH(Z103,$A:$A,0)-1,O108)</f>
        <v>15.9</v>
      </c>
      <c r="Q108" s="144" t="s">
        <v>29</v>
      </c>
      <c r="R108" s="118">
        <f t="shared" ca="1" si="25"/>
        <v>235459</v>
      </c>
      <c r="S108" s="118">
        <f t="shared" ca="1" si="25"/>
        <v>3743798</v>
      </c>
      <c r="T108" s="118">
        <f ca="1">초급</f>
        <v>235459</v>
      </c>
      <c r="U108" s="118">
        <f t="shared" ca="1" si="26"/>
        <v>3743798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M109" s="171"/>
      <c r="N109" s="319" t="s">
        <v>42</v>
      </c>
      <c r="O109" s="174">
        <v>8</v>
      </c>
      <c r="P109" s="235">
        <f ca="1">OFFSET($A$1,MATCH(Z103,$A:$A,0)-1,O109)</f>
        <v>7.5</v>
      </c>
      <c r="Q109" s="322" t="s">
        <v>29</v>
      </c>
      <c r="R109" s="323">
        <f t="shared" ca="1" si="25"/>
        <v>250087</v>
      </c>
      <c r="S109" s="323">
        <f t="shared" ca="1" si="25"/>
        <v>1875652</v>
      </c>
      <c r="T109" s="323">
        <f ca="1">보조원</f>
        <v>250087</v>
      </c>
      <c r="U109" s="323">
        <f t="shared" ca="1" si="26"/>
        <v>1875652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M110" s="171"/>
      <c r="N110" s="139" t="s">
        <v>17</v>
      </c>
      <c r="O110" s="68"/>
      <c r="P110" s="69"/>
      <c r="Q110" s="70"/>
      <c r="R110" s="71"/>
      <c r="S110" s="71">
        <f ca="1">SUBTOTAL(9,S104:S109)</f>
        <v>17453202</v>
      </c>
      <c r="T110" s="71"/>
      <c r="U110" s="71">
        <f ca="1">SUBTOTAL(9,U104:U109)</f>
        <v>17453202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M111" s="171"/>
      <c r="N111" s="318" t="str">
        <f ca="1">"제 " &amp; Z111 &amp; " 호표  "&amp; OFFSET($A$1,MATCH(Z111,$A:$A,0)-1,1)</f>
        <v>제 8 호표  2.4. 시설종류 및 규모설정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8</v>
      </c>
    </row>
    <row r="112" spans="11:26" ht="18" customHeight="1">
      <c r="K112" s="171" t="s">
        <v>14</v>
      </c>
      <c r="L112" s="171"/>
      <c r="M112" s="171"/>
      <c r="N112" s="140" t="s">
        <v>43</v>
      </c>
      <c r="O112" s="172">
        <v>3</v>
      </c>
      <c r="P112" s="219">
        <f ca="1">OFFSET($A$1,MATCH(Z111,$A:$A,0)-1,O112)</f>
        <v>2.4</v>
      </c>
      <c r="Q112" s="141" t="s">
        <v>29</v>
      </c>
      <c r="R112" s="142">
        <f t="shared" ref="R112:S117" ca="1" si="27">T112</f>
        <v>467217</v>
      </c>
      <c r="S112" s="142">
        <f t="shared" ca="1" si="27"/>
        <v>1121320</v>
      </c>
      <c r="T112" s="142">
        <f ca="1">기술사</f>
        <v>467217</v>
      </c>
      <c r="U112" s="142">
        <f t="shared" ref="U112:U117" ca="1" si="28">ROUNDDOWN(P112*R112,0)</f>
        <v>1121320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M113" s="171"/>
      <c r="N113" s="143" t="s">
        <v>32</v>
      </c>
      <c r="O113" s="173">
        <v>4</v>
      </c>
      <c r="P113" s="234">
        <f ca="1">OFFSET($A$1,MATCH(Z111,$A:$A,0)-1,O113)</f>
        <v>9.1999999999999993</v>
      </c>
      <c r="Q113" s="144" t="s">
        <v>29</v>
      </c>
      <c r="R113" s="118">
        <f t="shared" ca="1" si="27"/>
        <v>373353</v>
      </c>
      <c r="S113" s="118">
        <f t="shared" ca="1" si="27"/>
        <v>3434847</v>
      </c>
      <c r="T113" s="118">
        <f ca="1">특급</f>
        <v>373353</v>
      </c>
      <c r="U113" s="118">
        <f t="shared" ca="1" si="28"/>
        <v>3434847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39</v>
      </c>
      <c r="O114" s="173">
        <v>5</v>
      </c>
      <c r="P114" s="234">
        <f ca="1">OFFSET($A$1,MATCH(Z111,$A:$A,0)-1,O114)</f>
        <v>13.8</v>
      </c>
      <c r="Q114" s="144" t="s">
        <v>29</v>
      </c>
      <c r="R114" s="118">
        <f t="shared" ca="1" si="27"/>
        <v>310884</v>
      </c>
      <c r="S114" s="118">
        <f t="shared" ca="1" si="27"/>
        <v>4290199</v>
      </c>
      <c r="T114" s="118">
        <f ca="1">고급</f>
        <v>310884</v>
      </c>
      <c r="U114" s="118">
        <f t="shared" ca="1" si="28"/>
        <v>4290199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40</v>
      </c>
      <c r="O115" s="173">
        <v>6</v>
      </c>
      <c r="P115" s="234">
        <f ca="1">OFFSET($A$1,MATCH(Z111,$A:$A,0)-1,O115)</f>
        <v>13.2</v>
      </c>
      <c r="Q115" s="144" t="s">
        <v>29</v>
      </c>
      <c r="R115" s="118">
        <f t="shared" ca="1" si="27"/>
        <v>295138</v>
      </c>
      <c r="S115" s="118">
        <f t="shared" ca="1" si="27"/>
        <v>3895821</v>
      </c>
      <c r="T115" s="118">
        <f ca="1">중급</f>
        <v>295138</v>
      </c>
      <c r="U115" s="118">
        <f t="shared" ca="1" si="28"/>
        <v>3895821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41</v>
      </c>
      <c r="O116" s="173">
        <v>7</v>
      </c>
      <c r="P116" s="234">
        <f ca="1">OFFSET($A$1,MATCH(Z111,$A:$A,0)-1,O116)</f>
        <v>13.4</v>
      </c>
      <c r="Q116" s="144" t="s">
        <v>29</v>
      </c>
      <c r="R116" s="118">
        <f t="shared" ca="1" si="27"/>
        <v>235459</v>
      </c>
      <c r="S116" s="118">
        <f t="shared" ca="1" si="27"/>
        <v>3155150</v>
      </c>
      <c r="T116" s="118">
        <f ca="1">초급</f>
        <v>235459</v>
      </c>
      <c r="U116" s="118">
        <f t="shared" ca="1" si="28"/>
        <v>3155150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319" t="s">
        <v>42</v>
      </c>
      <c r="O117" s="174">
        <v>8</v>
      </c>
      <c r="P117" s="235">
        <f ca="1">OFFSET($A$1,MATCH(Z111,$A:$A,0)-1,O117)</f>
        <v>7.7</v>
      </c>
      <c r="Q117" s="322" t="s">
        <v>29</v>
      </c>
      <c r="R117" s="323">
        <f t="shared" ca="1" si="27"/>
        <v>250087</v>
      </c>
      <c r="S117" s="323">
        <f t="shared" ca="1" si="27"/>
        <v>1925669</v>
      </c>
      <c r="T117" s="323">
        <f ca="1">보조원</f>
        <v>250087</v>
      </c>
      <c r="U117" s="323">
        <f t="shared" ca="1" si="28"/>
        <v>1925669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17823006</v>
      </c>
      <c r="T118" s="71"/>
      <c r="U118" s="71">
        <f ca="1">SUBTOTAL(9,U112:U117)</f>
        <v>17823006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  <c r="N119" s="318" t="str">
        <f ca="1">"제 " &amp; Z119 &amp; " 호표  "&amp; OFFSET($A$1,MATCH(Z119,$A:$A,0)-1,1)</f>
        <v>제 9 호표  2.5. 환경/생태복원구상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9</v>
      </c>
    </row>
    <row r="120" spans="11:26" ht="18" customHeight="1">
      <c r="K120" s="171" t="s">
        <v>14</v>
      </c>
      <c r="L120" s="171"/>
      <c r="M120" s="171"/>
      <c r="N120" s="140" t="s">
        <v>43</v>
      </c>
      <c r="O120" s="172">
        <v>3</v>
      </c>
      <c r="P120" s="219">
        <f ca="1">OFFSET($A$1,MATCH(Z119,$A:$A,0)-1,O120)</f>
        <v>3.8</v>
      </c>
      <c r="Q120" s="141" t="s">
        <v>29</v>
      </c>
      <c r="R120" s="142">
        <f t="shared" ref="R120:S125" ca="1" si="29">T120</f>
        <v>467217</v>
      </c>
      <c r="S120" s="142">
        <f t="shared" ca="1" si="29"/>
        <v>1775424</v>
      </c>
      <c r="T120" s="142">
        <f ca="1">기술사</f>
        <v>467217</v>
      </c>
      <c r="U120" s="142">
        <f t="shared" ref="U120:U125" ca="1" si="30">ROUNDDOWN(P120*R120,0)</f>
        <v>1775424</v>
      </c>
      <c r="V120" s="142"/>
      <c r="W120" s="142"/>
      <c r="X120" s="142"/>
      <c r="Y120" s="142"/>
      <c r="Z120" s="114"/>
    </row>
    <row r="121" spans="11:26" ht="18" customHeight="1">
      <c r="K121" s="171" t="s">
        <v>14</v>
      </c>
      <c r="L121" s="171"/>
      <c r="M121" s="171"/>
      <c r="N121" s="143" t="s">
        <v>32</v>
      </c>
      <c r="O121" s="173">
        <v>4</v>
      </c>
      <c r="P121" s="234">
        <f ca="1">OFFSET($A$1,MATCH(Z119,$A:$A,0)-1,O121)</f>
        <v>11.5</v>
      </c>
      <c r="Q121" s="144" t="s">
        <v>29</v>
      </c>
      <c r="R121" s="118">
        <f t="shared" ca="1" si="29"/>
        <v>373353</v>
      </c>
      <c r="S121" s="118">
        <f t="shared" ca="1" si="29"/>
        <v>4293559</v>
      </c>
      <c r="T121" s="118">
        <f ca="1">특급</f>
        <v>373353</v>
      </c>
      <c r="U121" s="118">
        <f t="shared" ca="1" si="30"/>
        <v>4293559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39</v>
      </c>
      <c r="O122" s="173">
        <v>5</v>
      </c>
      <c r="P122" s="234">
        <f ca="1">OFFSET($A$1,MATCH(Z119,$A:$A,0)-1,O122)</f>
        <v>15.7</v>
      </c>
      <c r="Q122" s="144" t="s">
        <v>29</v>
      </c>
      <c r="R122" s="118">
        <f t="shared" ca="1" si="29"/>
        <v>310884</v>
      </c>
      <c r="S122" s="118">
        <f t="shared" ca="1" si="29"/>
        <v>4880878</v>
      </c>
      <c r="T122" s="118">
        <f ca="1">고급</f>
        <v>310884</v>
      </c>
      <c r="U122" s="118">
        <f t="shared" ca="1" si="30"/>
        <v>4880878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40</v>
      </c>
      <c r="O123" s="173">
        <v>6</v>
      </c>
      <c r="P123" s="234">
        <f ca="1">OFFSET($A$1,MATCH(Z119,$A:$A,0)-1,O123)</f>
        <v>17.5</v>
      </c>
      <c r="Q123" s="144" t="s">
        <v>29</v>
      </c>
      <c r="R123" s="118">
        <f t="shared" ca="1" si="29"/>
        <v>295138</v>
      </c>
      <c r="S123" s="118">
        <f t="shared" ca="1" si="29"/>
        <v>5164915</v>
      </c>
      <c r="T123" s="118">
        <f ca="1">중급</f>
        <v>295138</v>
      </c>
      <c r="U123" s="118">
        <f t="shared" ca="1" si="30"/>
        <v>5164915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41</v>
      </c>
      <c r="O124" s="173">
        <v>7</v>
      </c>
      <c r="P124" s="234">
        <f ca="1">OFFSET($A$1,MATCH(Z119,$A:$A,0)-1,O124)</f>
        <v>17.399999999999999</v>
      </c>
      <c r="Q124" s="144" t="s">
        <v>29</v>
      </c>
      <c r="R124" s="118">
        <f t="shared" ca="1" si="29"/>
        <v>235459</v>
      </c>
      <c r="S124" s="118">
        <f t="shared" ca="1" si="29"/>
        <v>4096986</v>
      </c>
      <c r="T124" s="118">
        <f ca="1">초급</f>
        <v>235459</v>
      </c>
      <c r="U124" s="118">
        <f t="shared" ca="1" si="30"/>
        <v>4096986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319" t="s">
        <v>42</v>
      </c>
      <c r="O125" s="174">
        <v>8</v>
      </c>
      <c r="P125" s="235">
        <f ca="1">OFFSET($A$1,MATCH(Z119,$A:$A,0)-1,O125)</f>
        <v>9.5500000000000007</v>
      </c>
      <c r="Q125" s="322" t="s">
        <v>29</v>
      </c>
      <c r="R125" s="323">
        <f t="shared" ca="1" si="29"/>
        <v>250087</v>
      </c>
      <c r="S125" s="323">
        <f t="shared" ca="1" si="29"/>
        <v>2388330</v>
      </c>
      <c r="T125" s="323">
        <f ca="1">보조원</f>
        <v>250087</v>
      </c>
      <c r="U125" s="323">
        <f t="shared" ca="1" si="30"/>
        <v>2388330</v>
      </c>
      <c r="V125" s="323"/>
      <c r="W125" s="323"/>
      <c r="X125" s="323"/>
      <c r="Y125" s="323"/>
      <c r="Z125" s="324"/>
    </row>
    <row r="126" spans="11:26" ht="18" customHeight="1">
      <c r="K126" s="171" t="s">
        <v>14</v>
      </c>
      <c r="L126" s="171"/>
      <c r="M126" s="171"/>
      <c r="N126" s="139" t="s">
        <v>17</v>
      </c>
      <c r="O126" s="68"/>
      <c r="P126" s="69"/>
      <c r="Q126" s="70"/>
      <c r="R126" s="71"/>
      <c r="S126" s="71">
        <f ca="1">SUBTOTAL(9,S120:S125)</f>
        <v>22600092</v>
      </c>
      <c r="T126" s="71"/>
      <c r="U126" s="71">
        <f ca="1">SUBTOTAL(9,U120:U125)</f>
        <v>22600092</v>
      </c>
      <c r="V126" s="71"/>
      <c r="W126" s="71"/>
      <c r="X126" s="71"/>
      <c r="Y126" s="71"/>
      <c r="Z126" s="68"/>
    </row>
    <row r="127" spans="11:26" ht="18" customHeight="1">
      <c r="K127" s="171" t="s">
        <v>14</v>
      </c>
      <c r="L127" s="171"/>
      <c r="M127" s="171"/>
      <c r="N127" s="318" t="str">
        <f ca="1">"제 " &amp; Z127 &amp; " 호표  "&amp; OFFSET($A$1,MATCH(Z127,$A:$A,0)-1,1)</f>
        <v>제 10 호표  3.1. 보호/관리/이용지역계획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10</v>
      </c>
    </row>
    <row r="128" spans="11:26" ht="18" customHeight="1">
      <c r="K128" s="171" t="s">
        <v>14</v>
      </c>
      <c r="L128" s="171"/>
      <c r="M128" s="171"/>
      <c r="N128" s="140" t="s">
        <v>43</v>
      </c>
      <c r="O128" s="172">
        <v>3</v>
      </c>
      <c r="P128" s="219">
        <f ca="1">OFFSET($A$1,MATCH(Z127,$A:$A,0)-1,O128)</f>
        <v>4.4000000000000004</v>
      </c>
      <c r="Q128" s="141" t="s">
        <v>29</v>
      </c>
      <c r="R128" s="142">
        <f t="shared" ref="R128:S133" ca="1" si="31">T128</f>
        <v>467217</v>
      </c>
      <c r="S128" s="142">
        <f t="shared" ca="1" si="31"/>
        <v>2055754</v>
      </c>
      <c r="T128" s="142">
        <f ca="1">기술사</f>
        <v>467217</v>
      </c>
      <c r="U128" s="142">
        <f t="shared" ref="U128:U133" ca="1" si="32">ROUNDDOWN(P128*R128,0)</f>
        <v>2055754</v>
      </c>
      <c r="V128" s="142"/>
      <c r="W128" s="142"/>
      <c r="X128" s="142"/>
      <c r="Y128" s="142"/>
      <c r="Z128" s="114"/>
    </row>
    <row r="129" spans="11:29" ht="18" customHeight="1">
      <c r="K129" s="171" t="s">
        <v>14</v>
      </c>
      <c r="L129" s="171"/>
      <c r="M129" s="171"/>
      <c r="N129" s="143" t="s">
        <v>32</v>
      </c>
      <c r="O129" s="173">
        <v>4</v>
      </c>
      <c r="P129" s="234">
        <f ca="1">OFFSET($A$1,MATCH(Z127,$A:$A,0)-1,O129)</f>
        <v>12.2</v>
      </c>
      <c r="Q129" s="144" t="s">
        <v>29</v>
      </c>
      <c r="R129" s="118">
        <f t="shared" ca="1" si="31"/>
        <v>373353</v>
      </c>
      <c r="S129" s="118">
        <f t="shared" ca="1" si="31"/>
        <v>4554906</v>
      </c>
      <c r="T129" s="118">
        <f ca="1">특급</f>
        <v>373353</v>
      </c>
      <c r="U129" s="118">
        <f t="shared" ca="1" si="32"/>
        <v>4554906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145" t="s">
        <v>39</v>
      </c>
      <c r="O130" s="173">
        <v>5</v>
      </c>
      <c r="P130" s="234">
        <f ca="1">OFFSET($A$1,MATCH(Z127,$A:$A,0)-1,O130)</f>
        <v>16.3</v>
      </c>
      <c r="Q130" s="144" t="s">
        <v>29</v>
      </c>
      <c r="R130" s="118">
        <f t="shared" ca="1" si="31"/>
        <v>310884</v>
      </c>
      <c r="S130" s="118">
        <f t="shared" ca="1" si="31"/>
        <v>5067409</v>
      </c>
      <c r="T130" s="118">
        <f ca="1">고급</f>
        <v>310884</v>
      </c>
      <c r="U130" s="118">
        <f t="shared" ca="1" si="32"/>
        <v>5067409</v>
      </c>
      <c r="V130" s="118"/>
      <c r="W130" s="118"/>
      <c r="X130" s="118"/>
      <c r="Y130" s="118"/>
      <c r="Z130" s="115"/>
    </row>
    <row r="131" spans="11:29" ht="18" customHeight="1">
      <c r="K131" s="171" t="s">
        <v>14</v>
      </c>
      <c r="L131" s="171"/>
      <c r="M131" s="171"/>
      <c r="N131" s="145" t="s">
        <v>40</v>
      </c>
      <c r="O131" s="173">
        <v>6</v>
      </c>
      <c r="P131" s="234">
        <f ca="1">OFFSET($A$1,MATCH(Z127,$A:$A,0)-1,O131)</f>
        <v>19.100000000000001</v>
      </c>
      <c r="Q131" s="144" t="s">
        <v>29</v>
      </c>
      <c r="R131" s="118">
        <f t="shared" ca="1" si="31"/>
        <v>295138</v>
      </c>
      <c r="S131" s="118">
        <f t="shared" ca="1" si="31"/>
        <v>5637135</v>
      </c>
      <c r="T131" s="118">
        <f ca="1">중급</f>
        <v>295138</v>
      </c>
      <c r="U131" s="118">
        <f t="shared" ca="1" si="32"/>
        <v>5637135</v>
      </c>
      <c r="V131" s="118"/>
      <c r="W131" s="118"/>
      <c r="X131" s="118"/>
      <c r="Y131" s="118"/>
      <c r="Z131" s="115"/>
    </row>
    <row r="132" spans="11:29" ht="18" customHeight="1">
      <c r="K132" s="171" t="s">
        <v>14</v>
      </c>
      <c r="L132" s="171"/>
      <c r="M132" s="171"/>
      <c r="N132" s="145" t="s">
        <v>41</v>
      </c>
      <c r="O132" s="173">
        <v>7</v>
      </c>
      <c r="P132" s="234">
        <f ca="1">OFFSET($A$1,MATCH(Z127,$A:$A,0)-1,O132)</f>
        <v>18.899999999999999</v>
      </c>
      <c r="Q132" s="144" t="s">
        <v>29</v>
      </c>
      <c r="R132" s="118">
        <f t="shared" ca="1" si="31"/>
        <v>235459</v>
      </c>
      <c r="S132" s="118">
        <f t="shared" ca="1" si="31"/>
        <v>4450175</v>
      </c>
      <c r="T132" s="118">
        <f ca="1">초급</f>
        <v>235459</v>
      </c>
      <c r="U132" s="118">
        <f t="shared" ca="1" si="32"/>
        <v>4450175</v>
      </c>
      <c r="V132" s="118"/>
      <c r="W132" s="118"/>
      <c r="X132" s="118"/>
      <c r="Y132" s="118"/>
      <c r="Z132" s="115"/>
    </row>
    <row r="133" spans="11:29" ht="18" customHeight="1">
      <c r="K133" s="171" t="s">
        <v>14</v>
      </c>
      <c r="L133" s="171"/>
      <c r="M133" s="171"/>
      <c r="N133" s="319" t="s">
        <v>42</v>
      </c>
      <c r="O133" s="174">
        <v>8</v>
      </c>
      <c r="P133" s="235">
        <f ca="1">OFFSET($A$1,MATCH(Z127,$A:$A,0)-1,O133)</f>
        <v>10.199999999999999</v>
      </c>
      <c r="Q133" s="322" t="s">
        <v>29</v>
      </c>
      <c r="R133" s="323">
        <f t="shared" ca="1" si="31"/>
        <v>250087</v>
      </c>
      <c r="S133" s="323">
        <f t="shared" ca="1" si="31"/>
        <v>2550887</v>
      </c>
      <c r="T133" s="323">
        <f ca="1">보조원</f>
        <v>250087</v>
      </c>
      <c r="U133" s="323">
        <f t="shared" ca="1" si="32"/>
        <v>2550887</v>
      </c>
      <c r="V133" s="323"/>
      <c r="W133" s="323"/>
      <c r="X133" s="323"/>
      <c r="Y133" s="323"/>
      <c r="Z133" s="324"/>
    </row>
    <row r="134" spans="11:29" ht="18" customHeight="1">
      <c r="K134" s="171" t="s">
        <v>14</v>
      </c>
      <c r="L134" s="171"/>
      <c r="M134" s="171"/>
      <c r="N134" s="139" t="s">
        <v>17</v>
      </c>
      <c r="O134" s="68"/>
      <c r="P134" s="69"/>
      <c r="Q134" s="70"/>
      <c r="R134" s="71"/>
      <c r="S134" s="71">
        <f ca="1">SUBTOTAL(9,S128:S133)</f>
        <v>24316266</v>
      </c>
      <c r="T134" s="71"/>
      <c r="U134" s="71">
        <f ca="1">SUBTOTAL(9,U128:U133)</f>
        <v>24316266</v>
      </c>
      <c r="V134" s="71"/>
      <c r="W134" s="71"/>
      <c r="X134" s="71"/>
      <c r="Y134" s="71"/>
      <c r="Z134" s="68"/>
    </row>
    <row r="135" spans="11:29" ht="18" customHeight="1">
      <c r="K135" s="171" t="s">
        <v>14</v>
      </c>
      <c r="L135" s="171"/>
      <c r="M135" s="171"/>
      <c r="N135" s="318" t="str">
        <f ca="1">"제 " &amp; Z135 &amp; " 호표  "&amp; OFFSET($A$1,MATCH(Z135,$A:$A,0)-1,1)</f>
        <v>제 11 호표  3.2. 생태·복원 탐방계획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11</v>
      </c>
    </row>
    <row r="136" spans="11:29" ht="18" customHeight="1">
      <c r="K136" s="171" t="s">
        <v>14</v>
      </c>
      <c r="L136" s="171"/>
      <c r="M136" s="171"/>
      <c r="N136" s="140" t="s">
        <v>43</v>
      </c>
      <c r="O136" s="172">
        <v>3</v>
      </c>
      <c r="P136" s="219">
        <f ca="1">OFFSET($A$1,MATCH(Z135,$A:$A,0)-1,O136)</f>
        <v>5.4</v>
      </c>
      <c r="Q136" s="141" t="s">
        <v>29</v>
      </c>
      <c r="R136" s="142">
        <f t="shared" ref="R136:S141" ca="1" si="33">T136</f>
        <v>467217</v>
      </c>
      <c r="S136" s="142">
        <f t="shared" ca="1" si="33"/>
        <v>2522971</v>
      </c>
      <c r="T136" s="142">
        <f ca="1">기술사</f>
        <v>467217</v>
      </c>
      <c r="U136" s="142">
        <f t="shared" ref="U136:U141" ca="1" si="34">ROUNDDOWN(P136*R136,0)</f>
        <v>2522971</v>
      </c>
      <c r="V136" s="142"/>
      <c r="W136" s="142"/>
      <c r="X136" s="142"/>
      <c r="Y136" s="142"/>
      <c r="Z136" s="114"/>
    </row>
    <row r="137" spans="11:29" ht="18" customHeight="1">
      <c r="K137" s="171" t="s">
        <v>14</v>
      </c>
      <c r="L137" s="171"/>
      <c r="M137" s="171"/>
      <c r="N137" s="143" t="s">
        <v>32</v>
      </c>
      <c r="O137" s="173">
        <v>4</v>
      </c>
      <c r="P137" s="234">
        <f ca="1">OFFSET($A$1,MATCH(Z135,$A:$A,0)-1,O137)</f>
        <v>11.1</v>
      </c>
      <c r="Q137" s="144" t="s">
        <v>29</v>
      </c>
      <c r="R137" s="118">
        <f t="shared" ca="1" si="33"/>
        <v>373353</v>
      </c>
      <c r="S137" s="118">
        <f t="shared" ca="1" si="33"/>
        <v>4144218</v>
      </c>
      <c r="T137" s="118">
        <f ca="1">특급</f>
        <v>373353</v>
      </c>
      <c r="U137" s="118">
        <f t="shared" ca="1" si="34"/>
        <v>4144218</v>
      </c>
      <c r="V137" s="118"/>
      <c r="W137" s="118"/>
      <c r="X137" s="118"/>
      <c r="Y137" s="118"/>
      <c r="Z137" s="115"/>
    </row>
    <row r="138" spans="11:29" ht="18" customHeight="1">
      <c r="K138" s="171" t="s">
        <v>14</v>
      </c>
      <c r="L138" s="171"/>
      <c r="M138" s="171"/>
      <c r="N138" s="145" t="s">
        <v>39</v>
      </c>
      <c r="O138" s="173">
        <v>5</v>
      </c>
      <c r="P138" s="234">
        <f ca="1">OFFSET($A$1,MATCH(Z135,$A:$A,0)-1,O138)</f>
        <v>19.600000000000001</v>
      </c>
      <c r="Q138" s="144" t="s">
        <v>29</v>
      </c>
      <c r="R138" s="118">
        <f t="shared" ca="1" si="33"/>
        <v>310884</v>
      </c>
      <c r="S138" s="118">
        <f t="shared" ca="1" si="33"/>
        <v>6093326</v>
      </c>
      <c r="T138" s="118">
        <f ca="1">고급</f>
        <v>310884</v>
      </c>
      <c r="U138" s="118">
        <f t="shared" ca="1" si="34"/>
        <v>6093326</v>
      </c>
      <c r="V138" s="118"/>
      <c r="W138" s="118"/>
      <c r="X138" s="118"/>
      <c r="Y138" s="118"/>
      <c r="Z138" s="115"/>
    </row>
    <row r="139" spans="11:29" ht="18" customHeight="1">
      <c r="K139" s="171" t="s">
        <v>14</v>
      </c>
      <c r="L139" s="171"/>
      <c r="M139" s="171"/>
      <c r="N139" s="145" t="s">
        <v>40</v>
      </c>
      <c r="O139" s="173">
        <v>6</v>
      </c>
      <c r="P139" s="234">
        <f ca="1">OFFSET($A$1,MATCH(Z135,$A:$A,0)-1,O139)</f>
        <v>20</v>
      </c>
      <c r="Q139" s="144" t="s">
        <v>29</v>
      </c>
      <c r="R139" s="118">
        <f t="shared" ca="1" si="33"/>
        <v>295138</v>
      </c>
      <c r="S139" s="118">
        <f t="shared" ca="1" si="33"/>
        <v>5902760</v>
      </c>
      <c r="T139" s="118">
        <f ca="1">중급</f>
        <v>295138</v>
      </c>
      <c r="U139" s="118">
        <f t="shared" ca="1" si="34"/>
        <v>5902760</v>
      </c>
      <c r="V139" s="118"/>
      <c r="W139" s="118"/>
      <c r="X139" s="118"/>
      <c r="Y139" s="118"/>
      <c r="Z139" s="115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45" t="s">
        <v>41</v>
      </c>
      <c r="O140" s="173">
        <v>7</v>
      </c>
      <c r="P140" s="234">
        <f ca="1">OFFSET($A$1,MATCH(Z135,$A:$A,0)-1,O140)</f>
        <v>19.899999999999999</v>
      </c>
      <c r="Q140" s="144" t="s">
        <v>29</v>
      </c>
      <c r="R140" s="118">
        <f t="shared" ca="1" si="33"/>
        <v>235459</v>
      </c>
      <c r="S140" s="118">
        <f t="shared" ca="1" si="33"/>
        <v>4685634</v>
      </c>
      <c r="T140" s="118">
        <f ca="1">초급</f>
        <v>235459</v>
      </c>
      <c r="U140" s="118">
        <f t="shared" ca="1" si="34"/>
        <v>4685634</v>
      </c>
      <c r="V140" s="118"/>
      <c r="W140" s="118"/>
      <c r="X140" s="118"/>
      <c r="Y140" s="118"/>
      <c r="Z140" s="115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319" t="s">
        <v>42</v>
      </c>
      <c r="O141" s="174">
        <v>8</v>
      </c>
      <c r="P141" s="235">
        <f ca="1">OFFSET($A$1,MATCH(Z135,$A:$A,0)-1,O141)</f>
        <v>11.5</v>
      </c>
      <c r="Q141" s="322" t="s">
        <v>29</v>
      </c>
      <c r="R141" s="323">
        <f t="shared" ca="1" si="33"/>
        <v>250087</v>
      </c>
      <c r="S141" s="323">
        <f t="shared" ca="1" si="33"/>
        <v>2876000</v>
      </c>
      <c r="T141" s="323">
        <f ca="1">보조원</f>
        <v>250087</v>
      </c>
      <c r="U141" s="323">
        <f t="shared" ca="1" si="34"/>
        <v>2876000</v>
      </c>
      <c r="V141" s="323"/>
      <c r="W141" s="323"/>
      <c r="X141" s="323"/>
      <c r="Y141" s="323"/>
      <c r="Z141" s="324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39" t="s">
        <v>17</v>
      </c>
      <c r="O142" s="68"/>
      <c r="P142" s="69"/>
      <c r="Q142" s="70"/>
      <c r="R142" s="71"/>
      <c r="S142" s="71">
        <f ca="1">SUBTOTAL(9,S136:S141)</f>
        <v>26224909</v>
      </c>
      <c r="T142" s="71"/>
      <c r="U142" s="71">
        <f ca="1">SUBTOTAL(9,U136:U141)</f>
        <v>26224909</v>
      </c>
      <c r="V142" s="71"/>
      <c r="W142" s="71"/>
      <c r="X142" s="71"/>
      <c r="Y142" s="71"/>
      <c r="Z142" s="68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318" t="str">
        <f ca="1">"제 " &amp; Z143 &amp; " 호표  "&amp; OFFSET($A$1,MATCH(Z143,$A:$A,0)-1,1)</f>
        <v>제 12 호표  3.3. 이용 및 시설계획</v>
      </c>
      <c r="O143" s="221"/>
      <c r="P143" s="148"/>
      <c r="Q143" s="148"/>
      <c r="R143" s="149"/>
      <c r="S143" s="149"/>
      <c r="T143" s="149"/>
      <c r="U143" s="149"/>
      <c r="V143" s="149"/>
      <c r="W143" s="149"/>
      <c r="X143" s="149"/>
      <c r="Y143" s="149"/>
      <c r="Z143" s="325">
        <f>Z135+1</f>
        <v>12</v>
      </c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0" t="s">
        <v>43</v>
      </c>
      <c r="O144" s="172">
        <v>3</v>
      </c>
      <c r="P144" s="219">
        <f ca="1">OFFSET($A$1,MATCH(Z143,$A:$A,0)-1,O144)</f>
        <v>5</v>
      </c>
      <c r="Q144" s="141" t="s">
        <v>29</v>
      </c>
      <c r="R144" s="142">
        <f t="shared" ref="R144:S149" ca="1" si="35">T144</f>
        <v>467217</v>
      </c>
      <c r="S144" s="142">
        <f t="shared" ca="1" si="35"/>
        <v>2336085</v>
      </c>
      <c r="T144" s="142">
        <f ca="1">기술사</f>
        <v>467217</v>
      </c>
      <c r="U144" s="142">
        <f t="shared" ref="U144:U149" ca="1" si="36">ROUNDDOWN(P144*R144,0)</f>
        <v>2336085</v>
      </c>
      <c r="V144" s="142"/>
      <c r="W144" s="142"/>
      <c r="X144" s="142"/>
      <c r="Y144" s="142"/>
      <c r="Z144" s="114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3" t="s">
        <v>32</v>
      </c>
      <c r="O145" s="173">
        <v>4</v>
      </c>
      <c r="P145" s="234">
        <f ca="1">OFFSET($A$1,MATCH(Z143,$A:$A,0)-1,O145)</f>
        <v>10.4</v>
      </c>
      <c r="Q145" s="144" t="s">
        <v>29</v>
      </c>
      <c r="R145" s="118">
        <f t="shared" ca="1" si="35"/>
        <v>373353</v>
      </c>
      <c r="S145" s="118">
        <f t="shared" ca="1" si="35"/>
        <v>3882871</v>
      </c>
      <c r="T145" s="118">
        <f ca="1">특급</f>
        <v>373353</v>
      </c>
      <c r="U145" s="118">
        <f t="shared" ca="1" si="36"/>
        <v>3882871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45" t="s">
        <v>39</v>
      </c>
      <c r="O146" s="173">
        <v>5</v>
      </c>
      <c r="P146" s="234">
        <f ca="1">OFFSET($A$1,MATCH(Z143,$A:$A,0)-1,O146)</f>
        <v>18.3</v>
      </c>
      <c r="Q146" s="144" t="s">
        <v>29</v>
      </c>
      <c r="R146" s="118">
        <f t="shared" ca="1" si="35"/>
        <v>310884</v>
      </c>
      <c r="S146" s="118">
        <f t="shared" ca="1" si="35"/>
        <v>5689177</v>
      </c>
      <c r="T146" s="118">
        <f ca="1">고급</f>
        <v>310884</v>
      </c>
      <c r="U146" s="118">
        <f t="shared" ca="1" si="36"/>
        <v>5689177</v>
      </c>
      <c r="V146" s="118"/>
      <c r="W146" s="118"/>
      <c r="X146" s="118"/>
      <c r="Y146" s="118"/>
      <c r="Z146" s="115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45" t="s">
        <v>40</v>
      </c>
      <c r="O147" s="173">
        <v>6</v>
      </c>
      <c r="P147" s="234">
        <f ca="1">OFFSET($A$1,MATCH(Z143,$A:$A,0)-1,O147)</f>
        <v>18.7</v>
      </c>
      <c r="Q147" s="144" t="s">
        <v>29</v>
      </c>
      <c r="R147" s="118">
        <f t="shared" ca="1" si="35"/>
        <v>295138</v>
      </c>
      <c r="S147" s="118">
        <f t="shared" ca="1" si="35"/>
        <v>5519080</v>
      </c>
      <c r="T147" s="118">
        <f ca="1">중급</f>
        <v>295138</v>
      </c>
      <c r="U147" s="118">
        <f t="shared" ca="1" si="36"/>
        <v>5519080</v>
      </c>
      <c r="V147" s="118"/>
      <c r="W147" s="118"/>
      <c r="X147" s="118"/>
      <c r="Y147" s="118"/>
      <c r="Z147" s="115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45" t="s">
        <v>41</v>
      </c>
      <c r="O148" s="173">
        <v>7</v>
      </c>
      <c r="P148" s="234">
        <f ca="1">OFFSET($A$1,MATCH(Z143,$A:$A,0)-1,O148)</f>
        <v>18.600000000000001</v>
      </c>
      <c r="Q148" s="144" t="s">
        <v>29</v>
      </c>
      <c r="R148" s="118">
        <f t="shared" ca="1" si="35"/>
        <v>235459</v>
      </c>
      <c r="S148" s="118">
        <f t="shared" ca="1" si="35"/>
        <v>4379537</v>
      </c>
      <c r="T148" s="118">
        <f ca="1">초급</f>
        <v>235459</v>
      </c>
      <c r="U148" s="118">
        <f t="shared" ca="1" si="36"/>
        <v>4379537</v>
      </c>
      <c r="V148" s="118"/>
      <c r="W148" s="118"/>
      <c r="X148" s="118"/>
      <c r="Y148" s="118"/>
      <c r="Z148" s="115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319" t="s">
        <v>42</v>
      </c>
      <c r="O149" s="174">
        <v>8</v>
      </c>
      <c r="P149" s="235">
        <f ca="1">OFFSET($A$1,MATCH(Z143,$A:$A,0)-1,O149)</f>
        <v>10.8</v>
      </c>
      <c r="Q149" s="322" t="s">
        <v>29</v>
      </c>
      <c r="R149" s="323">
        <f t="shared" ca="1" si="35"/>
        <v>250087</v>
      </c>
      <c r="S149" s="323">
        <f t="shared" ca="1" si="35"/>
        <v>2700939</v>
      </c>
      <c r="T149" s="323">
        <f ca="1">보조원</f>
        <v>250087</v>
      </c>
      <c r="U149" s="323">
        <f t="shared" ca="1" si="36"/>
        <v>2700939</v>
      </c>
      <c r="V149" s="323"/>
      <c r="W149" s="323"/>
      <c r="X149" s="323"/>
      <c r="Y149" s="323"/>
      <c r="Z149" s="324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39" t="s">
        <v>17</v>
      </c>
      <c r="O150" s="68"/>
      <c r="P150" s="69"/>
      <c r="Q150" s="70"/>
      <c r="R150" s="71"/>
      <c r="S150" s="71">
        <f ca="1">SUBTOTAL(9,S144:S149)</f>
        <v>24507689</v>
      </c>
      <c r="T150" s="71"/>
      <c r="U150" s="71">
        <f ca="1">SUBTOTAL(9,U144:U149)</f>
        <v>24507689</v>
      </c>
      <c r="V150" s="71"/>
      <c r="W150" s="71"/>
      <c r="X150" s="71"/>
      <c r="Y150" s="71"/>
      <c r="Z150" s="68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318" t="str">
        <f ca="1">"제 " &amp; Z151 &amp; " 호표  "&amp; OFFSET($A$1,MATCH(Z151,$A:$A,0)-1,1)</f>
        <v>제 13 호표  3.4. 환경생태복원계획</v>
      </c>
      <c r="O151" s="221"/>
      <c r="P151" s="148"/>
      <c r="Q151" s="148"/>
      <c r="R151" s="149"/>
      <c r="S151" s="149"/>
      <c r="T151" s="149"/>
      <c r="U151" s="149"/>
      <c r="V151" s="149"/>
      <c r="W151" s="149"/>
      <c r="X151" s="149"/>
      <c r="Y151" s="149"/>
      <c r="Z151" s="325">
        <f>Z143+1</f>
        <v>13</v>
      </c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0" t="s">
        <v>43</v>
      </c>
      <c r="O152" s="172">
        <v>3</v>
      </c>
      <c r="P152" s="219">
        <f ca="1">OFFSET($A$1,MATCH(Z151,$A:$A,0)-1,O152)</f>
        <v>4.5</v>
      </c>
      <c r="Q152" s="141" t="s">
        <v>29</v>
      </c>
      <c r="R152" s="142">
        <f t="shared" ref="R152:S157" ca="1" si="37">T152</f>
        <v>467217</v>
      </c>
      <c r="S152" s="142">
        <f t="shared" ca="1" si="37"/>
        <v>2102476</v>
      </c>
      <c r="T152" s="142">
        <f ca="1">기술사</f>
        <v>467217</v>
      </c>
      <c r="U152" s="142">
        <f t="shared" ref="U152:U157" ca="1" si="38">ROUNDDOWN(P152*R152,0)</f>
        <v>2102476</v>
      </c>
      <c r="V152" s="142"/>
      <c r="W152" s="142"/>
      <c r="X152" s="142"/>
      <c r="Y152" s="142"/>
      <c r="Z152" s="114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3" t="s">
        <v>32</v>
      </c>
      <c r="O153" s="173">
        <v>4</v>
      </c>
      <c r="P153" s="234">
        <f ca="1">OFFSET($A$1,MATCH(Z151,$A:$A,0)-1,O153)</f>
        <v>12.2</v>
      </c>
      <c r="Q153" s="144" t="s">
        <v>29</v>
      </c>
      <c r="R153" s="118">
        <f t="shared" ca="1" si="37"/>
        <v>373353</v>
      </c>
      <c r="S153" s="118">
        <f t="shared" ca="1" si="37"/>
        <v>4554906</v>
      </c>
      <c r="T153" s="118">
        <f ca="1">특급</f>
        <v>373353</v>
      </c>
      <c r="U153" s="118">
        <f t="shared" ca="1" si="38"/>
        <v>4554906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39</v>
      </c>
      <c r="O154" s="173">
        <v>5</v>
      </c>
      <c r="P154" s="234">
        <f ca="1">OFFSET($A$1,MATCH(Z151,$A:$A,0)-1,O154)</f>
        <v>15.4</v>
      </c>
      <c r="Q154" s="144" t="s">
        <v>29</v>
      </c>
      <c r="R154" s="118">
        <f t="shared" ca="1" si="37"/>
        <v>310884</v>
      </c>
      <c r="S154" s="118">
        <f t="shared" ca="1" si="37"/>
        <v>4787613</v>
      </c>
      <c r="T154" s="118">
        <f ca="1">고급</f>
        <v>310884</v>
      </c>
      <c r="U154" s="118">
        <f t="shared" ca="1" si="38"/>
        <v>4787613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40</v>
      </c>
      <c r="O155" s="173">
        <v>6</v>
      </c>
      <c r="P155" s="234">
        <f ca="1">OFFSET($A$1,MATCH(Z151,$A:$A,0)-1,O155)</f>
        <v>19.2</v>
      </c>
      <c r="Q155" s="144" t="s">
        <v>29</v>
      </c>
      <c r="R155" s="118">
        <f t="shared" ca="1" si="37"/>
        <v>295138</v>
      </c>
      <c r="S155" s="118">
        <f t="shared" ca="1" si="37"/>
        <v>5666649</v>
      </c>
      <c r="T155" s="118">
        <f ca="1">중급</f>
        <v>295138</v>
      </c>
      <c r="U155" s="118">
        <f t="shared" ca="1" si="38"/>
        <v>5666649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41</v>
      </c>
      <c r="O156" s="173">
        <v>7</v>
      </c>
      <c r="P156" s="234">
        <f ca="1">OFFSET($A$1,MATCH(Z151,$A:$A,0)-1,O156)</f>
        <v>20</v>
      </c>
      <c r="Q156" s="144" t="s">
        <v>29</v>
      </c>
      <c r="R156" s="118">
        <f t="shared" ca="1" si="37"/>
        <v>235459</v>
      </c>
      <c r="S156" s="118">
        <f t="shared" ca="1" si="37"/>
        <v>4709180</v>
      </c>
      <c r="T156" s="118">
        <f ca="1">초급</f>
        <v>235459</v>
      </c>
      <c r="U156" s="118">
        <f t="shared" ca="1" si="38"/>
        <v>4709180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319" t="s">
        <v>42</v>
      </c>
      <c r="O157" s="174">
        <v>8</v>
      </c>
      <c r="P157" s="235">
        <f ca="1">OFFSET($A$1,MATCH(Z151,$A:$A,0)-1,O157)</f>
        <v>10.3</v>
      </c>
      <c r="Q157" s="322" t="s">
        <v>29</v>
      </c>
      <c r="R157" s="323">
        <f t="shared" ca="1" si="37"/>
        <v>250087</v>
      </c>
      <c r="S157" s="323">
        <f t="shared" ca="1" si="37"/>
        <v>2575896</v>
      </c>
      <c r="T157" s="323">
        <f ca="1">보조원</f>
        <v>250087</v>
      </c>
      <c r="U157" s="323">
        <f t="shared" ca="1" si="38"/>
        <v>2575896</v>
      </c>
      <c r="V157" s="323"/>
      <c r="W157" s="323"/>
      <c r="X157" s="323"/>
      <c r="Y157" s="323"/>
      <c r="Z157" s="324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39" t="s">
        <v>17</v>
      </c>
      <c r="O158" s="68"/>
      <c r="P158" s="69"/>
      <c r="Q158" s="70"/>
      <c r="R158" s="71"/>
      <c r="S158" s="71">
        <f ca="1">SUBTOTAL(9,S152:S157)</f>
        <v>24396720</v>
      </c>
      <c r="T158" s="71"/>
      <c r="U158" s="71">
        <f ca="1">SUBTOTAL(9,U152:U157)</f>
        <v>24396720</v>
      </c>
      <c r="V158" s="71"/>
      <c r="W158" s="71"/>
      <c r="X158" s="71"/>
      <c r="Y158" s="71"/>
      <c r="Z158" s="68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318" t="str">
        <f ca="1">"제 " &amp; Z159 &amp; " 호표  "&amp; OFFSET($A$1,MATCH(Z159,$A:$A,0)-1,1)</f>
        <v>제 14 호표  4.1. 개발추진계획</v>
      </c>
      <c r="O159" s="221"/>
      <c r="P159" s="148"/>
      <c r="Q159" s="148"/>
      <c r="R159" s="149"/>
      <c r="S159" s="149"/>
      <c r="T159" s="149"/>
      <c r="U159" s="149"/>
      <c r="V159" s="149"/>
      <c r="W159" s="149"/>
      <c r="X159" s="149"/>
      <c r="Y159" s="149"/>
      <c r="Z159" s="325">
        <f>Z151+1</f>
        <v>14</v>
      </c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0" t="s">
        <v>43</v>
      </c>
      <c r="O160" s="172">
        <v>3</v>
      </c>
      <c r="P160" s="219">
        <f ca="1">OFFSET($A$1,MATCH(Z159,$A:$A,0)-1,O160)</f>
        <v>1.9</v>
      </c>
      <c r="Q160" s="141" t="s">
        <v>29</v>
      </c>
      <c r="R160" s="142">
        <f t="shared" ref="R160:S165" ca="1" si="39">T160</f>
        <v>467217</v>
      </c>
      <c r="S160" s="142">
        <f t="shared" ca="1" si="39"/>
        <v>887712</v>
      </c>
      <c r="T160" s="142">
        <f ca="1">기술사</f>
        <v>467217</v>
      </c>
      <c r="U160" s="142">
        <f t="shared" ref="U160:U165" ca="1" si="40">ROUNDDOWN(P160*R160,0)</f>
        <v>887712</v>
      </c>
      <c r="V160" s="142"/>
      <c r="W160" s="142"/>
      <c r="X160" s="142"/>
      <c r="Y160" s="142"/>
      <c r="Z160" s="114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3" t="s">
        <v>32</v>
      </c>
      <c r="O161" s="173">
        <v>4</v>
      </c>
      <c r="P161" s="234">
        <f ca="1">OFFSET($A$1,MATCH(Z159,$A:$A,0)-1,O161)</f>
        <v>7.2</v>
      </c>
      <c r="Q161" s="144" t="s">
        <v>29</v>
      </c>
      <c r="R161" s="118">
        <f t="shared" ca="1" si="39"/>
        <v>373353</v>
      </c>
      <c r="S161" s="118">
        <f t="shared" ca="1" si="39"/>
        <v>2688141</v>
      </c>
      <c r="T161" s="118">
        <f ca="1">특급</f>
        <v>373353</v>
      </c>
      <c r="U161" s="118">
        <f t="shared" ca="1" si="40"/>
        <v>2688141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39</v>
      </c>
      <c r="O162" s="173">
        <v>5</v>
      </c>
      <c r="P162" s="234">
        <f ca="1">OFFSET($A$1,MATCH(Z159,$A:$A,0)-1,O162)</f>
        <v>10.3</v>
      </c>
      <c r="Q162" s="144" t="s">
        <v>29</v>
      </c>
      <c r="R162" s="118">
        <f t="shared" ca="1" si="39"/>
        <v>310884</v>
      </c>
      <c r="S162" s="118">
        <f t="shared" ca="1" si="39"/>
        <v>3202105</v>
      </c>
      <c r="T162" s="118">
        <f ca="1">고급</f>
        <v>310884</v>
      </c>
      <c r="U162" s="118">
        <f t="shared" ca="1" si="40"/>
        <v>3202105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40</v>
      </c>
      <c r="O163" s="173">
        <v>6</v>
      </c>
      <c r="P163" s="234">
        <f ca="1">OFFSET($A$1,MATCH(Z159,$A:$A,0)-1,O163)</f>
        <v>12.4</v>
      </c>
      <c r="Q163" s="144" t="s">
        <v>29</v>
      </c>
      <c r="R163" s="118">
        <f t="shared" ca="1" si="39"/>
        <v>295138</v>
      </c>
      <c r="S163" s="118">
        <f t="shared" ca="1" si="39"/>
        <v>3659711</v>
      </c>
      <c r="T163" s="118">
        <f ca="1">중급</f>
        <v>295138</v>
      </c>
      <c r="U163" s="118">
        <f t="shared" ca="1" si="40"/>
        <v>3659711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41</v>
      </c>
      <c r="O164" s="173">
        <v>7</v>
      </c>
      <c r="P164" s="234">
        <f ca="1">OFFSET($A$1,MATCH(Z159,$A:$A,0)-1,O164)</f>
        <v>11.9</v>
      </c>
      <c r="Q164" s="144" t="s">
        <v>29</v>
      </c>
      <c r="R164" s="118">
        <f t="shared" ca="1" si="39"/>
        <v>235459</v>
      </c>
      <c r="S164" s="118">
        <f t="shared" ca="1" si="39"/>
        <v>2801962</v>
      </c>
      <c r="T164" s="118">
        <f ca="1">초급</f>
        <v>235459</v>
      </c>
      <c r="U164" s="118">
        <f t="shared" ca="1" si="40"/>
        <v>2801962</v>
      </c>
      <c r="V164" s="118"/>
      <c r="W164" s="118"/>
      <c r="X164" s="118"/>
      <c r="Y164" s="118"/>
      <c r="Z164" s="115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319" t="s">
        <v>42</v>
      </c>
      <c r="O165" s="174">
        <v>8</v>
      </c>
      <c r="P165" s="235">
        <f ca="1">OFFSET($A$1,MATCH(Z159,$A:$A,0)-1,O165)</f>
        <v>6.9</v>
      </c>
      <c r="Q165" s="322" t="s">
        <v>29</v>
      </c>
      <c r="R165" s="323">
        <f t="shared" ca="1" si="39"/>
        <v>250087</v>
      </c>
      <c r="S165" s="323">
        <f t="shared" ca="1" si="39"/>
        <v>1725600</v>
      </c>
      <c r="T165" s="323">
        <f ca="1">보조원</f>
        <v>250087</v>
      </c>
      <c r="U165" s="323">
        <f t="shared" ca="1" si="40"/>
        <v>1725600</v>
      </c>
      <c r="V165" s="323"/>
      <c r="W165" s="323"/>
      <c r="X165" s="323"/>
      <c r="Y165" s="323"/>
      <c r="Z165" s="324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139" t="s">
        <v>17</v>
      </c>
      <c r="O166" s="68"/>
      <c r="P166" s="69"/>
      <c r="Q166" s="70"/>
      <c r="R166" s="71"/>
      <c r="S166" s="71">
        <f ca="1">SUBTOTAL(9,S160:S165)</f>
        <v>14965231</v>
      </c>
      <c r="T166" s="71"/>
      <c r="U166" s="71">
        <f ca="1">SUBTOTAL(9,U160:U165)</f>
        <v>14965231</v>
      </c>
      <c r="V166" s="71"/>
      <c r="W166" s="71"/>
      <c r="X166" s="71"/>
      <c r="Y166" s="71"/>
      <c r="Z166" s="68"/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318" t="str">
        <f ca="1">"제 " &amp; Z167 &amp; " 호표  "&amp; OFFSET($A$1,MATCH(Z167,$A:$A,0)-1,1)</f>
        <v>제 15 호표  4.2. 관리운영계획</v>
      </c>
      <c r="O167" s="221"/>
      <c r="P167" s="148"/>
      <c r="Q167" s="148"/>
      <c r="R167" s="149"/>
      <c r="S167" s="149"/>
      <c r="T167" s="149"/>
      <c r="U167" s="149"/>
      <c r="V167" s="149"/>
      <c r="W167" s="149"/>
      <c r="X167" s="149"/>
      <c r="Y167" s="149"/>
      <c r="Z167" s="325">
        <f>Z159+1</f>
        <v>15</v>
      </c>
    </row>
    <row r="168" spans="11:29" ht="18" customHeight="1">
      <c r="K168" s="171" t="s">
        <v>14</v>
      </c>
      <c r="L168" s="171"/>
      <c r="M168" s="171"/>
      <c r="N168" s="140" t="s">
        <v>43</v>
      </c>
      <c r="O168" s="172">
        <v>3</v>
      </c>
      <c r="P168" s="219">
        <f ca="1">OFFSET($A$1,MATCH(Z167,$A:$A,0)-1,O168)</f>
        <v>2</v>
      </c>
      <c r="Q168" s="141" t="s">
        <v>29</v>
      </c>
      <c r="R168" s="142">
        <f t="shared" ref="R168:S173" ca="1" si="41">T168</f>
        <v>467217</v>
      </c>
      <c r="S168" s="142">
        <f t="shared" ca="1" si="41"/>
        <v>934434</v>
      </c>
      <c r="T168" s="142">
        <f ca="1">기술사</f>
        <v>467217</v>
      </c>
      <c r="U168" s="142">
        <f t="shared" ref="U168:U173" ca="1" si="42">ROUNDDOWN(P168*R168,0)</f>
        <v>934434</v>
      </c>
      <c r="V168" s="142"/>
      <c r="W168" s="142"/>
      <c r="X168" s="142"/>
      <c r="Y168" s="142"/>
      <c r="Z168" s="114"/>
    </row>
    <row r="169" spans="11:29" ht="18" customHeight="1">
      <c r="K169" s="171" t="s">
        <v>14</v>
      </c>
      <c r="L169" s="171"/>
      <c r="M169" s="171"/>
      <c r="N169" s="143" t="s">
        <v>32</v>
      </c>
      <c r="O169" s="173">
        <v>4</v>
      </c>
      <c r="P169" s="234">
        <f ca="1">OFFSET($A$1,MATCH(Z167,$A:$A,0)-1,O169)</f>
        <v>7.7</v>
      </c>
      <c r="Q169" s="144" t="s">
        <v>29</v>
      </c>
      <c r="R169" s="118">
        <f t="shared" ca="1" si="41"/>
        <v>373353</v>
      </c>
      <c r="S169" s="118">
        <f t="shared" ca="1" si="41"/>
        <v>2874818</v>
      </c>
      <c r="T169" s="118">
        <f ca="1">특급</f>
        <v>373353</v>
      </c>
      <c r="U169" s="118">
        <f t="shared" ca="1" si="42"/>
        <v>2874818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145" t="s">
        <v>39</v>
      </c>
      <c r="O170" s="173">
        <v>5</v>
      </c>
      <c r="P170" s="234">
        <f ca="1">OFFSET($A$1,MATCH(Z167,$A:$A,0)-1,O170)</f>
        <v>11.1</v>
      </c>
      <c r="Q170" s="144" t="s">
        <v>29</v>
      </c>
      <c r="R170" s="118">
        <f t="shared" ca="1" si="41"/>
        <v>310884</v>
      </c>
      <c r="S170" s="118">
        <f t="shared" ca="1" si="41"/>
        <v>3450812</v>
      </c>
      <c r="T170" s="118">
        <f ca="1">고급</f>
        <v>310884</v>
      </c>
      <c r="U170" s="118">
        <f t="shared" ca="1" si="42"/>
        <v>3450812</v>
      </c>
      <c r="V170" s="118"/>
      <c r="W170" s="118"/>
      <c r="X170" s="118"/>
      <c r="Y170" s="118"/>
      <c r="Z170" s="115"/>
    </row>
    <row r="171" spans="11:29" ht="18" customHeight="1">
      <c r="K171" s="171" t="s">
        <v>14</v>
      </c>
      <c r="L171" s="171"/>
      <c r="M171" s="171"/>
      <c r="N171" s="145" t="s">
        <v>40</v>
      </c>
      <c r="O171" s="173">
        <v>6</v>
      </c>
      <c r="P171" s="234">
        <f ca="1">OFFSET($A$1,MATCH(Z167,$A:$A,0)-1,O171)</f>
        <v>13.3</v>
      </c>
      <c r="Q171" s="144" t="s">
        <v>29</v>
      </c>
      <c r="R171" s="118">
        <f t="shared" ca="1" si="41"/>
        <v>295138</v>
      </c>
      <c r="S171" s="118">
        <f t="shared" ca="1" si="41"/>
        <v>3925335</v>
      </c>
      <c r="T171" s="118">
        <f ca="1">중급</f>
        <v>295138</v>
      </c>
      <c r="U171" s="118">
        <f t="shared" ca="1" si="42"/>
        <v>3925335</v>
      </c>
      <c r="V171" s="118"/>
      <c r="W171" s="118"/>
      <c r="X171" s="118"/>
      <c r="Y171" s="118"/>
      <c r="Z171" s="115"/>
    </row>
    <row r="172" spans="11:29" ht="18" customHeight="1">
      <c r="K172" s="171" t="s">
        <v>14</v>
      </c>
      <c r="L172" s="171"/>
      <c r="M172" s="171"/>
      <c r="N172" s="145" t="s">
        <v>41</v>
      </c>
      <c r="O172" s="173">
        <v>7</v>
      </c>
      <c r="P172" s="234">
        <f ca="1">OFFSET($A$1,MATCH(Z167,$A:$A,0)-1,O172)</f>
        <v>12.8</v>
      </c>
      <c r="Q172" s="144" t="s">
        <v>29</v>
      </c>
      <c r="R172" s="118">
        <f t="shared" ca="1" si="41"/>
        <v>235459</v>
      </c>
      <c r="S172" s="118">
        <f t="shared" ca="1" si="41"/>
        <v>3013875</v>
      </c>
      <c r="T172" s="118">
        <f ca="1">초급</f>
        <v>235459</v>
      </c>
      <c r="U172" s="118">
        <f t="shared" ca="1" si="42"/>
        <v>3013875</v>
      </c>
      <c r="V172" s="118"/>
      <c r="W172" s="118"/>
      <c r="X172" s="118"/>
      <c r="Y172" s="118"/>
      <c r="Z172" s="115"/>
    </row>
    <row r="173" spans="11:29" ht="18" customHeight="1">
      <c r="K173" s="171" t="s">
        <v>14</v>
      </c>
      <c r="L173" s="171"/>
      <c r="M173" s="171"/>
      <c r="N173" s="319" t="s">
        <v>42</v>
      </c>
      <c r="O173" s="174">
        <v>8</v>
      </c>
      <c r="P173" s="235">
        <f ca="1">OFFSET($A$1,MATCH(Z167,$A:$A,0)-1,O173)</f>
        <v>7.4</v>
      </c>
      <c r="Q173" s="322" t="s">
        <v>29</v>
      </c>
      <c r="R173" s="323">
        <f t="shared" ca="1" si="41"/>
        <v>250087</v>
      </c>
      <c r="S173" s="323">
        <f t="shared" ca="1" si="41"/>
        <v>1850643</v>
      </c>
      <c r="T173" s="323">
        <f ca="1">보조원</f>
        <v>250087</v>
      </c>
      <c r="U173" s="323">
        <f t="shared" ca="1" si="42"/>
        <v>1850643</v>
      </c>
      <c r="V173" s="323"/>
      <c r="W173" s="323"/>
      <c r="X173" s="323"/>
      <c r="Y173" s="323"/>
      <c r="Z173" s="324"/>
    </row>
    <row r="174" spans="11:29" ht="18" customHeight="1">
      <c r="K174" s="171" t="s">
        <v>14</v>
      </c>
      <c r="L174" s="171"/>
      <c r="M174" s="171"/>
      <c r="N174" s="139" t="s">
        <v>17</v>
      </c>
      <c r="O174" s="68"/>
      <c r="P174" s="69"/>
      <c r="Q174" s="70"/>
      <c r="R174" s="71"/>
      <c r="S174" s="71">
        <f ca="1">SUBTOTAL(9,S168:S173)</f>
        <v>16049917</v>
      </c>
      <c r="T174" s="71"/>
      <c r="U174" s="71">
        <f ca="1">SUBTOTAL(9,U168:U173)</f>
        <v>16049917</v>
      </c>
      <c r="V174" s="71"/>
      <c r="W174" s="71"/>
      <c r="X174" s="71"/>
      <c r="Y174" s="71"/>
      <c r="Z174" s="68"/>
    </row>
    <row r="175" spans="11:29" ht="18" customHeight="1">
      <c r="K175" s="171" t="s">
        <v>14</v>
      </c>
      <c r="L175" s="171"/>
      <c r="M175" s="171"/>
      <c r="N175" s="318" t="str">
        <f ca="1">"제 " &amp; Z175 &amp; " 호표  "&amp; OFFSET($A$1,MATCH(Z175,$A:$A,0)-1,1)</f>
        <v>제 16 호표  5.1. 보고서</v>
      </c>
      <c r="O175" s="221"/>
      <c r="P175" s="148"/>
      <c r="Q175" s="148"/>
      <c r="R175" s="149"/>
      <c r="S175" s="149"/>
      <c r="T175" s="149"/>
      <c r="U175" s="149"/>
      <c r="V175" s="149"/>
      <c r="W175" s="149"/>
      <c r="X175" s="149"/>
      <c r="Y175" s="149"/>
      <c r="Z175" s="325">
        <f>Z167+1</f>
        <v>16</v>
      </c>
    </row>
    <row r="176" spans="11:29" ht="18" customHeight="1">
      <c r="K176" s="171" t="s">
        <v>14</v>
      </c>
      <c r="L176" s="171"/>
      <c r="M176" s="171"/>
      <c r="N176" s="140" t="s">
        <v>43</v>
      </c>
      <c r="O176" s="172">
        <v>3</v>
      </c>
      <c r="P176" s="219">
        <f ca="1">OFFSET($A$1,MATCH(Z175,$A:$A,0)-1,O176)</f>
        <v>0.7</v>
      </c>
      <c r="Q176" s="141" t="s">
        <v>29</v>
      </c>
      <c r="R176" s="142">
        <f t="shared" ref="R176:S181" ca="1" si="43">T176</f>
        <v>467217</v>
      </c>
      <c r="S176" s="142">
        <f t="shared" ca="1" si="43"/>
        <v>327051</v>
      </c>
      <c r="T176" s="142">
        <f ca="1">기술사</f>
        <v>467217</v>
      </c>
      <c r="U176" s="142">
        <f t="shared" ref="U176:U181" ca="1" si="44">ROUNDDOWN(P176*R176,0)</f>
        <v>327051</v>
      </c>
      <c r="V176" s="142"/>
      <c r="W176" s="142"/>
      <c r="X176" s="142"/>
      <c r="Y176" s="142"/>
      <c r="Z176" s="114"/>
    </row>
    <row r="177" spans="11:26" ht="18" customHeight="1">
      <c r="K177" s="171" t="s">
        <v>14</v>
      </c>
      <c r="L177" s="171"/>
      <c r="M177" s="171"/>
      <c r="N177" s="143" t="s">
        <v>32</v>
      </c>
      <c r="O177" s="173">
        <v>4</v>
      </c>
      <c r="P177" s="234">
        <f ca="1">OFFSET($A$1,MATCH(Z175,$A:$A,0)-1,O177)</f>
        <v>2.5</v>
      </c>
      <c r="Q177" s="144" t="s">
        <v>29</v>
      </c>
      <c r="R177" s="118">
        <f t="shared" ca="1" si="43"/>
        <v>373353</v>
      </c>
      <c r="S177" s="118">
        <f t="shared" ca="1" si="43"/>
        <v>933382</v>
      </c>
      <c r="T177" s="118">
        <f ca="1">특급</f>
        <v>373353</v>
      </c>
      <c r="U177" s="118">
        <f t="shared" ca="1" si="44"/>
        <v>933382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145" t="s">
        <v>39</v>
      </c>
      <c r="O178" s="173">
        <v>5</v>
      </c>
      <c r="P178" s="234">
        <f ca="1">OFFSET($A$1,MATCH(Z175,$A:$A,0)-1,O178)</f>
        <v>4.9000000000000004</v>
      </c>
      <c r="Q178" s="144" t="s">
        <v>29</v>
      </c>
      <c r="R178" s="118">
        <f t="shared" ca="1" si="43"/>
        <v>310884</v>
      </c>
      <c r="S178" s="118">
        <f t="shared" ca="1" si="43"/>
        <v>1523331</v>
      </c>
      <c r="T178" s="118">
        <f ca="1">고급</f>
        <v>310884</v>
      </c>
      <c r="U178" s="118">
        <f t="shared" ca="1" si="44"/>
        <v>1523331</v>
      </c>
      <c r="V178" s="118"/>
      <c r="W178" s="118"/>
      <c r="X178" s="118"/>
      <c r="Y178" s="118"/>
      <c r="Z178" s="115"/>
    </row>
    <row r="179" spans="11:26" ht="18" customHeight="1">
      <c r="K179" s="171" t="s">
        <v>14</v>
      </c>
      <c r="L179" s="171"/>
      <c r="M179" s="171"/>
      <c r="N179" s="145" t="s">
        <v>40</v>
      </c>
      <c r="O179" s="173">
        <v>6</v>
      </c>
      <c r="P179" s="234">
        <f ca="1">OFFSET($A$1,MATCH(Z175,$A:$A,0)-1,O179)</f>
        <v>5.9</v>
      </c>
      <c r="Q179" s="144" t="s">
        <v>29</v>
      </c>
      <c r="R179" s="118">
        <f t="shared" ca="1" si="43"/>
        <v>295138</v>
      </c>
      <c r="S179" s="118">
        <f t="shared" ca="1" si="43"/>
        <v>1741314</v>
      </c>
      <c r="T179" s="118">
        <f ca="1">중급</f>
        <v>295138</v>
      </c>
      <c r="U179" s="118">
        <f t="shared" ca="1" si="44"/>
        <v>1741314</v>
      </c>
      <c r="V179" s="118"/>
      <c r="W179" s="118"/>
      <c r="X179" s="118"/>
      <c r="Y179" s="118"/>
      <c r="Z179" s="115"/>
    </row>
    <row r="180" spans="11:26" ht="18" customHeight="1">
      <c r="K180" s="171" t="s">
        <v>14</v>
      </c>
      <c r="L180" s="171"/>
      <c r="M180" s="171"/>
      <c r="N180" s="145" t="s">
        <v>41</v>
      </c>
      <c r="O180" s="173">
        <v>7</v>
      </c>
      <c r="P180" s="234">
        <f ca="1">OFFSET($A$1,MATCH(Z175,$A:$A,0)-1,O180)</f>
        <v>6.6</v>
      </c>
      <c r="Q180" s="144" t="s">
        <v>29</v>
      </c>
      <c r="R180" s="118">
        <f t="shared" ca="1" si="43"/>
        <v>235459</v>
      </c>
      <c r="S180" s="118">
        <f t="shared" ca="1" si="43"/>
        <v>1554029</v>
      </c>
      <c r="T180" s="118">
        <f ca="1">초급</f>
        <v>235459</v>
      </c>
      <c r="U180" s="118">
        <f t="shared" ca="1" si="44"/>
        <v>1554029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319" t="s">
        <v>42</v>
      </c>
      <c r="O181" s="174">
        <v>8</v>
      </c>
      <c r="P181" s="235">
        <f ca="1">OFFSET($A$1,MATCH(Z175,$A:$A,0)-1,O181)</f>
        <v>3</v>
      </c>
      <c r="Q181" s="322" t="s">
        <v>29</v>
      </c>
      <c r="R181" s="323">
        <f t="shared" ca="1" si="43"/>
        <v>250087</v>
      </c>
      <c r="S181" s="323">
        <f t="shared" ca="1" si="43"/>
        <v>750261</v>
      </c>
      <c r="T181" s="323">
        <f ca="1">보조원</f>
        <v>250087</v>
      </c>
      <c r="U181" s="323">
        <f t="shared" ca="1" si="44"/>
        <v>750261</v>
      </c>
      <c r="V181" s="323"/>
      <c r="W181" s="323"/>
      <c r="X181" s="323"/>
      <c r="Y181" s="323"/>
      <c r="Z181" s="324"/>
    </row>
    <row r="182" spans="11:26" ht="18" customHeight="1">
      <c r="K182" s="171" t="s">
        <v>14</v>
      </c>
      <c r="L182" s="171"/>
      <c r="M182" s="171"/>
      <c r="N182" s="139" t="s">
        <v>17</v>
      </c>
      <c r="O182" s="68"/>
      <c r="P182" s="69"/>
      <c r="Q182" s="70"/>
      <c r="R182" s="71"/>
      <c r="S182" s="71">
        <f ca="1">SUBTOTAL(9,S176:S181)</f>
        <v>6829368</v>
      </c>
      <c r="T182" s="71"/>
      <c r="U182" s="71">
        <f ca="1">SUBTOTAL(9,U176:U181)</f>
        <v>6829368</v>
      </c>
      <c r="V182" s="71"/>
      <c r="W182" s="71"/>
      <c r="X182" s="71"/>
      <c r="Y182" s="71"/>
      <c r="Z182" s="68"/>
    </row>
    <row r="183" spans="11:26" ht="18" customHeight="1">
      <c r="K183" s="171" t="s">
        <v>14</v>
      </c>
      <c r="L183" s="171"/>
      <c r="M183" s="171"/>
      <c r="N183" s="318" t="str">
        <f ca="1">"제 " &amp; Z183 &amp; " 호표  "&amp; OFFSET($A$1,MATCH(Z183,$A:$A,0)-1,1)</f>
        <v>제 17 호표  5.2. 관련도서</v>
      </c>
      <c r="O183" s="221"/>
      <c r="P183" s="148"/>
      <c r="Q183" s="148"/>
      <c r="R183" s="149"/>
      <c r="S183" s="149"/>
      <c r="T183" s="149"/>
      <c r="U183" s="149"/>
      <c r="V183" s="149"/>
      <c r="W183" s="149"/>
      <c r="X183" s="149"/>
      <c r="Y183" s="149"/>
      <c r="Z183" s="325">
        <f>Z175+1</f>
        <v>17</v>
      </c>
    </row>
    <row r="184" spans="11:26" ht="18" customHeight="1">
      <c r="K184" s="171" t="s">
        <v>14</v>
      </c>
      <c r="L184" s="171"/>
      <c r="M184" s="171"/>
      <c r="N184" s="140" t="s">
        <v>43</v>
      </c>
      <c r="O184" s="172">
        <v>3</v>
      </c>
      <c r="P184" s="219">
        <f ca="1">OFFSET($A$1,MATCH(Z183,$A:$A,0)-1,O184)</f>
        <v>1.4</v>
      </c>
      <c r="Q184" s="141" t="s">
        <v>29</v>
      </c>
      <c r="R184" s="142">
        <f t="shared" ref="R184:S189" ca="1" si="45">T184</f>
        <v>467217</v>
      </c>
      <c r="S184" s="142">
        <f t="shared" ca="1" si="45"/>
        <v>654103</v>
      </c>
      <c r="T184" s="142">
        <f ca="1">기술사</f>
        <v>467217</v>
      </c>
      <c r="U184" s="142">
        <f t="shared" ref="U184:U189" ca="1" si="46">ROUNDDOWN(P184*R184,0)</f>
        <v>654103</v>
      </c>
      <c r="V184" s="142"/>
      <c r="W184" s="142"/>
      <c r="X184" s="142"/>
      <c r="Y184" s="142"/>
      <c r="Z184" s="114"/>
    </row>
    <row r="185" spans="11:26" ht="18" customHeight="1">
      <c r="K185" s="171" t="s">
        <v>14</v>
      </c>
      <c r="L185" s="171"/>
      <c r="M185" s="171"/>
      <c r="N185" s="143" t="s">
        <v>32</v>
      </c>
      <c r="O185" s="173">
        <v>4</v>
      </c>
      <c r="P185" s="234">
        <f ca="1">OFFSET($A$1,MATCH(Z183,$A:$A,0)-1,O185)</f>
        <v>4.9000000000000004</v>
      </c>
      <c r="Q185" s="144" t="s">
        <v>29</v>
      </c>
      <c r="R185" s="118">
        <f t="shared" ca="1" si="45"/>
        <v>373353</v>
      </c>
      <c r="S185" s="118">
        <f t="shared" ca="1" si="45"/>
        <v>1829429</v>
      </c>
      <c r="T185" s="118">
        <f ca="1">특급</f>
        <v>373353</v>
      </c>
      <c r="U185" s="118">
        <f t="shared" ca="1" si="46"/>
        <v>1829429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145" t="s">
        <v>39</v>
      </c>
      <c r="O186" s="173">
        <v>5</v>
      </c>
      <c r="P186" s="234">
        <f ca="1">OFFSET($A$1,MATCH(Z183,$A:$A,0)-1,O186)</f>
        <v>9.9</v>
      </c>
      <c r="Q186" s="144" t="s">
        <v>29</v>
      </c>
      <c r="R186" s="118">
        <f t="shared" ca="1" si="45"/>
        <v>310884</v>
      </c>
      <c r="S186" s="118">
        <f t="shared" ca="1" si="45"/>
        <v>3077751</v>
      </c>
      <c r="T186" s="118">
        <f ca="1">고급</f>
        <v>310884</v>
      </c>
      <c r="U186" s="118">
        <f t="shared" ca="1" si="46"/>
        <v>3077751</v>
      </c>
      <c r="V186" s="118"/>
      <c r="W186" s="118"/>
      <c r="X186" s="118"/>
      <c r="Y186" s="118"/>
      <c r="Z186" s="115"/>
    </row>
    <row r="187" spans="11:26" ht="18" customHeight="1">
      <c r="K187" s="171" t="s">
        <v>14</v>
      </c>
      <c r="L187" s="171"/>
      <c r="M187" s="171"/>
      <c r="N187" s="145" t="s">
        <v>40</v>
      </c>
      <c r="O187" s="173">
        <v>6</v>
      </c>
      <c r="P187" s="234">
        <f ca="1">OFFSET($A$1,MATCH(Z183,$A:$A,0)-1,O187)</f>
        <v>11.8</v>
      </c>
      <c r="Q187" s="144" t="s">
        <v>29</v>
      </c>
      <c r="R187" s="118">
        <f t="shared" ca="1" si="45"/>
        <v>295138</v>
      </c>
      <c r="S187" s="118">
        <f t="shared" ca="1" si="45"/>
        <v>3482628</v>
      </c>
      <c r="T187" s="118">
        <f ca="1">중급</f>
        <v>295138</v>
      </c>
      <c r="U187" s="118">
        <f t="shared" ca="1" si="46"/>
        <v>3482628</v>
      </c>
      <c r="V187" s="118"/>
      <c r="W187" s="118"/>
      <c r="X187" s="118"/>
      <c r="Y187" s="118"/>
      <c r="Z187" s="115"/>
    </row>
    <row r="188" spans="11:26" ht="18" customHeight="1">
      <c r="K188" s="171" t="s">
        <v>14</v>
      </c>
      <c r="L188" s="171"/>
      <c r="M188" s="171"/>
      <c r="N188" s="145" t="s">
        <v>41</v>
      </c>
      <c r="O188" s="173">
        <v>7</v>
      </c>
      <c r="P188" s="234">
        <f ca="1">OFFSET($A$1,MATCH(Z183,$A:$A,0)-1,O188)</f>
        <v>13.2</v>
      </c>
      <c r="Q188" s="144" t="s">
        <v>29</v>
      </c>
      <c r="R188" s="118">
        <f t="shared" ca="1" si="45"/>
        <v>235459</v>
      </c>
      <c r="S188" s="118">
        <f t="shared" ca="1" si="45"/>
        <v>3108058</v>
      </c>
      <c r="T188" s="118">
        <f ca="1">초급</f>
        <v>235459</v>
      </c>
      <c r="U188" s="118">
        <f t="shared" ca="1" si="46"/>
        <v>3108058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319" t="s">
        <v>42</v>
      </c>
      <c r="O189" s="174">
        <v>8</v>
      </c>
      <c r="P189" s="235">
        <f ca="1">OFFSET($A$1,MATCH(Z183,$A:$A,0)-1,O189)</f>
        <v>5.9</v>
      </c>
      <c r="Q189" s="322" t="s">
        <v>29</v>
      </c>
      <c r="R189" s="323">
        <f t="shared" ca="1" si="45"/>
        <v>250087</v>
      </c>
      <c r="S189" s="323">
        <f t="shared" ca="1" si="45"/>
        <v>1475513</v>
      </c>
      <c r="T189" s="323">
        <f ca="1">보조원</f>
        <v>250087</v>
      </c>
      <c r="U189" s="323">
        <f t="shared" ca="1" si="46"/>
        <v>1475513</v>
      </c>
      <c r="V189" s="323"/>
      <c r="W189" s="323"/>
      <c r="X189" s="323"/>
      <c r="Y189" s="323"/>
      <c r="Z189" s="324"/>
    </row>
    <row r="190" spans="11:26" ht="18" customHeight="1">
      <c r="K190" s="171" t="s">
        <v>14</v>
      </c>
      <c r="L190" s="171"/>
      <c r="M190" s="171"/>
      <c r="N190" s="139" t="s">
        <v>17</v>
      </c>
      <c r="O190" s="68"/>
      <c r="P190" s="69"/>
      <c r="Q190" s="70"/>
      <c r="R190" s="71"/>
      <c r="S190" s="71">
        <f ca="1">SUBTOTAL(9,S184:S189)</f>
        <v>13627482</v>
      </c>
      <c r="T190" s="71"/>
      <c r="U190" s="71">
        <f ca="1">SUBTOTAL(9,U184:U189)</f>
        <v>13627482</v>
      </c>
      <c r="V190" s="71"/>
      <c r="W190" s="71"/>
      <c r="X190" s="71"/>
      <c r="Y190" s="71"/>
      <c r="Z190" s="68"/>
    </row>
    <row r="191" spans="11:26" ht="18" customHeight="1">
      <c r="K191" s="171" t="s">
        <v>14</v>
      </c>
      <c r="L191" s="171"/>
      <c r="M191" s="171"/>
      <c r="N191" s="318" t="str">
        <f ca="1">"제 " &amp; Z191 &amp; " 호표  "&amp; OFFSET($A$1,MATCH(Z191,$A:$A,0)-1,1)</f>
        <v>제 18 호표  6.1. 위원회 심의 지원</v>
      </c>
      <c r="O191" s="221"/>
      <c r="P191" s="148"/>
      <c r="Q191" s="148"/>
      <c r="R191" s="149"/>
      <c r="S191" s="149"/>
      <c r="T191" s="149"/>
      <c r="U191" s="149"/>
      <c r="V191" s="149"/>
      <c r="W191" s="149"/>
      <c r="X191" s="149"/>
      <c r="Y191" s="149"/>
      <c r="Z191" s="325">
        <f>Z183+1</f>
        <v>18</v>
      </c>
    </row>
    <row r="192" spans="11:26" ht="18" customHeight="1">
      <c r="K192" s="171" t="s">
        <v>14</v>
      </c>
      <c r="L192" s="171"/>
      <c r="M192" s="171"/>
      <c r="N192" s="140" t="s">
        <v>43</v>
      </c>
      <c r="O192" s="172">
        <v>3</v>
      </c>
      <c r="P192" s="219">
        <f ca="1">OFFSET($A$1,MATCH(Z191,$A:$A,0)-1,O192)</f>
        <v>0.5</v>
      </c>
      <c r="Q192" s="141" t="s">
        <v>29</v>
      </c>
      <c r="R192" s="142">
        <f t="shared" ref="R192:S197" ca="1" si="47">T192</f>
        <v>467217</v>
      </c>
      <c r="S192" s="142">
        <f t="shared" ca="1" si="47"/>
        <v>233608</v>
      </c>
      <c r="T192" s="142">
        <f ca="1">기술사</f>
        <v>467217</v>
      </c>
      <c r="U192" s="142">
        <f t="shared" ref="U192:U197" ca="1" si="48">ROUNDDOWN(P192*R192,0)</f>
        <v>233608</v>
      </c>
      <c r="V192" s="142"/>
      <c r="W192" s="142"/>
      <c r="X192" s="142"/>
      <c r="Y192" s="142"/>
      <c r="Z192" s="114"/>
    </row>
    <row r="193" spans="11:26" ht="18" customHeight="1">
      <c r="K193" s="171" t="s">
        <v>14</v>
      </c>
      <c r="L193" s="171"/>
      <c r="M193" s="171"/>
      <c r="N193" s="143" t="s">
        <v>32</v>
      </c>
      <c r="O193" s="173">
        <v>4</v>
      </c>
      <c r="P193" s="234">
        <f ca="1">OFFSET($A$1,MATCH(Z191,$A:$A,0)-1,O193)</f>
        <v>1.4</v>
      </c>
      <c r="Q193" s="144" t="s">
        <v>29</v>
      </c>
      <c r="R193" s="118">
        <f t="shared" ca="1" si="47"/>
        <v>373353</v>
      </c>
      <c r="S193" s="118">
        <f t="shared" ca="1" si="47"/>
        <v>522694</v>
      </c>
      <c r="T193" s="118">
        <f ca="1">특급</f>
        <v>373353</v>
      </c>
      <c r="U193" s="118">
        <f t="shared" ca="1" si="48"/>
        <v>522694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39</v>
      </c>
      <c r="O194" s="173">
        <v>5</v>
      </c>
      <c r="P194" s="234">
        <f ca="1">OFFSET($A$1,MATCH(Z191,$A:$A,0)-1,O194)</f>
        <v>2.1</v>
      </c>
      <c r="Q194" s="144" t="s">
        <v>29</v>
      </c>
      <c r="R194" s="118">
        <f t="shared" ca="1" si="47"/>
        <v>310884</v>
      </c>
      <c r="S194" s="118">
        <f t="shared" ca="1" si="47"/>
        <v>652856</v>
      </c>
      <c r="T194" s="118">
        <f ca="1">고급</f>
        <v>310884</v>
      </c>
      <c r="U194" s="118">
        <f t="shared" ca="1" si="48"/>
        <v>652856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40</v>
      </c>
      <c r="O195" s="173">
        <v>6</v>
      </c>
      <c r="P195" s="234">
        <f ca="1">OFFSET($A$1,MATCH(Z191,$A:$A,0)-1,O195)</f>
        <v>2.4</v>
      </c>
      <c r="Q195" s="144" t="s">
        <v>29</v>
      </c>
      <c r="R195" s="118">
        <f t="shared" ca="1" si="47"/>
        <v>295138</v>
      </c>
      <c r="S195" s="118">
        <f t="shared" ca="1" si="47"/>
        <v>708331</v>
      </c>
      <c r="T195" s="118">
        <f ca="1">중급</f>
        <v>295138</v>
      </c>
      <c r="U195" s="118">
        <f t="shared" ca="1" si="48"/>
        <v>708331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41</v>
      </c>
      <c r="O196" s="173">
        <v>7</v>
      </c>
      <c r="P196" s="234">
        <f ca="1">OFFSET($A$1,MATCH(Z191,$A:$A,0)-1,O196)</f>
        <v>2.4</v>
      </c>
      <c r="Q196" s="144" t="s">
        <v>29</v>
      </c>
      <c r="R196" s="118">
        <f t="shared" ca="1" si="47"/>
        <v>235459</v>
      </c>
      <c r="S196" s="118">
        <f t="shared" ca="1" si="47"/>
        <v>565101</v>
      </c>
      <c r="T196" s="118">
        <f ca="1">초급</f>
        <v>235459</v>
      </c>
      <c r="U196" s="118">
        <f t="shared" ca="1" si="48"/>
        <v>565101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319" t="s">
        <v>42</v>
      </c>
      <c r="O197" s="174">
        <v>8</v>
      </c>
      <c r="P197" s="235">
        <f ca="1">OFFSET($A$1,MATCH(Z191,$A:$A,0)-1,O197)</f>
        <v>1.4</v>
      </c>
      <c r="Q197" s="322" t="s">
        <v>29</v>
      </c>
      <c r="R197" s="323">
        <f t="shared" ca="1" si="47"/>
        <v>250087</v>
      </c>
      <c r="S197" s="323">
        <f t="shared" ca="1" si="47"/>
        <v>350121</v>
      </c>
      <c r="T197" s="323">
        <f ca="1">보조원</f>
        <v>250087</v>
      </c>
      <c r="U197" s="323">
        <f t="shared" ca="1" si="48"/>
        <v>350121</v>
      </c>
      <c r="V197" s="323"/>
      <c r="W197" s="323"/>
      <c r="X197" s="323"/>
      <c r="Y197" s="323"/>
      <c r="Z197" s="324"/>
    </row>
    <row r="198" spans="11:26" ht="18" customHeight="1">
      <c r="K198" s="171" t="s">
        <v>14</v>
      </c>
      <c r="L198" s="171"/>
      <c r="M198" s="171"/>
      <c r="N198" s="139" t="s">
        <v>17</v>
      </c>
      <c r="O198" s="68"/>
      <c r="P198" s="69"/>
      <c r="Q198" s="70"/>
      <c r="R198" s="71"/>
      <c r="S198" s="71">
        <f ca="1">SUBTOTAL(9,S192:S197)</f>
        <v>3032711</v>
      </c>
      <c r="T198" s="71"/>
      <c r="U198" s="71">
        <f ca="1">SUBTOTAL(9,U192:U197)</f>
        <v>3032711</v>
      </c>
      <c r="V198" s="71"/>
      <c r="W198" s="71"/>
      <c r="X198" s="71"/>
      <c r="Y198" s="71"/>
      <c r="Z198" s="68"/>
    </row>
    <row r="199" spans="11:26" ht="18" customHeight="1">
      <c r="K199" s="171" t="s">
        <v>14</v>
      </c>
      <c r="L199" s="171"/>
      <c r="M199" s="171"/>
      <c r="N199" s="318" t="str">
        <f ca="1">"제 " &amp; Z199 &amp; " 호표  "&amp; OFFSET($A$1,MATCH(Z199,$A:$A,0)-1,1)</f>
        <v>제 19 호표  6.2. 주민설명회 자료 작성 등</v>
      </c>
      <c r="O199" s="221"/>
      <c r="P199" s="148"/>
      <c r="Q199" s="148"/>
      <c r="R199" s="149"/>
      <c r="S199" s="149"/>
      <c r="T199" s="149"/>
      <c r="U199" s="149"/>
      <c r="V199" s="149"/>
      <c r="W199" s="149"/>
      <c r="X199" s="149"/>
      <c r="Y199" s="149"/>
      <c r="Z199" s="325">
        <f>Z191+1</f>
        <v>19</v>
      </c>
    </row>
    <row r="200" spans="11:26" ht="18" customHeight="1">
      <c r="K200" s="171" t="s">
        <v>14</v>
      </c>
      <c r="L200" s="171"/>
      <c r="M200" s="171"/>
      <c r="N200" s="140" t="s">
        <v>43</v>
      </c>
      <c r="O200" s="172">
        <v>3</v>
      </c>
      <c r="P200" s="219">
        <f ca="1">OFFSET($A$1,MATCH(Z199,$A:$A,0)-1,O200)</f>
        <v>0.6</v>
      </c>
      <c r="Q200" s="141" t="s">
        <v>29</v>
      </c>
      <c r="R200" s="142">
        <f t="shared" ref="R200:S205" ca="1" si="49">T200</f>
        <v>467217</v>
      </c>
      <c r="S200" s="142">
        <f t="shared" ca="1" si="49"/>
        <v>280330</v>
      </c>
      <c r="T200" s="142">
        <f ca="1">기술사</f>
        <v>467217</v>
      </c>
      <c r="U200" s="142">
        <f t="shared" ref="U200:U205" ca="1" si="50">ROUNDDOWN(P200*R200,0)</f>
        <v>280330</v>
      </c>
      <c r="V200" s="142"/>
      <c r="W200" s="142"/>
      <c r="X200" s="142"/>
      <c r="Y200" s="142"/>
      <c r="Z200" s="114"/>
    </row>
    <row r="201" spans="11:26" ht="18" customHeight="1">
      <c r="K201" s="171" t="s">
        <v>14</v>
      </c>
      <c r="L201" s="171"/>
      <c r="M201" s="171"/>
      <c r="N201" s="143" t="s">
        <v>32</v>
      </c>
      <c r="O201" s="173">
        <v>4</v>
      </c>
      <c r="P201" s="234">
        <f ca="1">OFFSET($A$1,MATCH(Z199,$A:$A,0)-1,O201)</f>
        <v>1.6</v>
      </c>
      <c r="Q201" s="144" t="s">
        <v>29</v>
      </c>
      <c r="R201" s="118">
        <f t="shared" ca="1" si="49"/>
        <v>373353</v>
      </c>
      <c r="S201" s="118">
        <f t="shared" ca="1" si="49"/>
        <v>597364</v>
      </c>
      <c r="T201" s="118">
        <f ca="1">특급</f>
        <v>373353</v>
      </c>
      <c r="U201" s="118">
        <f t="shared" ca="1" si="50"/>
        <v>597364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39</v>
      </c>
      <c r="O202" s="173">
        <v>5</v>
      </c>
      <c r="P202" s="234">
        <f ca="1">OFFSET($A$1,MATCH(Z199,$A:$A,0)-1,O202)</f>
        <v>2.1</v>
      </c>
      <c r="Q202" s="144" t="s">
        <v>29</v>
      </c>
      <c r="R202" s="118">
        <f t="shared" ca="1" si="49"/>
        <v>310884</v>
      </c>
      <c r="S202" s="118">
        <f t="shared" ca="1" si="49"/>
        <v>652856</v>
      </c>
      <c r="T202" s="118">
        <f ca="1">고급</f>
        <v>310884</v>
      </c>
      <c r="U202" s="118">
        <f t="shared" ca="1" si="50"/>
        <v>652856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40</v>
      </c>
      <c r="O203" s="173">
        <v>6</v>
      </c>
      <c r="P203" s="234">
        <f ca="1">OFFSET($A$1,MATCH(Z199,$A:$A,0)-1,O203)</f>
        <v>2.4</v>
      </c>
      <c r="Q203" s="144" t="s">
        <v>29</v>
      </c>
      <c r="R203" s="118">
        <f t="shared" ca="1" si="49"/>
        <v>295138</v>
      </c>
      <c r="S203" s="118">
        <f t="shared" ca="1" si="49"/>
        <v>708331</v>
      </c>
      <c r="T203" s="118">
        <f ca="1">중급</f>
        <v>295138</v>
      </c>
      <c r="U203" s="118">
        <f t="shared" ca="1" si="50"/>
        <v>708331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41</v>
      </c>
      <c r="O204" s="173">
        <v>7</v>
      </c>
      <c r="P204" s="234">
        <f ca="1">OFFSET($A$1,MATCH(Z199,$A:$A,0)-1,O204)</f>
        <v>2.2999999999999998</v>
      </c>
      <c r="Q204" s="144" t="s">
        <v>29</v>
      </c>
      <c r="R204" s="118">
        <f t="shared" ca="1" si="49"/>
        <v>235459</v>
      </c>
      <c r="S204" s="118">
        <f t="shared" ca="1" si="49"/>
        <v>541555</v>
      </c>
      <c r="T204" s="118">
        <f ca="1">초급</f>
        <v>235459</v>
      </c>
      <c r="U204" s="118">
        <f t="shared" ca="1" si="50"/>
        <v>541555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319" t="s">
        <v>42</v>
      </c>
      <c r="O205" s="174">
        <v>8</v>
      </c>
      <c r="P205" s="235">
        <f ca="1">OFFSET($A$1,MATCH(Z199,$A:$A,0)-1,O205)</f>
        <v>1.6</v>
      </c>
      <c r="Q205" s="322" t="s">
        <v>29</v>
      </c>
      <c r="R205" s="323">
        <f t="shared" ca="1" si="49"/>
        <v>250087</v>
      </c>
      <c r="S205" s="323">
        <f t="shared" ca="1" si="49"/>
        <v>400139</v>
      </c>
      <c r="T205" s="323">
        <f ca="1">보조원</f>
        <v>250087</v>
      </c>
      <c r="U205" s="323">
        <f t="shared" ca="1" si="50"/>
        <v>400139</v>
      </c>
      <c r="V205" s="323"/>
      <c r="W205" s="323"/>
      <c r="X205" s="323"/>
      <c r="Y205" s="323"/>
      <c r="Z205" s="324"/>
    </row>
    <row r="206" spans="11:26" ht="18" customHeight="1">
      <c r="K206" s="171" t="s">
        <v>14</v>
      </c>
      <c r="L206" s="171"/>
      <c r="M206" s="171"/>
      <c r="N206" s="139" t="s">
        <v>17</v>
      </c>
      <c r="O206" s="68"/>
      <c r="P206" s="69"/>
      <c r="Q206" s="70"/>
      <c r="R206" s="71"/>
      <c r="S206" s="71">
        <f ca="1">SUBTOTAL(9,S200:S205)</f>
        <v>3180575</v>
      </c>
      <c r="T206" s="71"/>
      <c r="U206" s="71">
        <f ca="1">SUBTOTAL(9,U200:U205)</f>
        <v>3180575</v>
      </c>
      <c r="V206" s="71"/>
      <c r="W206" s="71"/>
      <c r="X206" s="71"/>
      <c r="Y206" s="71"/>
      <c r="Z206" s="68"/>
    </row>
    <row r="207" spans="11:26" ht="18" customHeight="1">
      <c r="K207" s="171" t="s">
        <v>14</v>
      </c>
      <c r="L207" s="171"/>
      <c r="M207" s="171"/>
      <c r="N207" s="318" t="str">
        <f ca="1">"제 " &amp; Z207 &amp; " 호표  "&amp; OFFSET($A$1,MATCH(Z207,$A:$A,0)-1,1)</f>
        <v>제 20 호표  6.3. 관계기관 협의</v>
      </c>
      <c r="O207" s="221"/>
      <c r="P207" s="148"/>
      <c r="Q207" s="148"/>
      <c r="R207" s="149"/>
      <c r="S207" s="149"/>
      <c r="T207" s="149"/>
      <c r="U207" s="149"/>
      <c r="V207" s="149"/>
      <c r="W207" s="149"/>
      <c r="X207" s="149"/>
      <c r="Y207" s="149"/>
      <c r="Z207" s="325">
        <f>Z199+1</f>
        <v>20</v>
      </c>
    </row>
    <row r="208" spans="11:26" ht="18" customHeight="1">
      <c r="K208" s="171" t="s">
        <v>14</v>
      </c>
      <c r="L208" s="171"/>
      <c r="M208" s="171"/>
      <c r="N208" s="140" t="s">
        <v>43</v>
      </c>
      <c r="O208" s="172">
        <v>3</v>
      </c>
      <c r="P208" s="219">
        <f ca="1">OFFSET($A$1,MATCH(Z207,$A:$A,0)-1,O208)</f>
        <v>0.7</v>
      </c>
      <c r="Q208" s="141" t="s">
        <v>29</v>
      </c>
      <c r="R208" s="142">
        <f t="shared" ref="R208:S213" ca="1" si="51">T208</f>
        <v>467217</v>
      </c>
      <c r="S208" s="142">
        <f t="shared" ca="1" si="51"/>
        <v>327051</v>
      </c>
      <c r="T208" s="142">
        <f ca="1">기술사</f>
        <v>467217</v>
      </c>
      <c r="U208" s="142">
        <f t="shared" ref="U208:U213" ca="1" si="52">ROUNDDOWN(P208*R208,0)</f>
        <v>327051</v>
      </c>
      <c r="V208" s="142"/>
      <c r="W208" s="142"/>
      <c r="X208" s="142"/>
      <c r="Y208" s="142"/>
      <c r="Z208" s="114"/>
    </row>
    <row r="209" spans="11:26" ht="18" customHeight="1">
      <c r="K209" s="171" t="s">
        <v>14</v>
      </c>
      <c r="L209" s="171"/>
      <c r="M209" s="171"/>
      <c r="N209" s="143" t="s">
        <v>32</v>
      </c>
      <c r="O209" s="173">
        <v>4</v>
      </c>
      <c r="P209" s="234">
        <f ca="1">OFFSET($A$1,MATCH(Z207,$A:$A,0)-1,O209)</f>
        <v>1.7</v>
      </c>
      <c r="Q209" s="144" t="s">
        <v>29</v>
      </c>
      <c r="R209" s="118">
        <f t="shared" ca="1" si="51"/>
        <v>373353</v>
      </c>
      <c r="S209" s="118">
        <f t="shared" ca="1" si="51"/>
        <v>634700</v>
      </c>
      <c r="T209" s="118">
        <f ca="1">특급</f>
        <v>373353</v>
      </c>
      <c r="U209" s="118">
        <f t="shared" ca="1" si="52"/>
        <v>634700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145" t="s">
        <v>39</v>
      </c>
      <c r="O210" s="173">
        <v>5</v>
      </c>
      <c r="P210" s="234">
        <f ca="1">OFFSET($A$1,MATCH(Z207,$A:$A,0)-1,O210)</f>
        <v>2.2999999999999998</v>
      </c>
      <c r="Q210" s="144" t="s">
        <v>29</v>
      </c>
      <c r="R210" s="118">
        <f t="shared" ca="1" si="51"/>
        <v>310884</v>
      </c>
      <c r="S210" s="118">
        <f t="shared" ca="1" si="51"/>
        <v>715033</v>
      </c>
      <c r="T210" s="118">
        <f ca="1">고급</f>
        <v>310884</v>
      </c>
      <c r="U210" s="118">
        <f t="shared" ca="1" si="52"/>
        <v>715033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40</v>
      </c>
      <c r="O211" s="173">
        <v>6</v>
      </c>
      <c r="P211" s="234">
        <f ca="1">OFFSET($A$1,MATCH(Z207,$A:$A,0)-1,O211)</f>
        <v>2.7</v>
      </c>
      <c r="Q211" s="144" t="s">
        <v>29</v>
      </c>
      <c r="R211" s="118">
        <f t="shared" ca="1" si="51"/>
        <v>295138</v>
      </c>
      <c r="S211" s="118">
        <f t="shared" ca="1" si="51"/>
        <v>796872</v>
      </c>
      <c r="T211" s="118">
        <f ca="1">중급</f>
        <v>295138</v>
      </c>
      <c r="U211" s="118">
        <f t="shared" ca="1" si="52"/>
        <v>796872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41</v>
      </c>
      <c r="O212" s="173">
        <v>7</v>
      </c>
      <c r="P212" s="234">
        <f ca="1">OFFSET($A$1,MATCH(Z207,$A:$A,0)-1,O212)</f>
        <v>2.5</v>
      </c>
      <c r="Q212" s="144" t="s">
        <v>29</v>
      </c>
      <c r="R212" s="118">
        <f t="shared" ca="1" si="51"/>
        <v>235459</v>
      </c>
      <c r="S212" s="118">
        <f t="shared" ca="1" si="51"/>
        <v>588647</v>
      </c>
      <c r="T212" s="118">
        <f ca="1">초급</f>
        <v>235459</v>
      </c>
      <c r="U212" s="118">
        <f t="shared" ca="1" si="52"/>
        <v>588647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319" t="s">
        <v>42</v>
      </c>
      <c r="O213" s="174">
        <v>8</v>
      </c>
      <c r="P213" s="235">
        <f ca="1">OFFSET($A$1,MATCH(Z207,$A:$A,0)-1,O213)</f>
        <v>1.8</v>
      </c>
      <c r="Q213" s="322" t="s">
        <v>29</v>
      </c>
      <c r="R213" s="323">
        <f t="shared" ca="1" si="51"/>
        <v>250087</v>
      </c>
      <c r="S213" s="323">
        <f t="shared" ca="1" si="51"/>
        <v>450156</v>
      </c>
      <c r="T213" s="323">
        <f ca="1">보조원</f>
        <v>250087</v>
      </c>
      <c r="U213" s="323">
        <f t="shared" ca="1" si="52"/>
        <v>450156</v>
      </c>
      <c r="V213" s="323"/>
      <c r="W213" s="323"/>
      <c r="X213" s="323"/>
      <c r="Y213" s="323"/>
      <c r="Z213" s="324"/>
    </row>
    <row r="214" spans="11:26" ht="18" customHeight="1">
      <c r="K214" s="171" t="s">
        <v>14</v>
      </c>
      <c r="L214" s="171"/>
      <c r="M214" s="171"/>
      <c r="N214" s="139" t="s">
        <v>17</v>
      </c>
      <c r="O214" s="68"/>
      <c r="P214" s="69"/>
      <c r="Q214" s="70"/>
      <c r="R214" s="71"/>
      <c r="S214" s="71">
        <f ca="1">SUBTOTAL(9,S208:S213)</f>
        <v>3512459</v>
      </c>
      <c r="T214" s="71"/>
      <c r="U214" s="71">
        <f ca="1">SUBTOTAL(9,U208:U213)</f>
        <v>3512459</v>
      </c>
      <c r="V214" s="71"/>
      <c r="W214" s="71"/>
      <c r="X214" s="71"/>
      <c r="Y214" s="71"/>
      <c r="Z214" s="68"/>
    </row>
    <row r="215" spans="11:26" ht="18" customHeight="1">
      <c r="K215" s="171" t="s">
        <v>14</v>
      </c>
      <c r="L215" s="171"/>
      <c r="M215" s="171"/>
      <c r="N215" s="171"/>
      <c r="O215" s="171"/>
      <c r="P215" s="171"/>
      <c r="Q215" s="171"/>
      <c r="R215" s="171"/>
      <c r="S215" s="171"/>
      <c r="T215" s="171"/>
      <c r="U215" s="171"/>
      <c r="V215" s="171"/>
      <c r="W215" s="171"/>
      <c r="X215" s="171"/>
      <c r="Y215" s="171"/>
      <c r="Z215" s="171"/>
    </row>
    <row r="216" spans="11:26" ht="18" customHeight="1">
      <c r="K216" s="171" t="s">
        <v>14</v>
      </c>
      <c r="L216" s="171"/>
      <c r="M216" s="171"/>
      <c r="N216" s="171"/>
      <c r="O216" s="171"/>
      <c r="P216" s="171"/>
      <c r="Q216" s="171"/>
      <c r="R216" s="171"/>
      <c r="S216" s="171"/>
      <c r="T216" s="171"/>
      <c r="U216" s="171"/>
      <c r="V216" s="171"/>
      <c r="W216" s="171"/>
      <c r="X216" s="171"/>
      <c r="Y216" s="171"/>
      <c r="Z216" s="171"/>
    </row>
    <row r="217" spans="11:26" ht="18" customHeight="1">
      <c r="K217" s="171" t="s">
        <v>14</v>
      </c>
      <c r="L217" s="171"/>
      <c r="M217" s="171"/>
      <c r="N217" s="171"/>
      <c r="O217" s="171"/>
      <c r="P217" s="171"/>
      <c r="Q217" s="171"/>
      <c r="R217" s="171"/>
      <c r="S217" s="171"/>
      <c r="T217" s="171"/>
      <c r="U217" s="171"/>
      <c r="V217" s="171"/>
      <c r="W217" s="171"/>
      <c r="X217" s="171"/>
      <c r="Y217" s="171"/>
      <c r="Z217" s="171"/>
    </row>
    <row r="218" spans="11:26" ht="18" customHeight="1">
      <c r="K218" s="171" t="s">
        <v>14</v>
      </c>
      <c r="L218" s="171"/>
      <c r="M218" s="171"/>
      <c r="N218" s="171"/>
      <c r="O218" s="171"/>
      <c r="P218" s="171"/>
      <c r="Q218" s="171"/>
      <c r="R218" s="171"/>
      <c r="S218" s="171"/>
      <c r="T218" s="171"/>
      <c r="U218" s="171"/>
      <c r="V218" s="171"/>
      <c r="W218" s="171"/>
      <c r="X218" s="171"/>
      <c r="Y218" s="171"/>
      <c r="Z218" s="171"/>
    </row>
    <row r="219" spans="11:26" ht="18" customHeight="1">
      <c r="K219" s="171" t="s">
        <v>14</v>
      </c>
      <c r="L219" s="171"/>
      <c r="M219" s="171"/>
      <c r="N219" s="171"/>
      <c r="O219" s="171"/>
      <c r="P219" s="171"/>
      <c r="Q219" s="171"/>
      <c r="R219" s="171"/>
      <c r="S219" s="171"/>
      <c r="T219" s="171"/>
      <c r="U219" s="171"/>
      <c r="V219" s="171"/>
      <c r="W219" s="171"/>
      <c r="X219" s="171"/>
      <c r="Y219" s="171"/>
      <c r="Z219" s="171"/>
    </row>
    <row r="220" spans="11:26" ht="18" customHeight="1">
      <c r="K220" s="171" t="s">
        <v>14</v>
      </c>
      <c r="L220" s="171"/>
      <c r="M220" s="171"/>
      <c r="N220" s="171"/>
      <c r="O220" s="171"/>
      <c r="P220" s="171"/>
      <c r="Q220" s="171"/>
      <c r="R220" s="171"/>
      <c r="S220" s="171"/>
      <c r="T220" s="171"/>
      <c r="U220" s="171"/>
      <c r="V220" s="171"/>
      <c r="W220" s="171"/>
      <c r="X220" s="171"/>
      <c r="Y220" s="171"/>
      <c r="Z220" s="171"/>
    </row>
    <row r="221" spans="11:26" ht="18" customHeight="1">
      <c r="K221" s="171" t="s">
        <v>14</v>
      </c>
      <c r="L221" s="171"/>
      <c r="M221" s="171"/>
      <c r="N221" s="171"/>
      <c r="O221" s="171"/>
      <c r="P221" s="171"/>
      <c r="Q221" s="171"/>
      <c r="R221" s="171"/>
      <c r="S221" s="171"/>
      <c r="T221" s="171"/>
      <c r="U221" s="171"/>
      <c r="V221" s="171"/>
      <c r="W221" s="171"/>
      <c r="X221" s="171"/>
      <c r="Y221" s="171"/>
      <c r="Z221" s="171"/>
    </row>
    <row r="222" spans="11:26" ht="18" customHeight="1">
      <c r="K222" s="171" t="s">
        <v>14</v>
      </c>
      <c r="L222" s="171"/>
      <c r="M222" s="171"/>
      <c r="N222" s="171"/>
      <c r="O222" s="171"/>
      <c r="P222" s="171"/>
      <c r="Q222" s="171"/>
      <c r="R222" s="171"/>
      <c r="S222" s="171"/>
      <c r="T222" s="171"/>
      <c r="U222" s="171"/>
      <c r="V222" s="171"/>
      <c r="W222" s="171"/>
      <c r="X222" s="171"/>
      <c r="Y222" s="171"/>
      <c r="Z222" s="171"/>
    </row>
    <row r="223" spans="11:26" ht="18" customHeight="1">
      <c r="K223" s="171" t="s">
        <v>14</v>
      </c>
      <c r="L223" s="171"/>
      <c r="M223" s="171"/>
      <c r="N223" s="171"/>
      <c r="O223" s="171"/>
      <c r="P223" s="171"/>
      <c r="Q223" s="171"/>
      <c r="R223" s="171"/>
      <c r="S223" s="171"/>
      <c r="T223" s="171"/>
      <c r="U223" s="171"/>
      <c r="V223" s="171"/>
      <c r="W223" s="171"/>
      <c r="X223" s="171"/>
      <c r="Y223" s="171"/>
      <c r="Z223" s="171"/>
    </row>
    <row r="224" spans="11:26" ht="18" customHeight="1">
      <c r="K224" s="171" t="s">
        <v>14</v>
      </c>
      <c r="L224" s="171"/>
      <c r="M224" s="171"/>
      <c r="N224" s="171"/>
      <c r="O224" s="171"/>
      <c r="P224" s="171"/>
      <c r="Q224" s="171"/>
      <c r="R224" s="171"/>
      <c r="S224" s="171"/>
      <c r="T224" s="171"/>
      <c r="U224" s="171"/>
      <c r="V224" s="171"/>
      <c r="W224" s="171"/>
      <c r="X224" s="171"/>
      <c r="Y224" s="171"/>
      <c r="Z224" s="171"/>
    </row>
    <row r="225" spans="11:26" ht="18" customHeight="1">
      <c r="K225" s="171" t="s">
        <v>14</v>
      </c>
      <c r="L225" s="171"/>
      <c r="M225" s="171"/>
      <c r="N225" s="171"/>
      <c r="O225" s="171"/>
      <c r="P225" s="171"/>
      <c r="Q225" s="171"/>
      <c r="R225" s="171"/>
      <c r="S225" s="171"/>
      <c r="T225" s="171"/>
      <c r="U225" s="171"/>
      <c r="V225" s="171"/>
      <c r="W225" s="171"/>
      <c r="X225" s="171"/>
      <c r="Y225" s="171"/>
      <c r="Z225" s="171"/>
    </row>
    <row r="226" spans="11:26" ht="18" customHeight="1">
      <c r="K226" s="171" t="s">
        <v>14</v>
      </c>
      <c r="L226" s="171"/>
      <c r="M226" s="171"/>
      <c r="N226" s="171"/>
      <c r="O226" s="171"/>
      <c r="P226" s="171"/>
      <c r="Q226" s="171"/>
      <c r="R226" s="171"/>
      <c r="S226" s="171"/>
      <c r="T226" s="171"/>
      <c r="U226" s="171"/>
      <c r="V226" s="171"/>
      <c r="W226" s="171"/>
      <c r="X226" s="171"/>
      <c r="Y226" s="171"/>
      <c r="Z226" s="171"/>
    </row>
    <row r="227" spans="11:26" ht="18" customHeight="1">
      <c r="K227" s="171" t="s">
        <v>14</v>
      </c>
      <c r="L227" s="171"/>
      <c r="M227" s="171"/>
    </row>
    <row r="228" spans="11:26" ht="18" customHeight="1">
      <c r="K228" s="171" t="s">
        <v>14</v>
      </c>
      <c r="L228" s="171"/>
      <c r="M228" s="171"/>
    </row>
    <row r="229" spans="11:26" ht="18" customHeight="1">
      <c r="K229" s="171" t="s">
        <v>14</v>
      </c>
      <c r="L229" s="171"/>
      <c r="M229" s="171"/>
    </row>
    <row r="230" spans="11:26" ht="18" customHeight="1">
      <c r="K230" s="171" t="s">
        <v>14</v>
      </c>
      <c r="L230" s="171"/>
      <c r="M230" s="171"/>
    </row>
    <row r="231" spans="11:26" ht="18" customHeight="1">
      <c r="K231" s="171" t="s">
        <v>14</v>
      </c>
      <c r="L231" s="171"/>
      <c r="M231" s="171"/>
    </row>
    <row r="232" spans="11:26" ht="18" customHeight="1">
      <c r="K232" s="171" t="s">
        <v>14</v>
      </c>
      <c r="L232" s="171"/>
      <c r="M232" s="171"/>
    </row>
    <row r="233" spans="11:26" ht="18" customHeight="1">
      <c r="K233" s="171" t="s">
        <v>14</v>
      </c>
      <c r="L233" s="171"/>
      <c r="M233" s="171"/>
    </row>
    <row r="234" spans="11:26" ht="18" customHeight="1">
      <c r="K234" s="171" t="s">
        <v>14</v>
      </c>
      <c r="L234" s="171"/>
      <c r="M234" s="171"/>
    </row>
    <row r="235" spans="11:26" ht="18" customHeight="1">
      <c r="K235" s="171" t="s">
        <v>14</v>
      </c>
      <c r="L235" s="171"/>
      <c r="M235" s="171"/>
    </row>
    <row r="236" spans="11:26" ht="18" customHeight="1">
      <c r="K236" s="171" t="s">
        <v>14</v>
      </c>
      <c r="L236" s="171"/>
      <c r="M236" s="171"/>
    </row>
    <row r="237" spans="11:26" ht="18" customHeight="1">
      <c r="K237" s="171" t="s">
        <v>14</v>
      </c>
      <c r="L237" s="171"/>
      <c r="M237" s="171"/>
    </row>
    <row r="238" spans="11:26" ht="18" customHeight="1">
      <c r="K238" s="171" t="s">
        <v>14</v>
      </c>
      <c r="L238" s="171"/>
      <c r="M238" s="171"/>
    </row>
    <row r="239" spans="11:26" ht="18" customHeight="1">
      <c r="K239" s="171" t="s">
        <v>14</v>
      </c>
      <c r="L239" s="171"/>
      <c r="M239" s="171"/>
    </row>
    <row r="240" spans="11:26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</row>
    <row r="756" spans="12:13" ht="18" customHeight="1">
      <c r="L756" s="171"/>
    </row>
    <row r="757" spans="12:13" ht="18" customHeight="1">
      <c r="L757" s="171"/>
    </row>
    <row r="758" spans="12:13" ht="18" customHeight="1">
      <c r="L758" s="171"/>
    </row>
    <row r="759" spans="12:13" ht="18" customHeight="1">
      <c r="L759" s="171"/>
    </row>
    <row r="760" spans="12:13" ht="18" customHeight="1">
      <c r="L760" s="171"/>
    </row>
    <row r="761" spans="12:13" ht="18" customHeight="1">
      <c r="L761" s="171"/>
    </row>
    <row r="762" spans="12:13" ht="18" customHeight="1">
      <c r="L762" s="171"/>
    </row>
    <row r="763" spans="12:13" ht="18" customHeight="1">
      <c r="L763" s="171"/>
    </row>
    <row r="764" spans="12:13" ht="18" customHeight="1">
      <c r="L764" s="171"/>
    </row>
    <row r="765" spans="12:13" ht="18" customHeight="1">
      <c r="L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</sheetData>
  <mergeCells count="17">
    <mergeCell ref="B5:C5"/>
    <mergeCell ref="D5:E5"/>
    <mergeCell ref="G5:H5"/>
    <mergeCell ref="B14:C15"/>
    <mergeCell ref="B3:C3"/>
    <mergeCell ref="D3:E3"/>
    <mergeCell ref="G3:H3"/>
    <mergeCell ref="B4:C4"/>
    <mergeCell ref="D4:E4"/>
    <mergeCell ref="G4:H4"/>
    <mergeCell ref="Z53:Z54"/>
    <mergeCell ref="J14:J15"/>
    <mergeCell ref="L14:L15"/>
    <mergeCell ref="N53:N54"/>
    <mergeCell ref="O53:O54"/>
    <mergeCell ref="P53:P54"/>
    <mergeCell ref="Q53:Q54"/>
  </mergeCells>
  <phoneticPr fontId="14" type="noConversion"/>
  <conditionalFormatting sqref="V16:V42">
    <cfRule type="cellIs" dxfId="2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65" min="13" max="28" man="1"/>
    <brk id="86" min="13" max="28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99">
    <tabColor theme="5" tint="0.39997558519241921"/>
    <pageSetUpPr fitToPage="1"/>
  </sheetPr>
  <dimension ref="A1:Z821"/>
  <sheetViews>
    <sheetView showGridLines="0" zoomScale="85" zoomScaleNormal="85" zoomScaleSheetLayoutView="75" workbookViewId="0">
      <selection activeCell="N29" sqref="N29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651</v>
      </c>
    </row>
    <row r="2" spans="1:26" ht="19.5" thickBot="1">
      <c r="B2" s="66" t="s">
        <v>1</v>
      </c>
      <c r="G2" s="1">
        <v>1</v>
      </c>
    </row>
    <row r="3" spans="1:26" ht="19.5" customHeight="1">
      <c r="B3" s="773" t="s">
        <v>48</v>
      </c>
      <c r="C3" s="774"/>
      <c r="D3" s="775">
        <v>10</v>
      </c>
      <c r="E3" s="776"/>
      <c r="F3" s="316" t="s">
        <v>53</v>
      </c>
      <c r="G3" s="838" t="s">
        <v>1104</v>
      </c>
      <c r="H3" s="839"/>
      <c r="I3" s="656">
        <v>2</v>
      </c>
      <c r="J3" s="669" t="s">
        <v>794</v>
      </c>
    </row>
    <row r="4" spans="1:26" ht="21.75" customHeight="1">
      <c r="B4" s="777" t="s">
        <v>54</v>
      </c>
      <c r="C4" s="778"/>
      <c r="D4" s="811">
        <v>10</v>
      </c>
      <c r="E4" s="846"/>
      <c r="F4" s="359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24" customHeight="1" thickBot="1">
      <c r="B5" s="777" t="s">
        <v>2566</v>
      </c>
      <c r="C5" s="814"/>
      <c r="D5" s="815">
        <f>ROUND((IF(D4&lt;=3,3,D4)/D3)^0.6,3)</f>
        <v>1</v>
      </c>
      <c r="E5" s="816"/>
      <c r="F5" s="391">
        <v>2</v>
      </c>
      <c r="G5" s="817" t="s">
        <v>1102</v>
      </c>
      <c r="H5" s="818"/>
      <c r="I5" s="746">
        <f>ROUND(I4/I3,3)</f>
        <v>1</v>
      </c>
      <c r="J5" s="671"/>
    </row>
    <row r="6" spans="1:26" ht="24" customHeight="1" thickBot="1">
      <c r="B6" s="781" t="s">
        <v>2567</v>
      </c>
      <c r="C6" s="782"/>
      <c r="D6" s="783">
        <f>CHOOSE(G2,1,1.2)</f>
        <v>1</v>
      </c>
      <c r="E6" s="784"/>
      <c r="F6" s="457"/>
      <c r="G6" s="9" t="s">
        <v>1107</v>
      </c>
      <c r="J6" s="36"/>
    </row>
    <row r="7" spans="1:26" ht="18" customHeight="1">
      <c r="B7" s="9" t="s">
        <v>2568</v>
      </c>
      <c r="C7" s="9"/>
      <c r="D7" s="64"/>
      <c r="E7" s="64"/>
      <c r="G7" s="428"/>
      <c r="H7" s="428"/>
      <c r="I7" s="428"/>
      <c r="J7" s="429"/>
      <c r="R7" s="1"/>
      <c r="S7" s="1"/>
      <c r="T7" s="1"/>
    </row>
    <row r="8" spans="1:26" ht="18" customHeight="1">
      <c r="B8" s="9" t="s">
        <v>2569</v>
      </c>
      <c r="C8" s="9"/>
      <c r="D8" s="64"/>
      <c r="E8" s="64"/>
      <c r="R8" s="1"/>
      <c r="S8" s="1"/>
      <c r="T8" s="1"/>
    </row>
    <row r="9" spans="1:26" ht="18" customHeight="1">
      <c r="B9" s="9" t="s">
        <v>2570</v>
      </c>
      <c r="C9" s="9"/>
      <c r="D9" s="64"/>
      <c r="E9" s="64"/>
      <c r="R9" s="1"/>
      <c r="S9" s="1"/>
      <c r="T9" s="1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SUBTOTAL(9,W13:W35)</f>
        <v>328440276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SUBTOTAL(9,W14:W32)</f>
        <v>122647684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SUBTOTAL(9,W15:W28)</f>
        <v>114647684</v>
      </c>
      <c r="X14" s="256"/>
      <c r="Y14" s="220"/>
      <c r="Z14" s="220"/>
    </row>
    <row r="15" spans="1:26" ht="18" customHeight="1">
      <c r="A15" s="279"/>
      <c r="B15" s="225" t="s">
        <v>2554</v>
      </c>
      <c r="C15" s="72"/>
      <c r="D15" s="30">
        <f t="shared" ref="D15:I15" si="0">SUBTOTAL(9,D16:D17)</f>
        <v>4.0999999999999996</v>
      </c>
      <c r="E15" s="31">
        <f t="shared" si="0"/>
        <v>8</v>
      </c>
      <c r="F15" s="31">
        <f t="shared" si="0"/>
        <v>14.9</v>
      </c>
      <c r="G15" s="31">
        <f t="shared" si="0"/>
        <v>24.4</v>
      </c>
      <c r="H15" s="31">
        <f t="shared" si="0"/>
        <v>27.5</v>
      </c>
      <c r="I15" s="32">
        <f t="shared" si="0"/>
        <v>30.4</v>
      </c>
      <c r="J15" s="654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SUBTOTAL(9,W16:W17)</f>
        <v>30813714</v>
      </c>
      <c r="X15" s="194"/>
      <c r="Y15" s="170" t="str">
        <f>IF(A29&gt;0, "제 " &amp;A29&amp; " 호표","")</f>
        <v/>
      </c>
      <c r="Z15" s="170"/>
    </row>
    <row r="16" spans="1:26" ht="18" customHeight="1">
      <c r="A16" s="279"/>
      <c r="B16" s="223" t="s">
        <v>2555</v>
      </c>
      <c r="C16" s="253"/>
      <c r="D16" s="20">
        <v>0.8</v>
      </c>
      <c r="E16" s="21">
        <v>1.8</v>
      </c>
      <c r="F16" s="21">
        <v>4.4000000000000004</v>
      </c>
      <c r="G16" s="21">
        <v>9.3000000000000007</v>
      </c>
      <c r="H16" s="21">
        <v>14.3</v>
      </c>
      <c r="I16" s="22">
        <v>20.2</v>
      </c>
      <c r="J16" s="653" t="s">
        <v>2563</v>
      </c>
      <c r="L16" s="232">
        <v>1</v>
      </c>
      <c r="N16" s="292" t="str">
        <f t="shared" ref="N16:N27" si="1">B16</f>
        <v>1.1. 현황조사</v>
      </c>
      <c r="O16" s="169"/>
      <c r="P16" s="169"/>
      <c r="Q16" s="169"/>
      <c r="R16" s="169"/>
      <c r="S16" s="169"/>
      <c r="T16" s="169"/>
      <c r="U16" s="226"/>
      <c r="V16" s="248"/>
      <c r="W16" s="153">
        <f t="array" aca="1" ref="W16" ca="1">SUM((ROUNDDOWN((D30:I30)*단가,0)))</f>
        <v>13577300</v>
      </c>
      <c r="X16" s="194"/>
      <c r="Y16" s="170" t="str">
        <f>IF(A30&gt;0, "제 " &amp;A30&amp; " 호표","")</f>
        <v>제 1 호표</v>
      </c>
      <c r="Z16" s="170"/>
    </row>
    <row r="17" spans="1:26" ht="18" customHeight="1">
      <c r="A17" s="279"/>
      <c r="B17" s="223" t="s">
        <v>2556</v>
      </c>
      <c r="C17" s="253"/>
      <c r="D17" s="20">
        <v>3.3</v>
      </c>
      <c r="E17" s="21">
        <v>6.2</v>
      </c>
      <c r="F17" s="21">
        <v>10.5</v>
      </c>
      <c r="G17" s="21">
        <v>15.1</v>
      </c>
      <c r="H17" s="21">
        <v>13.2</v>
      </c>
      <c r="I17" s="22">
        <v>10.199999999999999</v>
      </c>
      <c r="J17" s="653" t="s">
        <v>1090</v>
      </c>
      <c r="L17" s="232">
        <v>1</v>
      </c>
      <c r="N17" s="292" t="str">
        <f t="shared" si="1"/>
        <v>1.2. 분석, 평가, 진단</v>
      </c>
      <c r="O17" s="169"/>
      <c r="P17" s="169"/>
      <c r="Q17" s="169"/>
      <c r="R17" s="169"/>
      <c r="S17" s="169"/>
      <c r="T17" s="169"/>
      <c r="U17" s="226"/>
      <c r="V17" s="248"/>
      <c r="W17" s="153">
        <f t="array" aca="1" ref="W17" ca="1">SUM((ROUNDDOWN((D31:I31)*단가,0)))</f>
        <v>17236414</v>
      </c>
      <c r="X17" s="194"/>
      <c r="Y17" s="170" t="str">
        <f t="shared" ref="Y17:Y27" si="2">IF(A31&gt;0, "제 " &amp;A31&amp; " 호표","")</f>
        <v>제 2 호표</v>
      </c>
      <c r="Z17" s="170"/>
    </row>
    <row r="18" spans="1:26" ht="18" customHeight="1">
      <c r="A18" s="279"/>
      <c r="B18" s="393" t="s">
        <v>52</v>
      </c>
      <c r="C18" s="23"/>
      <c r="D18" s="30">
        <f t="shared" ref="D18:I18" si="3">SUBTOTAL(9,D19:D20)</f>
        <v>11.899999999999999</v>
      </c>
      <c r="E18" s="31">
        <f t="shared" si="3"/>
        <v>24</v>
      </c>
      <c r="F18" s="31">
        <f t="shared" si="3"/>
        <v>29</v>
      </c>
      <c r="G18" s="31">
        <f t="shared" si="3"/>
        <v>27.1</v>
      </c>
      <c r="H18" s="31">
        <f t="shared" si="3"/>
        <v>24.5</v>
      </c>
      <c r="I18" s="32">
        <f t="shared" si="3"/>
        <v>18.5</v>
      </c>
      <c r="J18" s="389"/>
      <c r="L18" s="232"/>
      <c r="N18" s="354" t="str">
        <f t="shared" si="1"/>
        <v>2. 기본구상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SUBTOTAL(9,W19:W20)</f>
        <v>48526570</v>
      </c>
      <c r="X18" s="194"/>
      <c r="Y18" s="170" t="str">
        <f t="shared" si="2"/>
        <v/>
      </c>
      <c r="Z18" s="170"/>
    </row>
    <row r="19" spans="1:26" ht="18" customHeight="1">
      <c r="A19" s="279"/>
      <c r="B19" s="223" t="s">
        <v>2557</v>
      </c>
      <c r="C19" s="253"/>
      <c r="D19" s="20">
        <v>7.6</v>
      </c>
      <c r="E19" s="21">
        <v>17.899999999999999</v>
      </c>
      <c r="F19" s="21">
        <v>18.5</v>
      </c>
      <c r="G19" s="21">
        <v>12</v>
      </c>
      <c r="H19" s="21">
        <v>11.3</v>
      </c>
      <c r="I19" s="22">
        <v>8.3000000000000007</v>
      </c>
      <c r="J19" s="653"/>
      <c r="L19" s="232">
        <v>1</v>
      </c>
      <c r="N19" s="292" t="str">
        <f t="shared" si="1"/>
        <v>2.1. 기본구상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SUM((ROUNDDOWN((D33:I33)*단가,0)))</f>
        <v>24263285</v>
      </c>
      <c r="X19" s="194"/>
      <c r="Y19" s="170" t="str">
        <f t="shared" si="2"/>
        <v>제 3 호표</v>
      </c>
      <c r="Z19" s="170"/>
    </row>
    <row r="20" spans="1:26" ht="18" customHeight="1">
      <c r="A20" s="279"/>
      <c r="B20" s="223" t="s">
        <v>2558</v>
      </c>
      <c r="C20" s="253"/>
      <c r="D20" s="20">
        <v>4.3</v>
      </c>
      <c r="E20" s="21">
        <v>6.1</v>
      </c>
      <c r="F20" s="21">
        <v>10.5</v>
      </c>
      <c r="G20" s="21">
        <v>15.1</v>
      </c>
      <c r="H20" s="21">
        <v>13.2</v>
      </c>
      <c r="I20" s="22">
        <v>10.199999999999999</v>
      </c>
      <c r="J20" s="653" t="s">
        <v>2564</v>
      </c>
      <c r="L20" s="232">
        <v>1</v>
      </c>
      <c r="N20" s="292" t="str">
        <f t="shared" si="1"/>
        <v>2.2. 타당성검토 및 경제성 검토</v>
      </c>
      <c r="O20" s="169"/>
      <c r="P20" s="169"/>
      <c r="Q20" s="169"/>
      <c r="R20" s="169"/>
      <c r="S20" s="169"/>
      <c r="T20" s="169"/>
      <c r="U20" s="226"/>
      <c r="V20" s="248"/>
      <c r="W20" s="153">
        <f t="array" aca="1" ref="W20" ca="1">SUM((ROUNDDOWN((D34:I34)*단가,0)))</f>
        <v>24263285</v>
      </c>
      <c r="X20" s="194"/>
      <c r="Y20" s="170" t="str">
        <f t="shared" si="2"/>
        <v>제 4 호표</v>
      </c>
      <c r="Z20" s="170"/>
    </row>
    <row r="21" spans="1:26" ht="18" customHeight="1">
      <c r="A21" s="279"/>
      <c r="B21" s="393" t="s">
        <v>351</v>
      </c>
      <c r="C21" s="23"/>
      <c r="D21" s="30">
        <f t="shared" ref="D21:I21" si="4">SUBTOTAL(9,D22:D22)</f>
        <v>0.7</v>
      </c>
      <c r="E21" s="31">
        <f t="shared" si="4"/>
        <v>1.4</v>
      </c>
      <c r="F21" s="31">
        <f t="shared" si="4"/>
        <v>5.6</v>
      </c>
      <c r="G21" s="31">
        <f t="shared" si="4"/>
        <v>8.3000000000000007</v>
      </c>
      <c r="H21" s="31">
        <f t="shared" si="4"/>
        <v>14.6</v>
      </c>
      <c r="I21" s="32">
        <f t="shared" si="4"/>
        <v>20.5</v>
      </c>
      <c r="J21" s="389"/>
      <c r="L21" s="232"/>
      <c r="N21" s="354" t="str">
        <f t="shared" si="1"/>
        <v>3. 성과품 작성</v>
      </c>
      <c r="O21" s="169"/>
      <c r="P21" s="169"/>
      <c r="Q21" s="169"/>
      <c r="R21" s="169"/>
      <c r="S21" s="169"/>
      <c r="T21" s="169"/>
      <c r="U21" s="226"/>
      <c r="V21" s="248"/>
      <c r="W21" s="193">
        <f ca="1">SUBTOTAL(9,W22:W22)</f>
        <v>13604824</v>
      </c>
      <c r="X21" s="194"/>
      <c r="Y21" s="170" t="str">
        <f t="shared" si="2"/>
        <v/>
      </c>
      <c r="Z21" s="170"/>
    </row>
    <row r="22" spans="1:26" ht="18" customHeight="1">
      <c r="A22" s="279"/>
      <c r="B22" s="223" t="s">
        <v>2559</v>
      </c>
      <c r="C22" s="253"/>
      <c r="D22" s="20">
        <v>0.7</v>
      </c>
      <c r="E22" s="21">
        <v>1.4</v>
      </c>
      <c r="F22" s="21">
        <v>5.6</v>
      </c>
      <c r="G22" s="21">
        <v>8.3000000000000007</v>
      </c>
      <c r="H22" s="21">
        <v>14.6</v>
      </c>
      <c r="I22" s="22">
        <v>20.5</v>
      </c>
      <c r="J22" s="653" t="s">
        <v>1090</v>
      </c>
      <c r="L22" s="232">
        <v>1</v>
      </c>
      <c r="N22" s="292" t="str">
        <f t="shared" si="1"/>
        <v>3.1. 성과품 작성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SUM((ROUNDDOWN((D36:I36)*단가,0)))</f>
        <v>13604824</v>
      </c>
      <c r="X22" s="194"/>
      <c r="Y22" s="170" t="str">
        <f t="shared" si="2"/>
        <v>제 5 호표</v>
      </c>
      <c r="Z22" s="170"/>
    </row>
    <row r="23" spans="1:26" ht="18" customHeight="1">
      <c r="A23" s="279"/>
      <c r="B23" s="222" t="s">
        <v>269</v>
      </c>
      <c r="C23" s="47"/>
      <c r="D23" s="48">
        <f t="shared" ref="D23:I23" si="5">SUBTOTAL(9,D24:D27)</f>
        <v>8</v>
      </c>
      <c r="E23" s="49">
        <f t="shared" si="5"/>
        <v>8</v>
      </c>
      <c r="F23" s="49">
        <f t="shared" si="5"/>
        <v>8</v>
      </c>
      <c r="G23" s="49">
        <f t="shared" si="5"/>
        <v>16</v>
      </c>
      <c r="H23" s="49">
        <f t="shared" si="5"/>
        <v>16</v>
      </c>
      <c r="I23" s="50">
        <f t="shared" si="5"/>
        <v>16</v>
      </c>
      <c r="J23" s="389"/>
      <c r="L23" s="232"/>
      <c r="N23" s="354" t="str">
        <f t="shared" si="1"/>
        <v>4. 기술협의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SUBTOTAL(9,W24:W27)</f>
        <v>21702576</v>
      </c>
      <c r="X23" s="194"/>
      <c r="Y23" s="170" t="str">
        <f t="shared" si="2"/>
        <v/>
      </c>
      <c r="Z23" s="170"/>
    </row>
    <row r="24" spans="1:26" ht="18" customHeight="1">
      <c r="A24" s="279"/>
      <c r="B24" s="223" t="s">
        <v>2560</v>
      </c>
      <c r="C24" s="23"/>
      <c r="D24" s="197">
        <v>2</v>
      </c>
      <c r="E24" s="198">
        <v>2</v>
      </c>
      <c r="F24" s="198">
        <v>2</v>
      </c>
      <c r="G24" s="198">
        <v>4</v>
      </c>
      <c r="H24" s="198">
        <v>4</v>
      </c>
      <c r="I24" s="199">
        <v>4</v>
      </c>
      <c r="J24" s="389" t="s">
        <v>2565</v>
      </c>
      <c r="L24" s="233">
        <v>1</v>
      </c>
      <c r="N24" s="292" t="str">
        <f t="shared" si="1"/>
        <v>4.1. 공청회/주민설명회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SUM((ROUNDDOWN((D38:I38)*단가,0)))</f>
        <v>5425644</v>
      </c>
      <c r="X24" s="154"/>
      <c r="Y24" s="170" t="str">
        <f t="shared" si="2"/>
        <v>제 6 호표</v>
      </c>
      <c r="Z24" s="150"/>
    </row>
    <row r="25" spans="1:26" ht="18" customHeight="1">
      <c r="A25" s="279"/>
      <c r="B25" s="259" t="s">
        <v>1627</v>
      </c>
      <c r="C25" s="43"/>
      <c r="D25" s="206">
        <v>2</v>
      </c>
      <c r="E25" s="207">
        <v>2</v>
      </c>
      <c r="F25" s="207">
        <v>2</v>
      </c>
      <c r="G25" s="207">
        <v>4</v>
      </c>
      <c r="H25" s="207">
        <v>4</v>
      </c>
      <c r="I25" s="208">
        <v>4</v>
      </c>
      <c r="J25" s="389" t="s">
        <v>1094</v>
      </c>
      <c r="L25" s="233">
        <v>1</v>
      </c>
      <c r="N25" s="292" t="str">
        <f t="shared" si="1"/>
        <v>4.2. 주민간담회/시민계획단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SUM((ROUNDDOWN((D39:I39)*단가,0)))</f>
        <v>5425644</v>
      </c>
      <c r="X25" s="154"/>
      <c r="Y25" s="170" t="str">
        <f t="shared" si="2"/>
        <v>제 7 호표</v>
      </c>
      <c r="Z25" s="150"/>
    </row>
    <row r="26" spans="1:26" ht="18" customHeight="1">
      <c r="A26" s="279"/>
      <c r="B26" s="223" t="s">
        <v>2561</v>
      </c>
      <c r="C26" s="23"/>
      <c r="D26" s="197">
        <v>2</v>
      </c>
      <c r="E26" s="198">
        <v>2</v>
      </c>
      <c r="F26" s="198">
        <v>2</v>
      </c>
      <c r="G26" s="198">
        <v>4</v>
      </c>
      <c r="H26" s="198">
        <v>4</v>
      </c>
      <c r="I26" s="199">
        <v>4</v>
      </c>
      <c r="J26" s="389" t="s">
        <v>1094</v>
      </c>
      <c r="L26" s="233">
        <v>1</v>
      </c>
      <c r="N26" s="292" t="str">
        <f t="shared" si="1"/>
        <v>4.3. 위원회심의 지원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SUM((ROUNDDOWN((D40:I40)*단가,0)))</f>
        <v>5425644</v>
      </c>
      <c r="X26" s="154"/>
      <c r="Y26" s="170" t="str">
        <f t="shared" si="2"/>
        <v>제 8 호표</v>
      </c>
      <c r="Z26" s="150"/>
    </row>
    <row r="27" spans="1:26" ht="18" customHeight="1" thickBot="1">
      <c r="A27" s="279"/>
      <c r="B27" s="259" t="s">
        <v>2562</v>
      </c>
      <c r="C27" s="43"/>
      <c r="D27" s="206">
        <v>2</v>
      </c>
      <c r="E27" s="207">
        <v>2</v>
      </c>
      <c r="F27" s="207">
        <v>2</v>
      </c>
      <c r="G27" s="207">
        <v>4</v>
      </c>
      <c r="H27" s="207">
        <v>4</v>
      </c>
      <c r="I27" s="208">
        <v>4</v>
      </c>
      <c r="J27" s="612" t="s">
        <v>1094</v>
      </c>
      <c r="L27" s="233">
        <v>1</v>
      </c>
      <c r="N27" s="292" t="str">
        <f t="shared" si="1"/>
        <v>4.4. 관계기관 협의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SUM((ROUNDDOWN((D41:I41)*단가,0)))</f>
        <v>5425644</v>
      </c>
      <c r="X27" s="154"/>
      <c r="Y27" s="170" t="str">
        <f t="shared" si="2"/>
        <v>제 9 호표</v>
      </c>
      <c r="Z27" s="150"/>
    </row>
    <row r="28" spans="1:26" ht="18" customHeight="1" thickBot="1">
      <c r="A28" s="279"/>
      <c r="B28" s="249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8"/>
      <c r="P28" s="371"/>
      <c r="R28" s="357"/>
      <c r="S28" s="1"/>
      <c r="T28" s="1"/>
      <c r="U28" s="258"/>
      <c r="V28" s="372"/>
      <c r="W28" s="373"/>
      <c r="X28" s="374"/>
      <c r="Y28" s="170" t="str">
        <f>IF(A54&gt;0, "제 " &amp;A54&amp; " 호표","")</f>
        <v/>
      </c>
    </row>
    <row r="29" spans="1:26" ht="18" customHeight="1">
      <c r="A29" s="278"/>
      <c r="B29" s="252" t="str">
        <f>B15</f>
        <v>1. 조사 및 분석</v>
      </c>
      <c r="C29" s="253"/>
      <c r="D29" s="30">
        <f t="shared" ref="D29:I29" si="6">SUBTOTAL(9,D30:D31)</f>
        <v>4.0999999999999996</v>
      </c>
      <c r="E29" s="31">
        <f t="shared" si="6"/>
        <v>8</v>
      </c>
      <c r="F29" s="31">
        <f t="shared" si="6"/>
        <v>14.9</v>
      </c>
      <c r="G29" s="31">
        <f t="shared" si="6"/>
        <v>24.4</v>
      </c>
      <c r="H29" s="31">
        <f t="shared" si="6"/>
        <v>27.5</v>
      </c>
      <c r="I29" s="32">
        <f t="shared" si="6"/>
        <v>30.4</v>
      </c>
      <c r="J29" s="302"/>
      <c r="N29" s="290" t="s">
        <v>2611</v>
      </c>
      <c r="O29" s="129"/>
      <c r="P29" s="130"/>
      <c r="Q29" s="124"/>
      <c r="R29" s="131"/>
      <c r="S29" s="124"/>
      <c r="T29" s="124"/>
      <c r="U29" s="181"/>
      <c r="V29" s="181"/>
      <c r="W29" s="159">
        <f>SUBTOTAL(9,W30:W32)</f>
        <v>8000000</v>
      </c>
      <c r="X29" s="160"/>
      <c r="Y29" s="124"/>
      <c r="Z29" s="124"/>
    </row>
    <row r="30" spans="1:26" ht="18" customHeight="1">
      <c r="A30" s="278">
        <v>1</v>
      </c>
      <c r="B30" s="223" t="str">
        <f t="shared" ref="B30:B41" si="7">B16</f>
        <v>1.1. 현황조사</v>
      </c>
      <c r="C30" s="253"/>
      <c r="D30" s="20">
        <f t="array" ref="D30:I31">ROUNDDOWN(D16:I17*L16:L17*$D$5,3)</f>
        <v>0.8</v>
      </c>
      <c r="E30" s="21">
        <v>1.8</v>
      </c>
      <c r="F30" s="21">
        <v>4.4000000000000004</v>
      </c>
      <c r="G30" s="21">
        <v>9.3000000000000007</v>
      </c>
      <c r="H30" s="21">
        <v>14.3</v>
      </c>
      <c r="I30" s="22">
        <v>20.2</v>
      </c>
      <c r="J30" s="390"/>
      <c r="N30" s="128" t="str">
        <f>"여비("&amp;TEXT(R30,"#인 ×")&amp;TEXT(S30,"#일 ×")&amp;TEXT(T30,"###,###원)")</f>
        <v>여비(3인 ×10일 ×100,000원)</v>
      </c>
      <c r="O30" s="78"/>
      <c r="P30" s="52"/>
      <c r="Q30" s="51"/>
      <c r="R30" s="146">
        <v>3</v>
      </c>
      <c r="S30" s="146">
        <v>10</v>
      </c>
      <c r="T30" s="147">
        <v>100000</v>
      </c>
      <c r="U30" s="182"/>
      <c r="V30" s="182"/>
      <c r="W30" s="161">
        <f>R30*S30*T30</f>
        <v>3000000</v>
      </c>
      <c r="X30" s="162"/>
      <c r="Y30" s="51"/>
      <c r="Z30" s="51"/>
    </row>
    <row r="31" spans="1:26" ht="18" customHeight="1">
      <c r="A31" s="278">
        <v>2</v>
      </c>
      <c r="B31" s="223" t="str">
        <f t="shared" si="7"/>
        <v>1.2. 분석, 평가, 진단</v>
      </c>
      <c r="C31" s="253"/>
      <c r="D31" s="20">
        <v>3.3</v>
      </c>
      <c r="E31" s="21">
        <v>6.2</v>
      </c>
      <c r="F31" s="21">
        <v>10.5</v>
      </c>
      <c r="G31" s="21">
        <v>15.1</v>
      </c>
      <c r="H31" s="21">
        <v>13.2</v>
      </c>
      <c r="I31" s="22">
        <v>10.199999999999999</v>
      </c>
      <c r="J31" s="74"/>
      <c r="N31" s="79" t="s">
        <v>46</v>
      </c>
      <c r="O31" s="79"/>
      <c r="P31" s="39"/>
      <c r="Q31" s="37"/>
      <c r="R31" s="117"/>
      <c r="S31" s="37"/>
      <c r="T31" s="37"/>
      <c r="U31" s="180"/>
      <c r="V31" s="180"/>
      <c r="W31" s="157">
        <v>3000000</v>
      </c>
      <c r="X31" s="158"/>
      <c r="Y31" s="37"/>
      <c r="Z31" s="37"/>
    </row>
    <row r="32" spans="1:26" ht="18" customHeight="1">
      <c r="A32" s="278"/>
      <c r="B32" s="393" t="str">
        <f t="shared" si="7"/>
        <v>2. 기본구상</v>
      </c>
      <c r="C32" s="23"/>
      <c r="D32" s="30">
        <f t="shared" ref="D32:I32" si="8">SUBTOTAL(9,D33:D34)</f>
        <v>15.2</v>
      </c>
      <c r="E32" s="31">
        <f t="shared" si="8"/>
        <v>35.799999999999997</v>
      </c>
      <c r="F32" s="31">
        <f t="shared" si="8"/>
        <v>37</v>
      </c>
      <c r="G32" s="31">
        <f t="shared" si="8"/>
        <v>24</v>
      </c>
      <c r="H32" s="31">
        <f t="shared" si="8"/>
        <v>22.6</v>
      </c>
      <c r="I32" s="32">
        <f t="shared" si="8"/>
        <v>16.600000000000001</v>
      </c>
      <c r="J32" s="74"/>
      <c r="N32" s="132" t="s">
        <v>13</v>
      </c>
      <c r="O32" s="132"/>
      <c r="P32" s="38"/>
      <c r="Q32" s="38"/>
      <c r="R32" s="116"/>
      <c r="S32" s="38"/>
      <c r="T32" s="38"/>
      <c r="U32" s="183"/>
      <c r="V32" s="183"/>
      <c r="W32" s="155">
        <v>2000000</v>
      </c>
      <c r="X32" s="156"/>
      <c r="Y32" s="38"/>
      <c r="Z32" s="38"/>
    </row>
    <row r="33" spans="1:26" ht="18" customHeight="1">
      <c r="A33" s="278">
        <v>3</v>
      </c>
      <c r="B33" s="223" t="str">
        <f t="shared" si="7"/>
        <v>2.1. 기본구상</v>
      </c>
      <c r="C33" s="253"/>
      <c r="D33" s="20">
        <f t="array" ref="D33:I33">ROUNDDOWN(D19:I19*L19,3)</f>
        <v>7.6</v>
      </c>
      <c r="E33" s="21">
        <v>17.899999999999999</v>
      </c>
      <c r="F33" s="21">
        <v>18.5</v>
      </c>
      <c r="G33" s="21">
        <v>12</v>
      </c>
      <c r="H33" s="21">
        <v>11.3</v>
      </c>
      <c r="I33" s="22">
        <v>8.3000000000000007</v>
      </c>
      <c r="J33" s="302"/>
      <c r="N33" s="127" t="s">
        <v>47</v>
      </c>
      <c r="O33" s="123"/>
      <c r="P33" s="123"/>
      <c r="Q33" s="123"/>
      <c r="R33" s="123"/>
      <c r="S33" s="123"/>
      <c r="T33" s="123"/>
      <c r="U33" s="184"/>
      <c r="V33" s="184"/>
      <c r="W33" s="163">
        <f ca="1">SUBTOTAL(9,W34:W35)</f>
        <v>205792592</v>
      </c>
      <c r="X33" s="164"/>
      <c r="Y33" s="123"/>
      <c r="Z33" s="123"/>
    </row>
    <row r="34" spans="1:26" ht="18" customHeight="1">
      <c r="A34" s="278">
        <v>4</v>
      </c>
      <c r="B34" s="223" t="str">
        <f t="shared" si="7"/>
        <v>2.2. 타당성검토 및 경제성 검토</v>
      </c>
      <c r="C34" s="253"/>
      <c r="D34" s="20">
        <f t="array" ref="D34:I34">ROUNDDOWN(D19:I19*L19*$D$5*D6,3)</f>
        <v>7.6</v>
      </c>
      <c r="E34" s="21">
        <v>17.899999999999999</v>
      </c>
      <c r="F34" s="21">
        <v>18.5</v>
      </c>
      <c r="G34" s="21">
        <v>12</v>
      </c>
      <c r="H34" s="21">
        <v>11.3</v>
      </c>
      <c r="I34" s="22">
        <v>8.3000000000000007</v>
      </c>
      <c r="J34" s="302"/>
      <c r="N34" s="133" t="s">
        <v>861</v>
      </c>
      <c r="O34" s="124"/>
      <c r="P34" s="134"/>
      <c r="Q34" s="124"/>
      <c r="R34" s="131"/>
      <c r="S34" s="124"/>
      <c r="T34" s="181"/>
      <c r="U34" s="181"/>
      <c r="V34" s="190">
        <v>1.1499999999999999</v>
      </c>
      <c r="W34" s="159">
        <f ca="1">ROUNDDOWN(W14*V34,0)</f>
        <v>131844836</v>
      </c>
      <c r="X34" s="160"/>
      <c r="Y34" s="124"/>
      <c r="Z34" s="124"/>
    </row>
    <row r="35" spans="1:26" ht="18" customHeight="1" thickBot="1">
      <c r="A35" s="278"/>
      <c r="B35" s="393" t="str">
        <f t="shared" si="7"/>
        <v>3. 성과품 작성</v>
      </c>
      <c r="C35" s="23"/>
      <c r="D35" s="30">
        <f t="shared" ref="D35:I35" si="9">SUBTOTAL(9,D36)</f>
        <v>0.7</v>
      </c>
      <c r="E35" s="31">
        <f t="shared" si="9"/>
        <v>1.4</v>
      </c>
      <c r="F35" s="31">
        <f t="shared" si="9"/>
        <v>5.6</v>
      </c>
      <c r="G35" s="31">
        <f t="shared" si="9"/>
        <v>8.3000000000000007</v>
      </c>
      <c r="H35" s="31">
        <f t="shared" si="9"/>
        <v>14.6</v>
      </c>
      <c r="I35" s="32">
        <f t="shared" si="9"/>
        <v>20.5</v>
      </c>
      <c r="J35" s="74"/>
      <c r="K35" s="171" t="s">
        <v>14</v>
      </c>
      <c r="N35" s="135" t="s">
        <v>862</v>
      </c>
      <c r="O35" s="136"/>
      <c r="P35" s="137"/>
      <c r="Q35" s="136"/>
      <c r="R35" s="138"/>
      <c r="S35" s="136"/>
      <c r="T35" s="185"/>
      <c r="U35" s="185"/>
      <c r="V35" s="191">
        <v>0.3</v>
      </c>
      <c r="W35" s="165">
        <f ca="1">ROUNDDOWN((W14+W34)*V35,0)</f>
        <v>73947756</v>
      </c>
      <c r="X35" s="166"/>
      <c r="Y35" s="136"/>
      <c r="Z35" s="136"/>
    </row>
    <row r="36" spans="1:26" ht="18" customHeight="1">
      <c r="A36" s="278">
        <v>5</v>
      </c>
      <c r="B36" s="223" t="str">
        <f t="shared" si="7"/>
        <v>3.1. 성과품 작성</v>
      </c>
      <c r="C36" s="253"/>
      <c r="D36" s="20">
        <f t="array" ref="D36:I36">ROUNDDOWN(D22:I22*L22*$D$5,3)</f>
        <v>0.7</v>
      </c>
      <c r="E36" s="21">
        <v>1.4</v>
      </c>
      <c r="F36" s="21">
        <v>5.6</v>
      </c>
      <c r="G36" s="21">
        <v>8.3000000000000007</v>
      </c>
      <c r="H36" s="21">
        <v>14.6</v>
      </c>
      <c r="I36" s="22">
        <v>20.5</v>
      </c>
      <c r="J36" s="302"/>
    </row>
    <row r="37" spans="1:26" ht="18" customHeight="1">
      <c r="A37" s="278"/>
      <c r="B37" s="222" t="str">
        <f t="shared" si="7"/>
        <v>4. 기술협의</v>
      </c>
      <c r="C37" s="47"/>
      <c r="D37" s="48">
        <f t="shared" ref="D37:I37" si="10">SUBTOTAL(9,D38:D41)</f>
        <v>8</v>
      </c>
      <c r="E37" s="49">
        <f t="shared" si="10"/>
        <v>8</v>
      </c>
      <c r="F37" s="49">
        <f t="shared" si="10"/>
        <v>8</v>
      </c>
      <c r="G37" s="49">
        <f t="shared" si="10"/>
        <v>16</v>
      </c>
      <c r="H37" s="49">
        <f t="shared" si="10"/>
        <v>16</v>
      </c>
      <c r="I37" s="50">
        <f t="shared" si="10"/>
        <v>16</v>
      </c>
      <c r="J37" s="74"/>
      <c r="K37" s="171" t="s">
        <v>14</v>
      </c>
      <c r="L37" s="171"/>
    </row>
    <row r="38" spans="1:26" ht="18" customHeight="1">
      <c r="A38" s="278">
        <v>6</v>
      </c>
      <c r="B38" s="223" t="str">
        <f t="shared" si="7"/>
        <v>4.1. 공청회/주민설명회</v>
      </c>
      <c r="C38" s="23"/>
      <c r="D38" s="20">
        <f t="array" ref="D38:I41">ROUNDDOWN(D24:I27*L24:L27*I5,3)</f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74"/>
      <c r="K38" s="171"/>
      <c r="L38" s="171"/>
    </row>
    <row r="39" spans="1:26" ht="18" customHeight="1">
      <c r="A39" s="278">
        <v>7</v>
      </c>
      <c r="B39" s="223" t="str">
        <f t="shared" si="7"/>
        <v>4.2. 주민간담회/시민계획단</v>
      </c>
      <c r="C39" s="23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74"/>
      <c r="K39" s="171"/>
      <c r="L39" s="171"/>
    </row>
    <row r="40" spans="1:26" ht="18" customHeight="1">
      <c r="A40" s="278">
        <v>8</v>
      </c>
      <c r="B40" s="223" t="str">
        <f t="shared" si="7"/>
        <v>4.3. 위원회심의 지원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74"/>
      <c r="K40" s="171"/>
      <c r="L40" s="171"/>
    </row>
    <row r="41" spans="1:26" ht="18" customHeight="1" thickBot="1">
      <c r="A41" s="278">
        <v>9</v>
      </c>
      <c r="B41" s="388" t="str">
        <f t="shared" si="7"/>
        <v>4.4. 관계기관 협의</v>
      </c>
      <c r="C41" s="342"/>
      <c r="D41" s="343">
        <v>2</v>
      </c>
      <c r="E41" s="344">
        <v>2</v>
      </c>
      <c r="F41" s="344">
        <v>2</v>
      </c>
      <c r="G41" s="344">
        <v>4</v>
      </c>
      <c r="H41" s="344">
        <v>4</v>
      </c>
      <c r="I41" s="345">
        <v>4</v>
      </c>
      <c r="J41" s="176"/>
      <c r="K41" s="171" t="s">
        <v>14</v>
      </c>
      <c r="L41" s="171"/>
      <c r="R41" s="1"/>
      <c r="S41" s="1"/>
      <c r="T41" s="1"/>
      <c r="U41" s="1"/>
      <c r="V41" s="1"/>
      <c r="W41" s="1"/>
      <c r="X41" s="1"/>
      <c r="Y41" s="1"/>
    </row>
    <row r="42" spans="1:26" ht="18" customHeight="1">
      <c r="A42" s="278"/>
      <c r="B42" s="80" t="s">
        <v>652</v>
      </c>
      <c r="C42" s="1" t="s">
        <v>2571</v>
      </c>
      <c r="E42" s="8"/>
      <c r="F42" s="8"/>
      <c r="G42" s="8"/>
      <c r="H42" s="8"/>
      <c r="I42" s="8"/>
      <c r="J42" s="10"/>
      <c r="K42" s="171" t="s">
        <v>14</v>
      </c>
      <c r="L42" s="171"/>
      <c r="R42" s="1"/>
      <c r="S42" s="1"/>
      <c r="T42" s="1"/>
      <c r="U42" s="1"/>
      <c r="V42" s="1"/>
      <c r="W42" s="1"/>
      <c r="X42" s="1"/>
      <c r="Y42" s="1"/>
    </row>
    <row r="43" spans="1:26" ht="18" customHeight="1">
      <c r="A43" s="278"/>
      <c r="B43" s="80"/>
      <c r="C43" s="1" t="s">
        <v>2572</v>
      </c>
      <c r="J43" s="8"/>
      <c r="K43" s="171" t="s">
        <v>14</v>
      </c>
      <c r="L43" s="171"/>
      <c r="R43" s="1"/>
      <c r="S43" s="1"/>
      <c r="T43" s="1"/>
      <c r="U43" s="1"/>
      <c r="V43" s="1"/>
      <c r="W43" s="1"/>
      <c r="X43" s="1"/>
      <c r="Y43" s="1"/>
    </row>
    <row r="44" spans="1:26" ht="18" customHeight="1" thickBot="1">
      <c r="A44" s="278"/>
      <c r="C44" s="9" t="s">
        <v>2573</v>
      </c>
      <c r="J44" s="8"/>
      <c r="K44" s="171" t="s">
        <v>14</v>
      </c>
      <c r="L44" s="171"/>
      <c r="N44" s="66" t="s">
        <v>18</v>
      </c>
      <c r="O44" s="2"/>
      <c r="P44" s="2"/>
      <c r="Q44" s="2"/>
      <c r="R44" s="3"/>
      <c r="S44" s="4"/>
      <c r="T44" s="3"/>
      <c r="U44" s="4"/>
      <c r="V44" s="3"/>
      <c r="W44" s="4"/>
      <c r="X44" s="3"/>
      <c r="Y44" s="4"/>
      <c r="Z44" s="2"/>
    </row>
    <row r="45" spans="1:26" ht="18" customHeight="1">
      <c r="A45" s="278"/>
      <c r="C45" s="1" t="s">
        <v>2574</v>
      </c>
      <c r="J45" s="8"/>
      <c r="K45" s="171" t="s">
        <v>14</v>
      </c>
      <c r="L45" s="171"/>
      <c r="N45" s="765" t="s">
        <v>19</v>
      </c>
      <c r="O45" s="755" t="s">
        <v>20</v>
      </c>
      <c r="P45" s="755" t="s">
        <v>21</v>
      </c>
      <c r="Q45" s="755" t="s">
        <v>16</v>
      </c>
      <c r="R45" s="5" t="s">
        <v>22</v>
      </c>
      <c r="S45" s="5"/>
      <c r="T45" s="5" t="s">
        <v>23</v>
      </c>
      <c r="U45" s="5"/>
      <c r="V45" s="5" t="s">
        <v>24</v>
      </c>
      <c r="W45" s="5"/>
      <c r="X45" s="5" t="s">
        <v>25</v>
      </c>
      <c r="Y45" s="5"/>
      <c r="Z45" s="755" t="s">
        <v>26</v>
      </c>
    </row>
    <row r="46" spans="1:26" ht="18" customHeight="1" thickBot="1">
      <c r="A46" s="278"/>
      <c r="K46" s="171" t="s">
        <v>14</v>
      </c>
      <c r="L46" s="171"/>
      <c r="N46" s="766"/>
      <c r="O46" s="756"/>
      <c r="P46" s="756"/>
      <c r="Q46" s="756"/>
      <c r="R46" s="67" t="s">
        <v>27</v>
      </c>
      <c r="S46" s="67" t="s">
        <v>28</v>
      </c>
      <c r="T46" s="67" t="s">
        <v>27</v>
      </c>
      <c r="U46" s="67" t="s">
        <v>28</v>
      </c>
      <c r="V46" s="67" t="s">
        <v>27</v>
      </c>
      <c r="W46" s="67" t="s">
        <v>28</v>
      </c>
      <c r="X46" s="67" t="s">
        <v>27</v>
      </c>
      <c r="Y46" s="67" t="s">
        <v>28</v>
      </c>
      <c r="Z46" s="756"/>
    </row>
    <row r="47" spans="1:26" ht="18" customHeight="1" thickTop="1">
      <c r="A47" s="278"/>
      <c r="C47" s="9"/>
      <c r="K47" s="171" t="s">
        <v>14</v>
      </c>
      <c r="L47" s="171"/>
      <c r="N47" s="318" t="str">
        <f ca="1">"제 " &amp; Z47 &amp; " 호표  "&amp; OFFSET($A$1,MATCH(Z47,$A:$A,0)-1,1)</f>
        <v>제 1 호표  1.1. 현황조사</v>
      </c>
      <c r="O47" s="221"/>
      <c r="P47" s="148"/>
      <c r="Q47" s="148"/>
      <c r="R47" s="149"/>
      <c r="S47" s="149"/>
      <c r="T47" s="149"/>
      <c r="U47" s="149"/>
      <c r="V47" s="149"/>
      <c r="W47" s="149"/>
      <c r="X47" s="149"/>
      <c r="Y47" s="149"/>
      <c r="Z47" s="325">
        <v>1</v>
      </c>
    </row>
    <row r="48" spans="1:26" ht="18" customHeight="1">
      <c r="A48" s="278"/>
      <c r="C48" s="9"/>
      <c r="K48" s="171" t="s">
        <v>14</v>
      </c>
      <c r="L48" s="171"/>
      <c r="N48" s="140" t="s">
        <v>43</v>
      </c>
      <c r="O48" s="172">
        <v>3</v>
      </c>
      <c r="P48" s="219">
        <f ca="1">OFFSET($A$1,MATCH(Z47,$A:$A,0)-1,O48)</f>
        <v>0.8</v>
      </c>
      <c r="Q48" s="141" t="s">
        <v>29</v>
      </c>
      <c r="R48" s="142">
        <f t="shared" ref="R48:S53" ca="1" si="11">T48</f>
        <v>467217</v>
      </c>
      <c r="S48" s="142">
        <f t="shared" ca="1" si="11"/>
        <v>373773</v>
      </c>
      <c r="T48" s="142">
        <f ca="1">기술사</f>
        <v>467217</v>
      </c>
      <c r="U48" s="142">
        <f t="shared" ref="U48:U53" ca="1" si="12">ROUNDDOWN(P48*R48,0)</f>
        <v>373773</v>
      </c>
      <c r="V48" s="142"/>
      <c r="W48" s="142"/>
      <c r="X48" s="142"/>
      <c r="Y48" s="142"/>
      <c r="Z48" s="114"/>
    </row>
    <row r="49" spans="1:26" ht="18" customHeight="1">
      <c r="A49" s="278"/>
      <c r="C49" s="9"/>
      <c r="K49" s="171" t="s">
        <v>14</v>
      </c>
      <c r="L49" s="171"/>
      <c r="N49" s="143" t="s">
        <v>32</v>
      </c>
      <c r="O49" s="173">
        <v>4</v>
      </c>
      <c r="P49" s="234">
        <f ca="1">OFFSET($A$1,MATCH(Z47,$A:$A,0)-1,O49)</f>
        <v>1.8</v>
      </c>
      <c r="Q49" s="144" t="s">
        <v>29</v>
      </c>
      <c r="R49" s="118">
        <f t="shared" ca="1" si="11"/>
        <v>373353</v>
      </c>
      <c r="S49" s="118">
        <f t="shared" ca="1" si="11"/>
        <v>672035</v>
      </c>
      <c r="T49" s="118">
        <f ca="1">특급</f>
        <v>373353</v>
      </c>
      <c r="U49" s="118">
        <f t="shared" ca="1" si="12"/>
        <v>672035</v>
      </c>
      <c r="V49" s="118"/>
      <c r="W49" s="118"/>
      <c r="X49" s="118"/>
      <c r="Y49" s="118"/>
      <c r="Z49" s="115"/>
    </row>
    <row r="50" spans="1:26" ht="18" customHeight="1">
      <c r="A50" s="278"/>
      <c r="K50" s="171" t="s">
        <v>14</v>
      </c>
      <c r="L50" s="171"/>
      <c r="N50" s="145" t="s">
        <v>39</v>
      </c>
      <c r="O50" s="173">
        <v>5</v>
      </c>
      <c r="P50" s="234">
        <f ca="1">OFFSET($A$1,MATCH(Z47,$A:$A,0)-1,O50)</f>
        <v>4.4000000000000004</v>
      </c>
      <c r="Q50" s="144" t="s">
        <v>29</v>
      </c>
      <c r="R50" s="118">
        <f t="shared" ca="1" si="11"/>
        <v>310884</v>
      </c>
      <c r="S50" s="118">
        <f t="shared" ca="1" si="11"/>
        <v>1367889</v>
      </c>
      <c r="T50" s="118">
        <f ca="1">고급</f>
        <v>310884</v>
      </c>
      <c r="U50" s="118">
        <f t="shared" ca="1" si="12"/>
        <v>1367889</v>
      </c>
      <c r="V50" s="118"/>
      <c r="W50" s="118"/>
      <c r="X50" s="118"/>
      <c r="Y50" s="118"/>
      <c r="Z50" s="115"/>
    </row>
    <row r="51" spans="1:26" ht="18" customHeight="1">
      <c r="A51" s="278"/>
      <c r="B51" s="9"/>
      <c r="C51" s="9"/>
      <c r="K51" s="171" t="s">
        <v>14</v>
      </c>
      <c r="L51" s="171"/>
      <c r="N51" s="145" t="s">
        <v>40</v>
      </c>
      <c r="O51" s="173">
        <v>6</v>
      </c>
      <c r="P51" s="234">
        <f ca="1">OFFSET($A$1,MATCH(Z47,$A:$A,0)-1,O51)</f>
        <v>9.3000000000000007</v>
      </c>
      <c r="Q51" s="144" t="s">
        <v>29</v>
      </c>
      <c r="R51" s="118">
        <f t="shared" ca="1" si="11"/>
        <v>295138</v>
      </c>
      <c r="S51" s="118">
        <f t="shared" ca="1" si="11"/>
        <v>2744783</v>
      </c>
      <c r="T51" s="118">
        <f ca="1">중급</f>
        <v>295138</v>
      </c>
      <c r="U51" s="118">
        <f t="shared" ca="1" si="12"/>
        <v>2744783</v>
      </c>
      <c r="V51" s="118"/>
      <c r="W51" s="118"/>
      <c r="X51" s="118"/>
      <c r="Y51" s="118"/>
      <c r="Z51" s="115"/>
    </row>
    <row r="52" spans="1:26" ht="18" customHeight="1">
      <c r="A52" s="278"/>
      <c r="B52" s="9"/>
      <c r="K52" s="171" t="s">
        <v>14</v>
      </c>
      <c r="L52" s="171"/>
      <c r="N52" s="145" t="s">
        <v>41</v>
      </c>
      <c r="O52" s="173">
        <v>7</v>
      </c>
      <c r="P52" s="234">
        <f ca="1">OFFSET($A$1,MATCH(Z47,$A:$A,0)-1,O52)</f>
        <v>14.3</v>
      </c>
      <c r="Q52" s="144" t="s">
        <v>29</v>
      </c>
      <c r="R52" s="118">
        <f t="shared" ca="1" si="11"/>
        <v>235459</v>
      </c>
      <c r="S52" s="118">
        <f t="shared" ca="1" si="11"/>
        <v>3367063</v>
      </c>
      <c r="T52" s="118">
        <f ca="1">초급</f>
        <v>235459</v>
      </c>
      <c r="U52" s="118">
        <f t="shared" ca="1" si="12"/>
        <v>3367063</v>
      </c>
      <c r="V52" s="118"/>
      <c r="W52" s="118"/>
      <c r="X52" s="118"/>
      <c r="Y52" s="118"/>
      <c r="Z52" s="115"/>
    </row>
    <row r="53" spans="1:26" ht="18" customHeight="1">
      <c r="A53" s="278"/>
      <c r="B53" s="9"/>
      <c r="K53" s="171" t="s">
        <v>14</v>
      </c>
      <c r="L53" s="171"/>
      <c r="N53" s="319" t="s">
        <v>42</v>
      </c>
      <c r="O53" s="174">
        <v>8</v>
      </c>
      <c r="P53" s="235">
        <f ca="1">OFFSET($A$1,MATCH(Z47,$A:$A,0)-1,O53)</f>
        <v>20.2</v>
      </c>
      <c r="Q53" s="322" t="s">
        <v>29</v>
      </c>
      <c r="R53" s="323">
        <f t="shared" ca="1" si="11"/>
        <v>250087</v>
      </c>
      <c r="S53" s="323">
        <f t="shared" ca="1" si="11"/>
        <v>5051757</v>
      </c>
      <c r="T53" s="323">
        <f ca="1">보조원</f>
        <v>250087</v>
      </c>
      <c r="U53" s="323">
        <f t="shared" ca="1" si="12"/>
        <v>5051757</v>
      </c>
      <c r="V53" s="323"/>
      <c r="W53" s="323"/>
      <c r="X53" s="323"/>
      <c r="Y53" s="323"/>
      <c r="Z53" s="324"/>
    </row>
    <row r="54" spans="1:26" ht="18" customHeight="1">
      <c r="A54" s="278"/>
      <c r="B54" s="9"/>
      <c r="K54" s="171" t="s">
        <v>14</v>
      </c>
      <c r="L54" s="171"/>
      <c r="N54" s="139" t="s">
        <v>17</v>
      </c>
      <c r="O54" s="68"/>
      <c r="P54" s="69"/>
      <c r="Q54" s="70"/>
      <c r="R54" s="71"/>
      <c r="S54" s="71">
        <f ca="1">SUBTOTAL(9,S48:S53)</f>
        <v>13577300</v>
      </c>
      <c r="T54" s="71"/>
      <c r="U54" s="71">
        <f ca="1">SUBTOTAL(9,U48:U53)</f>
        <v>13577300</v>
      </c>
      <c r="V54" s="71"/>
      <c r="W54" s="71"/>
      <c r="X54" s="71"/>
      <c r="Y54" s="71"/>
      <c r="Z54" s="68"/>
    </row>
    <row r="55" spans="1:26" ht="18" customHeight="1">
      <c r="A55" s="278"/>
      <c r="B55" s="9"/>
      <c r="K55" s="171" t="s">
        <v>14</v>
      </c>
      <c r="L55" s="171"/>
      <c r="N55" s="318" t="str">
        <f ca="1">"제 " &amp; Z55 &amp; " 호표  "&amp; OFFSET($A$1,MATCH(Z55,$A:$A,0)-1,1)</f>
        <v>제 2 호표  1.2. 분석, 평가, 진단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f>Z47+1</f>
        <v>2</v>
      </c>
    </row>
    <row r="56" spans="1:26" ht="18" customHeight="1">
      <c r="A56" s="278"/>
      <c r="B56" s="9"/>
      <c r="K56" s="171" t="s">
        <v>14</v>
      </c>
      <c r="L56" s="171"/>
      <c r="N56" s="140" t="s">
        <v>43</v>
      </c>
      <c r="O56" s="172">
        <v>3</v>
      </c>
      <c r="P56" s="219">
        <f ca="1">OFFSET($A$1,MATCH(Z55,$A:$A,0)-1,O56)</f>
        <v>3.3</v>
      </c>
      <c r="Q56" s="141" t="s">
        <v>29</v>
      </c>
      <c r="R56" s="142">
        <f t="shared" ref="R56:S61" ca="1" si="13">T56</f>
        <v>467217</v>
      </c>
      <c r="S56" s="142">
        <f t="shared" ca="1" si="13"/>
        <v>1541816</v>
      </c>
      <c r="T56" s="142">
        <f ca="1">기술사</f>
        <v>467217</v>
      </c>
      <c r="U56" s="142">
        <f t="shared" ref="U56:U61" ca="1" si="14">ROUNDDOWN(P56*R56,0)</f>
        <v>1541816</v>
      </c>
      <c r="V56" s="142"/>
      <c r="W56" s="142"/>
      <c r="X56" s="142"/>
      <c r="Y56" s="142"/>
      <c r="Z56" s="114"/>
    </row>
    <row r="57" spans="1:26" ht="18" customHeight="1">
      <c r="A57" s="278"/>
      <c r="B57" s="9"/>
      <c r="K57" s="171" t="s">
        <v>14</v>
      </c>
      <c r="L57" s="171"/>
      <c r="N57" s="143" t="s">
        <v>32</v>
      </c>
      <c r="O57" s="173">
        <v>4</v>
      </c>
      <c r="P57" s="234">
        <f ca="1">OFFSET($A$1,MATCH(Z55,$A:$A,0)-1,O57)</f>
        <v>6.2</v>
      </c>
      <c r="Q57" s="144" t="s">
        <v>29</v>
      </c>
      <c r="R57" s="118">
        <f t="shared" ca="1" si="13"/>
        <v>373353</v>
      </c>
      <c r="S57" s="118">
        <f t="shared" ca="1" si="13"/>
        <v>2314788</v>
      </c>
      <c r="T57" s="118">
        <f ca="1">특급</f>
        <v>373353</v>
      </c>
      <c r="U57" s="118">
        <f t="shared" ca="1" si="14"/>
        <v>2314788</v>
      </c>
      <c r="V57" s="118"/>
      <c r="W57" s="118"/>
      <c r="X57" s="118"/>
      <c r="Y57" s="118"/>
      <c r="Z57" s="115"/>
    </row>
    <row r="58" spans="1:26" ht="18" customHeight="1">
      <c r="A58" s="278"/>
      <c r="K58" s="171" t="s">
        <v>14</v>
      </c>
      <c r="L58" s="171"/>
      <c r="N58" s="145" t="s">
        <v>39</v>
      </c>
      <c r="O58" s="173">
        <v>5</v>
      </c>
      <c r="P58" s="234">
        <f ca="1">OFFSET($A$1,MATCH(Z55,$A:$A,0)-1,O58)</f>
        <v>10.5</v>
      </c>
      <c r="Q58" s="144" t="s">
        <v>29</v>
      </c>
      <c r="R58" s="118">
        <f t="shared" ca="1" si="13"/>
        <v>310884</v>
      </c>
      <c r="S58" s="118">
        <f t="shared" ca="1" si="13"/>
        <v>3264282</v>
      </c>
      <c r="T58" s="118">
        <f ca="1">고급</f>
        <v>310884</v>
      </c>
      <c r="U58" s="118">
        <f t="shared" ca="1" si="14"/>
        <v>3264282</v>
      </c>
      <c r="V58" s="118"/>
      <c r="W58" s="118"/>
      <c r="X58" s="118"/>
      <c r="Y58" s="118"/>
      <c r="Z58" s="115"/>
    </row>
    <row r="59" spans="1:26" ht="18" customHeight="1">
      <c r="A59" s="278"/>
      <c r="K59" s="171" t="s">
        <v>14</v>
      </c>
      <c r="L59" s="171"/>
      <c r="N59" s="145" t="s">
        <v>40</v>
      </c>
      <c r="O59" s="173">
        <v>6</v>
      </c>
      <c r="P59" s="234">
        <f ca="1">OFFSET($A$1,MATCH(Z55,$A:$A,0)-1,O59)</f>
        <v>15.1</v>
      </c>
      <c r="Q59" s="144" t="s">
        <v>29</v>
      </c>
      <c r="R59" s="118">
        <f t="shared" ca="1" si="13"/>
        <v>295138</v>
      </c>
      <c r="S59" s="118">
        <f t="shared" ca="1" si="13"/>
        <v>4456583</v>
      </c>
      <c r="T59" s="118">
        <f ca="1">중급</f>
        <v>295138</v>
      </c>
      <c r="U59" s="118">
        <f t="shared" ca="1" si="14"/>
        <v>4456583</v>
      </c>
      <c r="V59" s="118"/>
      <c r="W59" s="118"/>
      <c r="X59" s="118"/>
      <c r="Y59" s="118"/>
      <c r="Z59" s="115"/>
    </row>
    <row r="60" spans="1:26" ht="18" customHeight="1">
      <c r="A60" s="278"/>
      <c r="K60" s="171" t="s">
        <v>14</v>
      </c>
      <c r="L60" s="171"/>
      <c r="N60" s="145" t="s">
        <v>41</v>
      </c>
      <c r="O60" s="173">
        <v>7</v>
      </c>
      <c r="P60" s="234">
        <f ca="1">OFFSET($A$1,MATCH(Z55,$A:$A,0)-1,O60)</f>
        <v>13.2</v>
      </c>
      <c r="Q60" s="144" t="s">
        <v>29</v>
      </c>
      <c r="R60" s="118">
        <f t="shared" ca="1" si="13"/>
        <v>235459</v>
      </c>
      <c r="S60" s="118">
        <f t="shared" ca="1" si="13"/>
        <v>3108058</v>
      </c>
      <c r="T60" s="118">
        <f ca="1">초급</f>
        <v>235459</v>
      </c>
      <c r="U60" s="118">
        <f t="shared" ca="1" si="14"/>
        <v>3108058</v>
      </c>
      <c r="V60" s="118"/>
      <c r="W60" s="118"/>
      <c r="X60" s="118"/>
      <c r="Y60" s="118"/>
      <c r="Z60" s="115"/>
    </row>
    <row r="61" spans="1:26" ht="18" customHeight="1">
      <c r="A61" s="278"/>
      <c r="K61" s="171" t="s">
        <v>14</v>
      </c>
      <c r="L61" s="171"/>
      <c r="N61" s="319" t="s">
        <v>42</v>
      </c>
      <c r="O61" s="174">
        <v>8</v>
      </c>
      <c r="P61" s="235">
        <f ca="1">OFFSET($A$1,MATCH(Z55,$A:$A,0)-1,O61)</f>
        <v>10.199999999999999</v>
      </c>
      <c r="Q61" s="322" t="s">
        <v>29</v>
      </c>
      <c r="R61" s="323">
        <f t="shared" ca="1" si="13"/>
        <v>250087</v>
      </c>
      <c r="S61" s="323">
        <f t="shared" ca="1" si="13"/>
        <v>2550887</v>
      </c>
      <c r="T61" s="323">
        <f ca="1">보조원</f>
        <v>250087</v>
      </c>
      <c r="U61" s="323">
        <f t="shared" ca="1" si="14"/>
        <v>2550887</v>
      </c>
      <c r="V61" s="323"/>
      <c r="W61" s="323"/>
      <c r="X61" s="323"/>
      <c r="Y61" s="323"/>
      <c r="Z61" s="324"/>
    </row>
    <row r="62" spans="1:26" ht="18" customHeight="1">
      <c r="A62" s="278"/>
      <c r="K62" s="171" t="s">
        <v>14</v>
      </c>
      <c r="L62" s="171"/>
      <c r="N62" s="139" t="s">
        <v>17</v>
      </c>
      <c r="O62" s="68"/>
      <c r="P62" s="69"/>
      <c r="Q62" s="70"/>
      <c r="R62" s="71"/>
      <c r="S62" s="71">
        <f ca="1">SUBTOTAL(9,S56:S61)</f>
        <v>17236414</v>
      </c>
      <c r="T62" s="71"/>
      <c r="U62" s="71">
        <f ca="1">SUBTOTAL(9,U56:U61)</f>
        <v>17236414</v>
      </c>
      <c r="V62" s="71"/>
      <c r="W62" s="71"/>
      <c r="X62" s="71"/>
      <c r="Y62" s="71"/>
      <c r="Z62" s="68"/>
    </row>
    <row r="63" spans="1:26" ht="18" customHeight="1">
      <c r="A63" s="278"/>
      <c r="K63" s="171" t="s">
        <v>14</v>
      </c>
      <c r="L63" s="171"/>
      <c r="N63" s="318" t="str">
        <f ca="1">"제 " &amp; Z63 &amp; " 호표  "&amp; OFFSET($A$1,MATCH(Z63,$A:$A,0)-1,1)</f>
        <v>제 3 호표  2.1. 기본구상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3</v>
      </c>
    </row>
    <row r="64" spans="1:26" ht="18" customHeight="1">
      <c r="A64" s="278"/>
      <c r="K64" s="171" t="s">
        <v>14</v>
      </c>
      <c r="L64" s="171"/>
      <c r="N64" s="140" t="s">
        <v>43</v>
      </c>
      <c r="O64" s="172">
        <v>3</v>
      </c>
      <c r="P64" s="219">
        <f ca="1">OFFSET($A$1,MATCH(Z63,$A:$A,0)-1,O64)</f>
        <v>7.6</v>
      </c>
      <c r="Q64" s="141" t="s">
        <v>29</v>
      </c>
      <c r="R64" s="142">
        <f t="shared" ref="R64:S69" ca="1" si="15">T64</f>
        <v>467217</v>
      </c>
      <c r="S64" s="142">
        <f t="shared" ca="1" si="15"/>
        <v>3550849</v>
      </c>
      <c r="T64" s="142">
        <f ca="1">기술사</f>
        <v>467217</v>
      </c>
      <c r="U64" s="142">
        <f t="shared" ref="U64:U69" ca="1" si="16">ROUNDDOWN(P64*R64,0)</f>
        <v>3550849</v>
      </c>
      <c r="V64" s="142"/>
      <c r="W64" s="142"/>
      <c r="X64" s="142"/>
      <c r="Y64" s="142"/>
      <c r="Z64" s="114"/>
    </row>
    <row r="65" spans="1:26" ht="18" customHeight="1">
      <c r="A65" s="278"/>
      <c r="K65" s="171" t="s">
        <v>14</v>
      </c>
      <c r="L65" s="171"/>
      <c r="N65" s="143" t="s">
        <v>32</v>
      </c>
      <c r="O65" s="173">
        <v>4</v>
      </c>
      <c r="P65" s="234">
        <f ca="1">OFFSET($A$1,MATCH(Z63,$A:$A,0)-1,O65)</f>
        <v>17.899999999999999</v>
      </c>
      <c r="Q65" s="144" t="s">
        <v>29</v>
      </c>
      <c r="R65" s="118">
        <f t="shared" ca="1" si="15"/>
        <v>373353</v>
      </c>
      <c r="S65" s="118">
        <f t="shared" ca="1" si="15"/>
        <v>6683018</v>
      </c>
      <c r="T65" s="118">
        <f ca="1">특급</f>
        <v>373353</v>
      </c>
      <c r="U65" s="118">
        <f t="shared" ca="1" si="16"/>
        <v>6683018</v>
      </c>
      <c r="V65" s="118"/>
      <c r="W65" s="118"/>
      <c r="X65" s="118"/>
      <c r="Y65" s="118"/>
      <c r="Z65" s="115"/>
    </row>
    <row r="66" spans="1:26" ht="18" customHeight="1">
      <c r="A66" s="278"/>
      <c r="K66" s="171" t="s">
        <v>14</v>
      </c>
      <c r="L66" s="171"/>
      <c r="N66" s="145" t="s">
        <v>39</v>
      </c>
      <c r="O66" s="173">
        <v>5</v>
      </c>
      <c r="P66" s="234">
        <f ca="1">OFFSET($A$1,MATCH(Z63,$A:$A,0)-1,O66)</f>
        <v>18.5</v>
      </c>
      <c r="Q66" s="144" t="s">
        <v>29</v>
      </c>
      <c r="R66" s="118">
        <f t="shared" ca="1" si="15"/>
        <v>310884</v>
      </c>
      <c r="S66" s="118">
        <f t="shared" ca="1" si="15"/>
        <v>5751354</v>
      </c>
      <c r="T66" s="118">
        <f ca="1">고급</f>
        <v>310884</v>
      </c>
      <c r="U66" s="118">
        <f t="shared" ca="1" si="16"/>
        <v>5751354</v>
      </c>
      <c r="V66" s="118"/>
      <c r="W66" s="118"/>
      <c r="X66" s="118"/>
      <c r="Y66" s="118"/>
      <c r="Z66" s="115"/>
    </row>
    <row r="67" spans="1:26" ht="18" customHeight="1">
      <c r="K67" s="171" t="s">
        <v>14</v>
      </c>
      <c r="L67" s="171"/>
      <c r="N67" s="145" t="s">
        <v>40</v>
      </c>
      <c r="O67" s="173">
        <v>6</v>
      </c>
      <c r="P67" s="234">
        <f ca="1">OFFSET($A$1,MATCH(Z63,$A:$A,0)-1,O67)</f>
        <v>12</v>
      </c>
      <c r="Q67" s="144" t="s">
        <v>29</v>
      </c>
      <c r="R67" s="118">
        <f t="shared" ca="1" si="15"/>
        <v>295138</v>
      </c>
      <c r="S67" s="118">
        <f t="shared" ca="1" si="15"/>
        <v>3541656</v>
      </c>
      <c r="T67" s="118">
        <f ca="1">중급</f>
        <v>295138</v>
      </c>
      <c r="U67" s="118">
        <f t="shared" ca="1" si="16"/>
        <v>3541656</v>
      </c>
      <c r="V67" s="118"/>
      <c r="W67" s="118"/>
      <c r="X67" s="118"/>
      <c r="Y67" s="118"/>
      <c r="Z67" s="115"/>
    </row>
    <row r="68" spans="1:26" ht="18" customHeight="1">
      <c r="K68" s="171" t="s">
        <v>14</v>
      </c>
      <c r="L68" s="171"/>
      <c r="N68" s="145" t="s">
        <v>41</v>
      </c>
      <c r="O68" s="173">
        <v>7</v>
      </c>
      <c r="P68" s="234">
        <f ca="1">OFFSET($A$1,MATCH(Z63,$A:$A,0)-1,O68)</f>
        <v>11.3</v>
      </c>
      <c r="Q68" s="144" t="s">
        <v>29</v>
      </c>
      <c r="R68" s="118">
        <f t="shared" ca="1" si="15"/>
        <v>235459</v>
      </c>
      <c r="S68" s="118">
        <f t="shared" ca="1" si="15"/>
        <v>2660686</v>
      </c>
      <c r="T68" s="118">
        <f ca="1">초급</f>
        <v>235459</v>
      </c>
      <c r="U68" s="118">
        <f t="shared" ca="1" si="16"/>
        <v>2660686</v>
      </c>
      <c r="V68" s="118"/>
      <c r="W68" s="118"/>
      <c r="X68" s="118"/>
      <c r="Y68" s="118"/>
      <c r="Z68" s="115"/>
    </row>
    <row r="69" spans="1:26" ht="18" customHeight="1">
      <c r="K69" s="171" t="s">
        <v>14</v>
      </c>
      <c r="L69" s="171"/>
      <c r="N69" s="319" t="s">
        <v>42</v>
      </c>
      <c r="O69" s="174">
        <v>8</v>
      </c>
      <c r="P69" s="235">
        <f ca="1">OFFSET($A$1,MATCH(Z63,$A:$A,0)-1,O69)</f>
        <v>8.3000000000000007</v>
      </c>
      <c r="Q69" s="322" t="s">
        <v>29</v>
      </c>
      <c r="R69" s="323">
        <f t="shared" ca="1" si="15"/>
        <v>250087</v>
      </c>
      <c r="S69" s="323">
        <f t="shared" ca="1" si="15"/>
        <v>2075722</v>
      </c>
      <c r="T69" s="323">
        <f ca="1">보조원</f>
        <v>250087</v>
      </c>
      <c r="U69" s="323">
        <f t="shared" ca="1" si="16"/>
        <v>2075722</v>
      </c>
      <c r="V69" s="323"/>
      <c r="W69" s="323"/>
      <c r="X69" s="323"/>
      <c r="Y69" s="323"/>
      <c r="Z69" s="324"/>
    </row>
    <row r="70" spans="1:26" ht="18" customHeight="1">
      <c r="K70" s="171" t="s">
        <v>14</v>
      </c>
      <c r="L70" s="171"/>
      <c r="N70" s="139" t="s">
        <v>17</v>
      </c>
      <c r="O70" s="68"/>
      <c r="P70" s="69"/>
      <c r="Q70" s="70"/>
      <c r="R70" s="71"/>
      <c r="S70" s="71">
        <f ca="1">SUBTOTAL(9,S64:S69)</f>
        <v>24263285</v>
      </c>
      <c r="T70" s="71"/>
      <c r="U70" s="71">
        <f ca="1">SUBTOTAL(9,U64:U69)</f>
        <v>24263285</v>
      </c>
      <c r="V70" s="71"/>
      <c r="W70" s="71"/>
      <c r="X70" s="71"/>
      <c r="Y70" s="71"/>
      <c r="Z70" s="68"/>
    </row>
    <row r="71" spans="1:26" ht="18" customHeight="1">
      <c r="K71" s="171" t="s">
        <v>14</v>
      </c>
      <c r="L71" s="171"/>
      <c r="N71" s="318" t="str">
        <f ca="1">"제 " &amp; Z71 &amp; " 호표  "&amp; OFFSET($A$1,MATCH(Z71,$A:$A,0)-1,1)</f>
        <v>제 4 호표  2.2. 타당성검토 및 경제성 검토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4</v>
      </c>
    </row>
    <row r="72" spans="1:26" ht="18" customHeight="1">
      <c r="K72" s="171" t="s">
        <v>14</v>
      </c>
      <c r="L72" s="171"/>
      <c r="N72" s="140" t="s">
        <v>43</v>
      </c>
      <c r="O72" s="172">
        <v>3</v>
      </c>
      <c r="P72" s="219">
        <f ca="1">OFFSET($A$1,MATCH(Z71,$A:$A,0)-1,O72)</f>
        <v>7.6</v>
      </c>
      <c r="Q72" s="141" t="s">
        <v>29</v>
      </c>
      <c r="R72" s="142">
        <f t="shared" ref="R72:S77" ca="1" si="17">T72</f>
        <v>467217</v>
      </c>
      <c r="S72" s="142">
        <f t="shared" ca="1" si="17"/>
        <v>3550849</v>
      </c>
      <c r="T72" s="142">
        <f ca="1">기술사</f>
        <v>467217</v>
      </c>
      <c r="U72" s="142">
        <f t="shared" ref="U72:U77" ca="1" si="18">ROUNDDOWN(P72*R72,0)</f>
        <v>3550849</v>
      </c>
      <c r="V72" s="142"/>
      <c r="W72" s="142"/>
      <c r="X72" s="142"/>
      <c r="Y72" s="142"/>
      <c r="Z72" s="114"/>
    </row>
    <row r="73" spans="1:26" ht="18" customHeight="1">
      <c r="K73" s="171" t="s">
        <v>14</v>
      </c>
      <c r="L73" s="171"/>
      <c r="N73" s="143" t="s">
        <v>32</v>
      </c>
      <c r="O73" s="173">
        <v>4</v>
      </c>
      <c r="P73" s="234">
        <f ca="1">OFFSET($A$1,MATCH(Z71,$A:$A,0)-1,O73)</f>
        <v>17.899999999999999</v>
      </c>
      <c r="Q73" s="144" t="s">
        <v>29</v>
      </c>
      <c r="R73" s="118">
        <f t="shared" ca="1" si="17"/>
        <v>373353</v>
      </c>
      <c r="S73" s="118">
        <f t="shared" ca="1" si="17"/>
        <v>6683018</v>
      </c>
      <c r="T73" s="118">
        <f ca="1">특급</f>
        <v>373353</v>
      </c>
      <c r="U73" s="118">
        <f t="shared" ca="1" si="18"/>
        <v>6683018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N74" s="145" t="s">
        <v>39</v>
      </c>
      <c r="O74" s="173">
        <v>5</v>
      </c>
      <c r="P74" s="234">
        <f ca="1">OFFSET($A$1,MATCH(Z71,$A:$A,0)-1,O74)</f>
        <v>18.5</v>
      </c>
      <c r="Q74" s="144" t="s">
        <v>29</v>
      </c>
      <c r="R74" s="118">
        <f t="shared" ca="1" si="17"/>
        <v>310884</v>
      </c>
      <c r="S74" s="118">
        <f t="shared" ca="1" si="17"/>
        <v>5751354</v>
      </c>
      <c r="T74" s="118">
        <f ca="1">고급</f>
        <v>310884</v>
      </c>
      <c r="U74" s="118">
        <f t="shared" ca="1" si="18"/>
        <v>5751354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N75" s="145" t="s">
        <v>40</v>
      </c>
      <c r="O75" s="173">
        <v>6</v>
      </c>
      <c r="P75" s="234">
        <f ca="1">OFFSET($A$1,MATCH(Z71,$A:$A,0)-1,O75)</f>
        <v>12</v>
      </c>
      <c r="Q75" s="144" t="s">
        <v>29</v>
      </c>
      <c r="R75" s="118">
        <f t="shared" ca="1" si="17"/>
        <v>295138</v>
      </c>
      <c r="S75" s="118">
        <f t="shared" ca="1" si="17"/>
        <v>3541656</v>
      </c>
      <c r="T75" s="118">
        <f ca="1">중급</f>
        <v>295138</v>
      </c>
      <c r="U75" s="118">
        <f t="shared" ca="1" si="18"/>
        <v>3541656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N76" s="145" t="s">
        <v>41</v>
      </c>
      <c r="O76" s="173">
        <v>7</v>
      </c>
      <c r="P76" s="234">
        <f ca="1">OFFSET($A$1,MATCH(Z71,$A:$A,0)-1,O76)</f>
        <v>11.3</v>
      </c>
      <c r="Q76" s="144" t="s">
        <v>29</v>
      </c>
      <c r="R76" s="118">
        <f t="shared" ca="1" si="17"/>
        <v>235459</v>
      </c>
      <c r="S76" s="118">
        <f t="shared" ca="1" si="17"/>
        <v>2660686</v>
      </c>
      <c r="T76" s="118">
        <f ca="1">초급</f>
        <v>235459</v>
      </c>
      <c r="U76" s="118">
        <f t="shared" ca="1" si="18"/>
        <v>2660686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N77" s="319" t="s">
        <v>42</v>
      </c>
      <c r="O77" s="174">
        <v>8</v>
      </c>
      <c r="P77" s="235">
        <f ca="1">OFFSET($A$1,MATCH(Z71,$A:$A,0)-1,O77)</f>
        <v>8.3000000000000007</v>
      </c>
      <c r="Q77" s="322" t="s">
        <v>29</v>
      </c>
      <c r="R77" s="323">
        <f t="shared" ca="1" si="17"/>
        <v>250087</v>
      </c>
      <c r="S77" s="323">
        <f t="shared" ca="1" si="17"/>
        <v>2075722</v>
      </c>
      <c r="T77" s="323">
        <f ca="1">보조원</f>
        <v>250087</v>
      </c>
      <c r="U77" s="323">
        <f t="shared" ca="1" si="18"/>
        <v>2075722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N78" s="139" t="s">
        <v>17</v>
      </c>
      <c r="O78" s="68"/>
      <c r="P78" s="69"/>
      <c r="Q78" s="70"/>
      <c r="R78" s="71"/>
      <c r="S78" s="71">
        <f ca="1">SUBTOTAL(9,S72:S77)</f>
        <v>24263285</v>
      </c>
      <c r="T78" s="71"/>
      <c r="U78" s="71">
        <f ca="1">SUBTOTAL(9,U72:U77)</f>
        <v>24263285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N79" s="318" t="str">
        <f ca="1">"제 " &amp; Z79 &amp; " 호표  "&amp; OFFSET($A$1,MATCH(Z79,$A:$A,0)-1,1)</f>
        <v>제 5 호표  3.1. 성과품 작성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5</v>
      </c>
    </row>
    <row r="80" spans="1:26" ht="18" customHeight="1">
      <c r="K80" s="171" t="s">
        <v>14</v>
      </c>
      <c r="L80" s="171"/>
      <c r="N80" s="140" t="s">
        <v>43</v>
      </c>
      <c r="O80" s="172">
        <v>3</v>
      </c>
      <c r="P80" s="219">
        <f ca="1">OFFSET($A$1,MATCH(Z79,$A:$A,0)-1,O80)</f>
        <v>0.7</v>
      </c>
      <c r="Q80" s="141" t="s">
        <v>29</v>
      </c>
      <c r="R80" s="142">
        <f t="shared" ref="R80:S85" ca="1" si="19">T80</f>
        <v>467217</v>
      </c>
      <c r="S80" s="142">
        <f t="shared" ca="1" si="19"/>
        <v>327051</v>
      </c>
      <c r="T80" s="142">
        <f ca="1">기술사</f>
        <v>467217</v>
      </c>
      <c r="U80" s="142">
        <f t="shared" ref="U80:U85" ca="1" si="20">ROUNDDOWN(P80*R80,0)</f>
        <v>327051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N81" s="143" t="s">
        <v>32</v>
      </c>
      <c r="O81" s="173">
        <v>4</v>
      </c>
      <c r="P81" s="234">
        <f ca="1">OFFSET($A$1,MATCH(Z79,$A:$A,0)-1,O81)</f>
        <v>1.4</v>
      </c>
      <c r="Q81" s="144" t="s">
        <v>29</v>
      </c>
      <c r="R81" s="118">
        <f t="shared" ca="1" si="19"/>
        <v>373353</v>
      </c>
      <c r="S81" s="118">
        <f t="shared" ca="1" si="19"/>
        <v>522694</v>
      </c>
      <c r="T81" s="118">
        <f ca="1">특급</f>
        <v>373353</v>
      </c>
      <c r="U81" s="118">
        <f t="shared" ca="1" si="20"/>
        <v>522694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39</v>
      </c>
      <c r="O82" s="173">
        <v>5</v>
      </c>
      <c r="P82" s="234">
        <f ca="1">OFFSET($A$1,MATCH(Z79,$A:$A,0)-1,O82)</f>
        <v>5.6</v>
      </c>
      <c r="Q82" s="144" t="s">
        <v>29</v>
      </c>
      <c r="R82" s="118">
        <f t="shared" ca="1" si="19"/>
        <v>310884</v>
      </c>
      <c r="S82" s="118">
        <f t="shared" ca="1" si="19"/>
        <v>1740950</v>
      </c>
      <c r="T82" s="118">
        <f ca="1">고급</f>
        <v>310884</v>
      </c>
      <c r="U82" s="118">
        <f t="shared" ca="1" si="20"/>
        <v>1740950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40</v>
      </c>
      <c r="O83" s="173">
        <v>6</v>
      </c>
      <c r="P83" s="234">
        <f ca="1">OFFSET($A$1,MATCH(Z79,$A:$A,0)-1,O83)</f>
        <v>8.3000000000000007</v>
      </c>
      <c r="Q83" s="144" t="s">
        <v>29</v>
      </c>
      <c r="R83" s="118">
        <f t="shared" ca="1" si="19"/>
        <v>295138</v>
      </c>
      <c r="S83" s="118">
        <f t="shared" ca="1" si="19"/>
        <v>2449645</v>
      </c>
      <c r="T83" s="118">
        <f ca="1">중급</f>
        <v>295138</v>
      </c>
      <c r="U83" s="118">
        <f t="shared" ca="1" si="20"/>
        <v>2449645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145" t="s">
        <v>41</v>
      </c>
      <c r="O84" s="173">
        <v>7</v>
      </c>
      <c r="P84" s="234">
        <f ca="1">OFFSET($A$1,MATCH(Z79,$A:$A,0)-1,O84)</f>
        <v>14.6</v>
      </c>
      <c r="Q84" s="144" t="s">
        <v>29</v>
      </c>
      <c r="R84" s="118">
        <f t="shared" ca="1" si="19"/>
        <v>235459</v>
      </c>
      <c r="S84" s="118">
        <f t="shared" ca="1" si="19"/>
        <v>3437701</v>
      </c>
      <c r="T84" s="118">
        <f ca="1">초급</f>
        <v>235459</v>
      </c>
      <c r="U84" s="118">
        <f t="shared" ca="1" si="20"/>
        <v>3437701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N85" s="319" t="s">
        <v>42</v>
      </c>
      <c r="O85" s="174">
        <v>8</v>
      </c>
      <c r="P85" s="235">
        <f ca="1">OFFSET($A$1,MATCH(Z79,$A:$A,0)-1,O85)</f>
        <v>20.5</v>
      </c>
      <c r="Q85" s="322" t="s">
        <v>29</v>
      </c>
      <c r="R85" s="323">
        <f t="shared" ca="1" si="19"/>
        <v>250087</v>
      </c>
      <c r="S85" s="323">
        <f t="shared" ca="1" si="19"/>
        <v>5126783</v>
      </c>
      <c r="T85" s="323">
        <f ca="1">보조원</f>
        <v>250087</v>
      </c>
      <c r="U85" s="323">
        <f t="shared" ca="1" si="20"/>
        <v>5126783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N86" s="139" t="s">
        <v>17</v>
      </c>
      <c r="O86" s="68"/>
      <c r="P86" s="69"/>
      <c r="Q86" s="70"/>
      <c r="R86" s="71"/>
      <c r="S86" s="71">
        <f ca="1">SUBTOTAL(9,S80:S85)</f>
        <v>13604824</v>
      </c>
      <c r="T86" s="71"/>
      <c r="U86" s="71">
        <f ca="1">SUBTOTAL(9,U80:U85)</f>
        <v>13604824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N87" s="318" t="str">
        <f ca="1">"제 " &amp; Z87 &amp; " 호표  "&amp; OFFSET($A$1,MATCH(Z87,$A:$A,0)-1,1)</f>
        <v>제 6 호표  4.1. 공청회/주민설명회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6</v>
      </c>
    </row>
    <row r="88" spans="11:26" ht="18" customHeight="1">
      <c r="K88" s="171" t="s">
        <v>14</v>
      </c>
      <c r="L88" s="171"/>
      <c r="N88" s="140" t="s">
        <v>43</v>
      </c>
      <c r="O88" s="172">
        <v>3</v>
      </c>
      <c r="P88" s="219">
        <f ca="1">OFFSET($A$1,MATCH(Z87,$A:$A,0)-1,O88)</f>
        <v>2</v>
      </c>
      <c r="Q88" s="141" t="s">
        <v>29</v>
      </c>
      <c r="R88" s="142">
        <f t="shared" ref="R88:S93" ca="1" si="21">T88</f>
        <v>467217</v>
      </c>
      <c r="S88" s="142">
        <f t="shared" ca="1" si="21"/>
        <v>934434</v>
      </c>
      <c r="T88" s="142">
        <f ca="1">기술사</f>
        <v>467217</v>
      </c>
      <c r="U88" s="142">
        <f t="shared" ref="U88:U93" ca="1" si="22">ROUNDDOWN(P88*R88,0)</f>
        <v>934434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N89" s="143" t="s">
        <v>32</v>
      </c>
      <c r="O89" s="173">
        <v>4</v>
      </c>
      <c r="P89" s="234">
        <f ca="1">OFFSET($A$1,MATCH(Z87,$A:$A,0)-1,O89)</f>
        <v>2</v>
      </c>
      <c r="Q89" s="144" t="s">
        <v>29</v>
      </c>
      <c r="R89" s="118">
        <f t="shared" ca="1" si="21"/>
        <v>373353</v>
      </c>
      <c r="S89" s="118">
        <f t="shared" ca="1" si="21"/>
        <v>746706</v>
      </c>
      <c r="T89" s="118">
        <f ca="1">특급</f>
        <v>373353</v>
      </c>
      <c r="U89" s="118">
        <f t="shared" ca="1" si="22"/>
        <v>746706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39</v>
      </c>
      <c r="O90" s="173">
        <v>5</v>
      </c>
      <c r="P90" s="234">
        <f ca="1">OFFSET($A$1,MATCH(Z87,$A:$A,0)-1,O90)</f>
        <v>2</v>
      </c>
      <c r="Q90" s="144" t="s">
        <v>29</v>
      </c>
      <c r="R90" s="118">
        <f t="shared" ca="1" si="21"/>
        <v>310884</v>
      </c>
      <c r="S90" s="118">
        <f t="shared" ca="1" si="21"/>
        <v>621768</v>
      </c>
      <c r="T90" s="118">
        <f ca="1">고급</f>
        <v>310884</v>
      </c>
      <c r="U90" s="118">
        <f t="shared" ca="1" si="22"/>
        <v>621768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40</v>
      </c>
      <c r="O91" s="173">
        <v>6</v>
      </c>
      <c r="P91" s="234">
        <f ca="1">OFFSET($A$1,MATCH(Z87,$A:$A,0)-1,O91)</f>
        <v>4</v>
      </c>
      <c r="Q91" s="144" t="s">
        <v>29</v>
      </c>
      <c r="R91" s="118">
        <f t="shared" ca="1" si="21"/>
        <v>295138</v>
      </c>
      <c r="S91" s="118">
        <f t="shared" ca="1" si="21"/>
        <v>1180552</v>
      </c>
      <c r="T91" s="118">
        <f ca="1">중급</f>
        <v>295138</v>
      </c>
      <c r="U91" s="118">
        <f t="shared" ca="1" si="22"/>
        <v>1180552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145" t="s">
        <v>41</v>
      </c>
      <c r="O92" s="173">
        <v>7</v>
      </c>
      <c r="P92" s="234">
        <f ca="1">OFFSET($A$1,MATCH(Z87,$A:$A,0)-1,O92)</f>
        <v>4</v>
      </c>
      <c r="Q92" s="144" t="s">
        <v>29</v>
      </c>
      <c r="R92" s="118">
        <f t="shared" ca="1" si="21"/>
        <v>235459</v>
      </c>
      <c r="S92" s="118">
        <f t="shared" ca="1" si="21"/>
        <v>941836</v>
      </c>
      <c r="T92" s="118">
        <f ca="1">초급</f>
        <v>235459</v>
      </c>
      <c r="U92" s="118">
        <f t="shared" ca="1" si="22"/>
        <v>941836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N93" s="319" t="s">
        <v>42</v>
      </c>
      <c r="O93" s="174">
        <v>8</v>
      </c>
      <c r="P93" s="235">
        <f ca="1">OFFSET($A$1,MATCH(Z87,$A:$A,0)-1,O93)</f>
        <v>4</v>
      </c>
      <c r="Q93" s="322" t="s">
        <v>29</v>
      </c>
      <c r="R93" s="323">
        <f t="shared" ca="1" si="21"/>
        <v>250087</v>
      </c>
      <c r="S93" s="323">
        <f t="shared" ca="1" si="21"/>
        <v>1000348</v>
      </c>
      <c r="T93" s="323">
        <f ca="1">보조원</f>
        <v>250087</v>
      </c>
      <c r="U93" s="323">
        <f t="shared" ca="1" si="22"/>
        <v>1000348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N94" s="139" t="s">
        <v>17</v>
      </c>
      <c r="O94" s="68"/>
      <c r="P94" s="69"/>
      <c r="Q94" s="70"/>
      <c r="R94" s="71"/>
      <c r="S94" s="71">
        <f ca="1">SUBTOTAL(9,S88:S93)</f>
        <v>5425644</v>
      </c>
      <c r="T94" s="71"/>
      <c r="U94" s="71">
        <f ca="1">SUBTOTAL(9,U88:U93)</f>
        <v>5425644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N95" s="318" t="str">
        <f ca="1">"제 " &amp; Z95 &amp; " 호표  "&amp; OFFSET($A$1,MATCH(Z95,$A:$A,0)-1,1)</f>
        <v>제 7 호표  4.2. 주민간담회/시민계획단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7</v>
      </c>
    </row>
    <row r="96" spans="11:26" ht="18" customHeight="1">
      <c r="K96" s="171" t="s">
        <v>14</v>
      </c>
      <c r="L96" s="171"/>
      <c r="N96" s="140" t="s">
        <v>43</v>
      </c>
      <c r="O96" s="172">
        <v>3</v>
      </c>
      <c r="P96" s="219">
        <f ca="1">OFFSET($A$1,MATCH(Z95,$A:$A,0)-1,O96)</f>
        <v>2</v>
      </c>
      <c r="Q96" s="141" t="s">
        <v>29</v>
      </c>
      <c r="R96" s="142">
        <f t="shared" ref="R96:S101" ca="1" si="23">T96</f>
        <v>467217</v>
      </c>
      <c r="S96" s="142">
        <f t="shared" ca="1" si="23"/>
        <v>934434</v>
      </c>
      <c r="T96" s="142">
        <f ca="1">기술사</f>
        <v>467217</v>
      </c>
      <c r="U96" s="142">
        <f t="shared" ref="U96:U101" ca="1" si="24">ROUNDDOWN(P96*R96,0)</f>
        <v>934434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N97" s="143" t="s">
        <v>32</v>
      </c>
      <c r="O97" s="173">
        <v>4</v>
      </c>
      <c r="P97" s="234">
        <f ca="1">OFFSET($A$1,MATCH(Z95,$A:$A,0)-1,O97)</f>
        <v>2</v>
      </c>
      <c r="Q97" s="144" t="s">
        <v>29</v>
      </c>
      <c r="R97" s="118">
        <f t="shared" ca="1" si="23"/>
        <v>373353</v>
      </c>
      <c r="S97" s="118">
        <f t="shared" ca="1" si="23"/>
        <v>746706</v>
      </c>
      <c r="T97" s="118">
        <f ca="1">특급</f>
        <v>373353</v>
      </c>
      <c r="U97" s="118">
        <f t="shared" ca="1" si="24"/>
        <v>746706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39</v>
      </c>
      <c r="O98" s="173">
        <v>5</v>
      </c>
      <c r="P98" s="234">
        <f ca="1">OFFSET($A$1,MATCH(Z95,$A:$A,0)-1,O98)</f>
        <v>2</v>
      </c>
      <c r="Q98" s="144" t="s">
        <v>29</v>
      </c>
      <c r="R98" s="118">
        <f t="shared" ca="1" si="23"/>
        <v>310884</v>
      </c>
      <c r="S98" s="118">
        <f t="shared" ca="1" si="23"/>
        <v>621768</v>
      </c>
      <c r="T98" s="118">
        <f ca="1">고급</f>
        <v>310884</v>
      </c>
      <c r="U98" s="118">
        <f t="shared" ca="1" si="24"/>
        <v>621768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40</v>
      </c>
      <c r="O99" s="173">
        <v>6</v>
      </c>
      <c r="P99" s="234">
        <f ca="1">OFFSET($A$1,MATCH(Z95,$A:$A,0)-1,O99)</f>
        <v>4</v>
      </c>
      <c r="Q99" s="144" t="s">
        <v>29</v>
      </c>
      <c r="R99" s="118">
        <f t="shared" ca="1" si="23"/>
        <v>295138</v>
      </c>
      <c r="S99" s="118">
        <f t="shared" ca="1" si="23"/>
        <v>1180552</v>
      </c>
      <c r="T99" s="118">
        <f ca="1">중급</f>
        <v>295138</v>
      </c>
      <c r="U99" s="118">
        <f t="shared" ca="1" si="24"/>
        <v>1180552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41</v>
      </c>
      <c r="O100" s="173">
        <v>7</v>
      </c>
      <c r="P100" s="234">
        <f ca="1">OFFSET($A$1,MATCH(Z95,$A:$A,0)-1,O100)</f>
        <v>4</v>
      </c>
      <c r="Q100" s="144" t="s">
        <v>29</v>
      </c>
      <c r="R100" s="118">
        <f t="shared" ca="1" si="23"/>
        <v>235459</v>
      </c>
      <c r="S100" s="118">
        <f t="shared" ca="1" si="23"/>
        <v>941836</v>
      </c>
      <c r="T100" s="118">
        <f ca="1">초급</f>
        <v>235459</v>
      </c>
      <c r="U100" s="118">
        <f t="shared" ca="1" si="24"/>
        <v>941836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319" t="s">
        <v>42</v>
      </c>
      <c r="O101" s="174">
        <v>8</v>
      </c>
      <c r="P101" s="235">
        <f ca="1">OFFSET($A$1,MATCH(Z95,$A:$A,0)-1,O101)</f>
        <v>4</v>
      </c>
      <c r="Q101" s="322" t="s">
        <v>29</v>
      </c>
      <c r="R101" s="323">
        <f t="shared" ca="1" si="23"/>
        <v>250087</v>
      </c>
      <c r="S101" s="323">
        <f t="shared" ca="1" si="23"/>
        <v>1000348</v>
      </c>
      <c r="T101" s="323">
        <f ca="1">보조원</f>
        <v>250087</v>
      </c>
      <c r="U101" s="323">
        <f t="shared" ca="1" si="24"/>
        <v>1000348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N102" s="139" t="s">
        <v>17</v>
      </c>
      <c r="O102" s="68"/>
      <c r="P102" s="69"/>
      <c r="Q102" s="70"/>
      <c r="R102" s="71"/>
      <c r="S102" s="71">
        <f ca="1">SUBTOTAL(9,S96:S101)</f>
        <v>5425644</v>
      </c>
      <c r="T102" s="71"/>
      <c r="U102" s="71">
        <f ca="1">SUBTOTAL(9,U96:U101)</f>
        <v>5425644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N103" s="318" t="str">
        <f ca="1">"제 " &amp; Z103 &amp; " 호표  "&amp; OFFSET($A$1,MATCH(Z103,$A:$A,0)-1,1)</f>
        <v>제 8 호표  4.3. 위원회심의 지원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8</v>
      </c>
    </row>
    <row r="104" spans="11:26" ht="18" customHeight="1">
      <c r="K104" s="171" t="s">
        <v>14</v>
      </c>
      <c r="L104" s="171"/>
      <c r="N104" s="140" t="s">
        <v>43</v>
      </c>
      <c r="O104" s="172">
        <v>3</v>
      </c>
      <c r="P104" s="219">
        <f ca="1">OFFSET($A$1,MATCH(Z103,$A:$A,0)-1,O104)</f>
        <v>2</v>
      </c>
      <c r="Q104" s="141" t="s">
        <v>29</v>
      </c>
      <c r="R104" s="142">
        <f t="shared" ref="R104:S109" ca="1" si="25">T104</f>
        <v>467217</v>
      </c>
      <c r="S104" s="142">
        <f t="shared" ca="1" si="25"/>
        <v>934434</v>
      </c>
      <c r="T104" s="142">
        <f ca="1">기술사</f>
        <v>467217</v>
      </c>
      <c r="U104" s="142">
        <f t="shared" ref="U104:U109" ca="1" si="26">ROUNDDOWN(P104*R104,0)</f>
        <v>934434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N105" s="143" t="s">
        <v>32</v>
      </c>
      <c r="O105" s="173">
        <v>4</v>
      </c>
      <c r="P105" s="234">
        <f ca="1">OFFSET($A$1,MATCH(Z103,$A:$A,0)-1,O105)</f>
        <v>2</v>
      </c>
      <c r="Q105" s="144" t="s">
        <v>29</v>
      </c>
      <c r="R105" s="118">
        <f t="shared" ca="1" si="25"/>
        <v>373353</v>
      </c>
      <c r="S105" s="118">
        <f t="shared" ca="1" si="25"/>
        <v>746706</v>
      </c>
      <c r="T105" s="118">
        <f ca="1">특급</f>
        <v>373353</v>
      </c>
      <c r="U105" s="118">
        <f t="shared" ca="1" si="26"/>
        <v>746706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39</v>
      </c>
      <c r="O106" s="173">
        <v>5</v>
      </c>
      <c r="P106" s="234">
        <f ca="1">OFFSET($A$1,MATCH(Z103,$A:$A,0)-1,O106)</f>
        <v>2</v>
      </c>
      <c r="Q106" s="144" t="s">
        <v>29</v>
      </c>
      <c r="R106" s="118">
        <f t="shared" ca="1" si="25"/>
        <v>310884</v>
      </c>
      <c r="S106" s="118">
        <f t="shared" ca="1" si="25"/>
        <v>621768</v>
      </c>
      <c r="T106" s="118">
        <f ca="1">고급</f>
        <v>310884</v>
      </c>
      <c r="U106" s="118">
        <f t="shared" ca="1" si="26"/>
        <v>621768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40</v>
      </c>
      <c r="O107" s="173">
        <v>6</v>
      </c>
      <c r="P107" s="234">
        <f ca="1">OFFSET($A$1,MATCH(Z103,$A:$A,0)-1,O107)</f>
        <v>4</v>
      </c>
      <c r="Q107" s="144" t="s">
        <v>29</v>
      </c>
      <c r="R107" s="118">
        <f t="shared" ca="1" si="25"/>
        <v>295138</v>
      </c>
      <c r="S107" s="118">
        <f t="shared" ca="1" si="25"/>
        <v>1180552</v>
      </c>
      <c r="T107" s="118">
        <f ca="1">중급</f>
        <v>295138</v>
      </c>
      <c r="U107" s="118">
        <f t="shared" ca="1" si="26"/>
        <v>1180552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41</v>
      </c>
      <c r="O108" s="173">
        <v>7</v>
      </c>
      <c r="P108" s="234">
        <f ca="1">OFFSET($A$1,MATCH(Z103,$A:$A,0)-1,O108)</f>
        <v>4</v>
      </c>
      <c r="Q108" s="144" t="s">
        <v>29</v>
      </c>
      <c r="R108" s="118">
        <f t="shared" ca="1" si="25"/>
        <v>235459</v>
      </c>
      <c r="S108" s="118">
        <f t="shared" ca="1" si="25"/>
        <v>941836</v>
      </c>
      <c r="T108" s="118">
        <f ca="1">초급</f>
        <v>235459</v>
      </c>
      <c r="U108" s="118">
        <f t="shared" ca="1" si="26"/>
        <v>941836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319" t="s">
        <v>42</v>
      </c>
      <c r="O109" s="174">
        <v>8</v>
      </c>
      <c r="P109" s="235">
        <f ca="1">OFFSET($A$1,MATCH(Z103,$A:$A,0)-1,O109)</f>
        <v>4</v>
      </c>
      <c r="Q109" s="322" t="s">
        <v>29</v>
      </c>
      <c r="R109" s="323">
        <f t="shared" ca="1" si="25"/>
        <v>250087</v>
      </c>
      <c r="S109" s="323">
        <f t="shared" ca="1" si="25"/>
        <v>1000348</v>
      </c>
      <c r="T109" s="323">
        <f ca="1">보조원</f>
        <v>250087</v>
      </c>
      <c r="U109" s="323">
        <f t="shared" ca="1" si="26"/>
        <v>1000348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N110" s="139" t="s">
        <v>17</v>
      </c>
      <c r="O110" s="68"/>
      <c r="P110" s="69"/>
      <c r="Q110" s="70"/>
      <c r="R110" s="71"/>
      <c r="S110" s="71">
        <f ca="1">SUBTOTAL(9,S104:S109)</f>
        <v>5425644</v>
      </c>
      <c r="T110" s="71"/>
      <c r="U110" s="71">
        <f ca="1">SUBTOTAL(9,U104:U109)</f>
        <v>5425644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N111" s="318" t="str">
        <f ca="1">"제 " &amp; Z111 &amp; " 호표  "&amp; OFFSET($A$1,MATCH(Z111,$A:$A,0)-1,1)</f>
        <v>제 9 호표  4.4. 관계기관 협의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9</v>
      </c>
    </row>
    <row r="112" spans="11:26" ht="18" customHeight="1">
      <c r="K112" s="171" t="s">
        <v>14</v>
      </c>
      <c r="L112" s="171"/>
      <c r="N112" s="140" t="s">
        <v>43</v>
      </c>
      <c r="O112" s="172">
        <v>3</v>
      </c>
      <c r="P112" s="219">
        <f ca="1">OFFSET($A$1,MATCH(Z111,$A:$A,0)-1,O112)</f>
        <v>2</v>
      </c>
      <c r="Q112" s="141" t="s">
        <v>29</v>
      </c>
      <c r="R112" s="142">
        <f t="shared" ref="R112:S117" ca="1" si="27">T112</f>
        <v>467217</v>
      </c>
      <c r="S112" s="142">
        <f t="shared" ca="1" si="27"/>
        <v>934434</v>
      </c>
      <c r="T112" s="142">
        <f ca="1">기술사</f>
        <v>467217</v>
      </c>
      <c r="U112" s="142">
        <f t="shared" ref="U112:U117" ca="1" si="28">ROUNDDOWN(P112*R112,0)</f>
        <v>934434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N113" s="143" t="s">
        <v>32</v>
      </c>
      <c r="O113" s="173">
        <v>4</v>
      </c>
      <c r="P113" s="234">
        <f ca="1">OFFSET($A$1,MATCH(Z111,$A:$A,0)-1,O113)</f>
        <v>2</v>
      </c>
      <c r="Q113" s="144" t="s">
        <v>29</v>
      </c>
      <c r="R113" s="118">
        <f t="shared" ca="1" si="27"/>
        <v>373353</v>
      </c>
      <c r="S113" s="118">
        <f t="shared" ca="1" si="27"/>
        <v>746706</v>
      </c>
      <c r="T113" s="118">
        <f ca="1">특급</f>
        <v>373353</v>
      </c>
      <c r="U113" s="118">
        <f t="shared" ca="1" si="28"/>
        <v>746706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39</v>
      </c>
      <c r="O114" s="173">
        <v>5</v>
      </c>
      <c r="P114" s="234">
        <f ca="1">OFFSET($A$1,MATCH(Z111,$A:$A,0)-1,O114)</f>
        <v>2</v>
      </c>
      <c r="Q114" s="144" t="s">
        <v>29</v>
      </c>
      <c r="R114" s="118">
        <f t="shared" ca="1" si="27"/>
        <v>310884</v>
      </c>
      <c r="S114" s="118">
        <f t="shared" ca="1" si="27"/>
        <v>621768</v>
      </c>
      <c r="T114" s="118">
        <f ca="1">고급</f>
        <v>310884</v>
      </c>
      <c r="U114" s="118">
        <f t="shared" ca="1" si="28"/>
        <v>621768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40</v>
      </c>
      <c r="O115" s="173">
        <v>6</v>
      </c>
      <c r="P115" s="234">
        <f ca="1">OFFSET($A$1,MATCH(Z111,$A:$A,0)-1,O115)</f>
        <v>4</v>
      </c>
      <c r="Q115" s="144" t="s">
        <v>29</v>
      </c>
      <c r="R115" s="118">
        <f t="shared" ca="1" si="27"/>
        <v>295138</v>
      </c>
      <c r="S115" s="118">
        <f t="shared" ca="1" si="27"/>
        <v>1180552</v>
      </c>
      <c r="T115" s="118">
        <f ca="1">중급</f>
        <v>295138</v>
      </c>
      <c r="U115" s="118">
        <f t="shared" ca="1" si="28"/>
        <v>1180552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41</v>
      </c>
      <c r="O116" s="173">
        <v>7</v>
      </c>
      <c r="P116" s="234">
        <f ca="1">OFFSET($A$1,MATCH(Z111,$A:$A,0)-1,O116)</f>
        <v>4</v>
      </c>
      <c r="Q116" s="144" t="s">
        <v>29</v>
      </c>
      <c r="R116" s="118">
        <f t="shared" ca="1" si="27"/>
        <v>235459</v>
      </c>
      <c r="S116" s="118">
        <f t="shared" ca="1" si="27"/>
        <v>941836</v>
      </c>
      <c r="T116" s="118">
        <f ca="1">초급</f>
        <v>235459</v>
      </c>
      <c r="U116" s="118">
        <f t="shared" ca="1" si="28"/>
        <v>941836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319" t="s">
        <v>42</v>
      </c>
      <c r="O117" s="174">
        <v>8</v>
      </c>
      <c r="P117" s="235">
        <f ca="1">OFFSET($A$1,MATCH(Z111,$A:$A,0)-1,O117)</f>
        <v>4</v>
      </c>
      <c r="Q117" s="322" t="s">
        <v>29</v>
      </c>
      <c r="R117" s="323">
        <f t="shared" ca="1" si="27"/>
        <v>250087</v>
      </c>
      <c r="S117" s="323">
        <f t="shared" ca="1" si="27"/>
        <v>1000348</v>
      </c>
      <c r="T117" s="323">
        <f ca="1">보조원</f>
        <v>250087</v>
      </c>
      <c r="U117" s="323">
        <f t="shared" ca="1" si="28"/>
        <v>1000348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5425644</v>
      </c>
      <c r="T118" s="71"/>
      <c r="U118" s="71">
        <f ca="1">SUBTOTAL(9,U112:U117)</f>
        <v>5425644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</row>
    <row r="120" spans="11:26" ht="18" customHeight="1">
      <c r="K120" s="171" t="s">
        <v>14</v>
      </c>
      <c r="L120" s="171"/>
      <c r="M120" s="171"/>
    </row>
    <row r="121" spans="11:26" ht="18" customHeight="1">
      <c r="K121" s="171" t="s">
        <v>14</v>
      </c>
      <c r="L121" s="171"/>
      <c r="M121" s="171"/>
    </row>
    <row r="122" spans="11:26" ht="18" customHeight="1">
      <c r="K122" s="171" t="s">
        <v>14</v>
      </c>
      <c r="L122" s="171"/>
      <c r="M122" s="171"/>
    </row>
    <row r="123" spans="11:26" ht="18" customHeight="1">
      <c r="K123" s="171" t="s">
        <v>14</v>
      </c>
      <c r="L123" s="171"/>
      <c r="M123" s="171"/>
    </row>
    <row r="124" spans="11:26" ht="18" customHeight="1">
      <c r="K124" s="171" t="s">
        <v>14</v>
      </c>
      <c r="L124" s="171"/>
      <c r="M124" s="171"/>
    </row>
    <row r="125" spans="11:26" ht="18" customHeight="1">
      <c r="K125" s="171" t="s">
        <v>14</v>
      </c>
      <c r="L125" s="171"/>
      <c r="M125" s="171"/>
    </row>
    <row r="126" spans="11:26" ht="18" customHeight="1">
      <c r="K126" s="171" t="s">
        <v>14</v>
      </c>
      <c r="L126" s="171"/>
      <c r="M126" s="171"/>
    </row>
    <row r="127" spans="11:26" ht="18" customHeight="1">
      <c r="K127" s="171" t="s">
        <v>14</v>
      </c>
      <c r="L127" s="171"/>
      <c r="M127" s="171"/>
    </row>
    <row r="128" spans="11:26" ht="18" customHeight="1">
      <c r="K128" s="171" t="s">
        <v>14</v>
      </c>
      <c r="L128" s="171"/>
      <c r="M128" s="171"/>
    </row>
    <row r="129" spans="11:13" ht="18" customHeight="1">
      <c r="K129" s="171" t="s">
        <v>14</v>
      </c>
      <c r="L129" s="171"/>
      <c r="M129" s="171"/>
    </row>
    <row r="130" spans="11:13" ht="18" customHeight="1">
      <c r="K130" s="171" t="s">
        <v>14</v>
      </c>
      <c r="L130" s="171"/>
      <c r="M130" s="171"/>
    </row>
    <row r="131" spans="11:13" ht="18" customHeight="1">
      <c r="K131" s="171" t="s">
        <v>14</v>
      </c>
      <c r="L131" s="171"/>
      <c r="M131" s="171"/>
    </row>
    <row r="132" spans="11:13" ht="18" customHeight="1">
      <c r="K132" s="171" t="s">
        <v>14</v>
      </c>
      <c r="L132" s="171"/>
      <c r="M132" s="171"/>
    </row>
    <row r="133" spans="11:13" ht="18" customHeight="1">
      <c r="K133" s="171" t="s">
        <v>14</v>
      </c>
      <c r="L133" s="171"/>
      <c r="M133" s="171"/>
    </row>
    <row r="134" spans="11:13" ht="18" customHeight="1">
      <c r="K134" s="171" t="s">
        <v>14</v>
      </c>
      <c r="L134" s="171"/>
      <c r="M134" s="171"/>
    </row>
    <row r="135" spans="11:13" ht="18" customHeight="1">
      <c r="K135" s="171" t="s">
        <v>14</v>
      </c>
      <c r="L135" s="171"/>
      <c r="M135" s="171"/>
    </row>
    <row r="136" spans="11:13" ht="18" customHeight="1">
      <c r="K136" s="171" t="s">
        <v>14</v>
      </c>
      <c r="L136" s="171"/>
      <c r="M136" s="171"/>
    </row>
    <row r="137" spans="11:13" ht="18" customHeight="1">
      <c r="K137" s="171" t="s">
        <v>14</v>
      </c>
      <c r="L137" s="171"/>
      <c r="M137" s="171"/>
    </row>
    <row r="138" spans="11:13" ht="18" customHeight="1">
      <c r="K138" s="171" t="s">
        <v>14</v>
      </c>
      <c r="L138" s="171"/>
      <c r="M138" s="171"/>
    </row>
    <row r="139" spans="11:13" ht="18" customHeight="1">
      <c r="K139" s="171" t="s">
        <v>14</v>
      </c>
      <c r="L139" s="171"/>
      <c r="M139" s="171"/>
    </row>
    <row r="140" spans="11:13" ht="18" customHeight="1">
      <c r="K140" s="171" t="s">
        <v>14</v>
      </c>
      <c r="L140" s="171"/>
      <c r="M140" s="171"/>
    </row>
    <row r="141" spans="11:13" ht="18" customHeight="1">
      <c r="K141" s="171" t="s">
        <v>14</v>
      </c>
      <c r="L141" s="171"/>
      <c r="M141" s="171"/>
    </row>
    <row r="142" spans="11:13" ht="18" customHeight="1">
      <c r="K142" s="171" t="s">
        <v>14</v>
      </c>
      <c r="L142" s="171"/>
      <c r="M142" s="171"/>
    </row>
    <row r="143" spans="11:13" ht="18" customHeight="1">
      <c r="K143" s="171" t="s">
        <v>14</v>
      </c>
      <c r="L143" s="171"/>
      <c r="M143" s="171"/>
    </row>
    <row r="144" spans="11:13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</row>
    <row r="808" spans="11:13" ht="18" customHeight="1">
      <c r="K808" s="171" t="s">
        <v>14</v>
      </c>
      <c r="L808" s="171"/>
    </row>
    <row r="809" spans="11:13" ht="18" customHeight="1">
      <c r="K809" s="171" t="s">
        <v>14</v>
      </c>
      <c r="L809" s="171"/>
    </row>
    <row r="810" spans="11:13" ht="18" customHeight="1">
      <c r="K810" s="171" t="s">
        <v>14</v>
      </c>
      <c r="L810" s="171"/>
    </row>
    <row r="811" spans="11:13" ht="18" customHeight="1">
      <c r="K811" s="171" t="s">
        <v>14</v>
      </c>
      <c r="L811" s="171"/>
    </row>
    <row r="812" spans="11:13" ht="18" customHeight="1">
      <c r="K812" s="171" t="s">
        <v>14</v>
      </c>
      <c r="L812" s="171"/>
    </row>
    <row r="813" spans="11:13" ht="18" customHeight="1">
      <c r="K813" s="171" t="s">
        <v>14</v>
      </c>
      <c r="L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L819" s="171"/>
    </row>
    <row r="820" spans="11:12" ht="18" customHeight="1">
      <c r="L820" s="171"/>
    </row>
    <row r="821" spans="11:12" ht="18" customHeight="1">
      <c r="L821" s="171"/>
    </row>
  </sheetData>
  <mergeCells count="19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B13:C14"/>
    <mergeCell ref="J13:J14"/>
    <mergeCell ref="L13:L14"/>
    <mergeCell ref="Z45:Z46"/>
    <mergeCell ref="B6:C6"/>
    <mergeCell ref="D6:E6"/>
    <mergeCell ref="N45:N46"/>
    <mergeCell ref="O45:O46"/>
    <mergeCell ref="P45:P46"/>
    <mergeCell ref="Q45:Q46"/>
  </mergeCells>
  <phoneticPr fontId="14" type="noConversion"/>
  <conditionalFormatting sqref="V15:V28">
    <cfRule type="cellIs" dxfId="2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43" min="13" max="28" man="1"/>
    <brk id="6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7" r:id="rId4" name="Option Button 5">
              <controlPr defaultSize="0" autoFill="0" autoLine="0" autoPict="0">
                <anchor moveWithCells="1" sizeWithCells="1">
                  <from>
                    <xdr:col>6</xdr:col>
                    <xdr:colOff>542925</xdr:colOff>
                    <xdr:row>0</xdr:row>
                    <xdr:rowOff>123825</xdr:rowOff>
                  </from>
                  <to>
                    <xdr:col>8</xdr:col>
                    <xdr:colOff>152400</xdr:colOff>
                    <xdr:row>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78" r:id="rId5" name="Option Button 6">
              <controlPr defaultSize="0" autoFill="0" autoLine="0" autoPict="0">
                <anchor moveWithCells="1" sizeWithCells="1">
                  <from>
                    <xdr:col>8</xdr:col>
                    <xdr:colOff>333375</xdr:colOff>
                    <xdr:row>0</xdr:row>
                    <xdr:rowOff>123825</xdr:rowOff>
                  </from>
                  <to>
                    <xdr:col>9</xdr:col>
                    <xdr:colOff>619125</xdr:colOff>
                    <xdr:row>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 codeName="Sheet14">
    <tabColor theme="5" tint="0.39997558519241921"/>
    <pageSetUpPr fitToPage="1"/>
  </sheetPr>
  <dimension ref="A1:Z821"/>
  <sheetViews>
    <sheetView showGridLines="0" zoomScale="85" zoomScaleNormal="85" zoomScaleSheetLayoutView="75" workbookViewId="0">
      <selection activeCell="N29" sqref="N29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2575</v>
      </c>
    </row>
    <row r="2" spans="1:26" ht="19.5" thickBot="1">
      <c r="B2" s="66" t="s">
        <v>1</v>
      </c>
      <c r="G2" s="1">
        <v>1</v>
      </c>
    </row>
    <row r="3" spans="1:26" ht="19.5" customHeight="1">
      <c r="B3" s="773" t="s">
        <v>48</v>
      </c>
      <c r="C3" s="774"/>
      <c r="D3" s="775">
        <v>3</v>
      </c>
      <c r="E3" s="776"/>
      <c r="F3" s="316" t="s">
        <v>53</v>
      </c>
      <c r="G3" s="838" t="s">
        <v>1104</v>
      </c>
      <c r="H3" s="839"/>
      <c r="I3" s="656">
        <v>2</v>
      </c>
      <c r="J3" s="669" t="s">
        <v>794</v>
      </c>
    </row>
    <row r="4" spans="1:26" ht="21.75" customHeight="1">
      <c r="B4" s="777" t="s">
        <v>54</v>
      </c>
      <c r="C4" s="778"/>
      <c r="D4" s="811">
        <v>3</v>
      </c>
      <c r="E4" s="846"/>
      <c r="F4" s="359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24" customHeight="1" thickBot="1">
      <c r="B5" s="777" t="s">
        <v>2576</v>
      </c>
      <c r="C5" s="814"/>
      <c r="D5" s="815">
        <f>ROUND((IF(D4&lt;=3,3,D4)/D3)^0.8,3)</f>
        <v>1</v>
      </c>
      <c r="E5" s="816"/>
      <c r="F5" s="391">
        <v>2</v>
      </c>
      <c r="G5" s="817" t="s">
        <v>1102</v>
      </c>
      <c r="H5" s="818"/>
      <c r="I5" s="746">
        <f>ROUND(I4/I3,3)</f>
        <v>1</v>
      </c>
      <c r="J5" s="671"/>
    </row>
    <row r="6" spans="1:26" ht="24" customHeight="1" thickBot="1">
      <c r="B6" s="781" t="s">
        <v>2567</v>
      </c>
      <c r="C6" s="782"/>
      <c r="D6" s="783">
        <f>CHOOSE(G2,1,1.2)</f>
        <v>1</v>
      </c>
      <c r="E6" s="784"/>
      <c r="F6" s="457"/>
      <c r="G6" s="9" t="s">
        <v>1107</v>
      </c>
      <c r="J6" s="36"/>
    </row>
    <row r="7" spans="1:26" ht="18" customHeight="1">
      <c r="B7" s="9" t="s">
        <v>2568</v>
      </c>
      <c r="C7" s="9"/>
      <c r="D7" s="64"/>
      <c r="E7" s="64"/>
      <c r="G7" s="428"/>
      <c r="H7" s="428"/>
      <c r="I7" s="428"/>
      <c r="J7" s="429"/>
      <c r="R7" s="1"/>
      <c r="S7" s="1"/>
      <c r="T7" s="1"/>
    </row>
    <row r="8" spans="1:26" ht="18" customHeight="1">
      <c r="B8" s="9" t="s">
        <v>2569</v>
      </c>
      <c r="C8" s="9"/>
      <c r="D8" s="64"/>
      <c r="E8" s="64"/>
      <c r="R8" s="1"/>
      <c r="S8" s="1"/>
      <c r="T8" s="1"/>
    </row>
    <row r="9" spans="1:26" ht="18" customHeight="1">
      <c r="B9" s="9" t="s">
        <v>2570</v>
      </c>
      <c r="C9" s="9"/>
      <c r="D9" s="64"/>
      <c r="E9" s="64"/>
      <c r="R9" s="1"/>
      <c r="S9" s="1"/>
      <c r="T9" s="1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SUBTOTAL(9,W13:W35)</f>
        <v>250376915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SUBTOTAL(9,W14:W32)</f>
        <v>94718038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SUBTOTAL(9,W15:W28)</f>
        <v>86718038</v>
      </c>
      <c r="X14" s="256"/>
      <c r="Y14" s="220"/>
      <c r="Z14" s="220"/>
    </row>
    <row r="15" spans="1:26" ht="18" customHeight="1">
      <c r="A15" s="279"/>
      <c r="B15" s="225" t="s">
        <v>1089</v>
      </c>
      <c r="C15" s="72"/>
      <c r="D15" s="30">
        <f t="shared" ref="D15:I15" si="0">SUBTOTAL(9,D16:D17)</f>
        <v>3.4</v>
      </c>
      <c r="E15" s="31">
        <f t="shared" si="0"/>
        <v>8.1</v>
      </c>
      <c r="F15" s="31">
        <f t="shared" si="0"/>
        <v>12.9</v>
      </c>
      <c r="G15" s="31">
        <f t="shared" si="0"/>
        <v>17.899999999999999</v>
      </c>
      <c r="H15" s="31">
        <f t="shared" si="0"/>
        <v>20.6</v>
      </c>
      <c r="I15" s="32">
        <f t="shared" si="0"/>
        <v>15.3</v>
      </c>
      <c r="J15" s="654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SUBTOTAL(9,W16:W17)</f>
        <v>22582854</v>
      </c>
      <c r="X15" s="194"/>
      <c r="Y15" s="170" t="str">
        <f>IF(A29&gt;0, "제 " &amp;A29&amp; " 호표","")</f>
        <v/>
      </c>
      <c r="Z15" s="170"/>
    </row>
    <row r="16" spans="1:26" ht="18" customHeight="1">
      <c r="A16" s="279"/>
      <c r="B16" s="223" t="s">
        <v>2211</v>
      </c>
      <c r="C16" s="253"/>
      <c r="D16" s="20">
        <v>0.5</v>
      </c>
      <c r="E16" s="21">
        <v>1.3</v>
      </c>
      <c r="F16" s="21">
        <v>3.4</v>
      </c>
      <c r="G16" s="21">
        <v>7.9</v>
      </c>
      <c r="H16" s="21">
        <v>10</v>
      </c>
      <c r="I16" s="22">
        <v>15.3</v>
      </c>
      <c r="J16" s="653" t="s">
        <v>1091</v>
      </c>
      <c r="L16" s="232">
        <v>1</v>
      </c>
      <c r="N16" s="292" t="str">
        <f t="shared" ref="N16:N27" si="1">B16</f>
        <v>1.1. 현황조사</v>
      </c>
      <c r="O16" s="169"/>
      <c r="P16" s="169"/>
      <c r="Q16" s="169"/>
      <c r="R16" s="169"/>
      <c r="S16" s="169"/>
      <c r="T16" s="169"/>
      <c r="U16" s="226"/>
      <c r="V16" s="248"/>
      <c r="W16" s="153">
        <f t="array" aca="1" ref="W16" ca="1">SUM((ROUNDDOWN((D30:I30)*단가,0)))</f>
        <v>10288482</v>
      </c>
      <c r="X16" s="194"/>
      <c r="Y16" s="170" t="str">
        <f>IF(A30&gt;0, "제 " &amp;A30&amp; " 호표","")</f>
        <v>제 1 호표</v>
      </c>
      <c r="Z16" s="170"/>
    </row>
    <row r="17" spans="1:26" ht="18" customHeight="1">
      <c r="A17" s="279"/>
      <c r="B17" s="223" t="s">
        <v>2556</v>
      </c>
      <c r="C17" s="253"/>
      <c r="D17" s="20">
        <v>2.9</v>
      </c>
      <c r="E17" s="21">
        <v>6.8</v>
      </c>
      <c r="F17" s="21">
        <v>9.5</v>
      </c>
      <c r="G17" s="21">
        <v>10</v>
      </c>
      <c r="H17" s="21">
        <v>10.6</v>
      </c>
      <c r="I17" s="22"/>
      <c r="J17" s="653" t="s">
        <v>1090</v>
      </c>
      <c r="L17" s="232">
        <v>1</v>
      </c>
      <c r="N17" s="292" t="str">
        <f t="shared" si="1"/>
        <v>1.2. 분석, 평가, 진단</v>
      </c>
      <c r="O17" s="169"/>
      <c r="P17" s="169"/>
      <c r="Q17" s="169"/>
      <c r="R17" s="169"/>
      <c r="S17" s="169"/>
      <c r="T17" s="169"/>
      <c r="U17" s="226"/>
      <c r="V17" s="248"/>
      <c r="W17" s="153">
        <f t="array" aca="1" ref="W17" ca="1">SUM((ROUNDDOWN((D31:I31)*단가,0)))</f>
        <v>12294372</v>
      </c>
      <c r="X17" s="194"/>
      <c r="Y17" s="170" t="str">
        <f t="shared" ref="Y17:Y27" si="2">IF(A31&gt;0, "제 " &amp;A31&amp; " 호표","")</f>
        <v>제 2 호표</v>
      </c>
      <c r="Z17" s="170"/>
    </row>
    <row r="18" spans="1:26" ht="18" customHeight="1">
      <c r="A18" s="279"/>
      <c r="B18" s="393" t="s">
        <v>52</v>
      </c>
      <c r="C18" s="23"/>
      <c r="D18" s="30">
        <f t="shared" ref="D18:I18" si="3">SUBTOTAL(9,D19:D20)</f>
        <v>8.6999999999999993</v>
      </c>
      <c r="E18" s="31">
        <f t="shared" si="3"/>
        <v>16.100000000000001</v>
      </c>
      <c r="F18" s="31">
        <f t="shared" si="3"/>
        <v>23.1</v>
      </c>
      <c r="G18" s="31">
        <f t="shared" si="3"/>
        <v>23.9</v>
      </c>
      <c r="H18" s="31">
        <f t="shared" si="3"/>
        <v>20.399999999999999</v>
      </c>
      <c r="I18" s="32">
        <f t="shared" si="3"/>
        <v>11.799999999999999</v>
      </c>
      <c r="J18" s="389"/>
      <c r="L18" s="232"/>
      <c r="N18" s="354" t="str">
        <f t="shared" si="1"/>
        <v>2. 기본구상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SUBTOTAL(9,W19:W20)</f>
        <v>32065374</v>
      </c>
      <c r="X18" s="194"/>
      <c r="Y18" s="170" t="str">
        <f t="shared" si="2"/>
        <v/>
      </c>
      <c r="Z18" s="170"/>
    </row>
    <row r="19" spans="1:26" ht="18" customHeight="1">
      <c r="A19" s="279"/>
      <c r="B19" s="223" t="s">
        <v>2557</v>
      </c>
      <c r="C19" s="253"/>
      <c r="D19" s="20">
        <v>5.5</v>
      </c>
      <c r="E19" s="21">
        <v>10.4</v>
      </c>
      <c r="F19" s="21">
        <v>12.5</v>
      </c>
      <c r="G19" s="21">
        <v>12.7</v>
      </c>
      <c r="H19" s="21">
        <v>12.2</v>
      </c>
      <c r="I19" s="22">
        <v>9.6999999999999993</v>
      </c>
      <c r="J19" s="653"/>
      <c r="L19" s="232">
        <v>1</v>
      </c>
      <c r="N19" s="292" t="str">
        <f t="shared" si="1"/>
        <v>2.1. 기본구상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SUM((ROUNDDOWN((D33:I33)*단가,0)))</f>
        <v>19385308</v>
      </c>
      <c r="X19" s="194"/>
      <c r="Y19" s="170" t="str">
        <f t="shared" si="2"/>
        <v>제 3 호표</v>
      </c>
      <c r="Z19" s="170"/>
    </row>
    <row r="20" spans="1:26" ht="18" customHeight="1">
      <c r="A20" s="279"/>
      <c r="B20" s="223" t="s">
        <v>2558</v>
      </c>
      <c r="C20" s="253"/>
      <c r="D20" s="20">
        <v>3.2</v>
      </c>
      <c r="E20" s="21">
        <v>5.7</v>
      </c>
      <c r="F20" s="21">
        <v>10.6</v>
      </c>
      <c r="G20" s="21">
        <v>11.2</v>
      </c>
      <c r="H20" s="21">
        <v>8.1999999999999993</v>
      </c>
      <c r="I20" s="22">
        <v>2.1</v>
      </c>
      <c r="J20" s="653" t="s">
        <v>1602</v>
      </c>
      <c r="L20" s="232">
        <v>1</v>
      </c>
      <c r="N20" s="292" t="str">
        <f t="shared" si="1"/>
        <v>2.2. 타당성검토 및 경제성 검토</v>
      </c>
      <c r="O20" s="169"/>
      <c r="P20" s="169"/>
      <c r="Q20" s="169"/>
      <c r="R20" s="169"/>
      <c r="S20" s="169"/>
      <c r="T20" s="169"/>
      <c r="U20" s="226"/>
      <c r="V20" s="248"/>
      <c r="W20" s="153">
        <f t="array" aca="1" ref="W20" ca="1">SUM((ROUNDDOWN((D34:I34)*단가,0)))</f>
        <v>12680066</v>
      </c>
      <c r="X20" s="194"/>
      <c r="Y20" s="170" t="str">
        <f t="shared" si="2"/>
        <v>제 4 호표</v>
      </c>
      <c r="Z20" s="170"/>
    </row>
    <row r="21" spans="1:26" ht="18" customHeight="1">
      <c r="A21" s="279"/>
      <c r="B21" s="393" t="s">
        <v>351</v>
      </c>
      <c r="C21" s="23"/>
      <c r="D21" s="30">
        <f t="shared" ref="D21:I21" si="4">SUBTOTAL(9,D22:D22)</f>
        <v>0.5</v>
      </c>
      <c r="E21" s="31">
        <f t="shared" si="4"/>
        <v>1</v>
      </c>
      <c r="F21" s="31">
        <f t="shared" si="4"/>
        <v>2.4</v>
      </c>
      <c r="G21" s="31">
        <f t="shared" si="4"/>
        <v>9.4</v>
      </c>
      <c r="H21" s="31">
        <f t="shared" si="4"/>
        <v>11.1</v>
      </c>
      <c r="I21" s="32">
        <f t="shared" si="4"/>
        <v>14.5</v>
      </c>
      <c r="J21" s="389"/>
      <c r="L21" s="232"/>
      <c r="N21" s="354" t="str">
        <f t="shared" si="1"/>
        <v>3. 성과품 작성</v>
      </c>
      <c r="O21" s="169"/>
      <c r="P21" s="169"/>
      <c r="Q21" s="169"/>
      <c r="R21" s="169"/>
      <c r="S21" s="169"/>
      <c r="T21" s="169"/>
      <c r="U21" s="226"/>
      <c r="V21" s="248"/>
      <c r="W21" s="193">
        <f ca="1">SUBTOTAL(9,W22:W22)</f>
        <v>10367234</v>
      </c>
      <c r="X21" s="194"/>
      <c r="Y21" s="170" t="str">
        <f t="shared" si="2"/>
        <v/>
      </c>
      <c r="Z21" s="170"/>
    </row>
    <row r="22" spans="1:26" ht="18" customHeight="1">
      <c r="A22" s="279"/>
      <c r="B22" s="223" t="s">
        <v>1625</v>
      </c>
      <c r="C22" s="253"/>
      <c r="D22" s="20">
        <v>0.5</v>
      </c>
      <c r="E22" s="21">
        <v>1</v>
      </c>
      <c r="F22" s="21">
        <v>2.4</v>
      </c>
      <c r="G22" s="21">
        <v>9.4</v>
      </c>
      <c r="H22" s="21">
        <v>11.1</v>
      </c>
      <c r="I22" s="22">
        <v>14.5</v>
      </c>
      <c r="J22" s="653" t="s">
        <v>1090</v>
      </c>
      <c r="L22" s="232">
        <v>1</v>
      </c>
      <c r="N22" s="292" t="str">
        <f t="shared" si="1"/>
        <v>3.1. 성과품 작성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SUM((ROUNDDOWN((D36:I36)*단가,0)))</f>
        <v>10367234</v>
      </c>
      <c r="X22" s="194"/>
      <c r="Y22" s="170" t="str">
        <f t="shared" si="2"/>
        <v>제 5 호표</v>
      </c>
      <c r="Z22" s="170"/>
    </row>
    <row r="23" spans="1:26" ht="18" customHeight="1">
      <c r="A23" s="279"/>
      <c r="B23" s="222" t="s">
        <v>269</v>
      </c>
      <c r="C23" s="47"/>
      <c r="D23" s="48">
        <f t="shared" ref="D23:I23" si="5">SUBTOTAL(9,D24:D27)</f>
        <v>8</v>
      </c>
      <c r="E23" s="49">
        <f t="shared" si="5"/>
        <v>8</v>
      </c>
      <c r="F23" s="49">
        <f t="shared" si="5"/>
        <v>8</v>
      </c>
      <c r="G23" s="49">
        <f t="shared" si="5"/>
        <v>16</v>
      </c>
      <c r="H23" s="49">
        <f t="shared" si="5"/>
        <v>16</v>
      </c>
      <c r="I23" s="50">
        <f t="shared" si="5"/>
        <v>16</v>
      </c>
      <c r="J23" s="389"/>
      <c r="L23" s="232"/>
      <c r="N23" s="354" t="str">
        <f t="shared" si="1"/>
        <v>4. 기술협의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SUBTOTAL(9,W24:W27)</f>
        <v>21702576</v>
      </c>
      <c r="X23" s="194"/>
      <c r="Y23" s="170" t="str">
        <f t="shared" si="2"/>
        <v/>
      </c>
      <c r="Z23" s="170"/>
    </row>
    <row r="24" spans="1:26" ht="18" customHeight="1">
      <c r="A24" s="279"/>
      <c r="B24" s="223" t="s">
        <v>1626</v>
      </c>
      <c r="C24" s="23"/>
      <c r="D24" s="197">
        <v>2</v>
      </c>
      <c r="E24" s="198">
        <v>2</v>
      </c>
      <c r="F24" s="198">
        <v>2</v>
      </c>
      <c r="G24" s="198">
        <v>4</v>
      </c>
      <c r="H24" s="198">
        <v>4</v>
      </c>
      <c r="I24" s="199">
        <v>4</v>
      </c>
      <c r="J24" s="389" t="s">
        <v>1095</v>
      </c>
      <c r="L24" s="233">
        <v>1</v>
      </c>
      <c r="N24" s="292" t="str">
        <f t="shared" si="1"/>
        <v>4.1. 공청회/주민설명회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SUM((ROUNDDOWN((D38:I38)*단가,0)))</f>
        <v>5425644</v>
      </c>
      <c r="X24" s="154"/>
      <c r="Y24" s="170" t="str">
        <f t="shared" si="2"/>
        <v>제 6 호표</v>
      </c>
      <c r="Z24" s="150"/>
    </row>
    <row r="25" spans="1:26" ht="18" customHeight="1">
      <c r="A25" s="279"/>
      <c r="B25" s="259" t="s">
        <v>1627</v>
      </c>
      <c r="C25" s="43"/>
      <c r="D25" s="206">
        <v>2</v>
      </c>
      <c r="E25" s="207">
        <v>2</v>
      </c>
      <c r="F25" s="207">
        <v>2</v>
      </c>
      <c r="G25" s="207">
        <v>4</v>
      </c>
      <c r="H25" s="207">
        <v>4</v>
      </c>
      <c r="I25" s="208">
        <v>4</v>
      </c>
      <c r="J25" s="389" t="s">
        <v>1094</v>
      </c>
      <c r="L25" s="233">
        <v>1</v>
      </c>
      <c r="N25" s="292" t="str">
        <f t="shared" si="1"/>
        <v>4.2. 주민간담회/시민계획단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SUM((ROUNDDOWN((D39:I39)*단가,0)))</f>
        <v>5425644</v>
      </c>
      <c r="X25" s="154"/>
      <c r="Y25" s="170" t="str">
        <f t="shared" si="2"/>
        <v>제 7 호표</v>
      </c>
      <c r="Z25" s="150"/>
    </row>
    <row r="26" spans="1:26" ht="18" customHeight="1">
      <c r="A26" s="279"/>
      <c r="B26" s="223" t="s">
        <v>1628</v>
      </c>
      <c r="C26" s="23"/>
      <c r="D26" s="197">
        <v>2</v>
      </c>
      <c r="E26" s="198">
        <v>2</v>
      </c>
      <c r="F26" s="198">
        <v>2</v>
      </c>
      <c r="G26" s="198">
        <v>4</v>
      </c>
      <c r="H26" s="198">
        <v>4</v>
      </c>
      <c r="I26" s="199">
        <v>4</v>
      </c>
      <c r="J26" s="389" t="s">
        <v>1094</v>
      </c>
      <c r="L26" s="233">
        <v>1</v>
      </c>
      <c r="N26" s="292" t="str">
        <f t="shared" si="1"/>
        <v>4.3. 위원회심의 지원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SUM((ROUNDDOWN((D40:I40)*단가,0)))</f>
        <v>5425644</v>
      </c>
      <c r="X26" s="154"/>
      <c r="Y26" s="170" t="str">
        <f t="shared" si="2"/>
        <v>제 8 호표</v>
      </c>
      <c r="Z26" s="150"/>
    </row>
    <row r="27" spans="1:26" ht="18" customHeight="1" thickBot="1">
      <c r="A27" s="279"/>
      <c r="B27" s="259" t="s">
        <v>1629</v>
      </c>
      <c r="C27" s="43"/>
      <c r="D27" s="206">
        <v>2</v>
      </c>
      <c r="E27" s="207">
        <v>2</v>
      </c>
      <c r="F27" s="207">
        <v>2</v>
      </c>
      <c r="G27" s="207">
        <v>4</v>
      </c>
      <c r="H27" s="207">
        <v>4</v>
      </c>
      <c r="I27" s="208">
        <v>4</v>
      </c>
      <c r="J27" s="612" t="s">
        <v>1094</v>
      </c>
      <c r="L27" s="233">
        <v>1</v>
      </c>
      <c r="N27" s="292" t="str">
        <f t="shared" si="1"/>
        <v>4.4. 관계기관 협의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SUM((ROUNDDOWN((D41:I41)*단가,0)))</f>
        <v>5425644</v>
      </c>
      <c r="X27" s="154"/>
      <c r="Y27" s="170" t="str">
        <f t="shared" si="2"/>
        <v>제 9 호표</v>
      </c>
      <c r="Z27" s="150"/>
    </row>
    <row r="28" spans="1:26" ht="18" customHeight="1" thickBot="1">
      <c r="A28" s="279"/>
      <c r="B28" s="249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8"/>
      <c r="P28" s="371"/>
      <c r="R28" s="357"/>
      <c r="S28" s="1"/>
      <c r="T28" s="1"/>
      <c r="U28" s="258"/>
      <c r="V28" s="372"/>
      <c r="W28" s="373"/>
      <c r="X28" s="374"/>
      <c r="Y28" s="170" t="str">
        <f>IF(A54&gt;0, "제 " &amp;A54&amp; " 호표","")</f>
        <v/>
      </c>
    </row>
    <row r="29" spans="1:26" ht="18" customHeight="1">
      <c r="A29" s="278"/>
      <c r="B29" s="252" t="str">
        <f>B15</f>
        <v>1. 조사 및 분석</v>
      </c>
      <c r="C29" s="253"/>
      <c r="D29" s="30">
        <f t="shared" ref="D29:I29" si="6">SUBTOTAL(9,D30:D31)</f>
        <v>3.4</v>
      </c>
      <c r="E29" s="31">
        <f t="shared" si="6"/>
        <v>8.1</v>
      </c>
      <c r="F29" s="31">
        <f t="shared" si="6"/>
        <v>12.9</v>
      </c>
      <c r="G29" s="31">
        <f t="shared" si="6"/>
        <v>17.899999999999999</v>
      </c>
      <c r="H29" s="31">
        <f t="shared" si="6"/>
        <v>20.6</v>
      </c>
      <c r="I29" s="32">
        <f t="shared" si="6"/>
        <v>15.3</v>
      </c>
      <c r="J29" s="302"/>
      <c r="N29" s="290" t="s">
        <v>2611</v>
      </c>
      <c r="O29" s="129"/>
      <c r="P29" s="130"/>
      <c r="Q29" s="124"/>
      <c r="R29" s="131"/>
      <c r="S29" s="124"/>
      <c r="T29" s="124"/>
      <c r="U29" s="181"/>
      <c r="V29" s="181"/>
      <c r="W29" s="159">
        <f>SUBTOTAL(9,W30:W32)</f>
        <v>8000000</v>
      </c>
      <c r="X29" s="160"/>
      <c r="Y29" s="124"/>
      <c r="Z29" s="124"/>
    </row>
    <row r="30" spans="1:26" ht="18" customHeight="1">
      <c r="A30" s="278">
        <v>1</v>
      </c>
      <c r="B30" s="223" t="str">
        <f t="shared" ref="B30:B41" si="7">B16</f>
        <v>1.1. 현황조사</v>
      </c>
      <c r="C30" s="253"/>
      <c r="D30" s="20">
        <f t="array" ref="D30:I31">ROUNDDOWN(D16:I17*L16:L17*$D$5,3)</f>
        <v>0.5</v>
      </c>
      <c r="E30" s="21">
        <v>1.3</v>
      </c>
      <c r="F30" s="21">
        <v>3.4</v>
      </c>
      <c r="G30" s="21">
        <v>7.9</v>
      </c>
      <c r="H30" s="21">
        <v>10</v>
      </c>
      <c r="I30" s="22">
        <v>15.3</v>
      </c>
      <c r="J30" s="390"/>
      <c r="N30" s="128" t="str">
        <f>"여비("&amp;TEXT(R30,"#인 ×")&amp;TEXT(S30,"#일 ×")&amp;TEXT(T30,"###,###원)")</f>
        <v>여비(3인 ×10일 ×100,000원)</v>
      </c>
      <c r="O30" s="78"/>
      <c r="P30" s="52"/>
      <c r="Q30" s="51"/>
      <c r="R30" s="146">
        <v>3</v>
      </c>
      <c r="S30" s="146">
        <v>10</v>
      </c>
      <c r="T30" s="147">
        <v>100000</v>
      </c>
      <c r="U30" s="182"/>
      <c r="V30" s="182"/>
      <c r="W30" s="161">
        <f>R30*S30*T30</f>
        <v>3000000</v>
      </c>
      <c r="X30" s="162"/>
      <c r="Y30" s="51"/>
      <c r="Z30" s="51"/>
    </row>
    <row r="31" spans="1:26" ht="18" customHeight="1">
      <c r="A31" s="278">
        <v>2</v>
      </c>
      <c r="B31" s="223" t="str">
        <f t="shared" si="7"/>
        <v>1.2. 분석, 평가, 진단</v>
      </c>
      <c r="C31" s="253"/>
      <c r="D31" s="20">
        <v>2.9</v>
      </c>
      <c r="E31" s="21">
        <v>6.8</v>
      </c>
      <c r="F31" s="21">
        <v>9.5</v>
      </c>
      <c r="G31" s="21">
        <v>10</v>
      </c>
      <c r="H31" s="21">
        <v>10.6</v>
      </c>
      <c r="I31" s="22">
        <v>0</v>
      </c>
      <c r="J31" s="74"/>
      <c r="N31" s="79" t="s">
        <v>46</v>
      </c>
      <c r="O31" s="79"/>
      <c r="P31" s="39"/>
      <c r="Q31" s="37"/>
      <c r="R31" s="117"/>
      <c r="S31" s="37"/>
      <c r="T31" s="37"/>
      <c r="U31" s="180"/>
      <c r="V31" s="180"/>
      <c r="W31" s="157">
        <v>3000000</v>
      </c>
      <c r="X31" s="158"/>
      <c r="Y31" s="37"/>
      <c r="Z31" s="37"/>
    </row>
    <row r="32" spans="1:26" ht="18" customHeight="1">
      <c r="A32" s="278"/>
      <c r="B32" s="393" t="str">
        <f t="shared" si="7"/>
        <v>2. 기본구상</v>
      </c>
      <c r="C32" s="23"/>
      <c r="D32" s="30">
        <f t="shared" ref="D32:I32" si="8">SUBTOTAL(9,D33:D34)</f>
        <v>8.6999999999999993</v>
      </c>
      <c r="E32" s="31">
        <f t="shared" si="8"/>
        <v>16.100000000000001</v>
      </c>
      <c r="F32" s="31">
        <f t="shared" si="8"/>
        <v>23.1</v>
      </c>
      <c r="G32" s="31">
        <f t="shared" si="8"/>
        <v>23.9</v>
      </c>
      <c r="H32" s="31">
        <f t="shared" si="8"/>
        <v>20.399999999999999</v>
      </c>
      <c r="I32" s="32">
        <f t="shared" si="8"/>
        <v>11.799999999999999</v>
      </c>
      <c r="J32" s="74"/>
      <c r="N32" s="132" t="s">
        <v>13</v>
      </c>
      <c r="O32" s="132"/>
      <c r="P32" s="38"/>
      <c r="Q32" s="38"/>
      <c r="R32" s="116"/>
      <c r="S32" s="38"/>
      <c r="T32" s="38"/>
      <c r="U32" s="183"/>
      <c r="V32" s="183"/>
      <c r="W32" s="155">
        <v>2000000</v>
      </c>
      <c r="X32" s="156"/>
      <c r="Y32" s="38"/>
      <c r="Z32" s="38"/>
    </row>
    <row r="33" spans="1:26" ht="18" customHeight="1">
      <c r="A33" s="278">
        <v>3</v>
      </c>
      <c r="B33" s="223" t="str">
        <f t="shared" si="7"/>
        <v>2.1. 기본구상</v>
      </c>
      <c r="C33" s="253"/>
      <c r="D33" s="20">
        <f t="array" ref="D33:I33">ROUNDDOWN(D19:I19*L19,3)</f>
        <v>5.5</v>
      </c>
      <c r="E33" s="21">
        <v>10.4</v>
      </c>
      <c r="F33" s="21">
        <v>12.5</v>
      </c>
      <c r="G33" s="21">
        <v>12.7</v>
      </c>
      <c r="H33" s="21">
        <v>12.2</v>
      </c>
      <c r="I33" s="22">
        <v>9.6999999999999993</v>
      </c>
      <c r="J33" s="302"/>
      <c r="N33" s="127" t="s">
        <v>47</v>
      </c>
      <c r="O33" s="123"/>
      <c r="P33" s="123"/>
      <c r="Q33" s="123"/>
      <c r="R33" s="123"/>
      <c r="S33" s="123"/>
      <c r="T33" s="123"/>
      <c r="U33" s="184"/>
      <c r="V33" s="184"/>
      <c r="W33" s="163">
        <f ca="1">SUBTOTAL(9,W34:W35)</f>
        <v>155658877</v>
      </c>
      <c r="X33" s="164"/>
      <c r="Y33" s="123"/>
      <c r="Z33" s="123"/>
    </row>
    <row r="34" spans="1:26" ht="18" customHeight="1">
      <c r="A34" s="278">
        <v>4</v>
      </c>
      <c r="B34" s="223" t="str">
        <f t="shared" si="7"/>
        <v>2.2. 타당성검토 및 경제성 검토</v>
      </c>
      <c r="C34" s="253"/>
      <c r="D34" s="20">
        <f t="array" ref="D34:I34">ROUNDDOWN(D20:I20*L20*$D$5*D6,3)</f>
        <v>3.2</v>
      </c>
      <c r="E34" s="21">
        <v>5.7</v>
      </c>
      <c r="F34" s="21">
        <v>10.6</v>
      </c>
      <c r="G34" s="21">
        <v>11.2</v>
      </c>
      <c r="H34" s="21">
        <v>8.1999999999999993</v>
      </c>
      <c r="I34" s="22">
        <v>2.1</v>
      </c>
      <c r="J34" s="302"/>
      <c r="N34" s="133" t="s">
        <v>861</v>
      </c>
      <c r="O34" s="124"/>
      <c r="P34" s="134"/>
      <c r="Q34" s="124"/>
      <c r="R34" s="131"/>
      <c r="S34" s="124"/>
      <c r="T34" s="181"/>
      <c r="U34" s="181"/>
      <c r="V34" s="190">
        <v>1.1499999999999999</v>
      </c>
      <c r="W34" s="159">
        <f ca="1">ROUNDDOWN(W14*V34,0)</f>
        <v>99725743</v>
      </c>
      <c r="X34" s="160"/>
      <c r="Y34" s="124"/>
      <c r="Z34" s="124"/>
    </row>
    <row r="35" spans="1:26" ht="18" customHeight="1" thickBot="1">
      <c r="A35" s="278"/>
      <c r="B35" s="393" t="str">
        <f t="shared" si="7"/>
        <v>3. 성과품 작성</v>
      </c>
      <c r="C35" s="23"/>
      <c r="D35" s="30">
        <f t="shared" ref="D35:I35" si="9">SUBTOTAL(9,D36)</f>
        <v>0.5</v>
      </c>
      <c r="E35" s="31">
        <f t="shared" si="9"/>
        <v>1</v>
      </c>
      <c r="F35" s="31">
        <f t="shared" si="9"/>
        <v>2.4</v>
      </c>
      <c r="G35" s="31">
        <f t="shared" si="9"/>
        <v>9.4</v>
      </c>
      <c r="H35" s="31">
        <f t="shared" si="9"/>
        <v>11.1</v>
      </c>
      <c r="I35" s="32">
        <f t="shared" si="9"/>
        <v>14.5</v>
      </c>
      <c r="J35" s="74"/>
      <c r="K35" s="171" t="s">
        <v>14</v>
      </c>
      <c r="N35" s="135" t="s">
        <v>862</v>
      </c>
      <c r="O35" s="136"/>
      <c r="P35" s="137"/>
      <c r="Q35" s="136"/>
      <c r="R35" s="138"/>
      <c r="S35" s="136"/>
      <c r="T35" s="185"/>
      <c r="U35" s="185"/>
      <c r="V35" s="191">
        <v>0.3</v>
      </c>
      <c r="W35" s="165">
        <f ca="1">ROUNDDOWN((W14+W34)*V35,0)</f>
        <v>55933134</v>
      </c>
      <c r="X35" s="166"/>
      <c r="Y35" s="136"/>
      <c r="Z35" s="136"/>
    </row>
    <row r="36" spans="1:26" ht="18" customHeight="1">
      <c r="A36" s="278">
        <v>5</v>
      </c>
      <c r="B36" s="223" t="str">
        <f t="shared" si="7"/>
        <v>3.1. 성과품 작성</v>
      </c>
      <c r="C36" s="253"/>
      <c r="D36" s="20">
        <f t="array" ref="D36:I36">ROUNDDOWN(D22:I22*L22*$D$5,3)</f>
        <v>0.5</v>
      </c>
      <c r="E36" s="21">
        <v>1</v>
      </c>
      <c r="F36" s="21">
        <v>2.4</v>
      </c>
      <c r="G36" s="21">
        <v>9.4</v>
      </c>
      <c r="H36" s="21">
        <v>11.1</v>
      </c>
      <c r="I36" s="22">
        <v>14.5</v>
      </c>
      <c r="J36" s="302"/>
    </row>
    <row r="37" spans="1:26" ht="18" customHeight="1">
      <c r="A37" s="278"/>
      <c r="B37" s="222" t="str">
        <f t="shared" si="7"/>
        <v>4. 기술협의</v>
      </c>
      <c r="C37" s="47"/>
      <c r="D37" s="48">
        <f t="shared" ref="D37:I37" si="10">SUBTOTAL(9,D38:D41)</f>
        <v>8</v>
      </c>
      <c r="E37" s="49">
        <f t="shared" si="10"/>
        <v>8</v>
      </c>
      <c r="F37" s="49">
        <f t="shared" si="10"/>
        <v>8</v>
      </c>
      <c r="G37" s="49">
        <f t="shared" si="10"/>
        <v>16</v>
      </c>
      <c r="H37" s="49">
        <f t="shared" si="10"/>
        <v>16</v>
      </c>
      <c r="I37" s="50">
        <f t="shared" si="10"/>
        <v>16</v>
      </c>
      <c r="J37" s="74"/>
      <c r="K37" s="171" t="s">
        <v>14</v>
      </c>
      <c r="L37" s="171"/>
    </row>
    <row r="38" spans="1:26" ht="18" customHeight="1">
      <c r="A38" s="278">
        <v>6</v>
      </c>
      <c r="B38" s="223" t="str">
        <f t="shared" si="7"/>
        <v>4.1. 공청회/주민설명회</v>
      </c>
      <c r="C38" s="23"/>
      <c r="D38" s="20">
        <f t="array" ref="D38:I41">ROUNDDOWN(D24:I27*L24:L27*I5,3)</f>
        <v>2</v>
      </c>
      <c r="E38" s="198">
        <v>2</v>
      </c>
      <c r="F38" s="198">
        <v>2</v>
      </c>
      <c r="G38" s="198">
        <v>4</v>
      </c>
      <c r="H38" s="198">
        <v>4</v>
      </c>
      <c r="I38" s="199">
        <v>4</v>
      </c>
      <c r="J38" s="74"/>
      <c r="K38" s="171"/>
      <c r="L38" s="171"/>
    </row>
    <row r="39" spans="1:26" ht="18" customHeight="1">
      <c r="A39" s="278">
        <v>7</v>
      </c>
      <c r="B39" s="223" t="str">
        <f t="shared" si="7"/>
        <v>4.2. 주민간담회/시민계획단</v>
      </c>
      <c r="C39" s="23"/>
      <c r="D39" s="197">
        <v>2</v>
      </c>
      <c r="E39" s="198">
        <v>2</v>
      </c>
      <c r="F39" s="198">
        <v>2</v>
      </c>
      <c r="G39" s="198">
        <v>4</v>
      </c>
      <c r="H39" s="198">
        <v>4</v>
      </c>
      <c r="I39" s="199">
        <v>4</v>
      </c>
      <c r="J39" s="74"/>
      <c r="K39" s="171"/>
      <c r="L39" s="171"/>
    </row>
    <row r="40" spans="1:26" ht="18" customHeight="1">
      <c r="A40" s="278">
        <v>8</v>
      </c>
      <c r="B40" s="223" t="str">
        <f t="shared" si="7"/>
        <v>4.3. 위원회심의 지원</v>
      </c>
      <c r="C40" s="23"/>
      <c r="D40" s="197">
        <v>2</v>
      </c>
      <c r="E40" s="198">
        <v>2</v>
      </c>
      <c r="F40" s="198">
        <v>2</v>
      </c>
      <c r="G40" s="198">
        <v>4</v>
      </c>
      <c r="H40" s="198">
        <v>4</v>
      </c>
      <c r="I40" s="199">
        <v>4</v>
      </c>
      <c r="J40" s="74"/>
      <c r="K40" s="171"/>
      <c r="L40" s="171"/>
    </row>
    <row r="41" spans="1:26" ht="18" customHeight="1" thickBot="1">
      <c r="A41" s="278">
        <v>9</v>
      </c>
      <c r="B41" s="388" t="str">
        <f t="shared" si="7"/>
        <v>4.4. 관계기관 협의</v>
      </c>
      <c r="C41" s="342"/>
      <c r="D41" s="343">
        <v>2</v>
      </c>
      <c r="E41" s="344">
        <v>2</v>
      </c>
      <c r="F41" s="344">
        <v>2</v>
      </c>
      <c r="G41" s="344">
        <v>4</v>
      </c>
      <c r="H41" s="344">
        <v>4</v>
      </c>
      <c r="I41" s="345">
        <v>4</v>
      </c>
      <c r="J41" s="176"/>
      <c r="K41" s="171" t="s">
        <v>14</v>
      </c>
      <c r="L41" s="171"/>
      <c r="R41" s="1"/>
      <c r="S41" s="1"/>
      <c r="T41" s="1"/>
      <c r="U41" s="1"/>
      <c r="V41" s="1"/>
      <c r="W41" s="1"/>
      <c r="X41" s="1"/>
      <c r="Y41" s="1"/>
    </row>
    <row r="42" spans="1:26" ht="18" customHeight="1">
      <c r="A42" s="278"/>
      <c r="B42" s="80" t="s">
        <v>652</v>
      </c>
      <c r="C42" s="1" t="s">
        <v>2243</v>
      </c>
      <c r="E42" s="8"/>
      <c r="F42" s="8"/>
      <c r="G42" s="8"/>
      <c r="H42" s="8"/>
      <c r="I42" s="8"/>
      <c r="J42" s="10"/>
      <c r="K42" s="171" t="s">
        <v>14</v>
      </c>
      <c r="L42" s="171"/>
      <c r="R42" s="1"/>
      <c r="S42" s="1"/>
      <c r="T42" s="1"/>
      <c r="U42" s="1"/>
      <c r="V42" s="1"/>
      <c r="W42" s="1"/>
      <c r="X42" s="1"/>
      <c r="Y42" s="1"/>
    </row>
    <row r="43" spans="1:26" ht="18" customHeight="1">
      <c r="A43" s="278"/>
      <c r="B43" s="80"/>
      <c r="C43" s="1" t="s">
        <v>1217</v>
      </c>
      <c r="J43" s="8"/>
      <c r="K43" s="171" t="s">
        <v>14</v>
      </c>
      <c r="L43" s="171"/>
      <c r="R43" s="1"/>
      <c r="S43" s="1"/>
      <c r="T43" s="1"/>
      <c r="U43" s="1"/>
      <c r="V43" s="1"/>
      <c r="W43" s="1"/>
      <c r="X43" s="1"/>
      <c r="Y43" s="1"/>
    </row>
    <row r="44" spans="1:26" ht="18" customHeight="1" thickBot="1">
      <c r="A44" s="278"/>
      <c r="C44" s="9" t="s">
        <v>1656</v>
      </c>
      <c r="J44" s="8"/>
      <c r="K44" s="171" t="s">
        <v>14</v>
      </c>
      <c r="L44" s="171"/>
      <c r="N44" s="66" t="s">
        <v>18</v>
      </c>
      <c r="O44" s="2"/>
      <c r="P44" s="2"/>
      <c r="Q44" s="2"/>
      <c r="R44" s="3"/>
      <c r="S44" s="4"/>
      <c r="T44" s="3"/>
      <c r="U44" s="4"/>
      <c r="V44" s="3"/>
      <c r="W44" s="4"/>
      <c r="X44" s="3"/>
      <c r="Y44" s="4"/>
      <c r="Z44" s="2"/>
    </row>
    <row r="45" spans="1:26" ht="18" customHeight="1">
      <c r="A45" s="278"/>
      <c r="C45" s="1" t="s">
        <v>2574</v>
      </c>
      <c r="J45" s="8"/>
      <c r="K45" s="171" t="s">
        <v>14</v>
      </c>
      <c r="L45" s="171"/>
      <c r="N45" s="765" t="s">
        <v>19</v>
      </c>
      <c r="O45" s="755" t="s">
        <v>20</v>
      </c>
      <c r="P45" s="755" t="s">
        <v>21</v>
      </c>
      <c r="Q45" s="755" t="s">
        <v>16</v>
      </c>
      <c r="R45" s="5" t="s">
        <v>22</v>
      </c>
      <c r="S45" s="5"/>
      <c r="T45" s="5" t="s">
        <v>23</v>
      </c>
      <c r="U45" s="5"/>
      <c r="V45" s="5" t="s">
        <v>24</v>
      </c>
      <c r="W45" s="5"/>
      <c r="X45" s="5" t="s">
        <v>25</v>
      </c>
      <c r="Y45" s="5"/>
      <c r="Z45" s="755" t="s">
        <v>26</v>
      </c>
    </row>
    <row r="46" spans="1:26" ht="18" customHeight="1" thickBot="1">
      <c r="A46" s="278"/>
      <c r="K46" s="171" t="s">
        <v>14</v>
      </c>
      <c r="L46" s="171"/>
      <c r="N46" s="766"/>
      <c r="O46" s="756"/>
      <c r="P46" s="756"/>
      <c r="Q46" s="756"/>
      <c r="R46" s="67" t="s">
        <v>27</v>
      </c>
      <c r="S46" s="67" t="s">
        <v>28</v>
      </c>
      <c r="T46" s="67" t="s">
        <v>27</v>
      </c>
      <c r="U46" s="67" t="s">
        <v>28</v>
      </c>
      <c r="V46" s="67" t="s">
        <v>27</v>
      </c>
      <c r="W46" s="67" t="s">
        <v>28</v>
      </c>
      <c r="X46" s="67" t="s">
        <v>27</v>
      </c>
      <c r="Y46" s="67" t="s">
        <v>28</v>
      </c>
      <c r="Z46" s="756"/>
    </row>
    <row r="47" spans="1:26" ht="18" customHeight="1" thickTop="1">
      <c r="A47" s="278"/>
      <c r="C47" s="9"/>
      <c r="K47" s="171" t="s">
        <v>14</v>
      </c>
      <c r="L47" s="171"/>
      <c r="N47" s="318" t="str">
        <f ca="1">"제 " &amp; Z47 &amp; " 호표  "&amp; OFFSET($A$1,MATCH(Z47,$A:$A,0)-1,1)</f>
        <v>제 1 호표  1.1. 현황조사</v>
      </c>
      <c r="O47" s="221"/>
      <c r="P47" s="148"/>
      <c r="Q47" s="148"/>
      <c r="R47" s="149"/>
      <c r="S47" s="149"/>
      <c r="T47" s="149"/>
      <c r="U47" s="149"/>
      <c r="V47" s="149"/>
      <c r="W47" s="149"/>
      <c r="X47" s="149"/>
      <c r="Y47" s="149"/>
      <c r="Z47" s="325">
        <v>1</v>
      </c>
    </row>
    <row r="48" spans="1:26" ht="18" customHeight="1">
      <c r="A48" s="278"/>
      <c r="C48" s="9"/>
      <c r="K48" s="171" t="s">
        <v>14</v>
      </c>
      <c r="L48" s="171"/>
      <c r="N48" s="140" t="s">
        <v>43</v>
      </c>
      <c r="O48" s="172">
        <v>3</v>
      </c>
      <c r="P48" s="219">
        <f ca="1">OFFSET($A$1,MATCH(Z47,$A:$A,0)-1,O48)</f>
        <v>0.5</v>
      </c>
      <c r="Q48" s="141" t="s">
        <v>29</v>
      </c>
      <c r="R48" s="142">
        <f t="shared" ref="R48:S53" ca="1" si="11">T48</f>
        <v>467217</v>
      </c>
      <c r="S48" s="142">
        <f t="shared" ca="1" si="11"/>
        <v>233608</v>
      </c>
      <c r="T48" s="142">
        <f ca="1">기술사</f>
        <v>467217</v>
      </c>
      <c r="U48" s="142">
        <f t="shared" ref="U48:U53" ca="1" si="12">ROUNDDOWN(P48*R48,0)</f>
        <v>233608</v>
      </c>
      <c r="V48" s="142"/>
      <c r="W48" s="142"/>
      <c r="X48" s="142"/>
      <c r="Y48" s="142"/>
      <c r="Z48" s="114"/>
    </row>
    <row r="49" spans="1:26" ht="18" customHeight="1">
      <c r="A49" s="278"/>
      <c r="C49" s="9"/>
      <c r="K49" s="171" t="s">
        <v>14</v>
      </c>
      <c r="L49" s="171"/>
      <c r="N49" s="143" t="s">
        <v>32</v>
      </c>
      <c r="O49" s="173">
        <v>4</v>
      </c>
      <c r="P49" s="234">
        <f ca="1">OFFSET($A$1,MATCH(Z47,$A:$A,0)-1,O49)</f>
        <v>1.3</v>
      </c>
      <c r="Q49" s="144" t="s">
        <v>29</v>
      </c>
      <c r="R49" s="118">
        <f t="shared" ca="1" si="11"/>
        <v>373353</v>
      </c>
      <c r="S49" s="118">
        <f t="shared" ca="1" si="11"/>
        <v>485358</v>
      </c>
      <c r="T49" s="118">
        <f ca="1">특급</f>
        <v>373353</v>
      </c>
      <c r="U49" s="118">
        <f t="shared" ca="1" si="12"/>
        <v>485358</v>
      </c>
      <c r="V49" s="118"/>
      <c r="W49" s="118"/>
      <c r="X49" s="118"/>
      <c r="Y49" s="118"/>
      <c r="Z49" s="115"/>
    </row>
    <row r="50" spans="1:26" ht="18" customHeight="1">
      <c r="A50" s="278"/>
      <c r="K50" s="171" t="s">
        <v>14</v>
      </c>
      <c r="L50" s="171"/>
      <c r="N50" s="145" t="s">
        <v>39</v>
      </c>
      <c r="O50" s="173">
        <v>5</v>
      </c>
      <c r="P50" s="234">
        <f ca="1">OFFSET($A$1,MATCH(Z47,$A:$A,0)-1,O50)</f>
        <v>3.4</v>
      </c>
      <c r="Q50" s="144" t="s">
        <v>29</v>
      </c>
      <c r="R50" s="118">
        <f t="shared" ca="1" si="11"/>
        <v>310884</v>
      </c>
      <c r="S50" s="118">
        <f t="shared" ca="1" si="11"/>
        <v>1057005</v>
      </c>
      <c r="T50" s="118">
        <f ca="1">고급</f>
        <v>310884</v>
      </c>
      <c r="U50" s="118">
        <f t="shared" ca="1" si="12"/>
        <v>1057005</v>
      </c>
      <c r="V50" s="118"/>
      <c r="W50" s="118"/>
      <c r="X50" s="118"/>
      <c r="Y50" s="118"/>
      <c r="Z50" s="115"/>
    </row>
    <row r="51" spans="1:26" ht="18" customHeight="1">
      <c r="A51" s="278"/>
      <c r="B51" s="9"/>
      <c r="C51" s="9"/>
      <c r="K51" s="171" t="s">
        <v>14</v>
      </c>
      <c r="L51" s="171"/>
      <c r="N51" s="145" t="s">
        <v>40</v>
      </c>
      <c r="O51" s="173">
        <v>6</v>
      </c>
      <c r="P51" s="234">
        <f ca="1">OFFSET($A$1,MATCH(Z47,$A:$A,0)-1,O51)</f>
        <v>7.9</v>
      </c>
      <c r="Q51" s="144" t="s">
        <v>29</v>
      </c>
      <c r="R51" s="118">
        <f t="shared" ca="1" si="11"/>
        <v>295138</v>
      </c>
      <c r="S51" s="118">
        <f t="shared" ca="1" si="11"/>
        <v>2331590</v>
      </c>
      <c r="T51" s="118">
        <f ca="1">중급</f>
        <v>295138</v>
      </c>
      <c r="U51" s="118">
        <f t="shared" ca="1" si="12"/>
        <v>2331590</v>
      </c>
      <c r="V51" s="118"/>
      <c r="W51" s="118"/>
      <c r="X51" s="118"/>
      <c r="Y51" s="118"/>
      <c r="Z51" s="115"/>
    </row>
    <row r="52" spans="1:26" ht="18" customHeight="1">
      <c r="A52" s="278"/>
      <c r="B52" s="9"/>
      <c r="K52" s="171" t="s">
        <v>14</v>
      </c>
      <c r="L52" s="171"/>
      <c r="N52" s="145" t="s">
        <v>41</v>
      </c>
      <c r="O52" s="173">
        <v>7</v>
      </c>
      <c r="P52" s="234">
        <f ca="1">OFFSET($A$1,MATCH(Z47,$A:$A,0)-1,O52)</f>
        <v>10</v>
      </c>
      <c r="Q52" s="144" t="s">
        <v>29</v>
      </c>
      <c r="R52" s="118">
        <f t="shared" ca="1" si="11"/>
        <v>235459</v>
      </c>
      <c r="S52" s="118">
        <f t="shared" ca="1" si="11"/>
        <v>2354590</v>
      </c>
      <c r="T52" s="118">
        <f ca="1">초급</f>
        <v>235459</v>
      </c>
      <c r="U52" s="118">
        <f t="shared" ca="1" si="12"/>
        <v>2354590</v>
      </c>
      <c r="V52" s="118"/>
      <c r="W52" s="118"/>
      <c r="X52" s="118"/>
      <c r="Y52" s="118"/>
      <c r="Z52" s="115"/>
    </row>
    <row r="53" spans="1:26" ht="18" customHeight="1">
      <c r="A53" s="278"/>
      <c r="B53" s="9"/>
      <c r="K53" s="171" t="s">
        <v>14</v>
      </c>
      <c r="L53" s="171"/>
      <c r="N53" s="319" t="s">
        <v>42</v>
      </c>
      <c r="O53" s="174">
        <v>8</v>
      </c>
      <c r="P53" s="235">
        <f ca="1">OFFSET($A$1,MATCH(Z47,$A:$A,0)-1,O53)</f>
        <v>15.3</v>
      </c>
      <c r="Q53" s="322" t="s">
        <v>29</v>
      </c>
      <c r="R53" s="323">
        <f t="shared" ca="1" si="11"/>
        <v>250087</v>
      </c>
      <c r="S53" s="323">
        <f t="shared" ca="1" si="11"/>
        <v>3826331</v>
      </c>
      <c r="T53" s="323">
        <f ca="1">보조원</f>
        <v>250087</v>
      </c>
      <c r="U53" s="323">
        <f t="shared" ca="1" si="12"/>
        <v>3826331</v>
      </c>
      <c r="V53" s="323"/>
      <c r="W53" s="323"/>
      <c r="X53" s="323"/>
      <c r="Y53" s="323"/>
      <c r="Z53" s="324"/>
    </row>
    <row r="54" spans="1:26" ht="18" customHeight="1">
      <c r="A54" s="278"/>
      <c r="B54" s="9"/>
      <c r="K54" s="171" t="s">
        <v>14</v>
      </c>
      <c r="L54" s="171"/>
      <c r="N54" s="139" t="s">
        <v>17</v>
      </c>
      <c r="O54" s="68"/>
      <c r="P54" s="69"/>
      <c r="Q54" s="70"/>
      <c r="R54" s="71"/>
      <c r="S54" s="71">
        <f ca="1">SUBTOTAL(9,S48:S53)</f>
        <v>10288482</v>
      </c>
      <c r="T54" s="71"/>
      <c r="U54" s="71">
        <f ca="1">SUBTOTAL(9,U48:U53)</f>
        <v>10288482</v>
      </c>
      <c r="V54" s="71"/>
      <c r="W54" s="71"/>
      <c r="X54" s="71"/>
      <c r="Y54" s="71"/>
      <c r="Z54" s="68"/>
    </row>
    <row r="55" spans="1:26" ht="18" customHeight="1">
      <c r="A55" s="278"/>
      <c r="B55" s="9"/>
      <c r="K55" s="171" t="s">
        <v>14</v>
      </c>
      <c r="L55" s="171"/>
      <c r="N55" s="318" t="str">
        <f ca="1">"제 " &amp; Z55 &amp; " 호표  "&amp; OFFSET($A$1,MATCH(Z55,$A:$A,0)-1,1)</f>
        <v>제 2 호표  1.2. 분석, 평가, 진단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f>Z47+1</f>
        <v>2</v>
      </c>
    </row>
    <row r="56" spans="1:26" ht="18" customHeight="1">
      <c r="A56" s="278"/>
      <c r="B56" s="9"/>
      <c r="K56" s="171" t="s">
        <v>14</v>
      </c>
      <c r="L56" s="171"/>
      <c r="N56" s="140" t="s">
        <v>43</v>
      </c>
      <c r="O56" s="172">
        <v>3</v>
      </c>
      <c r="P56" s="219">
        <f ca="1">OFFSET($A$1,MATCH(Z55,$A:$A,0)-1,O56)</f>
        <v>2.9</v>
      </c>
      <c r="Q56" s="141" t="s">
        <v>29</v>
      </c>
      <c r="R56" s="142">
        <f t="shared" ref="R56:S61" ca="1" si="13">T56</f>
        <v>467217</v>
      </c>
      <c r="S56" s="142">
        <f t="shared" ca="1" si="13"/>
        <v>1354929</v>
      </c>
      <c r="T56" s="142">
        <f ca="1">기술사</f>
        <v>467217</v>
      </c>
      <c r="U56" s="142">
        <f t="shared" ref="U56:U61" ca="1" si="14">ROUNDDOWN(P56*R56,0)</f>
        <v>1354929</v>
      </c>
      <c r="V56" s="142"/>
      <c r="W56" s="142"/>
      <c r="X56" s="142"/>
      <c r="Y56" s="142"/>
      <c r="Z56" s="114"/>
    </row>
    <row r="57" spans="1:26" ht="18" customHeight="1">
      <c r="A57" s="278"/>
      <c r="B57" s="9"/>
      <c r="K57" s="171" t="s">
        <v>14</v>
      </c>
      <c r="L57" s="171"/>
      <c r="N57" s="143" t="s">
        <v>32</v>
      </c>
      <c r="O57" s="173">
        <v>4</v>
      </c>
      <c r="P57" s="234">
        <f ca="1">OFFSET($A$1,MATCH(Z55,$A:$A,0)-1,O57)</f>
        <v>6.8</v>
      </c>
      <c r="Q57" s="144" t="s">
        <v>29</v>
      </c>
      <c r="R57" s="118">
        <f t="shared" ca="1" si="13"/>
        <v>373353</v>
      </c>
      <c r="S57" s="118">
        <f t="shared" ca="1" si="13"/>
        <v>2538800</v>
      </c>
      <c r="T57" s="118">
        <f ca="1">특급</f>
        <v>373353</v>
      </c>
      <c r="U57" s="118">
        <f t="shared" ca="1" si="14"/>
        <v>2538800</v>
      </c>
      <c r="V57" s="118"/>
      <c r="W57" s="118"/>
      <c r="X57" s="118"/>
      <c r="Y57" s="118"/>
      <c r="Z57" s="115"/>
    </row>
    <row r="58" spans="1:26" ht="18" customHeight="1">
      <c r="A58" s="278"/>
      <c r="K58" s="171" t="s">
        <v>14</v>
      </c>
      <c r="L58" s="171"/>
      <c r="N58" s="145" t="s">
        <v>39</v>
      </c>
      <c r="O58" s="173">
        <v>5</v>
      </c>
      <c r="P58" s="234">
        <f ca="1">OFFSET($A$1,MATCH(Z55,$A:$A,0)-1,O58)</f>
        <v>9.5</v>
      </c>
      <c r="Q58" s="144" t="s">
        <v>29</v>
      </c>
      <c r="R58" s="118">
        <f t="shared" ca="1" si="13"/>
        <v>310884</v>
      </c>
      <c r="S58" s="118">
        <f t="shared" ca="1" si="13"/>
        <v>2953398</v>
      </c>
      <c r="T58" s="118">
        <f ca="1">고급</f>
        <v>310884</v>
      </c>
      <c r="U58" s="118">
        <f t="shared" ca="1" si="14"/>
        <v>2953398</v>
      </c>
      <c r="V58" s="118"/>
      <c r="W58" s="118"/>
      <c r="X58" s="118"/>
      <c r="Y58" s="118"/>
      <c r="Z58" s="115"/>
    </row>
    <row r="59" spans="1:26" ht="18" customHeight="1">
      <c r="A59" s="278"/>
      <c r="K59" s="171" t="s">
        <v>14</v>
      </c>
      <c r="L59" s="171"/>
      <c r="N59" s="145" t="s">
        <v>40</v>
      </c>
      <c r="O59" s="173">
        <v>6</v>
      </c>
      <c r="P59" s="234">
        <f ca="1">OFFSET($A$1,MATCH(Z55,$A:$A,0)-1,O59)</f>
        <v>10</v>
      </c>
      <c r="Q59" s="144" t="s">
        <v>29</v>
      </c>
      <c r="R59" s="118">
        <f t="shared" ca="1" si="13"/>
        <v>295138</v>
      </c>
      <c r="S59" s="118">
        <f t="shared" ca="1" si="13"/>
        <v>2951380</v>
      </c>
      <c r="T59" s="118">
        <f ca="1">중급</f>
        <v>295138</v>
      </c>
      <c r="U59" s="118">
        <f t="shared" ca="1" si="14"/>
        <v>2951380</v>
      </c>
      <c r="V59" s="118"/>
      <c r="W59" s="118"/>
      <c r="X59" s="118"/>
      <c r="Y59" s="118"/>
      <c r="Z59" s="115"/>
    </row>
    <row r="60" spans="1:26" ht="18" customHeight="1">
      <c r="A60" s="278"/>
      <c r="K60" s="171" t="s">
        <v>14</v>
      </c>
      <c r="L60" s="171"/>
      <c r="N60" s="145" t="s">
        <v>41</v>
      </c>
      <c r="O60" s="173">
        <v>7</v>
      </c>
      <c r="P60" s="234">
        <f ca="1">OFFSET($A$1,MATCH(Z55,$A:$A,0)-1,O60)</f>
        <v>10.6</v>
      </c>
      <c r="Q60" s="144" t="s">
        <v>29</v>
      </c>
      <c r="R60" s="118">
        <f t="shared" ca="1" si="13"/>
        <v>235459</v>
      </c>
      <c r="S60" s="118">
        <f t="shared" ca="1" si="13"/>
        <v>2495865</v>
      </c>
      <c r="T60" s="118">
        <f ca="1">초급</f>
        <v>235459</v>
      </c>
      <c r="U60" s="118">
        <f t="shared" ca="1" si="14"/>
        <v>2495865</v>
      </c>
      <c r="V60" s="118"/>
      <c r="W60" s="118"/>
      <c r="X60" s="118"/>
      <c r="Y60" s="118"/>
      <c r="Z60" s="115"/>
    </row>
    <row r="61" spans="1:26" ht="18" customHeight="1">
      <c r="A61" s="278"/>
      <c r="K61" s="171" t="s">
        <v>14</v>
      </c>
      <c r="L61" s="171"/>
      <c r="N61" s="319" t="s">
        <v>42</v>
      </c>
      <c r="O61" s="174">
        <v>8</v>
      </c>
      <c r="P61" s="235">
        <f ca="1">OFFSET($A$1,MATCH(Z55,$A:$A,0)-1,O61)</f>
        <v>0</v>
      </c>
      <c r="Q61" s="322" t="s">
        <v>29</v>
      </c>
      <c r="R61" s="323">
        <f t="shared" ca="1" si="13"/>
        <v>250087</v>
      </c>
      <c r="S61" s="323">
        <f t="shared" ca="1" si="13"/>
        <v>0</v>
      </c>
      <c r="T61" s="323">
        <f ca="1">보조원</f>
        <v>250087</v>
      </c>
      <c r="U61" s="323">
        <f t="shared" ca="1" si="14"/>
        <v>0</v>
      </c>
      <c r="V61" s="323"/>
      <c r="W61" s="323"/>
      <c r="X61" s="323"/>
      <c r="Y61" s="323"/>
      <c r="Z61" s="324"/>
    </row>
    <row r="62" spans="1:26" ht="18" customHeight="1">
      <c r="A62" s="278"/>
      <c r="K62" s="171" t="s">
        <v>14</v>
      </c>
      <c r="L62" s="171"/>
      <c r="N62" s="139" t="s">
        <v>17</v>
      </c>
      <c r="O62" s="68"/>
      <c r="P62" s="69"/>
      <c r="Q62" s="70"/>
      <c r="R62" s="71"/>
      <c r="S62" s="71">
        <f ca="1">SUBTOTAL(9,S56:S61)</f>
        <v>12294372</v>
      </c>
      <c r="T62" s="71"/>
      <c r="U62" s="71">
        <f ca="1">SUBTOTAL(9,U56:U61)</f>
        <v>12294372</v>
      </c>
      <c r="V62" s="71"/>
      <c r="W62" s="71"/>
      <c r="X62" s="71"/>
      <c r="Y62" s="71"/>
      <c r="Z62" s="68"/>
    </row>
    <row r="63" spans="1:26" ht="18" customHeight="1">
      <c r="A63" s="278"/>
      <c r="K63" s="171" t="s">
        <v>14</v>
      </c>
      <c r="L63" s="171"/>
      <c r="N63" s="318" t="str">
        <f ca="1">"제 " &amp; Z63 &amp; " 호표  "&amp; OFFSET($A$1,MATCH(Z63,$A:$A,0)-1,1)</f>
        <v>제 3 호표  2.1. 기본구상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3</v>
      </c>
    </row>
    <row r="64" spans="1:26" ht="18" customHeight="1">
      <c r="A64" s="278"/>
      <c r="K64" s="171" t="s">
        <v>14</v>
      </c>
      <c r="L64" s="171"/>
      <c r="N64" s="140" t="s">
        <v>43</v>
      </c>
      <c r="O64" s="172">
        <v>3</v>
      </c>
      <c r="P64" s="219">
        <f ca="1">OFFSET($A$1,MATCH(Z63,$A:$A,0)-1,O64)</f>
        <v>5.5</v>
      </c>
      <c r="Q64" s="141" t="s">
        <v>29</v>
      </c>
      <c r="R64" s="142">
        <f t="shared" ref="R64:S69" ca="1" si="15">T64</f>
        <v>467217</v>
      </c>
      <c r="S64" s="142">
        <f t="shared" ca="1" si="15"/>
        <v>2569693</v>
      </c>
      <c r="T64" s="142">
        <f ca="1">기술사</f>
        <v>467217</v>
      </c>
      <c r="U64" s="142">
        <f t="shared" ref="U64:U69" ca="1" si="16">ROUNDDOWN(P64*R64,0)</f>
        <v>2569693</v>
      </c>
      <c r="V64" s="142"/>
      <c r="W64" s="142"/>
      <c r="X64" s="142"/>
      <c r="Y64" s="142"/>
      <c r="Z64" s="114"/>
    </row>
    <row r="65" spans="1:26" ht="18" customHeight="1">
      <c r="A65" s="278"/>
      <c r="K65" s="171" t="s">
        <v>14</v>
      </c>
      <c r="L65" s="171"/>
      <c r="N65" s="143" t="s">
        <v>32</v>
      </c>
      <c r="O65" s="173">
        <v>4</v>
      </c>
      <c r="P65" s="234">
        <f ca="1">OFFSET($A$1,MATCH(Z63,$A:$A,0)-1,O65)</f>
        <v>10.4</v>
      </c>
      <c r="Q65" s="144" t="s">
        <v>29</v>
      </c>
      <c r="R65" s="118">
        <f t="shared" ca="1" si="15"/>
        <v>373353</v>
      </c>
      <c r="S65" s="118">
        <f t="shared" ca="1" si="15"/>
        <v>3882871</v>
      </c>
      <c r="T65" s="118">
        <f ca="1">특급</f>
        <v>373353</v>
      </c>
      <c r="U65" s="118">
        <f t="shared" ca="1" si="16"/>
        <v>3882871</v>
      </c>
      <c r="V65" s="118"/>
      <c r="W65" s="118"/>
      <c r="X65" s="118"/>
      <c r="Y65" s="118"/>
      <c r="Z65" s="115"/>
    </row>
    <row r="66" spans="1:26" ht="18" customHeight="1">
      <c r="A66" s="278"/>
      <c r="K66" s="171" t="s">
        <v>14</v>
      </c>
      <c r="L66" s="171"/>
      <c r="N66" s="145" t="s">
        <v>39</v>
      </c>
      <c r="O66" s="173">
        <v>5</v>
      </c>
      <c r="P66" s="234">
        <f ca="1">OFFSET($A$1,MATCH(Z63,$A:$A,0)-1,O66)</f>
        <v>12.5</v>
      </c>
      <c r="Q66" s="144" t="s">
        <v>29</v>
      </c>
      <c r="R66" s="118">
        <f t="shared" ca="1" si="15"/>
        <v>310884</v>
      </c>
      <c r="S66" s="118">
        <f t="shared" ca="1" si="15"/>
        <v>3886050</v>
      </c>
      <c r="T66" s="118">
        <f ca="1">고급</f>
        <v>310884</v>
      </c>
      <c r="U66" s="118">
        <f t="shared" ca="1" si="16"/>
        <v>3886050</v>
      </c>
      <c r="V66" s="118"/>
      <c r="W66" s="118"/>
      <c r="X66" s="118"/>
      <c r="Y66" s="118"/>
      <c r="Z66" s="115"/>
    </row>
    <row r="67" spans="1:26" ht="18" customHeight="1">
      <c r="K67" s="171" t="s">
        <v>14</v>
      </c>
      <c r="L67" s="171"/>
      <c r="N67" s="145" t="s">
        <v>40</v>
      </c>
      <c r="O67" s="173">
        <v>6</v>
      </c>
      <c r="P67" s="234">
        <f ca="1">OFFSET($A$1,MATCH(Z63,$A:$A,0)-1,O67)</f>
        <v>12.7</v>
      </c>
      <c r="Q67" s="144" t="s">
        <v>29</v>
      </c>
      <c r="R67" s="118">
        <f t="shared" ca="1" si="15"/>
        <v>295138</v>
      </c>
      <c r="S67" s="118">
        <f t="shared" ca="1" si="15"/>
        <v>3748252</v>
      </c>
      <c r="T67" s="118">
        <f ca="1">중급</f>
        <v>295138</v>
      </c>
      <c r="U67" s="118">
        <f t="shared" ca="1" si="16"/>
        <v>3748252</v>
      </c>
      <c r="V67" s="118"/>
      <c r="W67" s="118"/>
      <c r="X67" s="118"/>
      <c r="Y67" s="118"/>
      <c r="Z67" s="115"/>
    </row>
    <row r="68" spans="1:26" ht="18" customHeight="1">
      <c r="K68" s="171" t="s">
        <v>14</v>
      </c>
      <c r="L68" s="171"/>
      <c r="N68" s="145" t="s">
        <v>41</v>
      </c>
      <c r="O68" s="173">
        <v>7</v>
      </c>
      <c r="P68" s="234">
        <f ca="1">OFFSET($A$1,MATCH(Z63,$A:$A,0)-1,O68)</f>
        <v>12.2</v>
      </c>
      <c r="Q68" s="144" t="s">
        <v>29</v>
      </c>
      <c r="R68" s="118">
        <f t="shared" ca="1" si="15"/>
        <v>235459</v>
      </c>
      <c r="S68" s="118">
        <f t="shared" ca="1" si="15"/>
        <v>2872599</v>
      </c>
      <c r="T68" s="118">
        <f ca="1">초급</f>
        <v>235459</v>
      </c>
      <c r="U68" s="118">
        <f t="shared" ca="1" si="16"/>
        <v>2872599</v>
      </c>
      <c r="V68" s="118"/>
      <c r="W68" s="118"/>
      <c r="X68" s="118"/>
      <c r="Y68" s="118"/>
      <c r="Z68" s="115"/>
    </row>
    <row r="69" spans="1:26" ht="18" customHeight="1">
      <c r="K69" s="171" t="s">
        <v>14</v>
      </c>
      <c r="L69" s="171"/>
      <c r="N69" s="319" t="s">
        <v>42</v>
      </c>
      <c r="O69" s="174">
        <v>8</v>
      </c>
      <c r="P69" s="235">
        <f ca="1">OFFSET($A$1,MATCH(Z63,$A:$A,0)-1,O69)</f>
        <v>9.6999999999999993</v>
      </c>
      <c r="Q69" s="322" t="s">
        <v>29</v>
      </c>
      <c r="R69" s="323">
        <f t="shared" ca="1" si="15"/>
        <v>250087</v>
      </c>
      <c r="S69" s="323">
        <f t="shared" ca="1" si="15"/>
        <v>2425843</v>
      </c>
      <c r="T69" s="323">
        <f ca="1">보조원</f>
        <v>250087</v>
      </c>
      <c r="U69" s="323">
        <f t="shared" ca="1" si="16"/>
        <v>2425843</v>
      </c>
      <c r="V69" s="323"/>
      <c r="W69" s="323"/>
      <c r="X69" s="323"/>
      <c r="Y69" s="323"/>
      <c r="Z69" s="324"/>
    </row>
    <row r="70" spans="1:26" ht="18" customHeight="1">
      <c r="K70" s="171" t="s">
        <v>14</v>
      </c>
      <c r="L70" s="171"/>
      <c r="N70" s="139" t="s">
        <v>17</v>
      </c>
      <c r="O70" s="68"/>
      <c r="P70" s="69"/>
      <c r="Q70" s="70"/>
      <c r="R70" s="71"/>
      <c r="S70" s="71">
        <f ca="1">SUBTOTAL(9,S64:S69)</f>
        <v>19385308</v>
      </c>
      <c r="T70" s="71"/>
      <c r="U70" s="71">
        <f ca="1">SUBTOTAL(9,U64:U69)</f>
        <v>19385308</v>
      </c>
      <c r="V70" s="71"/>
      <c r="W70" s="71"/>
      <c r="X70" s="71"/>
      <c r="Y70" s="71"/>
      <c r="Z70" s="68"/>
    </row>
    <row r="71" spans="1:26" ht="18" customHeight="1">
      <c r="K71" s="171" t="s">
        <v>14</v>
      </c>
      <c r="L71" s="171"/>
      <c r="N71" s="318" t="str">
        <f ca="1">"제 " &amp; Z71 &amp; " 호표  "&amp; OFFSET($A$1,MATCH(Z71,$A:$A,0)-1,1)</f>
        <v>제 4 호표  2.2. 타당성검토 및 경제성 검토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4</v>
      </c>
    </row>
    <row r="72" spans="1:26" ht="18" customHeight="1">
      <c r="K72" s="171" t="s">
        <v>14</v>
      </c>
      <c r="L72" s="171"/>
      <c r="N72" s="140" t="s">
        <v>43</v>
      </c>
      <c r="O72" s="172">
        <v>3</v>
      </c>
      <c r="P72" s="219">
        <f ca="1">OFFSET($A$1,MATCH(Z71,$A:$A,0)-1,O72)</f>
        <v>3.2</v>
      </c>
      <c r="Q72" s="141" t="s">
        <v>29</v>
      </c>
      <c r="R72" s="142">
        <f t="shared" ref="R72:S77" ca="1" si="17">T72</f>
        <v>467217</v>
      </c>
      <c r="S72" s="142">
        <f t="shared" ca="1" si="17"/>
        <v>1495094</v>
      </c>
      <c r="T72" s="142">
        <f ca="1">기술사</f>
        <v>467217</v>
      </c>
      <c r="U72" s="142">
        <f t="shared" ref="U72:U77" ca="1" si="18">ROUNDDOWN(P72*R72,0)</f>
        <v>1495094</v>
      </c>
      <c r="V72" s="142"/>
      <c r="W72" s="142"/>
      <c r="X72" s="142"/>
      <c r="Y72" s="142"/>
      <c r="Z72" s="114"/>
    </row>
    <row r="73" spans="1:26" ht="18" customHeight="1">
      <c r="K73" s="171" t="s">
        <v>14</v>
      </c>
      <c r="L73" s="171"/>
      <c r="N73" s="143" t="s">
        <v>32</v>
      </c>
      <c r="O73" s="173">
        <v>4</v>
      </c>
      <c r="P73" s="234">
        <f ca="1">OFFSET($A$1,MATCH(Z71,$A:$A,0)-1,O73)</f>
        <v>5.7</v>
      </c>
      <c r="Q73" s="144" t="s">
        <v>29</v>
      </c>
      <c r="R73" s="118">
        <f t="shared" ca="1" si="17"/>
        <v>373353</v>
      </c>
      <c r="S73" s="118">
        <f t="shared" ca="1" si="17"/>
        <v>2128112</v>
      </c>
      <c r="T73" s="118">
        <f ca="1">특급</f>
        <v>373353</v>
      </c>
      <c r="U73" s="118">
        <f t="shared" ca="1" si="18"/>
        <v>2128112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N74" s="145" t="s">
        <v>39</v>
      </c>
      <c r="O74" s="173">
        <v>5</v>
      </c>
      <c r="P74" s="234">
        <f ca="1">OFFSET($A$1,MATCH(Z71,$A:$A,0)-1,O74)</f>
        <v>10.6</v>
      </c>
      <c r="Q74" s="144" t="s">
        <v>29</v>
      </c>
      <c r="R74" s="118">
        <f t="shared" ca="1" si="17"/>
        <v>310884</v>
      </c>
      <c r="S74" s="118">
        <f t="shared" ca="1" si="17"/>
        <v>3295370</v>
      </c>
      <c r="T74" s="118">
        <f ca="1">고급</f>
        <v>310884</v>
      </c>
      <c r="U74" s="118">
        <f t="shared" ca="1" si="18"/>
        <v>3295370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N75" s="145" t="s">
        <v>40</v>
      </c>
      <c r="O75" s="173">
        <v>6</v>
      </c>
      <c r="P75" s="234">
        <f ca="1">OFFSET($A$1,MATCH(Z71,$A:$A,0)-1,O75)</f>
        <v>11.2</v>
      </c>
      <c r="Q75" s="144" t="s">
        <v>29</v>
      </c>
      <c r="R75" s="118">
        <f t="shared" ca="1" si="17"/>
        <v>295138</v>
      </c>
      <c r="S75" s="118">
        <f t="shared" ca="1" si="17"/>
        <v>3305545</v>
      </c>
      <c r="T75" s="118">
        <f ca="1">중급</f>
        <v>295138</v>
      </c>
      <c r="U75" s="118">
        <f t="shared" ca="1" si="18"/>
        <v>3305545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N76" s="145" t="s">
        <v>41</v>
      </c>
      <c r="O76" s="173">
        <v>7</v>
      </c>
      <c r="P76" s="234">
        <f ca="1">OFFSET($A$1,MATCH(Z71,$A:$A,0)-1,O76)</f>
        <v>8.1999999999999993</v>
      </c>
      <c r="Q76" s="144" t="s">
        <v>29</v>
      </c>
      <c r="R76" s="118">
        <f t="shared" ca="1" si="17"/>
        <v>235459</v>
      </c>
      <c r="S76" s="118">
        <f t="shared" ca="1" si="17"/>
        <v>1930763</v>
      </c>
      <c r="T76" s="118">
        <f ca="1">초급</f>
        <v>235459</v>
      </c>
      <c r="U76" s="118">
        <f t="shared" ca="1" si="18"/>
        <v>1930763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N77" s="319" t="s">
        <v>42</v>
      </c>
      <c r="O77" s="174">
        <v>8</v>
      </c>
      <c r="P77" s="235">
        <f ca="1">OFFSET($A$1,MATCH(Z71,$A:$A,0)-1,O77)</f>
        <v>2.1</v>
      </c>
      <c r="Q77" s="322" t="s">
        <v>29</v>
      </c>
      <c r="R77" s="323">
        <f t="shared" ca="1" si="17"/>
        <v>250087</v>
      </c>
      <c r="S77" s="323">
        <f t="shared" ca="1" si="17"/>
        <v>525182</v>
      </c>
      <c r="T77" s="323">
        <f ca="1">보조원</f>
        <v>250087</v>
      </c>
      <c r="U77" s="323">
        <f t="shared" ca="1" si="18"/>
        <v>525182</v>
      </c>
      <c r="V77" s="323"/>
      <c r="W77" s="323"/>
      <c r="X77" s="323"/>
      <c r="Y77" s="323"/>
      <c r="Z77" s="324"/>
    </row>
    <row r="78" spans="1:26" ht="18" customHeight="1">
      <c r="K78" s="171" t="s">
        <v>14</v>
      </c>
      <c r="L78" s="171"/>
      <c r="N78" s="139" t="s">
        <v>17</v>
      </c>
      <c r="O78" s="68"/>
      <c r="P78" s="69"/>
      <c r="Q78" s="70"/>
      <c r="R78" s="71"/>
      <c r="S78" s="71">
        <f ca="1">SUBTOTAL(9,S72:S77)</f>
        <v>12680066</v>
      </c>
      <c r="T78" s="71"/>
      <c r="U78" s="71">
        <f ca="1">SUBTOTAL(9,U72:U77)</f>
        <v>12680066</v>
      </c>
      <c r="V78" s="71"/>
      <c r="W78" s="71"/>
      <c r="X78" s="71"/>
      <c r="Y78" s="71"/>
      <c r="Z78" s="68"/>
    </row>
    <row r="79" spans="1:26" ht="18" customHeight="1">
      <c r="K79" s="171" t="s">
        <v>14</v>
      </c>
      <c r="L79" s="171"/>
      <c r="N79" s="318" t="str">
        <f ca="1">"제 " &amp; Z79 &amp; " 호표  "&amp; OFFSET($A$1,MATCH(Z79,$A:$A,0)-1,1)</f>
        <v>제 5 호표  3.1. 성과품 작성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5</v>
      </c>
    </row>
    <row r="80" spans="1:26" ht="18" customHeight="1">
      <c r="K80" s="171" t="s">
        <v>14</v>
      </c>
      <c r="L80" s="171"/>
      <c r="N80" s="140" t="s">
        <v>43</v>
      </c>
      <c r="O80" s="172">
        <v>3</v>
      </c>
      <c r="P80" s="219">
        <f ca="1">OFFSET($A$1,MATCH(Z79,$A:$A,0)-1,O80)</f>
        <v>0.5</v>
      </c>
      <c r="Q80" s="141" t="s">
        <v>29</v>
      </c>
      <c r="R80" s="142">
        <f t="shared" ref="R80:S85" ca="1" si="19">T80</f>
        <v>467217</v>
      </c>
      <c r="S80" s="142">
        <f t="shared" ca="1" si="19"/>
        <v>233608</v>
      </c>
      <c r="T80" s="142">
        <f ca="1">기술사</f>
        <v>467217</v>
      </c>
      <c r="U80" s="142">
        <f t="shared" ref="U80:U85" ca="1" si="20">ROUNDDOWN(P80*R80,0)</f>
        <v>233608</v>
      </c>
      <c r="V80" s="142"/>
      <c r="W80" s="142"/>
      <c r="X80" s="142"/>
      <c r="Y80" s="142"/>
      <c r="Z80" s="114"/>
    </row>
    <row r="81" spans="11:26" ht="18" customHeight="1">
      <c r="K81" s="171" t="s">
        <v>14</v>
      </c>
      <c r="L81" s="171"/>
      <c r="N81" s="143" t="s">
        <v>32</v>
      </c>
      <c r="O81" s="173">
        <v>4</v>
      </c>
      <c r="P81" s="234">
        <f ca="1">OFFSET($A$1,MATCH(Z79,$A:$A,0)-1,O81)</f>
        <v>1</v>
      </c>
      <c r="Q81" s="144" t="s">
        <v>29</v>
      </c>
      <c r="R81" s="118">
        <f t="shared" ca="1" si="19"/>
        <v>373353</v>
      </c>
      <c r="S81" s="118">
        <f t="shared" ca="1" si="19"/>
        <v>373353</v>
      </c>
      <c r="T81" s="118">
        <f ca="1">특급</f>
        <v>373353</v>
      </c>
      <c r="U81" s="118">
        <f t="shared" ca="1" si="20"/>
        <v>373353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39</v>
      </c>
      <c r="O82" s="173">
        <v>5</v>
      </c>
      <c r="P82" s="234">
        <f ca="1">OFFSET($A$1,MATCH(Z79,$A:$A,0)-1,O82)</f>
        <v>2.4</v>
      </c>
      <c r="Q82" s="144" t="s">
        <v>29</v>
      </c>
      <c r="R82" s="118">
        <f t="shared" ca="1" si="19"/>
        <v>310884</v>
      </c>
      <c r="S82" s="118">
        <f t="shared" ca="1" si="19"/>
        <v>746121</v>
      </c>
      <c r="T82" s="118">
        <f ca="1">고급</f>
        <v>310884</v>
      </c>
      <c r="U82" s="118">
        <f t="shared" ca="1" si="20"/>
        <v>746121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40</v>
      </c>
      <c r="O83" s="173">
        <v>6</v>
      </c>
      <c r="P83" s="234">
        <f ca="1">OFFSET($A$1,MATCH(Z79,$A:$A,0)-1,O83)</f>
        <v>9.4</v>
      </c>
      <c r="Q83" s="144" t="s">
        <v>29</v>
      </c>
      <c r="R83" s="118">
        <f t="shared" ca="1" si="19"/>
        <v>295138</v>
      </c>
      <c r="S83" s="118">
        <f t="shared" ca="1" si="19"/>
        <v>2774297</v>
      </c>
      <c r="T83" s="118">
        <f ca="1">중급</f>
        <v>295138</v>
      </c>
      <c r="U83" s="118">
        <f t="shared" ca="1" si="20"/>
        <v>2774297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145" t="s">
        <v>41</v>
      </c>
      <c r="O84" s="173">
        <v>7</v>
      </c>
      <c r="P84" s="234">
        <f ca="1">OFFSET($A$1,MATCH(Z79,$A:$A,0)-1,O84)</f>
        <v>11.1</v>
      </c>
      <c r="Q84" s="144" t="s">
        <v>29</v>
      </c>
      <c r="R84" s="118">
        <f t="shared" ca="1" si="19"/>
        <v>235459</v>
      </c>
      <c r="S84" s="118">
        <f t="shared" ca="1" si="19"/>
        <v>2613594</v>
      </c>
      <c r="T84" s="118">
        <f ca="1">초급</f>
        <v>235459</v>
      </c>
      <c r="U84" s="118">
        <f t="shared" ca="1" si="20"/>
        <v>2613594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N85" s="319" t="s">
        <v>42</v>
      </c>
      <c r="O85" s="174">
        <v>8</v>
      </c>
      <c r="P85" s="235">
        <f ca="1">OFFSET($A$1,MATCH(Z79,$A:$A,0)-1,O85)</f>
        <v>14.5</v>
      </c>
      <c r="Q85" s="322" t="s">
        <v>29</v>
      </c>
      <c r="R85" s="323">
        <f t="shared" ca="1" si="19"/>
        <v>250087</v>
      </c>
      <c r="S85" s="323">
        <f t="shared" ca="1" si="19"/>
        <v>3626261</v>
      </c>
      <c r="T85" s="323">
        <f ca="1">보조원</f>
        <v>250087</v>
      </c>
      <c r="U85" s="323">
        <f t="shared" ca="1" si="20"/>
        <v>3626261</v>
      </c>
      <c r="V85" s="323"/>
      <c r="W85" s="323"/>
      <c r="X85" s="323"/>
      <c r="Y85" s="323"/>
      <c r="Z85" s="324"/>
    </row>
    <row r="86" spans="11:26" ht="18" customHeight="1">
      <c r="K86" s="171" t="s">
        <v>14</v>
      </c>
      <c r="L86" s="171"/>
      <c r="N86" s="139" t="s">
        <v>17</v>
      </c>
      <c r="O86" s="68"/>
      <c r="P86" s="69"/>
      <c r="Q86" s="70"/>
      <c r="R86" s="71"/>
      <c r="S86" s="71">
        <f ca="1">SUBTOTAL(9,S80:S85)</f>
        <v>10367234</v>
      </c>
      <c r="T86" s="71"/>
      <c r="U86" s="71">
        <f ca="1">SUBTOTAL(9,U80:U85)</f>
        <v>10367234</v>
      </c>
      <c r="V86" s="71"/>
      <c r="W86" s="71"/>
      <c r="X86" s="71"/>
      <c r="Y86" s="71"/>
      <c r="Z86" s="68"/>
    </row>
    <row r="87" spans="11:26" ht="18" customHeight="1">
      <c r="K87" s="171" t="s">
        <v>14</v>
      </c>
      <c r="L87" s="171"/>
      <c r="N87" s="318" t="str">
        <f ca="1">"제 " &amp; Z87 &amp; " 호표  "&amp; OFFSET($A$1,MATCH(Z87,$A:$A,0)-1,1)</f>
        <v>제 6 호표  4.1. 공청회/주민설명회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6</v>
      </c>
    </row>
    <row r="88" spans="11:26" ht="18" customHeight="1">
      <c r="K88" s="171" t="s">
        <v>14</v>
      </c>
      <c r="L88" s="171"/>
      <c r="N88" s="140" t="s">
        <v>43</v>
      </c>
      <c r="O88" s="172">
        <v>3</v>
      </c>
      <c r="P88" s="219">
        <f ca="1">OFFSET($A$1,MATCH(Z87,$A:$A,0)-1,O88)</f>
        <v>2</v>
      </c>
      <c r="Q88" s="141" t="s">
        <v>29</v>
      </c>
      <c r="R88" s="142">
        <f t="shared" ref="R88:S93" ca="1" si="21">T88</f>
        <v>467217</v>
      </c>
      <c r="S88" s="142">
        <f t="shared" ca="1" si="21"/>
        <v>934434</v>
      </c>
      <c r="T88" s="142">
        <f ca="1">기술사</f>
        <v>467217</v>
      </c>
      <c r="U88" s="142">
        <f t="shared" ref="U88:U93" ca="1" si="22">ROUNDDOWN(P88*R88,0)</f>
        <v>934434</v>
      </c>
      <c r="V88" s="142"/>
      <c r="W88" s="142"/>
      <c r="X88" s="142"/>
      <c r="Y88" s="142"/>
      <c r="Z88" s="114"/>
    </row>
    <row r="89" spans="11:26" ht="18" customHeight="1">
      <c r="K89" s="171" t="s">
        <v>14</v>
      </c>
      <c r="L89" s="171"/>
      <c r="N89" s="143" t="s">
        <v>32</v>
      </c>
      <c r="O89" s="173">
        <v>4</v>
      </c>
      <c r="P89" s="234">
        <f ca="1">OFFSET($A$1,MATCH(Z87,$A:$A,0)-1,O89)</f>
        <v>2</v>
      </c>
      <c r="Q89" s="144" t="s">
        <v>29</v>
      </c>
      <c r="R89" s="118">
        <f t="shared" ca="1" si="21"/>
        <v>373353</v>
      </c>
      <c r="S89" s="118">
        <f t="shared" ca="1" si="21"/>
        <v>746706</v>
      </c>
      <c r="T89" s="118">
        <f ca="1">특급</f>
        <v>373353</v>
      </c>
      <c r="U89" s="118">
        <f t="shared" ca="1" si="22"/>
        <v>746706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39</v>
      </c>
      <c r="O90" s="173">
        <v>5</v>
      </c>
      <c r="P90" s="234">
        <f ca="1">OFFSET($A$1,MATCH(Z87,$A:$A,0)-1,O90)</f>
        <v>2</v>
      </c>
      <c r="Q90" s="144" t="s">
        <v>29</v>
      </c>
      <c r="R90" s="118">
        <f t="shared" ca="1" si="21"/>
        <v>310884</v>
      </c>
      <c r="S90" s="118">
        <f t="shared" ca="1" si="21"/>
        <v>621768</v>
      </c>
      <c r="T90" s="118">
        <f ca="1">고급</f>
        <v>310884</v>
      </c>
      <c r="U90" s="118">
        <f t="shared" ca="1" si="22"/>
        <v>621768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40</v>
      </c>
      <c r="O91" s="173">
        <v>6</v>
      </c>
      <c r="P91" s="234">
        <f ca="1">OFFSET($A$1,MATCH(Z87,$A:$A,0)-1,O91)</f>
        <v>4</v>
      </c>
      <c r="Q91" s="144" t="s">
        <v>29</v>
      </c>
      <c r="R91" s="118">
        <f t="shared" ca="1" si="21"/>
        <v>295138</v>
      </c>
      <c r="S91" s="118">
        <f t="shared" ca="1" si="21"/>
        <v>1180552</v>
      </c>
      <c r="T91" s="118">
        <f ca="1">중급</f>
        <v>295138</v>
      </c>
      <c r="U91" s="118">
        <f t="shared" ca="1" si="22"/>
        <v>1180552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145" t="s">
        <v>41</v>
      </c>
      <c r="O92" s="173">
        <v>7</v>
      </c>
      <c r="P92" s="234">
        <f ca="1">OFFSET($A$1,MATCH(Z87,$A:$A,0)-1,O92)</f>
        <v>4</v>
      </c>
      <c r="Q92" s="144" t="s">
        <v>29</v>
      </c>
      <c r="R92" s="118">
        <f t="shared" ca="1" si="21"/>
        <v>235459</v>
      </c>
      <c r="S92" s="118">
        <f t="shared" ca="1" si="21"/>
        <v>941836</v>
      </c>
      <c r="T92" s="118">
        <f ca="1">초급</f>
        <v>235459</v>
      </c>
      <c r="U92" s="118">
        <f t="shared" ca="1" si="22"/>
        <v>941836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N93" s="319" t="s">
        <v>42</v>
      </c>
      <c r="O93" s="174">
        <v>8</v>
      </c>
      <c r="P93" s="235">
        <f ca="1">OFFSET($A$1,MATCH(Z87,$A:$A,0)-1,O93)</f>
        <v>4</v>
      </c>
      <c r="Q93" s="322" t="s">
        <v>29</v>
      </c>
      <c r="R93" s="323">
        <f t="shared" ca="1" si="21"/>
        <v>250087</v>
      </c>
      <c r="S93" s="323">
        <f t="shared" ca="1" si="21"/>
        <v>1000348</v>
      </c>
      <c r="T93" s="323">
        <f ca="1">보조원</f>
        <v>250087</v>
      </c>
      <c r="U93" s="323">
        <f t="shared" ca="1" si="22"/>
        <v>1000348</v>
      </c>
      <c r="V93" s="323"/>
      <c r="W93" s="323"/>
      <c r="X93" s="323"/>
      <c r="Y93" s="323"/>
      <c r="Z93" s="324"/>
    </row>
    <row r="94" spans="11:26" ht="18" customHeight="1">
      <c r="K94" s="171" t="s">
        <v>14</v>
      </c>
      <c r="L94" s="171"/>
      <c r="N94" s="139" t="s">
        <v>17</v>
      </c>
      <c r="O94" s="68"/>
      <c r="P94" s="69"/>
      <c r="Q94" s="70"/>
      <c r="R94" s="71"/>
      <c r="S94" s="71">
        <f ca="1">SUBTOTAL(9,S88:S93)</f>
        <v>5425644</v>
      </c>
      <c r="T94" s="71"/>
      <c r="U94" s="71">
        <f ca="1">SUBTOTAL(9,U88:U93)</f>
        <v>5425644</v>
      </c>
      <c r="V94" s="71"/>
      <c r="W94" s="71"/>
      <c r="X94" s="71"/>
      <c r="Y94" s="71"/>
      <c r="Z94" s="68"/>
    </row>
    <row r="95" spans="11:26" ht="18" customHeight="1">
      <c r="K95" s="171" t="s">
        <v>14</v>
      </c>
      <c r="L95" s="171"/>
      <c r="N95" s="318" t="str">
        <f ca="1">"제 " &amp; Z95 &amp; " 호표  "&amp; OFFSET($A$1,MATCH(Z95,$A:$A,0)-1,1)</f>
        <v>제 7 호표  4.2. 주민간담회/시민계획단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7</v>
      </c>
    </row>
    <row r="96" spans="11:26" ht="18" customHeight="1">
      <c r="K96" s="171" t="s">
        <v>14</v>
      </c>
      <c r="L96" s="171"/>
      <c r="N96" s="140" t="s">
        <v>43</v>
      </c>
      <c r="O96" s="172">
        <v>3</v>
      </c>
      <c r="P96" s="219">
        <f ca="1">OFFSET($A$1,MATCH(Z95,$A:$A,0)-1,O96)</f>
        <v>2</v>
      </c>
      <c r="Q96" s="141" t="s">
        <v>29</v>
      </c>
      <c r="R96" s="142">
        <f t="shared" ref="R96:S101" ca="1" si="23">T96</f>
        <v>467217</v>
      </c>
      <c r="S96" s="142">
        <f t="shared" ca="1" si="23"/>
        <v>934434</v>
      </c>
      <c r="T96" s="142">
        <f ca="1">기술사</f>
        <v>467217</v>
      </c>
      <c r="U96" s="142">
        <f t="shared" ref="U96:U101" ca="1" si="24">ROUNDDOWN(P96*R96,0)</f>
        <v>934434</v>
      </c>
      <c r="V96" s="142"/>
      <c r="W96" s="142"/>
      <c r="X96" s="142"/>
      <c r="Y96" s="142"/>
      <c r="Z96" s="114"/>
    </row>
    <row r="97" spans="11:26" ht="18" customHeight="1">
      <c r="K97" s="171" t="s">
        <v>14</v>
      </c>
      <c r="L97" s="171"/>
      <c r="N97" s="143" t="s">
        <v>32</v>
      </c>
      <c r="O97" s="173">
        <v>4</v>
      </c>
      <c r="P97" s="234">
        <f ca="1">OFFSET($A$1,MATCH(Z95,$A:$A,0)-1,O97)</f>
        <v>2</v>
      </c>
      <c r="Q97" s="144" t="s">
        <v>29</v>
      </c>
      <c r="R97" s="118">
        <f t="shared" ca="1" si="23"/>
        <v>373353</v>
      </c>
      <c r="S97" s="118">
        <f t="shared" ca="1" si="23"/>
        <v>746706</v>
      </c>
      <c r="T97" s="118">
        <f ca="1">특급</f>
        <v>373353</v>
      </c>
      <c r="U97" s="118">
        <f t="shared" ca="1" si="24"/>
        <v>746706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39</v>
      </c>
      <c r="O98" s="173">
        <v>5</v>
      </c>
      <c r="P98" s="234">
        <f ca="1">OFFSET($A$1,MATCH(Z95,$A:$A,0)-1,O98)</f>
        <v>2</v>
      </c>
      <c r="Q98" s="144" t="s">
        <v>29</v>
      </c>
      <c r="R98" s="118">
        <f t="shared" ca="1" si="23"/>
        <v>310884</v>
      </c>
      <c r="S98" s="118">
        <f t="shared" ca="1" si="23"/>
        <v>621768</v>
      </c>
      <c r="T98" s="118">
        <f ca="1">고급</f>
        <v>310884</v>
      </c>
      <c r="U98" s="118">
        <f t="shared" ca="1" si="24"/>
        <v>621768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40</v>
      </c>
      <c r="O99" s="173">
        <v>6</v>
      </c>
      <c r="P99" s="234">
        <f ca="1">OFFSET($A$1,MATCH(Z95,$A:$A,0)-1,O99)</f>
        <v>4</v>
      </c>
      <c r="Q99" s="144" t="s">
        <v>29</v>
      </c>
      <c r="R99" s="118">
        <f t="shared" ca="1" si="23"/>
        <v>295138</v>
      </c>
      <c r="S99" s="118">
        <f t="shared" ca="1" si="23"/>
        <v>1180552</v>
      </c>
      <c r="T99" s="118">
        <f ca="1">중급</f>
        <v>295138</v>
      </c>
      <c r="U99" s="118">
        <f t="shared" ca="1" si="24"/>
        <v>1180552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41</v>
      </c>
      <c r="O100" s="173">
        <v>7</v>
      </c>
      <c r="P100" s="234">
        <f ca="1">OFFSET($A$1,MATCH(Z95,$A:$A,0)-1,O100)</f>
        <v>4</v>
      </c>
      <c r="Q100" s="144" t="s">
        <v>29</v>
      </c>
      <c r="R100" s="118">
        <f t="shared" ca="1" si="23"/>
        <v>235459</v>
      </c>
      <c r="S100" s="118">
        <f t="shared" ca="1" si="23"/>
        <v>941836</v>
      </c>
      <c r="T100" s="118">
        <f ca="1">초급</f>
        <v>235459</v>
      </c>
      <c r="U100" s="118">
        <f t="shared" ca="1" si="24"/>
        <v>941836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319" t="s">
        <v>42</v>
      </c>
      <c r="O101" s="174">
        <v>8</v>
      </c>
      <c r="P101" s="235">
        <f ca="1">OFFSET($A$1,MATCH(Z95,$A:$A,0)-1,O101)</f>
        <v>4</v>
      </c>
      <c r="Q101" s="322" t="s">
        <v>29</v>
      </c>
      <c r="R101" s="323">
        <f t="shared" ca="1" si="23"/>
        <v>250087</v>
      </c>
      <c r="S101" s="323">
        <f t="shared" ca="1" si="23"/>
        <v>1000348</v>
      </c>
      <c r="T101" s="323">
        <f ca="1">보조원</f>
        <v>250087</v>
      </c>
      <c r="U101" s="323">
        <f t="shared" ca="1" si="24"/>
        <v>1000348</v>
      </c>
      <c r="V101" s="323"/>
      <c r="W101" s="323"/>
      <c r="X101" s="323"/>
      <c r="Y101" s="323"/>
      <c r="Z101" s="324"/>
    </row>
    <row r="102" spans="11:26" ht="18" customHeight="1">
      <c r="K102" s="171" t="s">
        <v>14</v>
      </c>
      <c r="L102" s="171"/>
      <c r="N102" s="139" t="s">
        <v>17</v>
      </c>
      <c r="O102" s="68"/>
      <c r="P102" s="69"/>
      <c r="Q102" s="70"/>
      <c r="R102" s="71"/>
      <c r="S102" s="71">
        <f ca="1">SUBTOTAL(9,S96:S101)</f>
        <v>5425644</v>
      </c>
      <c r="T102" s="71"/>
      <c r="U102" s="71">
        <f ca="1">SUBTOTAL(9,U96:U101)</f>
        <v>5425644</v>
      </c>
      <c r="V102" s="71"/>
      <c r="W102" s="71"/>
      <c r="X102" s="71"/>
      <c r="Y102" s="71"/>
      <c r="Z102" s="68"/>
    </row>
    <row r="103" spans="11:26" ht="18" customHeight="1">
      <c r="K103" s="171" t="s">
        <v>14</v>
      </c>
      <c r="L103" s="171"/>
      <c r="N103" s="318" t="str">
        <f ca="1">"제 " &amp; Z103 &amp; " 호표  "&amp; OFFSET($A$1,MATCH(Z103,$A:$A,0)-1,1)</f>
        <v>제 8 호표  4.3. 위원회심의 지원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8</v>
      </c>
    </row>
    <row r="104" spans="11:26" ht="18" customHeight="1">
      <c r="K104" s="171" t="s">
        <v>14</v>
      </c>
      <c r="L104" s="171"/>
      <c r="N104" s="140" t="s">
        <v>43</v>
      </c>
      <c r="O104" s="172">
        <v>3</v>
      </c>
      <c r="P104" s="219">
        <f ca="1">OFFSET($A$1,MATCH(Z103,$A:$A,0)-1,O104)</f>
        <v>2</v>
      </c>
      <c r="Q104" s="141" t="s">
        <v>29</v>
      </c>
      <c r="R104" s="142">
        <f t="shared" ref="R104:S109" ca="1" si="25">T104</f>
        <v>467217</v>
      </c>
      <c r="S104" s="142">
        <f t="shared" ca="1" si="25"/>
        <v>934434</v>
      </c>
      <c r="T104" s="142">
        <f ca="1">기술사</f>
        <v>467217</v>
      </c>
      <c r="U104" s="142">
        <f t="shared" ref="U104:U109" ca="1" si="26">ROUNDDOWN(P104*R104,0)</f>
        <v>934434</v>
      </c>
      <c r="V104" s="142"/>
      <c r="W104" s="142"/>
      <c r="X104" s="142"/>
      <c r="Y104" s="142"/>
      <c r="Z104" s="114"/>
    </row>
    <row r="105" spans="11:26" ht="18" customHeight="1">
      <c r="K105" s="171" t="s">
        <v>14</v>
      </c>
      <c r="L105" s="171"/>
      <c r="N105" s="143" t="s">
        <v>32</v>
      </c>
      <c r="O105" s="173">
        <v>4</v>
      </c>
      <c r="P105" s="234">
        <f ca="1">OFFSET($A$1,MATCH(Z103,$A:$A,0)-1,O105)</f>
        <v>2</v>
      </c>
      <c r="Q105" s="144" t="s">
        <v>29</v>
      </c>
      <c r="R105" s="118">
        <f t="shared" ca="1" si="25"/>
        <v>373353</v>
      </c>
      <c r="S105" s="118">
        <f t="shared" ca="1" si="25"/>
        <v>746706</v>
      </c>
      <c r="T105" s="118">
        <f ca="1">특급</f>
        <v>373353</v>
      </c>
      <c r="U105" s="118">
        <f t="shared" ca="1" si="26"/>
        <v>746706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39</v>
      </c>
      <c r="O106" s="173">
        <v>5</v>
      </c>
      <c r="P106" s="234">
        <f ca="1">OFFSET($A$1,MATCH(Z103,$A:$A,0)-1,O106)</f>
        <v>2</v>
      </c>
      <c r="Q106" s="144" t="s">
        <v>29</v>
      </c>
      <c r="R106" s="118">
        <f t="shared" ca="1" si="25"/>
        <v>310884</v>
      </c>
      <c r="S106" s="118">
        <f t="shared" ca="1" si="25"/>
        <v>621768</v>
      </c>
      <c r="T106" s="118">
        <f ca="1">고급</f>
        <v>310884</v>
      </c>
      <c r="U106" s="118">
        <f t="shared" ca="1" si="26"/>
        <v>621768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40</v>
      </c>
      <c r="O107" s="173">
        <v>6</v>
      </c>
      <c r="P107" s="234">
        <f ca="1">OFFSET($A$1,MATCH(Z103,$A:$A,0)-1,O107)</f>
        <v>4</v>
      </c>
      <c r="Q107" s="144" t="s">
        <v>29</v>
      </c>
      <c r="R107" s="118">
        <f t="shared" ca="1" si="25"/>
        <v>295138</v>
      </c>
      <c r="S107" s="118">
        <f t="shared" ca="1" si="25"/>
        <v>1180552</v>
      </c>
      <c r="T107" s="118">
        <f ca="1">중급</f>
        <v>295138</v>
      </c>
      <c r="U107" s="118">
        <f t="shared" ca="1" si="26"/>
        <v>1180552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41</v>
      </c>
      <c r="O108" s="173">
        <v>7</v>
      </c>
      <c r="P108" s="234">
        <f ca="1">OFFSET($A$1,MATCH(Z103,$A:$A,0)-1,O108)</f>
        <v>4</v>
      </c>
      <c r="Q108" s="144" t="s">
        <v>29</v>
      </c>
      <c r="R108" s="118">
        <f t="shared" ca="1" si="25"/>
        <v>235459</v>
      </c>
      <c r="S108" s="118">
        <f t="shared" ca="1" si="25"/>
        <v>941836</v>
      </c>
      <c r="T108" s="118">
        <f ca="1">초급</f>
        <v>235459</v>
      </c>
      <c r="U108" s="118">
        <f t="shared" ca="1" si="26"/>
        <v>941836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319" t="s">
        <v>42</v>
      </c>
      <c r="O109" s="174">
        <v>8</v>
      </c>
      <c r="P109" s="235">
        <f ca="1">OFFSET($A$1,MATCH(Z103,$A:$A,0)-1,O109)</f>
        <v>4</v>
      </c>
      <c r="Q109" s="322" t="s">
        <v>29</v>
      </c>
      <c r="R109" s="323">
        <f t="shared" ca="1" si="25"/>
        <v>250087</v>
      </c>
      <c r="S109" s="323">
        <f t="shared" ca="1" si="25"/>
        <v>1000348</v>
      </c>
      <c r="T109" s="323">
        <f ca="1">보조원</f>
        <v>250087</v>
      </c>
      <c r="U109" s="323">
        <f t="shared" ca="1" si="26"/>
        <v>1000348</v>
      </c>
      <c r="V109" s="323"/>
      <c r="W109" s="323"/>
      <c r="X109" s="323"/>
      <c r="Y109" s="323"/>
      <c r="Z109" s="324"/>
    </row>
    <row r="110" spans="11:26" ht="18" customHeight="1">
      <c r="K110" s="171" t="s">
        <v>14</v>
      </c>
      <c r="L110" s="171"/>
      <c r="N110" s="139" t="s">
        <v>17</v>
      </c>
      <c r="O110" s="68"/>
      <c r="P110" s="69"/>
      <c r="Q110" s="70"/>
      <c r="R110" s="71"/>
      <c r="S110" s="71">
        <f ca="1">SUBTOTAL(9,S104:S109)</f>
        <v>5425644</v>
      </c>
      <c r="T110" s="71"/>
      <c r="U110" s="71">
        <f ca="1">SUBTOTAL(9,U104:U109)</f>
        <v>5425644</v>
      </c>
      <c r="V110" s="71"/>
      <c r="W110" s="71"/>
      <c r="X110" s="71"/>
      <c r="Y110" s="71"/>
      <c r="Z110" s="68"/>
    </row>
    <row r="111" spans="11:26" ht="18" customHeight="1">
      <c r="K111" s="171" t="s">
        <v>14</v>
      </c>
      <c r="L111" s="171"/>
      <c r="N111" s="318" t="str">
        <f ca="1">"제 " &amp; Z111 &amp; " 호표  "&amp; OFFSET($A$1,MATCH(Z111,$A:$A,0)-1,1)</f>
        <v>제 9 호표  4.4. 관계기관 협의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9</v>
      </c>
    </row>
    <row r="112" spans="11:26" ht="18" customHeight="1">
      <c r="K112" s="171" t="s">
        <v>14</v>
      </c>
      <c r="L112" s="171"/>
      <c r="N112" s="140" t="s">
        <v>43</v>
      </c>
      <c r="O112" s="172">
        <v>3</v>
      </c>
      <c r="P112" s="219">
        <f ca="1">OFFSET($A$1,MATCH(Z111,$A:$A,0)-1,O112)</f>
        <v>2</v>
      </c>
      <c r="Q112" s="141" t="s">
        <v>29</v>
      </c>
      <c r="R112" s="142">
        <f t="shared" ref="R112:S117" ca="1" si="27">T112</f>
        <v>467217</v>
      </c>
      <c r="S112" s="142">
        <f t="shared" ca="1" si="27"/>
        <v>934434</v>
      </c>
      <c r="T112" s="142">
        <f ca="1">기술사</f>
        <v>467217</v>
      </c>
      <c r="U112" s="142">
        <f t="shared" ref="U112:U117" ca="1" si="28">ROUNDDOWN(P112*R112,0)</f>
        <v>934434</v>
      </c>
      <c r="V112" s="142"/>
      <c r="W112" s="142"/>
      <c r="X112" s="142"/>
      <c r="Y112" s="142"/>
      <c r="Z112" s="114"/>
    </row>
    <row r="113" spans="11:26" ht="18" customHeight="1">
      <c r="K113" s="171" t="s">
        <v>14</v>
      </c>
      <c r="L113" s="171"/>
      <c r="N113" s="143" t="s">
        <v>32</v>
      </c>
      <c r="O113" s="173">
        <v>4</v>
      </c>
      <c r="P113" s="234">
        <f ca="1">OFFSET($A$1,MATCH(Z111,$A:$A,0)-1,O113)</f>
        <v>2</v>
      </c>
      <c r="Q113" s="144" t="s">
        <v>29</v>
      </c>
      <c r="R113" s="118">
        <f t="shared" ca="1" si="27"/>
        <v>373353</v>
      </c>
      <c r="S113" s="118">
        <f t="shared" ca="1" si="27"/>
        <v>746706</v>
      </c>
      <c r="T113" s="118">
        <f ca="1">특급</f>
        <v>373353</v>
      </c>
      <c r="U113" s="118">
        <f t="shared" ca="1" si="28"/>
        <v>746706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39</v>
      </c>
      <c r="O114" s="173">
        <v>5</v>
      </c>
      <c r="P114" s="234">
        <f ca="1">OFFSET($A$1,MATCH(Z111,$A:$A,0)-1,O114)</f>
        <v>2</v>
      </c>
      <c r="Q114" s="144" t="s">
        <v>29</v>
      </c>
      <c r="R114" s="118">
        <f t="shared" ca="1" si="27"/>
        <v>310884</v>
      </c>
      <c r="S114" s="118">
        <f t="shared" ca="1" si="27"/>
        <v>621768</v>
      </c>
      <c r="T114" s="118">
        <f ca="1">고급</f>
        <v>310884</v>
      </c>
      <c r="U114" s="118">
        <f t="shared" ca="1" si="28"/>
        <v>621768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40</v>
      </c>
      <c r="O115" s="173">
        <v>6</v>
      </c>
      <c r="P115" s="234">
        <f ca="1">OFFSET($A$1,MATCH(Z111,$A:$A,0)-1,O115)</f>
        <v>4</v>
      </c>
      <c r="Q115" s="144" t="s">
        <v>29</v>
      </c>
      <c r="R115" s="118">
        <f t="shared" ca="1" si="27"/>
        <v>295138</v>
      </c>
      <c r="S115" s="118">
        <f t="shared" ca="1" si="27"/>
        <v>1180552</v>
      </c>
      <c r="T115" s="118">
        <f ca="1">중급</f>
        <v>295138</v>
      </c>
      <c r="U115" s="118">
        <f t="shared" ca="1" si="28"/>
        <v>1180552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41</v>
      </c>
      <c r="O116" s="173">
        <v>7</v>
      </c>
      <c r="P116" s="234">
        <f ca="1">OFFSET($A$1,MATCH(Z111,$A:$A,0)-1,O116)</f>
        <v>4</v>
      </c>
      <c r="Q116" s="144" t="s">
        <v>29</v>
      </c>
      <c r="R116" s="118">
        <f t="shared" ca="1" si="27"/>
        <v>235459</v>
      </c>
      <c r="S116" s="118">
        <f t="shared" ca="1" si="27"/>
        <v>941836</v>
      </c>
      <c r="T116" s="118">
        <f ca="1">초급</f>
        <v>235459</v>
      </c>
      <c r="U116" s="118">
        <f t="shared" ca="1" si="28"/>
        <v>941836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319" t="s">
        <v>42</v>
      </c>
      <c r="O117" s="174">
        <v>8</v>
      </c>
      <c r="P117" s="235">
        <f ca="1">OFFSET($A$1,MATCH(Z111,$A:$A,0)-1,O117)</f>
        <v>4</v>
      </c>
      <c r="Q117" s="322" t="s">
        <v>29</v>
      </c>
      <c r="R117" s="323">
        <f t="shared" ca="1" si="27"/>
        <v>250087</v>
      </c>
      <c r="S117" s="323">
        <f t="shared" ca="1" si="27"/>
        <v>1000348</v>
      </c>
      <c r="T117" s="323">
        <f ca="1">보조원</f>
        <v>250087</v>
      </c>
      <c r="U117" s="323">
        <f t="shared" ca="1" si="28"/>
        <v>1000348</v>
      </c>
      <c r="V117" s="323"/>
      <c r="W117" s="323"/>
      <c r="X117" s="323"/>
      <c r="Y117" s="323"/>
      <c r="Z117" s="324"/>
    </row>
    <row r="118" spans="11:26" ht="18" customHeight="1">
      <c r="K118" s="171" t="s">
        <v>14</v>
      </c>
      <c r="L118" s="171"/>
      <c r="M118" s="171"/>
      <c r="N118" s="139" t="s">
        <v>17</v>
      </c>
      <c r="O118" s="68"/>
      <c r="P118" s="69"/>
      <c r="Q118" s="70"/>
      <c r="R118" s="71"/>
      <c r="S118" s="71">
        <f ca="1">SUBTOTAL(9,S112:S117)</f>
        <v>5425644</v>
      </c>
      <c r="T118" s="71"/>
      <c r="U118" s="71">
        <f ca="1">SUBTOTAL(9,U112:U117)</f>
        <v>5425644</v>
      </c>
      <c r="V118" s="71"/>
      <c r="W118" s="71"/>
      <c r="X118" s="71"/>
      <c r="Y118" s="71"/>
      <c r="Z118" s="68"/>
    </row>
    <row r="119" spans="11:26" ht="18" customHeight="1">
      <c r="K119" s="171" t="s">
        <v>14</v>
      </c>
      <c r="L119" s="171"/>
      <c r="M119" s="171"/>
    </row>
    <row r="120" spans="11:26" ht="18" customHeight="1">
      <c r="K120" s="171" t="s">
        <v>14</v>
      </c>
      <c r="L120" s="171"/>
      <c r="M120" s="171"/>
    </row>
    <row r="121" spans="11:26" ht="18" customHeight="1">
      <c r="K121" s="171" t="s">
        <v>14</v>
      </c>
      <c r="L121" s="171"/>
      <c r="M121" s="171"/>
    </row>
    <row r="122" spans="11:26" ht="18" customHeight="1">
      <c r="K122" s="171" t="s">
        <v>14</v>
      </c>
      <c r="L122" s="171"/>
      <c r="M122" s="171"/>
    </row>
    <row r="123" spans="11:26" ht="18" customHeight="1">
      <c r="K123" s="171" t="s">
        <v>14</v>
      </c>
      <c r="L123" s="171"/>
      <c r="M123" s="171"/>
    </row>
    <row r="124" spans="11:26" ht="18" customHeight="1">
      <c r="K124" s="171" t="s">
        <v>14</v>
      </c>
      <c r="L124" s="171"/>
      <c r="M124" s="171"/>
    </row>
    <row r="125" spans="11:26" ht="18" customHeight="1">
      <c r="K125" s="171" t="s">
        <v>14</v>
      </c>
      <c r="L125" s="171"/>
      <c r="M125" s="171"/>
    </row>
    <row r="126" spans="11:26" ht="18" customHeight="1">
      <c r="K126" s="171" t="s">
        <v>14</v>
      </c>
      <c r="L126" s="171"/>
      <c r="M126" s="171"/>
    </row>
    <row r="127" spans="11:26" ht="18" customHeight="1">
      <c r="K127" s="171" t="s">
        <v>14</v>
      </c>
      <c r="L127" s="171"/>
      <c r="M127" s="171"/>
    </row>
    <row r="128" spans="11:26" ht="18" customHeight="1">
      <c r="K128" s="171" t="s">
        <v>14</v>
      </c>
      <c r="L128" s="171"/>
      <c r="M128" s="171"/>
    </row>
    <row r="129" spans="11:13" ht="18" customHeight="1">
      <c r="K129" s="171" t="s">
        <v>14</v>
      </c>
      <c r="L129" s="171"/>
      <c r="M129" s="171"/>
    </row>
    <row r="130" spans="11:13" ht="18" customHeight="1">
      <c r="K130" s="171" t="s">
        <v>14</v>
      </c>
      <c r="L130" s="171"/>
      <c r="M130" s="171"/>
    </row>
    <row r="131" spans="11:13" ht="18" customHeight="1">
      <c r="K131" s="171" t="s">
        <v>14</v>
      </c>
      <c r="L131" s="171"/>
      <c r="M131" s="171"/>
    </row>
    <row r="132" spans="11:13" ht="18" customHeight="1">
      <c r="K132" s="171" t="s">
        <v>14</v>
      </c>
      <c r="L132" s="171"/>
      <c r="M132" s="171"/>
    </row>
    <row r="133" spans="11:13" ht="18" customHeight="1">
      <c r="K133" s="171" t="s">
        <v>14</v>
      </c>
      <c r="L133" s="171"/>
      <c r="M133" s="171"/>
    </row>
    <row r="134" spans="11:13" ht="18" customHeight="1">
      <c r="K134" s="171" t="s">
        <v>14</v>
      </c>
      <c r="L134" s="171"/>
      <c r="M134" s="171"/>
    </row>
    <row r="135" spans="11:13" ht="18" customHeight="1">
      <c r="K135" s="171" t="s">
        <v>14</v>
      </c>
      <c r="L135" s="171"/>
      <c r="M135" s="171"/>
    </row>
    <row r="136" spans="11:13" ht="18" customHeight="1">
      <c r="K136" s="171" t="s">
        <v>14</v>
      </c>
      <c r="L136" s="171"/>
      <c r="M136" s="171"/>
    </row>
    <row r="137" spans="11:13" ht="18" customHeight="1">
      <c r="K137" s="171" t="s">
        <v>14</v>
      </c>
      <c r="L137" s="171"/>
      <c r="M137" s="171"/>
    </row>
    <row r="138" spans="11:13" ht="18" customHeight="1">
      <c r="K138" s="171" t="s">
        <v>14</v>
      </c>
      <c r="L138" s="171"/>
      <c r="M138" s="171"/>
    </row>
    <row r="139" spans="11:13" ht="18" customHeight="1">
      <c r="K139" s="171" t="s">
        <v>14</v>
      </c>
      <c r="L139" s="171"/>
      <c r="M139" s="171"/>
    </row>
    <row r="140" spans="11:13" ht="18" customHeight="1">
      <c r="K140" s="171" t="s">
        <v>14</v>
      </c>
      <c r="L140" s="171"/>
      <c r="M140" s="171"/>
    </row>
    <row r="141" spans="11:13" ht="18" customHeight="1">
      <c r="K141" s="171" t="s">
        <v>14</v>
      </c>
      <c r="L141" s="171"/>
      <c r="M141" s="171"/>
    </row>
    <row r="142" spans="11:13" ht="18" customHeight="1">
      <c r="K142" s="171" t="s">
        <v>14</v>
      </c>
      <c r="L142" s="171"/>
      <c r="M142" s="171"/>
    </row>
    <row r="143" spans="11:13" ht="18" customHeight="1">
      <c r="K143" s="171" t="s">
        <v>14</v>
      </c>
      <c r="L143" s="171"/>
      <c r="M143" s="171"/>
    </row>
    <row r="144" spans="11:13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</row>
    <row r="808" spans="11:13" ht="18" customHeight="1">
      <c r="K808" s="171" t="s">
        <v>14</v>
      </c>
      <c r="L808" s="171"/>
    </row>
    <row r="809" spans="11:13" ht="18" customHeight="1">
      <c r="K809" s="171" t="s">
        <v>14</v>
      </c>
      <c r="L809" s="171"/>
    </row>
    <row r="810" spans="11:13" ht="18" customHeight="1">
      <c r="K810" s="171" t="s">
        <v>14</v>
      </c>
      <c r="L810" s="171"/>
    </row>
    <row r="811" spans="11:13" ht="18" customHeight="1">
      <c r="K811" s="171" t="s">
        <v>14</v>
      </c>
      <c r="L811" s="171"/>
    </row>
    <row r="812" spans="11:13" ht="18" customHeight="1">
      <c r="K812" s="171" t="s">
        <v>14</v>
      </c>
      <c r="L812" s="171"/>
    </row>
    <row r="813" spans="11:13" ht="18" customHeight="1">
      <c r="K813" s="171" t="s">
        <v>14</v>
      </c>
      <c r="L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L819" s="171"/>
    </row>
    <row r="820" spans="11:12" ht="18" customHeight="1">
      <c r="L820" s="171"/>
    </row>
    <row r="821" spans="11:12" ht="18" customHeight="1">
      <c r="L821" s="171"/>
    </row>
  </sheetData>
  <mergeCells count="19">
    <mergeCell ref="B13:C14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Z45:Z46"/>
    <mergeCell ref="J13:J14"/>
    <mergeCell ref="L13:L14"/>
    <mergeCell ref="N45:N46"/>
    <mergeCell ref="O45:O46"/>
    <mergeCell ref="P45:P46"/>
    <mergeCell ref="Q45:Q46"/>
  </mergeCells>
  <phoneticPr fontId="14" type="noConversion"/>
  <conditionalFormatting sqref="V15:V28">
    <cfRule type="cellIs" dxfId="21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43" min="13" max="28" man="1"/>
    <brk id="6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81953" r:id="rId4" name="Option Button 1">
              <controlPr defaultSize="0" autoFill="0" autoLine="0" autoPict="0">
                <anchor moveWithCells="1" sizeWithCells="1">
                  <from>
                    <xdr:col>6</xdr:col>
                    <xdr:colOff>542925</xdr:colOff>
                    <xdr:row>0</xdr:row>
                    <xdr:rowOff>123825</xdr:rowOff>
                  </from>
                  <to>
                    <xdr:col>8</xdr:col>
                    <xdr:colOff>152400</xdr:colOff>
                    <xdr:row>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81954" r:id="rId5" name="Option Button 2">
              <controlPr defaultSize="0" autoFill="0" autoLine="0" autoPict="0">
                <anchor moveWithCells="1" sizeWithCells="1">
                  <from>
                    <xdr:col>8</xdr:col>
                    <xdr:colOff>333375</xdr:colOff>
                    <xdr:row>0</xdr:row>
                    <xdr:rowOff>123825</xdr:rowOff>
                  </from>
                  <to>
                    <xdr:col>9</xdr:col>
                    <xdr:colOff>619125</xdr:colOff>
                    <xdr:row>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 codeName="Sheet15">
    <tabColor theme="5" tint="0.39997558519241921"/>
    <pageSetUpPr fitToPage="1"/>
  </sheetPr>
  <dimension ref="A1:Z825"/>
  <sheetViews>
    <sheetView showGridLines="0" zoomScale="85" zoomScaleNormal="85" zoomScaleSheetLayoutView="75" workbookViewId="0">
      <selection activeCell="G3" sqref="G3:L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2577</v>
      </c>
    </row>
    <row r="2" spans="1:26" ht="19.5" thickBot="1">
      <c r="B2" s="66" t="s">
        <v>1</v>
      </c>
      <c r="G2" s="1">
        <v>1</v>
      </c>
    </row>
    <row r="3" spans="1:26" ht="19.5" customHeight="1">
      <c r="B3" s="773" t="s">
        <v>48</v>
      </c>
      <c r="C3" s="774"/>
      <c r="D3" s="775">
        <v>50</v>
      </c>
      <c r="E3" s="776"/>
      <c r="F3" s="316" t="s">
        <v>53</v>
      </c>
      <c r="G3" s="838" t="s">
        <v>1104</v>
      </c>
      <c r="H3" s="839"/>
      <c r="I3" s="656">
        <v>2</v>
      </c>
      <c r="J3" s="669" t="s">
        <v>794</v>
      </c>
    </row>
    <row r="4" spans="1:26" ht="21.75" customHeight="1">
      <c r="B4" s="777" t="s">
        <v>54</v>
      </c>
      <c r="C4" s="778"/>
      <c r="D4" s="811">
        <v>50</v>
      </c>
      <c r="E4" s="846"/>
      <c r="F4" s="359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24" customHeight="1" thickBot="1">
      <c r="B5" s="777" t="s">
        <v>2578</v>
      </c>
      <c r="C5" s="814"/>
      <c r="D5" s="815">
        <f>ROUND((IF(D4&lt;=10,10,D4)/D3)^0.5,3)</f>
        <v>1</v>
      </c>
      <c r="E5" s="816"/>
      <c r="F5" s="391">
        <v>2</v>
      </c>
      <c r="G5" s="817" t="s">
        <v>1102</v>
      </c>
      <c r="H5" s="818"/>
      <c r="I5" s="746">
        <f>ROUND(I4/I3,3)</f>
        <v>1</v>
      </c>
      <c r="J5" s="671"/>
    </row>
    <row r="6" spans="1:26" ht="24" customHeight="1" thickBot="1">
      <c r="B6" s="781" t="s">
        <v>2567</v>
      </c>
      <c r="C6" s="782"/>
      <c r="D6" s="783">
        <f>CHOOSE(G2,1,1.2)</f>
        <v>1</v>
      </c>
      <c r="E6" s="784"/>
      <c r="F6" s="457"/>
      <c r="G6" s="9" t="s">
        <v>1107</v>
      </c>
      <c r="J6" s="36"/>
    </row>
    <row r="7" spans="1:26" ht="18" customHeight="1">
      <c r="B7" s="9" t="s">
        <v>2579</v>
      </c>
      <c r="C7" s="9"/>
      <c r="D7" s="64"/>
      <c r="E7" s="64"/>
      <c r="G7" s="428"/>
      <c r="H7" s="428"/>
      <c r="I7" s="428"/>
      <c r="J7" s="429"/>
      <c r="R7" s="1"/>
      <c r="S7" s="1"/>
      <c r="T7" s="1"/>
    </row>
    <row r="8" spans="1:26" ht="18" customHeight="1">
      <c r="B8" s="9" t="s">
        <v>2569</v>
      </c>
      <c r="C8" s="9"/>
      <c r="D8" s="64"/>
      <c r="E8" s="64"/>
      <c r="R8" s="1"/>
      <c r="S8" s="1"/>
      <c r="T8" s="1"/>
    </row>
    <row r="9" spans="1:26" ht="18" customHeight="1">
      <c r="B9" s="9" t="s">
        <v>2570</v>
      </c>
      <c r="C9" s="9"/>
      <c r="D9" s="64"/>
      <c r="E9" s="64"/>
      <c r="R9" s="1"/>
      <c r="S9" s="1"/>
      <c r="T9" s="1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SUBTOTAL(9,W13:W37)</f>
        <v>304302631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SUBTOTAL(9,W14:W34)</f>
        <v>114011675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SUBTOTAL(9,W15:W30)</f>
        <v>106011675</v>
      </c>
      <c r="X14" s="256"/>
      <c r="Y14" s="220"/>
      <c r="Z14" s="220"/>
    </row>
    <row r="15" spans="1:26" ht="18" customHeight="1">
      <c r="A15" s="279"/>
      <c r="B15" s="225" t="s">
        <v>1089</v>
      </c>
      <c r="C15" s="72"/>
      <c r="D15" s="30">
        <f t="shared" ref="D15:I15" si="0">SUBTOTAL(9,D16:D16)</f>
        <v>0.7</v>
      </c>
      <c r="E15" s="31">
        <f t="shared" si="0"/>
        <v>1.8</v>
      </c>
      <c r="F15" s="31">
        <f t="shared" si="0"/>
        <v>5.2</v>
      </c>
      <c r="G15" s="31">
        <f t="shared" si="0"/>
        <v>16.600000000000001</v>
      </c>
      <c r="H15" s="31">
        <f t="shared" si="0"/>
        <v>21</v>
      </c>
      <c r="I15" s="32">
        <f t="shared" si="0"/>
        <v>27.4</v>
      </c>
      <c r="J15" s="654"/>
      <c r="L15" s="232"/>
      <c r="N15" s="35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SUBTOTAL(9,W16:W16)</f>
        <v>19311994</v>
      </c>
      <c r="X15" s="194"/>
      <c r="Y15" s="170" t="str">
        <f>IF(A31&gt;0, "제 " &amp;A31&amp; " 호표","")</f>
        <v/>
      </c>
      <c r="Z15" s="170"/>
    </row>
    <row r="16" spans="1:26" ht="18" customHeight="1">
      <c r="A16" s="279"/>
      <c r="B16" s="223" t="s">
        <v>2211</v>
      </c>
      <c r="C16" s="253"/>
      <c r="D16" s="20">
        <v>0.7</v>
      </c>
      <c r="E16" s="21">
        <v>1.8</v>
      </c>
      <c r="F16" s="21">
        <v>5.2</v>
      </c>
      <c r="G16" s="21">
        <v>16.600000000000001</v>
      </c>
      <c r="H16" s="21">
        <v>21</v>
      </c>
      <c r="I16" s="22">
        <v>27.4</v>
      </c>
      <c r="J16" s="653" t="s">
        <v>1091</v>
      </c>
      <c r="L16" s="232">
        <v>1</v>
      </c>
      <c r="N16" s="292" t="str">
        <f t="shared" ref="N16:N29" si="1">B16</f>
        <v>1.1. 현황조사</v>
      </c>
      <c r="O16" s="169"/>
      <c r="P16" s="169"/>
      <c r="Q16" s="169"/>
      <c r="R16" s="169"/>
      <c r="S16" s="169"/>
      <c r="T16" s="169"/>
      <c r="U16" s="226"/>
      <c r="V16" s="248"/>
      <c r="W16" s="153">
        <f t="array" aca="1" ref="W16" ca="1">SUM((ROUNDDOWN((D32:I32)*단가,0)))</f>
        <v>19311994</v>
      </c>
      <c r="X16" s="194"/>
      <c r="Y16" s="170" t="str">
        <f>IF(A32&gt;0, "제 " &amp;A32&amp; " 호표","")</f>
        <v>제 1 호표</v>
      </c>
      <c r="Z16" s="170"/>
    </row>
    <row r="17" spans="1:26" ht="18" customHeight="1">
      <c r="A17" s="279"/>
      <c r="B17" s="393" t="s">
        <v>52</v>
      </c>
      <c r="C17" s="23"/>
      <c r="D17" s="30">
        <f t="shared" ref="D17:I17" si="2">SUBTOTAL(9,D18:D20)</f>
        <v>12.2</v>
      </c>
      <c r="E17" s="31">
        <f t="shared" si="2"/>
        <v>22.5</v>
      </c>
      <c r="F17" s="31">
        <f t="shared" si="2"/>
        <v>37.200000000000003</v>
      </c>
      <c r="G17" s="31">
        <f t="shared" si="2"/>
        <v>43.5</v>
      </c>
      <c r="H17" s="31">
        <f t="shared" si="2"/>
        <v>39.700000000000003</v>
      </c>
      <c r="I17" s="32">
        <f t="shared" si="2"/>
        <v>28.5</v>
      </c>
      <c r="J17" s="389"/>
      <c r="L17" s="232"/>
      <c r="N17" s="354" t="str">
        <f t="shared" si="1"/>
        <v>2. 기본구상</v>
      </c>
      <c r="O17" s="169"/>
      <c r="P17" s="169"/>
      <c r="Q17" s="169"/>
      <c r="R17" s="169"/>
      <c r="S17" s="169"/>
      <c r="T17" s="169"/>
      <c r="U17" s="226"/>
      <c r="V17" s="248"/>
      <c r="W17" s="193">
        <f ca="1">SUBTOTAL(9,W18:W20)</f>
        <v>41143866</v>
      </c>
      <c r="X17" s="194"/>
      <c r="Y17" s="170" t="str">
        <f t="shared" ref="Y17:Y29" si="3">IF(A33&gt;0, "제 " &amp;A33&amp; " 호표","")</f>
        <v/>
      </c>
      <c r="Z17" s="170"/>
    </row>
    <row r="18" spans="1:26" ht="18" customHeight="1">
      <c r="A18" s="279"/>
      <c r="B18" s="223" t="s">
        <v>2580</v>
      </c>
      <c r="C18" s="253"/>
      <c r="D18" s="20">
        <v>2.9</v>
      </c>
      <c r="E18" s="21">
        <v>6.8</v>
      </c>
      <c r="F18" s="21">
        <v>10.8</v>
      </c>
      <c r="G18" s="21">
        <v>12.5</v>
      </c>
      <c r="H18" s="21">
        <v>10.1</v>
      </c>
      <c r="I18" s="22"/>
      <c r="J18" s="653"/>
      <c r="L18" s="232">
        <v>1</v>
      </c>
      <c r="N18" s="292" t="str">
        <f t="shared" si="1"/>
        <v>2.1. 개발규모 및 내용설정</v>
      </c>
      <c r="O18" s="169"/>
      <c r="P18" s="169"/>
      <c r="Q18" s="169"/>
      <c r="R18" s="169"/>
      <c r="S18" s="169"/>
      <c r="T18" s="169"/>
      <c r="U18" s="226"/>
      <c r="V18" s="248"/>
      <c r="W18" s="153">
        <f t="array" aca="1" ref="W18" ca="1">SUM((ROUNDDOWN((D34:I34)*단가,0)))</f>
        <v>13318636</v>
      </c>
      <c r="X18" s="194"/>
      <c r="Y18" s="170" t="str">
        <f t="shared" si="3"/>
        <v>제 2 호표</v>
      </c>
      <c r="Z18" s="170"/>
    </row>
    <row r="19" spans="1:26" ht="18" customHeight="1">
      <c r="A19" s="279"/>
      <c r="B19" s="223" t="s">
        <v>2581</v>
      </c>
      <c r="C19" s="253"/>
      <c r="D19" s="20">
        <v>6</v>
      </c>
      <c r="E19" s="21">
        <v>10.5</v>
      </c>
      <c r="F19" s="21">
        <v>16.899999999999999</v>
      </c>
      <c r="G19" s="21">
        <v>20.8</v>
      </c>
      <c r="H19" s="21">
        <v>20.3</v>
      </c>
      <c r="I19" s="22">
        <v>19.399999999999999</v>
      </c>
      <c r="J19" s="653" t="s">
        <v>1090</v>
      </c>
      <c r="L19" s="232">
        <v>1</v>
      </c>
      <c r="N19" s="292" t="str">
        <f>B19</f>
        <v>2.2. 기본구상안 작성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SUM((ROUNDDOWN((D36:I36)*단가,0)))</f>
        <v>13912615</v>
      </c>
      <c r="X19" s="194"/>
      <c r="Y19" s="170" t="str">
        <f t="shared" si="3"/>
        <v>제 3 호표</v>
      </c>
      <c r="Z19" s="170"/>
    </row>
    <row r="20" spans="1:26" ht="18" customHeight="1">
      <c r="A20" s="279"/>
      <c r="B20" s="223" t="s">
        <v>2582</v>
      </c>
      <c r="C20" s="253"/>
      <c r="D20" s="20">
        <v>3.3</v>
      </c>
      <c r="E20" s="21">
        <v>5.2</v>
      </c>
      <c r="F20" s="21">
        <v>9.5</v>
      </c>
      <c r="G20" s="21">
        <v>10.199999999999999</v>
      </c>
      <c r="H20" s="21">
        <v>9.3000000000000007</v>
      </c>
      <c r="I20" s="22">
        <v>9.1</v>
      </c>
      <c r="J20" s="653" t="s">
        <v>1602</v>
      </c>
      <c r="L20" s="232">
        <v>1</v>
      </c>
      <c r="N20" s="292" t="str">
        <f t="shared" si="1"/>
        <v>2.3. 타당성검토</v>
      </c>
      <c r="O20" s="169"/>
      <c r="P20" s="169"/>
      <c r="Q20" s="169"/>
      <c r="R20" s="169"/>
      <c r="S20" s="169"/>
      <c r="T20" s="169"/>
      <c r="U20" s="226"/>
      <c r="V20" s="248"/>
      <c r="W20" s="153">
        <f t="array" aca="1" ref="W20" ca="1">SUM((ROUNDDOWN((D36:I36)*단가,0)))</f>
        <v>13912615</v>
      </c>
      <c r="X20" s="194"/>
      <c r="Y20" s="170" t="str">
        <f t="shared" si="3"/>
        <v>제 4 호표</v>
      </c>
      <c r="Z20" s="170"/>
    </row>
    <row r="21" spans="1:26" ht="18" customHeight="1">
      <c r="A21" s="279"/>
      <c r="B21" s="393" t="s">
        <v>2583</v>
      </c>
      <c r="C21" s="23"/>
      <c r="D21" s="30">
        <f t="shared" ref="D21:I23" si="4">SUBTOTAL(9,D22:D22)</f>
        <v>0.7</v>
      </c>
      <c r="E21" s="31">
        <f t="shared" si="4"/>
        <v>3.1</v>
      </c>
      <c r="F21" s="31">
        <f t="shared" si="4"/>
        <v>5.5</v>
      </c>
      <c r="G21" s="31">
        <f t="shared" si="4"/>
        <v>6.5</v>
      </c>
      <c r="H21" s="31">
        <f t="shared" si="4"/>
        <v>8.6</v>
      </c>
      <c r="I21" s="32">
        <f t="shared" si="4"/>
        <v>6.5</v>
      </c>
      <c r="J21" s="389"/>
      <c r="L21" s="232"/>
      <c r="N21" s="354" t="str">
        <f>B21</f>
        <v>3. 실행계획</v>
      </c>
      <c r="O21" s="169"/>
      <c r="P21" s="169"/>
      <c r="Q21" s="169"/>
      <c r="R21" s="169"/>
      <c r="S21" s="169"/>
      <c r="T21" s="169"/>
      <c r="U21" s="226"/>
      <c r="V21" s="248"/>
      <c r="W21" s="193">
        <f ca="1">SUBTOTAL(9,W22:W22)</f>
        <v>13912615</v>
      </c>
      <c r="X21" s="194"/>
      <c r="Y21" s="170" t="str">
        <f t="shared" si="3"/>
        <v/>
      </c>
      <c r="Z21" s="170"/>
    </row>
    <row r="22" spans="1:26" ht="18" customHeight="1">
      <c r="A22" s="279"/>
      <c r="B22" s="223" t="s">
        <v>2584</v>
      </c>
      <c r="C22" s="253"/>
      <c r="D22" s="20">
        <v>0.7</v>
      </c>
      <c r="E22" s="21">
        <v>3.1</v>
      </c>
      <c r="F22" s="21">
        <v>5.5</v>
      </c>
      <c r="G22" s="21">
        <v>6.5</v>
      </c>
      <c r="H22" s="21">
        <v>8.6</v>
      </c>
      <c r="I22" s="22">
        <v>6.5</v>
      </c>
      <c r="J22" s="653" t="s">
        <v>1090</v>
      </c>
      <c r="L22" s="232">
        <v>1</v>
      </c>
      <c r="N22" s="292" t="str">
        <f>B22</f>
        <v>3.1. 사업집행계획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SUM((ROUNDDOWN((D36:I36)*단가,0)))</f>
        <v>13912615</v>
      </c>
      <c r="X22" s="194"/>
      <c r="Y22" s="170" t="str">
        <f t="shared" si="3"/>
        <v>제 5 호표</v>
      </c>
      <c r="Z22" s="170"/>
    </row>
    <row r="23" spans="1:26" ht="18" customHeight="1">
      <c r="A23" s="279"/>
      <c r="B23" s="393" t="s">
        <v>105</v>
      </c>
      <c r="C23" s="23"/>
      <c r="D23" s="30">
        <f t="shared" si="4"/>
        <v>0.4</v>
      </c>
      <c r="E23" s="31">
        <f t="shared" si="4"/>
        <v>0.6</v>
      </c>
      <c r="F23" s="31">
        <f t="shared" si="4"/>
        <v>2.4</v>
      </c>
      <c r="G23" s="31">
        <f t="shared" si="4"/>
        <v>5</v>
      </c>
      <c r="H23" s="31">
        <f t="shared" si="4"/>
        <v>11.6</v>
      </c>
      <c r="I23" s="32">
        <f t="shared" si="4"/>
        <v>18.3</v>
      </c>
      <c r="J23" s="389"/>
      <c r="L23" s="232"/>
      <c r="N23" s="354" t="str">
        <f t="shared" si="1"/>
        <v>4. 성과품 작성</v>
      </c>
      <c r="O23" s="169"/>
      <c r="P23" s="169"/>
      <c r="Q23" s="169"/>
      <c r="R23" s="169"/>
      <c r="S23" s="169"/>
      <c r="T23" s="169"/>
      <c r="U23" s="226"/>
      <c r="V23" s="248"/>
      <c r="W23" s="193">
        <f ca="1">SUBTOTAL(9,W24:W24)</f>
        <v>9940624</v>
      </c>
      <c r="X23" s="194"/>
      <c r="Y23" s="170" t="str">
        <f t="shared" si="3"/>
        <v/>
      </c>
      <c r="Z23" s="170"/>
    </row>
    <row r="24" spans="1:26" ht="18" customHeight="1">
      <c r="A24" s="279"/>
      <c r="B24" s="223" t="s">
        <v>2585</v>
      </c>
      <c r="C24" s="253"/>
      <c r="D24" s="20">
        <v>0.4</v>
      </c>
      <c r="E24" s="21">
        <v>0.6</v>
      </c>
      <c r="F24" s="21">
        <v>2.4</v>
      </c>
      <c r="G24" s="21">
        <v>5</v>
      </c>
      <c r="H24" s="21">
        <v>11.6</v>
      </c>
      <c r="I24" s="22">
        <v>18.3</v>
      </c>
      <c r="J24" s="653" t="s">
        <v>1090</v>
      </c>
      <c r="L24" s="232">
        <v>1</v>
      </c>
      <c r="N24" s="292" t="str">
        <f t="shared" si="1"/>
        <v>4.1. 성과품 작성</v>
      </c>
      <c r="O24" s="169"/>
      <c r="P24" s="169"/>
      <c r="Q24" s="169"/>
      <c r="R24" s="169"/>
      <c r="S24" s="169"/>
      <c r="T24" s="169"/>
      <c r="U24" s="226"/>
      <c r="V24" s="248"/>
      <c r="W24" s="153">
        <f t="array" aca="1" ref="W24" ca="1">SUM((ROUNDDOWN((D40:I40)*단가,0)))</f>
        <v>9940624</v>
      </c>
      <c r="X24" s="194"/>
      <c r="Y24" s="170" t="str">
        <f t="shared" si="3"/>
        <v>제 6 호표</v>
      </c>
      <c r="Z24" s="170"/>
    </row>
    <row r="25" spans="1:26" ht="18" customHeight="1">
      <c r="A25" s="279"/>
      <c r="B25" s="222" t="s">
        <v>2586</v>
      </c>
      <c r="C25" s="47"/>
      <c r="D25" s="48">
        <f t="shared" ref="D25:I25" si="5">SUBTOTAL(9,D26:D29)</f>
        <v>8</v>
      </c>
      <c r="E25" s="49">
        <f t="shared" si="5"/>
        <v>8</v>
      </c>
      <c r="F25" s="49">
        <f t="shared" si="5"/>
        <v>8</v>
      </c>
      <c r="G25" s="49">
        <f t="shared" si="5"/>
        <v>16</v>
      </c>
      <c r="H25" s="49">
        <f t="shared" si="5"/>
        <v>16</v>
      </c>
      <c r="I25" s="50">
        <f t="shared" si="5"/>
        <v>16</v>
      </c>
      <c r="J25" s="389"/>
      <c r="L25" s="232"/>
      <c r="N25" s="354" t="str">
        <f t="shared" si="1"/>
        <v>5. 기술협의</v>
      </c>
      <c r="O25" s="169"/>
      <c r="P25" s="169"/>
      <c r="Q25" s="169"/>
      <c r="R25" s="169"/>
      <c r="S25" s="169"/>
      <c r="T25" s="169"/>
      <c r="U25" s="226"/>
      <c r="V25" s="248"/>
      <c r="W25" s="193">
        <f ca="1">SUBTOTAL(9,W26:W29)</f>
        <v>21702576</v>
      </c>
      <c r="X25" s="194"/>
      <c r="Y25" s="170" t="str">
        <f t="shared" si="3"/>
        <v/>
      </c>
      <c r="Z25" s="170"/>
    </row>
    <row r="26" spans="1:26" ht="18" customHeight="1">
      <c r="A26" s="279"/>
      <c r="B26" s="223" t="s">
        <v>2587</v>
      </c>
      <c r="C26" s="23"/>
      <c r="D26" s="197">
        <v>2</v>
      </c>
      <c r="E26" s="198">
        <v>2</v>
      </c>
      <c r="F26" s="198">
        <v>2</v>
      </c>
      <c r="G26" s="198">
        <v>4</v>
      </c>
      <c r="H26" s="198">
        <v>4</v>
      </c>
      <c r="I26" s="199">
        <v>4</v>
      </c>
      <c r="J26" s="389" t="s">
        <v>1095</v>
      </c>
      <c r="L26" s="233">
        <v>1</v>
      </c>
      <c r="N26" s="292" t="str">
        <f t="shared" si="1"/>
        <v>5.1. 공청회/주민설명회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SUM((ROUNDDOWN((D42:I42)*단가,0)))</f>
        <v>5425644</v>
      </c>
      <c r="X26" s="154"/>
      <c r="Y26" s="170" t="str">
        <f t="shared" si="3"/>
        <v>제 7 호표</v>
      </c>
      <c r="Z26" s="150"/>
    </row>
    <row r="27" spans="1:26" ht="18" customHeight="1">
      <c r="A27" s="279"/>
      <c r="B27" s="259" t="s">
        <v>2588</v>
      </c>
      <c r="C27" s="43"/>
      <c r="D27" s="206">
        <v>2</v>
      </c>
      <c r="E27" s="207">
        <v>2</v>
      </c>
      <c r="F27" s="207">
        <v>2</v>
      </c>
      <c r="G27" s="207">
        <v>4</v>
      </c>
      <c r="H27" s="207">
        <v>4</v>
      </c>
      <c r="I27" s="208">
        <v>4</v>
      </c>
      <c r="J27" s="389" t="s">
        <v>1094</v>
      </c>
      <c r="L27" s="233">
        <v>1</v>
      </c>
      <c r="N27" s="292" t="str">
        <f t="shared" si="1"/>
        <v>5.2. 주민간담회/시민계획단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SUM((ROUNDDOWN((D43:I43)*단가,0)))</f>
        <v>5425644</v>
      </c>
      <c r="X27" s="154"/>
      <c r="Y27" s="170" t="str">
        <f t="shared" si="3"/>
        <v>제 8 호표</v>
      </c>
      <c r="Z27" s="150"/>
    </row>
    <row r="28" spans="1:26" ht="18" customHeight="1">
      <c r="A28" s="279"/>
      <c r="B28" s="223" t="s">
        <v>1542</v>
      </c>
      <c r="C28" s="23"/>
      <c r="D28" s="197">
        <v>2</v>
      </c>
      <c r="E28" s="198">
        <v>2</v>
      </c>
      <c r="F28" s="198">
        <v>2</v>
      </c>
      <c r="G28" s="198">
        <v>4</v>
      </c>
      <c r="H28" s="198">
        <v>4</v>
      </c>
      <c r="I28" s="199">
        <v>4</v>
      </c>
      <c r="J28" s="389" t="s">
        <v>1094</v>
      </c>
      <c r="L28" s="233">
        <v>1</v>
      </c>
      <c r="N28" s="292" t="str">
        <f t="shared" si="1"/>
        <v>5.3. 위원회심의 지원</v>
      </c>
      <c r="O28" s="37"/>
      <c r="P28" s="37"/>
      <c r="Q28" s="37"/>
      <c r="R28" s="37"/>
      <c r="S28" s="37"/>
      <c r="T28" s="37"/>
      <c r="U28" s="227"/>
      <c r="V28" s="231"/>
      <c r="W28" s="153">
        <f t="array" aca="1" ref="W28" ca="1">SUM((ROUNDDOWN((D44:I44)*단가,0)))</f>
        <v>5425644</v>
      </c>
      <c r="X28" s="154"/>
      <c r="Y28" s="170" t="str">
        <f t="shared" si="3"/>
        <v>제 9 호표</v>
      </c>
      <c r="Z28" s="150"/>
    </row>
    <row r="29" spans="1:26" ht="18" customHeight="1" thickBot="1">
      <c r="A29" s="279"/>
      <c r="B29" s="259" t="s">
        <v>1543</v>
      </c>
      <c r="C29" s="43"/>
      <c r="D29" s="206">
        <v>2</v>
      </c>
      <c r="E29" s="207">
        <v>2</v>
      </c>
      <c r="F29" s="207">
        <v>2</v>
      </c>
      <c r="G29" s="207">
        <v>4</v>
      </c>
      <c r="H29" s="207">
        <v>4</v>
      </c>
      <c r="I29" s="208">
        <v>4</v>
      </c>
      <c r="J29" s="612" t="s">
        <v>1094</v>
      </c>
      <c r="L29" s="233">
        <v>1</v>
      </c>
      <c r="N29" s="292" t="str">
        <f t="shared" si="1"/>
        <v>5.4. 관계기관 협의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SUM((ROUNDDOWN((D45:I45)*단가,0)))</f>
        <v>5425644</v>
      </c>
      <c r="X29" s="154"/>
      <c r="Y29" s="170" t="str">
        <f t="shared" si="3"/>
        <v>제 10 호표</v>
      </c>
      <c r="Z29" s="150"/>
    </row>
    <row r="30" spans="1:26" ht="18" customHeight="1" thickBot="1">
      <c r="A30" s="279"/>
      <c r="B30" s="249" t="s">
        <v>30</v>
      </c>
      <c r="C30" s="250"/>
      <c r="D30" s="249" t="s">
        <v>12</v>
      </c>
      <c r="E30" s="251"/>
      <c r="F30" s="251"/>
      <c r="G30" s="251"/>
      <c r="H30" s="251"/>
      <c r="I30" s="250"/>
      <c r="J30" s="175" t="s">
        <v>31</v>
      </c>
      <c r="N30" s="8"/>
      <c r="P30" s="371"/>
      <c r="R30" s="357"/>
      <c r="S30" s="1"/>
      <c r="T30" s="1"/>
      <c r="U30" s="258"/>
      <c r="V30" s="372"/>
      <c r="W30" s="373"/>
      <c r="X30" s="374"/>
      <c r="Y30" s="170" t="str">
        <f>IF(A58&gt;0, "제 " &amp;A58&amp; " 호표","")</f>
        <v/>
      </c>
    </row>
    <row r="31" spans="1:26" ht="18" customHeight="1">
      <c r="A31" s="278"/>
      <c r="B31" s="252" t="str">
        <f t="shared" ref="B31:B36" si="6">B15</f>
        <v>1. 조사 및 분석</v>
      </c>
      <c r="C31" s="253"/>
      <c r="D31" s="30">
        <f t="shared" ref="D31:I31" si="7">SUBTOTAL(9,D32:D32)</f>
        <v>0.7</v>
      </c>
      <c r="E31" s="31">
        <f t="shared" si="7"/>
        <v>1.8</v>
      </c>
      <c r="F31" s="31">
        <f t="shared" si="7"/>
        <v>5.2</v>
      </c>
      <c r="G31" s="31">
        <f t="shared" si="7"/>
        <v>16.600000000000001</v>
      </c>
      <c r="H31" s="31">
        <f t="shared" si="7"/>
        <v>21</v>
      </c>
      <c r="I31" s="32">
        <f t="shared" si="7"/>
        <v>27.4</v>
      </c>
      <c r="J31" s="302"/>
      <c r="N31" s="290" t="s">
        <v>2611</v>
      </c>
      <c r="O31" s="129"/>
      <c r="P31" s="130"/>
      <c r="Q31" s="124"/>
      <c r="R31" s="131"/>
      <c r="S31" s="124"/>
      <c r="T31" s="124"/>
      <c r="U31" s="181"/>
      <c r="V31" s="181"/>
      <c r="W31" s="159">
        <f>SUBTOTAL(9,W32:W34)</f>
        <v>8000000</v>
      </c>
      <c r="X31" s="160"/>
      <c r="Y31" s="124"/>
      <c r="Z31" s="124"/>
    </row>
    <row r="32" spans="1:26" ht="18" customHeight="1">
      <c r="A32" s="278">
        <v>1</v>
      </c>
      <c r="B32" s="223" t="str">
        <f t="shared" si="6"/>
        <v>1.1. 현황조사</v>
      </c>
      <c r="C32" s="253"/>
      <c r="D32" s="20">
        <f t="array" ref="D32:I32">ROUNDDOWN(D16:I16*L16*$D$5,3)</f>
        <v>0.7</v>
      </c>
      <c r="E32" s="21">
        <v>1.8</v>
      </c>
      <c r="F32" s="21">
        <v>5.2</v>
      </c>
      <c r="G32" s="21">
        <v>16.600000000000001</v>
      </c>
      <c r="H32" s="21">
        <v>21</v>
      </c>
      <c r="I32" s="22">
        <v>27.4</v>
      </c>
      <c r="J32" s="390"/>
      <c r="N32" s="128" t="str">
        <f>"여비("&amp;TEXT(R32,"#인 ×")&amp;TEXT(S32,"#일 ×")&amp;TEXT(T32,"###,###원)")</f>
        <v>여비(3인 ×10일 ×100,000원)</v>
      </c>
      <c r="O32" s="78"/>
      <c r="P32" s="52"/>
      <c r="Q32" s="51"/>
      <c r="R32" s="146">
        <v>3</v>
      </c>
      <c r="S32" s="146">
        <v>10</v>
      </c>
      <c r="T32" s="147">
        <v>100000</v>
      </c>
      <c r="U32" s="182"/>
      <c r="V32" s="182"/>
      <c r="W32" s="161">
        <f>R32*S32*T32</f>
        <v>3000000</v>
      </c>
      <c r="X32" s="162"/>
      <c r="Y32" s="51"/>
      <c r="Z32" s="51"/>
    </row>
    <row r="33" spans="1:26" ht="18" customHeight="1">
      <c r="A33" s="278"/>
      <c r="B33" s="393" t="str">
        <f t="shared" si="6"/>
        <v>2. 기본구상</v>
      </c>
      <c r="C33" s="23"/>
      <c r="D33" s="30">
        <f t="shared" ref="D33:I33" si="8">SUBTOTAL(9,D34:D36)</f>
        <v>12.2</v>
      </c>
      <c r="E33" s="31">
        <f t="shared" si="8"/>
        <v>22.5</v>
      </c>
      <c r="F33" s="31">
        <f t="shared" si="8"/>
        <v>37.200000000000003</v>
      </c>
      <c r="G33" s="31">
        <f t="shared" si="8"/>
        <v>43.5</v>
      </c>
      <c r="H33" s="31">
        <f t="shared" si="8"/>
        <v>39.700000000000003</v>
      </c>
      <c r="I33" s="32">
        <f t="shared" si="8"/>
        <v>28.5</v>
      </c>
      <c r="J33" s="74"/>
      <c r="N33" s="79" t="s">
        <v>46</v>
      </c>
      <c r="O33" s="79"/>
      <c r="P33" s="39"/>
      <c r="Q33" s="37"/>
      <c r="R33" s="117"/>
      <c r="S33" s="37"/>
      <c r="T33" s="37"/>
      <c r="U33" s="180"/>
      <c r="V33" s="180"/>
      <c r="W33" s="157">
        <v>3000000</v>
      </c>
      <c r="X33" s="158"/>
      <c r="Y33" s="37"/>
      <c r="Z33" s="37"/>
    </row>
    <row r="34" spans="1:26" ht="18" customHeight="1">
      <c r="A34" s="278">
        <v>2</v>
      </c>
      <c r="B34" s="223" t="str">
        <f t="shared" si="6"/>
        <v>2.1. 개발규모 및 내용설정</v>
      </c>
      <c r="C34" s="253"/>
      <c r="D34" s="20">
        <f t="array" ref="D34:I34">ROUNDDOWN(D18:I18*L18,3)</f>
        <v>2.9</v>
      </c>
      <c r="E34" s="21">
        <v>6.8</v>
      </c>
      <c r="F34" s="21">
        <v>10.8</v>
      </c>
      <c r="G34" s="21">
        <v>12.5</v>
      </c>
      <c r="H34" s="21">
        <v>10.1</v>
      </c>
      <c r="I34" s="22">
        <v>0</v>
      </c>
      <c r="J34" s="302"/>
      <c r="N34" s="132" t="s">
        <v>13</v>
      </c>
      <c r="O34" s="132"/>
      <c r="P34" s="38"/>
      <c r="Q34" s="38"/>
      <c r="R34" s="116"/>
      <c r="S34" s="38"/>
      <c r="T34" s="38"/>
      <c r="U34" s="183"/>
      <c r="V34" s="183"/>
      <c r="W34" s="155">
        <v>2000000</v>
      </c>
      <c r="X34" s="156"/>
      <c r="Y34" s="38"/>
      <c r="Z34" s="38"/>
    </row>
    <row r="35" spans="1:26" ht="18" customHeight="1">
      <c r="A35" s="278">
        <v>3</v>
      </c>
      <c r="B35" s="223" t="str">
        <f t="shared" si="6"/>
        <v>2.2. 기본구상안 작성</v>
      </c>
      <c r="C35" s="253"/>
      <c r="D35" s="20">
        <f t="array" ref="D35:I35">ROUNDDOWN(D19:I19*L19*$D$5,3)</f>
        <v>6</v>
      </c>
      <c r="E35" s="21">
        <v>10.5</v>
      </c>
      <c r="F35" s="21">
        <v>16.899999999999999</v>
      </c>
      <c r="G35" s="21">
        <v>20.8</v>
      </c>
      <c r="H35" s="21">
        <v>20.3</v>
      </c>
      <c r="I35" s="22">
        <v>19.399999999999999</v>
      </c>
      <c r="J35" s="302"/>
      <c r="N35" s="127" t="s">
        <v>47</v>
      </c>
      <c r="O35" s="123"/>
      <c r="P35" s="123"/>
      <c r="Q35" s="123"/>
      <c r="R35" s="123"/>
      <c r="S35" s="123"/>
      <c r="T35" s="123"/>
      <c r="U35" s="184"/>
      <c r="V35" s="184"/>
      <c r="W35" s="163">
        <f ca="1">SUBTOTAL(9,W36:W37)</f>
        <v>190290956</v>
      </c>
      <c r="X35" s="164"/>
      <c r="Y35" s="123"/>
      <c r="Z35" s="123"/>
    </row>
    <row r="36" spans="1:26" ht="18" customHeight="1">
      <c r="A36" s="278">
        <v>4</v>
      </c>
      <c r="B36" s="223" t="str">
        <f t="shared" si="6"/>
        <v>2.3. 타당성검토</v>
      </c>
      <c r="C36" s="253"/>
      <c r="D36" s="20">
        <f t="array" ref="D36:I36">ROUNDDOWN(D20:I20*L20*$D$5*D6,3)</f>
        <v>3.3</v>
      </c>
      <c r="E36" s="21">
        <v>5.2</v>
      </c>
      <c r="F36" s="21">
        <v>9.5</v>
      </c>
      <c r="G36" s="21">
        <v>10.199999999999999</v>
      </c>
      <c r="H36" s="21">
        <v>9.3000000000000007</v>
      </c>
      <c r="I36" s="22">
        <v>9.1</v>
      </c>
      <c r="J36" s="302"/>
      <c r="N36" s="133" t="s">
        <v>861</v>
      </c>
      <c r="O36" s="124"/>
      <c r="P36" s="134"/>
      <c r="Q36" s="124"/>
      <c r="R36" s="131"/>
      <c r="S36" s="124"/>
      <c r="T36" s="181"/>
      <c r="U36" s="181"/>
      <c r="V36" s="190">
        <v>1.1499999999999999</v>
      </c>
      <c r="W36" s="159">
        <f ca="1">ROUNDDOWN(W14*V36,0)</f>
        <v>121913426</v>
      </c>
      <c r="X36" s="160"/>
      <c r="Y36" s="124"/>
      <c r="Z36" s="124"/>
    </row>
    <row r="37" spans="1:26" ht="18" customHeight="1" thickBot="1">
      <c r="A37" s="278"/>
      <c r="B37" s="393" t="str">
        <f t="shared" ref="B37:B45" si="9">B21</f>
        <v>3. 실행계획</v>
      </c>
      <c r="C37" s="23"/>
      <c r="D37" s="30">
        <f t="shared" ref="D37:I39" si="10">SUBTOTAL(9,D38)</f>
        <v>0.7</v>
      </c>
      <c r="E37" s="31">
        <f t="shared" si="10"/>
        <v>3.1</v>
      </c>
      <c r="F37" s="31">
        <f t="shared" si="10"/>
        <v>5.5</v>
      </c>
      <c r="G37" s="31">
        <f t="shared" si="10"/>
        <v>6.5</v>
      </c>
      <c r="H37" s="31">
        <f t="shared" si="10"/>
        <v>8.6</v>
      </c>
      <c r="I37" s="32">
        <f t="shared" si="10"/>
        <v>6.5</v>
      </c>
      <c r="J37" s="74"/>
      <c r="K37" s="171" t="s">
        <v>14</v>
      </c>
      <c r="N37" s="135" t="s">
        <v>862</v>
      </c>
      <c r="O37" s="136"/>
      <c r="P37" s="137"/>
      <c r="Q37" s="136"/>
      <c r="R37" s="138"/>
      <c r="S37" s="136"/>
      <c r="T37" s="185"/>
      <c r="U37" s="185"/>
      <c r="V37" s="191">
        <v>0.3</v>
      </c>
      <c r="W37" s="165">
        <f ca="1">ROUNDDOWN((W14+W36)*V37,0)</f>
        <v>68377530</v>
      </c>
      <c r="X37" s="166"/>
      <c r="Y37" s="136"/>
      <c r="Z37" s="136"/>
    </row>
    <row r="38" spans="1:26" ht="18" customHeight="1">
      <c r="A38" s="278">
        <v>5</v>
      </c>
      <c r="B38" s="223" t="str">
        <f t="shared" si="9"/>
        <v>3.1. 사업집행계획</v>
      </c>
      <c r="C38" s="253"/>
      <c r="D38" s="20">
        <f t="array" ref="D38:I38">ROUNDDOWN(D22:I22*L22*$D$5,3)</f>
        <v>0.7</v>
      </c>
      <c r="E38" s="21">
        <v>3.1</v>
      </c>
      <c r="F38" s="21">
        <v>5.5</v>
      </c>
      <c r="G38" s="21">
        <v>6.5</v>
      </c>
      <c r="H38" s="21">
        <v>8.6</v>
      </c>
      <c r="I38" s="22">
        <v>6.5</v>
      </c>
      <c r="J38" s="302"/>
    </row>
    <row r="39" spans="1:26" ht="18" customHeight="1">
      <c r="A39" s="278"/>
      <c r="B39" s="393" t="str">
        <f t="shared" si="9"/>
        <v>4. 성과품 작성</v>
      </c>
      <c r="C39" s="23"/>
      <c r="D39" s="30">
        <f t="shared" si="10"/>
        <v>0.4</v>
      </c>
      <c r="E39" s="31">
        <f t="shared" si="10"/>
        <v>0.6</v>
      </c>
      <c r="F39" s="31">
        <f t="shared" si="10"/>
        <v>2.4</v>
      </c>
      <c r="G39" s="31">
        <f t="shared" si="10"/>
        <v>5</v>
      </c>
      <c r="H39" s="31">
        <f t="shared" si="10"/>
        <v>11.6</v>
      </c>
      <c r="I39" s="32">
        <f t="shared" si="10"/>
        <v>18.3</v>
      </c>
      <c r="J39" s="74"/>
      <c r="K39" s="171" t="s">
        <v>14</v>
      </c>
    </row>
    <row r="40" spans="1:26" ht="18" customHeight="1">
      <c r="A40" s="278">
        <v>6</v>
      </c>
      <c r="B40" s="223" t="str">
        <f t="shared" si="9"/>
        <v>4.1. 성과품 작성</v>
      </c>
      <c r="C40" s="253"/>
      <c r="D40" s="20">
        <f t="array" ref="D40:I40">ROUNDDOWN(D24:I24*L24*$D$5,3)</f>
        <v>0.4</v>
      </c>
      <c r="E40" s="21">
        <v>0.6</v>
      </c>
      <c r="F40" s="21">
        <v>2.4</v>
      </c>
      <c r="G40" s="21">
        <v>5</v>
      </c>
      <c r="H40" s="21">
        <v>11.6</v>
      </c>
      <c r="I40" s="22">
        <v>18.3</v>
      </c>
      <c r="J40" s="302"/>
    </row>
    <row r="41" spans="1:26" ht="18" customHeight="1">
      <c r="A41" s="278"/>
      <c r="B41" s="222" t="str">
        <f t="shared" si="9"/>
        <v>5. 기술협의</v>
      </c>
      <c r="C41" s="47"/>
      <c r="D41" s="48">
        <f t="shared" ref="D41:I41" si="11">SUBTOTAL(9,D42:D45)</f>
        <v>8</v>
      </c>
      <c r="E41" s="49">
        <f t="shared" si="11"/>
        <v>8</v>
      </c>
      <c r="F41" s="49">
        <f t="shared" si="11"/>
        <v>8</v>
      </c>
      <c r="G41" s="49">
        <f t="shared" si="11"/>
        <v>16</v>
      </c>
      <c r="H41" s="49">
        <f t="shared" si="11"/>
        <v>16</v>
      </c>
      <c r="I41" s="50">
        <f t="shared" si="11"/>
        <v>16</v>
      </c>
      <c r="J41" s="74"/>
      <c r="K41" s="171" t="s">
        <v>14</v>
      </c>
      <c r="L41" s="171"/>
    </row>
    <row r="42" spans="1:26" ht="18" customHeight="1">
      <c r="A42" s="278">
        <v>7</v>
      </c>
      <c r="B42" s="223" t="str">
        <f t="shared" si="9"/>
        <v>5.1. 공청회/주민설명회</v>
      </c>
      <c r="C42" s="23"/>
      <c r="D42" s="20">
        <f t="array" ref="D42:I45">ROUNDDOWN(D26:I29*L26:L29*I5,3)</f>
        <v>2</v>
      </c>
      <c r="E42" s="198">
        <v>2</v>
      </c>
      <c r="F42" s="198">
        <v>2</v>
      </c>
      <c r="G42" s="198">
        <v>4</v>
      </c>
      <c r="H42" s="198">
        <v>4</v>
      </c>
      <c r="I42" s="199">
        <v>4</v>
      </c>
      <c r="J42" s="74"/>
      <c r="K42" s="171"/>
      <c r="L42" s="171"/>
    </row>
    <row r="43" spans="1:26" ht="18" customHeight="1">
      <c r="A43" s="278">
        <v>8</v>
      </c>
      <c r="B43" s="223" t="str">
        <f t="shared" si="9"/>
        <v>5.2. 주민간담회/시민계획단</v>
      </c>
      <c r="C43" s="23"/>
      <c r="D43" s="197">
        <v>2</v>
      </c>
      <c r="E43" s="198">
        <v>2</v>
      </c>
      <c r="F43" s="198">
        <v>2</v>
      </c>
      <c r="G43" s="198">
        <v>4</v>
      </c>
      <c r="H43" s="198">
        <v>4</v>
      </c>
      <c r="I43" s="199">
        <v>4</v>
      </c>
      <c r="J43" s="74"/>
      <c r="K43" s="171"/>
      <c r="L43" s="171"/>
      <c r="R43" s="1"/>
      <c r="S43" s="1"/>
      <c r="T43" s="1"/>
      <c r="U43" s="1"/>
      <c r="V43" s="1"/>
      <c r="W43" s="1"/>
      <c r="X43" s="1"/>
      <c r="Y43" s="1"/>
    </row>
    <row r="44" spans="1:26" ht="18" customHeight="1">
      <c r="A44" s="278">
        <v>9</v>
      </c>
      <c r="B44" s="223" t="str">
        <f t="shared" si="9"/>
        <v>5.3. 위원회심의 지원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74"/>
      <c r="K44" s="171"/>
      <c r="L44" s="171"/>
      <c r="R44" s="1"/>
      <c r="S44" s="1"/>
      <c r="T44" s="1"/>
      <c r="U44" s="1"/>
      <c r="V44" s="1"/>
      <c r="W44" s="1"/>
      <c r="X44" s="1"/>
      <c r="Y44" s="1"/>
    </row>
    <row r="45" spans="1:26" ht="18" customHeight="1" thickBot="1">
      <c r="A45" s="278">
        <v>10</v>
      </c>
      <c r="B45" s="388" t="str">
        <f t="shared" si="9"/>
        <v>5.4. 관계기관 협의</v>
      </c>
      <c r="C45" s="342"/>
      <c r="D45" s="343">
        <v>2</v>
      </c>
      <c r="E45" s="344">
        <v>2</v>
      </c>
      <c r="F45" s="344">
        <v>2</v>
      </c>
      <c r="G45" s="344">
        <v>4</v>
      </c>
      <c r="H45" s="344">
        <v>4</v>
      </c>
      <c r="I45" s="345">
        <v>4</v>
      </c>
      <c r="J45" s="176"/>
      <c r="K45" s="171" t="s">
        <v>14</v>
      </c>
      <c r="L45" s="171"/>
      <c r="R45" s="1"/>
      <c r="S45" s="1"/>
      <c r="T45" s="1"/>
      <c r="U45" s="1"/>
      <c r="V45" s="1"/>
      <c r="W45" s="1"/>
      <c r="X45" s="1"/>
      <c r="Y45" s="1"/>
    </row>
    <row r="46" spans="1:26" ht="18" customHeight="1" thickBot="1">
      <c r="A46" s="278"/>
      <c r="B46" s="80" t="s">
        <v>652</v>
      </c>
      <c r="C46" s="1" t="s">
        <v>2243</v>
      </c>
      <c r="E46" s="8"/>
      <c r="F46" s="8"/>
      <c r="G46" s="8"/>
      <c r="H46" s="8"/>
      <c r="I46" s="8"/>
      <c r="J46" s="10"/>
      <c r="K46" s="171" t="s">
        <v>14</v>
      </c>
      <c r="L46" s="171"/>
      <c r="N46" s="66" t="s">
        <v>18</v>
      </c>
      <c r="O46" s="2"/>
      <c r="P46" s="2"/>
      <c r="Q46" s="2"/>
      <c r="R46" s="3"/>
      <c r="S46" s="4"/>
      <c r="T46" s="3"/>
      <c r="U46" s="4"/>
      <c r="V46" s="3"/>
      <c r="W46" s="4"/>
      <c r="X46" s="3"/>
      <c r="Y46" s="4"/>
      <c r="Z46" s="2"/>
    </row>
    <row r="47" spans="1:26" ht="18" customHeight="1">
      <c r="A47" s="278"/>
      <c r="B47" s="80"/>
      <c r="C47" s="1" t="s">
        <v>1217</v>
      </c>
      <c r="J47" s="8"/>
      <c r="K47" s="171" t="s">
        <v>14</v>
      </c>
      <c r="L47" s="171"/>
      <c r="N47" s="765" t="s">
        <v>19</v>
      </c>
      <c r="O47" s="755" t="s">
        <v>20</v>
      </c>
      <c r="P47" s="755" t="s">
        <v>21</v>
      </c>
      <c r="Q47" s="755" t="s">
        <v>16</v>
      </c>
      <c r="R47" s="5" t="s">
        <v>22</v>
      </c>
      <c r="S47" s="5"/>
      <c r="T47" s="5" t="s">
        <v>23</v>
      </c>
      <c r="U47" s="5"/>
      <c r="V47" s="5" t="s">
        <v>24</v>
      </c>
      <c r="W47" s="5"/>
      <c r="X47" s="5" t="s">
        <v>25</v>
      </c>
      <c r="Y47" s="5"/>
      <c r="Z47" s="755" t="s">
        <v>26</v>
      </c>
    </row>
    <row r="48" spans="1:26" ht="18" customHeight="1" thickBot="1">
      <c r="A48" s="278"/>
      <c r="C48" s="9" t="s">
        <v>1656</v>
      </c>
      <c r="J48" s="8"/>
      <c r="K48" s="171" t="s">
        <v>14</v>
      </c>
      <c r="L48" s="171"/>
      <c r="N48" s="766"/>
      <c r="O48" s="756"/>
      <c r="P48" s="756"/>
      <c r="Q48" s="756"/>
      <c r="R48" s="67" t="s">
        <v>27</v>
      </c>
      <c r="S48" s="67" t="s">
        <v>28</v>
      </c>
      <c r="T48" s="67" t="s">
        <v>27</v>
      </c>
      <c r="U48" s="67" t="s">
        <v>28</v>
      </c>
      <c r="V48" s="67" t="s">
        <v>27</v>
      </c>
      <c r="W48" s="67" t="s">
        <v>28</v>
      </c>
      <c r="X48" s="67" t="s">
        <v>27</v>
      </c>
      <c r="Y48" s="67" t="s">
        <v>28</v>
      </c>
      <c r="Z48" s="756"/>
    </row>
    <row r="49" spans="1:26" ht="18" customHeight="1" thickTop="1">
      <c r="A49" s="278"/>
      <c r="C49" s="1" t="s">
        <v>2574</v>
      </c>
      <c r="J49" s="8"/>
      <c r="K49" s="171" t="s">
        <v>14</v>
      </c>
      <c r="L49" s="171"/>
      <c r="N49" s="318" t="str">
        <f ca="1">"제 " &amp; Z49 &amp; " 호표  "&amp; OFFSET($A$1,MATCH(Z49,$A:$A,0)-1,1)</f>
        <v>제 1 호표  1.1. 현황조사</v>
      </c>
      <c r="O49" s="221"/>
      <c r="P49" s="148"/>
      <c r="Q49" s="148"/>
      <c r="R49" s="149"/>
      <c r="S49" s="149"/>
      <c r="T49" s="149"/>
      <c r="U49" s="149"/>
      <c r="V49" s="149"/>
      <c r="W49" s="149"/>
      <c r="X49" s="149"/>
      <c r="Y49" s="149"/>
      <c r="Z49" s="325">
        <v>1</v>
      </c>
    </row>
    <row r="50" spans="1:26" ht="18" customHeight="1">
      <c r="A50" s="278"/>
      <c r="K50" s="171" t="s">
        <v>14</v>
      </c>
      <c r="L50" s="171"/>
      <c r="N50" s="140" t="s">
        <v>43</v>
      </c>
      <c r="O50" s="172">
        <v>3</v>
      </c>
      <c r="P50" s="219">
        <f ca="1">OFFSET($A$1,MATCH(Z49,$A:$A,0)-1,O50)</f>
        <v>0.7</v>
      </c>
      <c r="Q50" s="141" t="s">
        <v>29</v>
      </c>
      <c r="R50" s="142">
        <f t="shared" ref="R50:S55" ca="1" si="12">T50</f>
        <v>467217</v>
      </c>
      <c r="S50" s="142">
        <f t="shared" ca="1" si="12"/>
        <v>327051</v>
      </c>
      <c r="T50" s="142">
        <f ca="1">기술사</f>
        <v>467217</v>
      </c>
      <c r="U50" s="142">
        <f t="shared" ref="U50:U55" ca="1" si="13">ROUNDDOWN(P50*R50,0)</f>
        <v>327051</v>
      </c>
      <c r="V50" s="142"/>
      <c r="W50" s="142"/>
      <c r="X50" s="142"/>
      <c r="Y50" s="142"/>
      <c r="Z50" s="114"/>
    </row>
    <row r="51" spans="1:26" ht="18" customHeight="1">
      <c r="A51" s="278"/>
      <c r="C51" s="9"/>
      <c r="K51" s="171" t="s">
        <v>14</v>
      </c>
      <c r="L51" s="171"/>
      <c r="N51" s="143" t="s">
        <v>32</v>
      </c>
      <c r="O51" s="173">
        <v>4</v>
      </c>
      <c r="P51" s="234">
        <f ca="1">OFFSET($A$1,MATCH(Z49,$A:$A,0)-1,O51)</f>
        <v>1.8</v>
      </c>
      <c r="Q51" s="144" t="s">
        <v>29</v>
      </c>
      <c r="R51" s="118">
        <f t="shared" ca="1" si="12"/>
        <v>373353</v>
      </c>
      <c r="S51" s="118">
        <f t="shared" ca="1" si="12"/>
        <v>672035</v>
      </c>
      <c r="T51" s="118">
        <f ca="1">특급</f>
        <v>373353</v>
      </c>
      <c r="U51" s="118">
        <f t="shared" ca="1" si="13"/>
        <v>672035</v>
      </c>
      <c r="V51" s="118"/>
      <c r="W51" s="118"/>
      <c r="X51" s="118"/>
      <c r="Y51" s="118"/>
      <c r="Z51" s="115"/>
    </row>
    <row r="52" spans="1:26" ht="18" customHeight="1">
      <c r="A52" s="278"/>
      <c r="C52" s="9"/>
      <c r="K52" s="171" t="s">
        <v>14</v>
      </c>
      <c r="L52" s="171"/>
      <c r="N52" s="145" t="s">
        <v>39</v>
      </c>
      <c r="O52" s="173">
        <v>5</v>
      </c>
      <c r="P52" s="234">
        <f ca="1">OFFSET($A$1,MATCH(Z49,$A:$A,0)-1,O52)</f>
        <v>5.2</v>
      </c>
      <c r="Q52" s="144" t="s">
        <v>29</v>
      </c>
      <c r="R52" s="118">
        <f t="shared" ca="1" si="12"/>
        <v>310884</v>
      </c>
      <c r="S52" s="118">
        <f t="shared" ca="1" si="12"/>
        <v>1616596</v>
      </c>
      <c r="T52" s="118">
        <f ca="1">고급</f>
        <v>310884</v>
      </c>
      <c r="U52" s="118">
        <f t="shared" ca="1" si="13"/>
        <v>1616596</v>
      </c>
      <c r="V52" s="118"/>
      <c r="W52" s="118"/>
      <c r="X52" s="118"/>
      <c r="Y52" s="118"/>
      <c r="Z52" s="115"/>
    </row>
    <row r="53" spans="1:26" ht="18" customHeight="1">
      <c r="A53" s="278"/>
      <c r="C53" s="9"/>
      <c r="K53" s="171" t="s">
        <v>14</v>
      </c>
      <c r="L53" s="171"/>
      <c r="N53" s="145" t="s">
        <v>40</v>
      </c>
      <c r="O53" s="173">
        <v>6</v>
      </c>
      <c r="P53" s="234">
        <f ca="1">OFFSET($A$1,MATCH(Z49,$A:$A,0)-1,O53)</f>
        <v>16.600000000000001</v>
      </c>
      <c r="Q53" s="144" t="s">
        <v>29</v>
      </c>
      <c r="R53" s="118">
        <f t="shared" ca="1" si="12"/>
        <v>295138</v>
      </c>
      <c r="S53" s="118">
        <f t="shared" ca="1" si="12"/>
        <v>4899290</v>
      </c>
      <c r="T53" s="118">
        <f ca="1">중급</f>
        <v>295138</v>
      </c>
      <c r="U53" s="118">
        <f t="shared" ca="1" si="13"/>
        <v>4899290</v>
      </c>
      <c r="V53" s="118"/>
      <c r="W53" s="118"/>
      <c r="X53" s="118"/>
      <c r="Y53" s="118"/>
      <c r="Z53" s="115"/>
    </row>
    <row r="54" spans="1:26" ht="18" customHeight="1">
      <c r="A54" s="278"/>
      <c r="K54" s="171" t="s">
        <v>14</v>
      </c>
      <c r="L54" s="171"/>
      <c r="N54" s="145" t="s">
        <v>41</v>
      </c>
      <c r="O54" s="173">
        <v>7</v>
      </c>
      <c r="P54" s="234">
        <f ca="1">OFFSET($A$1,MATCH(Z49,$A:$A,0)-1,O54)</f>
        <v>21</v>
      </c>
      <c r="Q54" s="144" t="s">
        <v>29</v>
      </c>
      <c r="R54" s="118">
        <f t="shared" ca="1" si="12"/>
        <v>235459</v>
      </c>
      <c r="S54" s="118">
        <f t="shared" ca="1" si="12"/>
        <v>4944639</v>
      </c>
      <c r="T54" s="118">
        <f ca="1">초급</f>
        <v>235459</v>
      </c>
      <c r="U54" s="118">
        <f t="shared" ca="1" si="13"/>
        <v>4944639</v>
      </c>
      <c r="V54" s="118"/>
      <c r="W54" s="118"/>
      <c r="X54" s="118"/>
      <c r="Y54" s="118"/>
      <c r="Z54" s="115"/>
    </row>
    <row r="55" spans="1:26" ht="18" customHeight="1">
      <c r="A55" s="278"/>
      <c r="B55" s="9"/>
      <c r="C55" s="9"/>
      <c r="K55" s="171" t="s">
        <v>14</v>
      </c>
      <c r="L55" s="171"/>
      <c r="N55" s="319" t="s">
        <v>42</v>
      </c>
      <c r="O55" s="174">
        <v>8</v>
      </c>
      <c r="P55" s="235">
        <f ca="1">OFFSET($A$1,MATCH(Z49,$A:$A,0)-1,O55)</f>
        <v>27.4</v>
      </c>
      <c r="Q55" s="322" t="s">
        <v>29</v>
      </c>
      <c r="R55" s="323">
        <f t="shared" ca="1" si="12"/>
        <v>250087</v>
      </c>
      <c r="S55" s="323">
        <f t="shared" ca="1" si="12"/>
        <v>6852383</v>
      </c>
      <c r="T55" s="323">
        <f ca="1">보조원</f>
        <v>250087</v>
      </c>
      <c r="U55" s="323">
        <f t="shared" ca="1" si="13"/>
        <v>6852383</v>
      </c>
      <c r="V55" s="323"/>
      <c r="W55" s="323"/>
      <c r="X55" s="323"/>
      <c r="Y55" s="323"/>
      <c r="Z55" s="324"/>
    </row>
    <row r="56" spans="1:26" ht="18" customHeight="1">
      <c r="A56" s="278"/>
      <c r="B56" s="9"/>
      <c r="K56" s="171" t="s">
        <v>14</v>
      </c>
      <c r="L56" s="171"/>
      <c r="N56" s="139" t="s">
        <v>17</v>
      </c>
      <c r="O56" s="68"/>
      <c r="P56" s="69"/>
      <c r="Q56" s="70"/>
      <c r="R56" s="71"/>
      <c r="S56" s="71">
        <f ca="1">SUBTOTAL(9,S50:S55)</f>
        <v>19311994</v>
      </c>
      <c r="T56" s="71"/>
      <c r="U56" s="71">
        <f ca="1">SUBTOTAL(9,U50:U55)</f>
        <v>19311994</v>
      </c>
      <c r="V56" s="71"/>
      <c r="W56" s="71"/>
      <c r="X56" s="71"/>
      <c r="Y56" s="71"/>
      <c r="Z56" s="68"/>
    </row>
    <row r="57" spans="1:26" ht="18" customHeight="1">
      <c r="A57" s="278"/>
      <c r="B57" s="9"/>
      <c r="K57" s="171" t="s">
        <v>14</v>
      </c>
      <c r="L57" s="171"/>
      <c r="N57" s="318" t="str">
        <f ca="1">"제 " &amp; Z57 &amp; " 호표  "&amp; OFFSET($A$1,MATCH(Z57,$A:$A,0)-1,1)</f>
        <v>제 2 호표  2.1. 개발규모 및 내용설정</v>
      </c>
      <c r="O57" s="221"/>
      <c r="P57" s="148"/>
      <c r="Q57" s="148"/>
      <c r="R57" s="149"/>
      <c r="S57" s="149"/>
      <c r="T57" s="149"/>
      <c r="U57" s="149"/>
      <c r="V57" s="149"/>
      <c r="W57" s="149"/>
      <c r="X57" s="149"/>
      <c r="Y57" s="149"/>
      <c r="Z57" s="325">
        <f>Z49+1</f>
        <v>2</v>
      </c>
    </row>
    <row r="58" spans="1:26" ht="18" customHeight="1">
      <c r="A58" s="278"/>
      <c r="B58" s="9"/>
      <c r="K58" s="171" t="s">
        <v>14</v>
      </c>
      <c r="L58" s="171"/>
      <c r="N58" s="140" t="s">
        <v>43</v>
      </c>
      <c r="O58" s="172">
        <v>3</v>
      </c>
      <c r="P58" s="219">
        <f ca="1">OFFSET($A$1,MATCH(Z57,$A:$A,0)-1,O58)</f>
        <v>2.9</v>
      </c>
      <c r="Q58" s="141" t="s">
        <v>29</v>
      </c>
      <c r="R58" s="142">
        <f t="shared" ref="R58:S63" ca="1" si="14">T58</f>
        <v>467217</v>
      </c>
      <c r="S58" s="142">
        <f t="shared" ca="1" si="14"/>
        <v>1354929</v>
      </c>
      <c r="T58" s="142">
        <f ca="1">기술사</f>
        <v>467217</v>
      </c>
      <c r="U58" s="142">
        <f t="shared" ref="U58:U63" ca="1" si="15">ROUNDDOWN(P58*R58,0)</f>
        <v>1354929</v>
      </c>
      <c r="V58" s="142"/>
      <c r="W58" s="142"/>
      <c r="X58" s="142"/>
      <c r="Y58" s="142"/>
      <c r="Z58" s="114"/>
    </row>
    <row r="59" spans="1:26" ht="18" customHeight="1">
      <c r="A59" s="278"/>
      <c r="B59" s="9"/>
      <c r="K59" s="171" t="s">
        <v>14</v>
      </c>
      <c r="L59" s="171"/>
      <c r="N59" s="143" t="s">
        <v>32</v>
      </c>
      <c r="O59" s="173">
        <v>4</v>
      </c>
      <c r="P59" s="234">
        <f ca="1">OFFSET($A$1,MATCH(Z57,$A:$A,0)-1,O59)</f>
        <v>6.8</v>
      </c>
      <c r="Q59" s="144" t="s">
        <v>29</v>
      </c>
      <c r="R59" s="118">
        <f t="shared" ca="1" si="14"/>
        <v>373353</v>
      </c>
      <c r="S59" s="118">
        <f t="shared" ca="1" si="14"/>
        <v>2538800</v>
      </c>
      <c r="T59" s="118">
        <f ca="1">특급</f>
        <v>373353</v>
      </c>
      <c r="U59" s="118">
        <f t="shared" ca="1" si="15"/>
        <v>2538800</v>
      </c>
      <c r="V59" s="118"/>
      <c r="W59" s="118"/>
      <c r="X59" s="118"/>
      <c r="Y59" s="118"/>
      <c r="Z59" s="115"/>
    </row>
    <row r="60" spans="1:26" ht="18" customHeight="1">
      <c r="A60" s="278"/>
      <c r="B60" s="9"/>
      <c r="K60" s="171" t="s">
        <v>14</v>
      </c>
      <c r="L60" s="171"/>
      <c r="N60" s="145" t="s">
        <v>39</v>
      </c>
      <c r="O60" s="173">
        <v>5</v>
      </c>
      <c r="P60" s="234">
        <f ca="1">OFFSET($A$1,MATCH(Z57,$A:$A,0)-1,O60)</f>
        <v>10.8</v>
      </c>
      <c r="Q60" s="144" t="s">
        <v>29</v>
      </c>
      <c r="R60" s="118">
        <f t="shared" ca="1" si="14"/>
        <v>310884</v>
      </c>
      <c r="S60" s="118">
        <f t="shared" ca="1" si="14"/>
        <v>3357547</v>
      </c>
      <c r="T60" s="118">
        <f ca="1">고급</f>
        <v>310884</v>
      </c>
      <c r="U60" s="118">
        <f t="shared" ca="1" si="15"/>
        <v>3357547</v>
      </c>
      <c r="V60" s="118"/>
      <c r="W60" s="118"/>
      <c r="X60" s="118"/>
      <c r="Y60" s="118"/>
      <c r="Z60" s="115"/>
    </row>
    <row r="61" spans="1:26" ht="18" customHeight="1">
      <c r="A61" s="278"/>
      <c r="B61" s="9"/>
      <c r="K61" s="171" t="s">
        <v>14</v>
      </c>
      <c r="L61" s="171"/>
      <c r="N61" s="145" t="s">
        <v>40</v>
      </c>
      <c r="O61" s="173">
        <v>6</v>
      </c>
      <c r="P61" s="234">
        <f ca="1">OFFSET($A$1,MATCH(Z57,$A:$A,0)-1,O61)</f>
        <v>12.5</v>
      </c>
      <c r="Q61" s="144" t="s">
        <v>29</v>
      </c>
      <c r="R61" s="118">
        <f t="shared" ca="1" si="14"/>
        <v>295138</v>
      </c>
      <c r="S61" s="118">
        <f t="shared" ca="1" si="14"/>
        <v>3689225</v>
      </c>
      <c r="T61" s="118">
        <f ca="1">중급</f>
        <v>295138</v>
      </c>
      <c r="U61" s="118">
        <f t="shared" ca="1" si="15"/>
        <v>3689225</v>
      </c>
      <c r="V61" s="118"/>
      <c r="W61" s="118"/>
      <c r="X61" s="118"/>
      <c r="Y61" s="118"/>
      <c r="Z61" s="115"/>
    </row>
    <row r="62" spans="1:26" ht="18" customHeight="1">
      <c r="A62" s="278"/>
      <c r="K62" s="171" t="s">
        <v>14</v>
      </c>
      <c r="L62" s="171"/>
      <c r="N62" s="145" t="s">
        <v>41</v>
      </c>
      <c r="O62" s="173">
        <v>7</v>
      </c>
      <c r="P62" s="234">
        <f ca="1">OFFSET($A$1,MATCH(Z57,$A:$A,0)-1,O62)</f>
        <v>10.1</v>
      </c>
      <c r="Q62" s="144" t="s">
        <v>29</v>
      </c>
      <c r="R62" s="118">
        <f t="shared" ca="1" si="14"/>
        <v>235459</v>
      </c>
      <c r="S62" s="118">
        <f t="shared" ca="1" si="14"/>
        <v>2378135</v>
      </c>
      <c r="T62" s="118">
        <f ca="1">초급</f>
        <v>235459</v>
      </c>
      <c r="U62" s="118">
        <f t="shared" ca="1" si="15"/>
        <v>2378135</v>
      </c>
      <c r="V62" s="118"/>
      <c r="W62" s="118"/>
      <c r="X62" s="118"/>
      <c r="Y62" s="118"/>
      <c r="Z62" s="115"/>
    </row>
    <row r="63" spans="1:26" ht="18" customHeight="1">
      <c r="A63" s="278"/>
      <c r="K63" s="171" t="s">
        <v>14</v>
      </c>
      <c r="L63" s="171"/>
      <c r="N63" s="319" t="s">
        <v>42</v>
      </c>
      <c r="O63" s="174">
        <v>8</v>
      </c>
      <c r="P63" s="235">
        <f ca="1">OFFSET($A$1,MATCH(Z57,$A:$A,0)-1,O63)</f>
        <v>0</v>
      </c>
      <c r="Q63" s="322" t="s">
        <v>29</v>
      </c>
      <c r="R63" s="323">
        <f t="shared" ca="1" si="14"/>
        <v>250087</v>
      </c>
      <c r="S63" s="323">
        <f t="shared" ca="1" si="14"/>
        <v>0</v>
      </c>
      <c r="T63" s="323">
        <f ca="1">보조원</f>
        <v>250087</v>
      </c>
      <c r="U63" s="323">
        <f t="shared" ca="1" si="15"/>
        <v>0</v>
      </c>
      <c r="V63" s="323"/>
      <c r="W63" s="323"/>
      <c r="X63" s="323"/>
      <c r="Y63" s="323"/>
      <c r="Z63" s="324"/>
    </row>
    <row r="64" spans="1:26" ht="18" customHeight="1">
      <c r="A64" s="278"/>
      <c r="K64" s="171" t="s">
        <v>14</v>
      </c>
      <c r="L64" s="171"/>
      <c r="N64" s="139" t="s">
        <v>17</v>
      </c>
      <c r="O64" s="68"/>
      <c r="P64" s="69"/>
      <c r="Q64" s="70"/>
      <c r="R64" s="71"/>
      <c r="S64" s="71">
        <f ca="1">SUBTOTAL(9,S58:S63)</f>
        <v>13318636</v>
      </c>
      <c r="T64" s="71"/>
      <c r="U64" s="71">
        <f ca="1">SUBTOTAL(9,U58:U63)</f>
        <v>13318636</v>
      </c>
      <c r="V64" s="71"/>
      <c r="W64" s="71"/>
      <c r="X64" s="71"/>
      <c r="Y64" s="71"/>
      <c r="Z64" s="68"/>
    </row>
    <row r="65" spans="1:26" ht="18" customHeight="1">
      <c r="A65" s="278"/>
      <c r="K65" s="171" t="s">
        <v>14</v>
      </c>
      <c r="L65" s="171"/>
      <c r="N65" s="318" t="str">
        <f ca="1">"제 " &amp; Z65 &amp; " 호표  "&amp; OFFSET($A$1,MATCH(Z65,$A:$A,0)-1,1)</f>
        <v>제 3 호표  2.2. 기본구상안 작성</v>
      </c>
      <c r="O65" s="221"/>
      <c r="P65" s="148"/>
      <c r="Q65" s="148"/>
      <c r="R65" s="149"/>
      <c r="S65" s="149"/>
      <c r="T65" s="149"/>
      <c r="U65" s="149"/>
      <c r="V65" s="149"/>
      <c r="W65" s="149"/>
      <c r="X65" s="149"/>
      <c r="Y65" s="149"/>
      <c r="Z65" s="325">
        <f>Z57+1</f>
        <v>3</v>
      </c>
    </row>
    <row r="66" spans="1:26" ht="18" customHeight="1">
      <c r="A66" s="278"/>
      <c r="K66" s="171" t="s">
        <v>14</v>
      </c>
      <c r="L66" s="171"/>
      <c r="N66" s="140" t="s">
        <v>43</v>
      </c>
      <c r="O66" s="172">
        <v>3</v>
      </c>
      <c r="P66" s="219">
        <f ca="1">OFFSET($A$1,MATCH(Z65,$A:$A,0)-1,O66)</f>
        <v>6</v>
      </c>
      <c r="Q66" s="141" t="s">
        <v>29</v>
      </c>
      <c r="R66" s="142">
        <f t="shared" ref="R66:S71" ca="1" si="16">T66</f>
        <v>467217</v>
      </c>
      <c r="S66" s="142">
        <f t="shared" ca="1" si="16"/>
        <v>2803302</v>
      </c>
      <c r="T66" s="142">
        <f ca="1">기술사</f>
        <v>467217</v>
      </c>
      <c r="U66" s="142">
        <f t="shared" ref="U66:U71" ca="1" si="17">ROUNDDOWN(P66*R66,0)</f>
        <v>2803302</v>
      </c>
      <c r="V66" s="142"/>
      <c r="W66" s="142"/>
      <c r="X66" s="142"/>
      <c r="Y66" s="142"/>
      <c r="Z66" s="114"/>
    </row>
    <row r="67" spans="1:26" ht="18" customHeight="1">
      <c r="A67" s="278"/>
      <c r="K67" s="171" t="s">
        <v>14</v>
      </c>
      <c r="L67" s="171"/>
      <c r="N67" s="143" t="s">
        <v>32</v>
      </c>
      <c r="O67" s="173">
        <v>4</v>
      </c>
      <c r="P67" s="234">
        <f ca="1">OFFSET($A$1,MATCH(Z65,$A:$A,0)-1,O67)</f>
        <v>10.5</v>
      </c>
      <c r="Q67" s="144" t="s">
        <v>29</v>
      </c>
      <c r="R67" s="118">
        <f t="shared" ca="1" si="16"/>
        <v>373353</v>
      </c>
      <c r="S67" s="118">
        <f t="shared" ca="1" si="16"/>
        <v>3920206</v>
      </c>
      <c r="T67" s="118">
        <f ca="1">특급</f>
        <v>373353</v>
      </c>
      <c r="U67" s="118">
        <f t="shared" ca="1" si="17"/>
        <v>3920206</v>
      </c>
      <c r="V67" s="118"/>
      <c r="W67" s="118"/>
      <c r="X67" s="118"/>
      <c r="Y67" s="118"/>
      <c r="Z67" s="115"/>
    </row>
    <row r="68" spans="1:26" ht="18" customHeight="1">
      <c r="A68" s="278"/>
      <c r="K68" s="171" t="s">
        <v>14</v>
      </c>
      <c r="L68" s="171"/>
      <c r="N68" s="145" t="s">
        <v>39</v>
      </c>
      <c r="O68" s="173">
        <v>5</v>
      </c>
      <c r="P68" s="234">
        <f ca="1">OFFSET($A$1,MATCH(Z65,$A:$A,0)-1,O68)</f>
        <v>16.899999999999999</v>
      </c>
      <c r="Q68" s="144" t="s">
        <v>29</v>
      </c>
      <c r="R68" s="118">
        <f t="shared" ca="1" si="16"/>
        <v>310884</v>
      </c>
      <c r="S68" s="118">
        <f t="shared" ca="1" si="16"/>
        <v>5253939</v>
      </c>
      <c r="T68" s="118">
        <f ca="1">고급</f>
        <v>310884</v>
      </c>
      <c r="U68" s="118">
        <f t="shared" ca="1" si="17"/>
        <v>5253939</v>
      </c>
      <c r="V68" s="118"/>
      <c r="W68" s="118"/>
      <c r="X68" s="118"/>
      <c r="Y68" s="118"/>
      <c r="Z68" s="115"/>
    </row>
    <row r="69" spans="1:26" ht="18" customHeight="1">
      <c r="A69" s="278"/>
      <c r="K69" s="171" t="s">
        <v>14</v>
      </c>
      <c r="L69" s="171"/>
      <c r="N69" s="145" t="s">
        <v>40</v>
      </c>
      <c r="O69" s="173">
        <v>6</v>
      </c>
      <c r="P69" s="234">
        <f ca="1">OFFSET($A$1,MATCH(Z65,$A:$A,0)-1,O69)</f>
        <v>20.8</v>
      </c>
      <c r="Q69" s="144" t="s">
        <v>29</v>
      </c>
      <c r="R69" s="118">
        <f t="shared" ca="1" si="16"/>
        <v>295138</v>
      </c>
      <c r="S69" s="118">
        <f t="shared" ca="1" si="16"/>
        <v>6138870</v>
      </c>
      <c r="T69" s="118">
        <f ca="1">중급</f>
        <v>295138</v>
      </c>
      <c r="U69" s="118">
        <f t="shared" ca="1" si="17"/>
        <v>6138870</v>
      </c>
      <c r="V69" s="118"/>
      <c r="W69" s="118"/>
      <c r="X69" s="118"/>
      <c r="Y69" s="118"/>
      <c r="Z69" s="115"/>
    </row>
    <row r="70" spans="1:26" ht="18" customHeight="1">
      <c r="A70" s="278"/>
      <c r="K70" s="171" t="s">
        <v>14</v>
      </c>
      <c r="L70" s="171"/>
      <c r="N70" s="145" t="s">
        <v>41</v>
      </c>
      <c r="O70" s="173">
        <v>7</v>
      </c>
      <c r="P70" s="234">
        <f ca="1">OFFSET($A$1,MATCH(Z65,$A:$A,0)-1,O70)</f>
        <v>20.3</v>
      </c>
      <c r="Q70" s="144" t="s">
        <v>29</v>
      </c>
      <c r="R70" s="118">
        <f t="shared" ca="1" si="16"/>
        <v>235459</v>
      </c>
      <c r="S70" s="118">
        <f t="shared" ca="1" si="16"/>
        <v>4779817</v>
      </c>
      <c r="T70" s="118">
        <f ca="1">초급</f>
        <v>235459</v>
      </c>
      <c r="U70" s="118">
        <f t="shared" ca="1" si="17"/>
        <v>4779817</v>
      </c>
      <c r="V70" s="118"/>
      <c r="W70" s="118"/>
      <c r="X70" s="118"/>
      <c r="Y70" s="118"/>
      <c r="Z70" s="115"/>
    </row>
    <row r="71" spans="1:26" ht="18" customHeight="1">
      <c r="K71" s="171" t="s">
        <v>14</v>
      </c>
      <c r="L71" s="171"/>
      <c r="N71" s="319" t="s">
        <v>42</v>
      </c>
      <c r="O71" s="174">
        <v>8</v>
      </c>
      <c r="P71" s="235">
        <f ca="1">OFFSET($A$1,MATCH(Z65,$A:$A,0)-1,O71)</f>
        <v>19.399999999999999</v>
      </c>
      <c r="Q71" s="322" t="s">
        <v>29</v>
      </c>
      <c r="R71" s="323">
        <f t="shared" ca="1" si="16"/>
        <v>250087</v>
      </c>
      <c r="S71" s="323">
        <f t="shared" ca="1" si="16"/>
        <v>4851687</v>
      </c>
      <c r="T71" s="323">
        <f ca="1">보조원</f>
        <v>250087</v>
      </c>
      <c r="U71" s="323">
        <f t="shared" ca="1" si="17"/>
        <v>4851687</v>
      </c>
      <c r="V71" s="323"/>
      <c r="W71" s="323"/>
      <c r="X71" s="323"/>
      <c r="Y71" s="323"/>
      <c r="Z71" s="324"/>
    </row>
    <row r="72" spans="1:26" ht="18" customHeight="1">
      <c r="K72" s="171" t="s">
        <v>14</v>
      </c>
      <c r="L72" s="171"/>
      <c r="N72" s="139" t="s">
        <v>17</v>
      </c>
      <c r="O72" s="68"/>
      <c r="P72" s="69"/>
      <c r="Q72" s="70"/>
      <c r="R72" s="71"/>
      <c r="S72" s="71">
        <f ca="1">SUBTOTAL(9,S66:S71)</f>
        <v>27747821</v>
      </c>
      <c r="T72" s="71"/>
      <c r="U72" s="71">
        <f ca="1">SUBTOTAL(9,U66:U71)</f>
        <v>27747821</v>
      </c>
      <c r="V72" s="71"/>
      <c r="W72" s="71"/>
      <c r="X72" s="71"/>
      <c r="Y72" s="71"/>
      <c r="Z72" s="68"/>
    </row>
    <row r="73" spans="1:26" ht="18" customHeight="1">
      <c r="K73" s="171" t="s">
        <v>14</v>
      </c>
      <c r="L73" s="171"/>
      <c r="N73" s="318" t="str">
        <f ca="1">"제 " &amp; Z73 &amp; " 호표  "&amp; OFFSET($A$1,MATCH(Z73,$A:$A,0)-1,1)</f>
        <v>제 4 호표  2.3. 타당성검토</v>
      </c>
      <c r="O73" s="221"/>
      <c r="P73" s="148"/>
      <c r="Q73" s="148"/>
      <c r="R73" s="149"/>
      <c r="S73" s="149"/>
      <c r="T73" s="149"/>
      <c r="U73" s="149"/>
      <c r="V73" s="149"/>
      <c r="W73" s="149"/>
      <c r="X73" s="149"/>
      <c r="Y73" s="149"/>
      <c r="Z73" s="325">
        <f>Z65+1</f>
        <v>4</v>
      </c>
    </row>
    <row r="74" spans="1:26" ht="18" customHeight="1">
      <c r="K74" s="171" t="s">
        <v>14</v>
      </c>
      <c r="L74" s="171"/>
      <c r="N74" s="140" t="s">
        <v>43</v>
      </c>
      <c r="O74" s="172">
        <v>3</v>
      </c>
      <c r="P74" s="219">
        <f ca="1">OFFSET($A$1,MATCH(Z73,$A:$A,0)-1,O74)</f>
        <v>3.3</v>
      </c>
      <c r="Q74" s="141" t="s">
        <v>29</v>
      </c>
      <c r="R74" s="142">
        <f t="shared" ref="R74:S79" ca="1" si="18">T74</f>
        <v>467217</v>
      </c>
      <c r="S74" s="142">
        <f t="shared" ca="1" si="18"/>
        <v>1541816</v>
      </c>
      <c r="T74" s="142">
        <f ca="1">기술사</f>
        <v>467217</v>
      </c>
      <c r="U74" s="142">
        <f t="shared" ref="U74:U79" ca="1" si="19">ROUNDDOWN(P74*R74,0)</f>
        <v>1541816</v>
      </c>
      <c r="V74" s="142"/>
      <c r="W74" s="142"/>
      <c r="X74" s="142"/>
      <c r="Y74" s="142"/>
      <c r="Z74" s="114"/>
    </row>
    <row r="75" spans="1:26" ht="18" customHeight="1">
      <c r="K75" s="171" t="s">
        <v>14</v>
      </c>
      <c r="L75" s="171"/>
      <c r="N75" s="143" t="s">
        <v>32</v>
      </c>
      <c r="O75" s="173">
        <v>4</v>
      </c>
      <c r="P75" s="234">
        <f ca="1">OFFSET($A$1,MATCH(Z73,$A:$A,0)-1,O75)</f>
        <v>5.2</v>
      </c>
      <c r="Q75" s="144" t="s">
        <v>29</v>
      </c>
      <c r="R75" s="118">
        <f t="shared" ca="1" si="18"/>
        <v>373353</v>
      </c>
      <c r="S75" s="118">
        <f t="shared" ca="1" si="18"/>
        <v>1941435</v>
      </c>
      <c r="T75" s="118">
        <f ca="1">특급</f>
        <v>373353</v>
      </c>
      <c r="U75" s="118">
        <f t="shared" ca="1" si="19"/>
        <v>1941435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N76" s="145" t="s">
        <v>39</v>
      </c>
      <c r="O76" s="173">
        <v>5</v>
      </c>
      <c r="P76" s="234">
        <f ca="1">OFFSET($A$1,MATCH(Z73,$A:$A,0)-1,O76)</f>
        <v>9.5</v>
      </c>
      <c r="Q76" s="144" t="s">
        <v>29</v>
      </c>
      <c r="R76" s="118">
        <f t="shared" ca="1" si="18"/>
        <v>310884</v>
      </c>
      <c r="S76" s="118">
        <f t="shared" ca="1" si="18"/>
        <v>2953398</v>
      </c>
      <c r="T76" s="118">
        <f ca="1">고급</f>
        <v>310884</v>
      </c>
      <c r="U76" s="118">
        <f t="shared" ca="1" si="19"/>
        <v>2953398</v>
      </c>
      <c r="V76" s="118"/>
      <c r="W76" s="118"/>
      <c r="X76" s="118"/>
      <c r="Y76" s="118"/>
      <c r="Z76" s="115"/>
    </row>
    <row r="77" spans="1:26" ht="18" customHeight="1">
      <c r="K77" s="171" t="s">
        <v>14</v>
      </c>
      <c r="L77" s="171"/>
      <c r="N77" s="145" t="s">
        <v>40</v>
      </c>
      <c r="O77" s="173">
        <v>6</v>
      </c>
      <c r="P77" s="234">
        <f ca="1">OFFSET($A$1,MATCH(Z73,$A:$A,0)-1,O77)</f>
        <v>10.199999999999999</v>
      </c>
      <c r="Q77" s="144" t="s">
        <v>29</v>
      </c>
      <c r="R77" s="118">
        <f t="shared" ca="1" si="18"/>
        <v>295138</v>
      </c>
      <c r="S77" s="118">
        <f t="shared" ca="1" si="18"/>
        <v>3010407</v>
      </c>
      <c r="T77" s="118">
        <f ca="1">중급</f>
        <v>295138</v>
      </c>
      <c r="U77" s="118">
        <f t="shared" ca="1" si="19"/>
        <v>3010407</v>
      </c>
      <c r="V77" s="118"/>
      <c r="W77" s="118"/>
      <c r="X77" s="118"/>
      <c r="Y77" s="118"/>
      <c r="Z77" s="115"/>
    </row>
    <row r="78" spans="1:26" ht="18" customHeight="1">
      <c r="K78" s="171" t="s">
        <v>14</v>
      </c>
      <c r="L78" s="171"/>
      <c r="N78" s="145" t="s">
        <v>41</v>
      </c>
      <c r="O78" s="173">
        <v>7</v>
      </c>
      <c r="P78" s="234">
        <f ca="1">OFFSET($A$1,MATCH(Z73,$A:$A,0)-1,O78)</f>
        <v>9.3000000000000007</v>
      </c>
      <c r="Q78" s="144" t="s">
        <v>29</v>
      </c>
      <c r="R78" s="118">
        <f t="shared" ca="1" si="18"/>
        <v>235459</v>
      </c>
      <c r="S78" s="118">
        <f t="shared" ca="1" si="18"/>
        <v>2189768</v>
      </c>
      <c r="T78" s="118">
        <f ca="1">초급</f>
        <v>235459</v>
      </c>
      <c r="U78" s="118">
        <f t="shared" ca="1" si="19"/>
        <v>2189768</v>
      </c>
      <c r="V78" s="118"/>
      <c r="W78" s="118"/>
      <c r="X78" s="118"/>
      <c r="Y78" s="118"/>
      <c r="Z78" s="115"/>
    </row>
    <row r="79" spans="1:26" ht="18" customHeight="1">
      <c r="K79" s="171" t="s">
        <v>14</v>
      </c>
      <c r="L79" s="171"/>
      <c r="N79" s="319" t="s">
        <v>42</v>
      </c>
      <c r="O79" s="174">
        <v>8</v>
      </c>
      <c r="P79" s="235">
        <f ca="1">OFFSET($A$1,MATCH(Z73,$A:$A,0)-1,O79)</f>
        <v>9.1</v>
      </c>
      <c r="Q79" s="322" t="s">
        <v>29</v>
      </c>
      <c r="R79" s="323">
        <f t="shared" ca="1" si="18"/>
        <v>250087</v>
      </c>
      <c r="S79" s="323">
        <f t="shared" ca="1" si="18"/>
        <v>2275791</v>
      </c>
      <c r="T79" s="323">
        <f ca="1">보조원</f>
        <v>250087</v>
      </c>
      <c r="U79" s="323">
        <f t="shared" ca="1" si="19"/>
        <v>2275791</v>
      </c>
      <c r="V79" s="323"/>
      <c r="W79" s="323"/>
      <c r="X79" s="323"/>
      <c r="Y79" s="323"/>
      <c r="Z79" s="324"/>
    </row>
    <row r="80" spans="1:26" ht="18" customHeight="1">
      <c r="K80" s="171" t="s">
        <v>14</v>
      </c>
      <c r="L80" s="171"/>
      <c r="N80" s="139" t="s">
        <v>17</v>
      </c>
      <c r="O80" s="68"/>
      <c r="P80" s="69"/>
      <c r="Q80" s="70"/>
      <c r="R80" s="71"/>
      <c r="S80" s="71">
        <f ca="1">SUBTOTAL(9,S74:S79)</f>
        <v>13912615</v>
      </c>
      <c r="T80" s="71"/>
      <c r="U80" s="71">
        <f ca="1">SUBTOTAL(9,U74:U79)</f>
        <v>13912615</v>
      </c>
      <c r="V80" s="71"/>
      <c r="W80" s="71"/>
      <c r="X80" s="71"/>
      <c r="Y80" s="71"/>
      <c r="Z80" s="68"/>
    </row>
    <row r="81" spans="11:26" ht="18" customHeight="1">
      <c r="K81" s="171" t="s">
        <v>14</v>
      </c>
      <c r="L81" s="171"/>
      <c r="N81" s="318" t="str">
        <f ca="1">"제 " &amp; Z81 &amp; " 호표  "&amp; OFFSET($A$1,MATCH(Z81,$A:$A,0)-1,1)</f>
        <v>제 5 호표  3.1. 사업집행계획</v>
      </c>
      <c r="O81" s="221"/>
      <c r="P81" s="148"/>
      <c r="Q81" s="148"/>
      <c r="R81" s="149"/>
      <c r="S81" s="149"/>
      <c r="T81" s="149"/>
      <c r="U81" s="149"/>
      <c r="V81" s="149"/>
      <c r="W81" s="149"/>
      <c r="X81" s="149"/>
      <c r="Y81" s="149"/>
      <c r="Z81" s="325">
        <f>Z73+1</f>
        <v>5</v>
      </c>
    </row>
    <row r="82" spans="11:26" ht="18" customHeight="1">
      <c r="K82" s="171" t="s">
        <v>14</v>
      </c>
      <c r="L82" s="171"/>
      <c r="N82" s="140" t="s">
        <v>43</v>
      </c>
      <c r="O82" s="172">
        <v>3</v>
      </c>
      <c r="P82" s="219">
        <f ca="1">OFFSET($A$1,MATCH(Z81,$A:$A,0)-1,O82)</f>
        <v>0.7</v>
      </c>
      <c r="Q82" s="141" t="s">
        <v>29</v>
      </c>
      <c r="R82" s="142">
        <f t="shared" ref="R82:S87" ca="1" si="20">T82</f>
        <v>467217</v>
      </c>
      <c r="S82" s="142">
        <f t="shared" ca="1" si="20"/>
        <v>327051</v>
      </c>
      <c r="T82" s="142">
        <f ca="1">기술사</f>
        <v>467217</v>
      </c>
      <c r="U82" s="142">
        <f t="shared" ref="U82:U87" ca="1" si="21">ROUNDDOWN(P82*R82,0)</f>
        <v>327051</v>
      </c>
      <c r="V82" s="142"/>
      <c r="W82" s="142"/>
      <c r="X82" s="142"/>
      <c r="Y82" s="142"/>
      <c r="Z82" s="114"/>
    </row>
    <row r="83" spans="11:26" ht="18" customHeight="1">
      <c r="K83" s="171" t="s">
        <v>14</v>
      </c>
      <c r="L83" s="171"/>
      <c r="N83" s="143" t="s">
        <v>32</v>
      </c>
      <c r="O83" s="173">
        <v>4</v>
      </c>
      <c r="P83" s="234">
        <f ca="1">OFFSET($A$1,MATCH(Z81,$A:$A,0)-1,O83)</f>
        <v>3.1</v>
      </c>
      <c r="Q83" s="144" t="s">
        <v>29</v>
      </c>
      <c r="R83" s="118">
        <f t="shared" ca="1" si="20"/>
        <v>373353</v>
      </c>
      <c r="S83" s="118">
        <f t="shared" ca="1" si="20"/>
        <v>1157394</v>
      </c>
      <c r="T83" s="118">
        <f ca="1">특급</f>
        <v>373353</v>
      </c>
      <c r="U83" s="118">
        <f t="shared" ca="1" si="21"/>
        <v>1157394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145" t="s">
        <v>39</v>
      </c>
      <c r="O84" s="173">
        <v>5</v>
      </c>
      <c r="P84" s="234">
        <f ca="1">OFFSET($A$1,MATCH(Z81,$A:$A,0)-1,O84)</f>
        <v>5.5</v>
      </c>
      <c r="Q84" s="144" t="s">
        <v>29</v>
      </c>
      <c r="R84" s="118">
        <f t="shared" ca="1" si="20"/>
        <v>310884</v>
      </c>
      <c r="S84" s="118">
        <f t="shared" ca="1" si="20"/>
        <v>1709862</v>
      </c>
      <c r="T84" s="118">
        <f ca="1">고급</f>
        <v>310884</v>
      </c>
      <c r="U84" s="118">
        <f t="shared" ca="1" si="21"/>
        <v>1709862</v>
      </c>
      <c r="V84" s="118"/>
      <c r="W84" s="118"/>
      <c r="X84" s="118"/>
      <c r="Y84" s="118"/>
      <c r="Z84" s="115"/>
    </row>
    <row r="85" spans="11:26" ht="18" customHeight="1">
      <c r="K85" s="171" t="s">
        <v>14</v>
      </c>
      <c r="L85" s="171"/>
      <c r="N85" s="145" t="s">
        <v>40</v>
      </c>
      <c r="O85" s="173">
        <v>6</v>
      </c>
      <c r="P85" s="234">
        <f ca="1">OFFSET($A$1,MATCH(Z81,$A:$A,0)-1,O85)</f>
        <v>6.5</v>
      </c>
      <c r="Q85" s="144" t="s">
        <v>29</v>
      </c>
      <c r="R85" s="118">
        <f t="shared" ca="1" si="20"/>
        <v>295138</v>
      </c>
      <c r="S85" s="118">
        <f t="shared" ca="1" si="20"/>
        <v>1918397</v>
      </c>
      <c r="T85" s="118">
        <f ca="1">중급</f>
        <v>295138</v>
      </c>
      <c r="U85" s="118">
        <f t="shared" ca="1" si="21"/>
        <v>1918397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N86" s="145" t="s">
        <v>41</v>
      </c>
      <c r="O86" s="173">
        <v>7</v>
      </c>
      <c r="P86" s="234">
        <f ca="1">OFFSET($A$1,MATCH(Z81,$A:$A,0)-1,O86)</f>
        <v>8.6</v>
      </c>
      <c r="Q86" s="144" t="s">
        <v>29</v>
      </c>
      <c r="R86" s="118">
        <f t="shared" ca="1" si="20"/>
        <v>235459</v>
      </c>
      <c r="S86" s="118">
        <f t="shared" ca="1" si="20"/>
        <v>2024947</v>
      </c>
      <c r="T86" s="118">
        <f ca="1">초급</f>
        <v>235459</v>
      </c>
      <c r="U86" s="118">
        <f t="shared" ca="1" si="21"/>
        <v>2024947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N87" s="319" t="s">
        <v>42</v>
      </c>
      <c r="O87" s="174">
        <v>8</v>
      </c>
      <c r="P87" s="235">
        <f ca="1">OFFSET($A$1,MATCH(Z81,$A:$A,0)-1,O87)</f>
        <v>6.5</v>
      </c>
      <c r="Q87" s="322" t="s">
        <v>29</v>
      </c>
      <c r="R87" s="323">
        <f t="shared" ca="1" si="20"/>
        <v>250087</v>
      </c>
      <c r="S87" s="323">
        <f t="shared" ca="1" si="20"/>
        <v>1625565</v>
      </c>
      <c r="T87" s="323">
        <f ca="1">보조원</f>
        <v>250087</v>
      </c>
      <c r="U87" s="323">
        <f t="shared" ca="1" si="21"/>
        <v>1625565</v>
      </c>
      <c r="V87" s="323"/>
      <c r="W87" s="323"/>
      <c r="X87" s="323"/>
      <c r="Y87" s="323"/>
      <c r="Z87" s="324"/>
    </row>
    <row r="88" spans="11:26" ht="18" customHeight="1">
      <c r="K88" s="171" t="s">
        <v>14</v>
      </c>
      <c r="L88" s="171"/>
      <c r="N88" s="139" t="s">
        <v>17</v>
      </c>
      <c r="O88" s="68"/>
      <c r="P88" s="69"/>
      <c r="Q88" s="70"/>
      <c r="R88" s="71"/>
      <c r="S88" s="71">
        <f ca="1">SUBTOTAL(9,S82:S87)</f>
        <v>8763216</v>
      </c>
      <c r="T88" s="71"/>
      <c r="U88" s="71">
        <f ca="1">SUBTOTAL(9,U82:U87)</f>
        <v>8763216</v>
      </c>
      <c r="V88" s="71"/>
      <c r="W88" s="71"/>
      <c r="X88" s="71"/>
      <c r="Y88" s="71"/>
      <c r="Z88" s="68"/>
    </row>
    <row r="89" spans="11:26" ht="18" customHeight="1">
      <c r="K89" s="171" t="s">
        <v>14</v>
      </c>
      <c r="L89" s="171"/>
      <c r="N89" s="318" t="str">
        <f ca="1">"제 " &amp; Z89 &amp; " 호표  "&amp; OFFSET($A$1,MATCH(Z89,$A:$A,0)-1,1)</f>
        <v>제 6 호표  4.1. 성과품 작성</v>
      </c>
      <c r="O89" s="221"/>
      <c r="P89" s="148"/>
      <c r="Q89" s="148"/>
      <c r="R89" s="149"/>
      <c r="S89" s="149"/>
      <c r="T89" s="149"/>
      <c r="U89" s="149"/>
      <c r="V89" s="149"/>
      <c r="W89" s="149"/>
      <c r="X89" s="149"/>
      <c r="Y89" s="149"/>
      <c r="Z89" s="325">
        <f>Z81+1</f>
        <v>6</v>
      </c>
    </row>
    <row r="90" spans="11:26" ht="18" customHeight="1">
      <c r="K90" s="171" t="s">
        <v>14</v>
      </c>
      <c r="L90" s="171"/>
      <c r="N90" s="140" t="s">
        <v>43</v>
      </c>
      <c r="O90" s="172">
        <v>3</v>
      </c>
      <c r="P90" s="219">
        <f ca="1">OFFSET($A$1,MATCH(Z89,$A:$A,0)-1,O90)</f>
        <v>0.4</v>
      </c>
      <c r="Q90" s="141" t="s">
        <v>29</v>
      </c>
      <c r="R90" s="142">
        <f t="shared" ref="R90:S95" ca="1" si="22">T90</f>
        <v>467217</v>
      </c>
      <c r="S90" s="142">
        <f t="shared" ca="1" si="22"/>
        <v>186886</v>
      </c>
      <c r="T90" s="142">
        <f ca="1">기술사</f>
        <v>467217</v>
      </c>
      <c r="U90" s="142">
        <f t="shared" ref="U90:U95" ca="1" si="23">ROUNDDOWN(P90*R90,0)</f>
        <v>186886</v>
      </c>
      <c r="V90" s="142"/>
      <c r="W90" s="142"/>
      <c r="X90" s="142"/>
      <c r="Y90" s="142"/>
      <c r="Z90" s="114"/>
    </row>
    <row r="91" spans="11:26" ht="18" customHeight="1">
      <c r="K91" s="171" t="s">
        <v>14</v>
      </c>
      <c r="L91" s="171"/>
      <c r="N91" s="143" t="s">
        <v>32</v>
      </c>
      <c r="O91" s="173">
        <v>4</v>
      </c>
      <c r="P91" s="234">
        <f ca="1">OFFSET($A$1,MATCH(Z89,$A:$A,0)-1,O91)</f>
        <v>0.6</v>
      </c>
      <c r="Q91" s="144" t="s">
        <v>29</v>
      </c>
      <c r="R91" s="118">
        <f t="shared" ca="1" si="22"/>
        <v>373353</v>
      </c>
      <c r="S91" s="118">
        <f t="shared" ca="1" si="22"/>
        <v>224011</v>
      </c>
      <c r="T91" s="118">
        <f ca="1">특급</f>
        <v>373353</v>
      </c>
      <c r="U91" s="118">
        <f t="shared" ca="1" si="23"/>
        <v>224011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145" t="s">
        <v>39</v>
      </c>
      <c r="O92" s="173">
        <v>5</v>
      </c>
      <c r="P92" s="234">
        <f ca="1">OFFSET($A$1,MATCH(Z89,$A:$A,0)-1,O92)</f>
        <v>2.4</v>
      </c>
      <c r="Q92" s="144" t="s">
        <v>29</v>
      </c>
      <c r="R92" s="118">
        <f t="shared" ca="1" si="22"/>
        <v>310884</v>
      </c>
      <c r="S92" s="118">
        <f t="shared" ca="1" si="22"/>
        <v>746121</v>
      </c>
      <c r="T92" s="118">
        <f ca="1">고급</f>
        <v>310884</v>
      </c>
      <c r="U92" s="118">
        <f t="shared" ca="1" si="23"/>
        <v>746121</v>
      </c>
      <c r="V92" s="118"/>
      <c r="W92" s="118"/>
      <c r="X92" s="118"/>
      <c r="Y92" s="118"/>
      <c r="Z92" s="115"/>
    </row>
    <row r="93" spans="11:26" ht="18" customHeight="1">
      <c r="K93" s="171" t="s">
        <v>14</v>
      </c>
      <c r="L93" s="171"/>
      <c r="N93" s="145" t="s">
        <v>40</v>
      </c>
      <c r="O93" s="173">
        <v>6</v>
      </c>
      <c r="P93" s="234">
        <f ca="1">OFFSET($A$1,MATCH(Z89,$A:$A,0)-1,O93)</f>
        <v>5</v>
      </c>
      <c r="Q93" s="144" t="s">
        <v>29</v>
      </c>
      <c r="R93" s="118">
        <f t="shared" ca="1" si="22"/>
        <v>295138</v>
      </c>
      <c r="S93" s="118">
        <f t="shared" ca="1" si="22"/>
        <v>1475690</v>
      </c>
      <c r="T93" s="118">
        <f ca="1">중급</f>
        <v>295138</v>
      </c>
      <c r="U93" s="118">
        <f t="shared" ca="1" si="23"/>
        <v>1475690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N94" s="145" t="s">
        <v>41</v>
      </c>
      <c r="O94" s="173">
        <v>7</v>
      </c>
      <c r="P94" s="234">
        <f ca="1">OFFSET($A$1,MATCH(Z89,$A:$A,0)-1,O94)</f>
        <v>11.6</v>
      </c>
      <c r="Q94" s="144" t="s">
        <v>29</v>
      </c>
      <c r="R94" s="118">
        <f t="shared" ca="1" si="22"/>
        <v>235459</v>
      </c>
      <c r="S94" s="118">
        <f t="shared" ca="1" si="22"/>
        <v>2731324</v>
      </c>
      <c r="T94" s="118">
        <f ca="1">초급</f>
        <v>235459</v>
      </c>
      <c r="U94" s="118">
        <f t="shared" ca="1" si="23"/>
        <v>2731324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N95" s="319" t="s">
        <v>42</v>
      </c>
      <c r="O95" s="174">
        <v>8</v>
      </c>
      <c r="P95" s="235">
        <f ca="1">OFFSET($A$1,MATCH(Z89,$A:$A,0)-1,O95)</f>
        <v>18.3</v>
      </c>
      <c r="Q95" s="322" t="s">
        <v>29</v>
      </c>
      <c r="R95" s="323">
        <f t="shared" ca="1" si="22"/>
        <v>250087</v>
      </c>
      <c r="S95" s="323">
        <f t="shared" ca="1" si="22"/>
        <v>4576592</v>
      </c>
      <c r="T95" s="323">
        <f ca="1">보조원</f>
        <v>250087</v>
      </c>
      <c r="U95" s="323">
        <f t="shared" ca="1" si="23"/>
        <v>4576592</v>
      </c>
      <c r="V95" s="323"/>
      <c r="W95" s="323"/>
      <c r="X95" s="323"/>
      <c r="Y95" s="323"/>
      <c r="Z95" s="324"/>
    </row>
    <row r="96" spans="11:26" ht="18" customHeight="1">
      <c r="K96" s="171" t="s">
        <v>14</v>
      </c>
      <c r="L96" s="171"/>
      <c r="N96" s="139" t="s">
        <v>17</v>
      </c>
      <c r="O96" s="68"/>
      <c r="P96" s="69"/>
      <c r="Q96" s="70"/>
      <c r="R96" s="71"/>
      <c r="S96" s="71">
        <f ca="1">SUBTOTAL(9,S90:S95)</f>
        <v>9940624</v>
      </c>
      <c r="T96" s="71"/>
      <c r="U96" s="71">
        <f ca="1">SUBTOTAL(9,U90:U95)</f>
        <v>9940624</v>
      </c>
      <c r="V96" s="71"/>
      <c r="W96" s="71"/>
      <c r="X96" s="71"/>
      <c r="Y96" s="71"/>
      <c r="Z96" s="68"/>
    </row>
    <row r="97" spans="11:26" ht="18" customHeight="1">
      <c r="K97" s="171" t="s">
        <v>14</v>
      </c>
      <c r="L97" s="171"/>
      <c r="N97" s="318" t="str">
        <f ca="1">"제 " &amp; Z97 &amp; " 호표  "&amp; OFFSET($A$1,MATCH(Z97,$A:$A,0)-1,1)</f>
        <v>제 7 호표  5.1. 공청회/주민설명회</v>
      </c>
      <c r="O97" s="221"/>
      <c r="P97" s="148"/>
      <c r="Q97" s="148"/>
      <c r="R97" s="149"/>
      <c r="S97" s="149"/>
      <c r="T97" s="149"/>
      <c r="U97" s="149"/>
      <c r="V97" s="149"/>
      <c r="W97" s="149"/>
      <c r="X97" s="149"/>
      <c r="Y97" s="149"/>
      <c r="Z97" s="325">
        <f>Z89+1</f>
        <v>7</v>
      </c>
    </row>
    <row r="98" spans="11:26" ht="18" customHeight="1">
      <c r="K98" s="171" t="s">
        <v>14</v>
      </c>
      <c r="L98" s="171"/>
      <c r="N98" s="140" t="s">
        <v>43</v>
      </c>
      <c r="O98" s="172">
        <v>3</v>
      </c>
      <c r="P98" s="219">
        <f ca="1">OFFSET($A$1,MATCH(Z97,$A:$A,0)-1,O98)</f>
        <v>2</v>
      </c>
      <c r="Q98" s="141" t="s">
        <v>29</v>
      </c>
      <c r="R98" s="142">
        <f t="shared" ref="R98:S103" ca="1" si="24">T98</f>
        <v>467217</v>
      </c>
      <c r="S98" s="142">
        <f t="shared" ca="1" si="24"/>
        <v>934434</v>
      </c>
      <c r="T98" s="142">
        <f ca="1">기술사</f>
        <v>467217</v>
      </c>
      <c r="U98" s="142">
        <f t="shared" ref="U98:U103" ca="1" si="25">ROUNDDOWN(P98*R98,0)</f>
        <v>934434</v>
      </c>
      <c r="V98" s="142"/>
      <c r="W98" s="142"/>
      <c r="X98" s="142"/>
      <c r="Y98" s="142"/>
      <c r="Z98" s="114"/>
    </row>
    <row r="99" spans="11:26" ht="18" customHeight="1">
      <c r="K99" s="171" t="s">
        <v>14</v>
      </c>
      <c r="L99" s="171"/>
      <c r="N99" s="143" t="s">
        <v>32</v>
      </c>
      <c r="O99" s="173">
        <v>4</v>
      </c>
      <c r="P99" s="234">
        <f ca="1">OFFSET($A$1,MATCH(Z97,$A:$A,0)-1,O99)</f>
        <v>2</v>
      </c>
      <c r="Q99" s="144" t="s">
        <v>29</v>
      </c>
      <c r="R99" s="118">
        <f t="shared" ca="1" si="24"/>
        <v>373353</v>
      </c>
      <c r="S99" s="118">
        <f t="shared" ca="1" si="24"/>
        <v>746706</v>
      </c>
      <c r="T99" s="118">
        <f ca="1">특급</f>
        <v>373353</v>
      </c>
      <c r="U99" s="118">
        <f t="shared" ca="1" si="25"/>
        <v>746706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145" t="s">
        <v>39</v>
      </c>
      <c r="O100" s="173">
        <v>5</v>
      </c>
      <c r="P100" s="234">
        <f ca="1">OFFSET($A$1,MATCH(Z97,$A:$A,0)-1,O100)</f>
        <v>2</v>
      </c>
      <c r="Q100" s="144" t="s">
        <v>29</v>
      </c>
      <c r="R100" s="118">
        <f t="shared" ca="1" si="24"/>
        <v>310884</v>
      </c>
      <c r="S100" s="118">
        <f t="shared" ca="1" si="24"/>
        <v>621768</v>
      </c>
      <c r="T100" s="118">
        <f ca="1">고급</f>
        <v>310884</v>
      </c>
      <c r="U100" s="118">
        <f t="shared" ca="1" si="25"/>
        <v>621768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145" t="s">
        <v>40</v>
      </c>
      <c r="O101" s="173">
        <v>6</v>
      </c>
      <c r="P101" s="234">
        <f ca="1">OFFSET($A$1,MATCH(Z97,$A:$A,0)-1,O101)</f>
        <v>4</v>
      </c>
      <c r="Q101" s="144" t="s">
        <v>29</v>
      </c>
      <c r="R101" s="118">
        <f t="shared" ca="1" si="24"/>
        <v>295138</v>
      </c>
      <c r="S101" s="118">
        <f t="shared" ca="1" si="24"/>
        <v>1180552</v>
      </c>
      <c r="T101" s="118">
        <f ca="1">중급</f>
        <v>295138</v>
      </c>
      <c r="U101" s="118">
        <f t="shared" ca="1" si="25"/>
        <v>1180552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145" t="s">
        <v>41</v>
      </c>
      <c r="O102" s="173">
        <v>7</v>
      </c>
      <c r="P102" s="234">
        <f ca="1">OFFSET($A$1,MATCH(Z97,$A:$A,0)-1,O102)</f>
        <v>4</v>
      </c>
      <c r="Q102" s="144" t="s">
        <v>29</v>
      </c>
      <c r="R102" s="118">
        <f t="shared" ca="1" si="24"/>
        <v>235459</v>
      </c>
      <c r="S102" s="118">
        <f t="shared" ca="1" si="24"/>
        <v>941836</v>
      </c>
      <c r="T102" s="118">
        <f ca="1">초급</f>
        <v>235459</v>
      </c>
      <c r="U102" s="118">
        <f t="shared" ca="1" si="25"/>
        <v>941836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319" t="s">
        <v>42</v>
      </c>
      <c r="O103" s="174">
        <v>8</v>
      </c>
      <c r="P103" s="235">
        <f ca="1">OFFSET($A$1,MATCH(Z97,$A:$A,0)-1,O103)</f>
        <v>4</v>
      </c>
      <c r="Q103" s="322" t="s">
        <v>29</v>
      </c>
      <c r="R103" s="323">
        <f t="shared" ca="1" si="24"/>
        <v>250087</v>
      </c>
      <c r="S103" s="323">
        <f t="shared" ca="1" si="24"/>
        <v>1000348</v>
      </c>
      <c r="T103" s="323">
        <f ca="1">보조원</f>
        <v>250087</v>
      </c>
      <c r="U103" s="323">
        <f t="shared" ca="1" si="25"/>
        <v>1000348</v>
      </c>
      <c r="V103" s="323"/>
      <c r="W103" s="323"/>
      <c r="X103" s="323"/>
      <c r="Y103" s="323"/>
      <c r="Z103" s="324"/>
    </row>
    <row r="104" spans="11:26" ht="18" customHeight="1">
      <c r="K104" s="171" t="s">
        <v>14</v>
      </c>
      <c r="L104" s="171"/>
      <c r="N104" s="139" t="s">
        <v>17</v>
      </c>
      <c r="O104" s="68"/>
      <c r="P104" s="69"/>
      <c r="Q104" s="70"/>
      <c r="R104" s="71"/>
      <c r="S104" s="71">
        <f ca="1">SUBTOTAL(9,S98:S103)</f>
        <v>5425644</v>
      </c>
      <c r="T104" s="71"/>
      <c r="U104" s="71">
        <f ca="1">SUBTOTAL(9,U98:U103)</f>
        <v>5425644</v>
      </c>
      <c r="V104" s="71"/>
      <c r="W104" s="71"/>
      <c r="X104" s="71"/>
      <c r="Y104" s="71"/>
      <c r="Z104" s="68"/>
    </row>
    <row r="105" spans="11:26" ht="18" customHeight="1">
      <c r="K105" s="171" t="s">
        <v>14</v>
      </c>
      <c r="L105" s="171"/>
      <c r="N105" s="318" t="str">
        <f ca="1">"제 " &amp; Z105 &amp; " 호표  "&amp; OFFSET($A$1,MATCH(Z105,$A:$A,0)-1,1)</f>
        <v>제 8 호표  5.2. 주민간담회/시민계획단</v>
      </c>
      <c r="O105" s="221"/>
      <c r="P105" s="148"/>
      <c r="Q105" s="148"/>
      <c r="R105" s="149"/>
      <c r="S105" s="149"/>
      <c r="T105" s="149"/>
      <c r="U105" s="149"/>
      <c r="V105" s="149"/>
      <c r="W105" s="149"/>
      <c r="X105" s="149"/>
      <c r="Y105" s="149"/>
      <c r="Z105" s="325">
        <f>Z97+1</f>
        <v>8</v>
      </c>
    </row>
    <row r="106" spans="11:26" ht="18" customHeight="1">
      <c r="K106" s="171" t="s">
        <v>14</v>
      </c>
      <c r="L106" s="171"/>
      <c r="N106" s="140" t="s">
        <v>43</v>
      </c>
      <c r="O106" s="172">
        <v>3</v>
      </c>
      <c r="P106" s="219">
        <f ca="1">OFFSET($A$1,MATCH(Z105,$A:$A,0)-1,O106)</f>
        <v>2</v>
      </c>
      <c r="Q106" s="141" t="s">
        <v>29</v>
      </c>
      <c r="R106" s="142">
        <f t="shared" ref="R106:S111" ca="1" si="26">T106</f>
        <v>467217</v>
      </c>
      <c r="S106" s="142">
        <f t="shared" ca="1" si="26"/>
        <v>934434</v>
      </c>
      <c r="T106" s="142">
        <f ca="1">기술사</f>
        <v>467217</v>
      </c>
      <c r="U106" s="142">
        <f t="shared" ref="U106:U111" ca="1" si="27">ROUNDDOWN(P106*R106,0)</f>
        <v>934434</v>
      </c>
      <c r="V106" s="142"/>
      <c r="W106" s="142"/>
      <c r="X106" s="142"/>
      <c r="Y106" s="142"/>
      <c r="Z106" s="114"/>
    </row>
    <row r="107" spans="11:26" ht="18" customHeight="1">
      <c r="K107" s="171" t="s">
        <v>14</v>
      </c>
      <c r="L107" s="171"/>
      <c r="N107" s="143" t="s">
        <v>32</v>
      </c>
      <c r="O107" s="173">
        <v>4</v>
      </c>
      <c r="P107" s="234">
        <f ca="1">OFFSET($A$1,MATCH(Z105,$A:$A,0)-1,O107)</f>
        <v>2</v>
      </c>
      <c r="Q107" s="144" t="s">
        <v>29</v>
      </c>
      <c r="R107" s="118">
        <f t="shared" ca="1" si="26"/>
        <v>373353</v>
      </c>
      <c r="S107" s="118">
        <f t="shared" ca="1" si="26"/>
        <v>746706</v>
      </c>
      <c r="T107" s="118">
        <f ca="1">특급</f>
        <v>373353</v>
      </c>
      <c r="U107" s="118">
        <f t="shared" ca="1" si="27"/>
        <v>746706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145" t="s">
        <v>39</v>
      </c>
      <c r="O108" s="173">
        <v>5</v>
      </c>
      <c r="P108" s="234">
        <f ca="1">OFFSET($A$1,MATCH(Z105,$A:$A,0)-1,O108)</f>
        <v>2</v>
      </c>
      <c r="Q108" s="144" t="s">
        <v>29</v>
      </c>
      <c r="R108" s="118">
        <f t="shared" ca="1" si="26"/>
        <v>310884</v>
      </c>
      <c r="S108" s="118">
        <f t="shared" ca="1" si="26"/>
        <v>621768</v>
      </c>
      <c r="T108" s="118">
        <f ca="1">고급</f>
        <v>310884</v>
      </c>
      <c r="U108" s="118">
        <f t="shared" ca="1" si="27"/>
        <v>621768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145" t="s">
        <v>40</v>
      </c>
      <c r="O109" s="173">
        <v>6</v>
      </c>
      <c r="P109" s="234">
        <f ca="1">OFFSET($A$1,MATCH(Z105,$A:$A,0)-1,O109)</f>
        <v>4</v>
      </c>
      <c r="Q109" s="144" t="s">
        <v>29</v>
      </c>
      <c r="R109" s="118">
        <f t="shared" ca="1" si="26"/>
        <v>295138</v>
      </c>
      <c r="S109" s="118">
        <f t="shared" ca="1" si="26"/>
        <v>1180552</v>
      </c>
      <c r="T109" s="118">
        <f ca="1">중급</f>
        <v>295138</v>
      </c>
      <c r="U109" s="118">
        <f t="shared" ca="1" si="27"/>
        <v>1180552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145" t="s">
        <v>41</v>
      </c>
      <c r="O110" s="173">
        <v>7</v>
      </c>
      <c r="P110" s="234">
        <f ca="1">OFFSET($A$1,MATCH(Z105,$A:$A,0)-1,O110)</f>
        <v>4</v>
      </c>
      <c r="Q110" s="144" t="s">
        <v>29</v>
      </c>
      <c r="R110" s="118">
        <f t="shared" ca="1" si="26"/>
        <v>235459</v>
      </c>
      <c r="S110" s="118">
        <f t="shared" ca="1" si="26"/>
        <v>941836</v>
      </c>
      <c r="T110" s="118">
        <f ca="1">초급</f>
        <v>235459</v>
      </c>
      <c r="U110" s="118">
        <f t="shared" ca="1" si="27"/>
        <v>941836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319" t="s">
        <v>42</v>
      </c>
      <c r="O111" s="174">
        <v>8</v>
      </c>
      <c r="P111" s="235">
        <f ca="1">OFFSET($A$1,MATCH(Z105,$A:$A,0)-1,O111)</f>
        <v>4</v>
      </c>
      <c r="Q111" s="322" t="s">
        <v>29</v>
      </c>
      <c r="R111" s="323">
        <f t="shared" ca="1" si="26"/>
        <v>250087</v>
      </c>
      <c r="S111" s="323">
        <f t="shared" ca="1" si="26"/>
        <v>1000348</v>
      </c>
      <c r="T111" s="323">
        <f ca="1">보조원</f>
        <v>250087</v>
      </c>
      <c r="U111" s="323">
        <f t="shared" ca="1" si="27"/>
        <v>1000348</v>
      </c>
      <c r="V111" s="323"/>
      <c r="W111" s="323"/>
      <c r="X111" s="323"/>
      <c r="Y111" s="323"/>
      <c r="Z111" s="324"/>
    </row>
    <row r="112" spans="11:26" ht="18" customHeight="1">
      <c r="K112" s="171" t="s">
        <v>14</v>
      </c>
      <c r="L112" s="171"/>
      <c r="N112" s="139" t="s">
        <v>17</v>
      </c>
      <c r="O112" s="68"/>
      <c r="P112" s="69"/>
      <c r="Q112" s="70"/>
      <c r="R112" s="71"/>
      <c r="S112" s="71">
        <f ca="1">SUBTOTAL(9,S106:S111)</f>
        <v>5425644</v>
      </c>
      <c r="T112" s="71"/>
      <c r="U112" s="71">
        <f ca="1">SUBTOTAL(9,U106:U111)</f>
        <v>5425644</v>
      </c>
      <c r="V112" s="71"/>
      <c r="W112" s="71"/>
      <c r="X112" s="71"/>
      <c r="Y112" s="71"/>
      <c r="Z112" s="68"/>
    </row>
    <row r="113" spans="11:26" ht="18" customHeight="1">
      <c r="K113" s="171" t="s">
        <v>14</v>
      </c>
      <c r="L113" s="171"/>
      <c r="N113" s="318" t="str">
        <f ca="1">"제 " &amp; Z113 &amp; " 호표  "&amp; OFFSET($A$1,MATCH(Z113,$A:$A,0)-1,1)</f>
        <v>제 9 호표  5.3. 위원회심의 지원</v>
      </c>
      <c r="O113" s="221"/>
      <c r="P113" s="148"/>
      <c r="Q113" s="148"/>
      <c r="R113" s="149"/>
      <c r="S113" s="149"/>
      <c r="T113" s="149"/>
      <c r="U113" s="149"/>
      <c r="V113" s="149"/>
      <c r="W113" s="149"/>
      <c r="X113" s="149"/>
      <c r="Y113" s="149"/>
      <c r="Z113" s="325">
        <f>Z105+1</f>
        <v>9</v>
      </c>
    </row>
    <row r="114" spans="11:26" ht="18" customHeight="1">
      <c r="K114" s="171" t="s">
        <v>14</v>
      </c>
      <c r="L114" s="171"/>
      <c r="N114" s="140" t="s">
        <v>43</v>
      </c>
      <c r="O114" s="172">
        <v>3</v>
      </c>
      <c r="P114" s="219">
        <f ca="1">OFFSET($A$1,MATCH(Z113,$A:$A,0)-1,O114)</f>
        <v>2</v>
      </c>
      <c r="Q114" s="141" t="s">
        <v>29</v>
      </c>
      <c r="R114" s="142">
        <f t="shared" ref="R114:S119" ca="1" si="28">T114</f>
        <v>467217</v>
      </c>
      <c r="S114" s="142">
        <f t="shared" ca="1" si="28"/>
        <v>934434</v>
      </c>
      <c r="T114" s="142">
        <f ca="1">기술사</f>
        <v>467217</v>
      </c>
      <c r="U114" s="142">
        <f t="shared" ref="U114:U119" ca="1" si="29">ROUNDDOWN(P114*R114,0)</f>
        <v>934434</v>
      </c>
      <c r="V114" s="142"/>
      <c r="W114" s="142"/>
      <c r="X114" s="142"/>
      <c r="Y114" s="142"/>
      <c r="Z114" s="114"/>
    </row>
    <row r="115" spans="11:26" ht="18" customHeight="1">
      <c r="K115" s="171" t="s">
        <v>14</v>
      </c>
      <c r="L115" s="171"/>
      <c r="N115" s="143" t="s">
        <v>32</v>
      </c>
      <c r="O115" s="173">
        <v>4</v>
      </c>
      <c r="P115" s="234">
        <f ca="1">OFFSET($A$1,MATCH(Z113,$A:$A,0)-1,O115)</f>
        <v>2</v>
      </c>
      <c r="Q115" s="144" t="s">
        <v>29</v>
      </c>
      <c r="R115" s="118">
        <f t="shared" ca="1" si="28"/>
        <v>373353</v>
      </c>
      <c r="S115" s="118">
        <f t="shared" ca="1" si="28"/>
        <v>746706</v>
      </c>
      <c r="T115" s="118">
        <f ca="1">특급</f>
        <v>373353</v>
      </c>
      <c r="U115" s="118">
        <f t="shared" ca="1" si="29"/>
        <v>746706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145" t="s">
        <v>39</v>
      </c>
      <c r="O116" s="173">
        <v>5</v>
      </c>
      <c r="P116" s="234">
        <f ca="1">OFFSET($A$1,MATCH(Z113,$A:$A,0)-1,O116)</f>
        <v>2</v>
      </c>
      <c r="Q116" s="144" t="s">
        <v>29</v>
      </c>
      <c r="R116" s="118">
        <f t="shared" ca="1" si="28"/>
        <v>310884</v>
      </c>
      <c r="S116" s="118">
        <f t="shared" ca="1" si="28"/>
        <v>621768</v>
      </c>
      <c r="T116" s="118">
        <f ca="1">고급</f>
        <v>310884</v>
      </c>
      <c r="U116" s="118">
        <f t="shared" ca="1" si="29"/>
        <v>621768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N117" s="145" t="s">
        <v>40</v>
      </c>
      <c r="O117" s="173">
        <v>6</v>
      </c>
      <c r="P117" s="234">
        <f ca="1">OFFSET($A$1,MATCH(Z113,$A:$A,0)-1,O117)</f>
        <v>4</v>
      </c>
      <c r="Q117" s="144" t="s">
        <v>29</v>
      </c>
      <c r="R117" s="118">
        <f t="shared" ca="1" si="28"/>
        <v>295138</v>
      </c>
      <c r="S117" s="118">
        <f t="shared" ca="1" si="28"/>
        <v>1180552</v>
      </c>
      <c r="T117" s="118">
        <f ca="1">중급</f>
        <v>295138</v>
      </c>
      <c r="U117" s="118">
        <f t="shared" ca="1" si="29"/>
        <v>1180552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145" t="s">
        <v>41</v>
      </c>
      <c r="O118" s="173">
        <v>7</v>
      </c>
      <c r="P118" s="234">
        <f ca="1">OFFSET($A$1,MATCH(Z113,$A:$A,0)-1,O118)</f>
        <v>4</v>
      </c>
      <c r="Q118" s="144" t="s">
        <v>29</v>
      </c>
      <c r="R118" s="118">
        <f t="shared" ca="1" si="28"/>
        <v>235459</v>
      </c>
      <c r="S118" s="118">
        <f t="shared" ca="1" si="28"/>
        <v>941836</v>
      </c>
      <c r="T118" s="118">
        <f ca="1">초급</f>
        <v>235459</v>
      </c>
      <c r="U118" s="118">
        <f t="shared" ca="1" si="29"/>
        <v>941836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319" t="s">
        <v>42</v>
      </c>
      <c r="O119" s="174">
        <v>8</v>
      </c>
      <c r="P119" s="235">
        <f ca="1">OFFSET($A$1,MATCH(Z113,$A:$A,0)-1,O119)</f>
        <v>4</v>
      </c>
      <c r="Q119" s="322" t="s">
        <v>29</v>
      </c>
      <c r="R119" s="323">
        <f t="shared" ca="1" si="28"/>
        <v>250087</v>
      </c>
      <c r="S119" s="323">
        <f t="shared" ca="1" si="28"/>
        <v>1000348</v>
      </c>
      <c r="T119" s="323">
        <f ca="1">보조원</f>
        <v>250087</v>
      </c>
      <c r="U119" s="323">
        <f t="shared" ca="1" si="29"/>
        <v>1000348</v>
      </c>
      <c r="V119" s="323"/>
      <c r="W119" s="323"/>
      <c r="X119" s="323"/>
      <c r="Y119" s="323"/>
      <c r="Z119" s="324"/>
    </row>
    <row r="120" spans="11:26" ht="18" customHeight="1">
      <c r="K120" s="171" t="s">
        <v>14</v>
      </c>
      <c r="L120" s="171"/>
      <c r="M120" s="171"/>
      <c r="N120" s="139" t="s">
        <v>17</v>
      </c>
      <c r="O120" s="68"/>
      <c r="P120" s="69"/>
      <c r="Q120" s="70"/>
      <c r="R120" s="71"/>
      <c r="S120" s="71">
        <f ca="1">SUBTOTAL(9,S114:S119)</f>
        <v>5425644</v>
      </c>
      <c r="T120" s="71"/>
      <c r="U120" s="71">
        <f ca="1">SUBTOTAL(9,U114:U119)</f>
        <v>5425644</v>
      </c>
      <c r="V120" s="71"/>
      <c r="W120" s="71"/>
      <c r="X120" s="71"/>
      <c r="Y120" s="71"/>
      <c r="Z120" s="68"/>
    </row>
    <row r="121" spans="11:26" ht="18" customHeight="1">
      <c r="K121" s="171" t="s">
        <v>14</v>
      </c>
      <c r="L121" s="171"/>
      <c r="M121" s="171"/>
      <c r="N121" s="318" t="str">
        <f ca="1">"제 " &amp; Z121 &amp; " 호표  "&amp; OFFSET($A$1,MATCH(Z121,$A:$A,0)-1,1)</f>
        <v>제 10 호표  5.4. 관계기관 협의</v>
      </c>
      <c r="O121" s="221"/>
      <c r="P121" s="148"/>
      <c r="Q121" s="148"/>
      <c r="R121" s="149"/>
      <c r="S121" s="149"/>
      <c r="T121" s="149"/>
      <c r="U121" s="149"/>
      <c r="V121" s="149"/>
      <c r="W121" s="149"/>
      <c r="X121" s="149"/>
      <c r="Y121" s="149"/>
      <c r="Z121" s="325">
        <f>Z113+1</f>
        <v>10</v>
      </c>
    </row>
    <row r="122" spans="11:26" ht="18" customHeight="1">
      <c r="K122" s="171" t="s">
        <v>14</v>
      </c>
      <c r="L122" s="171"/>
      <c r="M122" s="171"/>
      <c r="N122" s="140" t="s">
        <v>43</v>
      </c>
      <c r="O122" s="172">
        <v>3</v>
      </c>
      <c r="P122" s="219">
        <f ca="1">OFFSET($A$1,MATCH(Z121,$A:$A,0)-1,O122)</f>
        <v>2</v>
      </c>
      <c r="Q122" s="141" t="s">
        <v>29</v>
      </c>
      <c r="R122" s="142">
        <f t="shared" ref="R122:R127" ca="1" si="30">T122</f>
        <v>467217</v>
      </c>
      <c r="S122" s="142">
        <f t="shared" ref="S122:S127" ca="1" si="31">U122</f>
        <v>934434</v>
      </c>
      <c r="T122" s="142">
        <f ca="1">기술사</f>
        <v>467217</v>
      </c>
      <c r="U122" s="142">
        <f t="shared" ref="U122:U127" ca="1" si="32">ROUNDDOWN(P122*R122,0)</f>
        <v>934434</v>
      </c>
      <c r="V122" s="142"/>
      <c r="W122" s="142"/>
      <c r="X122" s="142"/>
      <c r="Y122" s="142"/>
      <c r="Z122" s="114"/>
    </row>
    <row r="123" spans="11:26" ht="18" customHeight="1">
      <c r="K123" s="171" t="s">
        <v>14</v>
      </c>
      <c r="L123" s="171"/>
      <c r="M123" s="171"/>
      <c r="N123" s="143" t="s">
        <v>32</v>
      </c>
      <c r="O123" s="173">
        <v>4</v>
      </c>
      <c r="P123" s="234">
        <f ca="1">OFFSET($A$1,MATCH(Z121,$A:$A,0)-1,O123)</f>
        <v>2</v>
      </c>
      <c r="Q123" s="144" t="s">
        <v>29</v>
      </c>
      <c r="R123" s="118">
        <f t="shared" ca="1" si="30"/>
        <v>373353</v>
      </c>
      <c r="S123" s="118">
        <f t="shared" ca="1" si="31"/>
        <v>746706</v>
      </c>
      <c r="T123" s="118">
        <f ca="1">특급</f>
        <v>373353</v>
      </c>
      <c r="U123" s="118">
        <f t="shared" ca="1" si="32"/>
        <v>746706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39</v>
      </c>
      <c r="O124" s="173">
        <v>5</v>
      </c>
      <c r="P124" s="234">
        <f ca="1">OFFSET($A$1,MATCH(Z121,$A:$A,0)-1,O124)</f>
        <v>2</v>
      </c>
      <c r="Q124" s="144" t="s">
        <v>29</v>
      </c>
      <c r="R124" s="118">
        <f t="shared" ca="1" si="30"/>
        <v>310884</v>
      </c>
      <c r="S124" s="118">
        <f t="shared" ca="1" si="31"/>
        <v>621768</v>
      </c>
      <c r="T124" s="118">
        <f ca="1">고급</f>
        <v>310884</v>
      </c>
      <c r="U124" s="118">
        <f t="shared" ca="1" si="32"/>
        <v>621768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40</v>
      </c>
      <c r="O125" s="173">
        <v>6</v>
      </c>
      <c r="P125" s="234">
        <f ca="1">OFFSET($A$1,MATCH(Z121,$A:$A,0)-1,O125)</f>
        <v>4</v>
      </c>
      <c r="Q125" s="144" t="s">
        <v>29</v>
      </c>
      <c r="R125" s="118">
        <f t="shared" ca="1" si="30"/>
        <v>295138</v>
      </c>
      <c r="S125" s="118">
        <f t="shared" ca="1" si="31"/>
        <v>1180552</v>
      </c>
      <c r="T125" s="118">
        <f ca="1">중급</f>
        <v>295138</v>
      </c>
      <c r="U125" s="118">
        <f t="shared" ca="1" si="32"/>
        <v>1180552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41</v>
      </c>
      <c r="O126" s="173">
        <v>7</v>
      </c>
      <c r="P126" s="234">
        <f ca="1">OFFSET($A$1,MATCH(Z121,$A:$A,0)-1,O126)</f>
        <v>4</v>
      </c>
      <c r="Q126" s="144" t="s">
        <v>29</v>
      </c>
      <c r="R126" s="118">
        <f t="shared" ca="1" si="30"/>
        <v>235459</v>
      </c>
      <c r="S126" s="118">
        <f t="shared" ca="1" si="31"/>
        <v>941836</v>
      </c>
      <c r="T126" s="118">
        <f ca="1">초급</f>
        <v>235459</v>
      </c>
      <c r="U126" s="118">
        <f t="shared" ca="1" si="32"/>
        <v>941836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319" t="s">
        <v>42</v>
      </c>
      <c r="O127" s="174">
        <v>8</v>
      </c>
      <c r="P127" s="235">
        <f ca="1">OFFSET($A$1,MATCH(Z121,$A:$A,0)-1,O127)</f>
        <v>4</v>
      </c>
      <c r="Q127" s="322" t="s">
        <v>29</v>
      </c>
      <c r="R127" s="323">
        <f t="shared" ca="1" si="30"/>
        <v>250087</v>
      </c>
      <c r="S127" s="323">
        <f t="shared" ca="1" si="31"/>
        <v>1000348</v>
      </c>
      <c r="T127" s="323">
        <f ca="1">보조원</f>
        <v>250087</v>
      </c>
      <c r="U127" s="323">
        <f t="shared" ca="1" si="32"/>
        <v>1000348</v>
      </c>
      <c r="V127" s="323"/>
      <c r="W127" s="323"/>
      <c r="X127" s="323"/>
      <c r="Y127" s="323"/>
      <c r="Z127" s="324"/>
    </row>
    <row r="128" spans="11:26" ht="18" customHeight="1">
      <c r="K128" s="171" t="s">
        <v>14</v>
      </c>
      <c r="L128" s="171"/>
      <c r="M128" s="171"/>
      <c r="N128" s="139" t="s">
        <v>17</v>
      </c>
      <c r="O128" s="68"/>
      <c r="P128" s="69"/>
      <c r="Q128" s="70"/>
      <c r="R128" s="71"/>
      <c r="S128" s="71">
        <f ca="1">SUBTOTAL(9,S122:S127)</f>
        <v>5425644</v>
      </c>
      <c r="T128" s="71"/>
      <c r="U128" s="71">
        <f ca="1">SUBTOTAL(9,U122:U127)</f>
        <v>5425644</v>
      </c>
      <c r="V128" s="71"/>
      <c r="W128" s="71"/>
      <c r="X128" s="71"/>
      <c r="Y128" s="71"/>
      <c r="Z128" s="68"/>
    </row>
    <row r="129" spans="11:13" ht="18" customHeight="1">
      <c r="K129" s="171" t="s">
        <v>14</v>
      </c>
      <c r="L129" s="171"/>
      <c r="M129" s="171"/>
    </row>
    <row r="130" spans="11:13" ht="18" customHeight="1">
      <c r="K130" s="171" t="s">
        <v>14</v>
      </c>
      <c r="L130" s="171"/>
      <c r="M130" s="171"/>
    </row>
    <row r="131" spans="11:13" ht="18" customHeight="1">
      <c r="K131" s="171" t="s">
        <v>14</v>
      </c>
      <c r="L131" s="171"/>
      <c r="M131" s="171"/>
    </row>
    <row r="132" spans="11:13" ht="18" customHeight="1">
      <c r="K132" s="171" t="s">
        <v>14</v>
      </c>
      <c r="L132" s="171"/>
      <c r="M132" s="171"/>
    </row>
    <row r="133" spans="11:13" ht="18" customHeight="1">
      <c r="K133" s="171" t="s">
        <v>14</v>
      </c>
      <c r="L133" s="171"/>
      <c r="M133" s="171"/>
    </row>
    <row r="134" spans="11:13" ht="18" customHeight="1">
      <c r="K134" s="171" t="s">
        <v>14</v>
      </c>
      <c r="L134" s="171"/>
      <c r="M134" s="171"/>
    </row>
    <row r="135" spans="11:13" ht="18" customHeight="1">
      <c r="K135" s="171" t="s">
        <v>14</v>
      </c>
      <c r="L135" s="171"/>
      <c r="M135" s="171"/>
    </row>
    <row r="136" spans="11:13" ht="18" customHeight="1">
      <c r="K136" s="171" t="s">
        <v>14</v>
      </c>
      <c r="L136" s="171"/>
      <c r="M136" s="171"/>
    </row>
    <row r="137" spans="11:13" ht="18" customHeight="1">
      <c r="K137" s="171" t="s">
        <v>14</v>
      </c>
      <c r="L137" s="171"/>
      <c r="M137" s="171"/>
    </row>
    <row r="138" spans="11:13" ht="18" customHeight="1">
      <c r="K138" s="171" t="s">
        <v>14</v>
      </c>
      <c r="L138" s="171"/>
      <c r="M138" s="171"/>
    </row>
    <row r="139" spans="11:13" ht="18" customHeight="1">
      <c r="K139" s="171" t="s">
        <v>14</v>
      </c>
      <c r="L139" s="171"/>
      <c r="M139" s="171"/>
    </row>
    <row r="140" spans="11:13" ht="18" customHeight="1">
      <c r="K140" s="171" t="s">
        <v>14</v>
      </c>
      <c r="L140" s="171"/>
      <c r="M140" s="171"/>
    </row>
    <row r="141" spans="11:13" ht="18" customHeight="1">
      <c r="K141" s="171" t="s">
        <v>14</v>
      </c>
      <c r="L141" s="171"/>
      <c r="M141" s="171"/>
    </row>
    <row r="142" spans="11:13" ht="18" customHeight="1">
      <c r="K142" s="171" t="s">
        <v>14</v>
      </c>
      <c r="L142" s="171"/>
      <c r="M142" s="171"/>
    </row>
    <row r="143" spans="11:13" ht="18" customHeight="1">
      <c r="K143" s="171" t="s">
        <v>14</v>
      </c>
      <c r="L143" s="171"/>
      <c r="M143" s="171"/>
    </row>
    <row r="144" spans="11:13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</row>
    <row r="810" spans="11:13" ht="18" customHeight="1">
      <c r="K810" s="171" t="s">
        <v>14</v>
      </c>
      <c r="L810" s="171"/>
    </row>
    <row r="811" spans="11:13" ht="18" customHeight="1">
      <c r="K811" s="171" t="s">
        <v>14</v>
      </c>
      <c r="L811" s="171"/>
    </row>
    <row r="812" spans="11:13" ht="18" customHeight="1">
      <c r="K812" s="171" t="s">
        <v>14</v>
      </c>
      <c r="L812" s="171"/>
    </row>
    <row r="813" spans="11:13" ht="18" customHeight="1">
      <c r="K813" s="171" t="s">
        <v>14</v>
      </c>
      <c r="L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L823" s="171"/>
    </row>
    <row r="824" spans="11:12" ht="18" customHeight="1">
      <c r="L824" s="171"/>
    </row>
    <row r="825" spans="11:12" ht="18" customHeight="1">
      <c r="L825" s="171"/>
    </row>
  </sheetData>
  <mergeCells count="19">
    <mergeCell ref="B13:C14"/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Z47:Z48"/>
    <mergeCell ref="J13:J14"/>
    <mergeCell ref="L13:L14"/>
    <mergeCell ref="N47:N48"/>
    <mergeCell ref="O47:O48"/>
    <mergeCell ref="P47:P48"/>
    <mergeCell ref="Q47:Q48"/>
  </mergeCells>
  <phoneticPr fontId="14" type="noConversion"/>
  <conditionalFormatting sqref="V15:V30">
    <cfRule type="cellIs" dxfId="2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45" min="13" max="28" man="1"/>
    <brk id="66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8033" r:id="rId4" name="Option Button 1">
              <controlPr defaultSize="0" autoFill="0" autoLine="0" autoPict="0">
                <anchor moveWithCells="1" sizeWithCells="1">
                  <from>
                    <xdr:col>6</xdr:col>
                    <xdr:colOff>514350</xdr:colOff>
                    <xdr:row>0</xdr:row>
                    <xdr:rowOff>180975</xdr:rowOff>
                  </from>
                  <to>
                    <xdr:col>8</xdr:col>
                    <xdr:colOff>123825</xdr:colOff>
                    <xdr:row>1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8034" r:id="rId5" name="Option Button 2">
              <controlPr defaultSize="0" autoFill="0" autoLine="0" autoPict="0">
                <anchor moveWithCells="1" sizeWithCells="1">
                  <from>
                    <xdr:col>8</xdr:col>
                    <xdr:colOff>304800</xdr:colOff>
                    <xdr:row>0</xdr:row>
                    <xdr:rowOff>180975</xdr:rowOff>
                  </from>
                  <to>
                    <xdr:col>9</xdr:col>
                    <xdr:colOff>619125</xdr:colOff>
                    <xdr:row>1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codeName="Sheet16">
    <tabColor theme="5" tint="0.39997558519241921"/>
    <pageSetUpPr fitToPage="1"/>
  </sheetPr>
  <dimension ref="A1:Z828"/>
  <sheetViews>
    <sheetView showGridLines="0" zoomScale="85" zoomScaleNormal="85" zoomScaleSheetLayoutView="75" workbookViewId="0">
      <selection activeCell="K9" sqref="K9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2596</v>
      </c>
      <c r="Z1" s="391" t="s">
        <v>2601</v>
      </c>
    </row>
    <row r="2" spans="1:26" ht="19.5" thickBot="1">
      <c r="B2" s="66" t="s">
        <v>1</v>
      </c>
      <c r="G2" s="1">
        <v>1</v>
      </c>
      <c r="Z2" s="391" t="s">
        <v>2602</v>
      </c>
    </row>
    <row r="3" spans="1:26" ht="19.5" customHeight="1">
      <c r="B3" s="773" t="s">
        <v>48</v>
      </c>
      <c r="C3" s="774"/>
      <c r="D3" s="775">
        <v>10</v>
      </c>
      <c r="E3" s="776"/>
      <c r="F3" s="316" t="s">
        <v>53</v>
      </c>
      <c r="G3" s="838" t="s">
        <v>1104</v>
      </c>
      <c r="H3" s="839"/>
      <c r="I3" s="656">
        <v>2</v>
      </c>
      <c r="J3" s="669" t="s">
        <v>794</v>
      </c>
      <c r="K3" s="1" t="s">
        <v>2597</v>
      </c>
      <c r="L3" s="1" t="s">
        <v>2598</v>
      </c>
      <c r="Z3" s="391" t="s">
        <v>2603</v>
      </c>
    </row>
    <row r="4" spans="1:26" ht="21.75" customHeight="1">
      <c r="B4" s="777" t="s">
        <v>54</v>
      </c>
      <c r="C4" s="778"/>
      <c r="D4" s="811">
        <v>50</v>
      </c>
      <c r="E4" s="846"/>
      <c r="F4" s="359" t="str">
        <f>F3</f>
        <v>만㎡</v>
      </c>
      <c r="G4" s="777" t="s">
        <v>1109</v>
      </c>
      <c r="H4" s="814"/>
      <c r="I4" s="298">
        <v>2</v>
      </c>
      <c r="J4" s="670" t="s">
        <v>794</v>
      </c>
      <c r="L4" s="1" t="s">
        <v>2599</v>
      </c>
    </row>
    <row r="5" spans="1:26" ht="24" customHeight="1" thickBot="1">
      <c r="B5" s="777" t="s">
        <v>2578</v>
      </c>
      <c r="C5" s="814"/>
      <c r="D5" s="815">
        <f>ROUND((IF(D4&lt;=10,10,D4)/D3)^0.6,3)</f>
        <v>2.6269999999999998</v>
      </c>
      <c r="E5" s="816"/>
      <c r="F5" s="391">
        <v>2</v>
      </c>
      <c r="G5" s="817" t="s">
        <v>1102</v>
      </c>
      <c r="H5" s="818"/>
      <c r="I5" s="746">
        <f>ROUND(I4/I3,3)</f>
        <v>1</v>
      </c>
      <c r="J5" s="671"/>
      <c r="L5" s="1" t="s">
        <v>2600</v>
      </c>
    </row>
    <row r="6" spans="1:26" ht="24" customHeight="1">
      <c r="B6" s="777" t="s">
        <v>2590</v>
      </c>
      <c r="C6" s="814"/>
      <c r="D6" s="815">
        <f>CHOOSE(F6,1,1.1,1.2)</f>
        <v>1.1000000000000001</v>
      </c>
      <c r="E6" s="816"/>
      <c r="F6" s="441">
        <v>2</v>
      </c>
      <c r="G6" s="9" t="s">
        <v>1107</v>
      </c>
      <c r="J6" s="36"/>
    </row>
    <row r="7" spans="1:26" ht="24" customHeight="1" thickBot="1">
      <c r="B7" s="781" t="s">
        <v>2589</v>
      </c>
      <c r="C7" s="782"/>
      <c r="D7" s="783">
        <f>CHOOSE(F7,1,1.2)</f>
        <v>1.2</v>
      </c>
      <c r="E7" s="784"/>
      <c r="F7" s="621">
        <v>2</v>
      </c>
    </row>
    <row r="8" spans="1:26" ht="18" customHeight="1">
      <c r="B8" s="9" t="s">
        <v>2579</v>
      </c>
      <c r="C8" s="9"/>
      <c r="D8" s="64"/>
      <c r="E8" s="64"/>
      <c r="G8" s="428"/>
      <c r="H8" s="428"/>
      <c r="I8" s="428"/>
      <c r="J8" s="429"/>
      <c r="R8" s="1"/>
      <c r="S8" s="1"/>
      <c r="T8" s="1"/>
    </row>
    <row r="9" spans="1:26" ht="18" customHeight="1">
      <c r="C9" s="1" t="s">
        <v>2604</v>
      </c>
      <c r="R9" s="1"/>
      <c r="S9" s="1"/>
      <c r="T9" s="1"/>
    </row>
    <row r="10" spans="1:26" ht="18" customHeight="1">
      <c r="B10" s="9" t="s">
        <v>2591</v>
      </c>
      <c r="C10" s="9"/>
      <c r="D10" s="64"/>
      <c r="E10" s="64"/>
      <c r="R10" s="1"/>
      <c r="S10" s="1"/>
      <c r="T10" s="1"/>
    </row>
    <row r="11" spans="1:26" ht="18" customHeight="1">
      <c r="B11" s="9" t="s">
        <v>2570</v>
      </c>
      <c r="C11" s="9"/>
      <c r="D11" s="64"/>
      <c r="E11" s="64"/>
      <c r="R11" s="1"/>
      <c r="S11" s="1"/>
      <c r="T11" s="1"/>
    </row>
    <row r="12" spans="1:26" ht="18" customHeight="1">
      <c r="B12" s="9"/>
      <c r="C12" s="9"/>
      <c r="D12" s="64"/>
      <c r="E12" s="64"/>
      <c r="R12" s="1"/>
      <c r="S12" s="1"/>
      <c r="T12" s="1"/>
    </row>
    <row r="13" spans="1:26" ht="18" customHeight="1">
      <c r="G13" s="36"/>
      <c r="W13" s="188" t="s">
        <v>3</v>
      </c>
      <c r="X13" s="189"/>
    </row>
    <row r="14" spans="1:26" ht="18" customHeight="1" thickBot="1">
      <c r="B14" s="66" t="s">
        <v>4</v>
      </c>
      <c r="C14" s="9"/>
      <c r="D14" s="64"/>
      <c r="E14" s="64"/>
      <c r="G14" s="36"/>
      <c r="N14" s="66" t="s">
        <v>5</v>
      </c>
    </row>
    <row r="15" spans="1:26" ht="18" customHeight="1" thickBot="1">
      <c r="B15" s="9"/>
      <c r="N15" s="151" t="s">
        <v>44</v>
      </c>
      <c r="O15" s="119"/>
      <c r="P15" s="119"/>
      <c r="Q15" s="120"/>
      <c r="R15" s="120"/>
      <c r="S15" s="120"/>
      <c r="T15" s="120"/>
      <c r="U15" s="121"/>
      <c r="V15" s="121"/>
      <c r="W15" s="186">
        <f ca="1">SUBTOTAL(9,W16:W40)</f>
        <v>1182931049</v>
      </c>
      <c r="X15" s="187"/>
      <c r="Y15" s="177"/>
      <c r="Z15" s="167"/>
    </row>
    <row r="16" spans="1:26" ht="18" customHeight="1">
      <c r="A16" s="278"/>
      <c r="B16" s="757" t="s">
        <v>30</v>
      </c>
      <c r="C16" s="758"/>
      <c r="D16" s="14" t="s">
        <v>6</v>
      </c>
      <c r="E16" s="15"/>
      <c r="F16" s="15"/>
      <c r="G16" s="15"/>
      <c r="H16" s="15"/>
      <c r="I16" s="16"/>
      <c r="J16" s="761" t="s">
        <v>31</v>
      </c>
      <c r="L16" s="763" t="s">
        <v>7</v>
      </c>
      <c r="N16" s="127" t="s">
        <v>8</v>
      </c>
      <c r="O16" s="122"/>
      <c r="P16" s="122"/>
      <c r="Q16" s="123"/>
      <c r="R16" s="123"/>
      <c r="S16" s="123"/>
      <c r="T16" s="123"/>
      <c r="U16" s="184"/>
      <c r="V16" s="184"/>
      <c r="W16" s="163">
        <f ca="1">SUBTOTAL(9,W17:W37)</f>
        <v>428368891</v>
      </c>
      <c r="X16" s="164"/>
      <c r="Y16" s="178" t="s">
        <v>9</v>
      </c>
      <c r="Z16" s="179"/>
    </row>
    <row r="17" spans="1:26" ht="18" customHeight="1" thickBot="1">
      <c r="A17" s="278"/>
      <c r="B17" s="820"/>
      <c r="C17" s="821"/>
      <c r="D17" s="17" t="s">
        <v>33</v>
      </c>
      <c r="E17" s="19" t="s">
        <v>34</v>
      </c>
      <c r="F17" s="19" t="s">
        <v>35</v>
      </c>
      <c r="G17" s="19" t="s">
        <v>36</v>
      </c>
      <c r="H17" s="19" t="s">
        <v>37</v>
      </c>
      <c r="I17" s="18" t="s">
        <v>38</v>
      </c>
      <c r="J17" s="762"/>
      <c r="L17" s="764"/>
      <c r="N17" s="290" t="s">
        <v>45</v>
      </c>
      <c r="O17" s="124"/>
      <c r="P17" s="125"/>
      <c r="Q17" s="126"/>
      <c r="R17" s="126"/>
      <c r="S17" s="126"/>
      <c r="T17" s="126"/>
      <c r="U17" s="218"/>
      <c r="V17" s="218"/>
      <c r="W17" s="255">
        <f ca="1">SUBTOTAL(9,W18:W33)</f>
        <v>420368891</v>
      </c>
      <c r="X17" s="256"/>
      <c r="Y17" s="220"/>
      <c r="Z17" s="220"/>
    </row>
    <row r="18" spans="1:26" ht="18" customHeight="1">
      <c r="A18" s="279"/>
      <c r="B18" s="225" t="s">
        <v>358</v>
      </c>
      <c r="C18" s="72"/>
      <c r="D18" s="30">
        <f t="shared" ref="D18:I18" si="0">SUBTOTAL(9,D19:D19)</f>
        <v>1.4</v>
      </c>
      <c r="E18" s="31">
        <f t="shared" si="0"/>
        <v>2.9</v>
      </c>
      <c r="F18" s="31">
        <f t="shared" si="0"/>
        <v>5.8</v>
      </c>
      <c r="G18" s="31">
        <f t="shared" si="0"/>
        <v>9</v>
      </c>
      <c r="H18" s="31">
        <f t="shared" si="0"/>
        <v>11.3</v>
      </c>
      <c r="I18" s="32">
        <f t="shared" si="0"/>
        <v>6.5</v>
      </c>
      <c r="J18" s="654"/>
      <c r="L18" s="232"/>
      <c r="N18" s="354" t="str">
        <f>B18</f>
        <v>1. 조사·분석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SUBTOTAL(9,W19:W19)</f>
        <v>36348408</v>
      </c>
      <c r="X18" s="194"/>
      <c r="Y18" s="170" t="str">
        <f>IF(A34&gt;0, "제 " &amp;A34&amp; " 호표","")</f>
        <v/>
      </c>
      <c r="Z18" s="170"/>
    </row>
    <row r="19" spans="1:26" ht="18" customHeight="1">
      <c r="A19" s="279"/>
      <c r="B19" s="223" t="s">
        <v>2592</v>
      </c>
      <c r="C19" s="253"/>
      <c r="D19" s="20">
        <v>1.4</v>
      </c>
      <c r="E19" s="21">
        <v>2.9</v>
      </c>
      <c r="F19" s="21">
        <v>5.8</v>
      </c>
      <c r="G19" s="21">
        <v>9</v>
      </c>
      <c r="H19" s="21">
        <v>11.3</v>
      </c>
      <c r="I19" s="22">
        <v>6.5</v>
      </c>
      <c r="J19" s="653" t="s">
        <v>2605</v>
      </c>
      <c r="L19" s="232">
        <v>1</v>
      </c>
      <c r="N19" s="292" t="str">
        <f t="shared" ref="N19:N32" si="1">B19</f>
        <v>1.1. 현황조사분석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SUM((ROUNDDOWN((D35:I35)*단가,0)))</f>
        <v>36348408</v>
      </c>
      <c r="X19" s="194"/>
      <c r="Y19" s="170" t="str">
        <f>IF(A35&gt;0, "제 " &amp;A35&amp; " 호표","")</f>
        <v>제 1 호표</v>
      </c>
      <c r="Z19" s="170"/>
    </row>
    <row r="20" spans="1:26" ht="18" customHeight="1">
      <c r="A20" s="279"/>
      <c r="B20" s="393" t="s">
        <v>52</v>
      </c>
      <c r="C20" s="23"/>
      <c r="D20" s="30">
        <f t="shared" ref="D20:I20" si="2">SUBTOTAL(9,D21:D23)</f>
        <v>10.8</v>
      </c>
      <c r="E20" s="31">
        <f t="shared" si="2"/>
        <v>25.2</v>
      </c>
      <c r="F20" s="31">
        <f t="shared" si="2"/>
        <v>40.9</v>
      </c>
      <c r="G20" s="31">
        <f t="shared" si="2"/>
        <v>45.699999999999996</v>
      </c>
      <c r="H20" s="31">
        <f t="shared" si="2"/>
        <v>50.5</v>
      </c>
      <c r="I20" s="32">
        <f t="shared" si="2"/>
        <v>31.4</v>
      </c>
      <c r="J20" s="389"/>
      <c r="L20" s="232"/>
      <c r="N20" s="354" t="str">
        <f t="shared" si="1"/>
        <v>2. 기본구상</v>
      </c>
      <c r="O20" s="169"/>
      <c r="P20" s="169"/>
      <c r="Q20" s="169"/>
      <c r="R20" s="169"/>
      <c r="S20" s="169"/>
      <c r="T20" s="169"/>
      <c r="U20" s="226"/>
      <c r="V20" s="248"/>
      <c r="W20" s="193">
        <f ca="1">SUBTOTAL(9,W21:W23)</f>
        <v>209445396</v>
      </c>
      <c r="X20" s="194"/>
      <c r="Y20" s="170" t="str">
        <f t="shared" ref="Y20:Y32" si="3">IF(A36&gt;0, "제 " &amp;A36&amp; " 호표","")</f>
        <v/>
      </c>
      <c r="Z20" s="170"/>
    </row>
    <row r="21" spans="1:26" ht="18" customHeight="1">
      <c r="A21" s="279"/>
      <c r="B21" s="223" t="s">
        <v>2580</v>
      </c>
      <c r="C21" s="253"/>
      <c r="D21" s="20">
        <v>2.5</v>
      </c>
      <c r="E21" s="21">
        <v>5.2</v>
      </c>
      <c r="F21" s="21">
        <v>10.1</v>
      </c>
      <c r="G21" s="21">
        <v>13.6</v>
      </c>
      <c r="H21" s="21">
        <v>13.9</v>
      </c>
      <c r="I21" s="22">
        <v>9.1</v>
      </c>
      <c r="J21" s="653" t="s">
        <v>2389</v>
      </c>
      <c r="L21" s="232">
        <v>1</v>
      </c>
      <c r="N21" s="292" t="str">
        <f t="shared" si="1"/>
        <v>2.1. 개발규모 및 내용설정</v>
      </c>
      <c r="O21" s="169"/>
      <c r="P21" s="169"/>
      <c r="Q21" s="169"/>
      <c r="R21" s="169"/>
      <c r="S21" s="169"/>
      <c r="T21" s="169"/>
      <c r="U21" s="226"/>
      <c r="V21" s="248"/>
      <c r="W21" s="153">
        <f t="array" aca="1" ref="W21" ca="1">SUM((ROUNDDOWN((D37:I37)*단가,0)))</f>
        <v>54829351</v>
      </c>
      <c r="X21" s="194"/>
      <c r="Y21" s="170" t="str">
        <f t="shared" si="3"/>
        <v>제 2 호표</v>
      </c>
      <c r="Z21" s="170"/>
    </row>
    <row r="22" spans="1:26" ht="18" customHeight="1">
      <c r="A22" s="279"/>
      <c r="B22" s="223" t="s">
        <v>2581</v>
      </c>
      <c r="C22" s="253"/>
      <c r="D22" s="20">
        <v>4.5999999999999996</v>
      </c>
      <c r="E22" s="21">
        <v>10.199999999999999</v>
      </c>
      <c r="F22" s="21">
        <v>15.6</v>
      </c>
      <c r="G22" s="21">
        <v>16.7</v>
      </c>
      <c r="H22" s="21">
        <v>18.3</v>
      </c>
      <c r="I22" s="22">
        <v>13.6</v>
      </c>
      <c r="J22" s="653" t="s">
        <v>2389</v>
      </c>
      <c r="L22" s="232">
        <v>1</v>
      </c>
      <c r="N22" s="292" t="str">
        <f t="shared" si="1"/>
        <v>2.2. 기본구상안 작성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SUM((ROUNDDOWN((D38:I38)*단가,0)))</f>
        <v>81301488</v>
      </c>
      <c r="X22" s="194"/>
      <c r="Y22" s="170" t="str">
        <f t="shared" si="3"/>
        <v>제 3 호표</v>
      </c>
      <c r="Z22" s="170"/>
    </row>
    <row r="23" spans="1:26" ht="18" customHeight="1">
      <c r="A23" s="279"/>
      <c r="B23" s="223" t="s">
        <v>2582</v>
      </c>
      <c r="C23" s="253"/>
      <c r="D23" s="20">
        <v>3.7</v>
      </c>
      <c r="E23" s="21">
        <v>9.8000000000000007</v>
      </c>
      <c r="F23" s="21">
        <v>15.2</v>
      </c>
      <c r="G23" s="21">
        <v>15.4</v>
      </c>
      <c r="H23" s="21">
        <v>18.3</v>
      </c>
      <c r="I23" s="22">
        <v>8.6999999999999993</v>
      </c>
      <c r="J23" s="653" t="s">
        <v>2389</v>
      </c>
      <c r="L23" s="232">
        <v>1</v>
      </c>
      <c r="N23" s="292" t="str">
        <f t="shared" si="1"/>
        <v>2.3. 타당성검토</v>
      </c>
      <c r="O23" s="169"/>
      <c r="P23" s="169"/>
      <c r="Q23" s="169"/>
      <c r="R23" s="169"/>
      <c r="S23" s="169"/>
      <c r="T23" s="169"/>
      <c r="U23" s="226"/>
      <c r="V23" s="248"/>
      <c r="W23" s="153">
        <f t="array" aca="1" ref="W23" ca="1">SUM((ROUNDDOWN((D39:I39)*단가,0)))</f>
        <v>73314557</v>
      </c>
      <c r="X23" s="194"/>
      <c r="Y23" s="170" t="str">
        <f t="shared" si="3"/>
        <v>제 4 호표</v>
      </c>
      <c r="Z23" s="170"/>
    </row>
    <row r="24" spans="1:26" ht="18" customHeight="1">
      <c r="A24" s="279"/>
      <c r="B24" s="393" t="s">
        <v>2593</v>
      </c>
      <c r="C24" s="23"/>
      <c r="D24" s="30">
        <f t="shared" ref="D24:I24" si="4">SUBTOTAL(9,D25:D25)</f>
        <v>1.9</v>
      </c>
      <c r="E24" s="31">
        <f t="shared" si="4"/>
        <v>5.6</v>
      </c>
      <c r="F24" s="31">
        <f t="shared" si="4"/>
        <v>10.199999999999999</v>
      </c>
      <c r="G24" s="31">
        <f t="shared" si="4"/>
        <v>11.7</v>
      </c>
      <c r="H24" s="31">
        <f t="shared" si="4"/>
        <v>13.2</v>
      </c>
      <c r="I24" s="32">
        <f t="shared" si="4"/>
        <v>6.5</v>
      </c>
      <c r="J24" s="389"/>
      <c r="L24" s="232"/>
      <c r="N24" s="354" t="str">
        <f t="shared" si="1"/>
        <v>3. 집행(사업)계획</v>
      </c>
      <c r="O24" s="169"/>
      <c r="P24" s="169"/>
      <c r="Q24" s="169"/>
      <c r="R24" s="169"/>
      <c r="S24" s="169"/>
      <c r="T24" s="169"/>
      <c r="U24" s="226"/>
      <c r="V24" s="248"/>
      <c r="W24" s="193">
        <f ca="1">SUBTOTAL(9,W25:W25)</f>
        <v>49711631</v>
      </c>
      <c r="X24" s="194"/>
      <c r="Y24" s="170" t="str">
        <f t="shared" si="3"/>
        <v/>
      </c>
      <c r="Z24" s="170"/>
    </row>
    <row r="25" spans="1:26" ht="18" customHeight="1">
      <c r="A25" s="279"/>
      <c r="B25" s="223" t="s">
        <v>2584</v>
      </c>
      <c r="C25" s="253"/>
      <c r="D25" s="20">
        <v>1.9</v>
      </c>
      <c r="E25" s="21">
        <v>5.6</v>
      </c>
      <c r="F25" s="21">
        <v>10.199999999999999</v>
      </c>
      <c r="G25" s="21">
        <v>11.7</v>
      </c>
      <c r="H25" s="21">
        <v>13.2</v>
      </c>
      <c r="I25" s="22">
        <v>6.5</v>
      </c>
      <c r="J25" s="653" t="s">
        <v>2389</v>
      </c>
      <c r="L25" s="232">
        <v>1</v>
      </c>
      <c r="N25" s="292" t="str">
        <f t="shared" si="1"/>
        <v>3.1. 사업집행계획</v>
      </c>
      <c r="O25" s="169"/>
      <c r="P25" s="169"/>
      <c r="Q25" s="169"/>
      <c r="R25" s="169"/>
      <c r="S25" s="169"/>
      <c r="T25" s="169"/>
      <c r="U25" s="226"/>
      <c r="V25" s="248"/>
      <c r="W25" s="153">
        <f t="array" aca="1" ref="W25" ca="1">SUM((ROUNDDOWN((D41:I41)*단가,0)))</f>
        <v>49711631</v>
      </c>
      <c r="X25" s="194"/>
      <c r="Y25" s="170" t="str">
        <f t="shared" si="3"/>
        <v>제 5 호표</v>
      </c>
      <c r="Z25" s="170"/>
    </row>
    <row r="26" spans="1:26" ht="18" customHeight="1">
      <c r="A26" s="279"/>
      <c r="B26" s="393" t="s">
        <v>105</v>
      </c>
      <c r="C26" s="23"/>
      <c r="D26" s="30">
        <f t="shared" ref="D26:I26" si="5">SUBTOTAL(9,D27:D28)</f>
        <v>7.3000000000000007</v>
      </c>
      <c r="E26" s="31">
        <f t="shared" si="5"/>
        <v>12.899999999999999</v>
      </c>
      <c r="F26" s="31">
        <f t="shared" si="5"/>
        <v>22.3</v>
      </c>
      <c r="G26" s="31">
        <f t="shared" si="5"/>
        <v>25.700000000000003</v>
      </c>
      <c r="H26" s="31">
        <f t="shared" si="5"/>
        <v>34.9</v>
      </c>
      <c r="I26" s="32">
        <f t="shared" si="5"/>
        <v>15</v>
      </c>
      <c r="J26" s="389"/>
      <c r="L26" s="232"/>
      <c r="N26" s="354" t="str">
        <f t="shared" si="1"/>
        <v>4. 성과품 작성</v>
      </c>
      <c r="O26" s="169"/>
      <c r="P26" s="169"/>
      <c r="Q26" s="169"/>
      <c r="R26" s="169"/>
      <c r="S26" s="169"/>
      <c r="T26" s="169"/>
      <c r="U26" s="226"/>
      <c r="V26" s="248"/>
      <c r="W26" s="193">
        <f ca="1">SUBTOTAL(9,W28:W28)</f>
        <v>40040575</v>
      </c>
      <c r="X26" s="194"/>
      <c r="Y26" s="170" t="str">
        <f t="shared" si="3"/>
        <v/>
      </c>
      <c r="Z26" s="170"/>
    </row>
    <row r="27" spans="1:26" ht="18" customHeight="1">
      <c r="A27" s="279"/>
      <c r="B27" s="223" t="s">
        <v>2594</v>
      </c>
      <c r="C27" s="253"/>
      <c r="D27" s="20">
        <v>4.9000000000000004</v>
      </c>
      <c r="E27" s="21">
        <v>8.6</v>
      </c>
      <c r="F27" s="21">
        <v>14.9</v>
      </c>
      <c r="G27" s="21">
        <v>17.100000000000001</v>
      </c>
      <c r="H27" s="21">
        <v>23.3</v>
      </c>
      <c r="I27" s="22">
        <v>10</v>
      </c>
      <c r="J27" s="653" t="s">
        <v>2389</v>
      </c>
      <c r="L27" s="232">
        <v>1</v>
      </c>
      <c r="N27" s="292" t="str">
        <f>B27</f>
        <v>4.1. 보고서</v>
      </c>
      <c r="O27" s="169"/>
      <c r="P27" s="169"/>
      <c r="Q27" s="169"/>
      <c r="R27" s="169"/>
      <c r="S27" s="169"/>
      <c r="T27" s="169"/>
      <c r="U27" s="226"/>
      <c r="V27" s="248"/>
      <c r="W27" s="153">
        <f t="array" aca="1" ref="W27" ca="1">SUM((ROUNDDOWN((D43:I43)*단가,0)))</f>
        <v>80331349</v>
      </c>
      <c r="X27" s="194"/>
      <c r="Y27" s="170" t="str">
        <f t="shared" si="3"/>
        <v>제 6 호표</v>
      </c>
      <c r="Z27" s="170"/>
    </row>
    <row r="28" spans="1:26" ht="18" customHeight="1">
      <c r="A28" s="279"/>
      <c r="B28" s="223" t="s">
        <v>2595</v>
      </c>
      <c r="C28" s="253"/>
      <c r="D28" s="20">
        <v>2.4</v>
      </c>
      <c r="E28" s="21">
        <v>4.3</v>
      </c>
      <c r="F28" s="21">
        <v>7.4</v>
      </c>
      <c r="G28" s="21">
        <v>8.6</v>
      </c>
      <c r="H28" s="21">
        <v>11.6</v>
      </c>
      <c r="I28" s="22">
        <v>5</v>
      </c>
      <c r="J28" s="653" t="s">
        <v>2389</v>
      </c>
      <c r="L28" s="232">
        <v>1</v>
      </c>
      <c r="N28" s="292" t="str">
        <f t="shared" si="1"/>
        <v>4.1. 관련도서</v>
      </c>
      <c r="O28" s="169"/>
      <c r="P28" s="169"/>
      <c r="Q28" s="169"/>
      <c r="R28" s="169"/>
      <c r="S28" s="169"/>
      <c r="T28" s="169"/>
      <c r="U28" s="226"/>
      <c r="V28" s="248"/>
      <c r="W28" s="153">
        <f t="array" aca="1" ref="W28" ca="1">SUM((ROUNDDOWN((D44:I44)*단가,0)))</f>
        <v>40040575</v>
      </c>
      <c r="X28" s="194"/>
      <c r="Y28" s="170" t="str">
        <f t="shared" si="3"/>
        <v>제 7 호표</v>
      </c>
      <c r="Z28" s="170"/>
    </row>
    <row r="29" spans="1:26" ht="18" customHeight="1">
      <c r="A29" s="279"/>
      <c r="B29" s="222" t="s">
        <v>2586</v>
      </c>
      <c r="C29" s="47"/>
      <c r="D29" s="48">
        <f t="shared" ref="D29:I29" si="6">SUBTOTAL(9,D30:D32)</f>
        <v>1.3</v>
      </c>
      <c r="E29" s="49">
        <f t="shared" si="6"/>
        <v>2.4</v>
      </c>
      <c r="F29" s="49">
        <f t="shared" si="6"/>
        <v>3.0999999999999996</v>
      </c>
      <c r="G29" s="49">
        <f t="shared" si="6"/>
        <v>3.0999999999999996</v>
      </c>
      <c r="H29" s="49">
        <f t="shared" si="6"/>
        <v>2.8</v>
      </c>
      <c r="I29" s="50">
        <f t="shared" si="6"/>
        <v>1.8</v>
      </c>
      <c r="J29" s="389"/>
      <c r="L29" s="232"/>
      <c r="N29" s="354" t="str">
        <f t="shared" si="1"/>
        <v>5. 기술협의</v>
      </c>
      <c r="O29" s="169"/>
      <c r="P29" s="169"/>
      <c r="Q29" s="169"/>
      <c r="R29" s="169"/>
      <c r="S29" s="169"/>
      <c r="T29" s="169"/>
      <c r="U29" s="226"/>
      <c r="V29" s="248"/>
      <c r="W29" s="193">
        <f ca="1">SUBTOTAL(9,W30:W32)</f>
        <v>4491532</v>
      </c>
      <c r="X29" s="194"/>
      <c r="Y29" s="170" t="str">
        <f t="shared" si="3"/>
        <v/>
      </c>
      <c r="Z29" s="170"/>
    </row>
    <row r="30" spans="1:26" ht="18" customHeight="1">
      <c r="A30" s="279"/>
      <c r="B30" s="223" t="s">
        <v>2606</v>
      </c>
      <c r="C30" s="23"/>
      <c r="D30" s="197">
        <v>0.3</v>
      </c>
      <c r="E30" s="198">
        <v>0.6</v>
      </c>
      <c r="F30" s="198">
        <v>0.8</v>
      </c>
      <c r="G30" s="198">
        <v>0.8</v>
      </c>
      <c r="H30" s="198">
        <v>0.7</v>
      </c>
      <c r="I30" s="199">
        <v>0.5</v>
      </c>
      <c r="J30" s="389" t="s">
        <v>2610</v>
      </c>
      <c r="L30" s="233">
        <v>1</v>
      </c>
      <c r="N30" s="292" t="str">
        <f t="shared" si="1"/>
        <v>5.1. 위원회 심의 지원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SUM((ROUNDDOWN((D46:I46)*단가,0)))</f>
        <v>1138857</v>
      </c>
      <c r="X30" s="154"/>
      <c r="Y30" s="170" t="str">
        <f t="shared" si="3"/>
        <v>제 8 호표</v>
      </c>
      <c r="Z30" s="150"/>
    </row>
    <row r="31" spans="1:26" ht="18" customHeight="1">
      <c r="A31" s="279"/>
      <c r="B31" s="223" t="s">
        <v>2607</v>
      </c>
      <c r="C31" s="23"/>
      <c r="D31" s="197">
        <v>0.7</v>
      </c>
      <c r="E31" s="198">
        <v>1.2</v>
      </c>
      <c r="F31" s="198">
        <v>1.5</v>
      </c>
      <c r="G31" s="198">
        <v>1.5</v>
      </c>
      <c r="H31" s="198">
        <v>1.4</v>
      </c>
      <c r="I31" s="199">
        <v>0.8</v>
      </c>
      <c r="J31" s="389" t="s">
        <v>2609</v>
      </c>
      <c r="L31" s="233">
        <v>1</v>
      </c>
      <c r="N31" s="292" t="str">
        <f t="shared" si="1"/>
        <v>5.2. 주민설명회 자료 작성 등</v>
      </c>
      <c r="O31" s="37"/>
      <c r="P31" s="37"/>
      <c r="Q31" s="37"/>
      <c r="R31" s="37"/>
      <c r="S31" s="37"/>
      <c r="T31" s="37"/>
      <c r="U31" s="227"/>
      <c r="V31" s="231"/>
      <c r="W31" s="153">
        <f t="array" aca="1" ref="W31" ca="1">SUM((ROUNDDOWN((D47:I47)*단가,0)))</f>
        <v>2213818</v>
      </c>
      <c r="X31" s="154"/>
      <c r="Y31" s="170" t="str">
        <f t="shared" si="3"/>
        <v>제 9 호표</v>
      </c>
      <c r="Z31" s="150"/>
    </row>
    <row r="32" spans="1:26" ht="18" customHeight="1" thickBot="1">
      <c r="A32" s="279"/>
      <c r="B32" s="259" t="s">
        <v>2608</v>
      </c>
      <c r="C32" s="43"/>
      <c r="D32" s="206">
        <v>0.3</v>
      </c>
      <c r="E32" s="207">
        <v>0.6</v>
      </c>
      <c r="F32" s="207">
        <v>0.8</v>
      </c>
      <c r="G32" s="207">
        <v>0.8</v>
      </c>
      <c r="H32" s="207">
        <v>0.7</v>
      </c>
      <c r="I32" s="208">
        <v>0.5</v>
      </c>
      <c r="J32" s="612" t="s">
        <v>2512</v>
      </c>
      <c r="L32" s="233">
        <v>1</v>
      </c>
      <c r="N32" s="292" t="str">
        <f t="shared" si="1"/>
        <v>5.3. 관계기관 협의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SUM((ROUNDDOWN((D48:I48)*단가,0)))</f>
        <v>1138857</v>
      </c>
      <c r="X32" s="154"/>
      <c r="Y32" s="170" t="str">
        <f t="shared" si="3"/>
        <v>제 10 호표</v>
      </c>
      <c r="Z32" s="150"/>
    </row>
    <row r="33" spans="1:26" ht="18" customHeight="1" thickBot="1">
      <c r="A33" s="279"/>
      <c r="B33" s="249" t="s">
        <v>30</v>
      </c>
      <c r="C33" s="250"/>
      <c r="D33" s="249" t="s">
        <v>12</v>
      </c>
      <c r="E33" s="251"/>
      <c r="F33" s="251"/>
      <c r="G33" s="251"/>
      <c r="H33" s="251"/>
      <c r="I33" s="250"/>
      <c r="J33" s="175" t="s">
        <v>31</v>
      </c>
      <c r="N33" s="8"/>
      <c r="P33" s="371"/>
      <c r="R33" s="357"/>
      <c r="S33" s="1"/>
      <c r="T33" s="1"/>
      <c r="U33" s="258"/>
      <c r="V33" s="372"/>
      <c r="W33" s="373"/>
      <c r="X33" s="374"/>
      <c r="Y33" s="170" t="str">
        <f>IF(A61&gt;0, "제 " &amp;A61&amp; " 호표","")</f>
        <v/>
      </c>
    </row>
    <row r="34" spans="1:26" ht="18" customHeight="1">
      <c r="A34" s="278"/>
      <c r="B34" s="252" t="str">
        <f t="shared" ref="B34:B48" si="7">B18</f>
        <v>1. 조사·분석</v>
      </c>
      <c r="C34" s="253"/>
      <c r="D34" s="30">
        <f t="shared" ref="D34:I34" si="8">SUBTOTAL(9,D35:D35)</f>
        <v>4.8540000000000001</v>
      </c>
      <c r="E34" s="31">
        <f t="shared" si="8"/>
        <v>10.055999999999999</v>
      </c>
      <c r="F34" s="31">
        <f t="shared" si="8"/>
        <v>20.111999999999998</v>
      </c>
      <c r="G34" s="31">
        <f t="shared" si="8"/>
        <v>31.207999999999998</v>
      </c>
      <c r="H34" s="31">
        <f t="shared" si="8"/>
        <v>39.183999999999997</v>
      </c>
      <c r="I34" s="32">
        <f t="shared" si="8"/>
        <v>22.539000000000001</v>
      </c>
      <c r="J34" s="302"/>
      <c r="N34" s="290" t="s">
        <v>2612</v>
      </c>
      <c r="O34" s="129"/>
      <c r="P34" s="130"/>
      <c r="Q34" s="124"/>
      <c r="R34" s="131"/>
      <c r="S34" s="124"/>
      <c r="T34" s="124"/>
      <c r="U34" s="181"/>
      <c r="V34" s="181"/>
      <c r="W34" s="159">
        <f>SUBTOTAL(9,W35:W37)</f>
        <v>8000000</v>
      </c>
      <c r="X34" s="160"/>
      <c r="Y34" s="124"/>
      <c r="Z34" s="124"/>
    </row>
    <row r="35" spans="1:26" ht="18" customHeight="1">
      <c r="A35" s="278">
        <v>1</v>
      </c>
      <c r="B35" s="223" t="str">
        <f t="shared" si="7"/>
        <v>1.1. 현황조사분석</v>
      </c>
      <c r="C35" s="253"/>
      <c r="D35" s="20">
        <f t="array" ref="D35:I35">ROUNDDOWN(D19:I19*L19*$D$5*D6*D7,3)</f>
        <v>4.8540000000000001</v>
      </c>
      <c r="E35" s="21">
        <v>10.055999999999999</v>
      </c>
      <c r="F35" s="21">
        <v>20.111999999999998</v>
      </c>
      <c r="G35" s="21">
        <v>31.207999999999998</v>
      </c>
      <c r="H35" s="21">
        <v>39.183999999999997</v>
      </c>
      <c r="I35" s="22">
        <v>22.539000000000001</v>
      </c>
      <c r="J35" s="390"/>
      <c r="N35" s="128" t="str">
        <f>"여비("&amp;TEXT(R35,"#인 ×")&amp;TEXT(S35,"#일 ×")&amp;TEXT(T35,"###,###원)")</f>
        <v>여비(3인 ×10일 ×100,000원)</v>
      </c>
      <c r="O35" s="78"/>
      <c r="P35" s="52"/>
      <c r="Q35" s="51"/>
      <c r="R35" s="146">
        <v>3</v>
      </c>
      <c r="S35" s="146">
        <v>10</v>
      </c>
      <c r="T35" s="147">
        <v>100000</v>
      </c>
      <c r="U35" s="182"/>
      <c r="V35" s="182"/>
      <c r="W35" s="161">
        <f>R35*S35*T35</f>
        <v>3000000</v>
      </c>
      <c r="X35" s="162"/>
      <c r="Y35" s="51"/>
      <c r="Z35" s="51"/>
    </row>
    <row r="36" spans="1:26" ht="18" customHeight="1">
      <c r="A36" s="278"/>
      <c r="B36" s="393" t="str">
        <f t="shared" si="7"/>
        <v>2. 기본구상</v>
      </c>
      <c r="C36" s="23"/>
      <c r="D36" s="30">
        <f t="shared" ref="D36:I36" si="9">SUBTOTAL(9,D37:D39)</f>
        <v>37.450000000000003</v>
      </c>
      <c r="E36" s="31">
        <f t="shared" si="9"/>
        <v>87.382000000000005</v>
      </c>
      <c r="F36" s="31">
        <f t="shared" si="9"/>
        <v>141.82599999999999</v>
      </c>
      <c r="G36" s="31">
        <f t="shared" si="9"/>
        <v>158.46899999999999</v>
      </c>
      <c r="H36" s="31">
        <f t="shared" si="9"/>
        <v>175.114</v>
      </c>
      <c r="I36" s="32">
        <f t="shared" si="9"/>
        <v>108.88200000000001</v>
      </c>
      <c r="J36" s="74"/>
      <c r="N36" s="79" t="s">
        <v>46</v>
      </c>
      <c r="O36" s="79"/>
      <c r="P36" s="39"/>
      <c r="Q36" s="37"/>
      <c r="R36" s="117"/>
      <c r="S36" s="37"/>
      <c r="T36" s="37"/>
      <c r="U36" s="180"/>
      <c r="V36" s="180"/>
      <c r="W36" s="157">
        <v>3000000</v>
      </c>
      <c r="X36" s="158"/>
      <c r="Y36" s="37"/>
      <c r="Z36" s="37"/>
    </row>
    <row r="37" spans="1:26" ht="18" customHeight="1">
      <c r="A37" s="278">
        <v>2</v>
      </c>
      <c r="B37" s="223" t="str">
        <f t="shared" si="7"/>
        <v>2.1. 개발규모 및 내용설정</v>
      </c>
      <c r="C37" s="253"/>
      <c r="D37" s="20">
        <f t="array" ref="D37:I39">ROUNDDOWN(D21:I23*L21:L23*$D$5*D6*D7,3)</f>
        <v>8.6690000000000005</v>
      </c>
      <c r="E37" s="21">
        <v>18.030999999999999</v>
      </c>
      <c r="F37" s="21">
        <v>35.023000000000003</v>
      </c>
      <c r="G37" s="21">
        <v>47.158999999999999</v>
      </c>
      <c r="H37" s="21">
        <v>48.2</v>
      </c>
      <c r="I37" s="22">
        <v>31.555</v>
      </c>
      <c r="J37" s="302"/>
      <c r="N37" s="132" t="s">
        <v>13</v>
      </c>
      <c r="O37" s="132"/>
      <c r="P37" s="38"/>
      <c r="Q37" s="38"/>
      <c r="R37" s="116"/>
      <c r="S37" s="38"/>
      <c r="T37" s="38"/>
      <c r="U37" s="183"/>
      <c r="V37" s="183"/>
      <c r="W37" s="155">
        <v>2000000</v>
      </c>
      <c r="X37" s="156"/>
      <c r="Y37" s="38"/>
      <c r="Z37" s="38"/>
    </row>
    <row r="38" spans="1:26" ht="18" customHeight="1">
      <c r="A38" s="278">
        <v>3</v>
      </c>
      <c r="B38" s="223" t="str">
        <f t="shared" si="7"/>
        <v>2.2. 기본구상안 작성</v>
      </c>
      <c r="C38" s="253"/>
      <c r="D38" s="20">
        <v>15.951000000000001</v>
      </c>
      <c r="E38" s="21">
        <v>35.369</v>
      </c>
      <c r="F38" s="21">
        <v>54.094999999999999</v>
      </c>
      <c r="G38" s="21">
        <v>57.908999999999999</v>
      </c>
      <c r="H38" s="21">
        <v>63.457000000000001</v>
      </c>
      <c r="I38" s="22">
        <v>47.158999999999999</v>
      </c>
      <c r="J38" s="302"/>
      <c r="N38" s="127" t="s">
        <v>47</v>
      </c>
      <c r="O38" s="123"/>
      <c r="P38" s="123"/>
      <c r="Q38" s="123"/>
      <c r="R38" s="123"/>
      <c r="S38" s="123"/>
      <c r="T38" s="123"/>
      <c r="U38" s="184"/>
      <c r="V38" s="184"/>
      <c r="W38" s="163">
        <f ca="1">SUBTOTAL(9,W39:W40)</f>
        <v>754562158</v>
      </c>
      <c r="X38" s="164"/>
      <c r="Y38" s="123"/>
      <c r="Z38" s="123"/>
    </row>
    <row r="39" spans="1:26" ht="18" customHeight="1">
      <c r="A39" s="278">
        <v>4</v>
      </c>
      <c r="B39" s="223" t="str">
        <f t="shared" si="7"/>
        <v>2.3. 타당성검토</v>
      </c>
      <c r="C39" s="253"/>
      <c r="D39" s="20">
        <v>12.83</v>
      </c>
      <c r="E39" s="21">
        <v>33.981999999999999</v>
      </c>
      <c r="F39" s="21">
        <v>52.707999999999998</v>
      </c>
      <c r="G39" s="21">
        <v>53.401000000000003</v>
      </c>
      <c r="H39" s="21">
        <v>63.457000000000001</v>
      </c>
      <c r="I39" s="22">
        <v>30.167999999999999</v>
      </c>
      <c r="J39" s="302"/>
      <c r="N39" s="133" t="s">
        <v>861</v>
      </c>
      <c r="O39" s="124"/>
      <c r="P39" s="134"/>
      <c r="Q39" s="124"/>
      <c r="R39" s="131"/>
      <c r="S39" s="124"/>
      <c r="T39" s="181"/>
      <c r="U39" s="181"/>
      <c r="V39" s="190">
        <v>1.1499999999999999</v>
      </c>
      <c r="W39" s="159">
        <f ca="1">ROUNDDOWN(W17*V39,0)</f>
        <v>483424224</v>
      </c>
      <c r="X39" s="160"/>
      <c r="Y39" s="124"/>
      <c r="Z39" s="124"/>
    </row>
    <row r="40" spans="1:26" ht="18" customHeight="1" thickBot="1">
      <c r="A40" s="278"/>
      <c r="B40" s="393" t="str">
        <f t="shared" si="7"/>
        <v>3. 집행(사업)계획</v>
      </c>
      <c r="C40" s="23"/>
      <c r="D40" s="30">
        <f t="shared" ref="D40:I40" si="10">SUBTOTAL(9,D41)</f>
        <v>6.5880000000000001</v>
      </c>
      <c r="E40" s="31">
        <f t="shared" si="10"/>
        <v>19.417999999999999</v>
      </c>
      <c r="F40" s="31">
        <f t="shared" si="10"/>
        <v>35.369</v>
      </c>
      <c r="G40" s="31">
        <f t="shared" si="10"/>
        <v>40.570999999999998</v>
      </c>
      <c r="H40" s="31">
        <f t="shared" si="10"/>
        <v>45.771999999999998</v>
      </c>
      <c r="I40" s="32">
        <f t="shared" si="10"/>
        <v>22.539000000000001</v>
      </c>
      <c r="J40" s="74"/>
      <c r="K40" s="171" t="s">
        <v>14</v>
      </c>
      <c r="N40" s="135" t="s">
        <v>862</v>
      </c>
      <c r="O40" s="136"/>
      <c r="P40" s="137"/>
      <c r="Q40" s="136"/>
      <c r="R40" s="138"/>
      <c r="S40" s="136"/>
      <c r="T40" s="185"/>
      <c r="U40" s="185"/>
      <c r="V40" s="191">
        <v>0.3</v>
      </c>
      <c r="W40" s="165">
        <f ca="1">ROUNDDOWN((W17+W39)*V40,0)</f>
        <v>271137934</v>
      </c>
      <c r="X40" s="166"/>
      <c r="Y40" s="136"/>
      <c r="Z40" s="136"/>
    </row>
    <row r="41" spans="1:26" ht="18" customHeight="1">
      <c r="A41" s="278">
        <v>5</v>
      </c>
      <c r="B41" s="223" t="str">
        <f t="shared" si="7"/>
        <v>3.1. 사업집행계획</v>
      </c>
      <c r="C41" s="253"/>
      <c r="D41" s="20">
        <f t="array" ref="D41:I41">ROUNDDOWN(D25:I25*L25*$D$5*D6*D7,3)</f>
        <v>6.5880000000000001</v>
      </c>
      <c r="E41" s="21">
        <v>19.417999999999999</v>
      </c>
      <c r="F41" s="21">
        <v>35.369</v>
      </c>
      <c r="G41" s="21">
        <v>40.570999999999998</v>
      </c>
      <c r="H41" s="21">
        <v>45.771999999999998</v>
      </c>
      <c r="I41" s="22">
        <v>22.539000000000001</v>
      </c>
      <c r="J41" s="302"/>
    </row>
    <row r="42" spans="1:26" ht="18" customHeight="1">
      <c r="A42" s="278"/>
      <c r="B42" s="393" t="str">
        <f t="shared" si="7"/>
        <v>4. 성과품 작성</v>
      </c>
      <c r="C42" s="23"/>
      <c r="D42" s="30">
        <f t="shared" ref="D42:I42" si="11">SUBTOTAL(9,D43:D44)</f>
        <v>25.312999999999999</v>
      </c>
      <c r="E42" s="31">
        <f t="shared" si="11"/>
        <v>44.731000000000002</v>
      </c>
      <c r="F42" s="31">
        <f t="shared" si="11"/>
        <v>77.326999999999998</v>
      </c>
      <c r="G42" s="31">
        <f t="shared" si="11"/>
        <v>89.117000000000004</v>
      </c>
      <c r="H42" s="31">
        <f t="shared" si="11"/>
        <v>121.02000000000001</v>
      </c>
      <c r="I42" s="32">
        <f t="shared" si="11"/>
        <v>52.014000000000003</v>
      </c>
      <c r="J42" s="74"/>
      <c r="K42" s="171" t="s">
        <v>14</v>
      </c>
    </row>
    <row r="43" spans="1:26" ht="18" customHeight="1">
      <c r="A43" s="278">
        <v>6</v>
      </c>
      <c r="B43" s="223" t="str">
        <f t="shared" si="7"/>
        <v>4.1. 보고서</v>
      </c>
      <c r="C43" s="253"/>
      <c r="D43" s="20">
        <f t="array" ref="D43:I44">ROUNDDOWN(D27:I28*L27:L28*$D$5*D6*D7,3)</f>
        <v>16.991</v>
      </c>
      <c r="E43" s="21">
        <v>29.821000000000002</v>
      </c>
      <c r="F43" s="21">
        <v>51.667000000000002</v>
      </c>
      <c r="G43" s="21">
        <v>59.295999999999999</v>
      </c>
      <c r="H43" s="21">
        <v>80.796000000000006</v>
      </c>
      <c r="I43" s="22">
        <v>34.676000000000002</v>
      </c>
      <c r="J43" s="302"/>
    </row>
    <row r="44" spans="1:26" ht="18" customHeight="1">
      <c r="A44" s="278">
        <v>7</v>
      </c>
      <c r="B44" s="223" t="str">
        <f t="shared" si="7"/>
        <v>4.1. 관련도서</v>
      </c>
      <c r="C44" s="253"/>
      <c r="D44" s="20">
        <v>8.3219999999999992</v>
      </c>
      <c r="E44" s="21">
        <v>14.91</v>
      </c>
      <c r="F44" s="21">
        <v>25.66</v>
      </c>
      <c r="G44" s="21">
        <v>29.821000000000002</v>
      </c>
      <c r="H44" s="21">
        <v>40.223999999999997</v>
      </c>
      <c r="I44" s="22">
        <v>17.338000000000001</v>
      </c>
      <c r="J44" s="302"/>
    </row>
    <row r="45" spans="1:26" ht="18" customHeight="1">
      <c r="A45" s="278"/>
      <c r="B45" s="222" t="str">
        <f t="shared" si="7"/>
        <v>5. 기술협의</v>
      </c>
      <c r="C45" s="47"/>
      <c r="D45" s="48">
        <f t="shared" ref="D45:I45" si="12">SUBTOTAL(9,D46:D48)</f>
        <v>1.3</v>
      </c>
      <c r="E45" s="49">
        <f t="shared" si="12"/>
        <v>2.4</v>
      </c>
      <c r="F45" s="49">
        <f t="shared" si="12"/>
        <v>3.0999999999999996</v>
      </c>
      <c r="G45" s="49">
        <f t="shared" si="12"/>
        <v>3.0999999999999996</v>
      </c>
      <c r="H45" s="49">
        <f t="shared" si="12"/>
        <v>2.8</v>
      </c>
      <c r="I45" s="50">
        <f t="shared" si="12"/>
        <v>1.8</v>
      </c>
      <c r="J45" s="74"/>
      <c r="K45" s="171" t="s">
        <v>14</v>
      </c>
      <c r="L45" s="171"/>
    </row>
    <row r="46" spans="1:26" ht="18" customHeight="1">
      <c r="A46" s="278">
        <v>8</v>
      </c>
      <c r="B46" s="223" t="str">
        <f t="shared" si="7"/>
        <v>5.1. 위원회 심의 지원</v>
      </c>
      <c r="C46" s="23"/>
      <c r="D46" s="20">
        <f t="array" ref="D46:I46">ROUNDDOWN(D30:I30*L30,3)</f>
        <v>0.3</v>
      </c>
      <c r="E46" s="198">
        <v>0.6</v>
      </c>
      <c r="F46" s="198">
        <v>0.8</v>
      </c>
      <c r="G46" s="198">
        <v>0.8</v>
      </c>
      <c r="H46" s="198">
        <v>0.7</v>
      </c>
      <c r="I46" s="199">
        <v>0.5</v>
      </c>
      <c r="J46" s="74"/>
      <c r="K46" s="171"/>
      <c r="L46" s="171"/>
      <c r="R46" s="1"/>
      <c r="S46" s="1"/>
      <c r="T46" s="1"/>
      <c r="U46" s="1"/>
      <c r="V46" s="1"/>
      <c r="W46" s="1"/>
      <c r="X46" s="1"/>
      <c r="Y46" s="1"/>
    </row>
    <row r="47" spans="1:26" ht="18" customHeight="1">
      <c r="A47" s="278">
        <v>9</v>
      </c>
      <c r="B47" s="223" t="str">
        <f t="shared" si="7"/>
        <v>5.2. 주민설명회 자료 작성 등</v>
      </c>
      <c r="C47" s="23"/>
      <c r="D47" s="197">
        <f t="array" ref="D47:I47">ROUNDDOWN(D31:I31*L31*I5,3)</f>
        <v>0.7</v>
      </c>
      <c r="E47" s="198">
        <v>1.2</v>
      </c>
      <c r="F47" s="198">
        <v>1.5</v>
      </c>
      <c r="G47" s="198">
        <v>1.5</v>
      </c>
      <c r="H47" s="198">
        <v>1.4</v>
      </c>
      <c r="I47" s="199">
        <v>0.8</v>
      </c>
      <c r="J47" s="74"/>
      <c r="K47" s="171"/>
      <c r="L47" s="171"/>
      <c r="R47" s="1"/>
      <c r="S47" s="1"/>
      <c r="T47" s="1"/>
      <c r="U47" s="1"/>
      <c r="V47" s="1"/>
      <c r="W47" s="1"/>
      <c r="X47" s="1"/>
      <c r="Y47" s="1"/>
    </row>
    <row r="48" spans="1:26" ht="18" customHeight="1" thickBot="1">
      <c r="A48" s="278">
        <v>10</v>
      </c>
      <c r="B48" s="388" t="str">
        <f t="shared" si="7"/>
        <v>5.3. 관계기관 협의</v>
      </c>
      <c r="C48" s="342"/>
      <c r="D48" s="343">
        <f t="array" ref="D48:I48">ROUNDDOWN(D32:I32*L32,3)</f>
        <v>0.3</v>
      </c>
      <c r="E48" s="344">
        <v>0.6</v>
      </c>
      <c r="F48" s="344">
        <v>0.8</v>
      </c>
      <c r="G48" s="344">
        <v>0.8</v>
      </c>
      <c r="H48" s="344">
        <v>0.7</v>
      </c>
      <c r="I48" s="345">
        <v>0.5</v>
      </c>
      <c r="J48" s="176"/>
      <c r="K48" s="171" t="s">
        <v>14</v>
      </c>
      <c r="L48" s="171"/>
      <c r="R48" s="1"/>
      <c r="S48" s="1"/>
      <c r="T48" s="1"/>
      <c r="U48" s="1"/>
      <c r="V48" s="1"/>
      <c r="W48" s="1"/>
      <c r="X48" s="1"/>
      <c r="Y48" s="1"/>
    </row>
    <row r="49" spans="1:26" ht="18" customHeight="1" thickBot="1">
      <c r="A49" s="278"/>
      <c r="B49" s="80"/>
      <c r="E49" s="8"/>
      <c r="F49" s="8"/>
      <c r="G49" s="8"/>
      <c r="H49" s="8"/>
      <c r="I49" s="8"/>
      <c r="J49" s="10"/>
      <c r="K49" s="171" t="s">
        <v>14</v>
      </c>
      <c r="L49" s="171"/>
      <c r="N49" s="66" t="s">
        <v>18</v>
      </c>
      <c r="O49" s="2"/>
      <c r="P49" s="2"/>
      <c r="Q49" s="2"/>
      <c r="R49" s="3"/>
      <c r="S49" s="4"/>
      <c r="T49" s="3"/>
      <c r="U49" s="4"/>
      <c r="V49" s="3"/>
      <c r="W49" s="4"/>
      <c r="X49" s="3"/>
      <c r="Y49" s="4"/>
      <c r="Z49" s="2"/>
    </row>
    <row r="50" spans="1:26" ht="18" customHeight="1">
      <c r="A50" s="278"/>
      <c r="B50" s="80"/>
      <c r="J50" s="8"/>
      <c r="K50" s="171" t="s">
        <v>14</v>
      </c>
      <c r="L50" s="171"/>
      <c r="N50" s="765" t="s">
        <v>19</v>
      </c>
      <c r="O50" s="755" t="s">
        <v>20</v>
      </c>
      <c r="P50" s="755" t="s">
        <v>21</v>
      </c>
      <c r="Q50" s="755" t="s">
        <v>16</v>
      </c>
      <c r="R50" s="5" t="s">
        <v>22</v>
      </c>
      <c r="S50" s="5"/>
      <c r="T50" s="5" t="s">
        <v>23</v>
      </c>
      <c r="U50" s="5"/>
      <c r="V50" s="5" t="s">
        <v>24</v>
      </c>
      <c r="W50" s="5"/>
      <c r="X50" s="5" t="s">
        <v>25</v>
      </c>
      <c r="Y50" s="5"/>
      <c r="Z50" s="755" t="s">
        <v>26</v>
      </c>
    </row>
    <row r="51" spans="1:26" ht="18" customHeight="1" thickBot="1">
      <c r="A51" s="278"/>
      <c r="C51" s="9"/>
      <c r="J51" s="8"/>
      <c r="K51" s="171" t="s">
        <v>14</v>
      </c>
      <c r="L51" s="171"/>
      <c r="N51" s="766"/>
      <c r="O51" s="756"/>
      <c r="P51" s="756"/>
      <c r="Q51" s="756"/>
      <c r="R51" s="67" t="s">
        <v>27</v>
      </c>
      <c r="S51" s="67" t="s">
        <v>28</v>
      </c>
      <c r="T51" s="67" t="s">
        <v>27</v>
      </c>
      <c r="U51" s="67" t="s">
        <v>28</v>
      </c>
      <c r="V51" s="67" t="s">
        <v>27</v>
      </c>
      <c r="W51" s="67" t="s">
        <v>28</v>
      </c>
      <c r="X51" s="67" t="s">
        <v>27</v>
      </c>
      <c r="Y51" s="67" t="s">
        <v>28</v>
      </c>
      <c r="Z51" s="756"/>
    </row>
    <row r="52" spans="1:26" ht="18" customHeight="1" thickTop="1">
      <c r="A52" s="278"/>
      <c r="J52" s="8"/>
      <c r="K52" s="171" t="s">
        <v>14</v>
      </c>
      <c r="L52" s="171"/>
      <c r="N52" s="318" t="str">
        <f ca="1">"제 " &amp; Z52 &amp; " 호표  "&amp; OFFSET($A$1,MATCH(Z52,$A:$A,0)-1,1)</f>
        <v>제 1 호표  1.1. 현황조사분석</v>
      </c>
      <c r="O52" s="221"/>
      <c r="P52" s="148"/>
      <c r="Q52" s="148"/>
      <c r="R52" s="149"/>
      <c r="S52" s="149"/>
      <c r="T52" s="149"/>
      <c r="U52" s="149"/>
      <c r="V52" s="149"/>
      <c r="W52" s="149"/>
      <c r="X52" s="149"/>
      <c r="Y52" s="149"/>
      <c r="Z52" s="325">
        <v>1</v>
      </c>
    </row>
    <row r="53" spans="1:26" ht="18" customHeight="1">
      <c r="A53" s="278"/>
      <c r="K53" s="171" t="s">
        <v>14</v>
      </c>
      <c r="L53" s="171"/>
      <c r="N53" s="140" t="s">
        <v>43</v>
      </c>
      <c r="O53" s="172">
        <v>3</v>
      </c>
      <c r="P53" s="219">
        <f ca="1">OFFSET($A$1,MATCH(Z52,$A:$A,0)-1,O53)</f>
        <v>4.8540000000000001</v>
      </c>
      <c r="Q53" s="141" t="s">
        <v>29</v>
      </c>
      <c r="R53" s="142">
        <f t="shared" ref="R53:S58" ca="1" si="13">T53</f>
        <v>467217</v>
      </c>
      <c r="S53" s="142">
        <f t="shared" ca="1" si="13"/>
        <v>2267871</v>
      </c>
      <c r="T53" s="142">
        <f ca="1">기술사</f>
        <v>467217</v>
      </c>
      <c r="U53" s="142">
        <f t="shared" ref="U53:U58" ca="1" si="14">ROUNDDOWN(P53*R53,0)</f>
        <v>2267871</v>
      </c>
      <c r="V53" s="142"/>
      <c r="W53" s="142"/>
      <c r="X53" s="142"/>
      <c r="Y53" s="142"/>
      <c r="Z53" s="114"/>
    </row>
    <row r="54" spans="1:26" ht="18" customHeight="1">
      <c r="A54" s="278"/>
      <c r="C54" s="9"/>
      <c r="K54" s="171" t="s">
        <v>14</v>
      </c>
      <c r="L54" s="171"/>
      <c r="N54" s="143" t="s">
        <v>32</v>
      </c>
      <c r="O54" s="173">
        <v>4</v>
      </c>
      <c r="P54" s="234">
        <f ca="1">OFFSET($A$1,MATCH(Z52,$A:$A,0)-1,O54)</f>
        <v>10.055999999999999</v>
      </c>
      <c r="Q54" s="144" t="s">
        <v>29</v>
      </c>
      <c r="R54" s="118">
        <f t="shared" ca="1" si="13"/>
        <v>373353</v>
      </c>
      <c r="S54" s="118">
        <f t="shared" ca="1" si="13"/>
        <v>3754437</v>
      </c>
      <c r="T54" s="118">
        <f ca="1">특급</f>
        <v>373353</v>
      </c>
      <c r="U54" s="118">
        <f t="shared" ca="1" si="14"/>
        <v>3754437</v>
      </c>
      <c r="V54" s="118"/>
      <c r="W54" s="118"/>
      <c r="X54" s="118"/>
      <c r="Y54" s="118"/>
      <c r="Z54" s="115"/>
    </row>
    <row r="55" spans="1:26" ht="18" customHeight="1">
      <c r="A55" s="278"/>
      <c r="C55" s="9"/>
      <c r="K55" s="171" t="s">
        <v>14</v>
      </c>
      <c r="L55" s="171"/>
      <c r="N55" s="145" t="s">
        <v>39</v>
      </c>
      <c r="O55" s="173">
        <v>5</v>
      </c>
      <c r="P55" s="234">
        <f ca="1">OFFSET($A$1,MATCH(Z52,$A:$A,0)-1,O55)</f>
        <v>20.111999999999998</v>
      </c>
      <c r="Q55" s="144" t="s">
        <v>29</v>
      </c>
      <c r="R55" s="118">
        <f t="shared" ca="1" si="13"/>
        <v>310884</v>
      </c>
      <c r="S55" s="118">
        <f t="shared" ca="1" si="13"/>
        <v>6252499</v>
      </c>
      <c r="T55" s="118">
        <f ca="1">고급</f>
        <v>310884</v>
      </c>
      <c r="U55" s="118">
        <f t="shared" ca="1" si="14"/>
        <v>6252499</v>
      </c>
      <c r="V55" s="118"/>
      <c r="W55" s="118"/>
      <c r="X55" s="118"/>
      <c r="Y55" s="118"/>
      <c r="Z55" s="115"/>
    </row>
    <row r="56" spans="1:26" ht="18" customHeight="1">
      <c r="A56" s="278"/>
      <c r="C56" s="9"/>
      <c r="K56" s="171" t="s">
        <v>14</v>
      </c>
      <c r="L56" s="171"/>
      <c r="N56" s="145" t="s">
        <v>40</v>
      </c>
      <c r="O56" s="173">
        <v>6</v>
      </c>
      <c r="P56" s="234">
        <f ca="1">OFFSET($A$1,MATCH(Z52,$A:$A,0)-1,O56)</f>
        <v>31.207999999999998</v>
      </c>
      <c r="Q56" s="144" t="s">
        <v>29</v>
      </c>
      <c r="R56" s="118">
        <f t="shared" ca="1" si="13"/>
        <v>295138</v>
      </c>
      <c r="S56" s="118">
        <f t="shared" ca="1" si="13"/>
        <v>9210666</v>
      </c>
      <c r="T56" s="118">
        <f ca="1">중급</f>
        <v>295138</v>
      </c>
      <c r="U56" s="118">
        <f t="shared" ca="1" si="14"/>
        <v>9210666</v>
      </c>
      <c r="V56" s="118"/>
      <c r="W56" s="118"/>
      <c r="X56" s="118"/>
      <c r="Y56" s="118"/>
      <c r="Z56" s="115"/>
    </row>
    <row r="57" spans="1:26" ht="18" customHeight="1">
      <c r="A57" s="278"/>
      <c r="K57" s="171" t="s">
        <v>14</v>
      </c>
      <c r="L57" s="171"/>
      <c r="N57" s="145" t="s">
        <v>41</v>
      </c>
      <c r="O57" s="173">
        <v>7</v>
      </c>
      <c r="P57" s="234">
        <f ca="1">OFFSET($A$1,MATCH(Z52,$A:$A,0)-1,O57)</f>
        <v>39.183999999999997</v>
      </c>
      <c r="Q57" s="144" t="s">
        <v>29</v>
      </c>
      <c r="R57" s="118">
        <f t="shared" ca="1" si="13"/>
        <v>235459</v>
      </c>
      <c r="S57" s="118">
        <f t="shared" ca="1" si="13"/>
        <v>9226225</v>
      </c>
      <c r="T57" s="118">
        <f ca="1">초급</f>
        <v>235459</v>
      </c>
      <c r="U57" s="118">
        <f t="shared" ca="1" si="14"/>
        <v>9226225</v>
      </c>
      <c r="V57" s="118"/>
      <c r="W57" s="118"/>
      <c r="X57" s="118"/>
      <c r="Y57" s="118"/>
      <c r="Z57" s="115"/>
    </row>
    <row r="58" spans="1:26" ht="18" customHeight="1">
      <c r="A58" s="278"/>
      <c r="B58" s="9"/>
      <c r="C58" s="9"/>
      <c r="K58" s="171" t="s">
        <v>14</v>
      </c>
      <c r="L58" s="171"/>
      <c r="N58" s="319" t="s">
        <v>42</v>
      </c>
      <c r="O58" s="174">
        <v>8</v>
      </c>
      <c r="P58" s="235">
        <f ca="1">OFFSET($A$1,MATCH(Z52,$A:$A,0)-1,O58)</f>
        <v>22.539000000000001</v>
      </c>
      <c r="Q58" s="322" t="s">
        <v>29</v>
      </c>
      <c r="R58" s="323">
        <f t="shared" ca="1" si="13"/>
        <v>250087</v>
      </c>
      <c r="S58" s="323">
        <f t="shared" ca="1" si="13"/>
        <v>5636710</v>
      </c>
      <c r="T58" s="323">
        <f ca="1">보조원</f>
        <v>250087</v>
      </c>
      <c r="U58" s="323">
        <f t="shared" ca="1" si="14"/>
        <v>5636710</v>
      </c>
      <c r="V58" s="323"/>
      <c r="W58" s="323"/>
      <c r="X58" s="323"/>
      <c r="Y58" s="323"/>
      <c r="Z58" s="324"/>
    </row>
    <row r="59" spans="1:26" ht="18" customHeight="1">
      <c r="A59" s="278"/>
      <c r="B59" s="9"/>
      <c r="K59" s="171" t="s">
        <v>14</v>
      </c>
      <c r="L59" s="171"/>
      <c r="N59" s="139" t="s">
        <v>17</v>
      </c>
      <c r="O59" s="68"/>
      <c r="P59" s="69"/>
      <c r="Q59" s="70"/>
      <c r="R59" s="71"/>
      <c r="S59" s="71">
        <f ca="1">SUBTOTAL(9,S53:S58)</f>
        <v>36348408</v>
      </c>
      <c r="T59" s="71"/>
      <c r="U59" s="71">
        <f ca="1">SUBTOTAL(9,U53:U58)</f>
        <v>36348408</v>
      </c>
      <c r="V59" s="71"/>
      <c r="W59" s="71"/>
      <c r="X59" s="71"/>
      <c r="Y59" s="71"/>
      <c r="Z59" s="68"/>
    </row>
    <row r="60" spans="1:26" ht="18" customHeight="1">
      <c r="A60" s="278"/>
      <c r="B60" s="9"/>
      <c r="K60" s="171" t="s">
        <v>14</v>
      </c>
      <c r="L60" s="171"/>
      <c r="N60" s="318" t="str">
        <f ca="1">"제 " &amp; Z60 &amp; " 호표  "&amp; OFFSET($A$1,MATCH(Z60,$A:$A,0)-1,1)</f>
        <v>제 2 호표  2.1. 개발규모 및 내용설정</v>
      </c>
      <c r="O60" s="221"/>
      <c r="P60" s="148"/>
      <c r="Q60" s="148"/>
      <c r="R60" s="149"/>
      <c r="S60" s="149"/>
      <c r="T60" s="149"/>
      <c r="U60" s="149"/>
      <c r="V60" s="149"/>
      <c r="W60" s="149"/>
      <c r="X60" s="149"/>
      <c r="Y60" s="149"/>
      <c r="Z60" s="325">
        <f>Z52+1</f>
        <v>2</v>
      </c>
    </row>
    <row r="61" spans="1:26" ht="18" customHeight="1">
      <c r="A61" s="278"/>
      <c r="B61" s="9"/>
      <c r="K61" s="171" t="s">
        <v>14</v>
      </c>
      <c r="L61" s="171"/>
      <c r="N61" s="140" t="s">
        <v>43</v>
      </c>
      <c r="O61" s="172">
        <v>3</v>
      </c>
      <c r="P61" s="219">
        <f ca="1">OFFSET($A$1,MATCH(Z60,$A:$A,0)-1,O61)</f>
        <v>8.6690000000000005</v>
      </c>
      <c r="Q61" s="141" t="s">
        <v>29</v>
      </c>
      <c r="R61" s="142">
        <f t="shared" ref="R61:S66" ca="1" si="15">T61</f>
        <v>467217</v>
      </c>
      <c r="S61" s="142">
        <f t="shared" ca="1" si="15"/>
        <v>4050304</v>
      </c>
      <c r="T61" s="142">
        <f ca="1">기술사</f>
        <v>467217</v>
      </c>
      <c r="U61" s="142">
        <f t="shared" ref="U61:U66" ca="1" si="16">ROUNDDOWN(P61*R61,0)</f>
        <v>4050304</v>
      </c>
      <c r="V61" s="142"/>
      <c r="W61" s="142"/>
      <c r="X61" s="142"/>
      <c r="Y61" s="142"/>
      <c r="Z61" s="114"/>
    </row>
    <row r="62" spans="1:26" ht="18" customHeight="1">
      <c r="A62" s="278"/>
      <c r="B62" s="9"/>
      <c r="K62" s="171" t="s">
        <v>14</v>
      </c>
      <c r="L62" s="171"/>
      <c r="N62" s="143" t="s">
        <v>32</v>
      </c>
      <c r="O62" s="173">
        <v>4</v>
      </c>
      <c r="P62" s="234">
        <f ca="1">OFFSET($A$1,MATCH(Z60,$A:$A,0)-1,O62)</f>
        <v>18.030999999999999</v>
      </c>
      <c r="Q62" s="144" t="s">
        <v>29</v>
      </c>
      <c r="R62" s="118">
        <f t="shared" ca="1" si="15"/>
        <v>373353</v>
      </c>
      <c r="S62" s="118">
        <f t="shared" ca="1" si="15"/>
        <v>6731927</v>
      </c>
      <c r="T62" s="118">
        <f ca="1">특급</f>
        <v>373353</v>
      </c>
      <c r="U62" s="118">
        <f t="shared" ca="1" si="16"/>
        <v>6731927</v>
      </c>
      <c r="V62" s="118"/>
      <c r="W62" s="118"/>
      <c r="X62" s="118"/>
      <c r="Y62" s="118"/>
      <c r="Z62" s="115"/>
    </row>
    <row r="63" spans="1:26" ht="18" customHeight="1">
      <c r="A63" s="278"/>
      <c r="B63" s="9"/>
      <c r="K63" s="171" t="s">
        <v>14</v>
      </c>
      <c r="L63" s="171"/>
      <c r="N63" s="145" t="s">
        <v>39</v>
      </c>
      <c r="O63" s="173">
        <v>5</v>
      </c>
      <c r="P63" s="234">
        <f ca="1">OFFSET($A$1,MATCH(Z60,$A:$A,0)-1,O63)</f>
        <v>35.023000000000003</v>
      </c>
      <c r="Q63" s="144" t="s">
        <v>29</v>
      </c>
      <c r="R63" s="118">
        <f t="shared" ca="1" si="15"/>
        <v>310884</v>
      </c>
      <c r="S63" s="118">
        <f t="shared" ca="1" si="15"/>
        <v>10888090</v>
      </c>
      <c r="T63" s="118">
        <f ca="1">고급</f>
        <v>310884</v>
      </c>
      <c r="U63" s="118">
        <f t="shared" ca="1" si="16"/>
        <v>10888090</v>
      </c>
      <c r="V63" s="118"/>
      <c r="W63" s="118"/>
      <c r="X63" s="118"/>
      <c r="Y63" s="118"/>
      <c r="Z63" s="115"/>
    </row>
    <row r="64" spans="1:26" ht="18" customHeight="1">
      <c r="A64" s="278"/>
      <c r="B64" s="9"/>
      <c r="K64" s="171" t="s">
        <v>14</v>
      </c>
      <c r="L64" s="171"/>
      <c r="N64" s="145" t="s">
        <v>40</v>
      </c>
      <c r="O64" s="173">
        <v>6</v>
      </c>
      <c r="P64" s="234">
        <f ca="1">OFFSET($A$1,MATCH(Z60,$A:$A,0)-1,O64)</f>
        <v>47.158999999999999</v>
      </c>
      <c r="Q64" s="144" t="s">
        <v>29</v>
      </c>
      <c r="R64" s="118">
        <f t="shared" ca="1" si="15"/>
        <v>295138</v>
      </c>
      <c r="S64" s="118">
        <f t="shared" ca="1" si="15"/>
        <v>13918412</v>
      </c>
      <c r="T64" s="118">
        <f ca="1">중급</f>
        <v>295138</v>
      </c>
      <c r="U64" s="118">
        <f t="shared" ca="1" si="16"/>
        <v>13918412</v>
      </c>
      <c r="V64" s="118"/>
      <c r="W64" s="118"/>
      <c r="X64" s="118"/>
      <c r="Y64" s="118"/>
      <c r="Z64" s="115"/>
    </row>
    <row r="65" spans="1:26" ht="18" customHeight="1">
      <c r="A65" s="278"/>
      <c r="K65" s="171" t="s">
        <v>14</v>
      </c>
      <c r="L65" s="171"/>
      <c r="N65" s="145" t="s">
        <v>41</v>
      </c>
      <c r="O65" s="173">
        <v>7</v>
      </c>
      <c r="P65" s="234">
        <f ca="1">OFFSET($A$1,MATCH(Z60,$A:$A,0)-1,O65)</f>
        <v>48.2</v>
      </c>
      <c r="Q65" s="144" t="s">
        <v>29</v>
      </c>
      <c r="R65" s="118">
        <f t="shared" ca="1" si="15"/>
        <v>235459</v>
      </c>
      <c r="S65" s="118">
        <f t="shared" ca="1" si="15"/>
        <v>11349123</v>
      </c>
      <c r="T65" s="118">
        <f ca="1">초급</f>
        <v>235459</v>
      </c>
      <c r="U65" s="118">
        <f t="shared" ca="1" si="16"/>
        <v>11349123</v>
      </c>
      <c r="V65" s="118"/>
      <c r="W65" s="118"/>
      <c r="X65" s="118"/>
      <c r="Y65" s="118"/>
      <c r="Z65" s="115"/>
    </row>
    <row r="66" spans="1:26" ht="18" customHeight="1">
      <c r="A66" s="278"/>
      <c r="K66" s="171" t="s">
        <v>14</v>
      </c>
      <c r="L66" s="171"/>
      <c r="N66" s="319" t="s">
        <v>42</v>
      </c>
      <c r="O66" s="174">
        <v>8</v>
      </c>
      <c r="P66" s="235">
        <f ca="1">OFFSET($A$1,MATCH(Z60,$A:$A,0)-1,O66)</f>
        <v>31.555</v>
      </c>
      <c r="Q66" s="322" t="s">
        <v>29</v>
      </c>
      <c r="R66" s="323">
        <f t="shared" ca="1" si="15"/>
        <v>250087</v>
      </c>
      <c r="S66" s="323">
        <f t="shared" ca="1" si="15"/>
        <v>7891495</v>
      </c>
      <c r="T66" s="323">
        <f ca="1">보조원</f>
        <v>250087</v>
      </c>
      <c r="U66" s="323">
        <f t="shared" ca="1" si="16"/>
        <v>7891495</v>
      </c>
      <c r="V66" s="323"/>
      <c r="W66" s="323"/>
      <c r="X66" s="323"/>
      <c r="Y66" s="323"/>
      <c r="Z66" s="324"/>
    </row>
    <row r="67" spans="1:26" ht="18" customHeight="1">
      <c r="A67" s="278"/>
      <c r="K67" s="171" t="s">
        <v>14</v>
      </c>
      <c r="L67" s="171"/>
      <c r="N67" s="139" t="s">
        <v>17</v>
      </c>
      <c r="O67" s="68"/>
      <c r="P67" s="69"/>
      <c r="Q67" s="70"/>
      <c r="R67" s="71"/>
      <c r="S67" s="71">
        <f ca="1">SUBTOTAL(9,S61:S66)</f>
        <v>54829351</v>
      </c>
      <c r="T67" s="71"/>
      <c r="U67" s="71">
        <f ca="1">SUBTOTAL(9,U61:U66)</f>
        <v>54829351</v>
      </c>
      <c r="V67" s="71"/>
      <c r="W67" s="71"/>
      <c r="X67" s="71"/>
      <c r="Y67" s="71"/>
      <c r="Z67" s="68"/>
    </row>
    <row r="68" spans="1:26" ht="18" customHeight="1">
      <c r="A68" s="278"/>
      <c r="K68" s="171" t="s">
        <v>14</v>
      </c>
      <c r="L68" s="171"/>
      <c r="N68" s="318" t="str">
        <f ca="1">"제 " &amp; Z68 &amp; " 호표  "&amp; OFFSET($A$1,MATCH(Z68,$A:$A,0)-1,1)</f>
        <v>제 3 호표  2.2. 기본구상안 작성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f>Z60+1</f>
        <v>3</v>
      </c>
    </row>
    <row r="69" spans="1:26" ht="18" customHeight="1">
      <c r="A69" s="278"/>
      <c r="K69" s="171" t="s">
        <v>14</v>
      </c>
      <c r="L69" s="171"/>
      <c r="N69" s="140" t="s">
        <v>43</v>
      </c>
      <c r="O69" s="172">
        <v>3</v>
      </c>
      <c r="P69" s="219">
        <f ca="1">OFFSET($A$1,MATCH(Z68,$A:$A,0)-1,O69)</f>
        <v>15.951000000000001</v>
      </c>
      <c r="Q69" s="141" t="s">
        <v>29</v>
      </c>
      <c r="R69" s="142">
        <f t="shared" ref="R69:S74" ca="1" si="17">T69</f>
        <v>467217</v>
      </c>
      <c r="S69" s="142">
        <f t="shared" ca="1" si="17"/>
        <v>7452578</v>
      </c>
      <c r="T69" s="142">
        <f ca="1">기술사</f>
        <v>467217</v>
      </c>
      <c r="U69" s="142">
        <f t="shared" ref="U69:U74" ca="1" si="18">ROUNDDOWN(P69*R69,0)</f>
        <v>7452578</v>
      </c>
      <c r="V69" s="142"/>
      <c r="W69" s="142"/>
      <c r="X69" s="142"/>
      <c r="Y69" s="142"/>
      <c r="Z69" s="114"/>
    </row>
    <row r="70" spans="1:26" ht="18" customHeight="1">
      <c r="A70" s="278"/>
      <c r="K70" s="171" t="s">
        <v>14</v>
      </c>
      <c r="L70" s="171"/>
      <c r="N70" s="143" t="s">
        <v>32</v>
      </c>
      <c r="O70" s="173">
        <v>4</v>
      </c>
      <c r="P70" s="234">
        <f ca="1">OFFSET($A$1,MATCH(Z68,$A:$A,0)-1,O70)</f>
        <v>35.369</v>
      </c>
      <c r="Q70" s="144" t="s">
        <v>29</v>
      </c>
      <c r="R70" s="118">
        <f t="shared" ca="1" si="17"/>
        <v>373353</v>
      </c>
      <c r="S70" s="118">
        <f t="shared" ca="1" si="17"/>
        <v>13205122</v>
      </c>
      <c r="T70" s="118">
        <f ca="1">특급</f>
        <v>373353</v>
      </c>
      <c r="U70" s="118">
        <f t="shared" ca="1" si="18"/>
        <v>13205122</v>
      </c>
      <c r="V70" s="118"/>
      <c r="W70" s="118"/>
      <c r="X70" s="118"/>
      <c r="Y70" s="118"/>
      <c r="Z70" s="115"/>
    </row>
    <row r="71" spans="1:26" ht="18" customHeight="1">
      <c r="A71" s="278"/>
      <c r="K71" s="171" t="s">
        <v>14</v>
      </c>
      <c r="L71" s="171"/>
      <c r="N71" s="145" t="s">
        <v>39</v>
      </c>
      <c r="O71" s="173">
        <v>5</v>
      </c>
      <c r="P71" s="234">
        <f ca="1">OFFSET($A$1,MATCH(Z68,$A:$A,0)-1,O71)</f>
        <v>54.094999999999999</v>
      </c>
      <c r="Q71" s="144" t="s">
        <v>29</v>
      </c>
      <c r="R71" s="118">
        <f t="shared" ca="1" si="17"/>
        <v>310884</v>
      </c>
      <c r="S71" s="118">
        <f t="shared" ca="1" si="17"/>
        <v>16817269</v>
      </c>
      <c r="T71" s="118">
        <f ca="1">고급</f>
        <v>310884</v>
      </c>
      <c r="U71" s="118">
        <f t="shared" ca="1" si="18"/>
        <v>16817269</v>
      </c>
      <c r="V71" s="118"/>
      <c r="W71" s="118"/>
      <c r="X71" s="118"/>
      <c r="Y71" s="118"/>
      <c r="Z71" s="115"/>
    </row>
    <row r="72" spans="1:26" ht="18" customHeight="1">
      <c r="A72" s="278"/>
      <c r="K72" s="171" t="s">
        <v>14</v>
      </c>
      <c r="L72" s="171"/>
      <c r="N72" s="145" t="s">
        <v>40</v>
      </c>
      <c r="O72" s="173">
        <v>6</v>
      </c>
      <c r="P72" s="234">
        <f ca="1">OFFSET($A$1,MATCH(Z68,$A:$A,0)-1,O72)</f>
        <v>57.908999999999999</v>
      </c>
      <c r="Q72" s="144" t="s">
        <v>29</v>
      </c>
      <c r="R72" s="118">
        <f t="shared" ca="1" si="17"/>
        <v>295138</v>
      </c>
      <c r="S72" s="118">
        <f t="shared" ca="1" si="17"/>
        <v>17091146</v>
      </c>
      <c r="T72" s="118">
        <f ca="1">중급</f>
        <v>295138</v>
      </c>
      <c r="U72" s="118">
        <f t="shared" ca="1" si="18"/>
        <v>17091146</v>
      </c>
      <c r="V72" s="118"/>
      <c r="W72" s="118"/>
      <c r="X72" s="118"/>
      <c r="Y72" s="118"/>
      <c r="Z72" s="115"/>
    </row>
    <row r="73" spans="1:26" ht="18" customHeight="1">
      <c r="A73" s="278"/>
      <c r="K73" s="171" t="s">
        <v>14</v>
      </c>
      <c r="L73" s="171"/>
      <c r="N73" s="145" t="s">
        <v>41</v>
      </c>
      <c r="O73" s="173">
        <v>7</v>
      </c>
      <c r="P73" s="234">
        <f ca="1">OFFSET($A$1,MATCH(Z68,$A:$A,0)-1,O73)</f>
        <v>63.457000000000001</v>
      </c>
      <c r="Q73" s="144" t="s">
        <v>29</v>
      </c>
      <c r="R73" s="118">
        <f t="shared" ca="1" si="17"/>
        <v>235459</v>
      </c>
      <c r="S73" s="118">
        <f t="shared" ca="1" si="17"/>
        <v>14941521</v>
      </c>
      <c r="T73" s="118">
        <f ca="1">초급</f>
        <v>235459</v>
      </c>
      <c r="U73" s="118">
        <f t="shared" ca="1" si="18"/>
        <v>14941521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N74" s="319" t="s">
        <v>42</v>
      </c>
      <c r="O74" s="174">
        <v>8</v>
      </c>
      <c r="P74" s="235">
        <f ca="1">OFFSET($A$1,MATCH(Z68,$A:$A,0)-1,O74)</f>
        <v>47.158999999999999</v>
      </c>
      <c r="Q74" s="322" t="s">
        <v>29</v>
      </c>
      <c r="R74" s="323">
        <f t="shared" ca="1" si="17"/>
        <v>250087</v>
      </c>
      <c r="S74" s="323">
        <f t="shared" ca="1" si="17"/>
        <v>11793852</v>
      </c>
      <c r="T74" s="323">
        <f ca="1">보조원</f>
        <v>250087</v>
      </c>
      <c r="U74" s="323">
        <f t="shared" ca="1" si="18"/>
        <v>11793852</v>
      </c>
      <c r="V74" s="323"/>
      <c r="W74" s="323"/>
      <c r="X74" s="323"/>
      <c r="Y74" s="323"/>
      <c r="Z74" s="324"/>
    </row>
    <row r="75" spans="1:26" ht="18" customHeight="1">
      <c r="K75" s="171" t="s">
        <v>14</v>
      </c>
      <c r="L75" s="171"/>
      <c r="N75" s="139" t="s">
        <v>17</v>
      </c>
      <c r="O75" s="68"/>
      <c r="P75" s="69"/>
      <c r="Q75" s="70"/>
      <c r="R75" s="71"/>
      <c r="S75" s="71">
        <f ca="1">SUBTOTAL(9,S69:S74)</f>
        <v>81301488</v>
      </c>
      <c r="T75" s="71"/>
      <c r="U75" s="71">
        <f ca="1">SUBTOTAL(9,U69:U74)</f>
        <v>81301488</v>
      </c>
      <c r="V75" s="71"/>
      <c r="W75" s="71"/>
      <c r="X75" s="71"/>
      <c r="Y75" s="71"/>
      <c r="Z75" s="68"/>
    </row>
    <row r="76" spans="1:26" ht="18" customHeight="1">
      <c r="K76" s="171" t="s">
        <v>14</v>
      </c>
      <c r="L76" s="171"/>
      <c r="N76" s="318" t="str">
        <f ca="1">"제 " &amp; Z76 &amp; " 호표  "&amp; OFFSET($A$1,MATCH(Z76,$A:$A,0)-1,1)</f>
        <v>제 4 호표  2.3. 타당성검토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4</v>
      </c>
    </row>
    <row r="77" spans="1:26" ht="18" customHeight="1">
      <c r="K77" s="171" t="s">
        <v>14</v>
      </c>
      <c r="L77" s="171"/>
      <c r="N77" s="140" t="s">
        <v>43</v>
      </c>
      <c r="O77" s="172">
        <v>3</v>
      </c>
      <c r="P77" s="219">
        <f ca="1">OFFSET($A$1,MATCH(Z76,$A:$A,0)-1,O77)</f>
        <v>12.83</v>
      </c>
      <c r="Q77" s="141" t="s">
        <v>29</v>
      </c>
      <c r="R77" s="142">
        <f t="shared" ref="R77:S82" ca="1" si="19">T77</f>
        <v>467217</v>
      </c>
      <c r="S77" s="142">
        <f t="shared" ca="1" si="19"/>
        <v>5994394</v>
      </c>
      <c r="T77" s="142">
        <f ca="1">기술사</f>
        <v>467217</v>
      </c>
      <c r="U77" s="142">
        <f t="shared" ref="U77:U82" ca="1" si="20">ROUNDDOWN(P77*R77,0)</f>
        <v>5994394</v>
      </c>
      <c r="V77" s="142"/>
      <c r="W77" s="142"/>
      <c r="X77" s="142"/>
      <c r="Y77" s="142"/>
      <c r="Z77" s="114"/>
    </row>
    <row r="78" spans="1:26" ht="18" customHeight="1">
      <c r="K78" s="171" t="s">
        <v>14</v>
      </c>
      <c r="L78" s="171"/>
      <c r="N78" s="143" t="s">
        <v>32</v>
      </c>
      <c r="O78" s="173">
        <v>4</v>
      </c>
      <c r="P78" s="234">
        <f ca="1">OFFSET($A$1,MATCH(Z76,$A:$A,0)-1,O78)</f>
        <v>33.981999999999999</v>
      </c>
      <c r="Q78" s="144" t="s">
        <v>29</v>
      </c>
      <c r="R78" s="118">
        <f t="shared" ca="1" si="19"/>
        <v>373353</v>
      </c>
      <c r="S78" s="118">
        <f t="shared" ca="1" si="19"/>
        <v>12687281</v>
      </c>
      <c r="T78" s="118">
        <f ca="1">특급</f>
        <v>373353</v>
      </c>
      <c r="U78" s="118">
        <f t="shared" ca="1" si="20"/>
        <v>12687281</v>
      </c>
      <c r="V78" s="118"/>
      <c r="W78" s="118"/>
      <c r="X78" s="118"/>
      <c r="Y78" s="118"/>
      <c r="Z78" s="115"/>
    </row>
    <row r="79" spans="1:26" ht="18" customHeight="1">
      <c r="K79" s="171" t="s">
        <v>14</v>
      </c>
      <c r="L79" s="171"/>
      <c r="N79" s="145" t="s">
        <v>39</v>
      </c>
      <c r="O79" s="173">
        <v>5</v>
      </c>
      <c r="P79" s="234">
        <f ca="1">OFFSET($A$1,MATCH(Z76,$A:$A,0)-1,O79)</f>
        <v>52.707999999999998</v>
      </c>
      <c r="Q79" s="144" t="s">
        <v>29</v>
      </c>
      <c r="R79" s="118">
        <f t="shared" ca="1" si="19"/>
        <v>310884</v>
      </c>
      <c r="S79" s="118">
        <f t="shared" ca="1" si="19"/>
        <v>16386073</v>
      </c>
      <c r="T79" s="118">
        <f ca="1">고급</f>
        <v>310884</v>
      </c>
      <c r="U79" s="118">
        <f t="shared" ca="1" si="20"/>
        <v>16386073</v>
      </c>
      <c r="V79" s="118"/>
      <c r="W79" s="118"/>
      <c r="X79" s="118"/>
      <c r="Y79" s="118"/>
      <c r="Z79" s="115"/>
    </row>
    <row r="80" spans="1:26" ht="18" customHeight="1">
      <c r="K80" s="171" t="s">
        <v>14</v>
      </c>
      <c r="L80" s="171"/>
      <c r="N80" s="145" t="s">
        <v>40</v>
      </c>
      <c r="O80" s="173">
        <v>6</v>
      </c>
      <c r="P80" s="234">
        <f ca="1">OFFSET($A$1,MATCH(Z76,$A:$A,0)-1,O80)</f>
        <v>53.401000000000003</v>
      </c>
      <c r="Q80" s="144" t="s">
        <v>29</v>
      </c>
      <c r="R80" s="118">
        <f t="shared" ca="1" si="19"/>
        <v>295138</v>
      </c>
      <c r="S80" s="118">
        <f t="shared" ca="1" si="19"/>
        <v>15760664</v>
      </c>
      <c r="T80" s="118">
        <f ca="1">중급</f>
        <v>295138</v>
      </c>
      <c r="U80" s="118">
        <f t="shared" ca="1" si="20"/>
        <v>15760664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N81" s="145" t="s">
        <v>41</v>
      </c>
      <c r="O81" s="173">
        <v>7</v>
      </c>
      <c r="P81" s="234">
        <f ca="1">OFFSET($A$1,MATCH(Z76,$A:$A,0)-1,O81)</f>
        <v>63.457000000000001</v>
      </c>
      <c r="Q81" s="144" t="s">
        <v>29</v>
      </c>
      <c r="R81" s="118">
        <f t="shared" ca="1" si="19"/>
        <v>235459</v>
      </c>
      <c r="S81" s="118">
        <f t="shared" ca="1" si="19"/>
        <v>14941521</v>
      </c>
      <c r="T81" s="118">
        <f ca="1">초급</f>
        <v>235459</v>
      </c>
      <c r="U81" s="118">
        <f t="shared" ca="1" si="20"/>
        <v>14941521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319" t="s">
        <v>42</v>
      </c>
      <c r="O82" s="174">
        <v>8</v>
      </c>
      <c r="P82" s="235">
        <f ca="1">OFFSET($A$1,MATCH(Z76,$A:$A,0)-1,O82)</f>
        <v>30.167999999999999</v>
      </c>
      <c r="Q82" s="322" t="s">
        <v>29</v>
      </c>
      <c r="R82" s="323">
        <f t="shared" ca="1" si="19"/>
        <v>250087</v>
      </c>
      <c r="S82" s="323">
        <f t="shared" ca="1" si="19"/>
        <v>7544624</v>
      </c>
      <c r="T82" s="323">
        <f ca="1">보조원</f>
        <v>250087</v>
      </c>
      <c r="U82" s="323">
        <f t="shared" ca="1" si="20"/>
        <v>7544624</v>
      </c>
      <c r="V82" s="323"/>
      <c r="W82" s="323"/>
      <c r="X82" s="323"/>
      <c r="Y82" s="323"/>
      <c r="Z82" s="324"/>
    </row>
    <row r="83" spans="11:26" ht="18" customHeight="1">
      <c r="K83" s="171" t="s">
        <v>14</v>
      </c>
      <c r="L83" s="171"/>
      <c r="N83" s="139" t="s">
        <v>17</v>
      </c>
      <c r="O83" s="68"/>
      <c r="P83" s="69"/>
      <c r="Q83" s="70"/>
      <c r="R83" s="71"/>
      <c r="S83" s="71">
        <f ca="1">SUBTOTAL(9,S77:S82)</f>
        <v>73314557</v>
      </c>
      <c r="T83" s="71"/>
      <c r="U83" s="71">
        <f ca="1">SUBTOTAL(9,U77:U82)</f>
        <v>73314557</v>
      </c>
      <c r="V83" s="71"/>
      <c r="W83" s="71"/>
      <c r="X83" s="71"/>
      <c r="Y83" s="71"/>
      <c r="Z83" s="68"/>
    </row>
    <row r="84" spans="11:26" ht="18" customHeight="1">
      <c r="K84" s="171" t="s">
        <v>14</v>
      </c>
      <c r="L84" s="171"/>
      <c r="N84" s="318" t="str">
        <f ca="1">"제 " &amp; Z84 &amp; " 호표  "&amp; OFFSET($A$1,MATCH(Z84,$A:$A,0)-1,1)</f>
        <v>제 5 호표  3.1. 사업집행계획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5</v>
      </c>
    </row>
    <row r="85" spans="11:26" ht="18" customHeight="1">
      <c r="K85" s="171" t="s">
        <v>14</v>
      </c>
      <c r="L85" s="171"/>
      <c r="N85" s="140" t="s">
        <v>43</v>
      </c>
      <c r="O85" s="172">
        <v>3</v>
      </c>
      <c r="P85" s="219">
        <f ca="1">OFFSET($A$1,MATCH(Z84,$A:$A,0)-1,O85)</f>
        <v>6.5880000000000001</v>
      </c>
      <c r="Q85" s="141" t="s">
        <v>29</v>
      </c>
      <c r="R85" s="142">
        <f t="shared" ref="R85:S90" ca="1" si="21">T85</f>
        <v>467217</v>
      </c>
      <c r="S85" s="142">
        <f t="shared" ca="1" si="21"/>
        <v>3078025</v>
      </c>
      <c r="T85" s="142">
        <f ca="1">기술사</f>
        <v>467217</v>
      </c>
      <c r="U85" s="142">
        <f t="shared" ref="U85:U90" ca="1" si="22">ROUNDDOWN(P85*R85,0)</f>
        <v>3078025</v>
      </c>
      <c r="V85" s="142"/>
      <c r="W85" s="142"/>
      <c r="X85" s="142"/>
      <c r="Y85" s="142"/>
      <c r="Z85" s="114"/>
    </row>
    <row r="86" spans="11:26" ht="18" customHeight="1">
      <c r="K86" s="171" t="s">
        <v>14</v>
      </c>
      <c r="L86" s="171"/>
      <c r="N86" s="143" t="s">
        <v>32</v>
      </c>
      <c r="O86" s="173">
        <v>4</v>
      </c>
      <c r="P86" s="234">
        <f ca="1">OFFSET($A$1,MATCH(Z84,$A:$A,0)-1,O86)</f>
        <v>19.417999999999999</v>
      </c>
      <c r="Q86" s="144" t="s">
        <v>29</v>
      </c>
      <c r="R86" s="118">
        <f t="shared" ca="1" si="21"/>
        <v>373353</v>
      </c>
      <c r="S86" s="118">
        <f t="shared" ca="1" si="21"/>
        <v>7249768</v>
      </c>
      <c r="T86" s="118">
        <f ca="1">특급</f>
        <v>373353</v>
      </c>
      <c r="U86" s="118">
        <f t="shared" ca="1" si="22"/>
        <v>7249768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N87" s="145" t="s">
        <v>39</v>
      </c>
      <c r="O87" s="173">
        <v>5</v>
      </c>
      <c r="P87" s="234">
        <f ca="1">OFFSET($A$1,MATCH(Z84,$A:$A,0)-1,O87)</f>
        <v>35.369</v>
      </c>
      <c r="Q87" s="144" t="s">
        <v>29</v>
      </c>
      <c r="R87" s="118">
        <f t="shared" ca="1" si="21"/>
        <v>310884</v>
      </c>
      <c r="S87" s="118">
        <f t="shared" ca="1" si="21"/>
        <v>10995656</v>
      </c>
      <c r="T87" s="118">
        <f ca="1">고급</f>
        <v>310884</v>
      </c>
      <c r="U87" s="118">
        <f t="shared" ca="1" si="22"/>
        <v>10995656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N88" s="145" t="s">
        <v>40</v>
      </c>
      <c r="O88" s="173">
        <v>6</v>
      </c>
      <c r="P88" s="234">
        <f ca="1">OFFSET($A$1,MATCH(Z84,$A:$A,0)-1,O88)</f>
        <v>40.570999999999998</v>
      </c>
      <c r="Q88" s="144" t="s">
        <v>29</v>
      </c>
      <c r="R88" s="118">
        <f t="shared" ca="1" si="21"/>
        <v>295138</v>
      </c>
      <c r="S88" s="118">
        <f t="shared" ca="1" si="21"/>
        <v>11974043</v>
      </c>
      <c r="T88" s="118">
        <f ca="1">중급</f>
        <v>295138</v>
      </c>
      <c r="U88" s="118">
        <f t="shared" ca="1" si="22"/>
        <v>11974043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N89" s="145" t="s">
        <v>41</v>
      </c>
      <c r="O89" s="173">
        <v>7</v>
      </c>
      <c r="P89" s="234">
        <f ca="1">OFFSET($A$1,MATCH(Z84,$A:$A,0)-1,O89)</f>
        <v>45.771999999999998</v>
      </c>
      <c r="Q89" s="144" t="s">
        <v>29</v>
      </c>
      <c r="R89" s="118">
        <f t="shared" ca="1" si="21"/>
        <v>235459</v>
      </c>
      <c r="S89" s="118">
        <f t="shared" ca="1" si="21"/>
        <v>10777429</v>
      </c>
      <c r="T89" s="118">
        <f ca="1">초급</f>
        <v>235459</v>
      </c>
      <c r="U89" s="118">
        <f t="shared" ca="1" si="22"/>
        <v>10777429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319" t="s">
        <v>42</v>
      </c>
      <c r="O90" s="174">
        <v>8</v>
      </c>
      <c r="P90" s="235">
        <f ca="1">OFFSET($A$1,MATCH(Z84,$A:$A,0)-1,O90)</f>
        <v>22.539000000000001</v>
      </c>
      <c r="Q90" s="322" t="s">
        <v>29</v>
      </c>
      <c r="R90" s="323">
        <f t="shared" ca="1" si="21"/>
        <v>250087</v>
      </c>
      <c r="S90" s="323">
        <f t="shared" ca="1" si="21"/>
        <v>5636710</v>
      </c>
      <c r="T90" s="323">
        <f ca="1">보조원</f>
        <v>250087</v>
      </c>
      <c r="U90" s="323">
        <f t="shared" ca="1" si="22"/>
        <v>5636710</v>
      </c>
      <c r="V90" s="323"/>
      <c r="W90" s="323"/>
      <c r="X90" s="323"/>
      <c r="Y90" s="323"/>
      <c r="Z90" s="324"/>
    </row>
    <row r="91" spans="11:26" ht="18" customHeight="1">
      <c r="K91" s="171" t="s">
        <v>14</v>
      </c>
      <c r="L91" s="171"/>
      <c r="N91" s="139" t="s">
        <v>17</v>
      </c>
      <c r="O91" s="68"/>
      <c r="P91" s="69"/>
      <c r="Q91" s="70"/>
      <c r="R91" s="71"/>
      <c r="S91" s="71">
        <f ca="1">SUBTOTAL(9,S85:S90)</f>
        <v>49711631</v>
      </c>
      <c r="T91" s="71"/>
      <c r="U91" s="71">
        <f ca="1">SUBTOTAL(9,U85:U90)</f>
        <v>49711631</v>
      </c>
      <c r="V91" s="71"/>
      <c r="W91" s="71"/>
      <c r="X91" s="71"/>
      <c r="Y91" s="71"/>
      <c r="Z91" s="68"/>
    </row>
    <row r="92" spans="11:26" ht="18" customHeight="1">
      <c r="K92" s="171" t="s">
        <v>14</v>
      </c>
      <c r="L92" s="171"/>
      <c r="N92" s="318" t="str">
        <f ca="1">"제 " &amp; Z92 &amp; " 호표  "&amp; OFFSET($A$1,MATCH(Z92,$A:$A,0)-1,1)</f>
        <v>제 6 호표  4.1. 보고서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6</v>
      </c>
    </row>
    <row r="93" spans="11:26" ht="18" customHeight="1">
      <c r="K93" s="171" t="s">
        <v>14</v>
      </c>
      <c r="L93" s="171"/>
      <c r="N93" s="140" t="s">
        <v>43</v>
      </c>
      <c r="O93" s="172">
        <v>3</v>
      </c>
      <c r="P93" s="219">
        <f ca="1">OFFSET($A$1,MATCH(Z92,$A:$A,0)-1,O93)</f>
        <v>16.991</v>
      </c>
      <c r="Q93" s="141" t="s">
        <v>29</v>
      </c>
      <c r="R93" s="142">
        <f t="shared" ref="R93:S98" ca="1" si="23">T93</f>
        <v>467217</v>
      </c>
      <c r="S93" s="142">
        <f t="shared" ca="1" si="23"/>
        <v>7938484</v>
      </c>
      <c r="T93" s="142">
        <f ca="1">기술사</f>
        <v>467217</v>
      </c>
      <c r="U93" s="142">
        <f t="shared" ref="U93:U98" ca="1" si="24">ROUNDDOWN(P93*R93,0)</f>
        <v>7938484</v>
      </c>
      <c r="V93" s="142"/>
      <c r="W93" s="142"/>
      <c r="X93" s="142"/>
      <c r="Y93" s="142"/>
      <c r="Z93" s="114"/>
    </row>
    <row r="94" spans="11:26" ht="18" customHeight="1">
      <c r="K94" s="171" t="s">
        <v>14</v>
      </c>
      <c r="L94" s="171"/>
      <c r="N94" s="143" t="s">
        <v>32</v>
      </c>
      <c r="O94" s="173">
        <v>4</v>
      </c>
      <c r="P94" s="234">
        <f ca="1">OFFSET($A$1,MATCH(Z92,$A:$A,0)-1,O94)</f>
        <v>29.821000000000002</v>
      </c>
      <c r="Q94" s="144" t="s">
        <v>29</v>
      </c>
      <c r="R94" s="118">
        <f t="shared" ca="1" si="23"/>
        <v>373353</v>
      </c>
      <c r="S94" s="118">
        <f t="shared" ca="1" si="23"/>
        <v>11133759</v>
      </c>
      <c r="T94" s="118">
        <f ca="1">특급</f>
        <v>373353</v>
      </c>
      <c r="U94" s="118">
        <f t="shared" ca="1" si="24"/>
        <v>11133759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N95" s="145" t="s">
        <v>39</v>
      </c>
      <c r="O95" s="173">
        <v>5</v>
      </c>
      <c r="P95" s="234">
        <f ca="1">OFFSET($A$1,MATCH(Z92,$A:$A,0)-1,O95)</f>
        <v>51.667000000000002</v>
      </c>
      <c r="Q95" s="144" t="s">
        <v>29</v>
      </c>
      <c r="R95" s="118">
        <f t="shared" ca="1" si="23"/>
        <v>310884</v>
      </c>
      <c r="S95" s="118">
        <f t="shared" ca="1" si="23"/>
        <v>16062443</v>
      </c>
      <c r="T95" s="118">
        <f ca="1">고급</f>
        <v>310884</v>
      </c>
      <c r="U95" s="118">
        <f t="shared" ca="1" si="24"/>
        <v>16062443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N96" s="145" t="s">
        <v>40</v>
      </c>
      <c r="O96" s="173">
        <v>6</v>
      </c>
      <c r="P96" s="234">
        <f ca="1">OFFSET($A$1,MATCH(Z92,$A:$A,0)-1,O96)</f>
        <v>59.295999999999999</v>
      </c>
      <c r="Q96" s="144" t="s">
        <v>29</v>
      </c>
      <c r="R96" s="118">
        <f t="shared" ca="1" si="23"/>
        <v>295138</v>
      </c>
      <c r="S96" s="118">
        <f t="shared" ca="1" si="23"/>
        <v>17500502</v>
      </c>
      <c r="T96" s="118">
        <f ca="1">중급</f>
        <v>295138</v>
      </c>
      <c r="U96" s="118">
        <f t="shared" ca="1" si="24"/>
        <v>17500502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41</v>
      </c>
      <c r="O97" s="173">
        <v>7</v>
      </c>
      <c r="P97" s="234">
        <f ca="1">OFFSET($A$1,MATCH(Z92,$A:$A,0)-1,O97)</f>
        <v>80.796000000000006</v>
      </c>
      <c r="Q97" s="144" t="s">
        <v>29</v>
      </c>
      <c r="R97" s="118">
        <f t="shared" ca="1" si="23"/>
        <v>235459</v>
      </c>
      <c r="S97" s="118">
        <f t="shared" ca="1" si="23"/>
        <v>19024145</v>
      </c>
      <c r="T97" s="118">
        <f ca="1">초급</f>
        <v>235459</v>
      </c>
      <c r="U97" s="118">
        <f t="shared" ca="1" si="24"/>
        <v>19024145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319" t="s">
        <v>42</v>
      </c>
      <c r="O98" s="174">
        <v>8</v>
      </c>
      <c r="P98" s="235">
        <f ca="1">OFFSET($A$1,MATCH(Z92,$A:$A,0)-1,O98)</f>
        <v>34.676000000000002</v>
      </c>
      <c r="Q98" s="322" t="s">
        <v>29</v>
      </c>
      <c r="R98" s="323">
        <f t="shared" ca="1" si="23"/>
        <v>250087</v>
      </c>
      <c r="S98" s="323">
        <f t="shared" ca="1" si="23"/>
        <v>8672016</v>
      </c>
      <c r="T98" s="323">
        <f ca="1">보조원</f>
        <v>250087</v>
      </c>
      <c r="U98" s="323">
        <f t="shared" ca="1" si="24"/>
        <v>8672016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N99" s="139" t="s">
        <v>17</v>
      </c>
      <c r="O99" s="68"/>
      <c r="P99" s="69"/>
      <c r="Q99" s="70"/>
      <c r="R99" s="71"/>
      <c r="S99" s="71">
        <f ca="1">SUBTOTAL(9,S93:S98)</f>
        <v>80331349</v>
      </c>
      <c r="T99" s="71"/>
      <c r="U99" s="71">
        <f ca="1">SUBTOTAL(9,U93:U98)</f>
        <v>80331349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N100" s="318" t="str">
        <f ca="1">"제 " &amp; Z100 &amp; " 호표  "&amp; OFFSET($A$1,MATCH(Z100,$A:$A,0)-1,1)</f>
        <v>제 7 호표  4.1. 관련도서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7</v>
      </c>
    </row>
    <row r="101" spans="11:26" ht="18" customHeight="1">
      <c r="K101" s="171" t="s">
        <v>14</v>
      </c>
      <c r="L101" s="171"/>
      <c r="N101" s="140" t="s">
        <v>43</v>
      </c>
      <c r="O101" s="172">
        <v>3</v>
      </c>
      <c r="P101" s="219">
        <f ca="1">OFFSET($A$1,MATCH(Z100,$A:$A,0)-1,O101)</f>
        <v>8.3219999999999992</v>
      </c>
      <c r="Q101" s="141" t="s">
        <v>29</v>
      </c>
      <c r="R101" s="142">
        <f t="shared" ref="R101:S106" ca="1" si="25">T101</f>
        <v>467217</v>
      </c>
      <c r="S101" s="142">
        <f t="shared" ca="1" si="25"/>
        <v>3888179</v>
      </c>
      <c r="T101" s="142">
        <f ca="1">기술사</f>
        <v>467217</v>
      </c>
      <c r="U101" s="142">
        <f t="shared" ref="U101:U106" ca="1" si="26">ROUNDDOWN(P101*R101,0)</f>
        <v>3888179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N102" s="143" t="s">
        <v>32</v>
      </c>
      <c r="O102" s="173">
        <v>4</v>
      </c>
      <c r="P102" s="234">
        <f ca="1">OFFSET($A$1,MATCH(Z100,$A:$A,0)-1,O102)</f>
        <v>14.91</v>
      </c>
      <c r="Q102" s="144" t="s">
        <v>29</v>
      </c>
      <c r="R102" s="118">
        <f t="shared" ca="1" si="25"/>
        <v>373353</v>
      </c>
      <c r="S102" s="118">
        <f t="shared" ca="1" si="25"/>
        <v>5566693</v>
      </c>
      <c r="T102" s="118">
        <f ca="1">특급</f>
        <v>373353</v>
      </c>
      <c r="U102" s="118">
        <f t="shared" ca="1" si="26"/>
        <v>5566693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145" t="s">
        <v>39</v>
      </c>
      <c r="O103" s="173">
        <v>5</v>
      </c>
      <c r="P103" s="234">
        <f ca="1">OFFSET($A$1,MATCH(Z100,$A:$A,0)-1,O103)</f>
        <v>25.66</v>
      </c>
      <c r="Q103" s="144" t="s">
        <v>29</v>
      </c>
      <c r="R103" s="118">
        <f t="shared" ca="1" si="25"/>
        <v>310884</v>
      </c>
      <c r="S103" s="118">
        <f t="shared" ca="1" si="25"/>
        <v>7977283</v>
      </c>
      <c r="T103" s="118">
        <f ca="1">고급</f>
        <v>310884</v>
      </c>
      <c r="U103" s="118">
        <f t="shared" ca="1" si="26"/>
        <v>7977283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N104" s="145" t="s">
        <v>40</v>
      </c>
      <c r="O104" s="173">
        <v>6</v>
      </c>
      <c r="P104" s="234">
        <f ca="1">OFFSET($A$1,MATCH(Z100,$A:$A,0)-1,O104)</f>
        <v>29.821000000000002</v>
      </c>
      <c r="Q104" s="144" t="s">
        <v>29</v>
      </c>
      <c r="R104" s="118">
        <f t="shared" ca="1" si="25"/>
        <v>295138</v>
      </c>
      <c r="S104" s="118">
        <f t="shared" ca="1" si="25"/>
        <v>8801310</v>
      </c>
      <c r="T104" s="118">
        <f ca="1">중급</f>
        <v>295138</v>
      </c>
      <c r="U104" s="118">
        <f t="shared" ca="1" si="26"/>
        <v>8801310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41</v>
      </c>
      <c r="O105" s="173">
        <v>7</v>
      </c>
      <c r="P105" s="234">
        <f ca="1">OFFSET($A$1,MATCH(Z100,$A:$A,0)-1,O105)</f>
        <v>40.223999999999997</v>
      </c>
      <c r="Q105" s="144" t="s">
        <v>29</v>
      </c>
      <c r="R105" s="118">
        <f t="shared" ca="1" si="25"/>
        <v>235459</v>
      </c>
      <c r="S105" s="118">
        <f t="shared" ca="1" si="25"/>
        <v>9471102</v>
      </c>
      <c r="T105" s="118">
        <f ca="1">초급</f>
        <v>235459</v>
      </c>
      <c r="U105" s="118">
        <f t="shared" ca="1" si="26"/>
        <v>9471102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319" t="s">
        <v>42</v>
      </c>
      <c r="O106" s="174">
        <v>8</v>
      </c>
      <c r="P106" s="235">
        <f ca="1">OFFSET($A$1,MATCH(Z100,$A:$A,0)-1,O106)</f>
        <v>17.338000000000001</v>
      </c>
      <c r="Q106" s="322" t="s">
        <v>29</v>
      </c>
      <c r="R106" s="323">
        <f t="shared" ca="1" si="25"/>
        <v>250087</v>
      </c>
      <c r="S106" s="323">
        <f t="shared" ca="1" si="25"/>
        <v>4336008</v>
      </c>
      <c r="T106" s="323">
        <f ca="1">보조원</f>
        <v>250087</v>
      </c>
      <c r="U106" s="323">
        <f t="shared" ca="1" si="26"/>
        <v>4336008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N107" s="139" t="s">
        <v>17</v>
      </c>
      <c r="O107" s="68"/>
      <c r="P107" s="69"/>
      <c r="Q107" s="70"/>
      <c r="R107" s="71"/>
      <c r="S107" s="71">
        <f ca="1">SUBTOTAL(9,S101:S106)</f>
        <v>40040575</v>
      </c>
      <c r="T107" s="71"/>
      <c r="U107" s="71">
        <f ca="1">SUBTOTAL(9,U101:U106)</f>
        <v>40040575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N108" s="318" t="str">
        <f ca="1">"제 " &amp; Z108 &amp; " 호표  "&amp; OFFSET($A$1,MATCH(Z108,$A:$A,0)-1,1)</f>
        <v>제 8 호표  5.1. 위원회 심의 지원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8</v>
      </c>
    </row>
    <row r="109" spans="11:26" ht="18" customHeight="1">
      <c r="K109" s="171" t="s">
        <v>14</v>
      </c>
      <c r="L109" s="171"/>
      <c r="N109" s="140" t="s">
        <v>43</v>
      </c>
      <c r="O109" s="172">
        <v>3</v>
      </c>
      <c r="P109" s="219">
        <f ca="1">OFFSET($A$1,MATCH(Z108,$A:$A,0)-1,O109)</f>
        <v>0.3</v>
      </c>
      <c r="Q109" s="141" t="s">
        <v>29</v>
      </c>
      <c r="R109" s="142">
        <f t="shared" ref="R109:S114" ca="1" si="27">T109</f>
        <v>467217</v>
      </c>
      <c r="S109" s="142">
        <f t="shared" ca="1" si="27"/>
        <v>140165</v>
      </c>
      <c r="T109" s="142">
        <f ca="1">기술사</f>
        <v>467217</v>
      </c>
      <c r="U109" s="142">
        <f t="shared" ref="U109:U114" ca="1" si="28">ROUNDDOWN(P109*R109,0)</f>
        <v>140165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N110" s="143" t="s">
        <v>32</v>
      </c>
      <c r="O110" s="173">
        <v>4</v>
      </c>
      <c r="P110" s="234">
        <f ca="1">OFFSET($A$1,MATCH(Z108,$A:$A,0)-1,O110)</f>
        <v>0.6</v>
      </c>
      <c r="Q110" s="144" t="s">
        <v>29</v>
      </c>
      <c r="R110" s="118">
        <f t="shared" ca="1" si="27"/>
        <v>373353</v>
      </c>
      <c r="S110" s="118">
        <f t="shared" ca="1" si="27"/>
        <v>224011</v>
      </c>
      <c r="T110" s="118">
        <f ca="1">특급</f>
        <v>373353</v>
      </c>
      <c r="U110" s="118">
        <f t="shared" ca="1" si="28"/>
        <v>224011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145" t="s">
        <v>39</v>
      </c>
      <c r="O111" s="173">
        <v>5</v>
      </c>
      <c r="P111" s="234">
        <f ca="1">OFFSET($A$1,MATCH(Z108,$A:$A,0)-1,O111)</f>
        <v>0.8</v>
      </c>
      <c r="Q111" s="144" t="s">
        <v>29</v>
      </c>
      <c r="R111" s="118">
        <f t="shared" ca="1" si="27"/>
        <v>310884</v>
      </c>
      <c r="S111" s="118">
        <f t="shared" ca="1" si="27"/>
        <v>248707</v>
      </c>
      <c r="T111" s="118">
        <f ca="1">고급</f>
        <v>310884</v>
      </c>
      <c r="U111" s="118">
        <f t="shared" ca="1" si="28"/>
        <v>248707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N112" s="145" t="s">
        <v>40</v>
      </c>
      <c r="O112" s="173">
        <v>6</v>
      </c>
      <c r="P112" s="234">
        <f ca="1">OFFSET($A$1,MATCH(Z108,$A:$A,0)-1,O112)</f>
        <v>0.8</v>
      </c>
      <c r="Q112" s="144" t="s">
        <v>29</v>
      </c>
      <c r="R112" s="118">
        <f t="shared" ca="1" si="27"/>
        <v>295138</v>
      </c>
      <c r="S112" s="118">
        <f t="shared" ca="1" si="27"/>
        <v>236110</v>
      </c>
      <c r="T112" s="118">
        <f ca="1">중급</f>
        <v>295138</v>
      </c>
      <c r="U112" s="118">
        <f t="shared" ca="1" si="28"/>
        <v>236110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41</v>
      </c>
      <c r="O113" s="173">
        <v>7</v>
      </c>
      <c r="P113" s="234">
        <f ca="1">OFFSET($A$1,MATCH(Z108,$A:$A,0)-1,O113)</f>
        <v>0.7</v>
      </c>
      <c r="Q113" s="144" t="s">
        <v>29</v>
      </c>
      <c r="R113" s="118">
        <f t="shared" ca="1" si="27"/>
        <v>235459</v>
      </c>
      <c r="S113" s="118">
        <f t="shared" ca="1" si="27"/>
        <v>164821</v>
      </c>
      <c r="T113" s="118">
        <f ca="1">초급</f>
        <v>235459</v>
      </c>
      <c r="U113" s="118">
        <f t="shared" ca="1" si="28"/>
        <v>164821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319" t="s">
        <v>42</v>
      </c>
      <c r="O114" s="174">
        <v>8</v>
      </c>
      <c r="P114" s="235">
        <f ca="1">OFFSET($A$1,MATCH(Z108,$A:$A,0)-1,O114)</f>
        <v>0.5</v>
      </c>
      <c r="Q114" s="322" t="s">
        <v>29</v>
      </c>
      <c r="R114" s="323">
        <f t="shared" ca="1" si="27"/>
        <v>250087</v>
      </c>
      <c r="S114" s="323">
        <f t="shared" ca="1" si="27"/>
        <v>125043</v>
      </c>
      <c r="T114" s="323">
        <f ca="1">보조원</f>
        <v>250087</v>
      </c>
      <c r="U114" s="323">
        <f t="shared" ca="1" si="28"/>
        <v>125043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N115" s="139" t="s">
        <v>17</v>
      </c>
      <c r="O115" s="68"/>
      <c r="P115" s="69"/>
      <c r="Q115" s="70"/>
      <c r="R115" s="71"/>
      <c r="S115" s="71">
        <f ca="1">SUBTOTAL(9,S109:S114)</f>
        <v>1138857</v>
      </c>
      <c r="T115" s="71"/>
      <c r="U115" s="71">
        <f ca="1">SUBTOTAL(9,U109:U114)</f>
        <v>1138857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N116" s="318" t="str">
        <f ca="1">"제 " &amp; Z116 &amp; " 호표  "&amp; OFFSET($A$1,MATCH(Z116,$A:$A,0)-1,1)</f>
        <v>제 9 호표  5.2. 주민설명회 자료 작성 등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9</v>
      </c>
    </row>
    <row r="117" spans="11:26" ht="18" customHeight="1">
      <c r="K117" s="171" t="s">
        <v>14</v>
      </c>
      <c r="L117" s="171"/>
      <c r="N117" s="140" t="s">
        <v>43</v>
      </c>
      <c r="O117" s="172">
        <v>3</v>
      </c>
      <c r="P117" s="219">
        <f ca="1">OFFSET($A$1,MATCH(Z116,$A:$A,0)-1,O117)</f>
        <v>0.7</v>
      </c>
      <c r="Q117" s="141" t="s">
        <v>29</v>
      </c>
      <c r="R117" s="142">
        <f t="shared" ref="R117:S122" ca="1" si="29">T117</f>
        <v>467217</v>
      </c>
      <c r="S117" s="142">
        <f t="shared" ca="1" si="29"/>
        <v>327051</v>
      </c>
      <c r="T117" s="142">
        <f ca="1">기술사</f>
        <v>467217</v>
      </c>
      <c r="U117" s="142">
        <f t="shared" ref="U117:U122" ca="1" si="30">ROUNDDOWN(P117*R117,0)</f>
        <v>327051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N118" s="143" t="s">
        <v>32</v>
      </c>
      <c r="O118" s="173">
        <v>4</v>
      </c>
      <c r="P118" s="234">
        <f ca="1">OFFSET($A$1,MATCH(Z116,$A:$A,0)-1,O118)</f>
        <v>1.2</v>
      </c>
      <c r="Q118" s="144" t="s">
        <v>29</v>
      </c>
      <c r="R118" s="118">
        <f t="shared" ca="1" si="29"/>
        <v>373353</v>
      </c>
      <c r="S118" s="118">
        <f t="shared" ca="1" si="29"/>
        <v>448023</v>
      </c>
      <c r="T118" s="118">
        <f ca="1">특급</f>
        <v>373353</v>
      </c>
      <c r="U118" s="118">
        <f t="shared" ca="1" si="30"/>
        <v>448023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145" t="s">
        <v>39</v>
      </c>
      <c r="O119" s="173">
        <v>5</v>
      </c>
      <c r="P119" s="234">
        <f ca="1">OFFSET($A$1,MATCH(Z116,$A:$A,0)-1,O119)</f>
        <v>1.5</v>
      </c>
      <c r="Q119" s="144" t="s">
        <v>29</v>
      </c>
      <c r="R119" s="118">
        <f t="shared" ca="1" si="29"/>
        <v>310884</v>
      </c>
      <c r="S119" s="118">
        <f t="shared" ca="1" si="29"/>
        <v>466326</v>
      </c>
      <c r="T119" s="118">
        <f ca="1">고급</f>
        <v>310884</v>
      </c>
      <c r="U119" s="118">
        <f t="shared" ca="1" si="30"/>
        <v>466326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40</v>
      </c>
      <c r="O120" s="173">
        <v>6</v>
      </c>
      <c r="P120" s="234">
        <f ca="1">OFFSET($A$1,MATCH(Z116,$A:$A,0)-1,O120)</f>
        <v>1.5</v>
      </c>
      <c r="Q120" s="144" t="s">
        <v>29</v>
      </c>
      <c r="R120" s="118">
        <f t="shared" ca="1" si="29"/>
        <v>295138</v>
      </c>
      <c r="S120" s="118">
        <f t="shared" ca="1" si="29"/>
        <v>442707</v>
      </c>
      <c r="T120" s="118">
        <f ca="1">중급</f>
        <v>295138</v>
      </c>
      <c r="U120" s="118">
        <f t="shared" ca="1" si="30"/>
        <v>442707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41</v>
      </c>
      <c r="O121" s="173">
        <v>7</v>
      </c>
      <c r="P121" s="234">
        <f ca="1">OFFSET($A$1,MATCH(Z116,$A:$A,0)-1,O121)</f>
        <v>1.4</v>
      </c>
      <c r="Q121" s="144" t="s">
        <v>29</v>
      </c>
      <c r="R121" s="118">
        <f t="shared" ca="1" si="29"/>
        <v>235459</v>
      </c>
      <c r="S121" s="118">
        <f t="shared" ca="1" si="29"/>
        <v>329642</v>
      </c>
      <c r="T121" s="118">
        <f ca="1">초급</f>
        <v>235459</v>
      </c>
      <c r="U121" s="118">
        <f t="shared" ca="1" si="30"/>
        <v>329642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319" t="s">
        <v>42</v>
      </c>
      <c r="O122" s="174">
        <v>8</v>
      </c>
      <c r="P122" s="235">
        <f ca="1">OFFSET($A$1,MATCH(Z116,$A:$A,0)-1,O122)</f>
        <v>0.8</v>
      </c>
      <c r="Q122" s="322" t="s">
        <v>29</v>
      </c>
      <c r="R122" s="323">
        <f t="shared" ca="1" si="29"/>
        <v>250087</v>
      </c>
      <c r="S122" s="323">
        <f t="shared" ca="1" si="29"/>
        <v>200069</v>
      </c>
      <c r="T122" s="323">
        <f ca="1">보조원</f>
        <v>250087</v>
      </c>
      <c r="U122" s="323">
        <f t="shared" ca="1" si="30"/>
        <v>200069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2213818</v>
      </c>
      <c r="T123" s="71"/>
      <c r="U123" s="71">
        <f ca="1">SUBTOTAL(9,U117:U122)</f>
        <v>2213818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10 호표  5.3. 관계기관 협의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10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0.3</v>
      </c>
      <c r="Q125" s="141" t="s">
        <v>29</v>
      </c>
      <c r="R125" s="142">
        <f t="shared" ref="R125:S130" ca="1" si="31">T125</f>
        <v>467217</v>
      </c>
      <c r="S125" s="142">
        <f t="shared" ca="1" si="31"/>
        <v>140165</v>
      </c>
      <c r="T125" s="142">
        <f ca="1">기술사</f>
        <v>467217</v>
      </c>
      <c r="U125" s="142">
        <f t="shared" ref="U125:U130" ca="1" si="32">ROUNDDOWN(P125*R125,0)</f>
        <v>140165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0.6</v>
      </c>
      <c r="Q126" s="144" t="s">
        <v>29</v>
      </c>
      <c r="R126" s="118">
        <f t="shared" ca="1" si="31"/>
        <v>373353</v>
      </c>
      <c r="S126" s="118">
        <f t="shared" ca="1" si="31"/>
        <v>224011</v>
      </c>
      <c r="T126" s="118">
        <f ca="1">특급</f>
        <v>373353</v>
      </c>
      <c r="U126" s="118">
        <f t="shared" ca="1" si="32"/>
        <v>224011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0.8</v>
      </c>
      <c r="Q127" s="144" t="s">
        <v>29</v>
      </c>
      <c r="R127" s="118">
        <f t="shared" ca="1" si="31"/>
        <v>310884</v>
      </c>
      <c r="S127" s="118">
        <f t="shared" ca="1" si="31"/>
        <v>248707</v>
      </c>
      <c r="T127" s="118">
        <f ca="1">고급</f>
        <v>310884</v>
      </c>
      <c r="U127" s="118">
        <f t="shared" ca="1" si="32"/>
        <v>248707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0.8</v>
      </c>
      <c r="Q128" s="144" t="s">
        <v>29</v>
      </c>
      <c r="R128" s="118">
        <f t="shared" ca="1" si="31"/>
        <v>295138</v>
      </c>
      <c r="S128" s="118">
        <f t="shared" ca="1" si="31"/>
        <v>236110</v>
      </c>
      <c r="T128" s="118">
        <f ca="1">중급</f>
        <v>295138</v>
      </c>
      <c r="U128" s="118">
        <f t="shared" ca="1" si="32"/>
        <v>236110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0.7</v>
      </c>
      <c r="Q129" s="144" t="s">
        <v>29</v>
      </c>
      <c r="R129" s="118">
        <f t="shared" ca="1" si="31"/>
        <v>235459</v>
      </c>
      <c r="S129" s="118">
        <f t="shared" ca="1" si="31"/>
        <v>164821</v>
      </c>
      <c r="T129" s="118">
        <f ca="1">초급</f>
        <v>235459</v>
      </c>
      <c r="U129" s="118">
        <f t="shared" ca="1" si="32"/>
        <v>164821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0.5</v>
      </c>
      <c r="Q130" s="322" t="s">
        <v>29</v>
      </c>
      <c r="R130" s="323">
        <f t="shared" ca="1" si="31"/>
        <v>250087</v>
      </c>
      <c r="S130" s="323">
        <f t="shared" ca="1" si="31"/>
        <v>125043</v>
      </c>
      <c r="T130" s="323">
        <f ca="1">보조원</f>
        <v>250087</v>
      </c>
      <c r="U130" s="323">
        <f t="shared" ca="1" si="32"/>
        <v>125043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1138857</v>
      </c>
      <c r="T131" s="71"/>
      <c r="U131" s="71">
        <f ca="1">SUBTOTAL(9,U125:U130)</f>
        <v>1138857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</row>
    <row r="133" spans="11:26" ht="18" customHeight="1">
      <c r="K133" s="171" t="s">
        <v>14</v>
      </c>
      <c r="L133" s="171"/>
      <c r="M133" s="171"/>
    </row>
    <row r="134" spans="11:26" ht="18" customHeight="1">
      <c r="K134" s="171" t="s">
        <v>14</v>
      </c>
      <c r="L134" s="171"/>
      <c r="M134" s="171"/>
    </row>
    <row r="135" spans="11:26" ht="18" customHeight="1">
      <c r="K135" s="171" t="s">
        <v>14</v>
      </c>
      <c r="L135" s="171"/>
      <c r="M135" s="171"/>
    </row>
    <row r="136" spans="11:26" ht="18" customHeight="1">
      <c r="K136" s="171" t="s">
        <v>14</v>
      </c>
      <c r="L136" s="171"/>
      <c r="M136" s="171"/>
    </row>
    <row r="137" spans="11:26" ht="18" customHeight="1">
      <c r="K137" s="171" t="s">
        <v>14</v>
      </c>
      <c r="L137" s="171"/>
      <c r="M137" s="171"/>
    </row>
    <row r="138" spans="11:26" ht="18" customHeight="1">
      <c r="K138" s="171" t="s">
        <v>14</v>
      </c>
      <c r="L138" s="171"/>
      <c r="M138" s="171"/>
    </row>
    <row r="139" spans="11:26" ht="18" customHeight="1">
      <c r="K139" s="171" t="s">
        <v>14</v>
      </c>
      <c r="L139" s="171"/>
      <c r="M139" s="171"/>
    </row>
    <row r="140" spans="11:26" ht="18" customHeight="1">
      <c r="K140" s="171" t="s">
        <v>14</v>
      </c>
      <c r="L140" s="171"/>
      <c r="M140" s="171"/>
    </row>
    <row r="141" spans="11:26" ht="18" customHeight="1">
      <c r="K141" s="171" t="s">
        <v>14</v>
      </c>
      <c r="L141" s="171"/>
      <c r="M141" s="171"/>
    </row>
    <row r="142" spans="11:26" ht="18" customHeight="1">
      <c r="K142" s="171" t="s">
        <v>14</v>
      </c>
      <c r="L142" s="171"/>
      <c r="M142" s="171"/>
    </row>
    <row r="143" spans="11:26" ht="18" customHeight="1">
      <c r="K143" s="171" t="s">
        <v>14</v>
      </c>
      <c r="L143" s="171"/>
      <c r="M143" s="171"/>
    </row>
    <row r="144" spans="11:26" ht="18" customHeight="1">
      <c r="K144" s="171" t="s">
        <v>14</v>
      </c>
      <c r="L144" s="171"/>
      <c r="M144" s="171"/>
    </row>
    <row r="145" spans="11:13" ht="18" customHeight="1">
      <c r="K145" s="171" t="s">
        <v>14</v>
      </c>
      <c r="L145" s="171"/>
      <c r="M145" s="171"/>
    </row>
    <row r="146" spans="11:13" ht="18" customHeight="1">
      <c r="K146" s="171" t="s">
        <v>14</v>
      </c>
      <c r="L146" s="171"/>
      <c r="M146" s="171"/>
    </row>
    <row r="147" spans="11:13" ht="18" customHeight="1">
      <c r="K147" s="171" t="s">
        <v>14</v>
      </c>
      <c r="L147" s="171"/>
      <c r="M147" s="171"/>
    </row>
    <row r="148" spans="11:13" ht="18" customHeight="1">
      <c r="K148" s="171" t="s">
        <v>14</v>
      </c>
      <c r="L148" s="171"/>
      <c r="M148" s="171"/>
    </row>
    <row r="149" spans="11:13" ht="18" customHeight="1">
      <c r="K149" s="171" t="s">
        <v>14</v>
      </c>
      <c r="L149" s="171"/>
      <c r="M149" s="171"/>
    </row>
    <row r="150" spans="11:13" ht="18" customHeight="1">
      <c r="K150" s="171" t="s">
        <v>14</v>
      </c>
      <c r="L150" s="171"/>
      <c r="M150" s="171"/>
    </row>
    <row r="151" spans="11:13" ht="18" customHeight="1">
      <c r="K151" s="171" t="s">
        <v>14</v>
      </c>
      <c r="L151" s="171"/>
      <c r="M151" s="171"/>
    </row>
    <row r="152" spans="11:13" ht="18" customHeight="1">
      <c r="K152" s="171" t="s">
        <v>14</v>
      </c>
      <c r="L152" s="171"/>
      <c r="M152" s="171"/>
    </row>
    <row r="153" spans="11:13" ht="18" customHeight="1">
      <c r="K153" s="171" t="s">
        <v>14</v>
      </c>
      <c r="L153" s="171"/>
      <c r="M153" s="171"/>
    </row>
    <row r="154" spans="11:13" ht="18" customHeight="1">
      <c r="K154" s="171" t="s">
        <v>14</v>
      </c>
      <c r="L154" s="171"/>
      <c r="M154" s="171"/>
    </row>
    <row r="155" spans="11:13" ht="18" customHeight="1">
      <c r="K155" s="171" t="s">
        <v>14</v>
      </c>
      <c r="L155" s="171"/>
      <c r="M155" s="171"/>
    </row>
    <row r="156" spans="11:13" ht="18" customHeight="1">
      <c r="K156" s="171" t="s">
        <v>14</v>
      </c>
      <c r="L156" s="171"/>
      <c r="M156" s="171"/>
    </row>
    <row r="157" spans="11:13" ht="18" customHeight="1">
      <c r="K157" s="171" t="s">
        <v>14</v>
      </c>
      <c r="L157" s="171"/>
      <c r="M157" s="171"/>
    </row>
    <row r="158" spans="11:13" ht="18" customHeight="1">
      <c r="K158" s="171" t="s">
        <v>14</v>
      </c>
      <c r="L158" s="171"/>
      <c r="M158" s="171"/>
    </row>
    <row r="159" spans="11:13" ht="18" customHeight="1">
      <c r="K159" s="171" t="s">
        <v>14</v>
      </c>
      <c r="L159" s="171"/>
      <c r="M159" s="171"/>
    </row>
    <row r="160" spans="11:13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</row>
    <row r="813" spans="11:13" ht="18" customHeight="1">
      <c r="K813" s="171" t="s">
        <v>14</v>
      </c>
      <c r="L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K823" s="171" t="s">
        <v>14</v>
      </c>
      <c r="L823" s="171"/>
    </row>
    <row r="824" spans="11:12" ht="18" customHeight="1">
      <c r="K824" s="171" t="s">
        <v>14</v>
      </c>
      <c r="L824" s="171"/>
    </row>
    <row r="825" spans="11:12" ht="18" customHeight="1">
      <c r="K825" s="171" t="s">
        <v>14</v>
      </c>
      <c r="L825" s="171"/>
    </row>
    <row r="826" spans="11:12" ht="18" customHeight="1">
      <c r="L826" s="171"/>
    </row>
    <row r="827" spans="11:12" ht="18" customHeight="1">
      <c r="L827" s="171"/>
    </row>
    <row r="828" spans="11:12" ht="18" customHeight="1">
      <c r="L828" s="171"/>
    </row>
  </sheetData>
  <mergeCells count="21">
    <mergeCell ref="B3:C3"/>
    <mergeCell ref="D3:E3"/>
    <mergeCell ref="G3:H3"/>
    <mergeCell ref="B4:C4"/>
    <mergeCell ref="D4:E4"/>
    <mergeCell ref="G4:H4"/>
    <mergeCell ref="B5:C5"/>
    <mergeCell ref="D5:E5"/>
    <mergeCell ref="G5:H5"/>
    <mergeCell ref="B6:C6"/>
    <mergeCell ref="D6:E6"/>
    <mergeCell ref="Z50:Z51"/>
    <mergeCell ref="B7:C7"/>
    <mergeCell ref="D7:E7"/>
    <mergeCell ref="J16:J17"/>
    <mergeCell ref="L16:L17"/>
    <mergeCell ref="N50:N51"/>
    <mergeCell ref="O50:O51"/>
    <mergeCell ref="P50:P51"/>
    <mergeCell ref="Q50:Q51"/>
    <mergeCell ref="B16:C17"/>
  </mergeCells>
  <phoneticPr fontId="14" type="noConversion"/>
  <conditionalFormatting sqref="V18:V33">
    <cfRule type="cellIs" dxfId="19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48" min="13" max="28" man="1"/>
    <brk id="69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29057" r:id="rId4" name="Option Button 1">
              <controlPr defaultSize="0" autoFill="0" autoLine="0" autoPict="0">
                <anchor moveWithCells="1" sizeWithCells="1">
                  <from>
                    <xdr:col>6</xdr:col>
                    <xdr:colOff>542925</xdr:colOff>
                    <xdr:row>0</xdr:row>
                    <xdr:rowOff>161925</xdr:rowOff>
                  </from>
                  <to>
                    <xdr:col>8</xdr:col>
                    <xdr:colOff>152400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058" r:id="rId5" name="Option Button 2">
              <controlPr defaultSize="0" autoFill="0" autoLine="0" autoPict="0">
                <anchor moveWithCells="1" sizeWithCells="1">
                  <from>
                    <xdr:col>8</xdr:col>
                    <xdr:colOff>333375</xdr:colOff>
                    <xdr:row>0</xdr:row>
                    <xdr:rowOff>161925</xdr:rowOff>
                  </from>
                  <to>
                    <xdr:col>9</xdr:col>
                    <xdr:colOff>619125</xdr:colOff>
                    <xdr:row>1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29059" r:id="rId6" name="Drop Down 3">
              <controlPr defaultSize="0" autoLine="0" autoPict="0">
                <anchor moveWithCells="1">
                  <from>
                    <xdr:col>10</xdr:col>
                    <xdr:colOff>76200</xdr:colOff>
                    <xdr:row>0</xdr:row>
                    <xdr:rowOff>123825</xdr:rowOff>
                  </from>
                  <to>
                    <xdr:col>13</xdr:col>
                    <xdr:colOff>828675</xdr:colOff>
                    <xdr:row>1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codeName="Sheet36">
    <tabColor theme="5" tint="0.39997558519241921"/>
    <pageSetUpPr fitToPage="1"/>
  </sheetPr>
  <dimension ref="A1:Z829"/>
  <sheetViews>
    <sheetView showGridLines="0" zoomScale="85" zoomScaleNormal="85" zoomScaleSheetLayoutView="75" workbookViewId="0">
      <selection activeCell="D29" sqref="D29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2637</v>
      </c>
      <c r="Z1" s="391" t="s">
        <v>2625</v>
      </c>
    </row>
    <row r="2" spans="1:26" ht="19.5" thickBot="1">
      <c r="B2" s="66" t="s">
        <v>1</v>
      </c>
      <c r="Z2" s="391" t="s">
        <v>2626</v>
      </c>
    </row>
    <row r="3" spans="1:26" ht="19.5" customHeight="1">
      <c r="B3" s="773" t="str">
        <f>CHOOSE(F5,"기준인구 :", "기준면적 :")</f>
        <v>기준인구 :</v>
      </c>
      <c r="C3" s="774"/>
      <c r="D3" s="775">
        <f>CHOOSE(F5,5,10)</f>
        <v>5</v>
      </c>
      <c r="E3" s="776"/>
      <c r="F3" s="44" t="str">
        <f>CHOOSE(F5,"만인","만㎡")</f>
        <v>만인</v>
      </c>
      <c r="G3" s="748"/>
      <c r="H3" s="749"/>
      <c r="I3" s="749"/>
      <c r="J3" s="749"/>
    </row>
    <row r="4" spans="1:26" ht="21.75" customHeight="1">
      <c r="B4" s="777" t="str">
        <f>CHOOSE(F5,"①계획인구(A) :","①계획면적(A) :")</f>
        <v>①계획인구(A) :</v>
      </c>
      <c r="C4" s="778"/>
      <c r="D4" s="779">
        <v>5</v>
      </c>
      <c r="E4" s="780"/>
      <c r="F4" s="65" t="str">
        <f>F3</f>
        <v>만인</v>
      </c>
      <c r="G4" s="748"/>
      <c r="H4" s="749"/>
      <c r="I4" s="749"/>
      <c r="J4" s="749"/>
    </row>
    <row r="5" spans="1:26" ht="24" customHeight="1" thickBot="1">
      <c r="B5" s="781" t="str">
        <f>CHOOSE(F5,"②보정계수(α) = (A/5)^0.6 :", "②보정계수(α) = (A/10)^0.6 :")</f>
        <v>②보정계수(α) = (A/5)^0.6 :</v>
      </c>
      <c r="C5" s="782"/>
      <c r="D5" s="783">
        <f>CHOOSE(F5,ROUND((IF(D4&lt;=1,1,D4)/D3)^0.6,3),ROUND((IF(D4&lt;=3,3,D4)/D3)^0.6,3))</f>
        <v>1</v>
      </c>
      <c r="E5" s="784"/>
      <c r="F5" s="621">
        <v>1</v>
      </c>
      <c r="G5" s="748"/>
      <c r="H5" s="749"/>
      <c r="I5" s="749"/>
      <c r="J5" s="749"/>
    </row>
    <row r="6" spans="1:26" ht="18" customHeight="1">
      <c r="B6" s="9" t="s">
        <v>2627</v>
      </c>
      <c r="C6" s="9"/>
      <c r="D6" s="64"/>
      <c r="E6" s="64"/>
      <c r="R6" s="1"/>
      <c r="S6" s="1"/>
      <c r="T6" s="1"/>
    </row>
    <row r="7" spans="1:26" ht="18" customHeight="1">
      <c r="B7" s="9" t="s">
        <v>2628</v>
      </c>
      <c r="C7" s="9"/>
      <c r="D7" s="64"/>
      <c r="E7" s="64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SUBTOTAL(9,W11:W34)</f>
        <v>330190089</v>
      </c>
      <c r="X10" s="187"/>
      <c r="Y10" s="177"/>
      <c r="Z10" s="167"/>
    </row>
    <row r="11" spans="1:26" ht="18" customHeight="1">
      <c r="A11" s="278"/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SUBTOTAL(9,W12:W31)</f>
        <v>123273735</v>
      </c>
      <c r="X11" s="164"/>
      <c r="Y11" s="178" t="s">
        <v>9</v>
      </c>
      <c r="Z11" s="179"/>
    </row>
    <row r="12" spans="1:26" ht="18" customHeight="1" thickBot="1">
      <c r="A12" s="278"/>
      <c r="B12" s="820"/>
      <c r="C12" s="821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218"/>
      <c r="V12" s="218"/>
      <c r="W12" s="255">
        <f ca="1">SUBTOTAL(9,W13:W26)</f>
        <v>115273735</v>
      </c>
      <c r="X12" s="256"/>
      <c r="Y12" s="220"/>
      <c r="Z12" s="220"/>
    </row>
    <row r="13" spans="1:26" ht="18" customHeight="1">
      <c r="A13" s="279"/>
      <c r="B13" s="222" t="s">
        <v>349</v>
      </c>
      <c r="C13" s="47"/>
      <c r="D13" s="48">
        <f t="shared" ref="D13:I13" si="0">SUBTOTAL(9,D14:D23)</f>
        <v>13.000000000000002</v>
      </c>
      <c r="E13" s="49">
        <f t="shared" si="0"/>
        <v>21</v>
      </c>
      <c r="F13" s="49">
        <f t="shared" si="0"/>
        <v>68</v>
      </c>
      <c r="G13" s="49">
        <f t="shared" si="0"/>
        <v>90</v>
      </c>
      <c r="H13" s="49">
        <f t="shared" si="0"/>
        <v>101</v>
      </c>
      <c r="I13" s="50">
        <f t="shared" si="0"/>
        <v>106</v>
      </c>
      <c r="J13" s="389"/>
      <c r="L13" s="232"/>
      <c r="N13" s="354" t="str">
        <f>B13</f>
        <v>1. 조사분석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SUBTOTAL(9,W14:W23)</f>
        <v>111907325</v>
      </c>
      <c r="X13" s="194"/>
      <c r="Y13" s="170" t="str">
        <f>IF(A42&gt;0, "제 " &amp;A42&amp; " 호표","")</f>
        <v/>
      </c>
      <c r="Z13" s="170"/>
    </row>
    <row r="14" spans="1:26" ht="18" customHeight="1">
      <c r="A14" s="279"/>
      <c r="B14" s="223" t="s">
        <v>2613</v>
      </c>
      <c r="C14" s="23"/>
      <c r="D14" s="197">
        <f>CHOOSE($F$5,0.9,2)</f>
        <v>0.9</v>
      </c>
      <c r="E14" s="198">
        <f>CHOOSE($F$5,1.4,3)</f>
        <v>1.4</v>
      </c>
      <c r="F14" s="198">
        <f>CHOOSE($F$5,3.4,6)</f>
        <v>3.4</v>
      </c>
      <c r="G14" s="198">
        <f>CHOOSE($F$5,4,12)</f>
        <v>4</v>
      </c>
      <c r="H14" s="198">
        <f>CHOOSE($F$5,3.8,18)</f>
        <v>3.8</v>
      </c>
      <c r="I14" s="199">
        <f>CHOOSE($F$5,4.3,18)</f>
        <v>4.3</v>
      </c>
      <c r="J14" s="389" t="s">
        <v>2629</v>
      </c>
      <c r="L14" s="233">
        <v>1</v>
      </c>
      <c r="N14" s="292" t="str">
        <f t="shared" ref="N14:N26" si="1">B14</f>
        <v>1.1. 인문환경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SUM((ROUNDDOWN((D29:I29)*단가,0)))</f>
        <v>5150864</v>
      </c>
      <c r="X14" s="154"/>
      <c r="Y14" s="170" t="str">
        <f>IF(A29&gt;0, "제 " &amp;A29&amp; " 호표","")</f>
        <v>제 1 호표</v>
      </c>
      <c r="Z14" s="150"/>
    </row>
    <row r="15" spans="1:26" ht="18" customHeight="1">
      <c r="A15" s="279"/>
      <c r="B15" s="223" t="s">
        <v>2614</v>
      </c>
      <c r="C15" s="23"/>
      <c r="D15" s="197">
        <f t="shared" ref="D15:D22" si="2">CHOOSE($F$5,0.9,2)</f>
        <v>0.9</v>
      </c>
      <c r="E15" s="198">
        <f t="shared" ref="E15:E22" si="3">CHOOSE($F$5,1.4,3)</f>
        <v>1.4</v>
      </c>
      <c r="F15" s="198">
        <f>CHOOSE($F$5,3.4,12)</f>
        <v>3.4</v>
      </c>
      <c r="G15" s="198">
        <f>CHOOSE($F$5,3,9)</f>
        <v>3</v>
      </c>
      <c r="H15" s="198">
        <f>CHOOSE($F$5,3.8,18)</f>
        <v>3.8</v>
      </c>
      <c r="I15" s="199">
        <f>CHOOSE($F$5,2.8,12)</f>
        <v>2.8</v>
      </c>
      <c r="J15" s="389" t="s">
        <v>1090</v>
      </c>
      <c r="L15" s="233">
        <v>1</v>
      </c>
      <c r="N15" s="292" t="str">
        <f t="shared" si="1"/>
        <v>1.2. 자연환경</v>
      </c>
      <c r="O15" s="37"/>
      <c r="P15" s="37"/>
      <c r="Q15" s="37"/>
      <c r="R15" s="37"/>
      <c r="S15" s="37"/>
      <c r="T15" s="37"/>
      <c r="U15" s="227"/>
      <c r="V15" s="231"/>
      <c r="W15" s="153">
        <f t="array" aca="1" ref="W15" ca="1">SUM((ROUNDDOWN((D30:I30)*단가,0)))</f>
        <v>4480595</v>
      </c>
      <c r="X15" s="154"/>
      <c r="Y15" s="170" t="str">
        <f t="shared" ref="Y15:Y26" si="4">IF(A30&gt;0, "제 " &amp;A30&amp; " 호표","")</f>
        <v>제 2 호표</v>
      </c>
      <c r="Z15" s="150"/>
    </row>
    <row r="16" spans="1:26" ht="18" customHeight="1">
      <c r="A16" s="279"/>
      <c r="B16" s="223" t="s">
        <v>2615</v>
      </c>
      <c r="C16" s="23"/>
      <c r="D16" s="197">
        <f>CHOOSE($F$5,1.6,3)</f>
        <v>1.6</v>
      </c>
      <c r="E16" s="198">
        <f>CHOOSE($F$5,2.8,6)</f>
        <v>2.8</v>
      </c>
      <c r="F16" s="198">
        <f>CHOOSE($F$5,3.4,18)</f>
        <v>3.4</v>
      </c>
      <c r="G16" s="198">
        <f>CHOOSE($F$5,10,30)</f>
        <v>10</v>
      </c>
      <c r="H16" s="198">
        <f>CHOOSE($F$5,10.1,48)</f>
        <v>10.1</v>
      </c>
      <c r="I16" s="199">
        <f>CHOOSE($F$5,11.4,75)</f>
        <v>11.4</v>
      </c>
      <c r="J16" s="389" t="s">
        <v>1090</v>
      </c>
      <c r="L16" s="233">
        <v>1</v>
      </c>
      <c r="N16" s="292" t="str">
        <f t="shared" si="1"/>
        <v>1.3. 토지이용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SUM((ROUNDDOWN((D31:I31)*단가,0)))</f>
        <v>11030446</v>
      </c>
      <c r="X16" s="154"/>
      <c r="Y16" s="170" t="str">
        <f t="shared" si="4"/>
        <v>제 3 호표</v>
      </c>
      <c r="Z16" s="150"/>
    </row>
    <row r="17" spans="1:26" ht="18" customHeight="1">
      <c r="A17" s="279"/>
      <c r="B17" s="223" t="s">
        <v>2616</v>
      </c>
      <c r="C17" s="23"/>
      <c r="D17" s="197">
        <f>CHOOSE($F$5,1.6,3)</f>
        <v>1.6</v>
      </c>
      <c r="E17" s="198">
        <f>CHOOSE($F$5,2.8,6)</f>
        <v>2.8</v>
      </c>
      <c r="F17" s="198">
        <f>CHOOSE($F$5,10.2,18)</f>
        <v>10.199999999999999</v>
      </c>
      <c r="G17" s="198">
        <f>CHOOSE($F$5,10,30)</f>
        <v>10</v>
      </c>
      <c r="H17" s="198">
        <f>CHOOSE($F$5,10.1,48)</f>
        <v>10.1</v>
      </c>
      <c r="I17" s="199">
        <f>CHOOSE($F$5,11.4,74)</f>
        <v>11.4</v>
      </c>
      <c r="J17" s="389" t="s">
        <v>1090</v>
      </c>
      <c r="L17" s="233">
        <v>1</v>
      </c>
      <c r="N17" s="292" t="str">
        <f t="shared" si="1"/>
        <v>1.4. 건축 관련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SUM((ROUNDDOWN((D32:I32)*단가,0)))</f>
        <v>13144457</v>
      </c>
      <c r="X17" s="154"/>
      <c r="Y17" s="170" t="str">
        <f t="shared" si="4"/>
        <v>제 4 호표</v>
      </c>
      <c r="Z17" s="150"/>
    </row>
    <row r="18" spans="1:26" ht="18" customHeight="1">
      <c r="A18" s="279"/>
      <c r="B18" s="223" t="s">
        <v>2617</v>
      </c>
      <c r="C18" s="23"/>
      <c r="D18" s="197">
        <f t="shared" si="2"/>
        <v>0.9</v>
      </c>
      <c r="E18" s="198">
        <f t="shared" si="3"/>
        <v>1.4</v>
      </c>
      <c r="F18" s="198">
        <f>CHOOSE($F$5,10.2,6)</f>
        <v>10.199999999999999</v>
      </c>
      <c r="G18" s="198">
        <f>CHOOSE($F$5,6,18)</f>
        <v>6</v>
      </c>
      <c r="H18" s="198">
        <f>CHOOSE($F$5,6.3,30)</f>
        <v>6.3</v>
      </c>
      <c r="I18" s="199">
        <f>CHOOSE($F$5,7.1,30)</f>
        <v>7.1</v>
      </c>
      <c r="J18" s="389" t="s">
        <v>1090</v>
      </c>
      <c r="L18" s="233">
        <v>1</v>
      </c>
      <c r="N18" s="292" t="str">
        <f t="shared" si="1"/>
        <v>1.5. 인구 및 산업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SUM((ROUNDDOWN((D33:I33)*단가,0)))</f>
        <v>9144041</v>
      </c>
      <c r="X18" s="154"/>
      <c r="Y18" s="170" t="str">
        <f t="shared" si="4"/>
        <v>제 5 호표</v>
      </c>
      <c r="Z18" s="150"/>
    </row>
    <row r="19" spans="1:26" ht="18" customHeight="1">
      <c r="A19" s="279"/>
      <c r="B19" s="223" t="s">
        <v>2618</v>
      </c>
      <c r="C19" s="23"/>
      <c r="D19" s="197">
        <f t="shared" si="2"/>
        <v>0.9</v>
      </c>
      <c r="E19" s="198">
        <f t="shared" si="3"/>
        <v>1.4</v>
      </c>
      <c r="F19" s="198">
        <f>CHOOSE($F$5,3.4,12)</f>
        <v>3.4</v>
      </c>
      <c r="G19" s="198">
        <f>CHOOSE($F$5,8,24)</f>
        <v>8</v>
      </c>
      <c r="H19" s="198">
        <f>CHOOSE($F$5,8.8,42)</f>
        <v>8.8000000000000007</v>
      </c>
      <c r="I19" s="199">
        <f>CHOOSE($F$5,7.1,60)</f>
        <v>7.1</v>
      </c>
      <c r="J19" s="389" t="s">
        <v>1090</v>
      </c>
      <c r="L19" s="233">
        <v>1</v>
      </c>
      <c r="N19" s="292" t="str">
        <f t="shared" si="1"/>
        <v>1.6. 교통시설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SUM((ROUNDDOWN((D34:I34)*단가,0)))</f>
        <v>8208954</v>
      </c>
      <c r="X19" s="154"/>
      <c r="Y19" s="170" t="str">
        <f t="shared" si="4"/>
        <v>제 6 호표</v>
      </c>
      <c r="Z19" s="150"/>
    </row>
    <row r="20" spans="1:26" ht="18" customHeight="1">
      <c r="A20" s="279"/>
      <c r="B20" s="223" t="s">
        <v>2619</v>
      </c>
      <c r="C20" s="23"/>
      <c r="D20" s="197">
        <f t="shared" si="2"/>
        <v>0.9</v>
      </c>
      <c r="E20" s="198">
        <f t="shared" si="3"/>
        <v>1.4</v>
      </c>
      <c r="F20" s="198">
        <f>CHOOSE($F$5,6.8,6)</f>
        <v>6.8</v>
      </c>
      <c r="G20" s="198">
        <f>CHOOSE($F$5,3,9)</f>
        <v>3</v>
      </c>
      <c r="H20" s="198">
        <f>CHOOSE($F$5,6.3,30)</f>
        <v>6.3</v>
      </c>
      <c r="I20" s="199">
        <f>CHOOSE($F$5,7.1,30)</f>
        <v>7.1</v>
      </c>
      <c r="J20" s="389" t="s">
        <v>1090</v>
      </c>
      <c r="L20" s="233">
        <v>1</v>
      </c>
      <c r="N20" s="292" t="str">
        <f t="shared" si="1"/>
        <v>1.7. 유통 및 공급시설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SUM((ROUNDDOWN((D35:I35)*단가,0)))</f>
        <v>7201622</v>
      </c>
      <c r="X20" s="154"/>
      <c r="Y20" s="170" t="str">
        <f t="shared" si="4"/>
        <v>제 7 호표</v>
      </c>
      <c r="Z20" s="150"/>
    </row>
    <row r="21" spans="1:26" ht="18" customHeight="1">
      <c r="A21" s="279"/>
      <c r="B21" s="223" t="s">
        <v>2620</v>
      </c>
      <c r="C21" s="23"/>
      <c r="D21" s="197">
        <f t="shared" si="2"/>
        <v>0.9</v>
      </c>
      <c r="E21" s="198">
        <f t="shared" si="3"/>
        <v>1.4</v>
      </c>
      <c r="F21" s="198">
        <f>CHOOSE($F$5,3.4,6)</f>
        <v>3.4</v>
      </c>
      <c r="G21" s="198">
        <f>CHOOSE($F$5,3,9)</f>
        <v>3</v>
      </c>
      <c r="H21" s="198">
        <f>CHOOSE($F$5,5.6,27)</f>
        <v>5.6</v>
      </c>
      <c r="I21" s="199">
        <f>CHOOSE($F$5,4.3,18)</f>
        <v>4.3</v>
      </c>
      <c r="J21" s="389" t="s">
        <v>1090</v>
      </c>
      <c r="L21" s="233">
        <v>1</v>
      </c>
      <c r="N21" s="292" t="str">
        <f t="shared" si="1"/>
        <v>1.8. 공간시설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SUM((ROUNDDOWN((D36:I36)*단가,0)))</f>
        <v>5279552</v>
      </c>
      <c r="X21" s="154"/>
      <c r="Y21" s="170" t="str">
        <f t="shared" si="4"/>
        <v>제 8 호표</v>
      </c>
      <c r="Z21" s="150"/>
    </row>
    <row r="22" spans="1:26" ht="18" customHeight="1">
      <c r="A22" s="279"/>
      <c r="B22" s="223" t="s">
        <v>2621</v>
      </c>
      <c r="C22" s="23"/>
      <c r="D22" s="197">
        <f t="shared" si="2"/>
        <v>0.9</v>
      </c>
      <c r="E22" s="198">
        <f t="shared" si="3"/>
        <v>1.4</v>
      </c>
      <c r="F22" s="198">
        <f>CHOOSE($F$5,3.4,6)</f>
        <v>3.4</v>
      </c>
      <c r="G22" s="198">
        <f>CHOOSE($F$5,3,9)</f>
        <v>3</v>
      </c>
      <c r="H22" s="198">
        <f>CHOOSE($F$5,5.6,27)</f>
        <v>5.6</v>
      </c>
      <c r="I22" s="199">
        <f>CHOOSE($F$5,4.3,18)</f>
        <v>4.3</v>
      </c>
      <c r="J22" s="389" t="s">
        <v>1090</v>
      </c>
      <c r="L22" s="233">
        <v>1</v>
      </c>
      <c r="N22" s="292" t="str">
        <f t="shared" si="1"/>
        <v>1.9. 재정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SUM((ROUNDDOWN((D37:I37)*단가,0)))</f>
        <v>5279552</v>
      </c>
      <c r="X22" s="154"/>
      <c r="Y22" s="170" t="str">
        <f t="shared" si="4"/>
        <v>제 9 호표</v>
      </c>
      <c r="Z22" s="150"/>
    </row>
    <row r="23" spans="1:26" ht="18" customHeight="1">
      <c r="A23" s="279"/>
      <c r="B23" s="223" t="s">
        <v>2622</v>
      </c>
      <c r="C23" s="23"/>
      <c r="D23" s="197">
        <f>CHOOSE($F$5,3.5,3)</f>
        <v>3.5</v>
      </c>
      <c r="E23" s="198">
        <f>CHOOSE($F$5,5.6,6)</f>
        <v>5.6</v>
      </c>
      <c r="F23" s="198">
        <f>CHOOSE($F$5,20.4,18)</f>
        <v>20.399999999999999</v>
      </c>
      <c r="G23" s="198">
        <f>CHOOSE($F$5,40,30)</f>
        <v>40</v>
      </c>
      <c r="H23" s="198">
        <f>CHOOSE($F$5,40.6,48)</f>
        <v>40.6</v>
      </c>
      <c r="I23" s="199">
        <f>CHOOSE($F$5,46.2,75)</f>
        <v>46.2</v>
      </c>
      <c r="J23" s="389" t="s">
        <v>1090</v>
      </c>
      <c r="L23" s="233">
        <v>1</v>
      </c>
      <c r="N23" s="292" t="str">
        <f t="shared" si="1"/>
        <v>1.10. GIS구축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SUM((ROUNDDOWN((D38:I38)*단가,0)))</f>
        <v>42987242</v>
      </c>
      <c r="X23" s="154"/>
      <c r="Y23" s="170" t="str">
        <f t="shared" si="4"/>
        <v>제 10 호표</v>
      </c>
      <c r="Z23" s="150"/>
    </row>
    <row r="24" spans="1:26" ht="18" customHeight="1">
      <c r="A24" s="279"/>
      <c r="B24" s="222" t="s">
        <v>382</v>
      </c>
      <c r="C24" s="47"/>
      <c r="D24" s="48">
        <f t="shared" ref="D24:I24" si="5">SUBTOTAL(9,D25:D26)</f>
        <v>0.30000000000000004</v>
      </c>
      <c r="E24" s="49">
        <f t="shared" si="5"/>
        <v>0.5</v>
      </c>
      <c r="F24" s="49">
        <f t="shared" si="5"/>
        <v>1.2000000000000002</v>
      </c>
      <c r="G24" s="49">
        <f t="shared" si="5"/>
        <v>2.2000000000000002</v>
      </c>
      <c r="H24" s="49">
        <f t="shared" si="5"/>
        <v>4</v>
      </c>
      <c r="I24" s="50">
        <f t="shared" si="5"/>
        <v>4.3</v>
      </c>
      <c r="J24" s="389"/>
      <c r="L24" s="233"/>
      <c r="N24" s="354" t="str">
        <f t="shared" si="1"/>
        <v>2. 성과품작성</v>
      </c>
      <c r="O24" s="169"/>
      <c r="P24" s="169"/>
      <c r="Q24" s="169"/>
      <c r="R24" s="169"/>
      <c r="S24" s="169"/>
      <c r="T24" s="169"/>
      <c r="U24" s="226"/>
      <c r="V24" s="248"/>
      <c r="W24" s="193">
        <f ca="1">SUBTOTAL(9,W25:W26)</f>
        <v>3366410</v>
      </c>
      <c r="X24" s="257"/>
      <c r="Y24" s="170" t="str">
        <f t="shared" si="4"/>
        <v/>
      </c>
      <c r="Z24" s="169"/>
    </row>
    <row r="25" spans="1:26" ht="18" customHeight="1">
      <c r="A25" s="279"/>
      <c r="B25" s="223" t="s">
        <v>2623</v>
      </c>
      <c r="C25" s="23"/>
      <c r="D25" s="197">
        <v>0.2</v>
      </c>
      <c r="E25" s="198">
        <v>0.3</v>
      </c>
      <c r="F25" s="198">
        <v>0.8</v>
      </c>
      <c r="G25" s="198">
        <v>1.5</v>
      </c>
      <c r="H25" s="198">
        <v>1.6</v>
      </c>
      <c r="I25" s="199">
        <v>1.7</v>
      </c>
      <c r="J25" s="389" t="s">
        <v>1090</v>
      </c>
      <c r="L25" s="233">
        <v>1</v>
      </c>
      <c r="N25" s="292" t="str">
        <f t="shared" si="1"/>
        <v>2.1. 보고서 작성</v>
      </c>
      <c r="O25" s="37"/>
      <c r="P25" s="37"/>
      <c r="Q25" s="37"/>
      <c r="R25" s="37"/>
      <c r="S25" s="37"/>
      <c r="T25" s="37"/>
      <c r="U25" s="226"/>
      <c r="V25" s="248"/>
      <c r="W25" s="153">
        <f t="array" aca="1" ref="W25" ca="1">SUM((ROUNDDOWN((D40:I40)*단가,0)))</f>
        <v>1698743</v>
      </c>
      <c r="X25" s="113"/>
      <c r="Y25" s="170" t="str">
        <f t="shared" si="4"/>
        <v>제 11 호표</v>
      </c>
      <c r="Z25" s="37"/>
    </row>
    <row r="26" spans="1:26" ht="18" customHeight="1" thickBot="1">
      <c r="A26" s="279"/>
      <c r="B26" s="223" t="s">
        <v>2624</v>
      </c>
      <c r="C26" s="43"/>
      <c r="D26" s="206">
        <v>0.1</v>
      </c>
      <c r="E26" s="207">
        <v>0.2</v>
      </c>
      <c r="F26" s="207">
        <v>0.4</v>
      </c>
      <c r="G26" s="207">
        <v>0.7</v>
      </c>
      <c r="H26" s="207">
        <v>2.4</v>
      </c>
      <c r="I26" s="208">
        <v>2.6</v>
      </c>
      <c r="J26" s="390" t="s">
        <v>1090</v>
      </c>
      <c r="L26" s="233">
        <v>1</v>
      </c>
      <c r="N26" s="292" t="str">
        <f t="shared" si="1"/>
        <v>2.2. 관련도서작성</v>
      </c>
      <c r="O26" s="37"/>
      <c r="P26" s="37"/>
      <c r="Q26" s="37"/>
      <c r="R26" s="37"/>
      <c r="S26" s="37"/>
      <c r="T26" s="37"/>
      <c r="U26" s="353"/>
      <c r="V26" s="248"/>
      <c r="W26" s="153">
        <f t="array" aca="1" ref="W26" ca="1">SUM((ROUNDDOWN((D41:I41)*단가,0)))</f>
        <v>1667667</v>
      </c>
      <c r="X26" s="113"/>
      <c r="Y26" s="170" t="str">
        <f t="shared" si="4"/>
        <v>제 12 호표</v>
      </c>
      <c r="Z26" s="37"/>
    </row>
    <row r="27" spans="1:26" ht="18" customHeight="1" thickBot="1">
      <c r="A27" s="279"/>
      <c r="B27" s="14" t="s">
        <v>30</v>
      </c>
      <c r="C27" s="16"/>
      <c r="D27" s="14" t="s">
        <v>12</v>
      </c>
      <c r="E27" s="15"/>
      <c r="F27" s="15"/>
      <c r="G27" s="15"/>
      <c r="H27" s="15"/>
      <c r="I27" s="16"/>
      <c r="J27" s="175" t="s">
        <v>31</v>
      </c>
      <c r="N27" s="8"/>
      <c r="P27" s="371"/>
      <c r="R27" s="357"/>
      <c r="S27" s="1"/>
      <c r="T27" s="1"/>
      <c r="U27" s="258"/>
      <c r="V27" s="372"/>
      <c r="W27" s="373"/>
      <c r="X27" s="374"/>
      <c r="Y27" s="375"/>
    </row>
    <row r="28" spans="1:26" ht="18" customHeight="1">
      <c r="A28" s="279"/>
      <c r="B28" s="222" t="str">
        <f>B13</f>
        <v>1. 조사분석</v>
      </c>
      <c r="C28" s="47"/>
      <c r="D28" s="48">
        <f t="shared" ref="D28:I28" si="6">SUBTOTAL(9,D29:D38)</f>
        <v>13.000000000000002</v>
      </c>
      <c r="E28" s="49">
        <f t="shared" si="6"/>
        <v>21</v>
      </c>
      <c r="F28" s="49">
        <f t="shared" si="6"/>
        <v>68</v>
      </c>
      <c r="G28" s="49">
        <f t="shared" si="6"/>
        <v>90</v>
      </c>
      <c r="H28" s="49">
        <f t="shared" si="6"/>
        <v>101</v>
      </c>
      <c r="I28" s="50">
        <f t="shared" si="6"/>
        <v>106</v>
      </c>
      <c r="J28" s="74"/>
      <c r="N28" s="290" t="s">
        <v>453</v>
      </c>
      <c r="O28" s="129"/>
      <c r="P28" s="130"/>
      <c r="Q28" s="124"/>
      <c r="R28" s="131"/>
      <c r="S28" s="124"/>
      <c r="T28" s="124"/>
      <c r="U28" s="181"/>
      <c r="V28" s="181"/>
      <c r="W28" s="159">
        <f>SUBTOTAL(9,W29:W31)</f>
        <v>8000000</v>
      </c>
      <c r="X28" s="160"/>
      <c r="Y28" s="124"/>
      <c r="Z28" s="124"/>
    </row>
    <row r="29" spans="1:26" ht="18" customHeight="1">
      <c r="A29" s="278">
        <v>1</v>
      </c>
      <c r="B29" s="223" t="str">
        <f t="shared" ref="B29:B41" si="7">B14</f>
        <v>1.1. 인문환경</v>
      </c>
      <c r="C29" s="23"/>
      <c r="D29" s="383">
        <f t="array" ref="D29:I38">ROUNDDOWN(D14:I23*L14:L23*D5,3)</f>
        <v>0.9</v>
      </c>
      <c r="E29" s="282">
        <v>1.4</v>
      </c>
      <c r="F29" s="282">
        <v>3.4</v>
      </c>
      <c r="G29" s="282">
        <v>4</v>
      </c>
      <c r="H29" s="282">
        <v>3.8</v>
      </c>
      <c r="I29" s="283">
        <v>4.3</v>
      </c>
      <c r="J29" s="302"/>
      <c r="N29" s="128" t="str">
        <f>"여비("&amp;TEXT(R29,"#인 ×")&amp;TEXT(S29,"#일 ×")&amp;TEXT(T29,"###,###원)")</f>
        <v>여비(3인 ×10일 ×100,000원)</v>
      </c>
      <c r="O29" s="78"/>
      <c r="P29" s="52"/>
      <c r="Q29" s="51"/>
      <c r="R29" s="146">
        <v>3</v>
      </c>
      <c r="S29" s="146">
        <v>10</v>
      </c>
      <c r="T29" s="147">
        <v>100000</v>
      </c>
      <c r="U29" s="182"/>
      <c r="V29" s="182"/>
      <c r="W29" s="161">
        <f>R29*S29*T29</f>
        <v>3000000</v>
      </c>
      <c r="X29" s="162"/>
      <c r="Y29" s="51"/>
      <c r="Z29" s="51"/>
    </row>
    <row r="30" spans="1:26" ht="18" customHeight="1">
      <c r="A30" s="278">
        <v>2</v>
      </c>
      <c r="B30" s="223" t="str">
        <f t="shared" si="7"/>
        <v>1.2. 자연환경</v>
      </c>
      <c r="C30" s="23"/>
      <c r="D30" s="197">
        <v>0.9</v>
      </c>
      <c r="E30" s="198">
        <v>1.4</v>
      </c>
      <c r="F30" s="198">
        <v>3.4</v>
      </c>
      <c r="G30" s="198">
        <v>3</v>
      </c>
      <c r="H30" s="198">
        <v>3.8</v>
      </c>
      <c r="I30" s="199">
        <v>2.8</v>
      </c>
      <c r="J30" s="74"/>
      <c r="N30" s="79" t="s">
        <v>46</v>
      </c>
      <c r="O30" s="79"/>
      <c r="P30" s="39"/>
      <c r="Q30" s="37"/>
      <c r="R30" s="117"/>
      <c r="S30" s="37"/>
      <c r="T30" s="37"/>
      <c r="U30" s="180"/>
      <c r="V30" s="180"/>
      <c r="W30" s="157">
        <v>3000000</v>
      </c>
      <c r="X30" s="158"/>
      <c r="Y30" s="37"/>
      <c r="Z30" s="37"/>
    </row>
    <row r="31" spans="1:26" ht="18" customHeight="1">
      <c r="A31" s="278">
        <v>3</v>
      </c>
      <c r="B31" s="223" t="str">
        <f t="shared" si="7"/>
        <v>1.3. 토지이용</v>
      </c>
      <c r="C31" s="23"/>
      <c r="D31" s="197">
        <v>1.6</v>
      </c>
      <c r="E31" s="198">
        <v>2.8</v>
      </c>
      <c r="F31" s="198">
        <v>3.4</v>
      </c>
      <c r="G31" s="198">
        <v>10</v>
      </c>
      <c r="H31" s="198">
        <v>10.1</v>
      </c>
      <c r="I31" s="199">
        <v>11.4</v>
      </c>
      <c r="J31" s="74"/>
      <c r="N31" s="132" t="s">
        <v>13</v>
      </c>
      <c r="O31" s="132"/>
      <c r="P31" s="38"/>
      <c r="Q31" s="38"/>
      <c r="R31" s="116"/>
      <c r="S31" s="38"/>
      <c r="T31" s="38"/>
      <c r="U31" s="183"/>
      <c r="V31" s="183"/>
      <c r="W31" s="155">
        <v>2000000</v>
      </c>
      <c r="X31" s="156"/>
      <c r="Y31" s="38"/>
      <c r="Z31" s="38"/>
    </row>
    <row r="32" spans="1:26" ht="18" customHeight="1">
      <c r="A32" s="278">
        <v>4</v>
      </c>
      <c r="B32" s="223" t="str">
        <f t="shared" si="7"/>
        <v>1.4. 건축 관련</v>
      </c>
      <c r="C32" s="23"/>
      <c r="D32" s="197">
        <v>1.6</v>
      </c>
      <c r="E32" s="198">
        <v>2.8</v>
      </c>
      <c r="F32" s="198">
        <v>10.199999999999999</v>
      </c>
      <c r="G32" s="198">
        <v>10</v>
      </c>
      <c r="H32" s="198">
        <v>10.1</v>
      </c>
      <c r="I32" s="199">
        <v>11.4</v>
      </c>
      <c r="J32" s="389"/>
      <c r="N32" s="127" t="s">
        <v>47</v>
      </c>
      <c r="O32" s="123"/>
      <c r="P32" s="123"/>
      <c r="Q32" s="123"/>
      <c r="R32" s="123"/>
      <c r="S32" s="123"/>
      <c r="T32" s="123"/>
      <c r="U32" s="184"/>
      <c r="V32" s="184"/>
      <c r="W32" s="163">
        <f ca="1">SUBTOTAL(9,W33:W34)</f>
        <v>206916354</v>
      </c>
      <c r="X32" s="164"/>
      <c r="Y32" s="123"/>
      <c r="Z32" s="123"/>
    </row>
    <row r="33" spans="1:26" ht="18" customHeight="1">
      <c r="A33" s="278">
        <v>5</v>
      </c>
      <c r="B33" s="223" t="str">
        <f t="shared" si="7"/>
        <v>1.5. 인구 및 산업</v>
      </c>
      <c r="C33" s="23"/>
      <c r="D33" s="197">
        <v>0.9</v>
      </c>
      <c r="E33" s="198">
        <v>1.4</v>
      </c>
      <c r="F33" s="198">
        <v>10.199999999999999</v>
      </c>
      <c r="G33" s="198">
        <v>6</v>
      </c>
      <c r="H33" s="198">
        <v>6.3</v>
      </c>
      <c r="I33" s="199">
        <v>7.1</v>
      </c>
      <c r="J33" s="389"/>
      <c r="N33" s="133" t="s">
        <v>861</v>
      </c>
      <c r="O33" s="124"/>
      <c r="P33" s="134"/>
      <c r="Q33" s="124"/>
      <c r="R33" s="131"/>
      <c r="S33" s="124"/>
      <c r="T33" s="181"/>
      <c r="U33" s="181"/>
      <c r="V33" s="190">
        <v>1.1499999999999999</v>
      </c>
      <c r="W33" s="159">
        <f ca="1">ROUNDDOWN(W12*V33,0)</f>
        <v>132564795</v>
      </c>
      <c r="X33" s="160"/>
      <c r="Y33" s="124"/>
      <c r="Z33" s="124"/>
    </row>
    <row r="34" spans="1:26" ht="18" customHeight="1" thickBot="1">
      <c r="A34" s="278">
        <v>6</v>
      </c>
      <c r="B34" s="223" t="str">
        <f t="shared" si="7"/>
        <v>1.6. 교통시설</v>
      </c>
      <c r="C34" s="23"/>
      <c r="D34" s="197">
        <v>0.9</v>
      </c>
      <c r="E34" s="198">
        <v>1.4</v>
      </c>
      <c r="F34" s="198">
        <v>3.4</v>
      </c>
      <c r="G34" s="198">
        <v>8</v>
      </c>
      <c r="H34" s="198">
        <v>8.8000000000000007</v>
      </c>
      <c r="I34" s="199">
        <v>7.1</v>
      </c>
      <c r="J34" s="389"/>
      <c r="N34" s="135" t="s">
        <v>862</v>
      </c>
      <c r="O34" s="136"/>
      <c r="P34" s="137"/>
      <c r="Q34" s="136"/>
      <c r="R34" s="138"/>
      <c r="S34" s="136"/>
      <c r="T34" s="185"/>
      <c r="U34" s="185"/>
      <c r="V34" s="191">
        <v>0.3</v>
      </c>
      <c r="W34" s="165">
        <f ca="1">ROUNDDOWN((W12+W33)*V34,0)</f>
        <v>74351559</v>
      </c>
      <c r="X34" s="166"/>
      <c r="Y34" s="136"/>
      <c r="Z34" s="136"/>
    </row>
    <row r="35" spans="1:26" ht="18" customHeight="1">
      <c r="A35" s="278">
        <v>7</v>
      </c>
      <c r="B35" s="223" t="str">
        <f t="shared" si="7"/>
        <v>1.7. 유통 및 공급시설</v>
      </c>
      <c r="C35" s="23"/>
      <c r="D35" s="197">
        <v>0.9</v>
      </c>
      <c r="E35" s="198">
        <v>1.4</v>
      </c>
      <c r="F35" s="198">
        <v>6.8</v>
      </c>
      <c r="G35" s="198">
        <v>3</v>
      </c>
      <c r="H35" s="198">
        <v>6.3</v>
      </c>
      <c r="I35" s="199">
        <v>7.1</v>
      </c>
      <c r="J35" s="389"/>
    </row>
    <row r="36" spans="1:26" ht="18" customHeight="1">
      <c r="A36" s="278">
        <v>8</v>
      </c>
      <c r="B36" s="223" t="str">
        <f t="shared" si="7"/>
        <v>1.8. 공간시설</v>
      </c>
      <c r="C36" s="23"/>
      <c r="D36" s="197">
        <v>0.9</v>
      </c>
      <c r="E36" s="198">
        <v>1.4</v>
      </c>
      <c r="F36" s="198">
        <v>3.4</v>
      </c>
      <c r="G36" s="198">
        <v>3</v>
      </c>
      <c r="H36" s="198">
        <v>5.6</v>
      </c>
      <c r="I36" s="199">
        <v>4.3</v>
      </c>
      <c r="J36" s="389"/>
      <c r="K36" s="171" t="s">
        <v>14</v>
      </c>
    </row>
    <row r="37" spans="1:26" ht="18" customHeight="1">
      <c r="A37" s="278">
        <v>9</v>
      </c>
      <c r="B37" s="223" t="str">
        <f t="shared" si="7"/>
        <v>1.9. 재정</v>
      </c>
      <c r="C37" s="23"/>
      <c r="D37" s="197">
        <v>0.9</v>
      </c>
      <c r="E37" s="198">
        <v>1.4</v>
      </c>
      <c r="F37" s="198">
        <v>3.4</v>
      </c>
      <c r="G37" s="198">
        <v>3</v>
      </c>
      <c r="H37" s="198">
        <v>5.6</v>
      </c>
      <c r="I37" s="199">
        <v>4.3</v>
      </c>
      <c r="J37" s="389"/>
      <c r="K37" s="171" t="s">
        <v>14</v>
      </c>
    </row>
    <row r="38" spans="1:26" ht="18" customHeight="1">
      <c r="A38" s="278">
        <v>10</v>
      </c>
      <c r="B38" s="223" t="str">
        <f t="shared" si="7"/>
        <v>1.10. GIS구축</v>
      </c>
      <c r="C38" s="23"/>
      <c r="D38" s="197">
        <v>3.5</v>
      </c>
      <c r="E38" s="198">
        <v>5.6</v>
      </c>
      <c r="F38" s="198">
        <v>20.399999999999999</v>
      </c>
      <c r="G38" s="198">
        <v>40</v>
      </c>
      <c r="H38" s="198">
        <v>40.6</v>
      </c>
      <c r="I38" s="199">
        <v>46.2</v>
      </c>
      <c r="J38" s="389"/>
      <c r="K38" s="171" t="s">
        <v>14</v>
      </c>
    </row>
    <row r="39" spans="1:26" ht="18" customHeight="1">
      <c r="B39" s="222" t="str">
        <f t="shared" si="7"/>
        <v>2. 성과품작성</v>
      </c>
      <c r="C39" s="47"/>
      <c r="D39" s="48">
        <f t="shared" ref="D39:I39" si="8">SUBTOTAL(9,D40:D41)</f>
        <v>0.30000000000000004</v>
      </c>
      <c r="E39" s="49">
        <f t="shared" si="8"/>
        <v>0.5</v>
      </c>
      <c r="F39" s="49">
        <f t="shared" si="8"/>
        <v>1.2000000000000002</v>
      </c>
      <c r="G39" s="49">
        <f t="shared" si="8"/>
        <v>2.2000000000000002</v>
      </c>
      <c r="H39" s="49">
        <f t="shared" si="8"/>
        <v>4</v>
      </c>
      <c r="I39" s="50">
        <f t="shared" si="8"/>
        <v>4.3</v>
      </c>
      <c r="J39" s="74"/>
      <c r="K39" s="171" t="s">
        <v>14</v>
      </c>
      <c r="L39" s="171"/>
    </row>
    <row r="40" spans="1:26" ht="18" customHeight="1">
      <c r="A40" s="278">
        <v>11</v>
      </c>
      <c r="B40" s="223" t="str">
        <f t="shared" si="7"/>
        <v>2.1. 보고서 작성</v>
      </c>
      <c r="C40" s="23"/>
      <c r="D40" s="197">
        <f t="array" ref="D40:I41">ROUNDDOWN(D25:I26*L25:L26*D5,3)</f>
        <v>0.2</v>
      </c>
      <c r="E40" s="198">
        <v>0.3</v>
      </c>
      <c r="F40" s="198">
        <v>0.8</v>
      </c>
      <c r="G40" s="198">
        <v>1.5</v>
      </c>
      <c r="H40" s="198">
        <v>1.6</v>
      </c>
      <c r="I40" s="199">
        <v>1.7</v>
      </c>
      <c r="J40" s="74"/>
      <c r="K40" s="171"/>
      <c r="L40" s="171"/>
      <c r="R40" s="1"/>
      <c r="S40" s="1"/>
      <c r="T40" s="1"/>
      <c r="U40" s="1"/>
      <c r="V40" s="1"/>
      <c r="W40" s="1"/>
      <c r="X40" s="1"/>
      <c r="Y40" s="1"/>
    </row>
    <row r="41" spans="1:26" ht="18" customHeight="1" thickBot="1">
      <c r="A41" s="278">
        <v>12</v>
      </c>
      <c r="B41" s="388" t="str">
        <f t="shared" si="7"/>
        <v>2.2. 관련도서작성</v>
      </c>
      <c r="C41" s="342"/>
      <c r="D41" s="343">
        <v>0.1</v>
      </c>
      <c r="E41" s="344">
        <v>0.2</v>
      </c>
      <c r="F41" s="344">
        <v>0.4</v>
      </c>
      <c r="G41" s="344">
        <v>0.7</v>
      </c>
      <c r="H41" s="344">
        <v>2.4</v>
      </c>
      <c r="I41" s="345">
        <v>2.6</v>
      </c>
      <c r="J41" s="176"/>
      <c r="K41" s="171" t="s">
        <v>14</v>
      </c>
      <c r="L41" s="171"/>
      <c r="R41" s="1"/>
      <c r="S41" s="1"/>
      <c r="T41" s="1"/>
      <c r="U41" s="1"/>
      <c r="V41" s="1"/>
      <c r="W41" s="1"/>
      <c r="X41" s="1"/>
      <c r="Y41" s="1"/>
    </row>
    <row r="42" spans="1:26" ht="18" customHeight="1">
      <c r="B42" s="80" t="s">
        <v>15</v>
      </c>
      <c r="C42" s="9" t="s">
        <v>384</v>
      </c>
      <c r="E42" s="8"/>
      <c r="F42" s="8"/>
      <c r="G42" s="8"/>
      <c r="H42" s="8"/>
      <c r="I42" s="8"/>
      <c r="J42" s="10"/>
      <c r="K42" s="171" t="s">
        <v>14</v>
      </c>
      <c r="L42" s="171"/>
      <c r="R42" s="1"/>
      <c r="S42" s="1"/>
      <c r="T42" s="1"/>
      <c r="U42" s="1"/>
      <c r="V42" s="1"/>
      <c r="W42" s="1"/>
      <c r="X42" s="1"/>
      <c r="Y42" s="1"/>
    </row>
    <row r="43" spans="1:26" ht="18" customHeight="1" thickBot="1">
      <c r="B43" s="80"/>
      <c r="C43" s="1" t="s">
        <v>385</v>
      </c>
      <c r="J43" s="8"/>
      <c r="K43" s="171" t="s">
        <v>14</v>
      </c>
      <c r="L43" s="171"/>
      <c r="N43" s="66" t="s">
        <v>18</v>
      </c>
      <c r="O43" s="2"/>
      <c r="P43" s="2"/>
      <c r="Q43" s="2"/>
      <c r="R43" s="3"/>
      <c r="S43" s="4"/>
      <c r="T43" s="3"/>
      <c r="U43" s="4"/>
      <c r="V43" s="3"/>
      <c r="W43" s="4"/>
      <c r="X43" s="3"/>
      <c r="Y43" s="4"/>
      <c r="Z43" s="2"/>
    </row>
    <row r="44" spans="1:26" ht="18" customHeight="1">
      <c r="C44" s="1" t="s">
        <v>2630</v>
      </c>
      <c r="J44" s="8"/>
      <c r="K44" s="171" t="s">
        <v>14</v>
      </c>
      <c r="L44" s="171"/>
      <c r="N44" s="765" t="s">
        <v>19</v>
      </c>
      <c r="O44" s="755" t="s">
        <v>20</v>
      </c>
      <c r="P44" s="755" t="s">
        <v>21</v>
      </c>
      <c r="Q44" s="755" t="s">
        <v>16</v>
      </c>
      <c r="R44" s="5" t="s">
        <v>22</v>
      </c>
      <c r="S44" s="5"/>
      <c r="T44" s="5" t="s">
        <v>23</v>
      </c>
      <c r="U44" s="5"/>
      <c r="V44" s="5" t="s">
        <v>24</v>
      </c>
      <c r="W44" s="5"/>
      <c r="X44" s="5" t="s">
        <v>25</v>
      </c>
      <c r="Y44" s="5"/>
      <c r="Z44" s="755" t="s">
        <v>26</v>
      </c>
    </row>
    <row r="45" spans="1:26" ht="18" customHeight="1" thickBot="1">
      <c r="C45" s="9" t="s">
        <v>2631</v>
      </c>
      <c r="J45" s="8"/>
      <c r="K45" s="171" t="s">
        <v>14</v>
      </c>
      <c r="L45" s="171"/>
      <c r="N45" s="766"/>
      <c r="O45" s="756"/>
      <c r="P45" s="756"/>
      <c r="Q45" s="756"/>
      <c r="R45" s="67" t="s">
        <v>27</v>
      </c>
      <c r="S45" s="67" t="s">
        <v>28</v>
      </c>
      <c r="T45" s="67" t="s">
        <v>27</v>
      </c>
      <c r="U45" s="67" t="s">
        <v>28</v>
      </c>
      <c r="V45" s="67" t="s">
        <v>27</v>
      </c>
      <c r="W45" s="67" t="s">
        <v>28</v>
      </c>
      <c r="X45" s="67" t="s">
        <v>27</v>
      </c>
      <c r="Y45" s="67" t="s">
        <v>28</v>
      </c>
      <c r="Z45" s="756"/>
    </row>
    <row r="46" spans="1:26" ht="18" customHeight="1" thickTop="1">
      <c r="C46" s="9" t="s">
        <v>2632</v>
      </c>
      <c r="K46" s="171" t="s">
        <v>14</v>
      </c>
      <c r="L46" s="171"/>
      <c r="N46" s="318" t="str">
        <f ca="1">"제 " &amp; Z46 &amp; " 호표  "&amp; OFFSET($A$1,MATCH(Z46,$A:$A,0)-1,1)</f>
        <v>제 1 호표  1.1. 인문환경</v>
      </c>
      <c r="O46" s="221"/>
      <c r="P46" s="148"/>
      <c r="Q46" s="148"/>
      <c r="R46" s="149"/>
      <c r="S46" s="149"/>
      <c r="T46" s="149"/>
      <c r="U46" s="149"/>
      <c r="V46" s="149"/>
      <c r="W46" s="149"/>
      <c r="X46" s="149"/>
      <c r="Y46" s="149"/>
      <c r="Z46" s="325">
        <v>1</v>
      </c>
    </row>
    <row r="47" spans="1:26" ht="18" customHeight="1">
      <c r="C47" s="9" t="s">
        <v>2633</v>
      </c>
      <c r="K47" s="171" t="s">
        <v>14</v>
      </c>
      <c r="L47" s="171"/>
      <c r="N47" s="140" t="s">
        <v>43</v>
      </c>
      <c r="O47" s="172">
        <v>3</v>
      </c>
      <c r="P47" s="219">
        <f ca="1">OFFSET($A$1,MATCH(Z46,$A:$A,0)-1,O47)</f>
        <v>0.9</v>
      </c>
      <c r="Q47" s="141" t="s">
        <v>29</v>
      </c>
      <c r="R47" s="142">
        <f t="shared" ref="R47:S52" ca="1" si="9">T47</f>
        <v>467217</v>
      </c>
      <c r="S47" s="142">
        <f t="shared" ca="1" si="9"/>
        <v>420495</v>
      </c>
      <c r="T47" s="142">
        <f ca="1">기술사</f>
        <v>467217</v>
      </c>
      <c r="U47" s="142">
        <f t="shared" ref="U47:U52" ca="1" si="10">ROUNDDOWN(P47*R47,0)</f>
        <v>420495</v>
      </c>
      <c r="V47" s="142"/>
      <c r="W47" s="142"/>
      <c r="X47" s="142"/>
      <c r="Y47" s="142"/>
      <c r="Z47" s="114"/>
    </row>
    <row r="48" spans="1:26" ht="18" customHeight="1">
      <c r="C48" s="9" t="s">
        <v>2634</v>
      </c>
      <c r="K48" s="171" t="s">
        <v>14</v>
      </c>
      <c r="L48" s="171"/>
      <c r="N48" s="143" t="s">
        <v>32</v>
      </c>
      <c r="O48" s="173">
        <v>4</v>
      </c>
      <c r="P48" s="234">
        <f ca="1">OFFSET($A$1,MATCH(Z46,$A:$A,0)-1,O48)</f>
        <v>1.4</v>
      </c>
      <c r="Q48" s="144" t="s">
        <v>29</v>
      </c>
      <c r="R48" s="118">
        <f t="shared" ca="1" si="9"/>
        <v>373353</v>
      </c>
      <c r="S48" s="118">
        <f t="shared" ca="1" si="9"/>
        <v>522694</v>
      </c>
      <c r="T48" s="118">
        <f ca="1">특급</f>
        <v>373353</v>
      </c>
      <c r="U48" s="118">
        <f t="shared" ca="1" si="10"/>
        <v>522694</v>
      </c>
      <c r="V48" s="118"/>
      <c r="W48" s="118"/>
      <c r="X48" s="118"/>
      <c r="Y48" s="118"/>
      <c r="Z48" s="115"/>
    </row>
    <row r="49" spans="2:26" ht="18" customHeight="1">
      <c r="C49" s="9" t="s">
        <v>2635</v>
      </c>
      <c r="K49" s="171" t="s">
        <v>14</v>
      </c>
      <c r="L49" s="171"/>
      <c r="N49" s="145" t="s">
        <v>39</v>
      </c>
      <c r="O49" s="173">
        <v>5</v>
      </c>
      <c r="P49" s="234">
        <f ca="1">OFFSET($A$1,MATCH(Z46,$A:$A,0)-1,O49)</f>
        <v>3.4</v>
      </c>
      <c r="Q49" s="144" t="s">
        <v>29</v>
      </c>
      <c r="R49" s="118">
        <f t="shared" ca="1" si="9"/>
        <v>310884</v>
      </c>
      <c r="S49" s="118">
        <f t="shared" ca="1" si="9"/>
        <v>1057005</v>
      </c>
      <c r="T49" s="118">
        <f ca="1">고급</f>
        <v>310884</v>
      </c>
      <c r="U49" s="118">
        <f t="shared" ca="1" si="10"/>
        <v>1057005</v>
      </c>
      <c r="V49" s="118"/>
      <c r="W49" s="118"/>
      <c r="X49" s="118"/>
      <c r="Y49" s="118"/>
      <c r="Z49" s="115"/>
    </row>
    <row r="50" spans="2:26" ht="18" customHeight="1">
      <c r="C50" s="1" t="s">
        <v>2636</v>
      </c>
      <c r="K50" s="171" t="s">
        <v>14</v>
      </c>
      <c r="L50" s="171"/>
      <c r="N50" s="145" t="s">
        <v>40</v>
      </c>
      <c r="O50" s="173">
        <v>6</v>
      </c>
      <c r="P50" s="234">
        <f ca="1">OFFSET($A$1,MATCH(Z46,$A:$A,0)-1,O50)</f>
        <v>4</v>
      </c>
      <c r="Q50" s="144" t="s">
        <v>29</v>
      </c>
      <c r="R50" s="118">
        <f t="shared" ca="1" si="9"/>
        <v>295138</v>
      </c>
      <c r="S50" s="118">
        <f t="shared" ca="1" si="9"/>
        <v>1180552</v>
      </c>
      <c r="T50" s="118">
        <f ca="1">중급</f>
        <v>295138</v>
      </c>
      <c r="U50" s="118">
        <f t="shared" ca="1" si="10"/>
        <v>1180552</v>
      </c>
      <c r="V50" s="118"/>
      <c r="W50" s="118"/>
      <c r="X50" s="118"/>
      <c r="Y50" s="118"/>
      <c r="Z50" s="115"/>
    </row>
    <row r="51" spans="2:26" ht="18" customHeight="1">
      <c r="B51" s="9"/>
      <c r="K51" s="171" t="s">
        <v>14</v>
      </c>
      <c r="L51" s="171"/>
      <c r="N51" s="145" t="s">
        <v>41</v>
      </c>
      <c r="O51" s="173">
        <v>7</v>
      </c>
      <c r="P51" s="234">
        <f ca="1">OFFSET($A$1,MATCH(Z46,$A:$A,0)-1,O51)</f>
        <v>3.8</v>
      </c>
      <c r="Q51" s="144" t="s">
        <v>29</v>
      </c>
      <c r="R51" s="118">
        <f t="shared" ca="1" si="9"/>
        <v>235459</v>
      </c>
      <c r="S51" s="118">
        <f t="shared" ca="1" si="9"/>
        <v>894744</v>
      </c>
      <c r="T51" s="118">
        <f ca="1">초급</f>
        <v>235459</v>
      </c>
      <c r="U51" s="118">
        <f t="shared" ca="1" si="10"/>
        <v>894744</v>
      </c>
      <c r="V51" s="118"/>
      <c r="W51" s="118"/>
      <c r="X51" s="118"/>
      <c r="Y51" s="118"/>
      <c r="Z51" s="115"/>
    </row>
    <row r="52" spans="2:26" ht="18" customHeight="1">
      <c r="B52" s="9"/>
      <c r="K52" s="171" t="s">
        <v>14</v>
      </c>
      <c r="L52" s="171"/>
      <c r="N52" s="319" t="s">
        <v>42</v>
      </c>
      <c r="O52" s="174">
        <v>8</v>
      </c>
      <c r="P52" s="235">
        <f ca="1">OFFSET($A$1,MATCH(Z46,$A:$A,0)-1,O52)</f>
        <v>4.3</v>
      </c>
      <c r="Q52" s="322" t="s">
        <v>29</v>
      </c>
      <c r="R52" s="323">
        <f t="shared" ca="1" si="9"/>
        <v>250087</v>
      </c>
      <c r="S52" s="323">
        <f t="shared" ca="1" si="9"/>
        <v>1075374</v>
      </c>
      <c r="T52" s="323">
        <f ca="1">보조원</f>
        <v>250087</v>
      </c>
      <c r="U52" s="323">
        <f t="shared" ca="1" si="10"/>
        <v>1075374</v>
      </c>
      <c r="V52" s="323"/>
      <c r="W52" s="323"/>
      <c r="X52" s="323"/>
      <c r="Y52" s="323"/>
      <c r="Z52" s="324"/>
    </row>
    <row r="53" spans="2:26" ht="18" customHeight="1">
      <c r="B53" s="9"/>
      <c r="K53" s="171" t="s">
        <v>14</v>
      </c>
      <c r="L53" s="171"/>
      <c r="N53" s="139" t="s">
        <v>17</v>
      </c>
      <c r="O53" s="68"/>
      <c r="P53" s="69"/>
      <c r="Q53" s="70"/>
      <c r="R53" s="71"/>
      <c r="S53" s="71">
        <f ca="1">SUBTOTAL(9,S47:S52)</f>
        <v>5150864</v>
      </c>
      <c r="T53" s="71"/>
      <c r="U53" s="71">
        <f ca="1">SUBTOTAL(9,U47:U52)</f>
        <v>5150864</v>
      </c>
      <c r="V53" s="71"/>
      <c r="W53" s="71"/>
      <c r="X53" s="71"/>
      <c r="Y53" s="71"/>
      <c r="Z53" s="68"/>
    </row>
    <row r="54" spans="2:26" ht="18" customHeight="1">
      <c r="B54" s="9"/>
      <c r="K54" s="171" t="s">
        <v>14</v>
      </c>
      <c r="L54" s="171"/>
      <c r="N54" s="318" t="str">
        <f ca="1">"제 " &amp; Z54 &amp; " 호표  "&amp; OFFSET($A$1,MATCH(Z54,$A:$A,0)-1,1)</f>
        <v>제 2 호표  1.2. 자연환경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f>Z46+1</f>
        <v>2</v>
      </c>
    </row>
    <row r="55" spans="2:26" ht="18" customHeight="1">
      <c r="B55" s="9"/>
      <c r="K55" s="171" t="s">
        <v>14</v>
      </c>
      <c r="L55" s="171"/>
      <c r="N55" s="140" t="s">
        <v>43</v>
      </c>
      <c r="O55" s="172">
        <v>3</v>
      </c>
      <c r="P55" s="219">
        <f ca="1">OFFSET($A$1,MATCH(Z54,$A:$A,0)-1,O55)</f>
        <v>0.9</v>
      </c>
      <c r="Q55" s="141" t="s">
        <v>29</v>
      </c>
      <c r="R55" s="142">
        <f t="shared" ref="R55:S60" ca="1" si="11">T55</f>
        <v>467217</v>
      </c>
      <c r="S55" s="142">
        <f t="shared" ca="1" si="11"/>
        <v>420495</v>
      </c>
      <c r="T55" s="142">
        <f ca="1">기술사</f>
        <v>467217</v>
      </c>
      <c r="U55" s="142">
        <f t="shared" ref="U55:U60" ca="1" si="12">ROUNDDOWN(P55*R55,0)</f>
        <v>420495</v>
      </c>
      <c r="V55" s="142"/>
      <c r="W55" s="142"/>
      <c r="X55" s="142"/>
      <c r="Y55" s="142"/>
      <c r="Z55" s="114"/>
    </row>
    <row r="56" spans="2:26" ht="18" customHeight="1">
      <c r="B56" s="9"/>
      <c r="K56" s="171" t="s">
        <v>14</v>
      </c>
      <c r="L56" s="171"/>
      <c r="N56" s="143" t="s">
        <v>32</v>
      </c>
      <c r="O56" s="173">
        <v>4</v>
      </c>
      <c r="P56" s="234">
        <f ca="1">OFFSET($A$1,MATCH(Z54,$A:$A,0)-1,O56)</f>
        <v>1.4</v>
      </c>
      <c r="Q56" s="144" t="s">
        <v>29</v>
      </c>
      <c r="R56" s="118">
        <f t="shared" ca="1" si="11"/>
        <v>373353</v>
      </c>
      <c r="S56" s="118">
        <f t="shared" ca="1" si="11"/>
        <v>522694</v>
      </c>
      <c r="T56" s="118">
        <f ca="1">특급</f>
        <v>373353</v>
      </c>
      <c r="U56" s="118">
        <f t="shared" ca="1" si="12"/>
        <v>522694</v>
      </c>
      <c r="V56" s="118"/>
      <c r="W56" s="118"/>
      <c r="X56" s="118"/>
      <c r="Y56" s="118"/>
      <c r="Z56" s="115"/>
    </row>
    <row r="57" spans="2:26" ht="18" customHeight="1">
      <c r="B57" s="9"/>
      <c r="K57" s="171" t="s">
        <v>14</v>
      </c>
      <c r="L57" s="171"/>
      <c r="N57" s="145" t="s">
        <v>39</v>
      </c>
      <c r="O57" s="173">
        <v>5</v>
      </c>
      <c r="P57" s="234">
        <f ca="1">OFFSET($A$1,MATCH(Z54,$A:$A,0)-1,O57)</f>
        <v>3.4</v>
      </c>
      <c r="Q57" s="144" t="s">
        <v>29</v>
      </c>
      <c r="R57" s="118">
        <f t="shared" ca="1" si="11"/>
        <v>310884</v>
      </c>
      <c r="S57" s="118">
        <f t="shared" ca="1" si="11"/>
        <v>1057005</v>
      </c>
      <c r="T57" s="118">
        <f ca="1">고급</f>
        <v>310884</v>
      </c>
      <c r="U57" s="118">
        <f t="shared" ca="1" si="12"/>
        <v>1057005</v>
      </c>
      <c r="V57" s="118"/>
      <c r="W57" s="118"/>
      <c r="X57" s="118"/>
      <c r="Y57" s="118"/>
      <c r="Z57" s="115"/>
    </row>
    <row r="58" spans="2:26" ht="18" customHeight="1">
      <c r="K58" s="171" t="s">
        <v>14</v>
      </c>
      <c r="L58" s="171"/>
      <c r="N58" s="145" t="s">
        <v>40</v>
      </c>
      <c r="O58" s="173">
        <v>6</v>
      </c>
      <c r="P58" s="234">
        <f ca="1">OFFSET($A$1,MATCH(Z54,$A:$A,0)-1,O58)</f>
        <v>3</v>
      </c>
      <c r="Q58" s="144" t="s">
        <v>29</v>
      </c>
      <c r="R58" s="118">
        <f t="shared" ca="1" si="11"/>
        <v>295138</v>
      </c>
      <c r="S58" s="118">
        <f t="shared" ca="1" si="11"/>
        <v>885414</v>
      </c>
      <c r="T58" s="118">
        <f ca="1">중급</f>
        <v>295138</v>
      </c>
      <c r="U58" s="118">
        <f t="shared" ca="1" si="12"/>
        <v>885414</v>
      </c>
      <c r="V58" s="118"/>
      <c r="W58" s="118"/>
      <c r="X58" s="118"/>
      <c r="Y58" s="118"/>
      <c r="Z58" s="115"/>
    </row>
    <row r="59" spans="2:26" ht="18" customHeight="1">
      <c r="K59" s="171" t="s">
        <v>14</v>
      </c>
      <c r="L59" s="171"/>
      <c r="N59" s="145" t="s">
        <v>41</v>
      </c>
      <c r="O59" s="173">
        <v>7</v>
      </c>
      <c r="P59" s="234">
        <f ca="1">OFFSET($A$1,MATCH(Z54,$A:$A,0)-1,O59)</f>
        <v>3.8</v>
      </c>
      <c r="Q59" s="144" t="s">
        <v>29</v>
      </c>
      <c r="R59" s="118">
        <f t="shared" ca="1" si="11"/>
        <v>235459</v>
      </c>
      <c r="S59" s="118">
        <f t="shared" ca="1" si="11"/>
        <v>894744</v>
      </c>
      <c r="T59" s="118">
        <f ca="1">초급</f>
        <v>235459</v>
      </c>
      <c r="U59" s="118">
        <f t="shared" ca="1" si="12"/>
        <v>894744</v>
      </c>
      <c r="V59" s="118"/>
      <c r="W59" s="118"/>
      <c r="X59" s="118"/>
      <c r="Y59" s="118"/>
      <c r="Z59" s="115"/>
    </row>
    <row r="60" spans="2:26" ht="18" customHeight="1">
      <c r="K60" s="171" t="s">
        <v>14</v>
      </c>
      <c r="L60" s="171"/>
      <c r="N60" s="319" t="s">
        <v>42</v>
      </c>
      <c r="O60" s="174">
        <v>8</v>
      </c>
      <c r="P60" s="235">
        <f ca="1">OFFSET($A$1,MATCH(Z54,$A:$A,0)-1,O60)</f>
        <v>2.8</v>
      </c>
      <c r="Q60" s="322" t="s">
        <v>29</v>
      </c>
      <c r="R60" s="323">
        <f t="shared" ca="1" si="11"/>
        <v>250087</v>
      </c>
      <c r="S60" s="323">
        <f t="shared" ca="1" si="11"/>
        <v>700243</v>
      </c>
      <c r="T60" s="323">
        <f ca="1">보조원</f>
        <v>250087</v>
      </c>
      <c r="U60" s="323">
        <f t="shared" ca="1" si="12"/>
        <v>700243</v>
      </c>
      <c r="V60" s="323"/>
      <c r="W60" s="323"/>
      <c r="X60" s="323"/>
      <c r="Y60" s="323"/>
      <c r="Z60" s="324"/>
    </row>
    <row r="61" spans="2:26" ht="18" customHeight="1">
      <c r="K61" s="171" t="s">
        <v>14</v>
      </c>
      <c r="L61" s="171"/>
      <c r="N61" s="139" t="s">
        <v>17</v>
      </c>
      <c r="O61" s="68"/>
      <c r="P61" s="69"/>
      <c r="Q61" s="70"/>
      <c r="R61" s="71"/>
      <c r="S61" s="71">
        <f ca="1">SUBTOTAL(9,S55:S60)</f>
        <v>4480595</v>
      </c>
      <c r="T61" s="71"/>
      <c r="U61" s="71">
        <f ca="1">SUBTOTAL(9,U55:U60)</f>
        <v>4480595</v>
      </c>
      <c r="V61" s="71"/>
      <c r="W61" s="71"/>
      <c r="X61" s="71"/>
      <c r="Y61" s="71"/>
      <c r="Z61" s="68"/>
    </row>
    <row r="62" spans="2:26" ht="18" customHeight="1">
      <c r="K62" s="171" t="s">
        <v>14</v>
      </c>
      <c r="L62" s="171"/>
      <c r="N62" s="318" t="str">
        <f ca="1">"제 " &amp; Z62 &amp; " 호표  "&amp; OFFSET($A$1,MATCH(Z62,$A:$A,0)-1,1)</f>
        <v>제 3 호표  1.3. 토지이용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3</v>
      </c>
    </row>
    <row r="63" spans="2:26" ht="18" customHeight="1">
      <c r="K63" s="171" t="s">
        <v>14</v>
      </c>
      <c r="L63" s="171"/>
      <c r="N63" s="140" t="s">
        <v>43</v>
      </c>
      <c r="O63" s="172">
        <v>3</v>
      </c>
      <c r="P63" s="219">
        <f ca="1">OFFSET($A$1,MATCH(Z62,$A:$A,0)-1,O63)</f>
        <v>1.6</v>
      </c>
      <c r="Q63" s="141" t="s">
        <v>29</v>
      </c>
      <c r="R63" s="142">
        <f t="shared" ref="R63:S68" ca="1" si="13">T63</f>
        <v>467217</v>
      </c>
      <c r="S63" s="142">
        <f t="shared" ca="1" si="13"/>
        <v>747547</v>
      </c>
      <c r="T63" s="142">
        <f ca="1">기술사</f>
        <v>467217</v>
      </c>
      <c r="U63" s="142">
        <f t="shared" ref="U63:U68" ca="1" si="14">ROUNDDOWN(P63*R63,0)</f>
        <v>747547</v>
      </c>
      <c r="V63" s="142"/>
      <c r="W63" s="142"/>
      <c r="X63" s="142"/>
      <c r="Y63" s="142"/>
      <c r="Z63" s="114"/>
    </row>
    <row r="64" spans="2:26" ht="18" customHeight="1">
      <c r="K64" s="171" t="s">
        <v>14</v>
      </c>
      <c r="L64" s="171"/>
      <c r="N64" s="143" t="s">
        <v>32</v>
      </c>
      <c r="O64" s="173">
        <v>4</v>
      </c>
      <c r="P64" s="234">
        <f ca="1">OFFSET($A$1,MATCH(Z62,$A:$A,0)-1,O64)</f>
        <v>2.8</v>
      </c>
      <c r="Q64" s="144" t="s">
        <v>29</v>
      </c>
      <c r="R64" s="118">
        <f t="shared" ca="1" si="13"/>
        <v>373353</v>
      </c>
      <c r="S64" s="118">
        <f t="shared" ca="1" si="13"/>
        <v>1045388</v>
      </c>
      <c r="T64" s="118">
        <f ca="1">특급</f>
        <v>373353</v>
      </c>
      <c r="U64" s="118">
        <f t="shared" ca="1" si="14"/>
        <v>1045388</v>
      </c>
      <c r="V64" s="118"/>
      <c r="W64" s="118"/>
      <c r="X64" s="118"/>
      <c r="Y64" s="118"/>
      <c r="Z64" s="115"/>
    </row>
    <row r="65" spans="11:26" ht="18" customHeight="1">
      <c r="K65" s="171" t="s">
        <v>14</v>
      </c>
      <c r="L65" s="171"/>
      <c r="N65" s="145" t="s">
        <v>39</v>
      </c>
      <c r="O65" s="173">
        <v>5</v>
      </c>
      <c r="P65" s="234">
        <f ca="1">OFFSET($A$1,MATCH(Z62,$A:$A,0)-1,O65)</f>
        <v>3.4</v>
      </c>
      <c r="Q65" s="144" t="s">
        <v>29</v>
      </c>
      <c r="R65" s="118">
        <f t="shared" ca="1" si="13"/>
        <v>310884</v>
      </c>
      <c r="S65" s="118">
        <f t="shared" ca="1" si="13"/>
        <v>1057005</v>
      </c>
      <c r="T65" s="118">
        <f ca="1">고급</f>
        <v>310884</v>
      </c>
      <c r="U65" s="118">
        <f t="shared" ca="1" si="14"/>
        <v>1057005</v>
      </c>
      <c r="V65" s="118"/>
      <c r="W65" s="118"/>
      <c r="X65" s="118"/>
      <c r="Y65" s="118"/>
      <c r="Z65" s="115"/>
    </row>
    <row r="66" spans="11:26" ht="18" customHeight="1">
      <c r="K66" s="171" t="s">
        <v>14</v>
      </c>
      <c r="L66" s="171"/>
      <c r="N66" s="145" t="s">
        <v>40</v>
      </c>
      <c r="O66" s="173">
        <v>6</v>
      </c>
      <c r="P66" s="234">
        <f ca="1">OFFSET($A$1,MATCH(Z62,$A:$A,0)-1,O66)</f>
        <v>10</v>
      </c>
      <c r="Q66" s="144" t="s">
        <v>29</v>
      </c>
      <c r="R66" s="118">
        <f t="shared" ca="1" si="13"/>
        <v>295138</v>
      </c>
      <c r="S66" s="118">
        <f t="shared" ca="1" si="13"/>
        <v>2951380</v>
      </c>
      <c r="T66" s="118">
        <f ca="1">중급</f>
        <v>295138</v>
      </c>
      <c r="U66" s="118">
        <f t="shared" ca="1" si="14"/>
        <v>2951380</v>
      </c>
      <c r="V66" s="118"/>
      <c r="W66" s="118"/>
      <c r="X66" s="118"/>
      <c r="Y66" s="118"/>
      <c r="Z66" s="115"/>
    </row>
    <row r="67" spans="11:26" ht="18" customHeight="1">
      <c r="K67" s="171" t="s">
        <v>14</v>
      </c>
      <c r="L67" s="171"/>
      <c r="N67" s="145" t="s">
        <v>41</v>
      </c>
      <c r="O67" s="173">
        <v>7</v>
      </c>
      <c r="P67" s="234">
        <f ca="1">OFFSET($A$1,MATCH(Z62,$A:$A,0)-1,O67)</f>
        <v>10.1</v>
      </c>
      <c r="Q67" s="144" t="s">
        <v>29</v>
      </c>
      <c r="R67" s="118">
        <f t="shared" ca="1" si="13"/>
        <v>235459</v>
      </c>
      <c r="S67" s="118">
        <f t="shared" ca="1" si="13"/>
        <v>2378135</v>
      </c>
      <c r="T67" s="118">
        <f ca="1">초급</f>
        <v>235459</v>
      </c>
      <c r="U67" s="118">
        <f t="shared" ca="1" si="14"/>
        <v>2378135</v>
      </c>
      <c r="V67" s="118"/>
      <c r="W67" s="118"/>
      <c r="X67" s="118"/>
      <c r="Y67" s="118"/>
      <c r="Z67" s="115"/>
    </row>
    <row r="68" spans="11:26" ht="18" customHeight="1">
      <c r="K68" s="171" t="s">
        <v>14</v>
      </c>
      <c r="L68" s="171"/>
      <c r="N68" s="319" t="s">
        <v>42</v>
      </c>
      <c r="O68" s="174">
        <v>8</v>
      </c>
      <c r="P68" s="235">
        <f ca="1">OFFSET($A$1,MATCH(Z62,$A:$A,0)-1,O68)</f>
        <v>11.4</v>
      </c>
      <c r="Q68" s="322" t="s">
        <v>29</v>
      </c>
      <c r="R68" s="323">
        <f t="shared" ca="1" si="13"/>
        <v>250087</v>
      </c>
      <c r="S68" s="323">
        <f t="shared" ca="1" si="13"/>
        <v>2850991</v>
      </c>
      <c r="T68" s="323">
        <f ca="1">보조원</f>
        <v>250087</v>
      </c>
      <c r="U68" s="323">
        <f t="shared" ca="1" si="14"/>
        <v>2850991</v>
      </c>
      <c r="V68" s="323"/>
      <c r="W68" s="323"/>
      <c r="X68" s="323"/>
      <c r="Y68" s="323"/>
      <c r="Z68" s="324"/>
    </row>
    <row r="69" spans="11:26" ht="18" customHeight="1">
      <c r="K69" s="171" t="s">
        <v>14</v>
      </c>
      <c r="L69" s="171"/>
      <c r="N69" s="139" t="s">
        <v>17</v>
      </c>
      <c r="O69" s="68"/>
      <c r="P69" s="69"/>
      <c r="Q69" s="70"/>
      <c r="R69" s="71"/>
      <c r="S69" s="71">
        <f ca="1">SUBTOTAL(9,S63:S68)</f>
        <v>11030446</v>
      </c>
      <c r="T69" s="71"/>
      <c r="U69" s="71">
        <f ca="1">SUBTOTAL(9,U63:U68)</f>
        <v>11030446</v>
      </c>
      <c r="V69" s="71"/>
      <c r="W69" s="71"/>
      <c r="X69" s="71"/>
      <c r="Y69" s="71"/>
      <c r="Z69" s="68"/>
    </row>
    <row r="70" spans="11:26" ht="18" customHeight="1">
      <c r="K70" s="171" t="s">
        <v>14</v>
      </c>
      <c r="L70" s="171"/>
      <c r="N70" s="318" t="str">
        <f ca="1">"제 " &amp; Z70 &amp; " 호표  "&amp; OFFSET($A$1,MATCH(Z70,$A:$A,0)-1,1)</f>
        <v>제 4 호표  1.4. 건축 관련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4</v>
      </c>
    </row>
    <row r="71" spans="11:26" ht="18" customHeight="1">
      <c r="K71" s="171" t="s">
        <v>14</v>
      </c>
      <c r="L71" s="171"/>
      <c r="N71" s="140" t="s">
        <v>43</v>
      </c>
      <c r="O71" s="172">
        <v>3</v>
      </c>
      <c r="P71" s="219">
        <f ca="1">OFFSET($A$1,MATCH(Z70,$A:$A,0)-1,O71)</f>
        <v>1.6</v>
      </c>
      <c r="Q71" s="141" t="s">
        <v>29</v>
      </c>
      <c r="R71" s="142">
        <f t="shared" ref="R71:S76" ca="1" si="15">T71</f>
        <v>467217</v>
      </c>
      <c r="S71" s="142">
        <f t="shared" ca="1" si="15"/>
        <v>747547</v>
      </c>
      <c r="T71" s="142">
        <f ca="1">기술사</f>
        <v>467217</v>
      </c>
      <c r="U71" s="142">
        <f t="shared" ref="U71:U76" ca="1" si="16">ROUNDDOWN(P71*R71,0)</f>
        <v>747547</v>
      </c>
      <c r="V71" s="142"/>
      <c r="W71" s="142"/>
      <c r="X71" s="142"/>
      <c r="Y71" s="142"/>
      <c r="Z71" s="114"/>
    </row>
    <row r="72" spans="11:26" ht="18" customHeight="1">
      <c r="K72" s="171" t="s">
        <v>14</v>
      </c>
      <c r="L72" s="171"/>
      <c r="N72" s="143" t="s">
        <v>32</v>
      </c>
      <c r="O72" s="173">
        <v>4</v>
      </c>
      <c r="P72" s="234">
        <f ca="1">OFFSET($A$1,MATCH(Z70,$A:$A,0)-1,O72)</f>
        <v>2.8</v>
      </c>
      <c r="Q72" s="144" t="s">
        <v>29</v>
      </c>
      <c r="R72" s="118">
        <f t="shared" ca="1" si="15"/>
        <v>373353</v>
      </c>
      <c r="S72" s="118">
        <f t="shared" ca="1" si="15"/>
        <v>1045388</v>
      </c>
      <c r="T72" s="118">
        <f ca="1">특급</f>
        <v>373353</v>
      </c>
      <c r="U72" s="118">
        <f t="shared" ca="1" si="16"/>
        <v>1045388</v>
      </c>
      <c r="V72" s="118"/>
      <c r="W72" s="118"/>
      <c r="X72" s="118"/>
      <c r="Y72" s="118"/>
      <c r="Z72" s="115"/>
    </row>
    <row r="73" spans="11:26" ht="18" customHeight="1">
      <c r="K73" s="171" t="s">
        <v>14</v>
      </c>
      <c r="L73" s="171"/>
      <c r="N73" s="145" t="s">
        <v>39</v>
      </c>
      <c r="O73" s="173">
        <v>5</v>
      </c>
      <c r="P73" s="234">
        <f ca="1">OFFSET($A$1,MATCH(Z70,$A:$A,0)-1,O73)</f>
        <v>10.199999999999999</v>
      </c>
      <c r="Q73" s="144" t="s">
        <v>29</v>
      </c>
      <c r="R73" s="118">
        <f t="shared" ca="1" si="15"/>
        <v>310884</v>
      </c>
      <c r="S73" s="118">
        <f t="shared" ca="1" si="15"/>
        <v>3171016</v>
      </c>
      <c r="T73" s="118">
        <f ca="1">고급</f>
        <v>310884</v>
      </c>
      <c r="U73" s="118">
        <f t="shared" ca="1" si="16"/>
        <v>3171016</v>
      </c>
      <c r="V73" s="118"/>
      <c r="W73" s="118"/>
      <c r="X73" s="118"/>
      <c r="Y73" s="118"/>
      <c r="Z73" s="115"/>
    </row>
    <row r="74" spans="11:26" ht="18" customHeight="1">
      <c r="K74" s="171" t="s">
        <v>14</v>
      </c>
      <c r="L74" s="171"/>
      <c r="N74" s="145" t="s">
        <v>40</v>
      </c>
      <c r="O74" s="173">
        <v>6</v>
      </c>
      <c r="P74" s="234">
        <f ca="1">OFFSET($A$1,MATCH(Z70,$A:$A,0)-1,O74)</f>
        <v>10</v>
      </c>
      <c r="Q74" s="144" t="s">
        <v>29</v>
      </c>
      <c r="R74" s="118">
        <f t="shared" ca="1" si="15"/>
        <v>295138</v>
      </c>
      <c r="S74" s="118">
        <f t="shared" ca="1" si="15"/>
        <v>2951380</v>
      </c>
      <c r="T74" s="118">
        <f ca="1">중급</f>
        <v>295138</v>
      </c>
      <c r="U74" s="118">
        <f t="shared" ca="1" si="16"/>
        <v>2951380</v>
      </c>
      <c r="V74" s="118"/>
      <c r="W74" s="118"/>
      <c r="X74" s="118"/>
      <c r="Y74" s="118"/>
      <c r="Z74" s="115"/>
    </row>
    <row r="75" spans="11:26" ht="18" customHeight="1">
      <c r="K75" s="171" t="s">
        <v>14</v>
      </c>
      <c r="L75" s="171"/>
      <c r="N75" s="145" t="s">
        <v>41</v>
      </c>
      <c r="O75" s="173">
        <v>7</v>
      </c>
      <c r="P75" s="234">
        <f ca="1">OFFSET($A$1,MATCH(Z70,$A:$A,0)-1,O75)</f>
        <v>10.1</v>
      </c>
      <c r="Q75" s="144" t="s">
        <v>29</v>
      </c>
      <c r="R75" s="118">
        <f t="shared" ca="1" si="15"/>
        <v>235459</v>
      </c>
      <c r="S75" s="118">
        <f t="shared" ca="1" si="15"/>
        <v>2378135</v>
      </c>
      <c r="T75" s="118">
        <f ca="1">초급</f>
        <v>235459</v>
      </c>
      <c r="U75" s="118">
        <f t="shared" ca="1" si="16"/>
        <v>2378135</v>
      </c>
      <c r="V75" s="118"/>
      <c r="W75" s="118"/>
      <c r="X75" s="118"/>
      <c r="Y75" s="118"/>
      <c r="Z75" s="115"/>
    </row>
    <row r="76" spans="11:26" ht="18" customHeight="1">
      <c r="K76" s="171" t="s">
        <v>14</v>
      </c>
      <c r="L76" s="171"/>
      <c r="N76" s="319" t="s">
        <v>42</v>
      </c>
      <c r="O76" s="174">
        <v>8</v>
      </c>
      <c r="P76" s="235">
        <f ca="1">OFFSET($A$1,MATCH(Z70,$A:$A,0)-1,O76)</f>
        <v>11.4</v>
      </c>
      <c r="Q76" s="322" t="s">
        <v>29</v>
      </c>
      <c r="R76" s="323">
        <f t="shared" ca="1" si="15"/>
        <v>250087</v>
      </c>
      <c r="S76" s="323">
        <f t="shared" ca="1" si="15"/>
        <v>2850991</v>
      </c>
      <c r="T76" s="323">
        <f ca="1">보조원</f>
        <v>250087</v>
      </c>
      <c r="U76" s="323">
        <f t="shared" ca="1" si="16"/>
        <v>2850991</v>
      </c>
      <c r="V76" s="323"/>
      <c r="W76" s="323"/>
      <c r="X76" s="323"/>
      <c r="Y76" s="323"/>
      <c r="Z76" s="324"/>
    </row>
    <row r="77" spans="11:26" ht="18" customHeight="1">
      <c r="K77" s="171" t="s">
        <v>14</v>
      </c>
      <c r="L77" s="171"/>
      <c r="N77" s="139" t="s">
        <v>17</v>
      </c>
      <c r="O77" s="68"/>
      <c r="P77" s="69"/>
      <c r="Q77" s="70"/>
      <c r="R77" s="71"/>
      <c r="S77" s="71">
        <f ca="1">SUBTOTAL(9,S71:S76)</f>
        <v>13144457</v>
      </c>
      <c r="T77" s="71"/>
      <c r="U77" s="71">
        <f ca="1">SUBTOTAL(9,U71:U76)</f>
        <v>13144457</v>
      </c>
      <c r="V77" s="71"/>
      <c r="W77" s="71"/>
      <c r="X77" s="71"/>
      <c r="Y77" s="71"/>
      <c r="Z77" s="68"/>
    </row>
    <row r="78" spans="11:26" ht="18" customHeight="1">
      <c r="K78" s="171" t="s">
        <v>14</v>
      </c>
      <c r="L78" s="171"/>
      <c r="N78" s="318" t="str">
        <f ca="1">"제 " &amp; Z78 &amp; " 호표  "&amp; OFFSET($A$1,MATCH(Z78,$A:$A,0)-1,1)</f>
        <v>제 5 호표  1.5. 인구 및 산업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5</v>
      </c>
    </row>
    <row r="79" spans="11:26" ht="18" customHeight="1">
      <c r="K79" s="171" t="s">
        <v>14</v>
      </c>
      <c r="L79" s="171"/>
      <c r="N79" s="140" t="s">
        <v>43</v>
      </c>
      <c r="O79" s="172">
        <v>3</v>
      </c>
      <c r="P79" s="219">
        <f ca="1">OFFSET($A$1,MATCH(Z78,$A:$A,0)-1,O79)</f>
        <v>0.9</v>
      </c>
      <c r="Q79" s="141" t="s">
        <v>29</v>
      </c>
      <c r="R79" s="142">
        <f t="shared" ref="R79:S84" ca="1" si="17">T79</f>
        <v>467217</v>
      </c>
      <c r="S79" s="142">
        <f t="shared" ca="1" si="17"/>
        <v>420495</v>
      </c>
      <c r="T79" s="142">
        <f ca="1">기술사</f>
        <v>467217</v>
      </c>
      <c r="U79" s="142">
        <f t="shared" ref="U79:U84" ca="1" si="18">ROUNDDOWN(P79*R79,0)</f>
        <v>420495</v>
      </c>
      <c r="V79" s="142"/>
      <c r="W79" s="142"/>
      <c r="X79" s="142"/>
      <c r="Y79" s="142"/>
      <c r="Z79" s="114"/>
    </row>
    <row r="80" spans="11:26" ht="18" customHeight="1">
      <c r="K80" s="171" t="s">
        <v>14</v>
      </c>
      <c r="L80" s="171"/>
      <c r="N80" s="143" t="s">
        <v>32</v>
      </c>
      <c r="O80" s="173">
        <v>4</v>
      </c>
      <c r="P80" s="234">
        <f ca="1">OFFSET($A$1,MATCH(Z78,$A:$A,0)-1,O80)</f>
        <v>1.4</v>
      </c>
      <c r="Q80" s="144" t="s">
        <v>29</v>
      </c>
      <c r="R80" s="118">
        <f t="shared" ca="1" si="17"/>
        <v>373353</v>
      </c>
      <c r="S80" s="118">
        <f t="shared" ca="1" si="17"/>
        <v>522694</v>
      </c>
      <c r="T80" s="118">
        <f ca="1">특급</f>
        <v>373353</v>
      </c>
      <c r="U80" s="118">
        <f t="shared" ca="1" si="18"/>
        <v>522694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N81" s="145" t="s">
        <v>39</v>
      </c>
      <c r="O81" s="173">
        <v>5</v>
      </c>
      <c r="P81" s="234">
        <f ca="1">OFFSET($A$1,MATCH(Z78,$A:$A,0)-1,O81)</f>
        <v>10.199999999999999</v>
      </c>
      <c r="Q81" s="144" t="s">
        <v>29</v>
      </c>
      <c r="R81" s="118">
        <f t="shared" ca="1" si="17"/>
        <v>310884</v>
      </c>
      <c r="S81" s="118">
        <f t="shared" ca="1" si="17"/>
        <v>3171016</v>
      </c>
      <c r="T81" s="118">
        <f ca="1">고급</f>
        <v>310884</v>
      </c>
      <c r="U81" s="118">
        <f t="shared" ca="1" si="18"/>
        <v>3171016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N82" s="145" t="s">
        <v>40</v>
      </c>
      <c r="O82" s="173">
        <v>6</v>
      </c>
      <c r="P82" s="234">
        <f ca="1">OFFSET($A$1,MATCH(Z78,$A:$A,0)-1,O82)</f>
        <v>6</v>
      </c>
      <c r="Q82" s="144" t="s">
        <v>29</v>
      </c>
      <c r="R82" s="118">
        <f t="shared" ca="1" si="17"/>
        <v>295138</v>
      </c>
      <c r="S82" s="118">
        <f t="shared" ca="1" si="17"/>
        <v>1770828</v>
      </c>
      <c r="T82" s="118">
        <f ca="1">중급</f>
        <v>295138</v>
      </c>
      <c r="U82" s="118">
        <f t="shared" ca="1" si="18"/>
        <v>1770828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N83" s="145" t="s">
        <v>41</v>
      </c>
      <c r="O83" s="173">
        <v>7</v>
      </c>
      <c r="P83" s="234">
        <f ca="1">OFFSET($A$1,MATCH(Z78,$A:$A,0)-1,O83)</f>
        <v>6.3</v>
      </c>
      <c r="Q83" s="144" t="s">
        <v>29</v>
      </c>
      <c r="R83" s="118">
        <f t="shared" ca="1" si="17"/>
        <v>235459</v>
      </c>
      <c r="S83" s="118">
        <f t="shared" ca="1" si="17"/>
        <v>1483391</v>
      </c>
      <c r="T83" s="118">
        <f ca="1">초급</f>
        <v>235459</v>
      </c>
      <c r="U83" s="118">
        <f t="shared" ca="1" si="18"/>
        <v>1483391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N84" s="319" t="s">
        <v>42</v>
      </c>
      <c r="O84" s="174">
        <v>8</v>
      </c>
      <c r="P84" s="235">
        <f ca="1">OFFSET($A$1,MATCH(Z78,$A:$A,0)-1,O84)</f>
        <v>7.1</v>
      </c>
      <c r="Q84" s="322" t="s">
        <v>29</v>
      </c>
      <c r="R84" s="323">
        <f t="shared" ca="1" si="17"/>
        <v>250087</v>
      </c>
      <c r="S84" s="323">
        <f t="shared" ca="1" si="17"/>
        <v>1775617</v>
      </c>
      <c r="T84" s="323">
        <f ca="1">보조원</f>
        <v>250087</v>
      </c>
      <c r="U84" s="323">
        <f t="shared" ca="1" si="18"/>
        <v>1775617</v>
      </c>
      <c r="V84" s="323"/>
      <c r="W84" s="323"/>
      <c r="X84" s="323"/>
      <c r="Y84" s="323"/>
      <c r="Z84" s="324"/>
    </row>
    <row r="85" spans="11:26" ht="18" customHeight="1">
      <c r="K85" s="171" t="s">
        <v>14</v>
      </c>
      <c r="L85" s="171"/>
      <c r="N85" s="139" t="s">
        <v>17</v>
      </c>
      <c r="O85" s="68"/>
      <c r="P85" s="69"/>
      <c r="Q85" s="70"/>
      <c r="R85" s="71"/>
      <c r="S85" s="71">
        <f ca="1">SUBTOTAL(9,S79:S84)</f>
        <v>9144041</v>
      </c>
      <c r="T85" s="71"/>
      <c r="U85" s="71">
        <f ca="1">SUBTOTAL(9,U79:U84)</f>
        <v>9144041</v>
      </c>
      <c r="V85" s="71"/>
      <c r="W85" s="71"/>
      <c r="X85" s="71"/>
      <c r="Y85" s="71"/>
      <c r="Z85" s="68"/>
    </row>
    <row r="86" spans="11:26" ht="18" customHeight="1">
      <c r="K86" s="171" t="s">
        <v>14</v>
      </c>
      <c r="L86" s="171"/>
      <c r="N86" s="318" t="str">
        <f ca="1">"제 " &amp; Z86 &amp; " 호표  "&amp; OFFSET($A$1,MATCH(Z86,$A:$A,0)-1,1)</f>
        <v>제 6 호표  1.6. 교통시설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6</v>
      </c>
    </row>
    <row r="87" spans="11:26" ht="18" customHeight="1">
      <c r="K87" s="171" t="s">
        <v>14</v>
      </c>
      <c r="L87" s="171"/>
      <c r="N87" s="140" t="s">
        <v>43</v>
      </c>
      <c r="O87" s="172">
        <v>3</v>
      </c>
      <c r="P87" s="219">
        <f ca="1">OFFSET($A$1,MATCH(Z86,$A:$A,0)-1,O87)</f>
        <v>0.9</v>
      </c>
      <c r="Q87" s="141" t="s">
        <v>29</v>
      </c>
      <c r="R87" s="142">
        <f t="shared" ref="R87:S92" ca="1" si="19">T87</f>
        <v>467217</v>
      </c>
      <c r="S87" s="142">
        <f t="shared" ca="1" si="19"/>
        <v>420495</v>
      </c>
      <c r="T87" s="142">
        <f ca="1">기술사</f>
        <v>467217</v>
      </c>
      <c r="U87" s="142">
        <f t="shared" ref="U87:U92" ca="1" si="20">ROUNDDOWN(P87*R87,0)</f>
        <v>420495</v>
      </c>
      <c r="V87" s="142"/>
      <c r="W87" s="142"/>
      <c r="X87" s="142"/>
      <c r="Y87" s="142"/>
      <c r="Z87" s="114"/>
    </row>
    <row r="88" spans="11:26" ht="18" customHeight="1">
      <c r="K88" s="171" t="s">
        <v>14</v>
      </c>
      <c r="L88" s="171"/>
      <c r="N88" s="143" t="s">
        <v>32</v>
      </c>
      <c r="O88" s="173">
        <v>4</v>
      </c>
      <c r="P88" s="234">
        <f ca="1">OFFSET($A$1,MATCH(Z86,$A:$A,0)-1,O88)</f>
        <v>1.4</v>
      </c>
      <c r="Q88" s="144" t="s">
        <v>29</v>
      </c>
      <c r="R88" s="118">
        <f t="shared" ca="1" si="19"/>
        <v>373353</v>
      </c>
      <c r="S88" s="118">
        <f t="shared" ca="1" si="19"/>
        <v>522694</v>
      </c>
      <c r="T88" s="118">
        <f ca="1">특급</f>
        <v>373353</v>
      </c>
      <c r="U88" s="118">
        <f t="shared" ca="1" si="20"/>
        <v>522694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N89" s="145" t="s">
        <v>39</v>
      </c>
      <c r="O89" s="173">
        <v>5</v>
      </c>
      <c r="P89" s="234">
        <f ca="1">OFFSET($A$1,MATCH(Z86,$A:$A,0)-1,O89)</f>
        <v>3.4</v>
      </c>
      <c r="Q89" s="144" t="s">
        <v>29</v>
      </c>
      <c r="R89" s="118">
        <f t="shared" ca="1" si="19"/>
        <v>310884</v>
      </c>
      <c r="S89" s="118">
        <f t="shared" ca="1" si="19"/>
        <v>1057005</v>
      </c>
      <c r="T89" s="118">
        <f ca="1">고급</f>
        <v>310884</v>
      </c>
      <c r="U89" s="118">
        <f t="shared" ca="1" si="20"/>
        <v>1057005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N90" s="145" t="s">
        <v>40</v>
      </c>
      <c r="O90" s="173">
        <v>6</v>
      </c>
      <c r="P90" s="234">
        <f ca="1">OFFSET($A$1,MATCH(Z86,$A:$A,0)-1,O90)</f>
        <v>8</v>
      </c>
      <c r="Q90" s="144" t="s">
        <v>29</v>
      </c>
      <c r="R90" s="118">
        <f t="shared" ca="1" si="19"/>
        <v>295138</v>
      </c>
      <c r="S90" s="118">
        <f t="shared" ca="1" si="19"/>
        <v>2361104</v>
      </c>
      <c r="T90" s="118">
        <f ca="1">중급</f>
        <v>295138</v>
      </c>
      <c r="U90" s="118">
        <f t="shared" ca="1" si="20"/>
        <v>2361104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N91" s="145" t="s">
        <v>41</v>
      </c>
      <c r="O91" s="173">
        <v>7</v>
      </c>
      <c r="P91" s="234">
        <f ca="1">OFFSET($A$1,MATCH(Z86,$A:$A,0)-1,O91)</f>
        <v>8.8000000000000007</v>
      </c>
      <c r="Q91" s="144" t="s">
        <v>29</v>
      </c>
      <c r="R91" s="118">
        <f t="shared" ca="1" si="19"/>
        <v>235459</v>
      </c>
      <c r="S91" s="118">
        <f t="shared" ca="1" si="19"/>
        <v>2072039</v>
      </c>
      <c r="T91" s="118">
        <f ca="1">초급</f>
        <v>235459</v>
      </c>
      <c r="U91" s="118">
        <f t="shared" ca="1" si="20"/>
        <v>2072039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N92" s="319" t="s">
        <v>42</v>
      </c>
      <c r="O92" s="174">
        <v>8</v>
      </c>
      <c r="P92" s="235">
        <f ca="1">OFFSET($A$1,MATCH(Z86,$A:$A,0)-1,O92)</f>
        <v>7.1</v>
      </c>
      <c r="Q92" s="322" t="s">
        <v>29</v>
      </c>
      <c r="R92" s="323">
        <f t="shared" ca="1" si="19"/>
        <v>250087</v>
      </c>
      <c r="S92" s="323">
        <f t="shared" ca="1" si="19"/>
        <v>1775617</v>
      </c>
      <c r="T92" s="323">
        <f ca="1">보조원</f>
        <v>250087</v>
      </c>
      <c r="U92" s="323">
        <f t="shared" ca="1" si="20"/>
        <v>1775617</v>
      </c>
      <c r="V92" s="323"/>
      <c r="W92" s="323"/>
      <c r="X92" s="323"/>
      <c r="Y92" s="323"/>
      <c r="Z92" s="324"/>
    </row>
    <row r="93" spans="11:26" ht="18" customHeight="1">
      <c r="K93" s="171" t="s">
        <v>14</v>
      </c>
      <c r="L93" s="171"/>
      <c r="N93" s="139" t="s">
        <v>17</v>
      </c>
      <c r="O93" s="68"/>
      <c r="P93" s="69"/>
      <c r="Q93" s="70"/>
      <c r="R93" s="71"/>
      <c r="S93" s="71">
        <f ca="1">SUBTOTAL(9,S87:S92)</f>
        <v>8208954</v>
      </c>
      <c r="T93" s="71"/>
      <c r="U93" s="71">
        <f ca="1">SUBTOTAL(9,U87:U92)</f>
        <v>8208954</v>
      </c>
      <c r="V93" s="71"/>
      <c r="W93" s="71"/>
      <c r="X93" s="71"/>
      <c r="Y93" s="71"/>
      <c r="Z93" s="68"/>
    </row>
    <row r="94" spans="11:26" ht="18" customHeight="1">
      <c r="K94" s="171" t="s">
        <v>14</v>
      </c>
      <c r="L94" s="171"/>
      <c r="N94" s="318" t="str">
        <f ca="1">"제 " &amp; Z94 &amp; " 호표  "&amp; OFFSET($A$1,MATCH(Z94,$A:$A,0)-1,1)</f>
        <v>제 7 호표  1.7. 유통 및 공급시설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7</v>
      </c>
    </row>
    <row r="95" spans="11:26" ht="18" customHeight="1">
      <c r="K95" s="171" t="s">
        <v>14</v>
      </c>
      <c r="L95" s="171"/>
      <c r="N95" s="140" t="s">
        <v>43</v>
      </c>
      <c r="O95" s="172">
        <v>3</v>
      </c>
      <c r="P95" s="219">
        <f ca="1">OFFSET($A$1,MATCH(Z94,$A:$A,0)-1,O95)</f>
        <v>0.9</v>
      </c>
      <c r="Q95" s="141" t="s">
        <v>29</v>
      </c>
      <c r="R95" s="142">
        <f t="shared" ref="R95:S100" ca="1" si="21">T95</f>
        <v>467217</v>
      </c>
      <c r="S95" s="142">
        <f t="shared" ca="1" si="21"/>
        <v>420495</v>
      </c>
      <c r="T95" s="142">
        <f ca="1">기술사</f>
        <v>467217</v>
      </c>
      <c r="U95" s="142">
        <f t="shared" ref="U95:U100" ca="1" si="22">ROUNDDOWN(P95*R95,0)</f>
        <v>420495</v>
      </c>
      <c r="V95" s="142"/>
      <c r="W95" s="142"/>
      <c r="X95" s="142"/>
      <c r="Y95" s="142"/>
      <c r="Z95" s="114"/>
    </row>
    <row r="96" spans="11:26" ht="18" customHeight="1">
      <c r="K96" s="171" t="s">
        <v>14</v>
      </c>
      <c r="L96" s="171"/>
      <c r="N96" s="143" t="s">
        <v>32</v>
      </c>
      <c r="O96" s="173">
        <v>4</v>
      </c>
      <c r="P96" s="234">
        <f ca="1">OFFSET($A$1,MATCH(Z94,$A:$A,0)-1,O96)</f>
        <v>1.4</v>
      </c>
      <c r="Q96" s="144" t="s">
        <v>29</v>
      </c>
      <c r="R96" s="118">
        <f t="shared" ca="1" si="21"/>
        <v>373353</v>
      </c>
      <c r="S96" s="118">
        <f t="shared" ca="1" si="21"/>
        <v>522694</v>
      </c>
      <c r="T96" s="118">
        <f ca="1">특급</f>
        <v>373353</v>
      </c>
      <c r="U96" s="118">
        <f t="shared" ca="1" si="22"/>
        <v>522694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145" t="s">
        <v>39</v>
      </c>
      <c r="O97" s="173">
        <v>5</v>
      </c>
      <c r="P97" s="234">
        <f ca="1">OFFSET($A$1,MATCH(Z94,$A:$A,0)-1,O97)</f>
        <v>6.8</v>
      </c>
      <c r="Q97" s="144" t="s">
        <v>29</v>
      </c>
      <c r="R97" s="118">
        <f t="shared" ca="1" si="21"/>
        <v>310884</v>
      </c>
      <c r="S97" s="118">
        <f t="shared" ca="1" si="21"/>
        <v>2114011</v>
      </c>
      <c r="T97" s="118">
        <f ca="1">고급</f>
        <v>310884</v>
      </c>
      <c r="U97" s="118">
        <f t="shared" ca="1" si="22"/>
        <v>2114011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N98" s="145" t="s">
        <v>40</v>
      </c>
      <c r="O98" s="173">
        <v>6</v>
      </c>
      <c r="P98" s="234">
        <f ca="1">OFFSET($A$1,MATCH(Z94,$A:$A,0)-1,O98)</f>
        <v>3</v>
      </c>
      <c r="Q98" s="144" t="s">
        <v>29</v>
      </c>
      <c r="R98" s="118">
        <f t="shared" ca="1" si="21"/>
        <v>295138</v>
      </c>
      <c r="S98" s="118">
        <f t="shared" ca="1" si="21"/>
        <v>885414</v>
      </c>
      <c r="T98" s="118">
        <f ca="1">중급</f>
        <v>295138</v>
      </c>
      <c r="U98" s="118">
        <f t="shared" ca="1" si="22"/>
        <v>885414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N99" s="145" t="s">
        <v>41</v>
      </c>
      <c r="O99" s="173">
        <v>7</v>
      </c>
      <c r="P99" s="234">
        <f ca="1">OFFSET($A$1,MATCH(Z94,$A:$A,0)-1,O99)</f>
        <v>6.3</v>
      </c>
      <c r="Q99" s="144" t="s">
        <v>29</v>
      </c>
      <c r="R99" s="118">
        <f t="shared" ca="1" si="21"/>
        <v>235459</v>
      </c>
      <c r="S99" s="118">
        <f t="shared" ca="1" si="21"/>
        <v>1483391</v>
      </c>
      <c r="T99" s="118">
        <f ca="1">초급</f>
        <v>235459</v>
      </c>
      <c r="U99" s="118">
        <f t="shared" ca="1" si="22"/>
        <v>1483391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N100" s="319" t="s">
        <v>42</v>
      </c>
      <c r="O100" s="174">
        <v>8</v>
      </c>
      <c r="P100" s="235">
        <f ca="1">OFFSET($A$1,MATCH(Z94,$A:$A,0)-1,O100)</f>
        <v>7.1</v>
      </c>
      <c r="Q100" s="322" t="s">
        <v>29</v>
      </c>
      <c r="R100" s="323">
        <f t="shared" ca="1" si="21"/>
        <v>250087</v>
      </c>
      <c r="S100" s="323">
        <f t="shared" ca="1" si="21"/>
        <v>1775617</v>
      </c>
      <c r="T100" s="323">
        <f ca="1">보조원</f>
        <v>250087</v>
      </c>
      <c r="U100" s="323">
        <f t="shared" ca="1" si="22"/>
        <v>1775617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N101" s="139" t="s">
        <v>17</v>
      </c>
      <c r="O101" s="68"/>
      <c r="P101" s="69"/>
      <c r="Q101" s="70"/>
      <c r="R101" s="71"/>
      <c r="S101" s="71">
        <f ca="1">SUBTOTAL(9,S95:S100)</f>
        <v>7201622</v>
      </c>
      <c r="T101" s="71"/>
      <c r="U101" s="71">
        <f ca="1">SUBTOTAL(9,U95:U100)</f>
        <v>7201622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N102" s="318" t="str">
        <f ca="1">"제 " &amp; Z102 &amp; " 호표  "&amp; OFFSET($A$1,MATCH(Z102,$A:$A,0)-1,1)</f>
        <v>제 8 호표  1.8. 공간시설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8</v>
      </c>
    </row>
    <row r="103" spans="11:26" ht="18" customHeight="1">
      <c r="K103" s="171" t="s">
        <v>14</v>
      </c>
      <c r="L103" s="171"/>
      <c r="N103" s="140" t="s">
        <v>43</v>
      </c>
      <c r="O103" s="172">
        <v>3</v>
      </c>
      <c r="P103" s="219">
        <f ca="1">OFFSET($A$1,MATCH(Z102,$A:$A,0)-1,O103)</f>
        <v>0.9</v>
      </c>
      <c r="Q103" s="141" t="s">
        <v>29</v>
      </c>
      <c r="R103" s="142">
        <f t="shared" ref="R103:S108" ca="1" si="23">T103</f>
        <v>467217</v>
      </c>
      <c r="S103" s="142">
        <f t="shared" ca="1" si="23"/>
        <v>420495</v>
      </c>
      <c r="T103" s="142">
        <f ca="1">기술사</f>
        <v>467217</v>
      </c>
      <c r="U103" s="142">
        <f t="shared" ref="U103:U108" ca="1" si="24">ROUNDDOWN(P103*R103,0)</f>
        <v>420495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N104" s="143" t="s">
        <v>32</v>
      </c>
      <c r="O104" s="173">
        <v>4</v>
      </c>
      <c r="P104" s="234">
        <f ca="1">OFFSET($A$1,MATCH(Z102,$A:$A,0)-1,O104)</f>
        <v>1.4</v>
      </c>
      <c r="Q104" s="144" t="s">
        <v>29</v>
      </c>
      <c r="R104" s="118">
        <f t="shared" ca="1" si="23"/>
        <v>373353</v>
      </c>
      <c r="S104" s="118">
        <f t="shared" ca="1" si="23"/>
        <v>522694</v>
      </c>
      <c r="T104" s="118">
        <f ca="1">특급</f>
        <v>373353</v>
      </c>
      <c r="U104" s="118">
        <f t="shared" ca="1" si="24"/>
        <v>522694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145" t="s">
        <v>39</v>
      </c>
      <c r="O105" s="173">
        <v>5</v>
      </c>
      <c r="P105" s="234">
        <f ca="1">OFFSET($A$1,MATCH(Z102,$A:$A,0)-1,O105)</f>
        <v>3.4</v>
      </c>
      <c r="Q105" s="144" t="s">
        <v>29</v>
      </c>
      <c r="R105" s="118">
        <f t="shared" ca="1" si="23"/>
        <v>310884</v>
      </c>
      <c r="S105" s="118">
        <f t="shared" ca="1" si="23"/>
        <v>1057005</v>
      </c>
      <c r="T105" s="118">
        <f ca="1">고급</f>
        <v>310884</v>
      </c>
      <c r="U105" s="118">
        <f t="shared" ca="1" si="24"/>
        <v>1057005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N106" s="145" t="s">
        <v>40</v>
      </c>
      <c r="O106" s="173">
        <v>6</v>
      </c>
      <c r="P106" s="234">
        <f ca="1">OFFSET($A$1,MATCH(Z102,$A:$A,0)-1,O106)</f>
        <v>3</v>
      </c>
      <c r="Q106" s="144" t="s">
        <v>29</v>
      </c>
      <c r="R106" s="118">
        <f t="shared" ca="1" si="23"/>
        <v>295138</v>
      </c>
      <c r="S106" s="118">
        <f t="shared" ca="1" si="23"/>
        <v>885414</v>
      </c>
      <c r="T106" s="118">
        <f ca="1">중급</f>
        <v>295138</v>
      </c>
      <c r="U106" s="118">
        <f t="shared" ca="1" si="24"/>
        <v>885414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N107" s="145" t="s">
        <v>41</v>
      </c>
      <c r="O107" s="173">
        <v>7</v>
      </c>
      <c r="P107" s="234">
        <f ca="1">OFFSET($A$1,MATCH(Z102,$A:$A,0)-1,O107)</f>
        <v>5.6</v>
      </c>
      <c r="Q107" s="144" t="s">
        <v>29</v>
      </c>
      <c r="R107" s="118">
        <f t="shared" ca="1" si="23"/>
        <v>235459</v>
      </c>
      <c r="S107" s="118">
        <f t="shared" ca="1" si="23"/>
        <v>1318570</v>
      </c>
      <c r="T107" s="118">
        <f ca="1">초급</f>
        <v>235459</v>
      </c>
      <c r="U107" s="118">
        <f t="shared" ca="1" si="24"/>
        <v>1318570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N108" s="319" t="s">
        <v>42</v>
      </c>
      <c r="O108" s="174">
        <v>8</v>
      </c>
      <c r="P108" s="235">
        <f ca="1">OFFSET($A$1,MATCH(Z102,$A:$A,0)-1,O108)</f>
        <v>4.3</v>
      </c>
      <c r="Q108" s="322" t="s">
        <v>29</v>
      </c>
      <c r="R108" s="323">
        <f t="shared" ca="1" si="23"/>
        <v>250087</v>
      </c>
      <c r="S108" s="323">
        <f t="shared" ca="1" si="23"/>
        <v>1075374</v>
      </c>
      <c r="T108" s="323">
        <f ca="1">보조원</f>
        <v>250087</v>
      </c>
      <c r="U108" s="323">
        <f t="shared" ca="1" si="24"/>
        <v>1075374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N109" s="139" t="s">
        <v>17</v>
      </c>
      <c r="O109" s="68"/>
      <c r="P109" s="69"/>
      <c r="Q109" s="70"/>
      <c r="R109" s="71"/>
      <c r="S109" s="71">
        <f ca="1">SUBTOTAL(9,S103:S108)</f>
        <v>5279552</v>
      </c>
      <c r="T109" s="71"/>
      <c r="U109" s="71">
        <f ca="1">SUBTOTAL(9,U103:U108)</f>
        <v>5279552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N110" s="318" t="str">
        <f ca="1">"제 " &amp; Z110 &amp; " 호표  "&amp; OFFSET($A$1,MATCH(Z110,$A:$A,0)-1,1)</f>
        <v>제 9 호표  1.9. 재정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9</v>
      </c>
    </row>
    <row r="111" spans="11:26" ht="18" customHeight="1">
      <c r="K111" s="171" t="s">
        <v>14</v>
      </c>
      <c r="L111" s="171"/>
      <c r="N111" s="140" t="s">
        <v>43</v>
      </c>
      <c r="O111" s="172">
        <v>3</v>
      </c>
      <c r="P111" s="219">
        <f ca="1">OFFSET($A$1,MATCH(Z110,$A:$A,0)-1,O111)</f>
        <v>0.9</v>
      </c>
      <c r="Q111" s="141" t="s">
        <v>29</v>
      </c>
      <c r="R111" s="142">
        <f t="shared" ref="R111:S116" ca="1" si="25">T111</f>
        <v>467217</v>
      </c>
      <c r="S111" s="142">
        <f t="shared" ca="1" si="25"/>
        <v>420495</v>
      </c>
      <c r="T111" s="142">
        <f ca="1">기술사</f>
        <v>467217</v>
      </c>
      <c r="U111" s="142">
        <f t="shared" ref="U111:U116" ca="1" si="26">ROUNDDOWN(P111*R111,0)</f>
        <v>420495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N112" s="143" t="s">
        <v>32</v>
      </c>
      <c r="O112" s="173">
        <v>4</v>
      </c>
      <c r="P112" s="234">
        <f ca="1">OFFSET($A$1,MATCH(Z110,$A:$A,0)-1,O112)</f>
        <v>1.4</v>
      </c>
      <c r="Q112" s="144" t="s">
        <v>29</v>
      </c>
      <c r="R112" s="118">
        <f t="shared" ca="1" si="25"/>
        <v>373353</v>
      </c>
      <c r="S112" s="118">
        <f t="shared" ca="1" si="25"/>
        <v>522694</v>
      </c>
      <c r="T112" s="118">
        <f ca="1">특급</f>
        <v>373353</v>
      </c>
      <c r="U112" s="118">
        <f t="shared" ca="1" si="26"/>
        <v>522694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145" t="s">
        <v>39</v>
      </c>
      <c r="O113" s="173">
        <v>5</v>
      </c>
      <c r="P113" s="234">
        <f ca="1">OFFSET($A$1,MATCH(Z110,$A:$A,0)-1,O113)</f>
        <v>3.4</v>
      </c>
      <c r="Q113" s="144" t="s">
        <v>29</v>
      </c>
      <c r="R113" s="118">
        <f t="shared" ca="1" si="25"/>
        <v>310884</v>
      </c>
      <c r="S113" s="118">
        <f t="shared" ca="1" si="25"/>
        <v>1057005</v>
      </c>
      <c r="T113" s="118">
        <f ca="1">고급</f>
        <v>310884</v>
      </c>
      <c r="U113" s="118">
        <f t="shared" ca="1" si="26"/>
        <v>1057005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N114" s="145" t="s">
        <v>40</v>
      </c>
      <c r="O114" s="173">
        <v>6</v>
      </c>
      <c r="P114" s="234">
        <f ca="1">OFFSET($A$1,MATCH(Z110,$A:$A,0)-1,O114)</f>
        <v>3</v>
      </c>
      <c r="Q114" s="144" t="s">
        <v>29</v>
      </c>
      <c r="R114" s="118">
        <f t="shared" ca="1" si="25"/>
        <v>295138</v>
      </c>
      <c r="S114" s="118">
        <f t="shared" ca="1" si="25"/>
        <v>885414</v>
      </c>
      <c r="T114" s="118">
        <f ca="1">중급</f>
        <v>295138</v>
      </c>
      <c r="U114" s="118">
        <f t="shared" ca="1" si="26"/>
        <v>885414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N115" s="145" t="s">
        <v>41</v>
      </c>
      <c r="O115" s="173">
        <v>7</v>
      </c>
      <c r="P115" s="234">
        <f ca="1">OFFSET($A$1,MATCH(Z110,$A:$A,0)-1,O115)</f>
        <v>5.6</v>
      </c>
      <c r="Q115" s="144" t="s">
        <v>29</v>
      </c>
      <c r="R115" s="118">
        <f t="shared" ca="1" si="25"/>
        <v>235459</v>
      </c>
      <c r="S115" s="118">
        <f t="shared" ca="1" si="25"/>
        <v>1318570</v>
      </c>
      <c r="T115" s="118">
        <f ca="1">초급</f>
        <v>235459</v>
      </c>
      <c r="U115" s="118">
        <f t="shared" ca="1" si="26"/>
        <v>1318570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N116" s="319" t="s">
        <v>42</v>
      </c>
      <c r="O116" s="174">
        <v>8</v>
      </c>
      <c r="P116" s="235">
        <f ca="1">OFFSET($A$1,MATCH(Z110,$A:$A,0)-1,O116)</f>
        <v>4.3</v>
      </c>
      <c r="Q116" s="322" t="s">
        <v>29</v>
      </c>
      <c r="R116" s="323">
        <f t="shared" ca="1" si="25"/>
        <v>250087</v>
      </c>
      <c r="S116" s="323">
        <f t="shared" ca="1" si="25"/>
        <v>1075374</v>
      </c>
      <c r="T116" s="323">
        <f ca="1">보조원</f>
        <v>250087</v>
      </c>
      <c r="U116" s="323">
        <f t="shared" ca="1" si="26"/>
        <v>1075374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N117" s="139" t="s">
        <v>17</v>
      </c>
      <c r="O117" s="68"/>
      <c r="P117" s="69"/>
      <c r="Q117" s="70"/>
      <c r="R117" s="71"/>
      <c r="S117" s="71">
        <f ca="1">SUBTOTAL(9,S111:S116)</f>
        <v>5279552</v>
      </c>
      <c r="T117" s="71"/>
      <c r="U117" s="71">
        <f ca="1">SUBTOTAL(9,U111:U116)</f>
        <v>5279552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N118" s="318" t="str">
        <f ca="1">"제 " &amp; Z118 &amp; " 호표  "&amp; OFFSET($A$1,MATCH(Z118,$A:$A,0)-1,1)</f>
        <v>제 10 호표  1.10. GIS구축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10</v>
      </c>
    </row>
    <row r="119" spans="11:26" ht="18" customHeight="1">
      <c r="K119" s="171" t="s">
        <v>14</v>
      </c>
      <c r="L119" s="171"/>
      <c r="N119" s="140" t="s">
        <v>43</v>
      </c>
      <c r="O119" s="172">
        <v>3</v>
      </c>
      <c r="P119" s="219">
        <f ca="1">OFFSET($A$1,MATCH(Z118,$A:$A,0)-1,O119)</f>
        <v>3.5</v>
      </c>
      <c r="Q119" s="141" t="s">
        <v>29</v>
      </c>
      <c r="R119" s="142">
        <f t="shared" ref="R119:S124" ca="1" si="27">T119</f>
        <v>467217</v>
      </c>
      <c r="S119" s="142">
        <f t="shared" ca="1" si="27"/>
        <v>1635259</v>
      </c>
      <c r="T119" s="142">
        <f ca="1">기술사</f>
        <v>467217</v>
      </c>
      <c r="U119" s="142">
        <f t="shared" ref="U119:U124" ca="1" si="28">ROUNDDOWN(P119*R119,0)</f>
        <v>1635259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N120" s="143" t="s">
        <v>32</v>
      </c>
      <c r="O120" s="173">
        <v>4</v>
      </c>
      <c r="P120" s="234">
        <f ca="1">OFFSET($A$1,MATCH(Z118,$A:$A,0)-1,O120)</f>
        <v>5.6</v>
      </c>
      <c r="Q120" s="144" t="s">
        <v>29</v>
      </c>
      <c r="R120" s="118">
        <f t="shared" ca="1" si="27"/>
        <v>373353</v>
      </c>
      <c r="S120" s="118">
        <f t="shared" ca="1" si="27"/>
        <v>2090776</v>
      </c>
      <c r="T120" s="118">
        <f ca="1">특급</f>
        <v>373353</v>
      </c>
      <c r="U120" s="118">
        <f t="shared" ca="1" si="28"/>
        <v>2090776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145" t="s">
        <v>39</v>
      </c>
      <c r="O121" s="173">
        <v>5</v>
      </c>
      <c r="P121" s="234">
        <f ca="1">OFFSET($A$1,MATCH(Z118,$A:$A,0)-1,O121)</f>
        <v>20.399999999999999</v>
      </c>
      <c r="Q121" s="144" t="s">
        <v>29</v>
      </c>
      <c r="R121" s="118">
        <f t="shared" ca="1" si="27"/>
        <v>310884</v>
      </c>
      <c r="S121" s="118">
        <f t="shared" ca="1" si="27"/>
        <v>6342033</v>
      </c>
      <c r="T121" s="118">
        <f ca="1">고급</f>
        <v>310884</v>
      </c>
      <c r="U121" s="118">
        <f t="shared" ca="1" si="28"/>
        <v>6342033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N122" s="145" t="s">
        <v>40</v>
      </c>
      <c r="O122" s="173">
        <v>6</v>
      </c>
      <c r="P122" s="234">
        <f ca="1">OFFSET($A$1,MATCH(Z118,$A:$A,0)-1,O122)</f>
        <v>40</v>
      </c>
      <c r="Q122" s="144" t="s">
        <v>29</v>
      </c>
      <c r="R122" s="118">
        <f t="shared" ca="1" si="27"/>
        <v>295138</v>
      </c>
      <c r="S122" s="118">
        <f t="shared" ca="1" si="27"/>
        <v>11805520</v>
      </c>
      <c r="T122" s="118">
        <f ca="1">중급</f>
        <v>295138</v>
      </c>
      <c r="U122" s="118">
        <f t="shared" ca="1" si="28"/>
        <v>11805520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N123" s="145" t="s">
        <v>41</v>
      </c>
      <c r="O123" s="173">
        <v>7</v>
      </c>
      <c r="P123" s="234">
        <f ca="1">OFFSET($A$1,MATCH(Z118,$A:$A,0)-1,O123)</f>
        <v>40.6</v>
      </c>
      <c r="Q123" s="144" t="s">
        <v>29</v>
      </c>
      <c r="R123" s="118">
        <f t="shared" ca="1" si="27"/>
        <v>235459</v>
      </c>
      <c r="S123" s="118">
        <f t="shared" ca="1" si="27"/>
        <v>9559635</v>
      </c>
      <c r="T123" s="118">
        <f ca="1">초급</f>
        <v>235459</v>
      </c>
      <c r="U123" s="118">
        <f t="shared" ca="1" si="28"/>
        <v>9559635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N124" s="319" t="s">
        <v>42</v>
      </c>
      <c r="O124" s="174">
        <v>8</v>
      </c>
      <c r="P124" s="235">
        <f ca="1">OFFSET($A$1,MATCH(Z118,$A:$A,0)-1,O124)</f>
        <v>46.2</v>
      </c>
      <c r="Q124" s="322" t="s">
        <v>29</v>
      </c>
      <c r="R124" s="323">
        <f t="shared" ca="1" si="27"/>
        <v>250087</v>
      </c>
      <c r="S124" s="323">
        <f t="shared" ca="1" si="27"/>
        <v>11554019</v>
      </c>
      <c r="T124" s="323">
        <f ca="1">보조원</f>
        <v>250087</v>
      </c>
      <c r="U124" s="323">
        <f t="shared" ca="1" si="28"/>
        <v>11554019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N125" s="139" t="s">
        <v>17</v>
      </c>
      <c r="O125" s="68"/>
      <c r="P125" s="69"/>
      <c r="Q125" s="70"/>
      <c r="R125" s="71"/>
      <c r="S125" s="71">
        <f ca="1">SUBTOTAL(9,S119:S124)</f>
        <v>42987242</v>
      </c>
      <c r="T125" s="71"/>
      <c r="U125" s="71">
        <f ca="1">SUBTOTAL(9,U119:U124)</f>
        <v>42987242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N126" s="318" t="str">
        <f ca="1">"제 " &amp; Z126 &amp; " 호표  "&amp; OFFSET($A$1,MATCH(Z126,$A:$A,0)-1,1)</f>
        <v>제 11 호표  2.1. 보고서 작성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11</v>
      </c>
    </row>
    <row r="127" spans="11:26" ht="18" customHeight="1">
      <c r="K127" s="171" t="s">
        <v>14</v>
      </c>
      <c r="L127" s="171"/>
      <c r="N127" s="140" t="s">
        <v>43</v>
      </c>
      <c r="O127" s="172">
        <v>3</v>
      </c>
      <c r="P127" s="219">
        <f ca="1">OFFSET($A$1,MATCH(Z126,$A:$A,0)-1,O127)</f>
        <v>0.2</v>
      </c>
      <c r="Q127" s="141" t="s">
        <v>29</v>
      </c>
      <c r="R127" s="142">
        <f t="shared" ref="R127:S132" ca="1" si="29">T127</f>
        <v>467217</v>
      </c>
      <c r="S127" s="142">
        <f t="shared" ca="1" si="29"/>
        <v>93443</v>
      </c>
      <c r="T127" s="142">
        <f ca="1">기술사</f>
        <v>467217</v>
      </c>
      <c r="U127" s="142">
        <f t="shared" ref="U127:U132" ca="1" si="30">ROUNDDOWN(P127*R127,0)</f>
        <v>93443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N128" s="143" t="s">
        <v>32</v>
      </c>
      <c r="O128" s="173">
        <v>4</v>
      </c>
      <c r="P128" s="234">
        <f ca="1">OFFSET($A$1,MATCH(Z126,$A:$A,0)-1,O128)</f>
        <v>0.3</v>
      </c>
      <c r="Q128" s="144" t="s">
        <v>29</v>
      </c>
      <c r="R128" s="118">
        <f t="shared" ca="1" si="29"/>
        <v>373353</v>
      </c>
      <c r="S128" s="118">
        <f t="shared" ca="1" si="29"/>
        <v>112005</v>
      </c>
      <c r="T128" s="118">
        <f ca="1">특급</f>
        <v>373353</v>
      </c>
      <c r="U128" s="118">
        <f t="shared" ca="1" si="30"/>
        <v>112005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N129" s="145" t="s">
        <v>39</v>
      </c>
      <c r="O129" s="173">
        <v>5</v>
      </c>
      <c r="P129" s="234">
        <f ca="1">OFFSET($A$1,MATCH(Z126,$A:$A,0)-1,O129)</f>
        <v>0.8</v>
      </c>
      <c r="Q129" s="144" t="s">
        <v>29</v>
      </c>
      <c r="R129" s="118">
        <f t="shared" ca="1" si="29"/>
        <v>310884</v>
      </c>
      <c r="S129" s="118">
        <f t="shared" ca="1" si="29"/>
        <v>248707</v>
      </c>
      <c r="T129" s="118">
        <f ca="1">고급</f>
        <v>310884</v>
      </c>
      <c r="U129" s="118">
        <f t="shared" ca="1" si="30"/>
        <v>248707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N130" s="145" t="s">
        <v>40</v>
      </c>
      <c r="O130" s="173">
        <v>6</v>
      </c>
      <c r="P130" s="234">
        <f ca="1">OFFSET($A$1,MATCH(Z126,$A:$A,0)-1,O130)</f>
        <v>1.5</v>
      </c>
      <c r="Q130" s="144" t="s">
        <v>29</v>
      </c>
      <c r="R130" s="118">
        <f t="shared" ca="1" si="29"/>
        <v>295138</v>
      </c>
      <c r="S130" s="118">
        <f t="shared" ca="1" si="29"/>
        <v>442707</v>
      </c>
      <c r="T130" s="118">
        <f ca="1">중급</f>
        <v>295138</v>
      </c>
      <c r="U130" s="118">
        <f t="shared" ca="1" si="30"/>
        <v>442707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N131" s="145" t="s">
        <v>41</v>
      </c>
      <c r="O131" s="173">
        <v>7</v>
      </c>
      <c r="P131" s="234">
        <f ca="1">OFFSET($A$1,MATCH(Z126,$A:$A,0)-1,O131)</f>
        <v>1.6</v>
      </c>
      <c r="Q131" s="144" t="s">
        <v>29</v>
      </c>
      <c r="R131" s="118">
        <f t="shared" ca="1" si="29"/>
        <v>235459</v>
      </c>
      <c r="S131" s="118">
        <f t="shared" ca="1" si="29"/>
        <v>376734</v>
      </c>
      <c r="T131" s="118">
        <f ca="1">초급</f>
        <v>235459</v>
      </c>
      <c r="U131" s="118">
        <f t="shared" ca="1" si="30"/>
        <v>376734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N132" s="319" t="s">
        <v>42</v>
      </c>
      <c r="O132" s="174">
        <v>8</v>
      </c>
      <c r="P132" s="235">
        <f ca="1">OFFSET($A$1,MATCH(Z126,$A:$A,0)-1,O132)</f>
        <v>1.7</v>
      </c>
      <c r="Q132" s="322" t="s">
        <v>29</v>
      </c>
      <c r="R132" s="323">
        <f t="shared" ca="1" si="29"/>
        <v>250087</v>
      </c>
      <c r="S132" s="323">
        <f t="shared" ca="1" si="29"/>
        <v>425147</v>
      </c>
      <c r="T132" s="323">
        <f ca="1">보조원</f>
        <v>250087</v>
      </c>
      <c r="U132" s="323">
        <f t="shared" ca="1" si="30"/>
        <v>425147</v>
      </c>
      <c r="V132" s="323"/>
      <c r="W132" s="323"/>
      <c r="X132" s="323"/>
      <c r="Y132" s="323"/>
      <c r="Z132" s="324"/>
    </row>
    <row r="133" spans="11:26" ht="18" customHeight="1">
      <c r="K133" s="171" t="s">
        <v>14</v>
      </c>
      <c r="L133" s="171"/>
      <c r="N133" s="139" t="s">
        <v>17</v>
      </c>
      <c r="O133" s="68"/>
      <c r="P133" s="69"/>
      <c r="Q133" s="70"/>
      <c r="R133" s="71"/>
      <c r="S133" s="71">
        <f ca="1">SUBTOTAL(9,S127:S132)</f>
        <v>1698743</v>
      </c>
      <c r="T133" s="71"/>
      <c r="U133" s="71">
        <f ca="1">SUBTOTAL(9,U127:U132)</f>
        <v>1698743</v>
      </c>
      <c r="V133" s="71"/>
      <c r="W133" s="71"/>
      <c r="X133" s="71"/>
      <c r="Y133" s="71"/>
      <c r="Z133" s="68"/>
    </row>
    <row r="134" spans="11:26" ht="18" customHeight="1">
      <c r="K134" s="171" t="s">
        <v>14</v>
      </c>
      <c r="L134" s="171"/>
      <c r="N134" s="318" t="str">
        <f ca="1">"제 " &amp; Z134 &amp; " 호표  "&amp; OFFSET($A$1,MATCH(Z134,$A:$A,0)-1,1)</f>
        <v>제 12 호표  2.2. 관련도서작성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12</v>
      </c>
    </row>
    <row r="135" spans="11:26" ht="18" customHeight="1">
      <c r="K135" s="171" t="s">
        <v>14</v>
      </c>
      <c r="L135" s="171"/>
      <c r="N135" s="140" t="s">
        <v>43</v>
      </c>
      <c r="O135" s="172">
        <v>3</v>
      </c>
      <c r="P135" s="219">
        <f ca="1">OFFSET($A$1,MATCH(Z134,$A:$A,0)-1,O135)</f>
        <v>0.1</v>
      </c>
      <c r="Q135" s="141" t="s">
        <v>29</v>
      </c>
      <c r="R135" s="142">
        <f t="shared" ref="R135:S140" ca="1" si="31">T135</f>
        <v>467217</v>
      </c>
      <c r="S135" s="142">
        <f t="shared" ca="1" si="31"/>
        <v>46721</v>
      </c>
      <c r="T135" s="142">
        <f ca="1">기술사</f>
        <v>467217</v>
      </c>
      <c r="U135" s="142">
        <f t="shared" ref="U135:U140" ca="1" si="32">ROUNDDOWN(P135*R135,0)</f>
        <v>46721</v>
      </c>
      <c r="V135" s="142"/>
      <c r="W135" s="142"/>
      <c r="X135" s="142"/>
      <c r="Y135" s="142"/>
      <c r="Z135" s="114"/>
    </row>
    <row r="136" spans="11:26" ht="18" customHeight="1">
      <c r="K136" s="171" t="s">
        <v>14</v>
      </c>
      <c r="L136" s="171"/>
      <c r="N136" s="143" t="s">
        <v>32</v>
      </c>
      <c r="O136" s="173">
        <v>4</v>
      </c>
      <c r="P136" s="234">
        <f ca="1">OFFSET($A$1,MATCH(Z134,$A:$A,0)-1,O136)</f>
        <v>0.2</v>
      </c>
      <c r="Q136" s="144" t="s">
        <v>29</v>
      </c>
      <c r="R136" s="118">
        <f t="shared" ca="1" si="31"/>
        <v>373353</v>
      </c>
      <c r="S136" s="118">
        <f t="shared" ca="1" si="31"/>
        <v>74670</v>
      </c>
      <c r="T136" s="118">
        <f ca="1">특급</f>
        <v>373353</v>
      </c>
      <c r="U136" s="118">
        <f t="shared" ca="1" si="32"/>
        <v>74670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N137" s="145" t="s">
        <v>39</v>
      </c>
      <c r="O137" s="173">
        <v>5</v>
      </c>
      <c r="P137" s="234">
        <f ca="1">OFFSET($A$1,MATCH(Z134,$A:$A,0)-1,O137)</f>
        <v>0.4</v>
      </c>
      <c r="Q137" s="144" t="s">
        <v>29</v>
      </c>
      <c r="R137" s="118">
        <f t="shared" ca="1" si="31"/>
        <v>310884</v>
      </c>
      <c r="S137" s="118">
        <f t="shared" ca="1" si="31"/>
        <v>124353</v>
      </c>
      <c r="T137" s="118">
        <f ca="1">고급</f>
        <v>310884</v>
      </c>
      <c r="U137" s="118">
        <f t="shared" ca="1" si="32"/>
        <v>124353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N138" s="145" t="s">
        <v>40</v>
      </c>
      <c r="O138" s="173">
        <v>6</v>
      </c>
      <c r="P138" s="234">
        <f ca="1">OFFSET($A$1,MATCH(Z134,$A:$A,0)-1,O138)</f>
        <v>0.7</v>
      </c>
      <c r="Q138" s="144" t="s">
        <v>29</v>
      </c>
      <c r="R138" s="118">
        <f t="shared" ca="1" si="31"/>
        <v>295138</v>
      </c>
      <c r="S138" s="118">
        <f t="shared" ca="1" si="31"/>
        <v>206596</v>
      </c>
      <c r="T138" s="118">
        <f ca="1">중급</f>
        <v>295138</v>
      </c>
      <c r="U138" s="118">
        <f t="shared" ca="1" si="32"/>
        <v>206596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N139" s="145" t="s">
        <v>41</v>
      </c>
      <c r="O139" s="173">
        <v>7</v>
      </c>
      <c r="P139" s="234">
        <f ca="1">OFFSET($A$1,MATCH(Z134,$A:$A,0)-1,O139)</f>
        <v>2.4</v>
      </c>
      <c r="Q139" s="144" t="s">
        <v>29</v>
      </c>
      <c r="R139" s="118">
        <f t="shared" ca="1" si="31"/>
        <v>235459</v>
      </c>
      <c r="S139" s="118">
        <f t="shared" ca="1" si="31"/>
        <v>565101</v>
      </c>
      <c r="T139" s="118">
        <f ca="1">초급</f>
        <v>235459</v>
      </c>
      <c r="U139" s="118">
        <f t="shared" ca="1" si="32"/>
        <v>565101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N140" s="319" t="s">
        <v>42</v>
      </c>
      <c r="O140" s="174">
        <v>8</v>
      </c>
      <c r="P140" s="235">
        <f ca="1">OFFSET($A$1,MATCH(Z134,$A:$A,0)-1,O140)</f>
        <v>2.6</v>
      </c>
      <c r="Q140" s="322" t="s">
        <v>29</v>
      </c>
      <c r="R140" s="323">
        <f t="shared" ca="1" si="31"/>
        <v>250087</v>
      </c>
      <c r="S140" s="323">
        <f t="shared" ca="1" si="31"/>
        <v>650226</v>
      </c>
      <c r="T140" s="323">
        <f ca="1">보조원</f>
        <v>250087</v>
      </c>
      <c r="U140" s="323">
        <f t="shared" ca="1" si="32"/>
        <v>650226</v>
      </c>
      <c r="V140" s="323"/>
      <c r="W140" s="323"/>
      <c r="X140" s="323"/>
      <c r="Y140" s="323"/>
      <c r="Z140" s="324"/>
    </row>
    <row r="141" spans="11:26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1667667</v>
      </c>
      <c r="T141" s="71"/>
      <c r="U141" s="71">
        <f ca="1">SUBTOTAL(9,U135:U140)</f>
        <v>1667667</v>
      </c>
      <c r="V141" s="71"/>
      <c r="W141" s="71"/>
      <c r="X141" s="71"/>
      <c r="Y141" s="71"/>
      <c r="Z141" s="68"/>
    </row>
    <row r="142" spans="11:26" ht="18" customHeight="1">
      <c r="K142" s="171" t="s">
        <v>14</v>
      </c>
      <c r="L142" s="171"/>
      <c r="M142" s="171"/>
      <c r="R142" s="1"/>
      <c r="S142" s="1"/>
      <c r="T142" s="1"/>
      <c r="U142" s="1"/>
      <c r="V142" s="1"/>
      <c r="W142" s="1"/>
      <c r="X142" s="1"/>
      <c r="Y142" s="1"/>
    </row>
    <row r="143" spans="11:26" ht="18" customHeight="1">
      <c r="K143" s="171" t="s">
        <v>14</v>
      </c>
      <c r="L143" s="171"/>
      <c r="M143" s="171"/>
      <c r="R143" s="1"/>
      <c r="S143" s="1"/>
      <c r="T143" s="1"/>
      <c r="U143" s="1"/>
      <c r="V143" s="1"/>
      <c r="W143" s="1"/>
      <c r="X143" s="1"/>
      <c r="Y143" s="1"/>
    </row>
    <row r="144" spans="11:26" ht="18" customHeight="1">
      <c r="K144" s="171" t="s">
        <v>14</v>
      </c>
      <c r="L144" s="171"/>
      <c r="M144" s="171"/>
      <c r="R144" s="1"/>
      <c r="S144" s="1"/>
      <c r="T144" s="1"/>
      <c r="U144" s="1"/>
      <c r="V144" s="1"/>
      <c r="W144" s="1"/>
      <c r="X144" s="1"/>
      <c r="Y144" s="1"/>
    </row>
    <row r="145" spans="11:25" ht="18" customHeight="1">
      <c r="K145" s="171" t="s">
        <v>14</v>
      </c>
      <c r="L145" s="171"/>
      <c r="M145" s="171"/>
      <c r="R145" s="1"/>
      <c r="S145" s="1"/>
      <c r="T145" s="1"/>
      <c r="U145" s="1"/>
      <c r="V145" s="1"/>
      <c r="W145" s="1"/>
      <c r="X145" s="1"/>
      <c r="Y145" s="1"/>
    </row>
    <row r="146" spans="11:25" ht="18" customHeight="1">
      <c r="K146" s="171" t="s">
        <v>14</v>
      </c>
      <c r="L146" s="171"/>
      <c r="M146" s="171"/>
      <c r="R146" s="1"/>
      <c r="S146" s="1"/>
      <c r="T146" s="1"/>
      <c r="U146" s="1"/>
      <c r="V146" s="1"/>
      <c r="W146" s="1"/>
      <c r="X146" s="1"/>
      <c r="Y146" s="1"/>
    </row>
    <row r="147" spans="11:25" ht="18" customHeight="1">
      <c r="K147" s="171" t="s">
        <v>14</v>
      </c>
      <c r="L147" s="171"/>
      <c r="M147" s="171"/>
    </row>
    <row r="148" spans="11:25" ht="18" customHeight="1">
      <c r="K148" s="171" t="s">
        <v>14</v>
      </c>
      <c r="L148" s="171"/>
      <c r="M148" s="171"/>
    </row>
    <row r="149" spans="11:25" ht="18" customHeight="1">
      <c r="K149" s="171" t="s">
        <v>14</v>
      </c>
      <c r="L149" s="171"/>
      <c r="M149" s="171"/>
    </row>
    <row r="150" spans="11:25" ht="18" customHeight="1">
      <c r="K150" s="171" t="s">
        <v>14</v>
      </c>
      <c r="L150" s="171"/>
      <c r="M150" s="171"/>
    </row>
    <row r="151" spans="11:25" ht="18" customHeight="1">
      <c r="K151" s="171" t="s">
        <v>14</v>
      </c>
      <c r="L151" s="171"/>
      <c r="M151" s="171"/>
    </row>
    <row r="152" spans="11:25" ht="18" customHeight="1">
      <c r="K152" s="171" t="s">
        <v>14</v>
      </c>
      <c r="L152" s="171"/>
      <c r="M152" s="171"/>
    </row>
    <row r="153" spans="11:25" ht="18" customHeight="1">
      <c r="K153" s="171" t="s">
        <v>14</v>
      </c>
      <c r="L153" s="171"/>
      <c r="M153" s="171"/>
    </row>
    <row r="154" spans="11:25" ht="18" customHeight="1">
      <c r="K154" s="171" t="s">
        <v>14</v>
      </c>
      <c r="L154" s="171"/>
      <c r="M154" s="171"/>
    </row>
    <row r="155" spans="11:25" ht="18" customHeight="1">
      <c r="K155" s="171" t="s">
        <v>14</v>
      </c>
      <c r="L155" s="171"/>
      <c r="M155" s="171"/>
    </row>
    <row r="156" spans="11:25" ht="18" customHeight="1">
      <c r="K156" s="171" t="s">
        <v>14</v>
      </c>
      <c r="L156" s="171"/>
      <c r="M156" s="171"/>
    </row>
    <row r="157" spans="11:25" ht="18" customHeight="1">
      <c r="K157" s="171" t="s">
        <v>14</v>
      </c>
      <c r="L157" s="171"/>
      <c r="M157" s="171"/>
    </row>
    <row r="158" spans="11:25" ht="18" customHeight="1">
      <c r="K158" s="171" t="s">
        <v>14</v>
      </c>
      <c r="L158" s="171"/>
      <c r="M158" s="171"/>
    </row>
    <row r="159" spans="11:25" ht="18" customHeight="1">
      <c r="K159" s="171" t="s">
        <v>14</v>
      </c>
      <c r="L159" s="171"/>
      <c r="M159" s="171"/>
    </row>
    <row r="160" spans="11:25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L819" s="171"/>
      <c r="M819" s="171"/>
    </row>
    <row r="820" spans="11:13" ht="18" customHeight="1">
      <c r="L820" s="171"/>
      <c r="M820" s="171"/>
    </row>
    <row r="821" spans="11:13" ht="18" customHeight="1">
      <c r="L821" s="171"/>
      <c r="M821" s="171"/>
    </row>
    <row r="822" spans="11:13" ht="18" customHeight="1">
      <c r="M822" s="171"/>
    </row>
    <row r="823" spans="11:13" ht="18" customHeight="1">
      <c r="M823" s="171"/>
    </row>
    <row r="824" spans="11:13" ht="18" customHeight="1">
      <c r="M824" s="171"/>
    </row>
    <row r="825" spans="11:13" ht="18" customHeight="1">
      <c r="M825" s="171"/>
    </row>
    <row r="826" spans="11:13" ht="18" customHeight="1">
      <c r="M826" s="171"/>
    </row>
    <row r="827" spans="11:13" ht="18" customHeight="1">
      <c r="M827" s="171"/>
    </row>
    <row r="828" spans="11:13" ht="18" customHeight="1">
      <c r="M828" s="171"/>
    </row>
    <row r="829" spans="11:13" ht="18" customHeight="1">
      <c r="M829" s="171"/>
    </row>
  </sheetData>
  <mergeCells count="14">
    <mergeCell ref="Z44:Z45"/>
    <mergeCell ref="B11:C12"/>
    <mergeCell ref="J11:J12"/>
    <mergeCell ref="L11:L12"/>
    <mergeCell ref="P44:P45"/>
    <mergeCell ref="Q44:Q45"/>
    <mergeCell ref="N44:N45"/>
    <mergeCell ref="O44:O45"/>
    <mergeCell ref="B3:C3"/>
    <mergeCell ref="B4:C4"/>
    <mergeCell ref="B5:C5"/>
    <mergeCell ref="D3:E3"/>
    <mergeCell ref="D4:E4"/>
    <mergeCell ref="D5:E5"/>
  </mergeCells>
  <phoneticPr fontId="3" type="noConversion"/>
  <conditionalFormatting sqref="V13:V27">
    <cfRule type="cellIs" dxfId="18" priority="5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58" r:id="rId4" name="Drop Down 18">
              <controlPr defaultSize="0" autoLine="0" autoPict="0">
                <anchor moveWithCells="1">
                  <from>
                    <xdr:col>4</xdr:col>
                    <xdr:colOff>457200</xdr:colOff>
                    <xdr:row>0</xdr:row>
                    <xdr:rowOff>152400</xdr:rowOff>
                  </from>
                  <to>
                    <xdr:col>8</xdr:col>
                    <xdr:colOff>571500</xdr:colOff>
                    <xdr:row>1</xdr:row>
                    <xdr:rowOff>171450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codeName="Sheet91">
    <tabColor theme="5" tint="0.39997558519241921"/>
    <pageSetUpPr fitToPage="1"/>
  </sheetPr>
  <dimension ref="A1:AB830"/>
  <sheetViews>
    <sheetView showGridLines="0" topLeftCell="A25" zoomScale="85" zoomScaleNormal="85" zoomScaleSheetLayoutView="75" workbookViewId="0">
      <selection activeCell="D50" sqref="D50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9" width="11.832031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630</v>
      </c>
    </row>
    <row r="2" spans="1:27" ht="19.5" thickBot="1">
      <c r="B2" s="66" t="s">
        <v>1</v>
      </c>
    </row>
    <row r="3" spans="1:27" ht="18" customHeight="1">
      <c r="B3" s="773" t="s">
        <v>48</v>
      </c>
      <c r="C3" s="774"/>
      <c r="D3" s="809">
        <v>10</v>
      </c>
      <c r="E3" s="810"/>
      <c r="F3" s="44" t="s">
        <v>393</v>
      </c>
      <c r="G3" s="838" t="s">
        <v>1104</v>
      </c>
      <c r="H3" s="839"/>
      <c r="I3" s="656">
        <v>2</v>
      </c>
      <c r="J3" s="669" t="s">
        <v>794</v>
      </c>
    </row>
    <row r="4" spans="1:27" ht="18" customHeight="1">
      <c r="B4" s="777" t="s">
        <v>54</v>
      </c>
      <c r="C4" s="778"/>
      <c r="D4" s="811">
        <v>9.9</v>
      </c>
      <c r="E4" s="812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7" ht="18" customHeight="1" thickBot="1">
      <c r="B5" s="781" t="s">
        <v>631</v>
      </c>
      <c r="C5" s="782"/>
      <c r="D5" s="783">
        <f>ROUND((IF(D4&lt;=3,3,D4)/D3)^0.2,3)</f>
        <v>0.998</v>
      </c>
      <c r="E5" s="813"/>
      <c r="F5" s="244"/>
      <c r="G5" s="817" t="s">
        <v>1102</v>
      </c>
      <c r="H5" s="818"/>
      <c r="I5" s="746">
        <f>ROUND(I4/I3,3)</f>
        <v>1</v>
      </c>
      <c r="J5" s="671"/>
      <c r="U5" s="6">
        <f t="array" aca="1" ref="U5" ca="1">SUM((N74:N177=N81)*S74:S177)</f>
        <v>44024571</v>
      </c>
    </row>
    <row r="6" spans="1:27" ht="18" customHeight="1">
      <c r="B6" s="1" t="s">
        <v>2661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7" ht="18" customHeight="1">
      <c r="B7" s="1" t="s">
        <v>2660</v>
      </c>
      <c r="G7" s="9"/>
      <c r="W7" s="188" t="s">
        <v>3</v>
      </c>
      <c r="X7" s="189"/>
    </row>
    <row r="8" spans="1:27" ht="18" customHeight="1" thickBot="1">
      <c r="B8" s="66" t="s">
        <v>4</v>
      </c>
      <c r="C8" s="9"/>
      <c r="D8" s="64"/>
      <c r="E8" s="64"/>
      <c r="G8" s="36"/>
      <c r="N8" s="66" t="s">
        <v>5</v>
      </c>
    </row>
    <row r="9" spans="1:27" ht="18" customHeight="1" thickBot="1"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SUBTOTAL(9,W10:W48)</f>
        <v>242360277</v>
      </c>
      <c r="X9" s="187"/>
      <c r="Y9" s="177"/>
      <c r="Z9" s="167"/>
    </row>
    <row r="10" spans="1:27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SUBTOTAL(9,W11:W45)</f>
        <v>89602067</v>
      </c>
      <c r="X10" s="164"/>
      <c r="Y10" s="178" t="s">
        <v>9</v>
      </c>
      <c r="Z10" s="179"/>
    </row>
    <row r="11" spans="1:27" ht="18" customHeight="1" thickBot="1">
      <c r="A11" s="326"/>
      <c r="B11" s="759"/>
      <c r="C11" s="760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218"/>
      <c r="W11" s="159">
        <f ca="1">SUBTOTAL(9,W12:W41)</f>
        <v>85102067</v>
      </c>
      <c r="X11" s="160"/>
      <c r="Y11" s="168"/>
      <c r="Z11" s="168"/>
    </row>
    <row r="12" spans="1:27" ht="18" customHeight="1">
      <c r="A12" s="355"/>
      <c r="B12" s="73" t="s">
        <v>525</v>
      </c>
      <c r="C12" s="72"/>
      <c r="D12" s="30">
        <f t="shared" ref="D12:I12" si="0">SUBTOTAL(9,D13:D14)</f>
        <v>0.5</v>
      </c>
      <c r="E12" s="31">
        <f t="shared" si="0"/>
        <v>1</v>
      </c>
      <c r="F12" s="31">
        <f t="shared" si="0"/>
        <v>1.4</v>
      </c>
      <c r="G12" s="31">
        <f t="shared" si="0"/>
        <v>1.8</v>
      </c>
      <c r="H12" s="31">
        <f t="shared" si="0"/>
        <v>1.6</v>
      </c>
      <c r="I12" s="32">
        <f t="shared" si="0"/>
        <v>0.8</v>
      </c>
      <c r="J12" s="678"/>
      <c r="L12" s="232"/>
      <c r="N12" s="354" t="str">
        <f>B12</f>
        <v>1. 현황조사</v>
      </c>
      <c r="O12" s="169"/>
      <c r="P12" s="169"/>
      <c r="Q12" s="169"/>
      <c r="R12" s="169"/>
      <c r="S12" s="169"/>
      <c r="T12" s="169"/>
      <c r="U12" s="226"/>
      <c r="V12" s="248"/>
      <c r="W12" s="193">
        <f ca="1">SUBTOTAL(9,W13:W14)</f>
        <v>2144636</v>
      </c>
      <c r="X12" s="194"/>
      <c r="Y12" s="170" t="str">
        <f>IF(A46&gt;0, "제 " &amp;A46&amp; " 호표","")</f>
        <v/>
      </c>
      <c r="Z12" s="170"/>
      <c r="AA12" s="229"/>
    </row>
    <row r="13" spans="1:27" ht="18" customHeight="1">
      <c r="A13" s="355"/>
      <c r="B13" s="409" t="s">
        <v>2638</v>
      </c>
      <c r="C13" s="237"/>
      <c r="D13" s="20">
        <v>0.3</v>
      </c>
      <c r="E13" s="21">
        <v>0.6</v>
      </c>
      <c r="F13" s="21">
        <v>1</v>
      </c>
      <c r="G13" s="21">
        <v>1</v>
      </c>
      <c r="H13" s="21">
        <v>0.8</v>
      </c>
      <c r="I13" s="22">
        <v>0.4</v>
      </c>
      <c r="J13" s="389" t="s">
        <v>2659</v>
      </c>
      <c r="L13" s="233">
        <v>1</v>
      </c>
      <c r="N13" s="292" t="str">
        <f t="shared" ref="N13:N41" si="1">B13</f>
        <v>1.1. 도시·군관리계획의 개요</v>
      </c>
      <c r="O13" s="37"/>
      <c r="P13" s="37"/>
      <c r="Q13" s="37"/>
      <c r="R13" s="37"/>
      <c r="S13" s="37"/>
      <c r="T13" s="37"/>
      <c r="U13" s="227"/>
      <c r="V13" s="231"/>
      <c r="W13" s="153">
        <f t="array" aca="1" ref="W13" ca="1">SUM((ROUNDDOWN((D44:I44)*단가,0)))</f>
        <v>1255451</v>
      </c>
      <c r="X13" s="154"/>
      <c r="Y13" s="170" t="str">
        <f>IF(A44&gt;0, "제 " &amp;A44&amp; " 호표","")</f>
        <v>제 1 호표</v>
      </c>
      <c r="Z13" s="150"/>
    </row>
    <row r="14" spans="1:27" ht="18" customHeight="1">
      <c r="A14" s="355"/>
      <c r="B14" s="409" t="s">
        <v>2639</v>
      </c>
      <c r="C14" s="237"/>
      <c r="D14" s="20">
        <v>0.2</v>
      </c>
      <c r="E14" s="21">
        <v>0.4</v>
      </c>
      <c r="F14" s="21">
        <v>0.4</v>
      </c>
      <c r="G14" s="21">
        <v>0.8</v>
      </c>
      <c r="H14" s="21">
        <v>0.8</v>
      </c>
      <c r="I14" s="22">
        <v>0.4</v>
      </c>
      <c r="J14" s="389" t="s">
        <v>1090</v>
      </c>
      <c r="L14" s="233">
        <v>1</v>
      </c>
      <c r="N14" s="292" t="str">
        <f t="shared" si="1"/>
        <v>1.2. 환경현황 조사·분석</v>
      </c>
      <c r="O14" s="37"/>
      <c r="P14" s="37"/>
      <c r="Q14" s="37"/>
      <c r="R14" s="37"/>
      <c r="S14" s="37"/>
      <c r="T14" s="37"/>
      <c r="U14" s="227"/>
      <c r="V14" s="231"/>
      <c r="W14" s="153">
        <f t="array" aca="1" ref="W14" ca="1">SUM((ROUNDDOWN((D45:I45)*단가,0)))</f>
        <v>889185</v>
      </c>
      <c r="X14" s="154"/>
      <c r="Y14" s="170" t="str">
        <f t="shared" ref="Y14:Y41" si="2">IF(A45&gt;0, "제 " &amp;A45&amp; " 호표","")</f>
        <v>제 2 호표</v>
      </c>
      <c r="Z14" s="150"/>
    </row>
    <row r="15" spans="1:27" ht="18" customHeight="1">
      <c r="A15" s="355"/>
      <c r="B15" s="222" t="s">
        <v>632</v>
      </c>
      <c r="C15" s="47"/>
      <c r="D15" s="33">
        <f t="shared" ref="D15:I15" si="3">SUBTOTAL(9,D16:D17)</f>
        <v>3.8000000000000003</v>
      </c>
      <c r="E15" s="34">
        <f t="shared" si="3"/>
        <v>7.6000000000000005</v>
      </c>
      <c r="F15" s="34">
        <f t="shared" si="3"/>
        <v>13</v>
      </c>
      <c r="G15" s="34">
        <f t="shared" si="3"/>
        <v>22.5</v>
      </c>
      <c r="H15" s="34">
        <f t="shared" si="3"/>
        <v>18.7</v>
      </c>
      <c r="I15" s="35">
        <f t="shared" si="3"/>
        <v>9.2999999999999989</v>
      </c>
      <c r="J15" s="594"/>
      <c r="L15" s="233"/>
      <c r="N15" s="79" t="str">
        <f t="shared" si="1"/>
        <v>2. 대안설정</v>
      </c>
      <c r="O15" s="37"/>
      <c r="P15" s="37"/>
      <c r="Q15" s="37"/>
      <c r="R15" s="37"/>
      <c r="S15" s="37"/>
      <c r="T15" s="37"/>
      <c r="U15" s="227"/>
      <c r="V15" s="231"/>
      <c r="W15" s="193">
        <f ca="1">SUBTOTAL(9,W16:W17)</f>
        <v>21977794</v>
      </c>
      <c r="X15" s="154"/>
      <c r="Y15" s="170" t="str">
        <f t="shared" si="2"/>
        <v/>
      </c>
      <c r="Z15" s="150"/>
    </row>
    <row r="16" spans="1:27" ht="18" customHeight="1">
      <c r="A16" s="355"/>
      <c r="B16" s="409" t="s">
        <v>2640</v>
      </c>
      <c r="C16" s="409"/>
      <c r="D16" s="20">
        <v>0.1</v>
      </c>
      <c r="E16" s="21">
        <v>0.2</v>
      </c>
      <c r="F16" s="21">
        <v>0.2</v>
      </c>
      <c r="G16" s="21">
        <v>0.3</v>
      </c>
      <c r="H16" s="21">
        <v>0.4</v>
      </c>
      <c r="I16" s="22">
        <v>0.2</v>
      </c>
      <c r="J16" s="389" t="s">
        <v>1090</v>
      </c>
      <c r="L16" s="233">
        <v>1</v>
      </c>
      <c r="N16" s="292" t="str">
        <f t="shared" si="1"/>
        <v>2.1. 검토항목 설정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SUM((ROUNDDOWN((D47:I47)*단가,0)))</f>
        <v>414377</v>
      </c>
      <c r="X16" s="154"/>
      <c r="Y16" s="170" t="str">
        <f t="shared" si="2"/>
        <v>제 3 호표</v>
      </c>
      <c r="Z16" s="150"/>
    </row>
    <row r="17" spans="1:26" ht="18" customHeight="1">
      <c r="A17" s="355"/>
      <c r="B17" s="410" t="s">
        <v>2641</v>
      </c>
      <c r="C17" s="410"/>
      <c r="D17" s="24">
        <v>3.7</v>
      </c>
      <c r="E17" s="25">
        <v>7.4</v>
      </c>
      <c r="F17" s="25">
        <v>12.8</v>
      </c>
      <c r="G17" s="25">
        <v>22.2</v>
      </c>
      <c r="H17" s="25">
        <v>18.3</v>
      </c>
      <c r="I17" s="26">
        <v>9.1</v>
      </c>
      <c r="J17" s="443" t="s">
        <v>1090</v>
      </c>
      <c r="L17" s="233">
        <v>1</v>
      </c>
      <c r="N17" s="292" t="str">
        <f t="shared" si="1"/>
        <v>2.2. 대안의 설정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SUM((ROUNDDOWN((D48:I48)*단가,0)))</f>
        <v>21563417</v>
      </c>
      <c r="X17" s="154"/>
      <c r="Y17" s="170" t="str">
        <f t="shared" si="2"/>
        <v>제 4 호표</v>
      </c>
      <c r="Z17" s="150"/>
    </row>
    <row r="18" spans="1:26" ht="18" customHeight="1">
      <c r="A18" s="355"/>
      <c r="B18" s="252" t="s">
        <v>633</v>
      </c>
      <c r="C18" s="252"/>
      <c r="D18" s="30">
        <f t="shared" ref="D18:I18" si="4">SUBTOTAL(9,D19:D27)</f>
        <v>2.1999999999999997</v>
      </c>
      <c r="E18" s="31">
        <f t="shared" si="4"/>
        <v>18.900000000000002</v>
      </c>
      <c r="F18" s="31">
        <f t="shared" si="4"/>
        <v>18.600000000000001</v>
      </c>
      <c r="G18" s="31">
        <f t="shared" si="4"/>
        <v>12.499999999999998</v>
      </c>
      <c r="H18" s="31">
        <f t="shared" si="4"/>
        <v>7.4</v>
      </c>
      <c r="I18" s="32">
        <f t="shared" si="4"/>
        <v>2.6000000000000005</v>
      </c>
      <c r="J18" s="653"/>
      <c r="L18" s="233"/>
      <c r="N18" s="79" t="str">
        <f t="shared" si="1"/>
        <v>3. 환경영향</v>
      </c>
      <c r="O18" s="37"/>
      <c r="P18" s="37"/>
      <c r="Q18" s="37"/>
      <c r="R18" s="37"/>
      <c r="S18" s="37"/>
      <c r="T18" s="37"/>
      <c r="U18" s="227"/>
      <c r="V18" s="231"/>
      <c r="W18" s="193">
        <f ca="1">SUBTOTAL(9,W19:W27)</f>
        <v>19902141</v>
      </c>
      <c r="X18" s="154"/>
      <c r="Y18" s="170" t="str">
        <f t="shared" si="2"/>
        <v/>
      </c>
      <c r="Z18" s="150"/>
    </row>
    <row r="19" spans="1:26" ht="18" customHeight="1">
      <c r="A19" s="355"/>
      <c r="B19" s="223" t="s">
        <v>2642</v>
      </c>
      <c r="C19" s="237"/>
      <c r="D19" s="20">
        <v>0.2</v>
      </c>
      <c r="E19" s="21">
        <v>0.4</v>
      </c>
      <c r="F19" s="21">
        <v>0.7</v>
      </c>
      <c r="G19" s="21">
        <v>1.5</v>
      </c>
      <c r="H19" s="21">
        <v>1.8</v>
      </c>
      <c r="I19" s="22">
        <v>0.9</v>
      </c>
      <c r="J19" s="389" t="s">
        <v>1090</v>
      </c>
      <c r="L19" s="233">
        <v>1</v>
      </c>
      <c r="N19" s="292" t="str">
        <f t="shared" si="1"/>
        <v>3.1. 계획의 적정성 및 입지의 타당성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SUM((ROUNDDOWN((D50:I50)*단가,0)))</f>
        <v>1548223</v>
      </c>
      <c r="X19" s="154"/>
      <c r="Y19" s="170" t="str">
        <f t="shared" si="2"/>
        <v>제 5 호표</v>
      </c>
      <c r="Z19" s="150"/>
    </row>
    <row r="20" spans="1:26" ht="18" customHeight="1">
      <c r="A20" s="355"/>
      <c r="B20" s="223" t="s">
        <v>2643</v>
      </c>
      <c r="C20" s="237"/>
      <c r="D20" s="20">
        <v>0.1</v>
      </c>
      <c r="E20" s="21">
        <v>6</v>
      </c>
      <c r="F20" s="21">
        <v>5.2</v>
      </c>
      <c r="G20" s="21">
        <v>2.7</v>
      </c>
      <c r="H20" s="21">
        <v>1</v>
      </c>
      <c r="I20" s="22">
        <v>0.1</v>
      </c>
      <c r="J20" s="389" t="s">
        <v>1090</v>
      </c>
      <c r="L20" s="233">
        <v>1</v>
      </c>
      <c r="N20" s="292" t="str">
        <f t="shared" si="1"/>
        <v>3.2. 생물다양성 서식지 보전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SUM((ROUNDDOWN((D51:I51)*단가,0)))</f>
        <v>4949915</v>
      </c>
      <c r="X20" s="154"/>
      <c r="Y20" s="170" t="str">
        <f t="shared" si="2"/>
        <v>제 6 호표</v>
      </c>
      <c r="Z20" s="150"/>
    </row>
    <row r="21" spans="1:26" ht="18" customHeight="1">
      <c r="A21" s="355"/>
      <c r="B21" s="223" t="s">
        <v>2644</v>
      </c>
      <c r="C21" s="237"/>
      <c r="D21" s="20">
        <v>0.1</v>
      </c>
      <c r="E21" s="21">
        <v>4.5</v>
      </c>
      <c r="F21" s="21">
        <v>3.7</v>
      </c>
      <c r="G21" s="21">
        <v>2</v>
      </c>
      <c r="H21" s="21">
        <v>1</v>
      </c>
      <c r="I21" s="22">
        <v>0.1</v>
      </c>
      <c r="J21" s="389" t="s">
        <v>1090</v>
      </c>
      <c r="L21" s="233">
        <v>1</v>
      </c>
      <c r="N21" s="292" t="str">
        <f t="shared" si="1"/>
        <v>3.3. 지형 및 생태계 보전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SUM((ROUNDDOWN((D52:I52)*단가,0)))</f>
        <v>3719606</v>
      </c>
      <c r="X21" s="154"/>
      <c r="Y21" s="170" t="str">
        <f t="shared" si="2"/>
        <v>제 7 호표</v>
      </c>
      <c r="Z21" s="150"/>
    </row>
    <row r="22" spans="1:26" ht="18" customHeight="1">
      <c r="A22" s="355"/>
      <c r="B22" s="223" t="s">
        <v>2645</v>
      </c>
      <c r="C22" s="237"/>
      <c r="D22" s="20">
        <v>0.1</v>
      </c>
      <c r="E22" s="21">
        <v>3</v>
      </c>
      <c r="F22" s="21">
        <v>2.5</v>
      </c>
      <c r="G22" s="21">
        <v>1</v>
      </c>
      <c r="H22" s="21">
        <v>0.5</v>
      </c>
      <c r="I22" s="22">
        <v>0.1</v>
      </c>
      <c r="J22" s="389" t="s">
        <v>1090</v>
      </c>
      <c r="L22" s="233">
        <v>1</v>
      </c>
      <c r="N22" s="292" t="str">
        <f t="shared" si="1"/>
        <v>3.4. 주변 자연경관에 미치는 영향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SUM((ROUNDDOWN((D53:I53)*단가,0)))</f>
        <v>2376526</v>
      </c>
      <c r="X22" s="154"/>
      <c r="Y22" s="170" t="str">
        <f t="shared" si="2"/>
        <v>제 8 호표</v>
      </c>
      <c r="Z22" s="150"/>
    </row>
    <row r="23" spans="1:26" ht="18" customHeight="1">
      <c r="A23" s="355"/>
      <c r="B23" s="223" t="s">
        <v>2646</v>
      </c>
      <c r="C23" s="237"/>
      <c r="D23" s="20">
        <v>0.1</v>
      </c>
      <c r="E23" s="21">
        <v>2.7</v>
      </c>
      <c r="F23" s="21">
        <v>3</v>
      </c>
      <c r="G23" s="21">
        <v>1.7</v>
      </c>
      <c r="H23" s="21">
        <v>0.5</v>
      </c>
      <c r="I23" s="22">
        <v>0.1</v>
      </c>
      <c r="J23" s="389" t="s">
        <v>1090</v>
      </c>
      <c r="L23" s="233">
        <v>1</v>
      </c>
      <c r="N23" s="292" t="str">
        <f t="shared" si="1"/>
        <v>3.5. 수환경의 보전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SUM((ROUNDDOWN((D54:I54)*단가,0)))</f>
        <v>2625658</v>
      </c>
      <c r="X23" s="154"/>
      <c r="Y23" s="170" t="str">
        <f t="shared" si="2"/>
        <v>제 9 호표</v>
      </c>
      <c r="Z23" s="150"/>
    </row>
    <row r="24" spans="1:26" ht="18" customHeight="1">
      <c r="A24" s="355"/>
      <c r="B24" s="223" t="s">
        <v>2647</v>
      </c>
      <c r="C24" s="237"/>
      <c r="D24" s="20">
        <v>0.1</v>
      </c>
      <c r="E24" s="21">
        <v>0.5</v>
      </c>
      <c r="F24" s="21">
        <v>0.5</v>
      </c>
      <c r="G24" s="21">
        <v>0.2</v>
      </c>
      <c r="H24" s="21">
        <v>0.2</v>
      </c>
      <c r="I24" s="22">
        <v>0.1</v>
      </c>
      <c r="J24" s="389" t="s">
        <v>1090</v>
      </c>
      <c r="L24" s="233">
        <v>1</v>
      </c>
      <c r="N24" s="292" t="str">
        <f t="shared" si="1"/>
        <v>3.6. 환경기준 부합성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SUM((ROUNDDOWN((D55:I55)*단가,0)))</f>
        <v>518034</v>
      </c>
      <c r="X24" s="154"/>
      <c r="Y24" s="170" t="str">
        <f t="shared" si="2"/>
        <v>제 10 호표</v>
      </c>
      <c r="Z24" s="150"/>
    </row>
    <row r="25" spans="1:26" ht="18" customHeight="1">
      <c r="A25" s="355"/>
      <c r="B25" s="223" t="s">
        <v>2648</v>
      </c>
      <c r="C25" s="237"/>
      <c r="D25" s="20">
        <v>0.1</v>
      </c>
      <c r="E25" s="21">
        <v>0.5</v>
      </c>
      <c r="F25" s="21">
        <v>0.5</v>
      </c>
      <c r="G25" s="21">
        <v>0.2</v>
      </c>
      <c r="H25" s="21">
        <v>0.2</v>
      </c>
      <c r="I25" s="22">
        <v>0.1</v>
      </c>
      <c r="J25" s="389" t="s">
        <v>1090</v>
      </c>
      <c r="L25" s="233">
        <v>1</v>
      </c>
      <c r="N25" s="292" t="str">
        <f t="shared" si="1"/>
        <v>3.7. 환경기초시설의 적정성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SUM((ROUNDDOWN((D56:I56)*단가,0)))</f>
        <v>518034</v>
      </c>
      <c r="X25" s="154"/>
      <c r="Y25" s="170" t="str">
        <f t="shared" si="2"/>
        <v>제 11 호표</v>
      </c>
      <c r="Z25" s="150"/>
    </row>
    <row r="26" spans="1:26" ht="18" customHeight="1">
      <c r="A26" s="355"/>
      <c r="B26" s="223" t="s">
        <v>2649</v>
      </c>
      <c r="C26" s="237"/>
      <c r="D26" s="20">
        <v>1</v>
      </c>
      <c r="E26" s="21">
        <v>0.5</v>
      </c>
      <c r="F26" s="21">
        <v>0.5</v>
      </c>
      <c r="G26" s="21">
        <v>0.2</v>
      </c>
      <c r="H26" s="21">
        <v>0.2</v>
      </c>
      <c r="I26" s="22">
        <v>0.1</v>
      </c>
      <c r="J26" s="389" t="s">
        <v>1090</v>
      </c>
      <c r="L26" s="233">
        <v>1</v>
      </c>
      <c r="N26" s="292" t="str">
        <f t="shared" si="1"/>
        <v>3.8. 자원, 에너지 순환의 효율성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SUM((ROUNDDOWN((D57:I57)*단가,0)))</f>
        <v>938062</v>
      </c>
      <c r="X26" s="154"/>
      <c r="Y26" s="170" t="str">
        <f t="shared" si="2"/>
        <v>제 12 호표</v>
      </c>
      <c r="Z26" s="150"/>
    </row>
    <row r="27" spans="1:26" ht="18" customHeight="1">
      <c r="A27" s="355"/>
      <c r="B27" s="223" t="s">
        <v>2650</v>
      </c>
      <c r="C27" s="237"/>
      <c r="D27" s="20">
        <v>0.4</v>
      </c>
      <c r="E27" s="21">
        <v>0.8</v>
      </c>
      <c r="F27" s="21">
        <v>2</v>
      </c>
      <c r="G27" s="21">
        <v>3</v>
      </c>
      <c r="H27" s="21">
        <v>2</v>
      </c>
      <c r="I27" s="22">
        <v>1</v>
      </c>
      <c r="J27" s="389" t="s">
        <v>1090</v>
      </c>
      <c r="L27" s="233">
        <v>1</v>
      </c>
      <c r="N27" s="292" t="str">
        <f t="shared" si="1"/>
        <v>3.9. 환경영향분석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SUM((ROUNDDOWN((D58:I58)*단가,0)))</f>
        <v>2708083</v>
      </c>
      <c r="X27" s="154"/>
      <c r="Y27" s="170" t="str">
        <f t="shared" si="2"/>
        <v>제 13 호표</v>
      </c>
      <c r="Z27" s="150"/>
    </row>
    <row r="28" spans="1:26" ht="18" customHeight="1">
      <c r="A28" s="355"/>
      <c r="B28" s="222" t="s">
        <v>634</v>
      </c>
      <c r="C28" s="47"/>
      <c r="D28" s="33">
        <f t="shared" ref="D28:I28" si="5">SUBTOTAL(9,D29)</f>
        <v>1.7</v>
      </c>
      <c r="E28" s="34">
        <f t="shared" si="5"/>
        <v>3.3</v>
      </c>
      <c r="F28" s="34">
        <f t="shared" si="5"/>
        <v>4.9000000000000004</v>
      </c>
      <c r="G28" s="34">
        <f t="shared" si="5"/>
        <v>5.7</v>
      </c>
      <c r="H28" s="34">
        <f t="shared" si="5"/>
        <v>2.1</v>
      </c>
      <c r="I28" s="35">
        <f t="shared" si="5"/>
        <v>1</v>
      </c>
      <c r="J28" s="620"/>
      <c r="L28" s="233"/>
      <c r="N28" s="79" t="str">
        <f t="shared" si="1"/>
        <v>4. 저감방안수립</v>
      </c>
      <c r="O28" s="37"/>
      <c r="P28" s="37"/>
      <c r="Q28" s="37"/>
      <c r="R28" s="37"/>
      <c r="S28" s="37"/>
      <c r="T28" s="37"/>
      <c r="U28" s="227"/>
      <c r="V28" s="231"/>
      <c r="W28" s="193">
        <f ca="1">SUBTOTAL(9,W29:W29)</f>
        <v>5963689</v>
      </c>
      <c r="X28" s="154"/>
      <c r="Y28" s="170" t="str">
        <f t="shared" si="2"/>
        <v/>
      </c>
      <c r="Z28" s="150"/>
    </row>
    <row r="29" spans="1:26" ht="18" customHeight="1">
      <c r="A29" s="355"/>
      <c r="B29" s="223" t="s">
        <v>2651</v>
      </c>
      <c r="C29" s="253"/>
      <c r="D29" s="20">
        <v>1.7</v>
      </c>
      <c r="E29" s="21">
        <v>3.3</v>
      </c>
      <c r="F29" s="21">
        <v>4.9000000000000004</v>
      </c>
      <c r="G29" s="21">
        <v>5.7</v>
      </c>
      <c r="H29" s="21">
        <v>2.1</v>
      </c>
      <c r="I29" s="22">
        <v>1</v>
      </c>
      <c r="J29" s="443" t="s">
        <v>1090</v>
      </c>
      <c r="L29" s="233">
        <v>1</v>
      </c>
      <c r="N29" s="292" t="str">
        <f t="shared" si="1"/>
        <v>4.1. 저감방안수립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SUM((ROUNDDOWN((D60:I60)*단가,0)))</f>
        <v>5963689</v>
      </c>
      <c r="X29" s="154"/>
      <c r="Y29" s="170" t="str">
        <f t="shared" si="2"/>
        <v>제 14 호표</v>
      </c>
      <c r="Z29" s="150"/>
    </row>
    <row r="30" spans="1:26" ht="18" customHeight="1">
      <c r="A30" s="355"/>
      <c r="B30" s="222" t="s">
        <v>635</v>
      </c>
      <c r="C30" s="47"/>
      <c r="D30" s="33">
        <f t="shared" ref="D30:I30" si="6">SUBTOTAL(9,D31:D33)</f>
        <v>1.2999999999999998</v>
      </c>
      <c r="E30" s="34">
        <f t="shared" si="6"/>
        <v>2.9000000000000004</v>
      </c>
      <c r="F30" s="34">
        <f t="shared" si="6"/>
        <v>5.1999999999999993</v>
      </c>
      <c r="G30" s="34">
        <f t="shared" si="6"/>
        <v>12</v>
      </c>
      <c r="H30" s="34">
        <f t="shared" si="6"/>
        <v>12.399999999999999</v>
      </c>
      <c r="I30" s="35">
        <f t="shared" si="6"/>
        <v>6.1</v>
      </c>
      <c r="J30" s="620"/>
      <c r="L30" s="233"/>
      <c r="N30" s="79" t="str">
        <f t="shared" si="1"/>
        <v>5. 종합평가</v>
      </c>
      <c r="O30" s="37"/>
      <c r="P30" s="39"/>
      <c r="Q30" s="37"/>
      <c r="R30" s="117"/>
      <c r="S30" s="37"/>
      <c r="T30" s="37"/>
      <c r="U30" s="228"/>
      <c r="V30" s="231"/>
      <c r="W30" s="193">
        <f ca="1">SUBTOTAL(9,W31:W33)</f>
        <v>11268917</v>
      </c>
      <c r="X30" s="154"/>
      <c r="Y30" s="170" t="str">
        <f t="shared" si="2"/>
        <v/>
      </c>
      <c r="Z30" s="150"/>
    </row>
    <row r="31" spans="1:26" ht="18" customHeight="1">
      <c r="A31" s="355"/>
      <c r="B31" s="223" t="s">
        <v>636</v>
      </c>
      <c r="C31" s="253"/>
      <c r="D31" s="20">
        <v>0.4</v>
      </c>
      <c r="E31" s="21">
        <v>0.9</v>
      </c>
      <c r="F31" s="21">
        <v>0.8</v>
      </c>
      <c r="G31" s="21">
        <v>1.4</v>
      </c>
      <c r="H31" s="21">
        <v>1.9</v>
      </c>
      <c r="I31" s="22">
        <v>0.9</v>
      </c>
      <c r="J31" s="389" t="s">
        <v>1090</v>
      </c>
      <c r="L31" s="233">
        <v>1</v>
      </c>
      <c r="N31" s="292" t="str">
        <f t="shared" si="1"/>
        <v>5-1. 협의회 의견수렴결과</v>
      </c>
      <c r="O31" s="37"/>
      <c r="P31" s="39"/>
      <c r="Q31" s="37"/>
      <c r="R31" s="117"/>
      <c r="S31" s="37"/>
      <c r="T31" s="37"/>
      <c r="U31" s="228"/>
      <c r="V31" s="231"/>
      <c r="W31" s="153">
        <f t="array" aca="1" ref="W31" ca="1">SUM((ROUNDDOWN((D62:I62)*단가,0)))</f>
        <v>1853089</v>
      </c>
      <c r="X31" s="154"/>
      <c r="Y31" s="170" t="str">
        <f t="shared" si="2"/>
        <v>제 15 호표</v>
      </c>
      <c r="Z31" s="150"/>
    </row>
    <row r="32" spans="1:26" ht="18" customHeight="1">
      <c r="A32" s="355"/>
      <c r="B32" s="223" t="s">
        <v>637</v>
      </c>
      <c r="C32" s="253"/>
      <c r="D32" s="20">
        <v>0.3</v>
      </c>
      <c r="E32" s="21">
        <v>0.7</v>
      </c>
      <c r="F32" s="21">
        <v>2</v>
      </c>
      <c r="G32" s="21">
        <v>6.1</v>
      </c>
      <c r="H32" s="21">
        <v>6.7</v>
      </c>
      <c r="I32" s="22">
        <v>3.3</v>
      </c>
      <c r="J32" s="389" t="s">
        <v>1090</v>
      </c>
      <c r="L32" s="233">
        <v>1</v>
      </c>
      <c r="N32" s="292" t="str">
        <f t="shared" si="1"/>
        <v>5-2. 주민 의견수렴 결과</v>
      </c>
      <c r="O32" s="37"/>
      <c r="P32" s="39"/>
      <c r="Q32" s="37"/>
      <c r="R32" s="117"/>
      <c r="S32" s="37"/>
      <c r="T32" s="37"/>
      <c r="U32" s="228"/>
      <c r="V32" s="231"/>
      <c r="W32" s="153">
        <f t="array" aca="1" ref="W32" ca="1">SUM((ROUNDDOWN((D63:I63)*단가,0)))</f>
        <v>5215140</v>
      </c>
      <c r="X32" s="154"/>
      <c r="Y32" s="170" t="str">
        <f t="shared" si="2"/>
        <v>제 16 호표</v>
      </c>
      <c r="Z32" s="150"/>
    </row>
    <row r="33" spans="1:26" ht="18" customHeight="1">
      <c r="A33" s="355"/>
      <c r="B33" s="223" t="s">
        <v>638</v>
      </c>
      <c r="C33" s="253"/>
      <c r="D33" s="20">
        <v>0.6</v>
      </c>
      <c r="E33" s="21">
        <v>1.3</v>
      </c>
      <c r="F33" s="21">
        <v>2.4</v>
      </c>
      <c r="G33" s="21">
        <v>4.5</v>
      </c>
      <c r="H33" s="21">
        <v>3.8</v>
      </c>
      <c r="I33" s="22">
        <v>1.9</v>
      </c>
      <c r="J33" s="443" t="s">
        <v>1090</v>
      </c>
      <c r="L33" s="233">
        <v>1</v>
      </c>
      <c r="N33" s="292" t="str">
        <f t="shared" si="1"/>
        <v>5-3. 종합평가 및 결론</v>
      </c>
      <c r="O33" s="37"/>
      <c r="P33" s="39"/>
      <c r="Q33" s="37"/>
      <c r="R33" s="117"/>
      <c r="S33" s="37"/>
      <c r="T33" s="37"/>
      <c r="U33" s="228"/>
      <c r="V33" s="231"/>
      <c r="W33" s="153">
        <f t="array" aca="1" ref="W33" ca="1">SUM((ROUNDDOWN((D64:I64)*단가,0)))</f>
        <v>4200688</v>
      </c>
      <c r="X33" s="154"/>
      <c r="Y33" s="170" t="str">
        <f t="shared" si="2"/>
        <v>제 17 호표</v>
      </c>
      <c r="Z33" s="150"/>
    </row>
    <row r="34" spans="1:26" ht="18" customHeight="1">
      <c r="A34" s="355"/>
      <c r="B34" s="222" t="s">
        <v>2652</v>
      </c>
      <c r="C34" s="47"/>
      <c r="D34" s="33">
        <f t="shared" ref="D34:I34" si="7">SUBTOTAL(9,D35:D36)</f>
        <v>0.30000000000000004</v>
      </c>
      <c r="E34" s="34">
        <f t="shared" si="7"/>
        <v>0.4</v>
      </c>
      <c r="F34" s="34">
        <f t="shared" si="7"/>
        <v>1</v>
      </c>
      <c r="G34" s="34">
        <f t="shared" si="7"/>
        <v>1.7000000000000002</v>
      </c>
      <c r="H34" s="34">
        <f t="shared" si="7"/>
        <v>2</v>
      </c>
      <c r="I34" s="35">
        <f t="shared" si="7"/>
        <v>2.2999999999999998</v>
      </c>
      <c r="J34" s="594"/>
      <c r="L34" s="233"/>
      <c r="N34" s="79" t="str">
        <f t="shared" si="1"/>
        <v>6. 성과품 작성</v>
      </c>
      <c r="O34" s="37"/>
      <c r="P34" s="37"/>
      <c r="Q34" s="37"/>
      <c r="R34" s="37"/>
      <c r="S34" s="37"/>
      <c r="T34" s="37"/>
      <c r="U34" s="227"/>
      <c r="V34" s="231"/>
      <c r="W34" s="193">
        <f ca="1">SUBTOTAL(9,W35:W36)</f>
        <v>2142314</v>
      </c>
      <c r="X34" s="154"/>
      <c r="Y34" s="170" t="str">
        <f t="shared" si="2"/>
        <v/>
      </c>
      <c r="Z34" s="150"/>
    </row>
    <row r="35" spans="1:26" ht="18" customHeight="1">
      <c r="A35" s="355"/>
      <c r="B35" s="409" t="s">
        <v>2653</v>
      </c>
      <c r="C35" s="409"/>
      <c r="D35" s="20">
        <v>0.2</v>
      </c>
      <c r="E35" s="21">
        <v>0.2</v>
      </c>
      <c r="F35" s="21">
        <v>0.5</v>
      </c>
      <c r="G35" s="21">
        <v>0.9</v>
      </c>
      <c r="H35" s="21">
        <v>1</v>
      </c>
      <c r="I35" s="22">
        <v>1.2</v>
      </c>
      <c r="J35" s="389" t="s">
        <v>1090</v>
      </c>
      <c r="L35" s="233">
        <v>1</v>
      </c>
      <c r="N35" s="292" t="str">
        <f t="shared" si="1"/>
        <v>6.1. 보고서작성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SUM((ROUNDDOWN((D66:I66)*단가,0)))</f>
        <v>1121779</v>
      </c>
      <c r="X35" s="154"/>
      <c r="Y35" s="170" t="str">
        <f t="shared" si="2"/>
        <v>제 18 호표</v>
      </c>
      <c r="Z35" s="150"/>
    </row>
    <row r="36" spans="1:26" ht="18" customHeight="1">
      <c r="A36" s="355"/>
      <c r="B36" s="410" t="s">
        <v>2654</v>
      </c>
      <c r="C36" s="410"/>
      <c r="D36" s="24">
        <v>0.1</v>
      </c>
      <c r="E36" s="25">
        <v>0.2</v>
      </c>
      <c r="F36" s="25">
        <v>0.5</v>
      </c>
      <c r="G36" s="25">
        <v>0.8</v>
      </c>
      <c r="H36" s="25">
        <v>1</v>
      </c>
      <c r="I36" s="26">
        <v>1.1000000000000001</v>
      </c>
      <c r="J36" s="443" t="s">
        <v>1090</v>
      </c>
      <c r="L36" s="233">
        <v>1</v>
      </c>
      <c r="N36" s="292" t="str">
        <f t="shared" si="1"/>
        <v>6.2. 관련도서작성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SUM((ROUNDDOWN((D67:I67)*단가,0)))</f>
        <v>1020535</v>
      </c>
      <c r="X36" s="154"/>
      <c r="Y36" s="170" t="str">
        <f t="shared" si="2"/>
        <v>제 19 호표</v>
      </c>
      <c r="Z36" s="150"/>
    </row>
    <row r="37" spans="1:26" ht="18" customHeight="1">
      <c r="A37" s="355"/>
      <c r="B37" s="222" t="s">
        <v>217</v>
      </c>
      <c r="C37" s="222"/>
      <c r="D37" s="33">
        <f t="shared" ref="D37:I37" si="8">SUBTOTAL(9,D38:D41)</f>
        <v>8</v>
      </c>
      <c r="E37" s="34">
        <f t="shared" si="8"/>
        <v>8</v>
      </c>
      <c r="F37" s="34">
        <f t="shared" si="8"/>
        <v>8</v>
      </c>
      <c r="G37" s="34">
        <f t="shared" si="8"/>
        <v>16</v>
      </c>
      <c r="H37" s="34">
        <f t="shared" si="8"/>
        <v>16</v>
      </c>
      <c r="I37" s="35">
        <f t="shared" si="8"/>
        <v>16</v>
      </c>
      <c r="J37" s="620"/>
      <c r="L37" s="233"/>
      <c r="N37" s="79" t="str">
        <f t="shared" si="1"/>
        <v>7. 기술협의</v>
      </c>
      <c r="O37" s="37"/>
      <c r="P37" s="39"/>
      <c r="Q37" s="37"/>
      <c r="R37" s="117"/>
      <c r="S37" s="37"/>
      <c r="T37" s="37"/>
      <c r="U37" s="228"/>
      <c r="V37" s="231"/>
      <c r="W37" s="193">
        <f ca="1">SUBTOTAL(9,W38:W41)</f>
        <v>21702576</v>
      </c>
      <c r="X37" s="154"/>
      <c r="Y37" s="170" t="str">
        <f t="shared" si="2"/>
        <v/>
      </c>
      <c r="Z37" s="150"/>
    </row>
    <row r="38" spans="1:26" ht="18" customHeight="1">
      <c r="A38" s="355"/>
      <c r="B38" s="223" t="s">
        <v>2655</v>
      </c>
      <c r="C38" s="237"/>
      <c r="D38" s="20">
        <v>2</v>
      </c>
      <c r="E38" s="21">
        <v>2</v>
      </c>
      <c r="F38" s="21">
        <v>2</v>
      </c>
      <c r="G38" s="21">
        <v>4</v>
      </c>
      <c r="H38" s="21">
        <v>4</v>
      </c>
      <c r="I38" s="22">
        <v>4</v>
      </c>
      <c r="J38" s="389" t="s">
        <v>1095</v>
      </c>
      <c r="L38" s="233">
        <v>1</v>
      </c>
      <c r="N38" s="292" t="str">
        <f t="shared" si="1"/>
        <v>7.1. 공청회/주민설명회</v>
      </c>
      <c r="O38" s="37"/>
      <c r="P38" s="39"/>
      <c r="Q38" s="37"/>
      <c r="R38" s="117"/>
      <c r="S38" s="37"/>
      <c r="T38" s="37"/>
      <c r="U38" s="228"/>
      <c r="V38" s="231"/>
      <c r="W38" s="153">
        <f t="array" aca="1" ref="W38" ca="1">SUM((ROUNDDOWN((D69:I69)*단가,0)))</f>
        <v>5425644</v>
      </c>
      <c r="X38" s="154"/>
      <c r="Y38" s="170" t="str">
        <f t="shared" si="2"/>
        <v>제 20 호표</v>
      </c>
      <c r="Z38" s="150"/>
    </row>
    <row r="39" spans="1:26" ht="18" customHeight="1">
      <c r="A39" s="326"/>
      <c r="B39" s="259" t="s">
        <v>2656</v>
      </c>
      <c r="C39" s="264"/>
      <c r="D39" s="40">
        <v>2</v>
      </c>
      <c r="E39" s="41">
        <v>2</v>
      </c>
      <c r="F39" s="41">
        <v>2</v>
      </c>
      <c r="G39" s="41">
        <v>4</v>
      </c>
      <c r="H39" s="41">
        <v>4</v>
      </c>
      <c r="I39" s="42">
        <v>4</v>
      </c>
      <c r="J39" s="389" t="s">
        <v>1094</v>
      </c>
      <c r="L39" s="233">
        <v>1</v>
      </c>
      <c r="N39" s="292" t="str">
        <f t="shared" si="1"/>
        <v>7.2. 주민간담회/시민계획단</v>
      </c>
      <c r="O39" s="37"/>
      <c r="P39" s="39"/>
      <c r="Q39" s="37"/>
      <c r="R39" s="117"/>
      <c r="S39" s="37"/>
      <c r="T39" s="37"/>
      <c r="U39" s="228"/>
      <c r="V39" s="231"/>
      <c r="W39" s="153">
        <f t="array" aca="1" ref="W39" ca="1">SUM((ROUNDDOWN((D70:I70)*단가,0)))</f>
        <v>5425644</v>
      </c>
      <c r="X39" s="154"/>
      <c r="Y39" s="170" t="str">
        <f t="shared" si="2"/>
        <v>제 21 호표</v>
      </c>
      <c r="Z39" s="150"/>
    </row>
    <row r="40" spans="1:26" ht="18" customHeight="1">
      <c r="A40" s="355"/>
      <c r="B40" s="223" t="s">
        <v>2657</v>
      </c>
      <c r="C40" s="237"/>
      <c r="D40" s="20">
        <v>2</v>
      </c>
      <c r="E40" s="21">
        <v>2</v>
      </c>
      <c r="F40" s="21">
        <v>2</v>
      </c>
      <c r="G40" s="21">
        <v>4</v>
      </c>
      <c r="H40" s="21">
        <v>4</v>
      </c>
      <c r="I40" s="22">
        <v>4</v>
      </c>
      <c r="J40" s="389" t="s">
        <v>1094</v>
      </c>
      <c r="L40" s="233">
        <v>1</v>
      </c>
      <c r="N40" s="292" t="str">
        <f t="shared" si="1"/>
        <v>7.3. 위원회심의 지원</v>
      </c>
      <c r="O40" s="37"/>
      <c r="P40" s="39"/>
      <c r="Q40" s="37"/>
      <c r="R40" s="117"/>
      <c r="S40" s="37"/>
      <c r="T40" s="37"/>
      <c r="U40" s="228"/>
      <c r="V40" s="231"/>
      <c r="W40" s="153">
        <f t="array" aca="1" ref="W40" ca="1">SUM((ROUNDDOWN((D71:I71)*단가,0)))</f>
        <v>5425644</v>
      </c>
      <c r="X40" s="154"/>
      <c r="Y40" s="170" t="str">
        <f t="shared" si="2"/>
        <v>제 22 호표</v>
      </c>
      <c r="Z40" s="150"/>
    </row>
    <row r="41" spans="1:26" ht="18" customHeight="1" thickBot="1">
      <c r="A41" s="326"/>
      <c r="B41" s="259" t="s">
        <v>2658</v>
      </c>
      <c r="C41" s="264"/>
      <c r="D41" s="40">
        <v>2</v>
      </c>
      <c r="E41" s="41">
        <v>2</v>
      </c>
      <c r="F41" s="41">
        <v>2</v>
      </c>
      <c r="G41" s="41">
        <v>4</v>
      </c>
      <c r="H41" s="41">
        <v>4</v>
      </c>
      <c r="I41" s="42">
        <v>4</v>
      </c>
      <c r="J41" s="612" t="s">
        <v>1094</v>
      </c>
      <c r="L41" s="233">
        <v>1</v>
      </c>
      <c r="N41" s="292" t="str">
        <f t="shared" si="1"/>
        <v>7.4. 관계기관 협의</v>
      </c>
      <c r="O41" s="37"/>
      <c r="P41" s="39"/>
      <c r="Q41" s="37"/>
      <c r="R41" s="117"/>
      <c r="S41" s="37"/>
      <c r="T41" s="37"/>
      <c r="U41" s="228"/>
      <c r="V41" s="231"/>
      <c r="W41" s="153">
        <f t="array" aca="1" ref="W41" ca="1">SUM((ROUNDDOWN((D72:I72)*단가,0)))</f>
        <v>5425644</v>
      </c>
      <c r="X41" s="154"/>
      <c r="Y41" s="170" t="str">
        <f t="shared" si="2"/>
        <v>제 23 호표</v>
      </c>
      <c r="Z41" s="150"/>
    </row>
    <row r="42" spans="1:26" ht="18" customHeight="1" thickBot="1">
      <c r="A42" s="326"/>
      <c r="B42" s="249" t="s">
        <v>30</v>
      </c>
      <c r="C42" s="250"/>
      <c r="D42" s="249" t="s">
        <v>12</v>
      </c>
      <c r="E42" s="251"/>
      <c r="F42" s="251"/>
      <c r="G42" s="251"/>
      <c r="H42" s="251"/>
      <c r="I42" s="250"/>
      <c r="J42" s="175" t="s">
        <v>31</v>
      </c>
      <c r="N42" s="290" t="s">
        <v>10</v>
      </c>
      <c r="O42" s="129"/>
      <c r="P42" s="130"/>
      <c r="Q42" s="124"/>
      <c r="R42" s="131"/>
      <c r="S42" s="124"/>
      <c r="T42" s="124"/>
      <c r="U42" s="181"/>
      <c r="V42" s="181"/>
      <c r="W42" s="159">
        <f>SUBTOTAL(9,W43:W45)</f>
        <v>4500000</v>
      </c>
      <c r="X42" s="160"/>
      <c r="Y42" s="124"/>
      <c r="Z42" s="124"/>
    </row>
    <row r="43" spans="1:26" ht="18" customHeight="1">
      <c r="A43" s="326"/>
      <c r="B43" s="73" t="str">
        <f>B12</f>
        <v>1. 현황조사</v>
      </c>
      <c r="C43" s="72"/>
      <c r="D43" s="30">
        <f t="shared" ref="D43:I43" si="9">SUBTOTAL(9,D44:D45)</f>
        <v>0.498</v>
      </c>
      <c r="E43" s="31">
        <f t="shared" si="9"/>
        <v>0.997</v>
      </c>
      <c r="F43" s="31">
        <f t="shared" si="9"/>
        <v>1.397</v>
      </c>
      <c r="G43" s="31">
        <f t="shared" si="9"/>
        <v>1.796</v>
      </c>
      <c r="H43" s="31">
        <f t="shared" si="9"/>
        <v>1.5960000000000001</v>
      </c>
      <c r="I43" s="32">
        <f t="shared" si="9"/>
        <v>0.79800000000000004</v>
      </c>
      <c r="J43" s="28"/>
      <c r="N43" s="128" t="str">
        <f>"여비("&amp;TEXT(R43,"#인 ×")&amp;TEXT(S43,"#일 ×")&amp;TEXT(T43,"###,###원)")</f>
        <v>여비(3인 ×5일 ×100,000원)</v>
      </c>
      <c r="O43" s="78"/>
      <c r="P43" s="52"/>
      <c r="Q43" s="51"/>
      <c r="R43" s="146">
        <v>3</v>
      </c>
      <c r="S43" s="146">
        <v>5</v>
      </c>
      <c r="T43" s="147">
        <v>100000</v>
      </c>
      <c r="U43" s="182"/>
      <c r="V43" s="182"/>
      <c r="W43" s="161">
        <f>R43*S43*T43</f>
        <v>1500000</v>
      </c>
      <c r="X43" s="162"/>
      <c r="Y43" s="51"/>
      <c r="Z43" s="51"/>
    </row>
    <row r="44" spans="1:26" ht="18" customHeight="1">
      <c r="A44" s="326">
        <v>1</v>
      </c>
      <c r="B44" s="409" t="str">
        <f t="shared" ref="B44:B72" si="10">B13</f>
        <v>1.1. 도시·군관리계획의 개요</v>
      </c>
      <c r="C44" s="237"/>
      <c r="D44" s="20">
        <f t="array" ref="D44:I45">ROUNDDOWN(D13:I14*$D$5*L13:L14,3)</f>
        <v>0.29899999999999999</v>
      </c>
      <c r="E44" s="21">
        <v>0.59799999999999998</v>
      </c>
      <c r="F44" s="21">
        <v>0.998</v>
      </c>
      <c r="G44" s="21">
        <v>0.998</v>
      </c>
      <c r="H44" s="21">
        <v>0.79800000000000004</v>
      </c>
      <c r="I44" s="22">
        <v>0.39900000000000002</v>
      </c>
      <c r="J44" s="74"/>
      <c r="N44" s="79" t="s">
        <v>46</v>
      </c>
      <c r="O44" s="79"/>
      <c r="P44" s="39"/>
      <c r="Q44" s="37"/>
      <c r="R44" s="117"/>
      <c r="S44" s="37"/>
      <c r="T44" s="37"/>
      <c r="U44" s="180"/>
      <c r="V44" s="180"/>
      <c r="W44" s="157">
        <v>2000000</v>
      </c>
      <c r="X44" s="158"/>
      <c r="Y44" s="37"/>
      <c r="Z44" s="37"/>
    </row>
    <row r="45" spans="1:26" ht="18" customHeight="1">
      <c r="A45" s="326">
        <v>2</v>
      </c>
      <c r="B45" s="409" t="str">
        <f t="shared" si="10"/>
        <v>1.2. 환경현황 조사·분석</v>
      </c>
      <c r="C45" s="237"/>
      <c r="D45" s="20">
        <v>0.19900000000000001</v>
      </c>
      <c r="E45" s="21">
        <v>0.39900000000000002</v>
      </c>
      <c r="F45" s="21">
        <v>0.39900000000000002</v>
      </c>
      <c r="G45" s="21">
        <v>0.79800000000000004</v>
      </c>
      <c r="H45" s="21">
        <v>0.79800000000000004</v>
      </c>
      <c r="I45" s="22">
        <v>0.39900000000000002</v>
      </c>
      <c r="J45" s="74"/>
      <c r="N45" s="132" t="s">
        <v>13</v>
      </c>
      <c r="O45" s="132"/>
      <c r="P45" s="38"/>
      <c r="Q45" s="38"/>
      <c r="R45" s="116"/>
      <c r="S45" s="38"/>
      <c r="T45" s="38"/>
      <c r="U45" s="183"/>
      <c r="V45" s="183"/>
      <c r="W45" s="155">
        <v>1000000</v>
      </c>
      <c r="X45" s="156"/>
      <c r="Y45" s="38"/>
      <c r="Z45" s="38"/>
    </row>
    <row r="46" spans="1:26" ht="18" customHeight="1">
      <c r="A46" s="326"/>
      <c r="B46" s="222" t="str">
        <f t="shared" si="10"/>
        <v>2. 대안설정</v>
      </c>
      <c r="C46" s="47"/>
      <c r="D46" s="33">
        <f t="shared" ref="D46:I46" si="11">SUBTOTAL(9,D47:D48)</f>
        <v>3.7910000000000004</v>
      </c>
      <c r="E46" s="34">
        <f t="shared" si="11"/>
        <v>7.5839999999999996</v>
      </c>
      <c r="F46" s="34">
        <f t="shared" si="11"/>
        <v>12.972999999999999</v>
      </c>
      <c r="G46" s="34">
        <f t="shared" si="11"/>
        <v>22.454000000000001</v>
      </c>
      <c r="H46" s="34">
        <f t="shared" si="11"/>
        <v>18.662000000000003</v>
      </c>
      <c r="I46" s="35">
        <f t="shared" si="11"/>
        <v>9.2799999999999994</v>
      </c>
      <c r="J46" s="13"/>
      <c r="N46" s="127" t="s">
        <v>47</v>
      </c>
      <c r="O46" s="123"/>
      <c r="P46" s="123"/>
      <c r="Q46" s="123"/>
      <c r="R46" s="123"/>
      <c r="S46" s="123"/>
      <c r="T46" s="123"/>
      <c r="U46" s="184"/>
      <c r="V46" s="184"/>
      <c r="W46" s="163">
        <f ca="1">SUBTOTAL(9,W47:W48)</f>
        <v>152758210</v>
      </c>
      <c r="X46" s="164"/>
      <c r="Y46" s="123"/>
      <c r="Z46" s="123"/>
    </row>
    <row r="47" spans="1:26" ht="18" customHeight="1">
      <c r="A47" s="326">
        <v>3</v>
      </c>
      <c r="B47" s="409" t="str">
        <f t="shared" si="10"/>
        <v>2.1. 검토항목 설정</v>
      </c>
      <c r="C47" s="409"/>
      <c r="D47" s="20">
        <f t="array" ref="D47:I48">ROUNDDOWN(D16:I17*$D$5*L16:L17,3)</f>
        <v>9.9000000000000005E-2</v>
      </c>
      <c r="E47" s="21">
        <v>0.19900000000000001</v>
      </c>
      <c r="F47" s="21">
        <v>0.19900000000000001</v>
      </c>
      <c r="G47" s="21">
        <v>0.29899999999999999</v>
      </c>
      <c r="H47" s="21">
        <v>0.39900000000000002</v>
      </c>
      <c r="I47" s="22">
        <v>0.19900000000000001</v>
      </c>
      <c r="J47" s="74"/>
      <c r="N47" s="133" t="s">
        <v>861</v>
      </c>
      <c r="O47" s="124"/>
      <c r="P47" s="134"/>
      <c r="Q47" s="124"/>
      <c r="R47" s="131"/>
      <c r="S47" s="124"/>
      <c r="T47" s="181"/>
      <c r="U47" s="181"/>
      <c r="V47" s="190">
        <v>1.1499999999999999</v>
      </c>
      <c r="W47" s="159">
        <f ca="1">ROUNDDOWN(W11*V47,0)</f>
        <v>97867377</v>
      </c>
      <c r="X47" s="160"/>
      <c r="Y47" s="124"/>
      <c r="Z47" s="124"/>
    </row>
    <row r="48" spans="1:26" ht="18" customHeight="1" thickBot="1">
      <c r="A48" s="326">
        <v>4</v>
      </c>
      <c r="B48" s="410" t="str">
        <f t="shared" si="10"/>
        <v>2.2. 대안의 설정</v>
      </c>
      <c r="C48" s="410"/>
      <c r="D48" s="24">
        <v>3.6920000000000002</v>
      </c>
      <c r="E48" s="25">
        <v>7.3849999999999998</v>
      </c>
      <c r="F48" s="25">
        <v>12.773999999999999</v>
      </c>
      <c r="G48" s="25">
        <v>22.155000000000001</v>
      </c>
      <c r="H48" s="25">
        <v>18.263000000000002</v>
      </c>
      <c r="I48" s="26">
        <v>9.0809999999999995</v>
      </c>
      <c r="J48" s="75"/>
      <c r="N48" s="135" t="s">
        <v>862</v>
      </c>
      <c r="O48" s="136"/>
      <c r="P48" s="137"/>
      <c r="Q48" s="136"/>
      <c r="R48" s="138"/>
      <c r="S48" s="136"/>
      <c r="T48" s="185"/>
      <c r="U48" s="185"/>
      <c r="V48" s="191">
        <v>0.3</v>
      </c>
      <c r="W48" s="165">
        <f ca="1">ROUNDDOWN((W11+W47)*V48,0)</f>
        <v>54890833</v>
      </c>
      <c r="X48" s="166"/>
      <c r="Y48" s="136"/>
      <c r="Z48" s="136"/>
    </row>
    <row r="49" spans="1:10" ht="18" customHeight="1">
      <c r="A49" s="326"/>
      <c r="B49" s="252" t="str">
        <f t="shared" si="10"/>
        <v>3. 환경영향</v>
      </c>
      <c r="C49" s="252"/>
      <c r="D49" s="30">
        <f t="shared" ref="D49:I49" si="12">SUBTOTAL(9,D50:D58)</f>
        <v>2.19</v>
      </c>
      <c r="E49" s="31">
        <f t="shared" si="12"/>
        <v>18.860999999999997</v>
      </c>
      <c r="F49" s="31">
        <f t="shared" si="12"/>
        <v>18.561</v>
      </c>
      <c r="G49" s="31">
        <f t="shared" si="12"/>
        <v>12.472</v>
      </c>
      <c r="H49" s="31">
        <f t="shared" si="12"/>
        <v>7.3829999999999991</v>
      </c>
      <c r="I49" s="32">
        <f t="shared" si="12"/>
        <v>2.589</v>
      </c>
      <c r="J49" s="302"/>
    </row>
    <row r="50" spans="1:10" ht="18" customHeight="1">
      <c r="A50" s="326">
        <v>5</v>
      </c>
      <c r="B50" s="223" t="str">
        <f t="shared" si="10"/>
        <v>3.1. 계획의 적정성 및 입지의 타당성</v>
      </c>
      <c r="C50" s="237"/>
      <c r="D50" s="20">
        <f t="array" ref="D50:I58">ROUNDDOWN(D19:I27*$D$5*L19:L27,3)</f>
        <v>0.19900000000000001</v>
      </c>
      <c r="E50" s="21">
        <v>0.39900000000000002</v>
      </c>
      <c r="F50" s="21">
        <v>0.69799999999999995</v>
      </c>
      <c r="G50" s="21">
        <v>1.4970000000000001</v>
      </c>
      <c r="H50" s="21">
        <v>1.796</v>
      </c>
      <c r="I50" s="22">
        <v>0.89800000000000002</v>
      </c>
      <c r="J50" s="74"/>
    </row>
    <row r="51" spans="1:10" ht="18" customHeight="1">
      <c r="A51" s="326">
        <v>6</v>
      </c>
      <c r="B51" s="223" t="str">
        <f t="shared" si="10"/>
        <v>3.2. 생물다양성 서식지 보전</v>
      </c>
      <c r="C51" s="237"/>
      <c r="D51" s="20">
        <v>9.9000000000000005E-2</v>
      </c>
      <c r="E51" s="21">
        <v>5.9880000000000004</v>
      </c>
      <c r="F51" s="21">
        <v>5.1890000000000001</v>
      </c>
      <c r="G51" s="21">
        <v>2.694</v>
      </c>
      <c r="H51" s="21">
        <v>0.998</v>
      </c>
      <c r="I51" s="22">
        <v>9.9000000000000005E-2</v>
      </c>
      <c r="J51" s="74"/>
    </row>
    <row r="52" spans="1:10" ht="18" customHeight="1">
      <c r="A52" s="326">
        <v>7</v>
      </c>
      <c r="B52" s="223" t="str">
        <f t="shared" si="10"/>
        <v>3.3. 지형 및 생태계 보전</v>
      </c>
      <c r="C52" s="237"/>
      <c r="D52" s="20">
        <v>9.9000000000000005E-2</v>
      </c>
      <c r="E52" s="21">
        <v>4.4909999999999997</v>
      </c>
      <c r="F52" s="21">
        <v>3.6920000000000002</v>
      </c>
      <c r="G52" s="21">
        <v>1.996</v>
      </c>
      <c r="H52" s="21">
        <v>0.998</v>
      </c>
      <c r="I52" s="22">
        <v>9.9000000000000005E-2</v>
      </c>
      <c r="J52" s="74"/>
    </row>
    <row r="53" spans="1:10" ht="18" customHeight="1">
      <c r="A53" s="326">
        <v>8</v>
      </c>
      <c r="B53" s="223" t="str">
        <f t="shared" si="10"/>
        <v>3.4. 주변 자연경관에 미치는 영향</v>
      </c>
      <c r="C53" s="237"/>
      <c r="D53" s="20">
        <v>9.9000000000000005E-2</v>
      </c>
      <c r="E53" s="21">
        <v>2.9940000000000002</v>
      </c>
      <c r="F53" s="21">
        <v>2.4950000000000001</v>
      </c>
      <c r="G53" s="21">
        <v>0.998</v>
      </c>
      <c r="H53" s="21">
        <v>0.499</v>
      </c>
      <c r="I53" s="22">
        <v>9.9000000000000005E-2</v>
      </c>
      <c r="J53" s="74"/>
    </row>
    <row r="54" spans="1:10" ht="18" customHeight="1">
      <c r="A54" s="326">
        <v>9</v>
      </c>
      <c r="B54" s="223" t="str">
        <f t="shared" si="10"/>
        <v>3.5. 수환경의 보전</v>
      </c>
      <c r="C54" s="237"/>
      <c r="D54" s="20">
        <v>9.9000000000000005E-2</v>
      </c>
      <c r="E54" s="21">
        <v>2.694</v>
      </c>
      <c r="F54" s="21">
        <v>2.9940000000000002</v>
      </c>
      <c r="G54" s="21">
        <v>1.696</v>
      </c>
      <c r="H54" s="21">
        <v>0.499</v>
      </c>
      <c r="I54" s="22">
        <v>9.9000000000000005E-2</v>
      </c>
      <c r="J54" s="74"/>
    </row>
    <row r="55" spans="1:10" ht="18" customHeight="1">
      <c r="A55" s="326">
        <v>10</v>
      </c>
      <c r="B55" s="223" t="str">
        <f t="shared" si="10"/>
        <v>3.6. 환경기준 부합성</v>
      </c>
      <c r="C55" s="237"/>
      <c r="D55" s="20">
        <v>9.9000000000000005E-2</v>
      </c>
      <c r="E55" s="21">
        <v>0.499</v>
      </c>
      <c r="F55" s="21">
        <v>0.499</v>
      </c>
      <c r="G55" s="21">
        <v>0.19900000000000001</v>
      </c>
      <c r="H55" s="21">
        <v>0.19900000000000001</v>
      </c>
      <c r="I55" s="22">
        <v>9.9000000000000005E-2</v>
      </c>
      <c r="J55" s="74"/>
    </row>
    <row r="56" spans="1:10" ht="18" customHeight="1">
      <c r="A56" s="326">
        <v>11</v>
      </c>
      <c r="B56" s="223" t="str">
        <f t="shared" si="10"/>
        <v>3.7. 환경기초시설의 적정성</v>
      </c>
      <c r="C56" s="237"/>
      <c r="D56" s="20">
        <v>9.9000000000000005E-2</v>
      </c>
      <c r="E56" s="21">
        <v>0.499</v>
      </c>
      <c r="F56" s="21">
        <v>0.499</v>
      </c>
      <c r="G56" s="21">
        <v>0.19900000000000001</v>
      </c>
      <c r="H56" s="21">
        <v>0.19900000000000001</v>
      </c>
      <c r="I56" s="22">
        <v>9.9000000000000005E-2</v>
      </c>
      <c r="J56" s="74"/>
    </row>
    <row r="57" spans="1:10" ht="18" customHeight="1">
      <c r="A57" s="326">
        <v>12</v>
      </c>
      <c r="B57" s="223" t="str">
        <f t="shared" si="10"/>
        <v>3.8. 자원, 에너지 순환의 효율성</v>
      </c>
      <c r="C57" s="237"/>
      <c r="D57" s="20">
        <v>0.998</v>
      </c>
      <c r="E57" s="21">
        <v>0.499</v>
      </c>
      <c r="F57" s="21">
        <v>0.499</v>
      </c>
      <c r="G57" s="21">
        <v>0.19900000000000001</v>
      </c>
      <c r="H57" s="21">
        <v>0.19900000000000001</v>
      </c>
      <c r="I57" s="22">
        <v>9.9000000000000005E-2</v>
      </c>
      <c r="J57" s="74"/>
    </row>
    <row r="58" spans="1:10" ht="18" customHeight="1">
      <c r="A58" s="326">
        <v>13</v>
      </c>
      <c r="B58" s="223" t="str">
        <f t="shared" si="10"/>
        <v>3.9. 환경영향분석</v>
      </c>
      <c r="C58" s="237"/>
      <c r="D58" s="20">
        <v>0.39900000000000002</v>
      </c>
      <c r="E58" s="21">
        <v>0.79800000000000004</v>
      </c>
      <c r="F58" s="21">
        <v>1.996</v>
      </c>
      <c r="G58" s="21">
        <v>2.9940000000000002</v>
      </c>
      <c r="H58" s="21">
        <v>1.996</v>
      </c>
      <c r="I58" s="22">
        <v>0.998</v>
      </c>
      <c r="J58" s="74"/>
    </row>
    <row r="59" spans="1:10" ht="18" customHeight="1">
      <c r="A59" s="326"/>
      <c r="B59" s="222" t="str">
        <f t="shared" si="10"/>
        <v>4. 저감방안수립</v>
      </c>
      <c r="C59" s="47"/>
      <c r="D59" s="33">
        <f t="shared" ref="D59:I59" si="13">SUBTOTAL(9,D60:D60)</f>
        <v>1.696</v>
      </c>
      <c r="E59" s="34">
        <f t="shared" si="13"/>
        <v>3.2930000000000001</v>
      </c>
      <c r="F59" s="34">
        <f t="shared" si="13"/>
        <v>4.8899999999999997</v>
      </c>
      <c r="G59" s="34">
        <f t="shared" si="13"/>
        <v>5.6879999999999997</v>
      </c>
      <c r="H59" s="34">
        <f t="shared" si="13"/>
        <v>2.0950000000000002</v>
      </c>
      <c r="I59" s="35">
        <f t="shared" si="13"/>
        <v>0.998</v>
      </c>
      <c r="J59" s="13"/>
    </row>
    <row r="60" spans="1:10" ht="18" customHeight="1">
      <c r="A60" s="326">
        <v>14</v>
      </c>
      <c r="B60" s="224" t="str">
        <f t="shared" si="10"/>
        <v>4.1. 저감방안수립</v>
      </c>
      <c r="C60" s="238"/>
      <c r="D60" s="20">
        <f t="array" ref="D60:I60">ROUNDDOWN(D29:I29*$D$5*L29,3)</f>
        <v>1.696</v>
      </c>
      <c r="E60" s="25">
        <v>3.2930000000000001</v>
      </c>
      <c r="F60" s="25">
        <v>4.8899999999999997</v>
      </c>
      <c r="G60" s="25">
        <v>5.6879999999999997</v>
      </c>
      <c r="H60" s="25">
        <v>2.0950000000000002</v>
      </c>
      <c r="I60" s="26">
        <v>0.998</v>
      </c>
      <c r="J60" s="75"/>
    </row>
    <row r="61" spans="1:10" ht="18" customHeight="1">
      <c r="A61" s="326"/>
      <c r="B61" s="222" t="str">
        <f t="shared" si="10"/>
        <v>5. 종합평가</v>
      </c>
      <c r="C61" s="222"/>
      <c r="D61" s="447">
        <f t="shared" ref="D61:I61" si="14">SUBTOTAL(9,D62:D64)</f>
        <v>1.2959999999999998</v>
      </c>
      <c r="E61" s="448">
        <f t="shared" si="14"/>
        <v>2.8929999999999998</v>
      </c>
      <c r="F61" s="448">
        <f t="shared" si="14"/>
        <v>5.1890000000000001</v>
      </c>
      <c r="G61" s="448">
        <f t="shared" si="14"/>
        <v>11.975</v>
      </c>
      <c r="H61" s="448">
        <f t="shared" si="14"/>
        <v>12.374000000000001</v>
      </c>
      <c r="I61" s="449">
        <f t="shared" si="14"/>
        <v>6.0869999999999997</v>
      </c>
      <c r="J61" s="287"/>
    </row>
    <row r="62" spans="1:10" ht="18" customHeight="1">
      <c r="A62" s="326">
        <v>15</v>
      </c>
      <c r="B62" s="223" t="str">
        <f t="shared" si="10"/>
        <v>5-1. 협의회 의견수렴결과</v>
      </c>
      <c r="C62" s="237"/>
      <c r="D62" s="20">
        <f t="array" ref="D62:I64">ROUNDDOWN(D31:I33*$D$5*L31:L33,3)</f>
        <v>0.39900000000000002</v>
      </c>
      <c r="E62" s="21">
        <v>0.89800000000000002</v>
      </c>
      <c r="F62" s="21">
        <v>0.79800000000000004</v>
      </c>
      <c r="G62" s="21">
        <v>1.397</v>
      </c>
      <c r="H62" s="21">
        <v>1.8959999999999999</v>
      </c>
      <c r="I62" s="22">
        <v>0.89800000000000002</v>
      </c>
      <c r="J62" s="74"/>
    </row>
    <row r="63" spans="1:10" ht="18" customHeight="1">
      <c r="A63" s="326">
        <v>16</v>
      </c>
      <c r="B63" s="223" t="str">
        <f t="shared" si="10"/>
        <v>5-2. 주민 의견수렴 결과</v>
      </c>
      <c r="C63" s="237"/>
      <c r="D63" s="20">
        <v>0.29899999999999999</v>
      </c>
      <c r="E63" s="21">
        <v>0.69799999999999995</v>
      </c>
      <c r="F63" s="21">
        <v>1.996</v>
      </c>
      <c r="G63" s="21">
        <v>6.0869999999999997</v>
      </c>
      <c r="H63" s="21">
        <v>6.6859999999999999</v>
      </c>
      <c r="I63" s="22">
        <v>3.2930000000000001</v>
      </c>
      <c r="J63" s="74"/>
    </row>
    <row r="64" spans="1:10" ht="18" customHeight="1">
      <c r="A64" s="326">
        <v>17</v>
      </c>
      <c r="B64" s="223" t="str">
        <f t="shared" si="10"/>
        <v>5-3. 종합평가 및 결론</v>
      </c>
      <c r="C64" s="237"/>
      <c r="D64" s="20">
        <v>0.59799999999999998</v>
      </c>
      <c r="E64" s="21">
        <v>1.2969999999999999</v>
      </c>
      <c r="F64" s="21">
        <v>2.395</v>
      </c>
      <c r="G64" s="21">
        <v>4.4909999999999997</v>
      </c>
      <c r="H64" s="21">
        <v>3.7919999999999998</v>
      </c>
      <c r="I64" s="22">
        <v>1.8959999999999999</v>
      </c>
      <c r="J64" s="74"/>
    </row>
    <row r="65" spans="1:26" ht="18" customHeight="1">
      <c r="A65" s="326"/>
      <c r="B65" s="222" t="str">
        <f t="shared" si="10"/>
        <v>6. 성과품 작성</v>
      </c>
      <c r="C65" s="47"/>
      <c r="D65" s="33">
        <f t="shared" ref="D65:I65" si="15">SUBTOTAL(9,D66:D67)</f>
        <v>0.29800000000000004</v>
      </c>
      <c r="E65" s="34">
        <f t="shared" si="15"/>
        <v>0.39800000000000002</v>
      </c>
      <c r="F65" s="34">
        <f t="shared" si="15"/>
        <v>0.998</v>
      </c>
      <c r="G65" s="34">
        <f t="shared" si="15"/>
        <v>1.6960000000000002</v>
      </c>
      <c r="H65" s="34">
        <f t="shared" si="15"/>
        <v>1.996</v>
      </c>
      <c r="I65" s="35">
        <f t="shared" si="15"/>
        <v>2.294</v>
      </c>
      <c r="J65" s="13"/>
    </row>
    <row r="66" spans="1:26" ht="18" customHeight="1">
      <c r="A66" s="326">
        <v>18</v>
      </c>
      <c r="B66" s="409" t="str">
        <f t="shared" si="10"/>
        <v>6.1. 보고서작성</v>
      </c>
      <c r="C66" s="409"/>
      <c r="D66" s="20">
        <f t="array" ref="D66:I67">ROUNDDOWN(D35:I36*$D$5*L35:L36,3)</f>
        <v>0.19900000000000001</v>
      </c>
      <c r="E66" s="21">
        <v>0.19900000000000001</v>
      </c>
      <c r="F66" s="21">
        <v>0.499</v>
      </c>
      <c r="G66" s="21">
        <v>0.89800000000000002</v>
      </c>
      <c r="H66" s="21">
        <v>0.998</v>
      </c>
      <c r="I66" s="22">
        <v>1.1970000000000001</v>
      </c>
      <c r="J66" s="74"/>
    </row>
    <row r="67" spans="1:26" ht="18" customHeight="1">
      <c r="A67" s="326">
        <v>19</v>
      </c>
      <c r="B67" s="410" t="str">
        <f t="shared" si="10"/>
        <v>6.2. 관련도서작성</v>
      </c>
      <c r="C67" s="410"/>
      <c r="D67" s="24">
        <v>9.9000000000000005E-2</v>
      </c>
      <c r="E67" s="25">
        <v>0.19900000000000001</v>
      </c>
      <c r="F67" s="25">
        <v>0.499</v>
      </c>
      <c r="G67" s="25">
        <v>0.79800000000000004</v>
      </c>
      <c r="H67" s="25">
        <v>0.998</v>
      </c>
      <c r="I67" s="26">
        <v>1.097</v>
      </c>
      <c r="J67" s="75"/>
    </row>
    <row r="68" spans="1:26" ht="18" customHeight="1">
      <c r="A68" s="326"/>
      <c r="B68" s="222" t="str">
        <f t="shared" si="10"/>
        <v>7. 기술협의</v>
      </c>
      <c r="C68" s="222"/>
      <c r="D68" s="33">
        <f t="shared" ref="D68:I68" si="16">SUBTOTAL(9,D69:D72)</f>
        <v>8</v>
      </c>
      <c r="E68" s="34">
        <f t="shared" si="16"/>
        <v>8</v>
      </c>
      <c r="F68" s="34">
        <f t="shared" si="16"/>
        <v>8</v>
      </c>
      <c r="G68" s="34">
        <f t="shared" si="16"/>
        <v>16</v>
      </c>
      <c r="H68" s="34">
        <f t="shared" si="16"/>
        <v>16</v>
      </c>
      <c r="I68" s="35">
        <f t="shared" si="16"/>
        <v>16</v>
      </c>
      <c r="J68" s="74"/>
    </row>
    <row r="69" spans="1:26" ht="18" customHeight="1">
      <c r="A69" s="326">
        <v>20</v>
      </c>
      <c r="B69" s="223" t="str">
        <f t="shared" si="10"/>
        <v>7.1. 공청회/주민설명회</v>
      </c>
      <c r="C69" s="237"/>
      <c r="D69" s="20">
        <f t="array" ref="D69:I72">ROUNDDOWN(D38:I41*L38:L41*I5,3)</f>
        <v>2</v>
      </c>
      <c r="E69" s="21">
        <v>2</v>
      </c>
      <c r="F69" s="21">
        <v>2</v>
      </c>
      <c r="G69" s="21">
        <v>4</v>
      </c>
      <c r="H69" s="21">
        <v>4</v>
      </c>
      <c r="I69" s="22">
        <v>4</v>
      </c>
      <c r="J69" s="74"/>
    </row>
    <row r="70" spans="1:26" ht="18" customHeight="1">
      <c r="A70" s="326">
        <v>21</v>
      </c>
      <c r="B70" s="223" t="str">
        <f t="shared" si="10"/>
        <v>7.2. 주민간담회/시민계획단</v>
      </c>
      <c r="C70" s="237"/>
      <c r="D70" s="20">
        <v>2</v>
      </c>
      <c r="E70" s="21">
        <v>2</v>
      </c>
      <c r="F70" s="21">
        <v>2</v>
      </c>
      <c r="G70" s="21">
        <v>4</v>
      </c>
      <c r="H70" s="21">
        <v>4</v>
      </c>
      <c r="I70" s="22">
        <v>4</v>
      </c>
      <c r="J70" s="74"/>
      <c r="L70" s="171"/>
    </row>
    <row r="71" spans="1:26" ht="18" customHeight="1" thickBot="1">
      <c r="A71" s="326">
        <v>22</v>
      </c>
      <c r="B71" s="223" t="str">
        <f t="shared" si="10"/>
        <v>7.3. 위원회심의 지원</v>
      </c>
      <c r="C71" s="237"/>
      <c r="D71" s="20">
        <v>2</v>
      </c>
      <c r="E71" s="21">
        <v>2</v>
      </c>
      <c r="F71" s="21">
        <v>2</v>
      </c>
      <c r="G71" s="21">
        <v>4</v>
      </c>
      <c r="H71" s="21">
        <v>4</v>
      </c>
      <c r="I71" s="22">
        <v>4</v>
      </c>
      <c r="J71" s="74"/>
      <c r="L71" s="171"/>
      <c r="N71" s="66" t="s">
        <v>18</v>
      </c>
      <c r="O71" s="2"/>
      <c r="P71" s="2"/>
      <c r="Q71" s="2"/>
      <c r="R71" s="3"/>
      <c r="S71" s="4"/>
      <c r="T71" s="3"/>
      <c r="U71" s="4"/>
      <c r="V71" s="3"/>
      <c r="W71" s="4"/>
      <c r="X71" s="3"/>
      <c r="Y71" s="4"/>
      <c r="Z71" s="2"/>
    </row>
    <row r="72" spans="1:26" ht="18" customHeight="1" thickBot="1">
      <c r="A72" s="326">
        <v>23</v>
      </c>
      <c r="B72" s="388" t="str">
        <f t="shared" si="10"/>
        <v>7.4. 관계기관 협의</v>
      </c>
      <c r="C72" s="401"/>
      <c r="D72" s="397">
        <v>2</v>
      </c>
      <c r="E72" s="398">
        <v>2</v>
      </c>
      <c r="F72" s="398">
        <v>2</v>
      </c>
      <c r="G72" s="398">
        <v>4</v>
      </c>
      <c r="H72" s="398">
        <v>4</v>
      </c>
      <c r="I72" s="399">
        <v>4</v>
      </c>
      <c r="J72" s="176"/>
      <c r="L72" s="171"/>
      <c r="M72" s="171"/>
      <c r="N72" s="765" t="s">
        <v>19</v>
      </c>
      <c r="O72" s="755" t="s">
        <v>20</v>
      </c>
      <c r="P72" s="755" t="s">
        <v>21</v>
      </c>
      <c r="Q72" s="755" t="s">
        <v>16</v>
      </c>
      <c r="R72" s="5" t="s">
        <v>22</v>
      </c>
      <c r="S72" s="5"/>
      <c r="T72" s="5" t="s">
        <v>23</v>
      </c>
      <c r="U72" s="5"/>
      <c r="V72" s="5" t="s">
        <v>24</v>
      </c>
      <c r="W72" s="5"/>
      <c r="X72" s="5" t="s">
        <v>25</v>
      </c>
      <c r="Y72" s="5"/>
      <c r="Z72" s="755" t="s">
        <v>26</v>
      </c>
    </row>
    <row r="73" spans="1:26" ht="18" customHeight="1" thickBot="1">
      <c r="A73" s="326"/>
      <c r="B73" s="85" t="s">
        <v>15</v>
      </c>
      <c r="C73" s="9" t="s">
        <v>2662</v>
      </c>
      <c r="L73" s="171"/>
      <c r="M73" s="171"/>
      <c r="N73" s="766"/>
      <c r="O73" s="756"/>
      <c r="P73" s="756"/>
      <c r="Q73" s="756"/>
      <c r="R73" s="67" t="s">
        <v>27</v>
      </c>
      <c r="S73" s="67" t="s">
        <v>28</v>
      </c>
      <c r="T73" s="67" t="s">
        <v>27</v>
      </c>
      <c r="U73" s="67" t="s">
        <v>28</v>
      </c>
      <c r="V73" s="67" t="s">
        <v>27</v>
      </c>
      <c r="W73" s="67" t="s">
        <v>28</v>
      </c>
      <c r="X73" s="67" t="s">
        <v>27</v>
      </c>
      <c r="Y73" s="67" t="s">
        <v>28</v>
      </c>
      <c r="Z73" s="756"/>
    </row>
    <row r="74" spans="1:26" ht="18" customHeight="1" thickTop="1">
      <c r="A74" s="326"/>
      <c r="B74" s="8"/>
      <c r="C74" s="9" t="s">
        <v>2663</v>
      </c>
      <c r="L74" s="171"/>
      <c r="M74" s="171"/>
      <c r="N74" s="318" t="str">
        <f ca="1">"제 " &amp; Z74 &amp; " 호표  "&amp; OFFSET($A$1,MATCH(Z74,$A:$A,0)-1,1)</f>
        <v>제 1 호표  1.1. 도시·군관리계획의 개요</v>
      </c>
      <c r="O74" s="221"/>
      <c r="P74" s="148"/>
      <c r="Q74" s="148"/>
      <c r="R74" s="149"/>
      <c r="S74" s="149"/>
      <c r="T74" s="149"/>
      <c r="U74" s="149"/>
      <c r="V74" s="149"/>
      <c r="W74" s="149"/>
      <c r="X74" s="149"/>
      <c r="Y74" s="149"/>
      <c r="Z74" s="325">
        <v>1</v>
      </c>
    </row>
    <row r="75" spans="1:26" ht="18" customHeight="1">
      <c r="A75" s="326"/>
      <c r="B75" s="80"/>
      <c r="C75" s="9"/>
      <c r="L75" s="171"/>
      <c r="M75" s="171"/>
      <c r="N75" s="140" t="s">
        <v>43</v>
      </c>
      <c r="O75" s="172">
        <v>3</v>
      </c>
      <c r="P75" s="219">
        <f ca="1">OFFSET($A$1,MATCH(Z74,$A:$A,0)-1,O75)</f>
        <v>0.29899999999999999</v>
      </c>
      <c r="Q75" s="141" t="s">
        <v>29</v>
      </c>
      <c r="R75" s="142">
        <f t="shared" ref="R75:S80" ca="1" si="17">T75</f>
        <v>467217</v>
      </c>
      <c r="S75" s="142">
        <f t="shared" ca="1" si="17"/>
        <v>139697</v>
      </c>
      <c r="T75" s="142">
        <f ca="1">기술사</f>
        <v>467217</v>
      </c>
      <c r="U75" s="142">
        <f t="shared" ref="U75:U80" ca="1" si="18">ROUNDDOWN(P75*R75,0)</f>
        <v>139697</v>
      </c>
      <c r="V75" s="142"/>
      <c r="W75" s="142"/>
      <c r="X75" s="142"/>
      <c r="Y75" s="142"/>
      <c r="Z75" s="114"/>
    </row>
    <row r="76" spans="1:26" ht="18" customHeight="1">
      <c r="A76" s="326"/>
      <c r="C76" s="9"/>
      <c r="L76" s="171"/>
      <c r="M76" s="171"/>
      <c r="N76" s="143" t="s">
        <v>32</v>
      </c>
      <c r="O76" s="173">
        <v>4</v>
      </c>
      <c r="P76" s="234">
        <f ca="1">OFFSET($A$1,MATCH(Z74,$A:$A,0)-1,O76)</f>
        <v>0.59799999999999998</v>
      </c>
      <c r="Q76" s="144" t="s">
        <v>29</v>
      </c>
      <c r="R76" s="118">
        <f t="shared" ca="1" si="17"/>
        <v>373353</v>
      </c>
      <c r="S76" s="118">
        <f t="shared" ca="1" si="17"/>
        <v>223265</v>
      </c>
      <c r="T76" s="118">
        <f ca="1">특급</f>
        <v>373353</v>
      </c>
      <c r="U76" s="118">
        <f t="shared" ca="1" si="18"/>
        <v>223265</v>
      </c>
      <c r="V76" s="118"/>
      <c r="W76" s="118"/>
      <c r="X76" s="118"/>
      <c r="Y76" s="118"/>
      <c r="Z76" s="115"/>
    </row>
    <row r="77" spans="1:26" ht="18" customHeight="1">
      <c r="A77" s="326"/>
      <c r="C77" s="9"/>
      <c r="L77" s="171"/>
      <c r="M77" s="171"/>
      <c r="N77" s="145" t="s">
        <v>39</v>
      </c>
      <c r="O77" s="173">
        <v>5</v>
      </c>
      <c r="P77" s="234">
        <f ca="1">OFFSET($A$1,MATCH(Z74,$A:$A,0)-1,O77)</f>
        <v>0.998</v>
      </c>
      <c r="Q77" s="144" t="s">
        <v>29</v>
      </c>
      <c r="R77" s="118">
        <f t="shared" ca="1" si="17"/>
        <v>310884</v>
      </c>
      <c r="S77" s="118">
        <f t="shared" ca="1" si="17"/>
        <v>310262</v>
      </c>
      <c r="T77" s="118">
        <f ca="1">고급</f>
        <v>310884</v>
      </c>
      <c r="U77" s="118">
        <f t="shared" ca="1" si="18"/>
        <v>310262</v>
      </c>
      <c r="V77" s="118"/>
      <c r="W77" s="118"/>
      <c r="X77" s="118"/>
      <c r="Y77" s="118"/>
      <c r="Z77" s="115"/>
    </row>
    <row r="78" spans="1:26" ht="18" customHeight="1">
      <c r="A78" s="326"/>
      <c r="C78" s="9"/>
      <c r="L78" s="171"/>
      <c r="M78" s="171"/>
      <c r="N78" s="145" t="s">
        <v>40</v>
      </c>
      <c r="O78" s="173">
        <v>6</v>
      </c>
      <c r="P78" s="234">
        <f ca="1">OFFSET($A$1,MATCH(Z74,$A:$A,0)-1,O78)</f>
        <v>0.998</v>
      </c>
      <c r="Q78" s="144" t="s">
        <v>29</v>
      </c>
      <c r="R78" s="118">
        <f t="shared" ca="1" si="17"/>
        <v>295138</v>
      </c>
      <c r="S78" s="118">
        <f t="shared" ca="1" si="17"/>
        <v>294547</v>
      </c>
      <c r="T78" s="118">
        <f ca="1">중급</f>
        <v>295138</v>
      </c>
      <c r="U78" s="118">
        <f t="shared" ca="1" si="18"/>
        <v>294547</v>
      </c>
      <c r="V78" s="118"/>
      <c r="W78" s="118"/>
      <c r="X78" s="118"/>
      <c r="Y78" s="118"/>
      <c r="Z78" s="115"/>
    </row>
    <row r="79" spans="1:26" ht="18" customHeight="1">
      <c r="A79" s="326"/>
      <c r="C79" s="9"/>
      <c r="K79" s="171" t="s">
        <v>14</v>
      </c>
      <c r="L79" s="171"/>
      <c r="M79" s="171"/>
      <c r="N79" s="145" t="s">
        <v>41</v>
      </c>
      <c r="O79" s="173">
        <v>7</v>
      </c>
      <c r="P79" s="234">
        <f ca="1">OFFSET($A$1,MATCH(Z74,$A:$A,0)-1,O79)</f>
        <v>0.79800000000000004</v>
      </c>
      <c r="Q79" s="144" t="s">
        <v>29</v>
      </c>
      <c r="R79" s="118">
        <f t="shared" ca="1" si="17"/>
        <v>235459</v>
      </c>
      <c r="S79" s="118">
        <f t="shared" ca="1" si="17"/>
        <v>187896</v>
      </c>
      <c r="T79" s="118">
        <f ca="1">초급</f>
        <v>235459</v>
      </c>
      <c r="U79" s="118">
        <f t="shared" ca="1" si="18"/>
        <v>187896</v>
      </c>
      <c r="V79" s="118"/>
      <c r="W79" s="118"/>
      <c r="X79" s="118"/>
      <c r="Y79" s="118"/>
      <c r="Z79" s="115"/>
    </row>
    <row r="80" spans="1:26" ht="18" customHeight="1">
      <c r="A80" s="326"/>
      <c r="C80" s="9"/>
      <c r="K80" s="171" t="s">
        <v>14</v>
      </c>
      <c r="L80" s="171"/>
      <c r="M80" s="171"/>
      <c r="N80" s="319" t="s">
        <v>42</v>
      </c>
      <c r="O80" s="174">
        <v>8</v>
      </c>
      <c r="P80" s="235">
        <f ca="1">OFFSET($A$1,MATCH(Z74,$A:$A,0)-1,O80)</f>
        <v>0.39900000000000002</v>
      </c>
      <c r="Q80" s="322" t="s">
        <v>29</v>
      </c>
      <c r="R80" s="323">
        <f t="shared" ca="1" si="17"/>
        <v>250087</v>
      </c>
      <c r="S80" s="323">
        <f t="shared" ca="1" si="17"/>
        <v>99784</v>
      </c>
      <c r="T80" s="323">
        <f ca="1">보조원</f>
        <v>250087</v>
      </c>
      <c r="U80" s="323">
        <f t="shared" ca="1" si="18"/>
        <v>99784</v>
      </c>
      <c r="V80" s="323"/>
      <c r="W80" s="323"/>
      <c r="X80" s="323"/>
      <c r="Y80" s="323"/>
      <c r="Z80" s="324"/>
    </row>
    <row r="81" spans="1:26" ht="18" customHeight="1">
      <c r="A81" s="326"/>
      <c r="C81" s="9"/>
      <c r="K81" s="171" t="s">
        <v>14</v>
      </c>
      <c r="L81" s="171"/>
      <c r="M81" s="171"/>
      <c r="N81" s="139" t="s">
        <v>17</v>
      </c>
      <c r="O81" s="68"/>
      <c r="P81" s="69"/>
      <c r="Q81" s="70"/>
      <c r="R81" s="71"/>
      <c r="S81" s="71">
        <f ca="1">SUBTOTAL(9,S75:S80)</f>
        <v>1255451</v>
      </c>
      <c r="T81" s="71"/>
      <c r="U81" s="71">
        <f ca="1">SUBTOTAL(9,U75:U80)</f>
        <v>1255451</v>
      </c>
      <c r="V81" s="71"/>
      <c r="W81" s="71"/>
      <c r="X81" s="71"/>
      <c r="Y81" s="71"/>
      <c r="Z81" s="68"/>
    </row>
    <row r="82" spans="1:26" ht="18" customHeight="1">
      <c r="A82" s="326"/>
      <c r="K82" s="171" t="s">
        <v>14</v>
      </c>
      <c r="L82" s="171"/>
      <c r="M82" s="171"/>
      <c r="N82" s="318" t="str">
        <f ca="1">"제 " &amp; Z82 &amp; " 호표  "&amp; OFFSET($A$1,MATCH(Z82,$A:$A,0)-1,1)</f>
        <v>제 2 호표  1.2. 환경현황 조사·분석</v>
      </c>
      <c r="O82" s="221"/>
      <c r="P82" s="148"/>
      <c r="Q82" s="148"/>
      <c r="R82" s="149"/>
      <c r="S82" s="149"/>
      <c r="T82" s="149"/>
      <c r="U82" s="149"/>
      <c r="V82" s="149"/>
      <c r="W82" s="149"/>
      <c r="X82" s="149"/>
      <c r="Y82" s="149"/>
      <c r="Z82" s="325">
        <f>Z74+1</f>
        <v>2</v>
      </c>
    </row>
    <row r="83" spans="1:26" ht="18" customHeight="1">
      <c r="A83" s="326"/>
      <c r="K83" s="171" t="s">
        <v>14</v>
      </c>
      <c r="L83" s="171"/>
      <c r="M83" s="171"/>
      <c r="N83" s="140" t="s">
        <v>43</v>
      </c>
      <c r="O83" s="172">
        <v>3</v>
      </c>
      <c r="P83" s="219">
        <f ca="1">OFFSET($A$1,MATCH(Z82,$A:$A,0)-1,O83)</f>
        <v>0.19900000000000001</v>
      </c>
      <c r="Q83" s="141" t="s">
        <v>29</v>
      </c>
      <c r="R83" s="142">
        <f t="shared" ref="R83:S88" ca="1" si="19">T83</f>
        <v>467217</v>
      </c>
      <c r="S83" s="142">
        <f t="shared" ca="1" si="19"/>
        <v>92976</v>
      </c>
      <c r="T83" s="142">
        <f ca="1">기술사</f>
        <v>467217</v>
      </c>
      <c r="U83" s="142">
        <f t="shared" ref="U83:U88" ca="1" si="20">ROUNDDOWN(P83*R83,0)</f>
        <v>92976</v>
      </c>
      <c r="V83" s="142"/>
      <c r="W83" s="142"/>
      <c r="X83" s="142"/>
      <c r="Y83" s="142"/>
      <c r="Z83" s="114"/>
    </row>
    <row r="84" spans="1:26" ht="18" customHeight="1">
      <c r="A84" s="326"/>
      <c r="K84" s="171" t="s">
        <v>14</v>
      </c>
      <c r="L84" s="171"/>
      <c r="M84" s="171"/>
      <c r="N84" s="143" t="s">
        <v>32</v>
      </c>
      <c r="O84" s="173">
        <v>4</v>
      </c>
      <c r="P84" s="234">
        <f ca="1">OFFSET($A$1,MATCH(Z82,$A:$A,0)-1,O84)</f>
        <v>0.39900000000000002</v>
      </c>
      <c r="Q84" s="144" t="s">
        <v>29</v>
      </c>
      <c r="R84" s="118">
        <f t="shared" ca="1" si="19"/>
        <v>373353</v>
      </c>
      <c r="S84" s="118">
        <f t="shared" ca="1" si="19"/>
        <v>148967</v>
      </c>
      <c r="T84" s="118">
        <f ca="1">특급</f>
        <v>373353</v>
      </c>
      <c r="U84" s="118">
        <f t="shared" ca="1" si="20"/>
        <v>148967</v>
      </c>
      <c r="V84" s="118"/>
      <c r="W84" s="118"/>
      <c r="X84" s="118"/>
      <c r="Y84" s="118"/>
      <c r="Z84" s="115"/>
    </row>
    <row r="85" spans="1:26" ht="18" customHeight="1">
      <c r="A85" s="355"/>
      <c r="K85" s="171" t="s">
        <v>14</v>
      </c>
      <c r="L85" s="171"/>
      <c r="M85" s="171"/>
      <c r="N85" s="145" t="s">
        <v>39</v>
      </c>
      <c r="O85" s="173">
        <v>5</v>
      </c>
      <c r="P85" s="234">
        <f ca="1">OFFSET($A$1,MATCH(Z82,$A:$A,0)-1,O85)</f>
        <v>0.39900000000000002</v>
      </c>
      <c r="Q85" s="144" t="s">
        <v>29</v>
      </c>
      <c r="R85" s="118">
        <f t="shared" ca="1" si="19"/>
        <v>310884</v>
      </c>
      <c r="S85" s="118">
        <f t="shared" ca="1" si="19"/>
        <v>124042</v>
      </c>
      <c r="T85" s="118">
        <f ca="1">고급</f>
        <v>310884</v>
      </c>
      <c r="U85" s="118">
        <f t="shared" ca="1" si="20"/>
        <v>124042</v>
      </c>
      <c r="V85" s="118"/>
      <c r="W85" s="118"/>
      <c r="X85" s="118"/>
      <c r="Y85" s="118"/>
      <c r="Z85" s="115"/>
    </row>
    <row r="86" spans="1:26" ht="18" customHeight="1">
      <c r="A86" s="355"/>
      <c r="K86" s="171" t="s">
        <v>14</v>
      </c>
      <c r="L86" s="171"/>
      <c r="M86" s="171"/>
      <c r="N86" s="145" t="s">
        <v>40</v>
      </c>
      <c r="O86" s="173">
        <v>6</v>
      </c>
      <c r="P86" s="234">
        <f ca="1">OFFSET($A$1,MATCH(Z82,$A:$A,0)-1,O86)</f>
        <v>0.79800000000000004</v>
      </c>
      <c r="Q86" s="144" t="s">
        <v>29</v>
      </c>
      <c r="R86" s="118">
        <f t="shared" ca="1" si="19"/>
        <v>295138</v>
      </c>
      <c r="S86" s="118">
        <f t="shared" ca="1" si="19"/>
        <v>235520</v>
      </c>
      <c r="T86" s="118">
        <f ca="1">중급</f>
        <v>295138</v>
      </c>
      <c r="U86" s="118">
        <f t="shared" ca="1" si="20"/>
        <v>235520</v>
      </c>
      <c r="V86" s="118"/>
      <c r="W86" s="118"/>
      <c r="X86" s="118"/>
      <c r="Y86" s="118"/>
      <c r="Z86" s="115"/>
    </row>
    <row r="87" spans="1:26" ht="18" customHeight="1">
      <c r="A87" s="355"/>
      <c r="K87" s="171" t="s">
        <v>14</v>
      </c>
      <c r="L87" s="171"/>
      <c r="M87" s="171"/>
      <c r="N87" s="145" t="s">
        <v>41</v>
      </c>
      <c r="O87" s="173">
        <v>7</v>
      </c>
      <c r="P87" s="234">
        <f ca="1">OFFSET($A$1,MATCH(Z82,$A:$A,0)-1,O87)</f>
        <v>0.79800000000000004</v>
      </c>
      <c r="Q87" s="144" t="s">
        <v>29</v>
      </c>
      <c r="R87" s="118">
        <f t="shared" ca="1" si="19"/>
        <v>235459</v>
      </c>
      <c r="S87" s="118">
        <f t="shared" ca="1" si="19"/>
        <v>187896</v>
      </c>
      <c r="T87" s="118">
        <f ca="1">초급</f>
        <v>235459</v>
      </c>
      <c r="U87" s="118">
        <f t="shared" ca="1" si="20"/>
        <v>187896</v>
      </c>
      <c r="V87" s="118"/>
      <c r="W87" s="118"/>
      <c r="X87" s="118"/>
      <c r="Y87" s="118"/>
      <c r="Z87" s="115"/>
    </row>
    <row r="88" spans="1:26" ht="18" customHeight="1">
      <c r="A88" s="326"/>
      <c r="K88" s="171" t="s">
        <v>14</v>
      </c>
      <c r="L88" s="171"/>
      <c r="M88" s="171"/>
      <c r="N88" s="319" t="s">
        <v>42</v>
      </c>
      <c r="O88" s="174">
        <v>8</v>
      </c>
      <c r="P88" s="235">
        <f ca="1">OFFSET($A$1,MATCH(Z82,$A:$A,0)-1,O88)</f>
        <v>0.39900000000000002</v>
      </c>
      <c r="Q88" s="322" t="s">
        <v>29</v>
      </c>
      <c r="R88" s="323">
        <f t="shared" ca="1" si="19"/>
        <v>250087</v>
      </c>
      <c r="S88" s="323">
        <f t="shared" ca="1" si="19"/>
        <v>99784</v>
      </c>
      <c r="T88" s="323">
        <f ca="1">보조원</f>
        <v>250087</v>
      </c>
      <c r="U88" s="323">
        <f t="shared" ca="1" si="20"/>
        <v>99784</v>
      </c>
      <c r="V88" s="323"/>
      <c r="W88" s="323"/>
      <c r="X88" s="323"/>
      <c r="Y88" s="323"/>
      <c r="Z88" s="324"/>
    </row>
    <row r="89" spans="1:26" ht="18" customHeight="1">
      <c r="A89" s="326"/>
      <c r="K89" s="171" t="s">
        <v>14</v>
      </c>
      <c r="L89" s="171"/>
      <c r="M89" s="171"/>
      <c r="N89" s="139" t="s">
        <v>17</v>
      </c>
      <c r="O89" s="68"/>
      <c r="P89" s="69"/>
      <c r="Q89" s="70"/>
      <c r="R89" s="71"/>
      <c r="S89" s="71">
        <f ca="1">SUBTOTAL(9,S83:S88)</f>
        <v>889185</v>
      </c>
      <c r="T89" s="71"/>
      <c r="U89" s="71">
        <f ca="1">SUBTOTAL(9,U83:U88)</f>
        <v>889185</v>
      </c>
      <c r="V89" s="71"/>
      <c r="W89" s="71"/>
      <c r="X89" s="71"/>
      <c r="Y89" s="71"/>
      <c r="Z89" s="68"/>
    </row>
    <row r="90" spans="1:26" ht="18" customHeight="1">
      <c r="A90" s="326"/>
      <c r="K90" s="171" t="s">
        <v>14</v>
      </c>
      <c r="L90" s="171"/>
      <c r="M90" s="171"/>
      <c r="N90" s="318" t="str">
        <f ca="1">"제 " &amp; Z90 &amp; " 호표  "&amp; OFFSET($A$1,MATCH(Z90,$A:$A,0)-1,1)</f>
        <v>제 3 호표  2.1. 검토항목 설정</v>
      </c>
      <c r="O90" s="221"/>
      <c r="P90" s="148"/>
      <c r="Q90" s="148"/>
      <c r="R90" s="149"/>
      <c r="S90" s="149"/>
      <c r="T90" s="149"/>
      <c r="U90" s="149"/>
      <c r="V90" s="149"/>
      <c r="W90" s="149"/>
      <c r="X90" s="149"/>
      <c r="Y90" s="149"/>
      <c r="Z90" s="325">
        <f>Z82+1</f>
        <v>3</v>
      </c>
    </row>
    <row r="91" spans="1:26" ht="18" customHeight="1">
      <c r="A91" s="326"/>
      <c r="K91" s="171" t="s">
        <v>14</v>
      </c>
      <c r="L91" s="171"/>
      <c r="M91" s="171"/>
      <c r="N91" s="140" t="s">
        <v>43</v>
      </c>
      <c r="O91" s="172">
        <v>3</v>
      </c>
      <c r="P91" s="219">
        <f ca="1">OFFSET($A$1,MATCH(Z90,$A:$A,0)-1,O91)</f>
        <v>9.9000000000000005E-2</v>
      </c>
      <c r="Q91" s="141" t="s">
        <v>29</v>
      </c>
      <c r="R91" s="142">
        <f t="shared" ref="R91:S96" ca="1" si="21">T91</f>
        <v>467217</v>
      </c>
      <c r="S91" s="142">
        <f t="shared" ca="1" si="21"/>
        <v>46254</v>
      </c>
      <c r="T91" s="142">
        <f ca="1">기술사</f>
        <v>467217</v>
      </c>
      <c r="U91" s="142">
        <f t="shared" ref="U91:U96" ca="1" si="22">ROUNDDOWN(P91*R91,0)</f>
        <v>46254</v>
      </c>
      <c r="V91" s="142"/>
      <c r="W91" s="142"/>
      <c r="X91" s="142"/>
      <c r="Y91" s="142"/>
      <c r="Z91" s="114"/>
    </row>
    <row r="92" spans="1:26" ht="18" customHeight="1">
      <c r="A92" s="326"/>
      <c r="K92" s="171" t="s">
        <v>14</v>
      </c>
      <c r="L92" s="171"/>
      <c r="M92" s="171"/>
      <c r="N92" s="143" t="s">
        <v>32</v>
      </c>
      <c r="O92" s="173">
        <v>4</v>
      </c>
      <c r="P92" s="234">
        <f ca="1">OFFSET($A$1,MATCH(Z90,$A:$A,0)-1,O92)</f>
        <v>0.19900000000000001</v>
      </c>
      <c r="Q92" s="144" t="s">
        <v>29</v>
      </c>
      <c r="R92" s="118">
        <f t="shared" ca="1" si="21"/>
        <v>373353</v>
      </c>
      <c r="S92" s="118">
        <f t="shared" ca="1" si="21"/>
        <v>74297</v>
      </c>
      <c r="T92" s="118">
        <f ca="1">특급</f>
        <v>373353</v>
      </c>
      <c r="U92" s="118">
        <f t="shared" ca="1" si="22"/>
        <v>74297</v>
      </c>
      <c r="V92" s="118"/>
      <c r="W92" s="118"/>
      <c r="X92" s="118"/>
      <c r="Y92" s="118"/>
      <c r="Z92" s="115"/>
    </row>
    <row r="93" spans="1:26" ht="18" customHeight="1">
      <c r="A93" s="326"/>
      <c r="K93" s="171" t="s">
        <v>14</v>
      </c>
      <c r="L93" s="171"/>
      <c r="M93" s="171"/>
      <c r="N93" s="145" t="s">
        <v>39</v>
      </c>
      <c r="O93" s="173">
        <v>5</v>
      </c>
      <c r="P93" s="234">
        <f ca="1">OFFSET($A$1,MATCH(Z90,$A:$A,0)-1,O93)</f>
        <v>0.19900000000000001</v>
      </c>
      <c r="Q93" s="144" t="s">
        <v>29</v>
      </c>
      <c r="R93" s="118">
        <f t="shared" ca="1" si="21"/>
        <v>310884</v>
      </c>
      <c r="S93" s="118">
        <f t="shared" ca="1" si="21"/>
        <v>61865</v>
      </c>
      <c r="T93" s="118">
        <f ca="1">고급</f>
        <v>310884</v>
      </c>
      <c r="U93" s="118">
        <f t="shared" ca="1" si="22"/>
        <v>61865</v>
      </c>
      <c r="V93" s="118"/>
      <c r="W93" s="118"/>
      <c r="X93" s="118"/>
      <c r="Y93" s="118"/>
      <c r="Z93" s="115"/>
    </row>
    <row r="94" spans="1:26" ht="18" customHeight="1">
      <c r="A94" s="326"/>
      <c r="K94" s="171" t="s">
        <v>14</v>
      </c>
      <c r="L94" s="171"/>
      <c r="M94" s="171"/>
      <c r="N94" s="145" t="s">
        <v>40</v>
      </c>
      <c r="O94" s="173">
        <v>6</v>
      </c>
      <c r="P94" s="234">
        <f ca="1">OFFSET($A$1,MATCH(Z90,$A:$A,0)-1,O94)</f>
        <v>0.29899999999999999</v>
      </c>
      <c r="Q94" s="144" t="s">
        <v>29</v>
      </c>
      <c r="R94" s="118">
        <f t="shared" ca="1" si="21"/>
        <v>295138</v>
      </c>
      <c r="S94" s="118">
        <f t="shared" ca="1" si="21"/>
        <v>88246</v>
      </c>
      <c r="T94" s="118">
        <f ca="1">중급</f>
        <v>295138</v>
      </c>
      <c r="U94" s="118">
        <f t="shared" ca="1" si="22"/>
        <v>88246</v>
      </c>
      <c r="V94" s="118"/>
      <c r="W94" s="118"/>
      <c r="X94" s="118"/>
      <c r="Y94" s="118"/>
      <c r="Z94" s="115"/>
    </row>
    <row r="95" spans="1:26" ht="18" customHeight="1">
      <c r="A95" s="326"/>
      <c r="K95" s="171" t="s">
        <v>14</v>
      </c>
      <c r="L95" s="171"/>
      <c r="M95" s="171"/>
      <c r="N95" s="145" t="s">
        <v>41</v>
      </c>
      <c r="O95" s="173">
        <v>7</v>
      </c>
      <c r="P95" s="234">
        <f ca="1">OFFSET($A$1,MATCH(Z90,$A:$A,0)-1,O95)</f>
        <v>0.39900000000000002</v>
      </c>
      <c r="Q95" s="144" t="s">
        <v>29</v>
      </c>
      <c r="R95" s="118">
        <f t="shared" ca="1" si="21"/>
        <v>235459</v>
      </c>
      <c r="S95" s="118">
        <f t="shared" ca="1" si="21"/>
        <v>93948</v>
      </c>
      <c r="T95" s="118">
        <f ca="1">초급</f>
        <v>235459</v>
      </c>
      <c r="U95" s="118">
        <f t="shared" ca="1" si="22"/>
        <v>93948</v>
      </c>
      <c r="V95" s="118"/>
      <c r="W95" s="118"/>
      <c r="X95" s="118"/>
      <c r="Y95" s="118"/>
      <c r="Z95" s="115"/>
    </row>
    <row r="96" spans="1:26" ht="18" customHeight="1">
      <c r="A96" s="326"/>
      <c r="K96" s="171" t="s">
        <v>14</v>
      </c>
      <c r="L96" s="171"/>
      <c r="M96" s="171"/>
      <c r="N96" s="319" t="s">
        <v>42</v>
      </c>
      <c r="O96" s="174">
        <v>8</v>
      </c>
      <c r="P96" s="235">
        <f ca="1">OFFSET($A$1,MATCH(Z90,$A:$A,0)-1,O96)</f>
        <v>0.19900000000000001</v>
      </c>
      <c r="Q96" s="322" t="s">
        <v>29</v>
      </c>
      <c r="R96" s="323">
        <f t="shared" ca="1" si="21"/>
        <v>250087</v>
      </c>
      <c r="S96" s="323">
        <f t="shared" ca="1" si="21"/>
        <v>49767</v>
      </c>
      <c r="T96" s="323">
        <f ca="1">보조원</f>
        <v>250087</v>
      </c>
      <c r="U96" s="323">
        <f t="shared" ca="1" si="22"/>
        <v>49767</v>
      </c>
      <c r="V96" s="323"/>
      <c r="W96" s="323"/>
      <c r="X96" s="323"/>
      <c r="Y96" s="323"/>
      <c r="Z96" s="324"/>
    </row>
    <row r="97" spans="1:26" ht="18" customHeight="1">
      <c r="A97" s="326"/>
      <c r="K97" s="171" t="s">
        <v>14</v>
      </c>
      <c r="L97" s="171"/>
      <c r="M97" s="171"/>
      <c r="N97" s="139" t="s">
        <v>17</v>
      </c>
      <c r="O97" s="68"/>
      <c r="P97" s="69"/>
      <c r="Q97" s="70"/>
      <c r="R97" s="71"/>
      <c r="S97" s="71">
        <f ca="1">SUBTOTAL(9,S91:S96)</f>
        <v>414377</v>
      </c>
      <c r="T97" s="71"/>
      <c r="U97" s="71">
        <f ca="1">SUBTOTAL(9,U91:U96)</f>
        <v>414377</v>
      </c>
      <c r="V97" s="71"/>
      <c r="W97" s="71"/>
      <c r="X97" s="71"/>
      <c r="Y97" s="71"/>
      <c r="Z97" s="68"/>
    </row>
    <row r="98" spans="1:26" ht="18" customHeight="1">
      <c r="A98" s="326"/>
      <c r="K98" s="171" t="s">
        <v>14</v>
      </c>
      <c r="L98" s="171"/>
      <c r="M98" s="171"/>
      <c r="N98" s="318" t="str">
        <f ca="1">"제 " &amp; Z98 &amp; " 호표  "&amp; OFFSET($A$1,MATCH(Z98,$A:$A,0)-1,1)</f>
        <v>제 4 호표  2.2. 대안의 설정</v>
      </c>
      <c r="O98" s="221"/>
      <c r="P98" s="148"/>
      <c r="Q98" s="148"/>
      <c r="R98" s="149"/>
      <c r="S98" s="149"/>
      <c r="T98" s="149"/>
      <c r="U98" s="149"/>
      <c r="V98" s="149"/>
      <c r="W98" s="149"/>
      <c r="X98" s="149"/>
      <c r="Y98" s="149"/>
      <c r="Z98" s="325">
        <f>Z90+1</f>
        <v>4</v>
      </c>
    </row>
    <row r="99" spans="1:26" ht="18" customHeight="1">
      <c r="A99" s="326"/>
      <c r="K99" s="171" t="s">
        <v>14</v>
      </c>
      <c r="L99" s="171"/>
      <c r="M99" s="171"/>
      <c r="N99" s="140" t="s">
        <v>43</v>
      </c>
      <c r="O99" s="172">
        <v>3</v>
      </c>
      <c r="P99" s="219">
        <f ca="1">OFFSET($A$1,MATCH(Z98,$A:$A,0)-1,O99)</f>
        <v>3.6920000000000002</v>
      </c>
      <c r="Q99" s="141" t="s">
        <v>29</v>
      </c>
      <c r="R99" s="142">
        <f t="shared" ref="R99:S104" ca="1" si="23">T99</f>
        <v>467217</v>
      </c>
      <c r="S99" s="142">
        <f t="shared" ca="1" si="23"/>
        <v>1724965</v>
      </c>
      <c r="T99" s="142">
        <f ca="1">기술사</f>
        <v>467217</v>
      </c>
      <c r="U99" s="142">
        <f t="shared" ref="U99:U104" ca="1" si="24">ROUNDDOWN(P99*R99,0)</f>
        <v>1724965</v>
      </c>
      <c r="V99" s="142"/>
      <c r="W99" s="142"/>
      <c r="X99" s="142"/>
      <c r="Y99" s="142"/>
      <c r="Z99" s="114"/>
    </row>
    <row r="100" spans="1:26" ht="18" customHeight="1">
      <c r="A100" s="326"/>
      <c r="K100" s="171" t="s">
        <v>14</v>
      </c>
      <c r="L100" s="171"/>
      <c r="M100" s="171"/>
      <c r="N100" s="143" t="s">
        <v>32</v>
      </c>
      <c r="O100" s="173">
        <v>4</v>
      </c>
      <c r="P100" s="234">
        <f ca="1">OFFSET($A$1,MATCH(Z98,$A:$A,0)-1,O100)</f>
        <v>7.3849999999999998</v>
      </c>
      <c r="Q100" s="144" t="s">
        <v>29</v>
      </c>
      <c r="R100" s="118">
        <f t="shared" ca="1" si="23"/>
        <v>373353</v>
      </c>
      <c r="S100" s="118">
        <f t="shared" ca="1" si="23"/>
        <v>2757211</v>
      </c>
      <c r="T100" s="118">
        <f ca="1">특급</f>
        <v>373353</v>
      </c>
      <c r="U100" s="118">
        <f t="shared" ca="1" si="24"/>
        <v>2757211</v>
      </c>
      <c r="V100" s="118"/>
      <c r="W100" s="118"/>
      <c r="X100" s="118"/>
      <c r="Y100" s="118"/>
      <c r="Z100" s="115"/>
    </row>
    <row r="101" spans="1:26" ht="18" customHeight="1">
      <c r="A101" s="326"/>
      <c r="K101" s="171" t="s">
        <v>14</v>
      </c>
      <c r="L101" s="171"/>
      <c r="M101" s="171"/>
      <c r="N101" s="145" t="s">
        <v>39</v>
      </c>
      <c r="O101" s="173">
        <v>5</v>
      </c>
      <c r="P101" s="234">
        <f ca="1">OFFSET($A$1,MATCH(Z98,$A:$A,0)-1,O101)</f>
        <v>12.773999999999999</v>
      </c>
      <c r="Q101" s="144" t="s">
        <v>29</v>
      </c>
      <c r="R101" s="118">
        <f t="shared" ca="1" si="23"/>
        <v>310884</v>
      </c>
      <c r="S101" s="118">
        <f t="shared" ca="1" si="23"/>
        <v>3971232</v>
      </c>
      <c r="T101" s="118">
        <f ca="1">고급</f>
        <v>310884</v>
      </c>
      <c r="U101" s="118">
        <f t="shared" ca="1" si="24"/>
        <v>3971232</v>
      </c>
      <c r="V101" s="118"/>
      <c r="W101" s="118"/>
      <c r="X101" s="118"/>
      <c r="Y101" s="118"/>
      <c r="Z101" s="115"/>
    </row>
    <row r="102" spans="1:26" ht="18" customHeight="1">
      <c r="A102" s="326"/>
      <c r="K102" s="171" t="s">
        <v>14</v>
      </c>
      <c r="L102" s="171"/>
      <c r="M102" s="171"/>
      <c r="N102" s="145" t="s">
        <v>40</v>
      </c>
      <c r="O102" s="173">
        <v>6</v>
      </c>
      <c r="P102" s="234">
        <f ca="1">OFFSET($A$1,MATCH(Z98,$A:$A,0)-1,O102)</f>
        <v>22.155000000000001</v>
      </c>
      <c r="Q102" s="144" t="s">
        <v>29</v>
      </c>
      <c r="R102" s="118">
        <f t="shared" ca="1" si="23"/>
        <v>295138</v>
      </c>
      <c r="S102" s="118">
        <f t="shared" ca="1" si="23"/>
        <v>6538782</v>
      </c>
      <c r="T102" s="118">
        <f ca="1">중급</f>
        <v>295138</v>
      </c>
      <c r="U102" s="118">
        <f t="shared" ca="1" si="24"/>
        <v>6538782</v>
      </c>
      <c r="V102" s="118"/>
      <c r="W102" s="118"/>
      <c r="X102" s="118"/>
      <c r="Y102" s="118"/>
      <c r="Z102" s="115"/>
    </row>
    <row r="103" spans="1:26" ht="18" customHeight="1">
      <c r="A103" s="326"/>
      <c r="K103" s="171" t="s">
        <v>14</v>
      </c>
      <c r="L103" s="171"/>
      <c r="M103" s="171"/>
      <c r="N103" s="145" t="s">
        <v>41</v>
      </c>
      <c r="O103" s="173">
        <v>7</v>
      </c>
      <c r="P103" s="234">
        <f ca="1">OFFSET($A$1,MATCH(Z98,$A:$A,0)-1,O103)</f>
        <v>18.263000000000002</v>
      </c>
      <c r="Q103" s="144" t="s">
        <v>29</v>
      </c>
      <c r="R103" s="118">
        <f t="shared" ca="1" si="23"/>
        <v>235459</v>
      </c>
      <c r="S103" s="118">
        <f t="shared" ca="1" si="23"/>
        <v>4300187</v>
      </c>
      <c r="T103" s="118">
        <f ca="1">초급</f>
        <v>235459</v>
      </c>
      <c r="U103" s="118">
        <f t="shared" ca="1" si="24"/>
        <v>4300187</v>
      </c>
      <c r="V103" s="118"/>
      <c r="W103" s="118"/>
      <c r="X103" s="118"/>
      <c r="Y103" s="118"/>
      <c r="Z103" s="115"/>
    </row>
    <row r="104" spans="1:26" ht="18" customHeight="1">
      <c r="A104" s="326"/>
      <c r="K104" s="171" t="s">
        <v>14</v>
      </c>
      <c r="L104" s="171"/>
      <c r="M104" s="171"/>
      <c r="N104" s="319" t="s">
        <v>42</v>
      </c>
      <c r="O104" s="174">
        <v>8</v>
      </c>
      <c r="P104" s="235">
        <f ca="1">OFFSET($A$1,MATCH(Z98,$A:$A,0)-1,O104)</f>
        <v>9.0809999999999995</v>
      </c>
      <c r="Q104" s="322" t="s">
        <v>29</v>
      </c>
      <c r="R104" s="323">
        <f t="shared" ca="1" si="23"/>
        <v>250087</v>
      </c>
      <c r="S104" s="323">
        <f t="shared" ca="1" si="23"/>
        <v>2271040</v>
      </c>
      <c r="T104" s="323">
        <f ca="1">보조원</f>
        <v>250087</v>
      </c>
      <c r="U104" s="323">
        <f t="shared" ca="1" si="24"/>
        <v>2271040</v>
      </c>
      <c r="V104" s="323"/>
      <c r="W104" s="323"/>
      <c r="X104" s="323"/>
      <c r="Y104" s="323"/>
      <c r="Z104" s="324"/>
    </row>
    <row r="105" spans="1:26" ht="18" customHeight="1">
      <c r="A105" s="326"/>
      <c r="K105" s="171" t="s">
        <v>14</v>
      </c>
      <c r="L105" s="171"/>
      <c r="M105" s="171"/>
      <c r="N105" s="139" t="s">
        <v>17</v>
      </c>
      <c r="O105" s="68"/>
      <c r="P105" s="69"/>
      <c r="Q105" s="70"/>
      <c r="R105" s="71"/>
      <c r="S105" s="71">
        <f ca="1">SUBTOTAL(9,S99:S104)</f>
        <v>21563417</v>
      </c>
      <c r="T105" s="71"/>
      <c r="U105" s="71">
        <f ca="1">SUBTOTAL(9,U99:U104)</f>
        <v>21563417</v>
      </c>
      <c r="V105" s="71"/>
      <c r="W105" s="71"/>
      <c r="X105" s="71"/>
      <c r="Y105" s="71"/>
      <c r="Z105" s="68"/>
    </row>
    <row r="106" spans="1:26" ht="18" customHeight="1">
      <c r="K106" s="171" t="s">
        <v>14</v>
      </c>
      <c r="L106" s="171"/>
      <c r="M106" s="171"/>
      <c r="N106" s="318" t="str">
        <f ca="1">"제 " &amp; Z106 &amp; " 호표  "&amp; OFFSET($A$1,MATCH(Z106,$A:$A,0)-1,1)</f>
        <v>제 5 호표  3.1. 계획의 적정성 및 입지의 타당성</v>
      </c>
      <c r="O106" s="221"/>
      <c r="P106" s="148"/>
      <c r="Q106" s="148"/>
      <c r="R106" s="149"/>
      <c r="S106" s="149"/>
      <c r="T106" s="149"/>
      <c r="U106" s="149"/>
      <c r="V106" s="149"/>
      <c r="W106" s="149"/>
      <c r="X106" s="149"/>
      <c r="Y106" s="149"/>
      <c r="Z106" s="325">
        <f>Z98+1</f>
        <v>5</v>
      </c>
    </row>
    <row r="107" spans="1:26" ht="18" customHeight="1">
      <c r="K107" s="171" t="s">
        <v>14</v>
      </c>
      <c r="L107" s="171"/>
      <c r="M107" s="171"/>
      <c r="N107" s="140" t="s">
        <v>43</v>
      </c>
      <c r="O107" s="172">
        <v>3</v>
      </c>
      <c r="P107" s="219">
        <f ca="1">OFFSET($A$1,MATCH(Z106,$A:$A,0)-1,O107)</f>
        <v>0.19900000000000001</v>
      </c>
      <c r="Q107" s="141" t="s">
        <v>29</v>
      </c>
      <c r="R107" s="142">
        <f t="shared" ref="R107:S112" ca="1" si="25">T107</f>
        <v>467217</v>
      </c>
      <c r="S107" s="142">
        <f t="shared" ca="1" si="25"/>
        <v>92976</v>
      </c>
      <c r="T107" s="142">
        <f ca="1">기술사</f>
        <v>467217</v>
      </c>
      <c r="U107" s="142">
        <f t="shared" ref="U107:U112" ca="1" si="26">ROUNDDOWN(P107*R107,0)</f>
        <v>92976</v>
      </c>
      <c r="V107" s="142"/>
      <c r="W107" s="142"/>
      <c r="X107" s="142"/>
      <c r="Y107" s="142"/>
      <c r="Z107" s="114"/>
    </row>
    <row r="108" spans="1:26" ht="18" customHeight="1">
      <c r="K108" s="171" t="s">
        <v>14</v>
      </c>
      <c r="L108" s="171"/>
      <c r="M108" s="171"/>
      <c r="N108" s="143" t="s">
        <v>32</v>
      </c>
      <c r="O108" s="173">
        <v>4</v>
      </c>
      <c r="P108" s="234">
        <f ca="1">OFFSET($A$1,MATCH(Z106,$A:$A,0)-1,O108)</f>
        <v>0.39900000000000002</v>
      </c>
      <c r="Q108" s="144" t="s">
        <v>29</v>
      </c>
      <c r="R108" s="118">
        <f t="shared" ca="1" si="25"/>
        <v>373353</v>
      </c>
      <c r="S108" s="118">
        <f t="shared" ca="1" si="25"/>
        <v>148967</v>
      </c>
      <c r="T108" s="118">
        <f ca="1">특급</f>
        <v>373353</v>
      </c>
      <c r="U108" s="118">
        <f t="shared" ca="1" si="26"/>
        <v>148967</v>
      </c>
      <c r="V108" s="118"/>
      <c r="W108" s="118"/>
      <c r="X108" s="118"/>
      <c r="Y108" s="118"/>
      <c r="Z108" s="115"/>
    </row>
    <row r="109" spans="1:26" ht="18" customHeight="1">
      <c r="K109" s="171" t="s">
        <v>14</v>
      </c>
      <c r="L109" s="171"/>
      <c r="M109" s="171"/>
      <c r="N109" s="145" t="s">
        <v>39</v>
      </c>
      <c r="O109" s="173">
        <v>5</v>
      </c>
      <c r="P109" s="234">
        <f ca="1">OFFSET($A$1,MATCH(Z106,$A:$A,0)-1,O109)</f>
        <v>0.69799999999999995</v>
      </c>
      <c r="Q109" s="144" t="s">
        <v>29</v>
      </c>
      <c r="R109" s="118">
        <f t="shared" ca="1" si="25"/>
        <v>310884</v>
      </c>
      <c r="S109" s="118">
        <f t="shared" ca="1" si="25"/>
        <v>216997</v>
      </c>
      <c r="T109" s="118">
        <f ca="1">고급</f>
        <v>310884</v>
      </c>
      <c r="U109" s="118">
        <f t="shared" ca="1" si="26"/>
        <v>216997</v>
      </c>
      <c r="V109" s="118"/>
      <c r="W109" s="118"/>
      <c r="X109" s="118"/>
      <c r="Y109" s="118"/>
      <c r="Z109" s="115"/>
    </row>
    <row r="110" spans="1:26" ht="18" customHeight="1">
      <c r="K110" s="171" t="s">
        <v>14</v>
      </c>
      <c r="L110" s="171"/>
      <c r="M110" s="171"/>
      <c r="N110" s="145" t="s">
        <v>40</v>
      </c>
      <c r="O110" s="173">
        <v>6</v>
      </c>
      <c r="P110" s="234">
        <f ca="1">OFFSET($A$1,MATCH(Z106,$A:$A,0)-1,O110)</f>
        <v>1.4970000000000001</v>
      </c>
      <c r="Q110" s="144" t="s">
        <v>29</v>
      </c>
      <c r="R110" s="118">
        <f t="shared" ca="1" si="25"/>
        <v>295138</v>
      </c>
      <c r="S110" s="118">
        <f t="shared" ca="1" si="25"/>
        <v>441821</v>
      </c>
      <c r="T110" s="118">
        <f ca="1">중급</f>
        <v>295138</v>
      </c>
      <c r="U110" s="118">
        <f t="shared" ca="1" si="26"/>
        <v>441821</v>
      </c>
      <c r="V110" s="118"/>
      <c r="W110" s="118"/>
      <c r="X110" s="118"/>
      <c r="Y110" s="118"/>
      <c r="Z110" s="115"/>
    </row>
    <row r="111" spans="1:26" ht="18" customHeight="1">
      <c r="K111" s="171" t="s">
        <v>14</v>
      </c>
      <c r="L111" s="171"/>
      <c r="M111" s="171"/>
      <c r="N111" s="145" t="s">
        <v>41</v>
      </c>
      <c r="O111" s="173">
        <v>7</v>
      </c>
      <c r="P111" s="234">
        <f ca="1">OFFSET($A$1,MATCH(Z106,$A:$A,0)-1,O111)</f>
        <v>1.796</v>
      </c>
      <c r="Q111" s="144" t="s">
        <v>29</v>
      </c>
      <c r="R111" s="118">
        <f t="shared" ca="1" si="25"/>
        <v>235459</v>
      </c>
      <c r="S111" s="118">
        <f t="shared" ca="1" si="25"/>
        <v>422884</v>
      </c>
      <c r="T111" s="118">
        <f ca="1">초급</f>
        <v>235459</v>
      </c>
      <c r="U111" s="118">
        <f t="shared" ca="1" si="26"/>
        <v>422884</v>
      </c>
      <c r="V111" s="118"/>
      <c r="W111" s="118"/>
      <c r="X111" s="118"/>
      <c r="Y111" s="118"/>
      <c r="Z111" s="115"/>
    </row>
    <row r="112" spans="1:26" ht="18" customHeight="1">
      <c r="K112" s="171" t="s">
        <v>14</v>
      </c>
      <c r="L112" s="171"/>
      <c r="M112" s="171"/>
      <c r="N112" s="319" t="s">
        <v>42</v>
      </c>
      <c r="O112" s="174">
        <v>8</v>
      </c>
      <c r="P112" s="235">
        <f ca="1">OFFSET($A$1,MATCH(Z106,$A:$A,0)-1,O112)</f>
        <v>0.89800000000000002</v>
      </c>
      <c r="Q112" s="322" t="s">
        <v>29</v>
      </c>
      <c r="R112" s="323">
        <f t="shared" ca="1" si="25"/>
        <v>250087</v>
      </c>
      <c r="S112" s="323">
        <f t="shared" ca="1" si="25"/>
        <v>224578</v>
      </c>
      <c r="T112" s="323">
        <f ca="1">보조원</f>
        <v>250087</v>
      </c>
      <c r="U112" s="323">
        <f t="shared" ca="1" si="26"/>
        <v>224578</v>
      </c>
      <c r="V112" s="323"/>
      <c r="W112" s="323"/>
      <c r="X112" s="323"/>
      <c r="Y112" s="323"/>
      <c r="Z112" s="324"/>
    </row>
    <row r="113" spans="11:26" ht="18" customHeight="1">
      <c r="K113" s="171" t="s">
        <v>14</v>
      </c>
      <c r="L113" s="171"/>
      <c r="M113" s="171"/>
      <c r="N113" s="139" t="s">
        <v>17</v>
      </c>
      <c r="O113" s="68"/>
      <c r="P113" s="69"/>
      <c r="Q113" s="70"/>
      <c r="R113" s="71"/>
      <c r="S113" s="71">
        <f ca="1">SUBTOTAL(9,S107:S112)</f>
        <v>1548223</v>
      </c>
      <c r="T113" s="71"/>
      <c r="U113" s="71">
        <f ca="1">SUBTOTAL(9,U107:U112)</f>
        <v>1548223</v>
      </c>
      <c r="V113" s="71"/>
      <c r="W113" s="71"/>
      <c r="X113" s="71"/>
      <c r="Y113" s="71"/>
      <c r="Z113" s="68"/>
    </row>
    <row r="114" spans="11:26" ht="18" customHeight="1">
      <c r="K114" s="171" t="s">
        <v>14</v>
      </c>
      <c r="L114" s="171"/>
      <c r="M114" s="171"/>
      <c r="N114" s="318" t="str">
        <f ca="1">"제 " &amp; Z114 &amp; " 호표  "&amp; OFFSET($A$1,MATCH(Z114,$A:$A,0)-1,1)</f>
        <v>제 6 호표  3.2. 생물다양성 서식지 보전</v>
      </c>
      <c r="O114" s="221"/>
      <c r="P114" s="148"/>
      <c r="Q114" s="148"/>
      <c r="R114" s="149"/>
      <c r="S114" s="149"/>
      <c r="T114" s="149"/>
      <c r="U114" s="149"/>
      <c r="V114" s="149"/>
      <c r="W114" s="149"/>
      <c r="X114" s="149"/>
      <c r="Y114" s="149"/>
      <c r="Z114" s="325">
        <f>Z106+1</f>
        <v>6</v>
      </c>
    </row>
    <row r="115" spans="11:26" ht="18" customHeight="1">
      <c r="K115" s="171" t="s">
        <v>14</v>
      </c>
      <c r="L115" s="171"/>
      <c r="M115" s="171"/>
      <c r="N115" s="140" t="s">
        <v>43</v>
      </c>
      <c r="O115" s="172">
        <v>3</v>
      </c>
      <c r="P115" s="219">
        <f ca="1">OFFSET($A$1,MATCH(Z114,$A:$A,0)-1,O115)</f>
        <v>9.9000000000000005E-2</v>
      </c>
      <c r="Q115" s="141" t="s">
        <v>29</v>
      </c>
      <c r="R115" s="142">
        <f t="shared" ref="R115:S120" ca="1" si="27">T115</f>
        <v>467217</v>
      </c>
      <c r="S115" s="142">
        <f t="shared" ca="1" si="27"/>
        <v>46254</v>
      </c>
      <c r="T115" s="142">
        <f ca="1">기술사</f>
        <v>467217</v>
      </c>
      <c r="U115" s="142">
        <f t="shared" ref="U115:U120" ca="1" si="28">ROUNDDOWN(P115*R115,0)</f>
        <v>46254</v>
      </c>
      <c r="V115" s="142"/>
      <c r="W115" s="142"/>
      <c r="X115" s="142"/>
      <c r="Y115" s="142"/>
      <c r="Z115" s="114"/>
    </row>
    <row r="116" spans="11:26" ht="18" customHeight="1">
      <c r="K116" s="171" t="s">
        <v>14</v>
      </c>
      <c r="L116" s="171"/>
      <c r="M116" s="171"/>
      <c r="N116" s="143" t="s">
        <v>32</v>
      </c>
      <c r="O116" s="173">
        <v>4</v>
      </c>
      <c r="P116" s="234">
        <f ca="1">OFFSET($A$1,MATCH(Z114,$A:$A,0)-1,O116)</f>
        <v>5.9880000000000004</v>
      </c>
      <c r="Q116" s="144" t="s">
        <v>29</v>
      </c>
      <c r="R116" s="118">
        <f t="shared" ca="1" si="27"/>
        <v>373353</v>
      </c>
      <c r="S116" s="118">
        <f t="shared" ca="1" si="27"/>
        <v>2235637</v>
      </c>
      <c r="T116" s="118">
        <f ca="1">특급</f>
        <v>373353</v>
      </c>
      <c r="U116" s="118">
        <f t="shared" ca="1" si="28"/>
        <v>2235637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39</v>
      </c>
      <c r="O117" s="173">
        <v>5</v>
      </c>
      <c r="P117" s="234">
        <f ca="1">OFFSET($A$1,MATCH(Z114,$A:$A,0)-1,O117)</f>
        <v>5.1890000000000001</v>
      </c>
      <c r="Q117" s="144" t="s">
        <v>29</v>
      </c>
      <c r="R117" s="118">
        <f t="shared" ca="1" si="27"/>
        <v>310884</v>
      </c>
      <c r="S117" s="118">
        <f t="shared" ca="1" si="27"/>
        <v>1613177</v>
      </c>
      <c r="T117" s="118">
        <f ca="1">고급</f>
        <v>310884</v>
      </c>
      <c r="U117" s="118">
        <f t="shared" ca="1" si="28"/>
        <v>1613177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40</v>
      </c>
      <c r="O118" s="173">
        <v>6</v>
      </c>
      <c r="P118" s="234">
        <f ca="1">OFFSET($A$1,MATCH(Z114,$A:$A,0)-1,O118)</f>
        <v>2.694</v>
      </c>
      <c r="Q118" s="144" t="s">
        <v>29</v>
      </c>
      <c r="R118" s="118">
        <f t="shared" ca="1" si="27"/>
        <v>295138</v>
      </c>
      <c r="S118" s="118">
        <f t="shared" ca="1" si="27"/>
        <v>795101</v>
      </c>
      <c r="T118" s="118">
        <f ca="1">중급</f>
        <v>295138</v>
      </c>
      <c r="U118" s="118">
        <f t="shared" ca="1" si="28"/>
        <v>795101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41</v>
      </c>
      <c r="O119" s="173">
        <v>7</v>
      </c>
      <c r="P119" s="234">
        <f ca="1">OFFSET($A$1,MATCH(Z114,$A:$A,0)-1,O119)</f>
        <v>0.998</v>
      </c>
      <c r="Q119" s="144" t="s">
        <v>29</v>
      </c>
      <c r="R119" s="118">
        <f t="shared" ca="1" si="27"/>
        <v>235459</v>
      </c>
      <c r="S119" s="118">
        <f t="shared" ca="1" si="27"/>
        <v>234988</v>
      </c>
      <c r="T119" s="118">
        <f ca="1">초급</f>
        <v>235459</v>
      </c>
      <c r="U119" s="118">
        <f t="shared" ca="1" si="28"/>
        <v>234988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319" t="s">
        <v>42</v>
      </c>
      <c r="O120" s="174">
        <v>8</v>
      </c>
      <c r="P120" s="235">
        <f ca="1">OFFSET($A$1,MATCH(Z114,$A:$A,0)-1,O120)</f>
        <v>9.9000000000000005E-2</v>
      </c>
      <c r="Q120" s="322" t="s">
        <v>29</v>
      </c>
      <c r="R120" s="323">
        <f t="shared" ca="1" si="27"/>
        <v>250087</v>
      </c>
      <c r="S120" s="323">
        <f t="shared" ca="1" si="27"/>
        <v>24758</v>
      </c>
      <c r="T120" s="323">
        <f ca="1">보조원</f>
        <v>250087</v>
      </c>
      <c r="U120" s="323">
        <f t="shared" ca="1" si="28"/>
        <v>24758</v>
      </c>
      <c r="V120" s="323"/>
      <c r="W120" s="323"/>
      <c r="X120" s="323"/>
      <c r="Y120" s="323"/>
      <c r="Z120" s="324"/>
    </row>
    <row r="121" spans="11:26" ht="18" customHeight="1">
      <c r="K121" s="171" t="s">
        <v>14</v>
      </c>
      <c r="L121" s="171"/>
      <c r="M121" s="171"/>
      <c r="N121" s="139" t="s">
        <v>17</v>
      </c>
      <c r="O121" s="68"/>
      <c r="P121" s="69"/>
      <c r="Q121" s="70"/>
      <c r="R121" s="71"/>
      <c r="S121" s="71">
        <f ca="1">SUBTOTAL(9,S115:S120)</f>
        <v>4949915</v>
      </c>
      <c r="T121" s="71"/>
      <c r="U121" s="71">
        <f ca="1">SUBTOTAL(9,U115:U120)</f>
        <v>4949915</v>
      </c>
      <c r="V121" s="71"/>
      <c r="W121" s="71"/>
      <c r="X121" s="71"/>
      <c r="Y121" s="71"/>
      <c r="Z121" s="68"/>
    </row>
    <row r="122" spans="11:26" ht="18" customHeight="1">
      <c r="K122" s="171" t="s">
        <v>14</v>
      </c>
      <c r="L122" s="171"/>
      <c r="M122" s="171"/>
      <c r="N122" s="318" t="str">
        <f ca="1">"제 " &amp; Z122 &amp; " 호표  "&amp; OFFSET($A$1,MATCH(Z122,$A:$A,0)-1,1)</f>
        <v>제 7 호표  3.3. 지형 및 생태계 보전</v>
      </c>
      <c r="O122" s="221"/>
      <c r="P122" s="148"/>
      <c r="Q122" s="148"/>
      <c r="R122" s="149"/>
      <c r="S122" s="149"/>
      <c r="T122" s="149"/>
      <c r="U122" s="149"/>
      <c r="V122" s="149"/>
      <c r="W122" s="149"/>
      <c r="X122" s="149"/>
      <c r="Y122" s="149"/>
      <c r="Z122" s="325">
        <f>Z114+1</f>
        <v>7</v>
      </c>
    </row>
    <row r="123" spans="11:26" ht="18" customHeight="1">
      <c r="K123" s="171" t="s">
        <v>14</v>
      </c>
      <c r="L123" s="171"/>
      <c r="M123" s="171"/>
      <c r="N123" s="140" t="s">
        <v>43</v>
      </c>
      <c r="O123" s="172">
        <v>3</v>
      </c>
      <c r="P123" s="219">
        <f ca="1">OFFSET($A$1,MATCH(Z122,$A:$A,0)-1,O123)</f>
        <v>9.9000000000000005E-2</v>
      </c>
      <c r="Q123" s="141" t="s">
        <v>29</v>
      </c>
      <c r="R123" s="142">
        <f t="shared" ref="R123:S128" ca="1" si="29">T123</f>
        <v>467217</v>
      </c>
      <c r="S123" s="142">
        <f t="shared" ca="1" si="29"/>
        <v>46254</v>
      </c>
      <c r="T123" s="142">
        <f ca="1">기술사</f>
        <v>467217</v>
      </c>
      <c r="U123" s="142">
        <f t="shared" ref="U123:U128" ca="1" si="30">ROUNDDOWN(P123*R123,0)</f>
        <v>46254</v>
      </c>
      <c r="V123" s="142"/>
      <c r="W123" s="142"/>
      <c r="X123" s="142"/>
      <c r="Y123" s="142"/>
      <c r="Z123" s="114"/>
    </row>
    <row r="124" spans="11:26" ht="18" customHeight="1">
      <c r="K124" s="171" t="s">
        <v>14</v>
      </c>
      <c r="L124" s="171"/>
      <c r="M124" s="171"/>
      <c r="N124" s="143" t="s">
        <v>32</v>
      </c>
      <c r="O124" s="173">
        <v>4</v>
      </c>
      <c r="P124" s="234">
        <f ca="1">OFFSET($A$1,MATCH(Z122,$A:$A,0)-1,O124)</f>
        <v>4.4909999999999997</v>
      </c>
      <c r="Q124" s="144" t="s">
        <v>29</v>
      </c>
      <c r="R124" s="118">
        <f t="shared" ca="1" si="29"/>
        <v>373353</v>
      </c>
      <c r="S124" s="118">
        <f t="shared" ca="1" si="29"/>
        <v>1676728</v>
      </c>
      <c r="T124" s="118">
        <f ca="1">특급</f>
        <v>373353</v>
      </c>
      <c r="U124" s="118">
        <f t="shared" ca="1" si="30"/>
        <v>1676728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39</v>
      </c>
      <c r="O125" s="173">
        <v>5</v>
      </c>
      <c r="P125" s="234">
        <f ca="1">OFFSET($A$1,MATCH(Z122,$A:$A,0)-1,O125)</f>
        <v>3.6920000000000002</v>
      </c>
      <c r="Q125" s="144" t="s">
        <v>29</v>
      </c>
      <c r="R125" s="118">
        <f t="shared" ca="1" si="29"/>
        <v>310884</v>
      </c>
      <c r="S125" s="118">
        <f t="shared" ca="1" si="29"/>
        <v>1147783</v>
      </c>
      <c r="T125" s="118">
        <f ca="1">고급</f>
        <v>310884</v>
      </c>
      <c r="U125" s="118">
        <f t="shared" ca="1" si="30"/>
        <v>1147783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40</v>
      </c>
      <c r="O126" s="173">
        <v>6</v>
      </c>
      <c r="P126" s="234">
        <f ca="1">OFFSET($A$1,MATCH(Z122,$A:$A,0)-1,O126)</f>
        <v>1.996</v>
      </c>
      <c r="Q126" s="144" t="s">
        <v>29</v>
      </c>
      <c r="R126" s="118">
        <f t="shared" ca="1" si="29"/>
        <v>295138</v>
      </c>
      <c r="S126" s="118">
        <f t="shared" ca="1" si="29"/>
        <v>589095</v>
      </c>
      <c r="T126" s="118">
        <f ca="1">중급</f>
        <v>295138</v>
      </c>
      <c r="U126" s="118">
        <f t="shared" ca="1" si="30"/>
        <v>589095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41</v>
      </c>
      <c r="O127" s="173">
        <v>7</v>
      </c>
      <c r="P127" s="234">
        <f ca="1">OFFSET($A$1,MATCH(Z122,$A:$A,0)-1,O127)</f>
        <v>0.998</v>
      </c>
      <c r="Q127" s="144" t="s">
        <v>29</v>
      </c>
      <c r="R127" s="118">
        <f t="shared" ca="1" si="29"/>
        <v>235459</v>
      </c>
      <c r="S127" s="118">
        <f t="shared" ca="1" si="29"/>
        <v>234988</v>
      </c>
      <c r="T127" s="118">
        <f ca="1">초급</f>
        <v>235459</v>
      </c>
      <c r="U127" s="118">
        <f t="shared" ca="1" si="30"/>
        <v>234988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319" t="s">
        <v>42</v>
      </c>
      <c r="O128" s="174">
        <v>8</v>
      </c>
      <c r="P128" s="235">
        <f ca="1">OFFSET($A$1,MATCH(Z122,$A:$A,0)-1,O128)</f>
        <v>9.9000000000000005E-2</v>
      </c>
      <c r="Q128" s="322" t="s">
        <v>29</v>
      </c>
      <c r="R128" s="323">
        <f t="shared" ca="1" si="29"/>
        <v>250087</v>
      </c>
      <c r="S128" s="323">
        <f t="shared" ca="1" si="29"/>
        <v>24758</v>
      </c>
      <c r="T128" s="323">
        <f ca="1">보조원</f>
        <v>250087</v>
      </c>
      <c r="U128" s="323">
        <f t="shared" ca="1" si="30"/>
        <v>24758</v>
      </c>
      <c r="V128" s="323"/>
      <c r="W128" s="323"/>
      <c r="X128" s="323"/>
      <c r="Y128" s="323"/>
      <c r="Z128" s="324"/>
    </row>
    <row r="129" spans="11:26" ht="18" customHeight="1">
      <c r="K129" s="171" t="s">
        <v>14</v>
      </c>
      <c r="L129" s="171"/>
      <c r="M129" s="171"/>
      <c r="N129" s="139" t="s">
        <v>17</v>
      </c>
      <c r="O129" s="68"/>
      <c r="P129" s="69"/>
      <c r="Q129" s="70"/>
      <c r="R129" s="71"/>
      <c r="S129" s="71">
        <f ca="1">SUBTOTAL(9,S123:S128)</f>
        <v>3719606</v>
      </c>
      <c r="T129" s="71"/>
      <c r="U129" s="71">
        <f ca="1">SUBTOTAL(9,U123:U128)</f>
        <v>3719606</v>
      </c>
      <c r="V129" s="71"/>
      <c r="W129" s="71"/>
      <c r="X129" s="71"/>
      <c r="Y129" s="71"/>
      <c r="Z129" s="68"/>
    </row>
    <row r="130" spans="11:26" ht="18" customHeight="1">
      <c r="K130" s="171" t="s">
        <v>14</v>
      </c>
      <c r="L130" s="171"/>
      <c r="M130" s="171"/>
      <c r="N130" s="318" t="str">
        <f ca="1">"제 " &amp; Z130 &amp; " 호표  "&amp; OFFSET($A$1,MATCH(Z130,$A:$A,0)-1,1)</f>
        <v>제 8 호표  3.4. 주변 자연경관에 미치는 영향</v>
      </c>
      <c r="O130" s="221"/>
      <c r="P130" s="148"/>
      <c r="Q130" s="148"/>
      <c r="R130" s="149"/>
      <c r="S130" s="149"/>
      <c r="T130" s="149"/>
      <c r="U130" s="149"/>
      <c r="V130" s="149"/>
      <c r="W130" s="149"/>
      <c r="X130" s="149"/>
      <c r="Y130" s="149"/>
      <c r="Z130" s="325">
        <f>Z122+1</f>
        <v>8</v>
      </c>
    </row>
    <row r="131" spans="11:26" ht="18" customHeight="1">
      <c r="K131" s="171" t="s">
        <v>14</v>
      </c>
      <c r="L131" s="171"/>
      <c r="M131" s="171"/>
      <c r="N131" s="140" t="s">
        <v>43</v>
      </c>
      <c r="O131" s="172">
        <v>3</v>
      </c>
      <c r="P131" s="219">
        <f ca="1">OFFSET($A$1,MATCH(Z130,$A:$A,0)-1,O131)</f>
        <v>9.9000000000000005E-2</v>
      </c>
      <c r="Q131" s="141" t="s">
        <v>29</v>
      </c>
      <c r="R131" s="142">
        <f t="shared" ref="R131:S136" ca="1" si="31">T131</f>
        <v>467217</v>
      </c>
      <c r="S131" s="142">
        <f t="shared" ca="1" si="31"/>
        <v>46254</v>
      </c>
      <c r="T131" s="142">
        <f ca="1">기술사</f>
        <v>467217</v>
      </c>
      <c r="U131" s="142">
        <f t="shared" ref="U131:U136" ca="1" si="32">ROUNDDOWN(P131*R131,0)</f>
        <v>46254</v>
      </c>
      <c r="V131" s="142"/>
      <c r="W131" s="142"/>
      <c r="X131" s="142"/>
      <c r="Y131" s="142"/>
      <c r="Z131" s="114"/>
    </row>
    <row r="132" spans="11:26" ht="18" customHeight="1">
      <c r="K132" s="171" t="s">
        <v>14</v>
      </c>
      <c r="L132" s="171"/>
      <c r="M132" s="171"/>
      <c r="N132" s="143" t="s">
        <v>32</v>
      </c>
      <c r="O132" s="173">
        <v>4</v>
      </c>
      <c r="P132" s="234">
        <f ca="1">OFFSET($A$1,MATCH(Z130,$A:$A,0)-1,O132)</f>
        <v>2.9940000000000002</v>
      </c>
      <c r="Q132" s="144" t="s">
        <v>29</v>
      </c>
      <c r="R132" s="118">
        <f t="shared" ca="1" si="31"/>
        <v>373353</v>
      </c>
      <c r="S132" s="118">
        <f t="shared" ca="1" si="31"/>
        <v>1117818</v>
      </c>
      <c r="T132" s="118">
        <f ca="1">특급</f>
        <v>373353</v>
      </c>
      <c r="U132" s="118">
        <f t="shared" ca="1" si="32"/>
        <v>1117818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39</v>
      </c>
      <c r="O133" s="173">
        <v>5</v>
      </c>
      <c r="P133" s="234">
        <f ca="1">OFFSET($A$1,MATCH(Z130,$A:$A,0)-1,O133)</f>
        <v>2.4950000000000001</v>
      </c>
      <c r="Q133" s="144" t="s">
        <v>29</v>
      </c>
      <c r="R133" s="118">
        <f t="shared" ca="1" si="31"/>
        <v>310884</v>
      </c>
      <c r="S133" s="118">
        <f t="shared" ca="1" si="31"/>
        <v>775655</v>
      </c>
      <c r="T133" s="118">
        <f ca="1">고급</f>
        <v>310884</v>
      </c>
      <c r="U133" s="118">
        <f t="shared" ca="1" si="32"/>
        <v>775655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40</v>
      </c>
      <c r="O134" s="173">
        <v>6</v>
      </c>
      <c r="P134" s="234">
        <f ca="1">OFFSET($A$1,MATCH(Z130,$A:$A,0)-1,O134)</f>
        <v>0.998</v>
      </c>
      <c r="Q134" s="144" t="s">
        <v>29</v>
      </c>
      <c r="R134" s="118">
        <f t="shared" ca="1" si="31"/>
        <v>295138</v>
      </c>
      <c r="S134" s="118">
        <f t="shared" ca="1" si="31"/>
        <v>294547</v>
      </c>
      <c r="T134" s="118">
        <f ca="1">중급</f>
        <v>295138</v>
      </c>
      <c r="U134" s="118">
        <f t="shared" ca="1" si="32"/>
        <v>294547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41</v>
      </c>
      <c r="O135" s="173">
        <v>7</v>
      </c>
      <c r="P135" s="234">
        <f ca="1">OFFSET($A$1,MATCH(Z130,$A:$A,0)-1,O135)</f>
        <v>0.499</v>
      </c>
      <c r="Q135" s="144" t="s">
        <v>29</v>
      </c>
      <c r="R135" s="118">
        <f t="shared" ca="1" si="31"/>
        <v>235459</v>
      </c>
      <c r="S135" s="118">
        <f t="shared" ca="1" si="31"/>
        <v>117494</v>
      </c>
      <c r="T135" s="118">
        <f ca="1">초급</f>
        <v>235459</v>
      </c>
      <c r="U135" s="118">
        <f t="shared" ca="1" si="32"/>
        <v>117494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319" t="s">
        <v>42</v>
      </c>
      <c r="O136" s="174">
        <v>8</v>
      </c>
      <c r="P136" s="235">
        <f ca="1">OFFSET($A$1,MATCH(Z130,$A:$A,0)-1,O136)</f>
        <v>9.9000000000000005E-2</v>
      </c>
      <c r="Q136" s="322" t="s">
        <v>29</v>
      </c>
      <c r="R136" s="323">
        <f t="shared" ca="1" si="31"/>
        <v>250087</v>
      </c>
      <c r="S136" s="323">
        <f t="shared" ca="1" si="31"/>
        <v>24758</v>
      </c>
      <c r="T136" s="323">
        <f ca="1">보조원</f>
        <v>250087</v>
      </c>
      <c r="U136" s="323">
        <f t="shared" ca="1" si="32"/>
        <v>24758</v>
      </c>
      <c r="V136" s="323"/>
      <c r="W136" s="323"/>
      <c r="X136" s="323"/>
      <c r="Y136" s="323"/>
      <c r="Z136" s="324"/>
    </row>
    <row r="137" spans="11:26" ht="18" customHeight="1">
      <c r="K137" s="171" t="s">
        <v>14</v>
      </c>
      <c r="L137" s="171"/>
      <c r="M137" s="171"/>
      <c r="N137" s="139" t="s">
        <v>17</v>
      </c>
      <c r="O137" s="68"/>
      <c r="P137" s="69"/>
      <c r="Q137" s="70"/>
      <c r="R137" s="71"/>
      <c r="S137" s="71">
        <f ca="1">SUBTOTAL(9,S131:S136)</f>
        <v>2376526</v>
      </c>
      <c r="T137" s="71"/>
      <c r="U137" s="71">
        <f ca="1">SUBTOTAL(9,U131:U136)</f>
        <v>2376526</v>
      </c>
      <c r="V137" s="71"/>
      <c r="W137" s="71"/>
      <c r="X137" s="71"/>
      <c r="Y137" s="71"/>
      <c r="Z137" s="68"/>
    </row>
    <row r="138" spans="11:26" ht="18" customHeight="1">
      <c r="K138" s="171" t="s">
        <v>14</v>
      </c>
      <c r="L138" s="171"/>
      <c r="M138" s="171"/>
      <c r="N138" s="318" t="str">
        <f ca="1">"제 " &amp; Z138 &amp; " 호표  "&amp; OFFSET($A$1,MATCH(Z138,$A:$A,0)-1,1)</f>
        <v>제 9 호표  3.5. 수환경의 보전</v>
      </c>
      <c r="O138" s="221"/>
      <c r="P138" s="148"/>
      <c r="Q138" s="148"/>
      <c r="R138" s="149"/>
      <c r="S138" s="149"/>
      <c r="T138" s="149"/>
      <c r="U138" s="149"/>
      <c r="V138" s="149"/>
      <c r="W138" s="149"/>
      <c r="X138" s="149"/>
      <c r="Y138" s="149"/>
      <c r="Z138" s="325">
        <f>Z130+1</f>
        <v>9</v>
      </c>
    </row>
    <row r="139" spans="11:26" ht="18" customHeight="1">
      <c r="K139" s="171" t="s">
        <v>14</v>
      </c>
      <c r="L139" s="171"/>
      <c r="M139" s="171"/>
      <c r="N139" s="140" t="s">
        <v>43</v>
      </c>
      <c r="O139" s="172">
        <v>3</v>
      </c>
      <c r="P139" s="219">
        <f ca="1">OFFSET($A$1,MATCH(Z138,$A:$A,0)-1,O139)</f>
        <v>9.9000000000000005E-2</v>
      </c>
      <c r="Q139" s="141" t="s">
        <v>29</v>
      </c>
      <c r="R139" s="142">
        <f t="shared" ref="R139:S144" ca="1" si="33">T139</f>
        <v>467217</v>
      </c>
      <c r="S139" s="142">
        <f t="shared" ca="1" si="33"/>
        <v>46254</v>
      </c>
      <c r="T139" s="142">
        <f ca="1">기술사</f>
        <v>467217</v>
      </c>
      <c r="U139" s="142">
        <f t="shared" ref="U139:U144" ca="1" si="34">ROUNDDOWN(P139*R139,0)</f>
        <v>46254</v>
      </c>
      <c r="V139" s="142"/>
      <c r="W139" s="142"/>
      <c r="X139" s="142"/>
      <c r="Y139" s="142"/>
      <c r="Z139" s="114"/>
    </row>
    <row r="140" spans="11:26" ht="18" customHeight="1">
      <c r="K140" s="171" t="s">
        <v>14</v>
      </c>
      <c r="L140" s="171"/>
      <c r="M140" s="171"/>
      <c r="N140" s="143" t="s">
        <v>32</v>
      </c>
      <c r="O140" s="173">
        <v>4</v>
      </c>
      <c r="P140" s="234">
        <f ca="1">OFFSET($A$1,MATCH(Z138,$A:$A,0)-1,O140)</f>
        <v>2.694</v>
      </c>
      <c r="Q140" s="144" t="s">
        <v>29</v>
      </c>
      <c r="R140" s="118">
        <f t="shared" ca="1" si="33"/>
        <v>373353</v>
      </c>
      <c r="S140" s="118">
        <f t="shared" ca="1" si="33"/>
        <v>1005812</v>
      </c>
      <c r="T140" s="118">
        <f ca="1">특급</f>
        <v>373353</v>
      </c>
      <c r="U140" s="118">
        <f t="shared" ca="1" si="34"/>
        <v>1005812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39</v>
      </c>
      <c r="O141" s="173">
        <v>5</v>
      </c>
      <c r="P141" s="234">
        <f ca="1">OFFSET($A$1,MATCH(Z138,$A:$A,0)-1,O141)</f>
        <v>2.9940000000000002</v>
      </c>
      <c r="Q141" s="144" t="s">
        <v>29</v>
      </c>
      <c r="R141" s="118">
        <f t="shared" ca="1" si="33"/>
        <v>310884</v>
      </c>
      <c r="S141" s="118">
        <f t="shared" ca="1" si="33"/>
        <v>930786</v>
      </c>
      <c r="T141" s="118">
        <f ca="1">고급</f>
        <v>310884</v>
      </c>
      <c r="U141" s="118">
        <f t="shared" ca="1" si="34"/>
        <v>930786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40</v>
      </c>
      <c r="O142" s="173">
        <v>6</v>
      </c>
      <c r="P142" s="234">
        <f ca="1">OFFSET($A$1,MATCH(Z138,$A:$A,0)-1,O142)</f>
        <v>1.696</v>
      </c>
      <c r="Q142" s="144" t="s">
        <v>29</v>
      </c>
      <c r="R142" s="118">
        <f t="shared" ca="1" si="33"/>
        <v>295138</v>
      </c>
      <c r="S142" s="118">
        <f t="shared" ca="1" si="33"/>
        <v>500554</v>
      </c>
      <c r="T142" s="118">
        <f ca="1">중급</f>
        <v>295138</v>
      </c>
      <c r="U142" s="118">
        <f t="shared" ca="1" si="34"/>
        <v>500554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41</v>
      </c>
      <c r="O143" s="173">
        <v>7</v>
      </c>
      <c r="P143" s="234">
        <f ca="1">OFFSET($A$1,MATCH(Z138,$A:$A,0)-1,O143)</f>
        <v>0.499</v>
      </c>
      <c r="Q143" s="144" t="s">
        <v>29</v>
      </c>
      <c r="R143" s="118">
        <f t="shared" ca="1" si="33"/>
        <v>235459</v>
      </c>
      <c r="S143" s="118">
        <f t="shared" ca="1" si="33"/>
        <v>117494</v>
      </c>
      <c r="T143" s="118">
        <f ca="1">초급</f>
        <v>235459</v>
      </c>
      <c r="U143" s="118">
        <f t="shared" ca="1" si="34"/>
        <v>117494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319" t="s">
        <v>42</v>
      </c>
      <c r="O144" s="174">
        <v>8</v>
      </c>
      <c r="P144" s="235">
        <f ca="1">OFFSET($A$1,MATCH(Z138,$A:$A,0)-1,O144)</f>
        <v>9.9000000000000005E-2</v>
      </c>
      <c r="Q144" s="322" t="s">
        <v>29</v>
      </c>
      <c r="R144" s="323">
        <f t="shared" ca="1" si="33"/>
        <v>250087</v>
      </c>
      <c r="S144" s="323">
        <f t="shared" ca="1" si="33"/>
        <v>24758</v>
      </c>
      <c r="T144" s="323">
        <f ca="1">보조원</f>
        <v>250087</v>
      </c>
      <c r="U144" s="323">
        <f t="shared" ca="1" si="34"/>
        <v>24758</v>
      </c>
      <c r="V144" s="323"/>
      <c r="W144" s="323"/>
      <c r="X144" s="323"/>
      <c r="Y144" s="323"/>
      <c r="Z144" s="324"/>
    </row>
    <row r="145" spans="11:26" ht="18" customHeight="1">
      <c r="K145" s="171" t="s">
        <v>14</v>
      </c>
      <c r="L145" s="171"/>
      <c r="M145" s="171"/>
      <c r="N145" s="139" t="s">
        <v>17</v>
      </c>
      <c r="O145" s="68"/>
      <c r="P145" s="69"/>
      <c r="Q145" s="70"/>
      <c r="R145" s="71"/>
      <c r="S145" s="71">
        <f ca="1">SUBTOTAL(9,S139:S144)</f>
        <v>2625658</v>
      </c>
      <c r="T145" s="71"/>
      <c r="U145" s="71">
        <f ca="1">SUBTOTAL(9,U139:U144)</f>
        <v>2625658</v>
      </c>
      <c r="V145" s="71"/>
      <c r="W145" s="71"/>
      <c r="X145" s="71"/>
      <c r="Y145" s="71"/>
      <c r="Z145" s="68"/>
    </row>
    <row r="146" spans="11:26" ht="18" customHeight="1">
      <c r="K146" s="171" t="s">
        <v>14</v>
      </c>
      <c r="L146" s="171"/>
      <c r="M146" s="171"/>
      <c r="N146" s="318" t="str">
        <f ca="1">"제 " &amp; Z146 &amp; " 호표  "&amp; OFFSET($A$1,MATCH(Z146,$A:$A,0)-1,1)</f>
        <v>제 10 호표  3.6. 환경기준 부합성</v>
      </c>
      <c r="O146" s="221"/>
      <c r="P146" s="148"/>
      <c r="Q146" s="148"/>
      <c r="R146" s="149"/>
      <c r="S146" s="149"/>
      <c r="T146" s="149"/>
      <c r="U146" s="149"/>
      <c r="V146" s="149"/>
      <c r="W146" s="149"/>
      <c r="X146" s="149"/>
      <c r="Y146" s="149"/>
      <c r="Z146" s="325">
        <f>Z138+1</f>
        <v>10</v>
      </c>
    </row>
    <row r="147" spans="11:26" ht="18" customHeight="1">
      <c r="K147" s="171" t="s">
        <v>14</v>
      </c>
      <c r="L147" s="171"/>
      <c r="M147" s="171"/>
      <c r="N147" s="140" t="s">
        <v>43</v>
      </c>
      <c r="O147" s="172">
        <v>3</v>
      </c>
      <c r="P147" s="219">
        <f ca="1">OFFSET($A$1,MATCH(Z146,$A:$A,0)-1,O147)</f>
        <v>9.9000000000000005E-2</v>
      </c>
      <c r="Q147" s="141" t="s">
        <v>29</v>
      </c>
      <c r="R147" s="142">
        <f t="shared" ref="R147:S152" ca="1" si="35">T147</f>
        <v>467217</v>
      </c>
      <c r="S147" s="142">
        <f t="shared" ca="1" si="35"/>
        <v>46254</v>
      </c>
      <c r="T147" s="142">
        <f ca="1">기술사</f>
        <v>467217</v>
      </c>
      <c r="U147" s="142">
        <f t="shared" ref="U147:U152" ca="1" si="36">ROUNDDOWN(P147*R147,0)</f>
        <v>46254</v>
      </c>
      <c r="V147" s="142"/>
      <c r="W147" s="142"/>
      <c r="X147" s="142"/>
      <c r="Y147" s="142"/>
      <c r="Z147" s="114"/>
    </row>
    <row r="148" spans="11:26" ht="18" customHeight="1">
      <c r="K148" s="171" t="s">
        <v>14</v>
      </c>
      <c r="L148" s="171"/>
      <c r="M148" s="171"/>
      <c r="N148" s="143" t="s">
        <v>32</v>
      </c>
      <c r="O148" s="173">
        <v>4</v>
      </c>
      <c r="P148" s="234">
        <f ca="1">OFFSET($A$1,MATCH(Z146,$A:$A,0)-1,O148)</f>
        <v>0.499</v>
      </c>
      <c r="Q148" s="144" t="s">
        <v>29</v>
      </c>
      <c r="R148" s="118">
        <f t="shared" ca="1" si="35"/>
        <v>373353</v>
      </c>
      <c r="S148" s="118">
        <f t="shared" ca="1" si="35"/>
        <v>186303</v>
      </c>
      <c r="T148" s="118">
        <f ca="1">특급</f>
        <v>373353</v>
      </c>
      <c r="U148" s="118">
        <f t="shared" ca="1" si="36"/>
        <v>186303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39</v>
      </c>
      <c r="O149" s="173">
        <v>5</v>
      </c>
      <c r="P149" s="234">
        <f ca="1">OFFSET($A$1,MATCH(Z146,$A:$A,0)-1,O149)</f>
        <v>0.499</v>
      </c>
      <c r="Q149" s="144" t="s">
        <v>29</v>
      </c>
      <c r="R149" s="118">
        <f t="shared" ca="1" si="35"/>
        <v>310884</v>
      </c>
      <c r="S149" s="118">
        <f t="shared" ca="1" si="35"/>
        <v>155131</v>
      </c>
      <c r="T149" s="118">
        <f ca="1">고급</f>
        <v>310884</v>
      </c>
      <c r="U149" s="118">
        <f t="shared" ca="1" si="36"/>
        <v>155131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40</v>
      </c>
      <c r="O150" s="173">
        <v>6</v>
      </c>
      <c r="P150" s="234">
        <f ca="1">OFFSET($A$1,MATCH(Z146,$A:$A,0)-1,O150)</f>
        <v>0.19900000000000001</v>
      </c>
      <c r="Q150" s="144" t="s">
        <v>29</v>
      </c>
      <c r="R150" s="118">
        <f t="shared" ca="1" si="35"/>
        <v>295138</v>
      </c>
      <c r="S150" s="118">
        <f t="shared" ca="1" si="35"/>
        <v>58732</v>
      </c>
      <c r="T150" s="118">
        <f ca="1">중급</f>
        <v>295138</v>
      </c>
      <c r="U150" s="118">
        <f t="shared" ca="1" si="36"/>
        <v>58732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41</v>
      </c>
      <c r="O151" s="173">
        <v>7</v>
      </c>
      <c r="P151" s="234">
        <f ca="1">OFFSET($A$1,MATCH(Z146,$A:$A,0)-1,O151)</f>
        <v>0.19900000000000001</v>
      </c>
      <c r="Q151" s="144" t="s">
        <v>29</v>
      </c>
      <c r="R151" s="118">
        <f t="shared" ca="1" si="35"/>
        <v>235459</v>
      </c>
      <c r="S151" s="118">
        <f t="shared" ca="1" si="35"/>
        <v>46856</v>
      </c>
      <c r="T151" s="118">
        <f ca="1">초급</f>
        <v>235459</v>
      </c>
      <c r="U151" s="118">
        <f t="shared" ca="1" si="36"/>
        <v>46856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319" t="s">
        <v>42</v>
      </c>
      <c r="O152" s="174">
        <v>8</v>
      </c>
      <c r="P152" s="235">
        <f ca="1">OFFSET($A$1,MATCH(Z146,$A:$A,0)-1,O152)</f>
        <v>9.9000000000000005E-2</v>
      </c>
      <c r="Q152" s="322" t="s">
        <v>29</v>
      </c>
      <c r="R152" s="323">
        <f t="shared" ca="1" si="35"/>
        <v>250087</v>
      </c>
      <c r="S152" s="323">
        <f t="shared" ca="1" si="35"/>
        <v>24758</v>
      </c>
      <c r="T152" s="323">
        <f ca="1">보조원</f>
        <v>250087</v>
      </c>
      <c r="U152" s="323">
        <f t="shared" ca="1" si="36"/>
        <v>24758</v>
      </c>
      <c r="V152" s="323"/>
      <c r="W152" s="323"/>
      <c r="X152" s="323"/>
      <c r="Y152" s="323"/>
      <c r="Z152" s="324"/>
    </row>
    <row r="153" spans="11:26" ht="18" customHeight="1">
      <c r="K153" s="171" t="s">
        <v>14</v>
      </c>
      <c r="L153" s="171"/>
      <c r="M153" s="171"/>
      <c r="N153" s="139" t="s">
        <v>17</v>
      </c>
      <c r="O153" s="68"/>
      <c r="P153" s="69"/>
      <c r="Q153" s="70"/>
      <c r="R153" s="71"/>
      <c r="S153" s="71">
        <f ca="1">SUBTOTAL(9,S147:S152)</f>
        <v>518034</v>
      </c>
      <c r="T153" s="71"/>
      <c r="U153" s="71">
        <f ca="1">SUBTOTAL(9,U147:U152)</f>
        <v>518034</v>
      </c>
      <c r="V153" s="71"/>
      <c r="W153" s="71"/>
      <c r="X153" s="71"/>
      <c r="Y153" s="71"/>
      <c r="Z153" s="68"/>
    </row>
    <row r="154" spans="11:26" ht="18" customHeight="1">
      <c r="K154" s="171" t="s">
        <v>14</v>
      </c>
      <c r="L154" s="171"/>
      <c r="M154" s="171"/>
      <c r="N154" s="318" t="str">
        <f ca="1">"제 " &amp; Z154 &amp; " 호표  "&amp; OFFSET($A$1,MATCH(Z154,$A:$A,0)-1,1)</f>
        <v>제 11 호표  3.7. 환경기초시설의 적정성</v>
      </c>
      <c r="O154" s="221"/>
      <c r="P154" s="148"/>
      <c r="Q154" s="148"/>
      <c r="R154" s="149"/>
      <c r="S154" s="149"/>
      <c r="T154" s="149"/>
      <c r="U154" s="149"/>
      <c r="V154" s="149"/>
      <c r="W154" s="149"/>
      <c r="X154" s="149"/>
      <c r="Y154" s="149"/>
      <c r="Z154" s="325">
        <f>Z146+1</f>
        <v>11</v>
      </c>
    </row>
    <row r="155" spans="11:26" ht="18" customHeight="1">
      <c r="K155" s="171" t="s">
        <v>14</v>
      </c>
      <c r="L155" s="171"/>
      <c r="M155" s="171"/>
      <c r="N155" s="140" t="s">
        <v>43</v>
      </c>
      <c r="O155" s="172">
        <v>3</v>
      </c>
      <c r="P155" s="219">
        <f ca="1">OFFSET($A$1,MATCH(Z154,$A:$A,0)-1,O155)</f>
        <v>9.9000000000000005E-2</v>
      </c>
      <c r="Q155" s="141" t="s">
        <v>29</v>
      </c>
      <c r="R155" s="142">
        <f t="shared" ref="R155:S160" ca="1" si="37">T155</f>
        <v>467217</v>
      </c>
      <c r="S155" s="142">
        <f t="shared" ca="1" si="37"/>
        <v>46254</v>
      </c>
      <c r="T155" s="142">
        <f ca="1">기술사</f>
        <v>467217</v>
      </c>
      <c r="U155" s="142">
        <f t="shared" ref="U155:U160" ca="1" si="38">ROUNDDOWN(P155*R155,0)</f>
        <v>46254</v>
      </c>
      <c r="V155" s="142"/>
      <c r="W155" s="142"/>
      <c r="X155" s="142"/>
      <c r="Y155" s="142"/>
      <c r="Z155" s="114"/>
    </row>
    <row r="156" spans="11:26" ht="18" customHeight="1">
      <c r="K156" s="171" t="s">
        <v>14</v>
      </c>
      <c r="L156" s="171"/>
      <c r="M156" s="171"/>
      <c r="N156" s="143" t="s">
        <v>32</v>
      </c>
      <c r="O156" s="173">
        <v>4</v>
      </c>
      <c r="P156" s="234">
        <f ca="1">OFFSET($A$1,MATCH(Z154,$A:$A,0)-1,O156)</f>
        <v>0.499</v>
      </c>
      <c r="Q156" s="144" t="s">
        <v>29</v>
      </c>
      <c r="R156" s="118">
        <f t="shared" ca="1" si="37"/>
        <v>373353</v>
      </c>
      <c r="S156" s="118">
        <f t="shared" ca="1" si="37"/>
        <v>186303</v>
      </c>
      <c r="T156" s="118">
        <f ca="1">특급</f>
        <v>373353</v>
      </c>
      <c r="U156" s="118">
        <f t="shared" ca="1" si="38"/>
        <v>186303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39</v>
      </c>
      <c r="O157" s="173">
        <v>5</v>
      </c>
      <c r="P157" s="234">
        <f ca="1">OFFSET($A$1,MATCH(Z154,$A:$A,0)-1,O157)</f>
        <v>0.499</v>
      </c>
      <c r="Q157" s="144" t="s">
        <v>29</v>
      </c>
      <c r="R157" s="118">
        <f t="shared" ca="1" si="37"/>
        <v>310884</v>
      </c>
      <c r="S157" s="118">
        <f t="shared" ca="1" si="37"/>
        <v>155131</v>
      </c>
      <c r="T157" s="118">
        <f ca="1">고급</f>
        <v>310884</v>
      </c>
      <c r="U157" s="118">
        <f t="shared" ca="1" si="38"/>
        <v>155131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40</v>
      </c>
      <c r="O158" s="173">
        <v>6</v>
      </c>
      <c r="P158" s="234">
        <f ca="1">OFFSET($A$1,MATCH(Z154,$A:$A,0)-1,O158)</f>
        <v>0.19900000000000001</v>
      </c>
      <c r="Q158" s="144" t="s">
        <v>29</v>
      </c>
      <c r="R158" s="118">
        <f t="shared" ca="1" si="37"/>
        <v>295138</v>
      </c>
      <c r="S158" s="118">
        <f t="shared" ca="1" si="37"/>
        <v>58732</v>
      </c>
      <c r="T158" s="118">
        <f ca="1">중급</f>
        <v>295138</v>
      </c>
      <c r="U158" s="118">
        <f t="shared" ca="1" si="38"/>
        <v>58732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41</v>
      </c>
      <c r="O159" s="173">
        <v>7</v>
      </c>
      <c r="P159" s="234">
        <f ca="1">OFFSET($A$1,MATCH(Z154,$A:$A,0)-1,O159)</f>
        <v>0.19900000000000001</v>
      </c>
      <c r="Q159" s="144" t="s">
        <v>29</v>
      </c>
      <c r="R159" s="118">
        <f t="shared" ca="1" si="37"/>
        <v>235459</v>
      </c>
      <c r="S159" s="118">
        <f t="shared" ca="1" si="37"/>
        <v>46856</v>
      </c>
      <c r="T159" s="118">
        <f ca="1">초급</f>
        <v>235459</v>
      </c>
      <c r="U159" s="118">
        <f t="shared" ca="1" si="38"/>
        <v>46856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319" t="s">
        <v>42</v>
      </c>
      <c r="O160" s="174">
        <v>8</v>
      </c>
      <c r="P160" s="235">
        <f ca="1">OFFSET($A$1,MATCH(Z154,$A:$A,0)-1,O160)</f>
        <v>9.9000000000000005E-2</v>
      </c>
      <c r="Q160" s="322" t="s">
        <v>29</v>
      </c>
      <c r="R160" s="323">
        <f t="shared" ca="1" si="37"/>
        <v>250087</v>
      </c>
      <c r="S160" s="323">
        <f t="shared" ca="1" si="37"/>
        <v>24758</v>
      </c>
      <c r="T160" s="323">
        <f ca="1">보조원</f>
        <v>250087</v>
      </c>
      <c r="U160" s="323">
        <f t="shared" ca="1" si="38"/>
        <v>24758</v>
      </c>
      <c r="V160" s="323"/>
      <c r="W160" s="323"/>
      <c r="X160" s="323"/>
      <c r="Y160" s="323"/>
      <c r="Z160" s="324"/>
    </row>
    <row r="161" spans="11:26" ht="18" customHeight="1">
      <c r="K161" s="171" t="s">
        <v>14</v>
      </c>
      <c r="L161" s="171"/>
      <c r="M161" s="171"/>
      <c r="N161" s="139" t="s">
        <v>17</v>
      </c>
      <c r="O161" s="68"/>
      <c r="P161" s="69"/>
      <c r="Q161" s="70"/>
      <c r="R161" s="71"/>
      <c r="S161" s="71">
        <f ca="1">SUBTOTAL(9,S155:S160)</f>
        <v>518034</v>
      </c>
      <c r="T161" s="71"/>
      <c r="U161" s="71">
        <f ca="1">SUBTOTAL(9,U155:U160)</f>
        <v>518034</v>
      </c>
      <c r="V161" s="71"/>
      <c r="W161" s="71"/>
      <c r="X161" s="71"/>
      <c r="Y161" s="71"/>
      <c r="Z161" s="68"/>
    </row>
    <row r="162" spans="11:26" ht="18" customHeight="1">
      <c r="K162" s="171" t="s">
        <v>14</v>
      </c>
      <c r="L162" s="171"/>
      <c r="M162" s="171"/>
      <c r="N162" s="318" t="str">
        <f ca="1">"제 " &amp; Z162 &amp; " 호표  "&amp; OFFSET($A$1,MATCH(Z162,$A:$A,0)-1,1)</f>
        <v>제 12 호표  3.8. 자원, 에너지 순환의 효율성</v>
      </c>
      <c r="O162" s="221"/>
      <c r="P162" s="148"/>
      <c r="Q162" s="148"/>
      <c r="R162" s="149"/>
      <c r="S162" s="149"/>
      <c r="T162" s="149"/>
      <c r="U162" s="149"/>
      <c r="V162" s="149"/>
      <c r="W162" s="149"/>
      <c r="X162" s="149"/>
      <c r="Y162" s="149"/>
      <c r="Z162" s="325">
        <f>Z154+1</f>
        <v>12</v>
      </c>
    </row>
    <row r="163" spans="11:26" ht="18" customHeight="1">
      <c r="K163" s="171" t="s">
        <v>14</v>
      </c>
      <c r="L163" s="171"/>
      <c r="M163" s="171"/>
      <c r="N163" s="140" t="s">
        <v>43</v>
      </c>
      <c r="O163" s="172">
        <v>3</v>
      </c>
      <c r="P163" s="219">
        <f ca="1">OFFSET($A$1,MATCH(Z162,$A:$A,0)-1,O163)</f>
        <v>0.998</v>
      </c>
      <c r="Q163" s="141" t="s">
        <v>29</v>
      </c>
      <c r="R163" s="142">
        <f t="shared" ref="R163:S168" ca="1" si="39">T163</f>
        <v>467217</v>
      </c>
      <c r="S163" s="142">
        <f t="shared" ca="1" si="39"/>
        <v>466282</v>
      </c>
      <c r="T163" s="142">
        <f ca="1">기술사</f>
        <v>467217</v>
      </c>
      <c r="U163" s="142">
        <f t="shared" ref="U163:U168" ca="1" si="40">ROUNDDOWN(P163*R163,0)</f>
        <v>466282</v>
      </c>
      <c r="V163" s="142"/>
      <c r="W163" s="142"/>
      <c r="X163" s="142"/>
      <c r="Y163" s="142"/>
      <c r="Z163" s="114"/>
    </row>
    <row r="164" spans="11:26" ht="18" customHeight="1">
      <c r="K164" s="171" t="s">
        <v>14</v>
      </c>
      <c r="L164" s="171"/>
      <c r="M164" s="171"/>
      <c r="N164" s="143" t="s">
        <v>32</v>
      </c>
      <c r="O164" s="173">
        <v>4</v>
      </c>
      <c r="P164" s="234">
        <f ca="1">OFFSET($A$1,MATCH(Z162,$A:$A,0)-1,O164)</f>
        <v>0.499</v>
      </c>
      <c r="Q164" s="144" t="s">
        <v>29</v>
      </c>
      <c r="R164" s="118">
        <f t="shared" ca="1" si="39"/>
        <v>373353</v>
      </c>
      <c r="S164" s="118">
        <f t="shared" ca="1" si="39"/>
        <v>186303</v>
      </c>
      <c r="T164" s="118">
        <f ca="1">특급</f>
        <v>373353</v>
      </c>
      <c r="U164" s="118">
        <f t="shared" ca="1" si="40"/>
        <v>186303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39</v>
      </c>
      <c r="O165" s="173">
        <v>5</v>
      </c>
      <c r="P165" s="234">
        <f ca="1">OFFSET($A$1,MATCH(Z162,$A:$A,0)-1,O165)</f>
        <v>0.499</v>
      </c>
      <c r="Q165" s="144" t="s">
        <v>29</v>
      </c>
      <c r="R165" s="118">
        <f t="shared" ca="1" si="39"/>
        <v>310884</v>
      </c>
      <c r="S165" s="118">
        <f t="shared" ca="1" si="39"/>
        <v>155131</v>
      </c>
      <c r="T165" s="118">
        <f ca="1">고급</f>
        <v>310884</v>
      </c>
      <c r="U165" s="118">
        <f t="shared" ca="1" si="40"/>
        <v>155131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40</v>
      </c>
      <c r="O166" s="173">
        <v>6</v>
      </c>
      <c r="P166" s="234">
        <f ca="1">OFFSET($A$1,MATCH(Z162,$A:$A,0)-1,O166)</f>
        <v>0.19900000000000001</v>
      </c>
      <c r="Q166" s="144" t="s">
        <v>29</v>
      </c>
      <c r="R166" s="118">
        <f t="shared" ca="1" si="39"/>
        <v>295138</v>
      </c>
      <c r="S166" s="118">
        <f t="shared" ca="1" si="39"/>
        <v>58732</v>
      </c>
      <c r="T166" s="118">
        <f ca="1">중급</f>
        <v>295138</v>
      </c>
      <c r="U166" s="118">
        <f t="shared" ca="1" si="40"/>
        <v>58732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41</v>
      </c>
      <c r="O167" s="173">
        <v>7</v>
      </c>
      <c r="P167" s="234">
        <f ca="1">OFFSET($A$1,MATCH(Z162,$A:$A,0)-1,O167)</f>
        <v>0.19900000000000001</v>
      </c>
      <c r="Q167" s="144" t="s">
        <v>29</v>
      </c>
      <c r="R167" s="118">
        <f t="shared" ca="1" si="39"/>
        <v>235459</v>
      </c>
      <c r="S167" s="118">
        <f t="shared" ca="1" si="39"/>
        <v>46856</v>
      </c>
      <c r="T167" s="118">
        <f ca="1">초급</f>
        <v>235459</v>
      </c>
      <c r="U167" s="118">
        <f t="shared" ca="1" si="40"/>
        <v>46856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319" t="s">
        <v>42</v>
      </c>
      <c r="O168" s="174">
        <v>8</v>
      </c>
      <c r="P168" s="235">
        <f ca="1">OFFSET($A$1,MATCH(Z162,$A:$A,0)-1,O168)</f>
        <v>9.9000000000000005E-2</v>
      </c>
      <c r="Q168" s="322" t="s">
        <v>29</v>
      </c>
      <c r="R168" s="323">
        <f t="shared" ca="1" si="39"/>
        <v>250087</v>
      </c>
      <c r="S168" s="323">
        <f t="shared" ca="1" si="39"/>
        <v>24758</v>
      </c>
      <c r="T168" s="323">
        <f ca="1">보조원</f>
        <v>250087</v>
      </c>
      <c r="U168" s="323">
        <f t="shared" ca="1" si="40"/>
        <v>24758</v>
      </c>
      <c r="V168" s="323"/>
      <c r="W168" s="323"/>
      <c r="X168" s="323"/>
      <c r="Y168" s="323"/>
      <c r="Z168" s="324"/>
    </row>
    <row r="169" spans="11:26" ht="18" customHeight="1">
      <c r="K169" s="171" t="s">
        <v>14</v>
      </c>
      <c r="L169" s="171"/>
      <c r="M169" s="171"/>
      <c r="N169" s="139" t="s">
        <v>17</v>
      </c>
      <c r="O169" s="68"/>
      <c r="P169" s="69"/>
      <c r="Q169" s="70"/>
      <c r="R169" s="71"/>
      <c r="S169" s="71">
        <f ca="1">SUBTOTAL(9,S163:S168)</f>
        <v>938062</v>
      </c>
      <c r="T169" s="71"/>
      <c r="U169" s="71">
        <f ca="1">SUBTOTAL(9,U163:U168)</f>
        <v>938062</v>
      </c>
      <c r="V169" s="71"/>
      <c r="W169" s="71"/>
      <c r="X169" s="71"/>
      <c r="Y169" s="71"/>
      <c r="Z169" s="68"/>
    </row>
    <row r="170" spans="11:26" ht="18" customHeight="1">
      <c r="K170" s="171" t="s">
        <v>14</v>
      </c>
      <c r="L170" s="171"/>
      <c r="M170" s="171"/>
      <c r="N170" s="318" t="str">
        <f ca="1">"제 " &amp; Z170 &amp; " 호표  "&amp; OFFSET($A$1,MATCH(Z170,$A:$A,0)-1,1)</f>
        <v>제 13 호표  3.9. 환경영향분석</v>
      </c>
      <c r="O170" s="221"/>
      <c r="P170" s="148"/>
      <c r="Q170" s="148"/>
      <c r="R170" s="149"/>
      <c r="S170" s="149"/>
      <c r="T170" s="149"/>
      <c r="U170" s="149"/>
      <c r="V170" s="149"/>
      <c r="W170" s="149"/>
      <c r="X170" s="149"/>
      <c r="Y170" s="149"/>
      <c r="Z170" s="325">
        <f>Z162+1</f>
        <v>13</v>
      </c>
    </row>
    <row r="171" spans="11:26" ht="18" customHeight="1">
      <c r="K171" s="171" t="s">
        <v>14</v>
      </c>
      <c r="L171" s="171"/>
      <c r="M171" s="171"/>
      <c r="N171" s="140" t="s">
        <v>43</v>
      </c>
      <c r="O171" s="172">
        <v>3</v>
      </c>
      <c r="P171" s="219">
        <f ca="1">OFFSET($A$1,MATCH(Z170,$A:$A,0)-1,O171)</f>
        <v>0.39900000000000002</v>
      </c>
      <c r="Q171" s="141" t="s">
        <v>29</v>
      </c>
      <c r="R171" s="142">
        <f t="shared" ref="R171:S176" ca="1" si="41">T171</f>
        <v>467217</v>
      </c>
      <c r="S171" s="142">
        <f t="shared" ca="1" si="41"/>
        <v>186419</v>
      </c>
      <c r="T171" s="142">
        <f ca="1">기술사</f>
        <v>467217</v>
      </c>
      <c r="U171" s="142">
        <f t="shared" ref="U171:U176" ca="1" si="42">ROUNDDOWN(P171*R171,0)</f>
        <v>186419</v>
      </c>
      <c r="V171" s="142"/>
      <c r="W171" s="142"/>
      <c r="X171" s="142"/>
      <c r="Y171" s="142"/>
      <c r="Z171" s="114"/>
    </row>
    <row r="172" spans="11:26" ht="18" customHeight="1">
      <c r="K172" s="171" t="s">
        <v>14</v>
      </c>
      <c r="L172" s="171"/>
      <c r="M172" s="171"/>
      <c r="N172" s="143" t="s">
        <v>32</v>
      </c>
      <c r="O172" s="173">
        <v>4</v>
      </c>
      <c r="P172" s="234">
        <f ca="1">OFFSET($A$1,MATCH(Z170,$A:$A,0)-1,O172)</f>
        <v>0.79800000000000004</v>
      </c>
      <c r="Q172" s="144" t="s">
        <v>29</v>
      </c>
      <c r="R172" s="118">
        <f t="shared" ca="1" si="41"/>
        <v>373353</v>
      </c>
      <c r="S172" s="118">
        <f t="shared" ca="1" si="41"/>
        <v>297935</v>
      </c>
      <c r="T172" s="118">
        <f ca="1">특급</f>
        <v>373353</v>
      </c>
      <c r="U172" s="118">
        <f t="shared" ca="1" si="42"/>
        <v>297935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39</v>
      </c>
      <c r="O173" s="173">
        <v>5</v>
      </c>
      <c r="P173" s="234">
        <f ca="1">OFFSET($A$1,MATCH(Z170,$A:$A,0)-1,O173)</f>
        <v>1.996</v>
      </c>
      <c r="Q173" s="144" t="s">
        <v>29</v>
      </c>
      <c r="R173" s="118">
        <f t="shared" ca="1" si="41"/>
        <v>310884</v>
      </c>
      <c r="S173" s="118">
        <f t="shared" ca="1" si="41"/>
        <v>620524</v>
      </c>
      <c r="T173" s="118">
        <f ca="1">고급</f>
        <v>310884</v>
      </c>
      <c r="U173" s="118">
        <f t="shared" ca="1" si="42"/>
        <v>620524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40</v>
      </c>
      <c r="O174" s="173">
        <v>6</v>
      </c>
      <c r="P174" s="234">
        <f ca="1">OFFSET($A$1,MATCH(Z170,$A:$A,0)-1,O174)</f>
        <v>2.9940000000000002</v>
      </c>
      <c r="Q174" s="144" t="s">
        <v>29</v>
      </c>
      <c r="R174" s="118">
        <f t="shared" ca="1" si="41"/>
        <v>295138</v>
      </c>
      <c r="S174" s="118">
        <f t="shared" ca="1" si="41"/>
        <v>883643</v>
      </c>
      <c r="T174" s="118">
        <f ca="1">중급</f>
        <v>295138</v>
      </c>
      <c r="U174" s="118">
        <f t="shared" ca="1" si="42"/>
        <v>883643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41</v>
      </c>
      <c r="O175" s="173">
        <v>7</v>
      </c>
      <c r="P175" s="234">
        <f ca="1">OFFSET($A$1,MATCH(Z170,$A:$A,0)-1,O175)</f>
        <v>1.996</v>
      </c>
      <c r="Q175" s="144" t="s">
        <v>29</v>
      </c>
      <c r="R175" s="118">
        <f t="shared" ca="1" si="41"/>
        <v>235459</v>
      </c>
      <c r="S175" s="118">
        <f t="shared" ca="1" si="41"/>
        <v>469976</v>
      </c>
      <c r="T175" s="118">
        <f ca="1">초급</f>
        <v>235459</v>
      </c>
      <c r="U175" s="118">
        <f t="shared" ca="1" si="42"/>
        <v>469976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319" t="s">
        <v>42</v>
      </c>
      <c r="O176" s="174">
        <v>8</v>
      </c>
      <c r="P176" s="235">
        <f ca="1">OFFSET($A$1,MATCH(Z170,$A:$A,0)-1,O176)</f>
        <v>0.998</v>
      </c>
      <c r="Q176" s="322" t="s">
        <v>29</v>
      </c>
      <c r="R176" s="323">
        <f t="shared" ca="1" si="41"/>
        <v>250087</v>
      </c>
      <c r="S176" s="323">
        <f t="shared" ca="1" si="41"/>
        <v>249586</v>
      </c>
      <c r="T176" s="323">
        <f ca="1">보조원</f>
        <v>250087</v>
      </c>
      <c r="U176" s="323">
        <f t="shared" ca="1" si="42"/>
        <v>249586</v>
      </c>
      <c r="V176" s="323"/>
      <c r="W176" s="323"/>
      <c r="X176" s="323"/>
      <c r="Y176" s="323"/>
      <c r="Z176" s="324"/>
    </row>
    <row r="177" spans="11:26" ht="18" customHeight="1">
      <c r="K177" s="171" t="s">
        <v>14</v>
      </c>
      <c r="L177" s="171"/>
      <c r="M177" s="171"/>
      <c r="N177" s="139" t="s">
        <v>17</v>
      </c>
      <c r="O177" s="68"/>
      <c r="P177" s="69"/>
      <c r="Q177" s="70"/>
      <c r="R177" s="71"/>
      <c r="S177" s="71">
        <f ca="1">SUBTOTAL(9,S171:S176)</f>
        <v>2708083</v>
      </c>
      <c r="T177" s="71"/>
      <c r="U177" s="71">
        <f ca="1">SUBTOTAL(9,U171:U176)</f>
        <v>2708083</v>
      </c>
      <c r="V177" s="71"/>
      <c r="W177" s="71"/>
      <c r="X177" s="71"/>
      <c r="Y177" s="71"/>
      <c r="Z177" s="68"/>
    </row>
    <row r="178" spans="11:26" ht="18" customHeight="1">
      <c r="K178" s="171" t="s">
        <v>14</v>
      </c>
      <c r="L178" s="171"/>
      <c r="M178" s="171"/>
      <c r="N178" s="318" t="str">
        <f ca="1">"제 " &amp; Z178 &amp; " 호표  "&amp; OFFSET($A$1,MATCH(Z178,$A:$A,0)-1,1)</f>
        <v>제 14 호표  4.1. 저감방안수립</v>
      </c>
      <c r="O178" s="221"/>
      <c r="P178" s="148"/>
      <c r="Q178" s="148"/>
      <c r="R178" s="149"/>
      <c r="S178" s="149"/>
      <c r="T178" s="149"/>
      <c r="U178" s="149"/>
      <c r="V178" s="149"/>
      <c r="W178" s="149"/>
      <c r="X178" s="149"/>
      <c r="Y178" s="149"/>
      <c r="Z178" s="325">
        <f>Z170+1</f>
        <v>14</v>
      </c>
    </row>
    <row r="179" spans="11:26" ht="18" customHeight="1">
      <c r="K179" s="171" t="s">
        <v>14</v>
      </c>
      <c r="L179" s="171"/>
      <c r="M179" s="171"/>
      <c r="N179" s="140" t="s">
        <v>43</v>
      </c>
      <c r="O179" s="172">
        <v>3</v>
      </c>
      <c r="P179" s="219">
        <f ca="1">OFFSET($A$1,MATCH(Z178,$A:$A,0)-1,O179)</f>
        <v>1.696</v>
      </c>
      <c r="Q179" s="141" t="s">
        <v>29</v>
      </c>
      <c r="R179" s="142">
        <f t="shared" ref="R179:R184" ca="1" si="43">T179</f>
        <v>467217</v>
      </c>
      <c r="S179" s="142">
        <f t="shared" ref="S179:S184" ca="1" si="44">U179</f>
        <v>792400</v>
      </c>
      <c r="T179" s="142">
        <f ca="1">기술사</f>
        <v>467217</v>
      </c>
      <c r="U179" s="142">
        <f t="shared" ref="U179:U184" ca="1" si="45">ROUNDDOWN(P179*R179,0)</f>
        <v>792400</v>
      </c>
      <c r="V179" s="142"/>
      <c r="W179" s="142"/>
      <c r="X179" s="142"/>
      <c r="Y179" s="142"/>
      <c r="Z179" s="114"/>
    </row>
    <row r="180" spans="11:26" ht="18" customHeight="1">
      <c r="K180" s="171" t="s">
        <v>14</v>
      </c>
      <c r="L180" s="171"/>
      <c r="M180" s="171"/>
      <c r="N180" s="143" t="s">
        <v>32</v>
      </c>
      <c r="O180" s="173">
        <v>4</v>
      </c>
      <c r="P180" s="234">
        <f ca="1">OFFSET($A$1,MATCH(Z178,$A:$A,0)-1,O180)</f>
        <v>3.2930000000000001</v>
      </c>
      <c r="Q180" s="144" t="s">
        <v>29</v>
      </c>
      <c r="R180" s="118">
        <f t="shared" ca="1" si="43"/>
        <v>373353</v>
      </c>
      <c r="S180" s="118">
        <f t="shared" ca="1" si="44"/>
        <v>1229451</v>
      </c>
      <c r="T180" s="118">
        <f ca="1">특급</f>
        <v>373353</v>
      </c>
      <c r="U180" s="118">
        <f t="shared" ca="1" si="45"/>
        <v>1229451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39</v>
      </c>
      <c r="O181" s="173">
        <v>5</v>
      </c>
      <c r="P181" s="234">
        <f ca="1">OFFSET($A$1,MATCH(Z178,$A:$A,0)-1,O181)</f>
        <v>4.8899999999999997</v>
      </c>
      <c r="Q181" s="144" t="s">
        <v>29</v>
      </c>
      <c r="R181" s="118">
        <f t="shared" ca="1" si="43"/>
        <v>310884</v>
      </c>
      <c r="S181" s="118">
        <f t="shared" ca="1" si="44"/>
        <v>1520222</v>
      </c>
      <c r="T181" s="118">
        <f ca="1">고급</f>
        <v>310884</v>
      </c>
      <c r="U181" s="118">
        <f t="shared" ca="1" si="45"/>
        <v>1520222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40</v>
      </c>
      <c r="O182" s="173">
        <v>6</v>
      </c>
      <c r="P182" s="234">
        <f ca="1">OFFSET($A$1,MATCH(Z178,$A:$A,0)-1,O182)</f>
        <v>5.6879999999999997</v>
      </c>
      <c r="Q182" s="144" t="s">
        <v>29</v>
      </c>
      <c r="R182" s="118">
        <f t="shared" ca="1" si="43"/>
        <v>295138</v>
      </c>
      <c r="S182" s="118">
        <f t="shared" ca="1" si="44"/>
        <v>1678744</v>
      </c>
      <c r="T182" s="118">
        <f ca="1">중급</f>
        <v>295138</v>
      </c>
      <c r="U182" s="118">
        <f t="shared" ca="1" si="45"/>
        <v>1678744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41</v>
      </c>
      <c r="O183" s="173">
        <v>7</v>
      </c>
      <c r="P183" s="234">
        <f ca="1">OFFSET($A$1,MATCH(Z178,$A:$A,0)-1,O183)</f>
        <v>2.0950000000000002</v>
      </c>
      <c r="Q183" s="144" t="s">
        <v>29</v>
      </c>
      <c r="R183" s="118">
        <f t="shared" ca="1" si="43"/>
        <v>235459</v>
      </c>
      <c r="S183" s="118">
        <f t="shared" ca="1" si="44"/>
        <v>493286</v>
      </c>
      <c r="T183" s="118">
        <f ca="1">초급</f>
        <v>235459</v>
      </c>
      <c r="U183" s="118">
        <f t="shared" ca="1" si="45"/>
        <v>493286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319" t="s">
        <v>42</v>
      </c>
      <c r="O184" s="174">
        <v>8</v>
      </c>
      <c r="P184" s="235">
        <f ca="1">OFFSET($A$1,MATCH(Z178,$A:$A,0)-1,O184)</f>
        <v>0.998</v>
      </c>
      <c r="Q184" s="322" t="s">
        <v>29</v>
      </c>
      <c r="R184" s="323">
        <f t="shared" ca="1" si="43"/>
        <v>250087</v>
      </c>
      <c r="S184" s="323">
        <f t="shared" ca="1" si="44"/>
        <v>249586</v>
      </c>
      <c r="T184" s="323">
        <f ca="1">보조원</f>
        <v>250087</v>
      </c>
      <c r="U184" s="323">
        <f t="shared" ca="1" si="45"/>
        <v>249586</v>
      </c>
      <c r="V184" s="323"/>
      <c r="W184" s="323"/>
      <c r="X184" s="323"/>
      <c r="Y184" s="323"/>
      <c r="Z184" s="324"/>
    </row>
    <row r="185" spans="11:26" ht="18" customHeight="1">
      <c r="K185" s="171" t="s">
        <v>14</v>
      </c>
      <c r="L185" s="171"/>
      <c r="M185" s="171"/>
      <c r="N185" s="139" t="s">
        <v>17</v>
      </c>
      <c r="O185" s="68"/>
      <c r="P185" s="69"/>
      <c r="Q185" s="70"/>
      <c r="R185" s="71"/>
      <c r="S185" s="71">
        <f ca="1">SUBTOTAL(9,S179:S184)</f>
        <v>5963689</v>
      </c>
      <c r="T185" s="71"/>
      <c r="U185" s="71">
        <f ca="1">SUBTOTAL(9,U179:U184)</f>
        <v>5963689</v>
      </c>
      <c r="V185" s="71"/>
      <c r="W185" s="71"/>
      <c r="X185" s="71"/>
      <c r="Y185" s="71"/>
      <c r="Z185" s="68"/>
    </row>
    <row r="186" spans="11:26" ht="18" customHeight="1">
      <c r="K186" s="171" t="s">
        <v>14</v>
      </c>
      <c r="L186" s="171"/>
      <c r="M186" s="171"/>
      <c r="N186" s="318" t="str">
        <f ca="1">"제 " &amp; Z186 &amp; " 호표  "&amp; OFFSET($A$1,MATCH(Z186,$A:$A,0)-1,1)</f>
        <v>제 15 호표  5-1. 협의회 의견수렴결과</v>
      </c>
      <c r="O186" s="221"/>
      <c r="P186" s="148"/>
      <c r="Q186" s="148"/>
      <c r="R186" s="149"/>
      <c r="S186" s="149"/>
      <c r="T186" s="149"/>
      <c r="U186" s="149"/>
      <c r="V186" s="149"/>
      <c r="W186" s="149"/>
      <c r="X186" s="149"/>
      <c r="Y186" s="149"/>
      <c r="Z186" s="325">
        <f>Z178+1</f>
        <v>15</v>
      </c>
    </row>
    <row r="187" spans="11:26" ht="18" customHeight="1">
      <c r="K187" s="171" t="s">
        <v>14</v>
      </c>
      <c r="L187" s="171"/>
      <c r="M187" s="171"/>
      <c r="N187" s="140" t="s">
        <v>43</v>
      </c>
      <c r="O187" s="172">
        <v>3</v>
      </c>
      <c r="P187" s="219">
        <f ca="1">OFFSET($A$1,MATCH(Z186,$A:$A,0)-1,O187)</f>
        <v>0.39900000000000002</v>
      </c>
      <c r="Q187" s="141" t="s">
        <v>29</v>
      </c>
      <c r="R187" s="142">
        <f t="shared" ref="R187:R192" ca="1" si="46">T187</f>
        <v>467217</v>
      </c>
      <c r="S187" s="142">
        <f t="shared" ref="S187:S192" ca="1" si="47">U187</f>
        <v>186419</v>
      </c>
      <c r="T187" s="142">
        <f ca="1">기술사</f>
        <v>467217</v>
      </c>
      <c r="U187" s="142">
        <f t="shared" ref="U187:U192" ca="1" si="48">ROUNDDOWN(P187*R187,0)</f>
        <v>186419</v>
      </c>
      <c r="V187" s="142"/>
      <c r="W187" s="142"/>
      <c r="X187" s="142"/>
      <c r="Y187" s="142"/>
      <c r="Z187" s="114"/>
    </row>
    <row r="188" spans="11:26" ht="18" customHeight="1">
      <c r="K188" s="171" t="s">
        <v>14</v>
      </c>
      <c r="L188" s="171"/>
      <c r="M188" s="171"/>
      <c r="N188" s="143" t="s">
        <v>32</v>
      </c>
      <c r="O188" s="173">
        <v>4</v>
      </c>
      <c r="P188" s="234">
        <f ca="1">OFFSET($A$1,MATCH(Z186,$A:$A,0)-1,O188)</f>
        <v>0.89800000000000002</v>
      </c>
      <c r="Q188" s="144" t="s">
        <v>29</v>
      </c>
      <c r="R188" s="118">
        <f t="shared" ca="1" si="46"/>
        <v>373353</v>
      </c>
      <c r="S188" s="118">
        <f t="shared" ca="1" si="47"/>
        <v>335270</v>
      </c>
      <c r="T188" s="118">
        <f ca="1">특급</f>
        <v>373353</v>
      </c>
      <c r="U188" s="118">
        <f t="shared" ca="1" si="48"/>
        <v>335270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39</v>
      </c>
      <c r="O189" s="173">
        <v>5</v>
      </c>
      <c r="P189" s="234">
        <f ca="1">OFFSET($A$1,MATCH(Z186,$A:$A,0)-1,O189)</f>
        <v>0.79800000000000004</v>
      </c>
      <c r="Q189" s="144" t="s">
        <v>29</v>
      </c>
      <c r="R189" s="118">
        <f t="shared" ca="1" si="46"/>
        <v>310884</v>
      </c>
      <c r="S189" s="118">
        <f t="shared" ca="1" si="47"/>
        <v>248085</v>
      </c>
      <c r="T189" s="118">
        <f ca="1">고급</f>
        <v>310884</v>
      </c>
      <c r="U189" s="118">
        <f t="shared" ca="1" si="48"/>
        <v>248085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40</v>
      </c>
      <c r="O190" s="173">
        <v>6</v>
      </c>
      <c r="P190" s="234">
        <f ca="1">OFFSET($A$1,MATCH(Z186,$A:$A,0)-1,O190)</f>
        <v>1.397</v>
      </c>
      <c r="Q190" s="144" t="s">
        <v>29</v>
      </c>
      <c r="R190" s="118">
        <f t="shared" ca="1" si="46"/>
        <v>295138</v>
      </c>
      <c r="S190" s="118">
        <f t="shared" ca="1" si="47"/>
        <v>412307</v>
      </c>
      <c r="T190" s="118">
        <f ca="1">중급</f>
        <v>295138</v>
      </c>
      <c r="U190" s="118">
        <f t="shared" ca="1" si="48"/>
        <v>412307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41</v>
      </c>
      <c r="O191" s="173">
        <v>7</v>
      </c>
      <c r="P191" s="234">
        <f ca="1">OFFSET($A$1,MATCH(Z186,$A:$A,0)-1,O191)</f>
        <v>1.8959999999999999</v>
      </c>
      <c r="Q191" s="144" t="s">
        <v>29</v>
      </c>
      <c r="R191" s="118">
        <f t="shared" ca="1" si="46"/>
        <v>235459</v>
      </c>
      <c r="S191" s="118">
        <f t="shared" ca="1" si="47"/>
        <v>446430</v>
      </c>
      <c r="T191" s="118">
        <f ca="1">초급</f>
        <v>235459</v>
      </c>
      <c r="U191" s="118">
        <f t="shared" ca="1" si="48"/>
        <v>446430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319" t="s">
        <v>42</v>
      </c>
      <c r="O192" s="174">
        <v>8</v>
      </c>
      <c r="P192" s="235">
        <f ca="1">OFFSET($A$1,MATCH(Z186,$A:$A,0)-1,O192)</f>
        <v>0.89800000000000002</v>
      </c>
      <c r="Q192" s="322" t="s">
        <v>29</v>
      </c>
      <c r="R192" s="323">
        <f t="shared" ca="1" si="46"/>
        <v>250087</v>
      </c>
      <c r="S192" s="323">
        <f t="shared" ca="1" si="47"/>
        <v>224578</v>
      </c>
      <c r="T192" s="323">
        <f ca="1">보조원</f>
        <v>250087</v>
      </c>
      <c r="U192" s="323">
        <f t="shared" ca="1" si="48"/>
        <v>224578</v>
      </c>
      <c r="V192" s="323"/>
      <c r="W192" s="323"/>
      <c r="X192" s="323"/>
      <c r="Y192" s="323"/>
      <c r="Z192" s="324"/>
    </row>
    <row r="193" spans="11:26" ht="18" customHeight="1">
      <c r="K193" s="171" t="s">
        <v>14</v>
      </c>
      <c r="L193" s="171"/>
      <c r="M193" s="171"/>
      <c r="N193" s="139" t="s">
        <v>17</v>
      </c>
      <c r="O193" s="68"/>
      <c r="P193" s="69"/>
      <c r="Q193" s="70"/>
      <c r="R193" s="71"/>
      <c r="S193" s="71">
        <f ca="1">SUBTOTAL(9,S187:S192)</f>
        <v>1853089</v>
      </c>
      <c r="T193" s="71"/>
      <c r="U193" s="71">
        <f ca="1">SUBTOTAL(9,U187:U192)</f>
        <v>1853089</v>
      </c>
      <c r="V193" s="71"/>
      <c r="W193" s="71"/>
      <c r="X193" s="71"/>
      <c r="Y193" s="71"/>
      <c r="Z193" s="68"/>
    </row>
    <row r="194" spans="11:26" ht="18" customHeight="1">
      <c r="K194" s="171" t="s">
        <v>14</v>
      </c>
      <c r="L194" s="171"/>
      <c r="M194" s="171"/>
      <c r="N194" s="318" t="str">
        <f ca="1">"제 " &amp; Z194 &amp; " 호표  "&amp; OFFSET($A$1,MATCH(Z194,$A:$A,0)-1,1)</f>
        <v>제 16 호표  5-2. 주민 의견수렴 결과</v>
      </c>
      <c r="O194" s="221"/>
      <c r="P194" s="148"/>
      <c r="Q194" s="148"/>
      <c r="R194" s="149"/>
      <c r="S194" s="149"/>
      <c r="T194" s="149"/>
      <c r="U194" s="149"/>
      <c r="V194" s="149"/>
      <c r="W194" s="149"/>
      <c r="X194" s="149"/>
      <c r="Y194" s="149"/>
      <c r="Z194" s="325">
        <f>Z186+1</f>
        <v>16</v>
      </c>
    </row>
    <row r="195" spans="11:26" ht="18" customHeight="1">
      <c r="K195" s="171" t="s">
        <v>14</v>
      </c>
      <c r="L195" s="171"/>
      <c r="M195" s="171"/>
      <c r="N195" s="140" t="s">
        <v>43</v>
      </c>
      <c r="O195" s="172">
        <v>3</v>
      </c>
      <c r="P195" s="219">
        <f ca="1">OFFSET($A$1,MATCH(Z194,$A:$A,0)-1,O195)</f>
        <v>0.29899999999999999</v>
      </c>
      <c r="Q195" s="141" t="s">
        <v>29</v>
      </c>
      <c r="R195" s="142">
        <f t="shared" ref="R195:R200" ca="1" si="49">T195</f>
        <v>467217</v>
      </c>
      <c r="S195" s="142">
        <f t="shared" ref="S195:S200" ca="1" si="50">U195</f>
        <v>139697</v>
      </c>
      <c r="T195" s="142">
        <f ca="1">기술사</f>
        <v>467217</v>
      </c>
      <c r="U195" s="142">
        <f t="shared" ref="U195:U200" ca="1" si="51">ROUNDDOWN(P195*R195,0)</f>
        <v>139697</v>
      </c>
      <c r="V195" s="142"/>
      <c r="W195" s="142"/>
      <c r="X195" s="142"/>
      <c r="Y195" s="142"/>
      <c r="Z195" s="114"/>
    </row>
    <row r="196" spans="11:26" ht="18" customHeight="1">
      <c r="K196" s="171" t="s">
        <v>14</v>
      </c>
      <c r="L196" s="171"/>
      <c r="M196" s="171"/>
      <c r="N196" s="143" t="s">
        <v>32</v>
      </c>
      <c r="O196" s="173">
        <v>4</v>
      </c>
      <c r="P196" s="234">
        <f ca="1">OFFSET($A$1,MATCH(Z194,$A:$A,0)-1,O196)</f>
        <v>0.69799999999999995</v>
      </c>
      <c r="Q196" s="144" t="s">
        <v>29</v>
      </c>
      <c r="R196" s="118">
        <f t="shared" ca="1" si="49"/>
        <v>373353</v>
      </c>
      <c r="S196" s="118">
        <f t="shared" ca="1" si="50"/>
        <v>260600</v>
      </c>
      <c r="T196" s="118">
        <f ca="1">특급</f>
        <v>373353</v>
      </c>
      <c r="U196" s="118">
        <f t="shared" ca="1" si="51"/>
        <v>260600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39</v>
      </c>
      <c r="O197" s="173">
        <v>5</v>
      </c>
      <c r="P197" s="234">
        <f ca="1">OFFSET($A$1,MATCH(Z194,$A:$A,0)-1,O197)</f>
        <v>1.996</v>
      </c>
      <c r="Q197" s="144" t="s">
        <v>29</v>
      </c>
      <c r="R197" s="118">
        <f t="shared" ca="1" si="49"/>
        <v>310884</v>
      </c>
      <c r="S197" s="118">
        <f t="shared" ca="1" si="50"/>
        <v>620524</v>
      </c>
      <c r="T197" s="118">
        <f ca="1">고급</f>
        <v>310884</v>
      </c>
      <c r="U197" s="118">
        <f t="shared" ca="1" si="51"/>
        <v>620524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40</v>
      </c>
      <c r="O198" s="173">
        <v>6</v>
      </c>
      <c r="P198" s="234">
        <f ca="1">OFFSET($A$1,MATCH(Z194,$A:$A,0)-1,O198)</f>
        <v>6.0869999999999997</v>
      </c>
      <c r="Q198" s="144" t="s">
        <v>29</v>
      </c>
      <c r="R198" s="118">
        <f t="shared" ca="1" si="49"/>
        <v>295138</v>
      </c>
      <c r="S198" s="118">
        <f t="shared" ca="1" si="50"/>
        <v>1796505</v>
      </c>
      <c r="T198" s="118">
        <f ca="1">중급</f>
        <v>295138</v>
      </c>
      <c r="U198" s="118">
        <f t="shared" ca="1" si="51"/>
        <v>1796505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41</v>
      </c>
      <c r="O199" s="173">
        <v>7</v>
      </c>
      <c r="P199" s="234">
        <f ca="1">OFFSET($A$1,MATCH(Z194,$A:$A,0)-1,O199)</f>
        <v>6.6859999999999999</v>
      </c>
      <c r="Q199" s="144" t="s">
        <v>29</v>
      </c>
      <c r="R199" s="118">
        <f t="shared" ca="1" si="49"/>
        <v>235459</v>
      </c>
      <c r="S199" s="118">
        <f t="shared" ca="1" si="50"/>
        <v>1574278</v>
      </c>
      <c r="T199" s="118">
        <f ca="1">초급</f>
        <v>235459</v>
      </c>
      <c r="U199" s="118">
        <f t="shared" ca="1" si="51"/>
        <v>1574278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319" t="s">
        <v>42</v>
      </c>
      <c r="O200" s="174">
        <v>8</v>
      </c>
      <c r="P200" s="235">
        <f ca="1">OFFSET($A$1,MATCH(Z194,$A:$A,0)-1,O200)</f>
        <v>3.2930000000000001</v>
      </c>
      <c r="Q200" s="322" t="s">
        <v>29</v>
      </c>
      <c r="R200" s="323">
        <f t="shared" ca="1" si="49"/>
        <v>250087</v>
      </c>
      <c r="S200" s="323">
        <f t="shared" ca="1" si="50"/>
        <v>823536</v>
      </c>
      <c r="T200" s="323">
        <f ca="1">보조원</f>
        <v>250087</v>
      </c>
      <c r="U200" s="323">
        <f t="shared" ca="1" si="51"/>
        <v>823536</v>
      </c>
      <c r="V200" s="323"/>
      <c r="W200" s="323"/>
      <c r="X200" s="323"/>
      <c r="Y200" s="323"/>
      <c r="Z200" s="324"/>
    </row>
    <row r="201" spans="11:26" ht="18" customHeight="1">
      <c r="K201" s="171" t="s">
        <v>14</v>
      </c>
      <c r="L201" s="171"/>
      <c r="M201" s="171"/>
      <c r="N201" s="139" t="s">
        <v>17</v>
      </c>
      <c r="O201" s="68"/>
      <c r="P201" s="69"/>
      <c r="Q201" s="70"/>
      <c r="R201" s="71"/>
      <c r="S201" s="71">
        <f ca="1">SUBTOTAL(9,S195:S200)</f>
        <v>5215140</v>
      </c>
      <c r="T201" s="71"/>
      <c r="U201" s="71">
        <f ca="1">SUBTOTAL(9,U195:U200)</f>
        <v>5215140</v>
      </c>
      <c r="V201" s="71"/>
      <c r="W201" s="71"/>
      <c r="X201" s="71"/>
      <c r="Y201" s="71"/>
      <c r="Z201" s="68"/>
    </row>
    <row r="202" spans="11:26" ht="18" customHeight="1">
      <c r="K202" s="171" t="s">
        <v>14</v>
      </c>
      <c r="L202" s="171"/>
      <c r="M202" s="171"/>
      <c r="N202" s="318" t="str">
        <f ca="1">"제 " &amp; Z202 &amp; " 호표  "&amp; OFFSET($A$1,MATCH(Z202,$A:$A,0)-1,1)</f>
        <v>제 17 호표  5-3. 종합평가 및 결론</v>
      </c>
      <c r="O202" s="221"/>
      <c r="P202" s="148"/>
      <c r="Q202" s="148"/>
      <c r="R202" s="149"/>
      <c r="S202" s="149"/>
      <c r="T202" s="149"/>
      <c r="U202" s="149"/>
      <c r="V202" s="149"/>
      <c r="W202" s="149"/>
      <c r="X202" s="149"/>
      <c r="Y202" s="149"/>
      <c r="Z202" s="325">
        <f>Z194+1</f>
        <v>17</v>
      </c>
    </row>
    <row r="203" spans="11:26" ht="18" customHeight="1">
      <c r="K203" s="171" t="s">
        <v>14</v>
      </c>
      <c r="L203" s="171"/>
      <c r="M203" s="171"/>
      <c r="N203" s="140" t="s">
        <v>43</v>
      </c>
      <c r="O203" s="172">
        <v>3</v>
      </c>
      <c r="P203" s="219">
        <f ca="1">OFFSET($A$1,MATCH(Z202,$A:$A,0)-1,O203)</f>
        <v>0.59799999999999998</v>
      </c>
      <c r="Q203" s="141" t="s">
        <v>29</v>
      </c>
      <c r="R203" s="142">
        <f t="shared" ref="R203:R208" ca="1" si="52">T203</f>
        <v>467217</v>
      </c>
      <c r="S203" s="142">
        <f t="shared" ref="S203:S208" ca="1" si="53">U203</f>
        <v>279395</v>
      </c>
      <c r="T203" s="142">
        <f ca="1">기술사</f>
        <v>467217</v>
      </c>
      <c r="U203" s="142">
        <f t="shared" ref="U203:U208" ca="1" si="54">ROUNDDOWN(P203*R203,0)</f>
        <v>279395</v>
      </c>
      <c r="V203" s="142"/>
      <c r="W203" s="142"/>
      <c r="X203" s="142"/>
      <c r="Y203" s="142"/>
      <c r="Z203" s="114"/>
    </row>
    <row r="204" spans="11:26" ht="18" customHeight="1">
      <c r="K204" s="171" t="s">
        <v>14</v>
      </c>
      <c r="L204" s="171"/>
      <c r="M204" s="171"/>
      <c r="N204" s="143" t="s">
        <v>32</v>
      </c>
      <c r="O204" s="173">
        <v>4</v>
      </c>
      <c r="P204" s="234">
        <f ca="1">OFFSET($A$1,MATCH(Z202,$A:$A,0)-1,O204)</f>
        <v>1.2969999999999999</v>
      </c>
      <c r="Q204" s="144" t="s">
        <v>29</v>
      </c>
      <c r="R204" s="118">
        <f t="shared" ca="1" si="52"/>
        <v>373353</v>
      </c>
      <c r="S204" s="118">
        <f t="shared" ca="1" si="53"/>
        <v>484238</v>
      </c>
      <c r="T204" s="118">
        <f ca="1">특급</f>
        <v>373353</v>
      </c>
      <c r="U204" s="118">
        <f t="shared" ca="1" si="54"/>
        <v>484238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39</v>
      </c>
      <c r="O205" s="173">
        <v>5</v>
      </c>
      <c r="P205" s="234">
        <f ca="1">OFFSET($A$1,MATCH(Z202,$A:$A,0)-1,O205)</f>
        <v>2.395</v>
      </c>
      <c r="Q205" s="144" t="s">
        <v>29</v>
      </c>
      <c r="R205" s="118">
        <f t="shared" ca="1" si="52"/>
        <v>310884</v>
      </c>
      <c r="S205" s="118">
        <f t="shared" ca="1" si="53"/>
        <v>744567</v>
      </c>
      <c r="T205" s="118">
        <f ca="1">고급</f>
        <v>310884</v>
      </c>
      <c r="U205" s="118">
        <f t="shared" ca="1" si="54"/>
        <v>744567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145" t="s">
        <v>40</v>
      </c>
      <c r="O206" s="173">
        <v>6</v>
      </c>
      <c r="P206" s="234">
        <f ca="1">OFFSET($A$1,MATCH(Z202,$A:$A,0)-1,O206)</f>
        <v>4.4909999999999997</v>
      </c>
      <c r="Q206" s="144" t="s">
        <v>29</v>
      </c>
      <c r="R206" s="118">
        <f t="shared" ca="1" si="52"/>
        <v>295138</v>
      </c>
      <c r="S206" s="118">
        <f t="shared" ca="1" si="53"/>
        <v>1325464</v>
      </c>
      <c r="T206" s="118">
        <f ca="1">중급</f>
        <v>295138</v>
      </c>
      <c r="U206" s="118">
        <f t="shared" ca="1" si="54"/>
        <v>1325464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41</v>
      </c>
      <c r="O207" s="173">
        <v>7</v>
      </c>
      <c r="P207" s="234">
        <f ca="1">OFFSET($A$1,MATCH(Z202,$A:$A,0)-1,O207)</f>
        <v>3.7919999999999998</v>
      </c>
      <c r="Q207" s="144" t="s">
        <v>29</v>
      </c>
      <c r="R207" s="118">
        <f t="shared" ca="1" si="52"/>
        <v>235459</v>
      </c>
      <c r="S207" s="118">
        <f t="shared" ca="1" si="53"/>
        <v>892860</v>
      </c>
      <c r="T207" s="118">
        <f ca="1">초급</f>
        <v>235459</v>
      </c>
      <c r="U207" s="118">
        <f t="shared" ca="1" si="54"/>
        <v>892860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319" t="s">
        <v>42</v>
      </c>
      <c r="O208" s="174">
        <v>8</v>
      </c>
      <c r="P208" s="235">
        <f ca="1">OFFSET($A$1,MATCH(Z202,$A:$A,0)-1,O208)</f>
        <v>1.8959999999999999</v>
      </c>
      <c r="Q208" s="322" t="s">
        <v>29</v>
      </c>
      <c r="R208" s="323">
        <f t="shared" ca="1" si="52"/>
        <v>250087</v>
      </c>
      <c r="S208" s="323">
        <f t="shared" ca="1" si="53"/>
        <v>474164</v>
      </c>
      <c r="T208" s="323">
        <f ca="1">보조원</f>
        <v>250087</v>
      </c>
      <c r="U208" s="323">
        <f t="shared" ca="1" si="54"/>
        <v>474164</v>
      </c>
      <c r="V208" s="323"/>
      <c r="W208" s="323"/>
      <c r="X208" s="323"/>
      <c r="Y208" s="323"/>
      <c r="Z208" s="324"/>
    </row>
    <row r="209" spans="11:26" ht="18" customHeight="1">
      <c r="K209" s="171" t="s">
        <v>14</v>
      </c>
      <c r="L209" s="171"/>
      <c r="M209" s="171"/>
      <c r="N209" s="139" t="s">
        <v>17</v>
      </c>
      <c r="O209" s="68"/>
      <c r="P209" s="69"/>
      <c r="Q209" s="70"/>
      <c r="R209" s="71"/>
      <c r="S209" s="71">
        <f ca="1">SUBTOTAL(9,S203:S208)</f>
        <v>4200688</v>
      </c>
      <c r="T209" s="71"/>
      <c r="U209" s="71">
        <f ca="1">SUBTOTAL(9,U203:U208)</f>
        <v>4200688</v>
      </c>
      <c r="V209" s="71"/>
      <c r="W209" s="71"/>
      <c r="X209" s="71"/>
      <c r="Y209" s="71"/>
      <c r="Z209" s="68"/>
    </row>
    <row r="210" spans="11:26" ht="18" customHeight="1">
      <c r="K210" s="171" t="s">
        <v>14</v>
      </c>
      <c r="L210" s="171"/>
      <c r="M210" s="171"/>
      <c r="N210" s="318" t="str">
        <f ca="1">"제 " &amp; Z210 &amp; " 호표  "&amp; OFFSET($A$1,MATCH(Z210,$A:$A,0)-1,1)</f>
        <v>제 18 호표  6.1. 보고서작성</v>
      </c>
      <c r="O210" s="221"/>
      <c r="P210" s="148"/>
      <c r="Q210" s="148"/>
      <c r="R210" s="149"/>
      <c r="S210" s="149"/>
      <c r="T210" s="149"/>
      <c r="U210" s="149"/>
      <c r="V210" s="149"/>
      <c r="W210" s="149"/>
      <c r="X210" s="149"/>
      <c r="Y210" s="149"/>
      <c r="Z210" s="325">
        <f>Z202+1</f>
        <v>18</v>
      </c>
    </row>
    <row r="211" spans="11:26" ht="18" customHeight="1">
      <c r="K211" s="171" t="s">
        <v>14</v>
      </c>
      <c r="L211" s="171"/>
      <c r="M211" s="171"/>
      <c r="N211" s="140" t="s">
        <v>43</v>
      </c>
      <c r="O211" s="172">
        <v>3</v>
      </c>
      <c r="P211" s="219">
        <f ca="1">OFFSET($A$1,MATCH(Z210,$A:$A,0)-1,O211)</f>
        <v>0.19900000000000001</v>
      </c>
      <c r="Q211" s="141" t="s">
        <v>29</v>
      </c>
      <c r="R211" s="142">
        <f t="shared" ref="R211:R216" ca="1" si="55">T211</f>
        <v>467217</v>
      </c>
      <c r="S211" s="142">
        <f t="shared" ref="S211:S216" ca="1" si="56">U211</f>
        <v>92976</v>
      </c>
      <c r="T211" s="142">
        <f ca="1">기술사</f>
        <v>467217</v>
      </c>
      <c r="U211" s="142">
        <f t="shared" ref="U211:U216" ca="1" si="57">ROUNDDOWN(P211*R211,0)</f>
        <v>92976</v>
      </c>
      <c r="V211" s="142"/>
      <c r="W211" s="142"/>
      <c r="X211" s="142"/>
      <c r="Y211" s="142"/>
      <c r="Z211" s="114"/>
    </row>
    <row r="212" spans="11:26" ht="18" customHeight="1">
      <c r="K212" s="171" t="s">
        <v>14</v>
      </c>
      <c r="L212" s="171"/>
      <c r="M212" s="171"/>
      <c r="N212" s="143" t="s">
        <v>32</v>
      </c>
      <c r="O212" s="173">
        <v>4</v>
      </c>
      <c r="P212" s="234">
        <f ca="1">OFFSET($A$1,MATCH(Z210,$A:$A,0)-1,O212)</f>
        <v>0.19900000000000001</v>
      </c>
      <c r="Q212" s="144" t="s">
        <v>29</v>
      </c>
      <c r="R212" s="118">
        <f t="shared" ca="1" si="55"/>
        <v>373353</v>
      </c>
      <c r="S212" s="118">
        <f t="shared" ca="1" si="56"/>
        <v>74297</v>
      </c>
      <c r="T212" s="118">
        <f ca="1">특급</f>
        <v>373353</v>
      </c>
      <c r="U212" s="118">
        <f t="shared" ca="1" si="57"/>
        <v>74297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39</v>
      </c>
      <c r="O213" s="173">
        <v>5</v>
      </c>
      <c r="P213" s="234">
        <f ca="1">OFFSET($A$1,MATCH(Z210,$A:$A,0)-1,O213)</f>
        <v>0.499</v>
      </c>
      <c r="Q213" s="144" t="s">
        <v>29</v>
      </c>
      <c r="R213" s="118">
        <f t="shared" ca="1" si="55"/>
        <v>310884</v>
      </c>
      <c r="S213" s="118">
        <f t="shared" ca="1" si="56"/>
        <v>155131</v>
      </c>
      <c r="T213" s="118">
        <f ca="1">고급</f>
        <v>310884</v>
      </c>
      <c r="U213" s="118">
        <f t="shared" ca="1" si="57"/>
        <v>155131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145" t="s">
        <v>40</v>
      </c>
      <c r="O214" s="173">
        <v>6</v>
      </c>
      <c r="P214" s="234">
        <f ca="1">OFFSET($A$1,MATCH(Z210,$A:$A,0)-1,O214)</f>
        <v>0.89800000000000002</v>
      </c>
      <c r="Q214" s="144" t="s">
        <v>29</v>
      </c>
      <c r="R214" s="118">
        <f t="shared" ca="1" si="55"/>
        <v>295138</v>
      </c>
      <c r="S214" s="118">
        <f t="shared" ca="1" si="56"/>
        <v>265033</v>
      </c>
      <c r="T214" s="118">
        <f ca="1">중급</f>
        <v>295138</v>
      </c>
      <c r="U214" s="118">
        <f t="shared" ca="1" si="57"/>
        <v>265033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41</v>
      </c>
      <c r="O215" s="173">
        <v>7</v>
      </c>
      <c r="P215" s="234">
        <f ca="1">OFFSET($A$1,MATCH(Z210,$A:$A,0)-1,O215)</f>
        <v>0.998</v>
      </c>
      <c r="Q215" s="144" t="s">
        <v>29</v>
      </c>
      <c r="R215" s="118">
        <f t="shared" ca="1" si="55"/>
        <v>235459</v>
      </c>
      <c r="S215" s="118">
        <f t="shared" ca="1" si="56"/>
        <v>234988</v>
      </c>
      <c r="T215" s="118">
        <f ca="1">초급</f>
        <v>235459</v>
      </c>
      <c r="U215" s="118">
        <f t="shared" ca="1" si="57"/>
        <v>234988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319" t="s">
        <v>42</v>
      </c>
      <c r="O216" s="174">
        <v>8</v>
      </c>
      <c r="P216" s="235">
        <f ca="1">OFFSET($A$1,MATCH(Z210,$A:$A,0)-1,O216)</f>
        <v>1.1970000000000001</v>
      </c>
      <c r="Q216" s="322" t="s">
        <v>29</v>
      </c>
      <c r="R216" s="323">
        <f t="shared" ca="1" si="55"/>
        <v>250087</v>
      </c>
      <c r="S216" s="323">
        <f t="shared" ca="1" si="56"/>
        <v>299354</v>
      </c>
      <c r="T216" s="323">
        <f ca="1">보조원</f>
        <v>250087</v>
      </c>
      <c r="U216" s="323">
        <f t="shared" ca="1" si="57"/>
        <v>299354</v>
      </c>
      <c r="V216" s="323"/>
      <c r="W216" s="323"/>
      <c r="X216" s="323"/>
      <c r="Y216" s="323"/>
      <c r="Z216" s="324"/>
    </row>
    <row r="217" spans="11:26" ht="18" customHeight="1">
      <c r="K217" s="171" t="s">
        <v>14</v>
      </c>
      <c r="L217" s="171"/>
      <c r="M217" s="171"/>
      <c r="N217" s="139" t="s">
        <v>17</v>
      </c>
      <c r="O217" s="68"/>
      <c r="P217" s="69"/>
      <c r="Q217" s="70"/>
      <c r="R217" s="71"/>
      <c r="S217" s="71">
        <f ca="1">SUBTOTAL(9,S211:S216)</f>
        <v>1121779</v>
      </c>
      <c r="T217" s="71"/>
      <c r="U217" s="71">
        <f ca="1">SUBTOTAL(9,U211:U216)</f>
        <v>1121779</v>
      </c>
      <c r="V217" s="71"/>
      <c r="W217" s="71"/>
      <c r="X217" s="71"/>
      <c r="Y217" s="71"/>
      <c r="Z217" s="68"/>
    </row>
    <row r="218" spans="11:26" ht="18" customHeight="1">
      <c r="K218" s="171" t="s">
        <v>14</v>
      </c>
      <c r="L218" s="171"/>
      <c r="M218" s="171"/>
      <c r="N218" s="318" t="str">
        <f ca="1">"제 " &amp; Z218 &amp; " 호표  "&amp; OFFSET($A$1,MATCH(Z218,$A:$A,0)-1,1)</f>
        <v>제 19 호표  6.2. 관련도서작성</v>
      </c>
      <c r="O218" s="221"/>
      <c r="P218" s="148"/>
      <c r="Q218" s="148"/>
      <c r="R218" s="149"/>
      <c r="S218" s="149"/>
      <c r="T218" s="149"/>
      <c r="U218" s="149"/>
      <c r="V218" s="149"/>
      <c r="W218" s="149"/>
      <c r="X218" s="149"/>
      <c r="Y218" s="149"/>
      <c r="Z218" s="325">
        <f>Z210+1</f>
        <v>19</v>
      </c>
    </row>
    <row r="219" spans="11:26" ht="18" customHeight="1">
      <c r="K219" s="171" t="s">
        <v>14</v>
      </c>
      <c r="L219" s="171"/>
      <c r="M219" s="171"/>
      <c r="N219" s="140" t="s">
        <v>43</v>
      </c>
      <c r="O219" s="172">
        <v>3</v>
      </c>
      <c r="P219" s="219">
        <f ca="1">OFFSET($A$1,MATCH(Z218,$A:$A,0)-1,O219)</f>
        <v>9.9000000000000005E-2</v>
      </c>
      <c r="Q219" s="141" t="s">
        <v>29</v>
      </c>
      <c r="R219" s="142">
        <f t="shared" ref="R219:R224" ca="1" si="58">T219</f>
        <v>467217</v>
      </c>
      <c r="S219" s="142">
        <f t="shared" ref="S219:S224" ca="1" si="59">U219</f>
        <v>46254</v>
      </c>
      <c r="T219" s="142">
        <f ca="1">기술사</f>
        <v>467217</v>
      </c>
      <c r="U219" s="142">
        <f t="shared" ref="U219:U224" ca="1" si="60">ROUNDDOWN(P219*R219,0)</f>
        <v>46254</v>
      </c>
      <c r="V219" s="142"/>
      <c r="W219" s="142"/>
      <c r="X219" s="142"/>
      <c r="Y219" s="142"/>
      <c r="Z219" s="114"/>
    </row>
    <row r="220" spans="11:26" ht="18" customHeight="1">
      <c r="K220" s="171" t="s">
        <v>14</v>
      </c>
      <c r="L220" s="171"/>
      <c r="M220" s="171"/>
      <c r="N220" s="143" t="s">
        <v>32</v>
      </c>
      <c r="O220" s="173">
        <v>4</v>
      </c>
      <c r="P220" s="234">
        <f ca="1">OFFSET($A$1,MATCH(Z218,$A:$A,0)-1,O220)</f>
        <v>0.19900000000000001</v>
      </c>
      <c r="Q220" s="144" t="s">
        <v>29</v>
      </c>
      <c r="R220" s="118">
        <f t="shared" ca="1" si="58"/>
        <v>373353</v>
      </c>
      <c r="S220" s="118">
        <f t="shared" ca="1" si="59"/>
        <v>74297</v>
      </c>
      <c r="T220" s="118">
        <f ca="1">특급</f>
        <v>373353</v>
      </c>
      <c r="U220" s="118">
        <f t="shared" ca="1" si="60"/>
        <v>74297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39</v>
      </c>
      <c r="O221" s="173">
        <v>5</v>
      </c>
      <c r="P221" s="234">
        <f ca="1">OFFSET($A$1,MATCH(Z218,$A:$A,0)-1,O221)</f>
        <v>0.499</v>
      </c>
      <c r="Q221" s="144" t="s">
        <v>29</v>
      </c>
      <c r="R221" s="118">
        <f t="shared" ca="1" si="58"/>
        <v>310884</v>
      </c>
      <c r="S221" s="118">
        <f t="shared" ca="1" si="59"/>
        <v>155131</v>
      </c>
      <c r="T221" s="118">
        <f ca="1">고급</f>
        <v>310884</v>
      </c>
      <c r="U221" s="118">
        <f t="shared" ca="1" si="60"/>
        <v>155131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145" t="s">
        <v>40</v>
      </c>
      <c r="O222" s="173">
        <v>6</v>
      </c>
      <c r="P222" s="234">
        <f ca="1">OFFSET($A$1,MATCH(Z218,$A:$A,0)-1,O222)</f>
        <v>0.79800000000000004</v>
      </c>
      <c r="Q222" s="144" t="s">
        <v>29</v>
      </c>
      <c r="R222" s="118">
        <f t="shared" ca="1" si="58"/>
        <v>295138</v>
      </c>
      <c r="S222" s="118">
        <f t="shared" ca="1" si="59"/>
        <v>235520</v>
      </c>
      <c r="T222" s="118">
        <f ca="1">중급</f>
        <v>295138</v>
      </c>
      <c r="U222" s="118">
        <f t="shared" ca="1" si="60"/>
        <v>235520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41</v>
      </c>
      <c r="O223" s="173">
        <v>7</v>
      </c>
      <c r="P223" s="234">
        <f ca="1">OFFSET($A$1,MATCH(Z218,$A:$A,0)-1,O223)</f>
        <v>0.998</v>
      </c>
      <c r="Q223" s="144" t="s">
        <v>29</v>
      </c>
      <c r="R223" s="118">
        <f t="shared" ca="1" si="58"/>
        <v>235459</v>
      </c>
      <c r="S223" s="118">
        <f t="shared" ca="1" si="59"/>
        <v>234988</v>
      </c>
      <c r="T223" s="118">
        <f ca="1">초급</f>
        <v>235459</v>
      </c>
      <c r="U223" s="118">
        <f t="shared" ca="1" si="60"/>
        <v>234988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319" t="s">
        <v>42</v>
      </c>
      <c r="O224" s="174">
        <v>8</v>
      </c>
      <c r="P224" s="235">
        <f ca="1">OFFSET($A$1,MATCH(Z218,$A:$A,0)-1,O224)</f>
        <v>1.097</v>
      </c>
      <c r="Q224" s="322" t="s">
        <v>29</v>
      </c>
      <c r="R224" s="323">
        <f t="shared" ca="1" si="58"/>
        <v>250087</v>
      </c>
      <c r="S224" s="323">
        <f t="shared" ca="1" si="59"/>
        <v>274345</v>
      </c>
      <c r="T224" s="323">
        <f ca="1">보조원</f>
        <v>250087</v>
      </c>
      <c r="U224" s="323">
        <f t="shared" ca="1" si="60"/>
        <v>274345</v>
      </c>
      <c r="V224" s="323"/>
      <c r="W224" s="323"/>
      <c r="X224" s="323"/>
      <c r="Y224" s="323"/>
      <c r="Z224" s="324"/>
    </row>
    <row r="225" spans="11:26" ht="18" customHeight="1">
      <c r="K225" s="171" t="s">
        <v>14</v>
      </c>
      <c r="L225" s="171"/>
      <c r="M225" s="171"/>
      <c r="N225" s="139" t="s">
        <v>17</v>
      </c>
      <c r="O225" s="68"/>
      <c r="P225" s="69"/>
      <c r="Q225" s="70"/>
      <c r="R225" s="71"/>
      <c r="S225" s="71">
        <f ca="1">SUBTOTAL(9,S219:S224)</f>
        <v>1020535</v>
      </c>
      <c r="T225" s="71"/>
      <c r="U225" s="71">
        <f ca="1">SUBTOTAL(9,U219:U224)</f>
        <v>1020535</v>
      </c>
      <c r="V225" s="71"/>
      <c r="W225" s="71"/>
      <c r="X225" s="71"/>
      <c r="Y225" s="71"/>
      <c r="Z225" s="68"/>
    </row>
    <row r="226" spans="11:26" ht="18" customHeight="1">
      <c r="K226" s="171" t="s">
        <v>14</v>
      </c>
      <c r="L226" s="171"/>
      <c r="M226" s="171"/>
      <c r="N226" s="318" t="str">
        <f ca="1">"제 " &amp; Z226 &amp; " 호표  "&amp; OFFSET($A$1,MATCH(Z226,$A:$A,0)-1,1)</f>
        <v>제 20 호표  7.1. 공청회/주민설명회</v>
      </c>
      <c r="O226" s="221"/>
      <c r="P226" s="148"/>
      <c r="Q226" s="148"/>
      <c r="R226" s="149"/>
      <c r="S226" s="149"/>
      <c r="T226" s="149"/>
      <c r="U226" s="149"/>
      <c r="V226" s="149"/>
      <c r="W226" s="149"/>
      <c r="X226" s="149"/>
      <c r="Y226" s="149"/>
      <c r="Z226" s="325">
        <f>Z218+1</f>
        <v>20</v>
      </c>
    </row>
    <row r="227" spans="11:26" ht="18" customHeight="1">
      <c r="K227" s="171" t="s">
        <v>14</v>
      </c>
      <c r="L227" s="171"/>
      <c r="M227" s="171"/>
      <c r="N227" s="140" t="s">
        <v>43</v>
      </c>
      <c r="O227" s="172">
        <v>3</v>
      </c>
      <c r="P227" s="219">
        <f ca="1">OFFSET($A$1,MATCH(Z226,$A:$A,0)-1,O227)</f>
        <v>2</v>
      </c>
      <c r="Q227" s="141" t="s">
        <v>29</v>
      </c>
      <c r="R227" s="142">
        <f t="shared" ref="R227:R232" ca="1" si="61">T227</f>
        <v>467217</v>
      </c>
      <c r="S227" s="142">
        <f t="shared" ref="S227:S232" ca="1" si="62">U227</f>
        <v>934434</v>
      </c>
      <c r="T227" s="142">
        <f ca="1">기술사</f>
        <v>467217</v>
      </c>
      <c r="U227" s="142">
        <f t="shared" ref="U227:U232" ca="1" si="63">ROUNDDOWN(P227*R227,0)</f>
        <v>934434</v>
      </c>
      <c r="V227" s="142"/>
      <c r="W227" s="142"/>
      <c r="X227" s="142"/>
      <c r="Y227" s="142"/>
      <c r="Z227" s="114"/>
    </row>
    <row r="228" spans="11:26" ht="18" customHeight="1">
      <c r="K228" s="171" t="s">
        <v>14</v>
      </c>
      <c r="L228" s="171"/>
      <c r="M228" s="171"/>
      <c r="N228" s="143" t="s">
        <v>32</v>
      </c>
      <c r="O228" s="173">
        <v>4</v>
      </c>
      <c r="P228" s="234">
        <f ca="1">OFFSET($A$1,MATCH(Z226,$A:$A,0)-1,O228)</f>
        <v>2</v>
      </c>
      <c r="Q228" s="144" t="s">
        <v>29</v>
      </c>
      <c r="R228" s="118">
        <f t="shared" ca="1" si="61"/>
        <v>373353</v>
      </c>
      <c r="S228" s="118">
        <f t="shared" ca="1" si="62"/>
        <v>746706</v>
      </c>
      <c r="T228" s="118">
        <f ca="1">특급</f>
        <v>373353</v>
      </c>
      <c r="U228" s="118">
        <f t="shared" ca="1" si="63"/>
        <v>746706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39</v>
      </c>
      <c r="O229" s="173">
        <v>5</v>
      </c>
      <c r="P229" s="234">
        <f ca="1">OFFSET($A$1,MATCH(Z226,$A:$A,0)-1,O229)</f>
        <v>2</v>
      </c>
      <c r="Q229" s="144" t="s">
        <v>29</v>
      </c>
      <c r="R229" s="118">
        <f t="shared" ca="1" si="61"/>
        <v>310884</v>
      </c>
      <c r="S229" s="118">
        <f t="shared" ca="1" si="62"/>
        <v>621768</v>
      </c>
      <c r="T229" s="118">
        <f ca="1">고급</f>
        <v>310884</v>
      </c>
      <c r="U229" s="118">
        <f t="shared" ca="1" si="63"/>
        <v>621768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145" t="s">
        <v>40</v>
      </c>
      <c r="O230" s="173">
        <v>6</v>
      </c>
      <c r="P230" s="234">
        <f ca="1">OFFSET($A$1,MATCH(Z226,$A:$A,0)-1,O230)</f>
        <v>4</v>
      </c>
      <c r="Q230" s="144" t="s">
        <v>29</v>
      </c>
      <c r="R230" s="118">
        <f t="shared" ca="1" si="61"/>
        <v>295138</v>
      </c>
      <c r="S230" s="118">
        <f t="shared" ca="1" si="62"/>
        <v>1180552</v>
      </c>
      <c r="T230" s="118">
        <f ca="1">중급</f>
        <v>295138</v>
      </c>
      <c r="U230" s="118">
        <f t="shared" ca="1" si="63"/>
        <v>1180552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41</v>
      </c>
      <c r="O231" s="173">
        <v>7</v>
      </c>
      <c r="P231" s="234">
        <f ca="1">OFFSET($A$1,MATCH(Z226,$A:$A,0)-1,O231)</f>
        <v>4</v>
      </c>
      <c r="Q231" s="144" t="s">
        <v>29</v>
      </c>
      <c r="R231" s="118">
        <f t="shared" ca="1" si="61"/>
        <v>235459</v>
      </c>
      <c r="S231" s="118">
        <f t="shared" ca="1" si="62"/>
        <v>941836</v>
      </c>
      <c r="T231" s="118">
        <f ca="1">초급</f>
        <v>235459</v>
      </c>
      <c r="U231" s="118">
        <f t="shared" ca="1" si="63"/>
        <v>941836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319" t="s">
        <v>42</v>
      </c>
      <c r="O232" s="174">
        <v>8</v>
      </c>
      <c r="P232" s="235">
        <f ca="1">OFFSET($A$1,MATCH(Z226,$A:$A,0)-1,O232)</f>
        <v>4</v>
      </c>
      <c r="Q232" s="322" t="s">
        <v>29</v>
      </c>
      <c r="R232" s="323">
        <f t="shared" ca="1" si="61"/>
        <v>250087</v>
      </c>
      <c r="S232" s="323">
        <f t="shared" ca="1" si="62"/>
        <v>1000348</v>
      </c>
      <c r="T232" s="323">
        <f ca="1">보조원</f>
        <v>250087</v>
      </c>
      <c r="U232" s="323">
        <f t="shared" ca="1" si="63"/>
        <v>1000348</v>
      </c>
      <c r="V232" s="323"/>
      <c r="W232" s="323"/>
      <c r="X232" s="323"/>
      <c r="Y232" s="323"/>
      <c r="Z232" s="324"/>
    </row>
    <row r="233" spans="11:26" ht="18" customHeight="1">
      <c r="K233" s="171" t="s">
        <v>14</v>
      </c>
      <c r="L233" s="171"/>
      <c r="M233" s="171"/>
      <c r="N233" s="139" t="s">
        <v>17</v>
      </c>
      <c r="O233" s="68"/>
      <c r="P233" s="69"/>
      <c r="Q233" s="70"/>
      <c r="R233" s="71"/>
      <c r="S233" s="71">
        <f ca="1">SUBTOTAL(9,S227:S232)</f>
        <v>5425644</v>
      </c>
      <c r="T233" s="71"/>
      <c r="U233" s="71">
        <f ca="1">SUBTOTAL(9,U227:U232)</f>
        <v>5425644</v>
      </c>
      <c r="V233" s="71"/>
      <c r="W233" s="71"/>
      <c r="X233" s="71"/>
      <c r="Y233" s="71"/>
      <c r="Z233" s="68"/>
    </row>
    <row r="234" spans="11:26" ht="18" customHeight="1">
      <c r="K234" s="171" t="s">
        <v>14</v>
      </c>
      <c r="L234" s="171"/>
      <c r="M234" s="171"/>
      <c r="N234" s="318" t="str">
        <f ca="1">"제 " &amp; Z234 &amp; " 호표  "&amp; OFFSET($A$1,MATCH(Z234,$A:$A,0)-1,1)</f>
        <v>제 21 호표  7.2. 주민간담회/시민계획단</v>
      </c>
      <c r="O234" s="221"/>
      <c r="P234" s="148"/>
      <c r="Q234" s="148"/>
      <c r="R234" s="149"/>
      <c r="S234" s="149"/>
      <c r="T234" s="149"/>
      <c r="U234" s="149"/>
      <c r="V234" s="149"/>
      <c r="W234" s="149"/>
      <c r="X234" s="149"/>
      <c r="Y234" s="149"/>
      <c r="Z234" s="325">
        <f>Z226+1</f>
        <v>21</v>
      </c>
    </row>
    <row r="235" spans="11:26" ht="18" customHeight="1">
      <c r="K235" s="171" t="s">
        <v>14</v>
      </c>
      <c r="L235" s="171"/>
      <c r="M235" s="171"/>
      <c r="N235" s="140" t="s">
        <v>43</v>
      </c>
      <c r="O235" s="172">
        <v>3</v>
      </c>
      <c r="P235" s="219">
        <f ca="1">OFFSET($A$1,MATCH(Z234,$A:$A,0)-1,O235)</f>
        <v>2</v>
      </c>
      <c r="Q235" s="141" t="s">
        <v>29</v>
      </c>
      <c r="R235" s="142">
        <f t="shared" ref="R235:R240" ca="1" si="64">T235</f>
        <v>467217</v>
      </c>
      <c r="S235" s="142">
        <f t="shared" ref="S235:S240" ca="1" si="65">U235</f>
        <v>934434</v>
      </c>
      <c r="T235" s="142">
        <f ca="1">기술사</f>
        <v>467217</v>
      </c>
      <c r="U235" s="142">
        <f t="shared" ref="U235:U240" ca="1" si="66">ROUNDDOWN(P235*R235,0)</f>
        <v>934434</v>
      </c>
      <c r="V235" s="142"/>
      <c r="W235" s="142"/>
      <c r="X235" s="142"/>
      <c r="Y235" s="142"/>
      <c r="Z235" s="114"/>
    </row>
    <row r="236" spans="11:26" ht="18" customHeight="1">
      <c r="K236" s="171" t="s">
        <v>14</v>
      </c>
      <c r="L236" s="171"/>
      <c r="M236" s="171"/>
      <c r="N236" s="143" t="s">
        <v>32</v>
      </c>
      <c r="O236" s="173">
        <v>4</v>
      </c>
      <c r="P236" s="234">
        <f ca="1">OFFSET($A$1,MATCH(Z234,$A:$A,0)-1,O236)</f>
        <v>2</v>
      </c>
      <c r="Q236" s="144" t="s">
        <v>29</v>
      </c>
      <c r="R236" s="118">
        <f t="shared" ca="1" si="64"/>
        <v>373353</v>
      </c>
      <c r="S236" s="118">
        <f t="shared" ca="1" si="65"/>
        <v>746706</v>
      </c>
      <c r="T236" s="118">
        <f ca="1">특급</f>
        <v>373353</v>
      </c>
      <c r="U236" s="118">
        <f t="shared" ca="1" si="66"/>
        <v>746706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39</v>
      </c>
      <c r="O237" s="173">
        <v>5</v>
      </c>
      <c r="P237" s="234">
        <f ca="1">OFFSET($A$1,MATCH(Z234,$A:$A,0)-1,O237)</f>
        <v>2</v>
      </c>
      <c r="Q237" s="144" t="s">
        <v>29</v>
      </c>
      <c r="R237" s="118">
        <f t="shared" ca="1" si="64"/>
        <v>310884</v>
      </c>
      <c r="S237" s="118">
        <f t="shared" ca="1" si="65"/>
        <v>621768</v>
      </c>
      <c r="T237" s="118">
        <f ca="1">고급</f>
        <v>310884</v>
      </c>
      <c r="U237" s="118">
        <f t="shared" ca="1" si="66"/>
        <v>621768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145" t="s">
        <v>40</v>
      </c>
      <c r="O238" s="173">
        <v>6</v>
      </c>
      <c r="P238" s="234">
        <f ca="1">OFFSET($A$1,MATCH(Z234,$A:$A,0)-1,O238)</f>
        <v>4</v>
      </c>
      <c r="Q238" s="144" t="s">
        <v>29</v>
      </c>
      <c r="R238" s="118">
        <f t="shared" ca="1" si="64"/>
        <v>295138</v>
      </c>
      <c r="S238" s="118">
        <f t="shared" ca="1" si="65"/>
        <v>1180552</v>
      </c>
      <c r="T238" s="118">
        <f ca="1">중급</f>
        <v>295138</v>
      </c>
      <c r="U238" s="118">
        <f t="shared" ca="1" si="66"/>
        <v>1180552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41</v>
      </c>
      <c r="O239" s="173">
        <v>7</v>
      </c>
      <c r="P239" s="234">
        <f ca="1">OFFSET($A$1,MATCH(Z234,$A:$A,0)-1,O239)</f>
        <v>4</v>
      </c>
      <c r="Q239" s="144" t="s">
        <v>29</v>
      </c>
      <c r="R239" s="118">
        <f t="shared" ca="1" si="64"/>
        <v>235459</v>
      </c>
      <c r="S239" s="118">
        <f t="shared" ca="1" si="65"/>
        <v>941836</v>
      </c>
      <c r="T239" s="118">
        <f ca="1">초급</f>
        <v>235459</v>
      </c>
      <c r="U239" s="118">
        <f t="shared" ca="1" si="66"/>
        <v>941836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319" t="s">
        <v>42</v>
      </c>
      <c r="O240" s="174">
        <v>8</v>
      </c>
      <c r="P240" s="235">
        <f ca="1">OFFSET($A$1,MATCH(Z234,$A:$A,0)-1,O240)</f>
        <v>4</v>
      </c>
      <c r="Q240" s="322" t="s">
        <v>29</v>
      </c>
      <c r="R240" s="323">
        <f t="shared" ca="1" si="64"/>
        <v>250087</v>
      </c>
      <c r="S240" s="323">
        <f t="shared" ca="1" si="65"/>
        <v>1000348</v>
      </c>
      <c r="T240" s="323">
        <f ca="1">보조원</f>
        <v>250087</v>
      </c>
      <c r="U240" s="323">
        <f t="shared" ca="1" si="66"/>
        <v>1000348</v>
      </c>
      <c r="V240" s="323"/>
      <c r="W240" s="323"/>
      <c r="X240" s="323"/>
      <c r="Y240" s="323"/>
      <c r="Z240" s="324"/>
    </row>
    <row r="241" spans="11:28" ht="18" customHeight="1">
      <c r="K241" s="171" t="s">
        <v>14</v>
      </c>
      <c r="L241" s="171"/>
      <c r="M241" s="171"/>
      <c r="N241" s="139" t="s">
        <v>17</v>
      </c>
      <c r="O241" s="68"/>
      <c r="P241" s="69"/>
      <c r="Q241" s="70"/>
      <c r="R241" s="71"/>
      <c r="S241" s="71">
        <f ca="1">SUBTOTAL(9,S235:S240)</f>
        <v>5425644</v>
      </c>
      <c r="T241" s="71"/>
      <c r="U241" s="71">
        <f ca="1">SUBTOTAL(9,U235:U240)</f>
        <v>5425644</v>
      </c>
      <c r="V241" s="71"/>
      <c r="W241" s="71"/>
      <c r="X241" s="71"/>
      <c r="Y241" s="71"/>
      <c r="Z241" s="68"/>
    </row>
    <row r="242" spans="11:28" ht="18" customHeight="1">
      <c r="K242" s="171" t="s">
        <v>14</v>
      </c>
      <c r="L242" s="171"/>
      <c r="M242" s="171"/>
      <c r="N242" s="318" t="str">
        <f ca="1">"제 " &amp; Z242 &amp; " 호표  "&amp; OFFSET($A$1,MATCH(Z242,$A:$A,0)-1,1)</f>
        <v>제 22 호표  7.3. 위원회심의 지원</v>
      </c>
      <c r="O242" s="221"/>
      <c r="P242" s="148"/>
      <c r="Q242" s="148"/>
      <c r="R242" s="149"/>
      <c r="S242" s="149"/>
      <c r="T242" s="149"/>
      <c r="U242" s="149"/>
      <c r="V242" s="149"/>
      <c r="W242" s="149"/>
      <c r="X242" s="149"/>
      <c r="Y242" s="149"/>
      <c r="Z242" s="325">
        <f>Z234+1</f>
        <v>22</v>
      </c>
    </row>
    <row r="243" spans="11:28" ht="18" customHeight="1">
      <c r="K243" s="171" t="s">
        <v>14</v>
      </c>
      <c r="L243" s="171"/>
      <c r="M243" s="171"/>
      <c r="N243" s="140" t="s">
        <v>43</v>
      </c>
      <c r="O243" s="172">
        <v>3</v>
      </c>
      <c r="P243" s="219">
        <f ca="1">OFFSET($A$1,MATCH(Z242,$A:$A,0)-1,O243)</f>
        <v>2</v>
      </c>
      <c r="Q243" s="141" t="s">
        <v>29</v>
      </c>
      <c r="R243" s="142">
        <f t="shared" ref="R243:R248" ca="1" si="67">T243</f>
        <v>467217</v>
      </c>
      <c r="S243" s="142">
        <f t="shared" ref="S243:S248" ca="1" si="68">U243</f>
        <v>934434</v>
      </c>
      <c r="T243" s="142">
        <f ca="1">기술사</f>
        <v>467217</v>
      </c>
      <c r="U243" s="142">
        <f t="shared" ref="U243:U248" ca="1" si="69">ROUNDDOWN(P243*R243,0)</f>
        <v>934434</v>
      </c>
      <c r="V243" s="142"/>
      <c r="W243" s="142"/>
      <c r="X243" s="142"/>
      <c r="Y243" s="142"/>
      <c r="Z243" s="114"/>
    </row>
    <row r="244" spans="11:28" ht="18" customHeight="1">
      <c r="K244" s="171" t="s">
        <v>14</v>
      </c>
      <c r="L244" s="171"/>
      <c r="M244" s="171"/>
      <c r="N244" s="143" t="s">
        <v>32</v>
      </c>
      <c r="O244" s="173">
        <v>4</v>
      </c>
      <c r="P244" s="234">
        <f ca="1">OFFSET($A$1,MATCH(Z242,$A:$A,0)-1,O244)</f>
        <v>2</v>
      </c>
      <c r="Q244" s="144" t="s">
        <v>29</v>
      </c>
      <c r="R244" s="118">
        <f t="shared" ca="1" si="67"/>
        <v>373353</v>
      </c>
      <c r="S244" s="118">
        <f t="shared" ca="1" si="68"/>
        <v>746706</v>
      </c>
      <c r="T244" s="118">
        <f ca="1">특급</f>
        <v>373353</v>
      </c>
      <c r="U244" s="118">
        <f t="shared" ca="1" si="69"/>
        <v>746706</v>
      </c>
      <c r="V244" s="118"/>
      <c r="W244" s="118"/>
      <c r="X244" s="118"/>
      <c r="Y244" s="118"/>
      <c r="Z244" s="115"/>
    </row>
    <row r="245" spans="11:28" ht="18" customHeight="1">
      <c r="K245" s="171" t="s">
        <v>14</v>
      </c>
      <c r="L245" s="171"/>
      <c r="M245" s="171"/>
      <c r="N245" s="145" t="s">
        <v>39</v>
      </c>
      <c r="O245" s="173">
        <v>5</v>
      </c>
      <c r="P245" s="234">
        <f ca="1">OFFSET($A$1,MATCH(Z242,$A:$A,0)-1,O245)</f>
        <v>2</v>
      </c>
      <c r="Q245" s="144" t="s">
        <v>29</v>
      </c>
      <c r="R245" s="118">
        <f t="shared" ca="1" si="67"/>
        <v>310884</v>
      </c>
      <c r="S245" s="118">
        <f t="shared" ca="1" si="68"/>
        <v>621768</v>
      </c>
      <c r="T245" s="118">
        <f ca="1">고급</f>
        <v>310884</v>
      </c>
      <c r="U245" s="118">
        <f t="shared" ca="1" si="69"/>
        <v>621768</v>
      </c>
      <c r="V245" s="118"/>
      <c r="W245" s="118"/>
      <c r="X245" s="118"/>
      <c r="Y245" s="118"/>
      <c r="Z245" s="115"/>
    </row>
    <row r="246" spans="11:28" ht="18" customHeight="1">
      <c r="K246" s="171" t="s">
        <v>14</v>
      </c>
      <c r="L246" s="171"/>
      <c r="M246" s="171"/>
      <c r="N246" s="145" t="s">
        <v>40</v>
      </c>
      <c r="O246" s="173">
        <v>6</v>
      </c>
      <c r="P246" s="234">
        <f ca="1">OFFSET($A$1,MATCH(Z242,$A:$A,0)-1,O246)</f>
        <v>4</v>
      </c>
      <c r="Q246" s="144" t="s">
        <v>29</v>
      </c>
      <c r="R246" s="118">
        <f t="shared" ca="1" si="67"/>
        <v>295138</v>
      </c>
      <c r="S246" s="118">
        <f t="shared" ca="1" si="68"/>
        <v>1180552</v>
      </c>
      <c r="T246" s="118">
        <f ca="1">중급</f>
        <v>295138</v>
      </c>
      <c r="U246" s="118">
        <f t="shared" ca="1" si="69"/>
        <v>1180552</v>
      </c>
      <c r="V246" s="118"/>
      <c r="W246" s="118"/>
      <c r="X246" s="118"/>
      <c r="Y246" s="118"/>
      <c r="Z246" s="115"/>
      <c r="AA246" s="171"/>
      <c r="AB246" s="171"/>
    </row>
    <row r="247" spans="11:28" ht="18" customHeight="1">
      <c r="K247" s="171" t="s">
        <v>14</v>
      </c>
      <c r="L247" s="171"/>
      <c r="M247" s="171"/>
      <c r="N247" s="145" t="s">
        <v>41</v>
      </c>
      <c r="O247" s="173">
        <v>7</v>
      </c>
      <c r="P247" s="234">
        <f ca="1">OFFSET($A$1,MATCH(Z242,$A:$A,0)-1,O247)</f>
        <v>4</v>
      </c>
      <c r="Q247" s="144" t="s">
        <v>29</v>
      </c>
      <c r="R247" s="118">
        <f t="shared" ca="1" si="67"/>
        <v>235459</v>
      </c>
      <c r="S247" s="118">
        <f t="shared" ca="1" si="68"/>
        <v>941836</v>
      </c>
      <c r="T247" s="118">
        <f ca="1">초급</f>
        <v>235459</v>
      </c>
      <c r="U247" s="118">
        <f t="shared" ca="1" si="69"/>
        <v>941836</v>
      </c>
      <c r="V247" s="118"/>
      <c r="W247" s="118"/>
      <c r="X247" s="118"/>
      <c r="Y247" s="118"/>
      <c r="Z247" s="115"/>
      <c r="AA247" s="171"/>
      <c r="AB247" s="171"/>
    </row>
    <row r="248" spans="11:28" ht="18" customHeight="1">
      <c r="K248" s="171" t="s">
        <v>14</v>
      </c>
      <c r="L248" s="171"/>
      <c r="M248" s="171"/>
      <c r="N248" s="319" t="s">
        <v>42</v>
      </c>
      <c r="O248" s="174">
        <v>8</v>
      </c>
      <c r="P248" s="235">
        <f ca="1">OFFSET($A$1,MATCH(Z242,$A:$A,0)-1,O248)</f>
        <v>4</v>
      </c>
      <c r="Q248" s="322" t="s">
        <v>29</v>
      </c>
      <c r="R248" s="323">
        <f t="shared" ca="1" si="67"/>
        <v>250087</v>
      </c>
      <c r="S248" s="323">
        <f t="shared" ca="1" si="68"/>
        <v>1000348</v>
      </c>
      <c r="T248" s="323">
        <f ca="1">보조원</f>
        <v>250087</v>
      </c>
      <c r="U248" s="323">
        <f t="shared" ca="1" si="69"/>
        <v>1000348</v>
      </c>
      <c r="V248" s="323"/>
      <c r="W248" s="323"/>
      <c r="X248" s="323"/>
      <c r="Y248" s="323"/>
      <c r="Z248" s="324"/>
      <c r="AA248" s="171"/>
      <c r="AB248" s="171"/>
    </row>
    <row r="249" spans="11:28" ht="18" customHeight="1">
      <c r="K249" s="171" t="s">
        <v>14</v>
      </c>
      <c r="L249" s="171"/>
      <c r="M249" s="171"/>
      <c r="N249" s="139" t="s">
        <v>17</v>
      </c>
      <c r="O249" s="68"/>
      <c r="P249" s="69"/>
      <c r="Q249" s="70"/>
      <c r="R249" s="71"/>
      <c r="S249" s="71">
        <f ca="1">SUBTOTAL(9,S243:S248)</f>
        <v>5425644</v>
      </c>
      <c r="T249" s="71"/>
      <c r="U249" s="71">
        <f ca="1">SUBTOTAL(9,U243:U248)</f>
        <v>5425644</v>
      </c>
      <c r="V249" s="71"/>
      <c r="W249" s="71"/>
      <c r="X249" s="71"/>
      <c r="Y249" s="71"/>
      <c r="Z249" s="68"/>
      <c r="AA249" s="171"/>
      <c r="AB249" s="171"/>
    </row>
    <row r="250" spans="11:28" ht="18" customHeight="1">
      <c r="K250" s="171" t="s">
        <v>14</v>
      </c>
      <c r="L250" s="171"/>
      <c r="M250" s="171"/>
      <c r="N250" s="318" t="str">
        <f ca="1">"제 " &amp; Z250 &amp; " 호표  "&amp; OFFSET($A$1,MATCH(Z250,$A:$A,0)-1,1)</f>
        <v>제 23 호표  7.4. 관계기관 협의</v>
      </c>
      <c r="O250" s="221"/>
      <c r="P250" s="148"/>
      <c r="Q250" s="148"/>
      <c r="R250" s="149"/>
      <c r="S250" s="149"/>
      <c r="T250" s="149"/>
      <c r="U250" s="149"/>
      <c r="V250" s="149"/>
      <c r="W250" s="149"/>
      <c r="X250" s="149"/>
      <c r="Y250" s="149"/>
      <c r="Z250" s="325">
        <f>Z242+1</f>
        <v>23</v>
      </c>
    </row>
    <row r="251" spans="11:28" ht="18" customHeight="1">
      <c r="K251" s="171" t="s">
        <v>14</v>
      </c>
      <c r="L251" s="171"/>
      <c r="M251" s="171"/>
      <c r="N251" s="140" t="s">
        <v>43</v>
      </c>
      <c r="O251" s="172">
        <v>3</v>
      </c>
      <c r="P251" s="219">
        <f ca="1">OFFSET($A$1,MATCH(Z250,$A:$A,0)-1,O251)</f>
        <v>2</v>
      </c>
      <c r="Q251" s="141" t="s">
        <v>29</v>
      </c>
      <c r="R251" s="142">
        <f t="shared" ref="R251:R256" ca="1" si="70">T251</f>
        <v>467217</v>
      </c>
      <c r="S251" s="142">
        <f t="shared" ref="S251:S256" ca="1" si="71">U251</f>
        <v>934434</v>
      </c>
      <c r="T251" s="142">
        <f ca="1">기술사</f>
        <v>467217</v>
      </c>
      <c r="U251" s="142">
        <f t="shared" ref="U251:U256" ca="1" si="72">ROUNDDOWN(P251*R251,0)</f>
        <v>934434</v>
      </c>
      <c r="V251" s="142"/>
      <c r="W251" s="142"/>
      <c r="X251" s="142"/>
      <c r="Y251" s="142"/>
      <c r="Z251" s="114"/>
    </row>
    <row r="252" spans="11:28" ht="18" customHeight="1">
      <c r="K252" s="171" t="s">
        <v>14</v>
      </c>
      <c r="L252" s="171"/>
      <c r="M252" s="171"/>
      <c r="N252" s="143" t="s">
        <v>32</v>
      </c>
      <c r="O252" s="173">
        <v>4</v>
      </c>
      <c r="P252" s="234">
        <f ca="1">OFFSET($A$1,MATCH(Z250,$A:$A,0)-1,O252)</f>
        <v>2</v>
      </c>
      <c r="Q252" s="144" t="s">
        <v>29</v>
      </c>
      <c r="R252" s="118">
        <f t="shared" ca="1" si="70"/>
        <v>373353</v>
      </c>
      <c r="S252" s="118">
        <f t="shared" ca="1" si="71"/>
        <v>746706</v>
      </c>
      <c r="T252" s="118">
        <f ca="1">특급</f>
        <v>373353</v>
      </c>
      <c r="U252" s="118">
        <f t="shared" ca="1" si="72"/>
        <v>746706</v>
      </c>
      <c r="V252" s="118"/>
      <c r="W252" s="118"/>
      <c r="X252" s="118"/>
      <c r="Y252" s="118"/>
      <c r="Z252" s="115"/>
    </row>
    <row r="253" spans="11:28" ht="18" customHeight="1">
      <c r="K253" s="171" t="s">
        <v>14</v>
      </c>
      <c r="L253" s="171"/>
      <c r="M253" s="171"/>
      <c r="N253" s="145" t="s">
        <v>39</v>
      </c>
      <c r="O253" s="173">
        <v>5</v>
      </c>
      <c r="P253" s="234">
        <f ca="1">OFFSET($A$1,MATCH(Z250,$A:$A,0)-1,O253)</f>
        <v>2</v>
      </c>
      <c r="Q253" s="144" t="s">
        <v>29</v>
      </c>
      <c r="R253" s="118">
        <f t="shared" ca="1" si="70"/>
        <v>310884</v>
      </c>
      <c r="S253" s="118">
        <f t="shared" ca="1" si="71"/>
        <v>621768</v>
      </c>
      <c r="T253" s="118">
        <f ca="1">고급</f>
        <v>310884</v>
      </c>
      <c r="U253" s="118">
        <f t="shared" ca="1" si="72"/>
        <v>621768</v>
      </c>
      <c r="V253" s="118"/>
      <c r="W253" s="118"/>
      <c r="X253" s="118"/>
      <c r="Y253" s="118"/>
      <c r="Z253" s="115"/>
    </row>
    <row r="254" spans="11:28" ht="18" customHeight="1">
      <c r="K254" s="171" t="s">
        <v>14</v>
      </c>
      <c r="L254" s="171"/>
      <c r="M254" s="171"/>
      <c r="N254" s="145" t="s">
        <v>40</v>
      </c>
      <c r="O254" s="173">
        <v>6</v>
      </c>
      <c r="P254" s="234">
        <f ca="1">OFFSET($A$1,MATCH(Z250,$A:$A,0)-1,O254)</f>
        <v>4</v>
      </c>
      <c r="Q254" s="144" t="s">
        <v>29</v>
      </c>
      <c r="R254" s="118">
        <f t="shared" ca="1" si="70"/>
        <v>295138</v>
      </c>
      <c r="S254" s="118">
        <f t="shared" ca="1" si="71"/>
        <v>1180552</v>
      </c>
      <c r="T254" s="118">
        <f ca="1">중급</f>
        <v>295138</v>
      </c>
      <c r="U254" s="118">
        <f t="shared" ca="1" si="72"/>
        <v>1180552</v>
      </c>
      <c r="V254" s="118"/>
      <c r="W254" s="118"/>
      <c r="X254" s="118"/>
      <c r="Y254" s="118"/>
      <c r="Z254" s="115"/>
    </row>
    <row r="255" spans="11:28" ht="18" customHeight="1">
      <c r="K255" s="171" t="s">
        <v>14</v>
      </c>
      <c r="L255" s="171"/>
      <c r="M255" s="171"/>
      <c r="N255" s="145" t="s">
        <v>41</v>
      </c>
      <c r="O255" s="173">
        <v>7</v>
      </c>
      <c r="P255" s="234">
        <f ca="1">OFFSET($A$1,MATCH(Z250,$A:$A,0)-1,O255)</f>
        <v>4</v>
      </c>
      <c r="Q255" s="144" t="s">
        <v>29</v>
      </c>
      <c r="R255" s="118">
        <f t="shared" ca="1" si="70"/>
        <v>235459</v>
      </c>
      <c r="S255" s="118">
        <f t="shared" ca="1" si="71"/>
        <v>941836</v>
      </c>
      <c r="T255" s="118">
        <f ca="1">초급</f>
        <v>235459</v>
      </c>
      <c r="U255" s="118">
        <f t="shared" ca="1" si="72"/>
        <v>941836</v>
      </c>
      <c r="V255" s="118"/>
      <c r="W255" s="118"/>
      <c r="X255" s="118"/>
      <c r="Y255" s="118"/>
      <c r="Z255" s="115"/>
    </row>
    <row r="256" spans="11:28" ht="18" customHeight="1">
      <c r="K256" s="171" t="s">
        <v>14</v>
      </c>
      <c r="L256" s="171"/>
      <c r="M256" s="171"/>
      <c r="N256" s="319" t="s">
        <v>42</v>
      </c>
      <c r="O256" s="174">
        <v>8</v>
      </c>
      <c r="P256" s="235">
        <f ca="1">OFFSET($A$1,MATCH(Z250,$A:$A,0)-1,O256)</f>
        <v>4</v>
      </c>
      <c r="Q256" s="322" t="s">
        <v>29</v>
      </c>
      <c r="R256" s="323">
        <f t="shared" ca="1" si="70"/>
        <v>250087</v>
      </c>
      <c r="S256" s="323">
        <f t="shared" ca="1" si="71"/>
        <v>1000348</v>
      </c>
      <c r="T256" s="323">
        <f ca="1">보조원</f>
        <v>250087</v>
      </c>
      <c r="U256" s="323">
        <f t="shared" ca="1" si="72"/>
        <v>1000348</v>
      </c>
      <c r="V256" s="323"/>
      <c r="W256" s="323"/>
      <c r="X256" s="323"/>
      <c r="Y256" s="323"/>
      <c r="Z256" s="324"/>
    </row>
    <row r="257" spans="11:28" ht="18" customHeight="1">
      <c r="K257" s="171" t="s">
        <v>14</v>
      </c>
      <c r="L257" s="171"/>
      <c r="M257" s="171"/>
      <c r="N257" s="139" t="s">
        <v>17</v>
      </c>
      <c r="O257" s="68"/>
      <c r="P257" s="69"/>
      <c r="Q257" s="70"/>
      <c r="R257" s="71"/>
      <c r="S257" s="71">
        <f ca="1">SUBTOTAL(9,S251:S256)</f>
        <v>5425644</v>
      </c>
      <c r="T257" s="71"/>
      <c r="U257" s="71">
        <f ca="1">SUBTOTAL(9,U251:U256)</f>
        <v>5425644</v>
      </c>
      <c r="V257" s="71"/>
      <c r="W257" s="71"/>
      <c r="X257" s="71"/>
      <c r="Y257" s="71"/>
      <c r="Z257" s="68"/>
    </row>
    <row r="258" spans="11:28" ht="18" customHeight="1">
      <c r="K258" s="171" t="s">
        <v>14</v>
      </c>
      <c r="L258" s="171"/>
      <c r="M258" s="171"/>
      <c r="P258" s="236"/>
    </row>
    <row r="259" spans="11:28" ht="18" customHeight="1">
      <c r="K259" s="171" t="s">
        <v>14</v>
      </c>
      <c r="L259" s="171"/>
      <c r="M259" s="171"/>
      <c r="P259" s="236"/>
    </row>
    <row r="260" spans="11:28" ht="18" customHeight="1">
      <c r="K260" s="171" t="s">
        <v>14</v>
      </c>
      <c r="L260" s="171"/>
      <c r="M260" s="171"/>
      <c r="P260" s="236"/>
    </row>
    <row r="261" spans="11:28" ht="18" customHeight="1">
      <c r="K261" s="171" t="s">
        <v>14</v>
      </c>
      <c r="L261" s="171"/>
      <c r="M261" s="171"/>
      <c r="P261" s="236"/>
    </row>
    <row r="262" spans="11:28" ht="18" customHeight="1">
      <c r="K262" s="171" t="s">
        <v>14</v>
      </c>
      <c r="L262" s="171"/>
      <c r="M262" s="171"/>
      <c r="P262" s="236"/>
      <c r="AA262" s="171"/>
      <c r="AB262" s="171"/>
    </row>
    <row r="263" spans="11:28" ht="18" customHeight="1">
      <c r="K263" s="171" t="s">
        <v>14</v>
      </c>
      <c r="L263" s="171"/>
      <c r="M263" s="171"/>
      <c r="P263" s="236"/>
      <c r="AA263" s="171"/>
      <c r="AB263" s="171"/>
    </row>
    <row r="264" spans="11:28" ht="18" customHeight="1">
      <c r="K264" s="171" t="s">
        <v>14</v>
      </c>
      <c r="L264" s="171"/>
      <c r="M264" s="171"/>
      <c r="P264" s="236"/>
      <c r="AA264" s="171"/>
      <c r="AB264" s="171"/>
    </row>
    <row r="265" spans="11:28" ht="18" customHeight="1">
      <c r="K265" s="171" t="s">
        <v>14</v>
      </c>
      <c r="L265" s="171"/>
      <c r="M265" s="171"/>
      <c r="P265" s="236"/>
      <c r="AA265" s="171"/>
      <c r="AB265" s="171"/>
    </row>
    <row r="266" spans="11:28" ht="18" customHeight="1">
      <c r="K266" s="171" t="s">
        <v>14</v>
      </c>
      <c r="L266" s="171"/>
      <c r="M266" s="171"/>
      <c r="P266" s="236"/>
      <c r="AA266" s="171"/>
      <c r="AB266" s="171"/>
    </row>
    <row r="267" spans="11:28" ht="18" customHeight="1">
      <c r="K267" s="171" t="s">
        <v>14</v>
      </c>
      <c r="L267" s="171"/>
      <c r="M267" s="171"/>
      <c r="P267" s="236"/>
      <c r="AA267" s="171"/>
      <c r="AB267" s="171"/>
    </row>
    <row r="268" spans="11:28" ht="18" customHeight="1">
      <c r="K268" s="171" t="s">
        <v>14</v>
      </c>
      <c r="L268" s="171"/>
      <c r="M268" s="171"/>
      <c r="P268" s="236"/>
      <c r="AA268" s="171"/>
      <c r="AB268" s="171"/>
    </row>
    <row r="269" spans="11:28" ht="18" customHeight="1">
      <c r="K269" s="171" t="s">
        <v>14</v>
      </c>
      <c r="L269" s="171"/>
      <c r="M269" s="171"/>
      <c r="P269" s="236"/>
      <c r="AA269" s="171"/>
      <c r="AB269" s="171"/>
    </row>
    <row r="270" spans="11:28" ht="18" customHeight="1">
      <c r="K270" s="171" t="s">
        <v>14</v>
      </c>
      <c r="L270" s="171"/>
      <c r="M270" s="171"/>
      <c r="P270" s="236"/>
      <c r="AA270" s="171"/>
      <c r="AB270" s="171"/>
    </row>
    <row r="271" spans="11:28" ht="18" customHeight="1">
      <c r="K271" s="171" t="s">
        <v>14</v>
      </c>
      <c r="L271" s="171"/>
      <c r="M271" s="171"/>
      <c r="P271" s="236"/>
      <c r="AA271" s="171"/>
      <c r="AB271" s="171"/>
    </row>
    <row r="272" spans="11:28" ht="18" customHeight="1">
      <c r="K272" s="171" t="s">
        <v>14</v>
      </c>
      <c r="L272" s="171"/>
      <c r="M272" s="171"/>
      <c r="P272" s="236"/>
      <c r="AA272" s="171"/>
      <c r="AB272" s="171"/>
    </row>
    <row r="273" spans="11:28" ht="18" customHeight="1">
      <c r="K273" s="171" t="s">
        <v>14</v>
      </c>
      <c r="L273" s="171"/>
      <c r="M273" s="171"/>
      <c r="P273" s="236"/>
      <c r="AA273" s="171"/>
      <c r="AB273" s="171"/>
    </row>
    <row r="274" spans="11:28" ht="18" customHeight="1">
      <c r="K274" s="171" t="s">
        <v>14</v>
      </c>
      <c r="L274" s="171"/>
      <c r="M274" s="171"/>
      <c r="P274" s="236"/>
      <c r="AA274" s="171"/>
      <c r="AB274" s="171"/>
    </row>
    <row r="275" spans="11:28" ht="18" customHeight="1">
      <c r="K275" s="171" t="s">
        <v>14</v>
      </c>
      <c r="L275" s="171"/>
      <c r="M275" s="171"/>
      <c r="P275" s="236"/>
      <c r="AA275" s="171"/>
      <c r="AB275" s="171"/>
    </row>
    <row r="276" spans="11:28" ht="18" customHeight="1">
      <c r="K276" s="171" t="s">
        <v>14</v>
      </c>
      <c r="L276" s="171"/>
      <c r="M276" s="171"/>
      <c r="P276" s="236"/>
      <c r="AA276" s="171"/>
      <c r="AB276" s="171"/>
    </row>
    <row r="277" spans="11:28" ht="18" customHeight="1">
      <c r="K277" s="171" t="s">
        <v>14</v>
      </c>
      <c r="L277" s="171"/>
      <c r="M277" s="171"/>
      <c r="P277" s="236"/>
    </row>
    <row r="278" spans="11:28" ht="18" customHeight="1">
      <c r="K278" s="171" t="s">
        <v>14</v>
      </c>
      <c r="L278" s="171"/>
      <c r="M278" s="171"/>
      <c r="P278" s="236"/>
    </row>
    <row r="279" spans="11:28" ht="18" customHeight="1">
      <c r="K279" s="171" t="s">
        <v>14</v>
      </c>
      <c r="L279" s="171"/>
      <c r="M279" s="171"/>
      <c r="P279" s="236"/>
    </row>
    <row r="280" spans="11:28" ht="18" customHeight="1">
      <c r="K280" s="171" t="s">
        <v>14</v>
      </c>
      <c r="L280" s="171"/>
      <c r="M280" s="171"/>
      <c r="P280" s="236"/>
    </row>
    <row r="281" spans="11:28" ht="18" customHeight="1">
      <c r="K281" s="171" t="s">
        <v>14</v>
      </c>
      <c r="L281" s="171"/>
      <c r="M281" s="171"/>
      <c r="P281" s="236"/>
    </row>
    <row r="282" spans="11:28" ht="18" customHeight="1">
      <c r="K282" s="171" t="s">
        <v>14</v>
      </c>
      <c r="L282" s="171"/>
      <c r="M282" s="171"/>
      <c r="P282" s="236"/>
    </row>
    <row r="283" spans="11:28" ht="18" customHeight="1">
      <c r="K283" s="171" t="s">
        <v>14</v>
      </c>
      <c r="L283" s="171"/>
      <c r="M283" s="171"/>
      <c r="P283" s="236"/>
    </row>
    <row r="284" spans="11:28" ht="18" customHeight="1">
      <c r="K284" s="171" t="s">
        <v>14</v>
      </c>
      <c r="L284" s="171"/>
      <c r="M284" s="171"/>
      <c r="P284" s="236"/>
    </row>
    <row r="285" spans="11:28" ht="18" customHeight="1">
      <c r="K285" s="171" t="s">
        <v>14</v>
      </c>
      <c r="L285" s="171"/>
      <c r="M285" s="171"/>
      <c r="P285" s="236"/>
    </row>
    <row r="286" spans="11:28" ht="18" customHeight="1">
      <c r="K286" s="171" t="s">
        <v>14</v>
      </c>
      <c r="L286" s="171"/>
      <c r="M286" s="171"/>
      <c r="P286" s="236"/>
    </row>
    <row r="287" spans="11:28" ht="18" customHeight="1">
      <c r="K287" s="171" t="s">
        <v>14</v>
      </c>
      <c r="L287" s="171"/>
      <c r="M287" s="171"/>
      <c r="P287" s="236"/>
    </row>
    <row r="288" spans="11:28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</row>
    <row r="702" spans="11:16" ht="18" customHeight="1">
      <c r="K702" s="171" t="s">
        <v>14</v>
      </c>
      <c r="L702" s="171"/>
      <c r="M702" s="171"/>
    </row>
    <row r="703" spans="11:16" ht="18" customHeight="1">
      <c r="K703" s="171" t="s">
        <v>14</v>
      </c>
      <c r="L703" s="171"/>
      <c r="M703" s="171"/>
    </row>
    <row r="704" spans="11:16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3" ht="18" customHeight="1">
      <c r="K817" s="171" t="s">
        <v>14</v>
      </c>
      <c r="L817" s="171"/>
      <c r="M817" s="171"/>
    </row>
    <row r="818" spans="11:13" ht="18" customHeight="1">
      <c r="K818" s="171" t="s">
        <v>14</v>
      </c>
      <c r="L818" s="171"/>
      <c r="M818" s="171"/>
    </row>
    <row r="819" spans="11:13" ht="18" customHeight="1">
      <c r="K819" s="171" t="s">
        <v>14</v>
      </c>
      <c r="L819" s="171"/>
      <c r="M819" s="171"/>
    </row>
    <row r="820" spans="11:13" ht="18" customHeight="1">
      <c r="K820" s="171" t="s">
        <v>14</v>
      </c>
      <c r="L820" s="171"/>
      <c r="M820" s="171"/>
    </row>
    <row r="821" spans="11:13" ht="18" customHeight="1">
      <c r="K821" s="171" t="s">
        <v>14</v>
      </c>
      <c r="L821" s="171"/>
      <c r="M821" s="171"/>
    </row>
    <row r="822" spans="11:13" ht="18" customHeight="1">
      <c r="K822" s="171" t="s">
        <v>14</v>
      </c>
      <c r="M822" s="171"/>
    </row>
    <row r="823" spans="11:13" ht="18" customHeight="1">
      <c r="K823" s="171" t="s">
        <v>14</v>
      </c>
      <c r="M823" s="171"/>
    </row>
    <row r="824" spans="11:13" ht="18" customHeight="1">
      <c r="K824" s="171" t="s">
        <v>14</v>
      </c>
    </row>
    <row r="825" spans="11:13" ht="18" customHeight="1">
      <c r="K825" s="171" t="s">
        <v>14</v>
      </c>
    </row>
    <row r="826" spans="11:13" ht="18" customHeight="1">
      <c r="K826" s="171" t="s">
        <v>14</v>
      </c>
    </row>
    <row r="827" spans="11:13" ht="18" customHeight="1">
      <c r="K827" s="171" t="s">
        <v>14</v>
      </c>
    </row>
    <row r="828" spans="11:13" ht="18" customHeight="1">
      <c r="K828" s="171" t="s">
        <v>14</v>
      </c>
    </row>
    <row r="829" spans="11:13" ht="18" customHeight="1">
      <c r="K829" s="171" t="s">
        <v>14</v>
      </c>
    </row>
    <row r="830" spans="11:13" ht="18" customHeight="1">
      <c r="K830" s="171" t="s">
        <v>14</v>
      </c>
    </row>
  </sheetData>
  <mergeCells count="17">
    <mergeCell ref="G5:H5"/>
    <mergeCell ref="B3:C3"/>
    <mergeCell ref="B4:C4"/>
    <mergeCell ref="B5:C5"/>
    <mergeCell ref="Q72:Q73"/>
    <mergeCell ref="D3:E3"/>
    <mergeCell ref="D4:E4"/>
    <mergeCell ref="D5:E5"/>
    <mergeCell ref="G3:H3"/>
    <mergeCell ref="G4:H4"/>
    <mergeCell ref="Z72:Z73"/>
    <mergeCell ref="B10:C11"/>
    <mergeCell ref="J10:J11"/>
    <mergeCell ref="L10:L11"/>
    <mergeCell ref="N72:N73"/>
    <mergeCell ref="O72:O73"/>
    <mergeCell ref="P72:P73"/>
  </mergeCells>
  <phoneticPr fontId="14" type="noConversion"/>
  <conditionalFormatting sqref="V12:V41">
    <cfRule type="cellIs" dxfId="17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62" min="13" max="28" man="1"/>
    <brk id="89" min="13" max="28" man="1"/>
    <brk id="110" min="13" max="28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codeName="Sheet93">
    <tabColor theme="5" tint="0.39997558519241921"/>
    <pageSetUpPr fitToPage="1"/>
  </sheetPr>
  <dimension ref="A1:Z844"/>
  <sheetViews>
    <sheetView showGridLines="0" zoomScale="85" zoomScaleNormal="85" zoomScaleSheetLayoutView="75" workbookViewId="0">
      <selection activeCell="G3" sqref="G3:J6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639</v>
      </c>
    </row>
    <row r="2" spans="1:26" ht="19.5" thickBot="1">
      <c r="B2" s="66" t="s">
        <v>1</v>
      </c>
    </row>
    <row r="3" spans="1:26" ht="19.5" customHeight="1">
      <c r="B3" s="773" t="s">
        <v>48</v>
      </c>
      <c r="C3" s="774"/>
      <c r="D3" s="775">
        <v>1</v>
      </c>
      <c r="E3" s="776"/>
      <c r="F3" s="44" t="s">
        <v>53</v>
      </c>
      <c r="G3" s="838" t="s">
        <v>1104</v>
      </c>
      <c r="H3" s="839"/>
      <c r="I3" s="656">
        <v>2</v>
      </c>
      <c r="J3" s="669" t="s">
        <v>794</v>
      </c>
    </row>
    <row r="4" spans="1:26" ht="21.75" customHeight="1">
      <c r="B4" s="777" t="s">
        <v>54</v>
      </c>
      <c r="C4" s="778"/>
      <c r="D4" s="811">
        <v>9.9</v>
      </c>
      <c r="E4" s="846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</row>
    <row r="5" spans="1:26" ht="24" customHeight="1" thickBot="1">
      <c r="B5" s="781" t="s">
        <v>2664</v>
      </c>
      <c r="C5" s="782"/>
      <c r="D5" s="783">
        <f>ROUNDDOWN((IF(D4&lt;=0.5,0.5,D4)/D3)^0.6,3)</f>
        <v>3.9569999999999999</v>
      </c>
      <c r="E5" s="784"/>
      <c r="F5" s="45"/>
      <c r="G5" s="817" t="s">
        <v>1102</v>
      </c>
      <c r="H5" s="818"/>
      <c r="I5" s="746">
        <f>ROUND(I4/I3,3)</f>
        <v>1</v>
      </c>
      <c r="J5" s="671"/>
    </row>
    <row r="6" spans="1:26" ht="18" customHeight="1">
      <c r="B6" s="9" t="s">
        <v>2665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6" ht="18" customHeight="1">
      <c r="B7" s="9" t="s">
        <v>2666</v>
      </c>
      <c r="C7" s="9"/>
      <c r="D7" s="64"/>
      <c r="E7" s="64"/>
      <c r="R7" s="1"/>
      <c r="S7" s="1"/>
      <c r="T7" s="1"/>
    </row>
    <row r="8" spans="1:26" ht="18" customHeight="1">
      <c r="B8" s="9"/>
      <c r="C8" s="9"/>
      <c r="D8" s="64"/>
      <c r="E8" s="64"/>
      <c r="R8" s="1"/>
      <c r="S8" s="1"/>
      <c r="T8" s="1"/>
    </row>
    <row r="9" spans="1:26" ht="18" customHeight="1">
      <c r="G9" s="36"/>
      <c r="W9" s="188" t="s">
        <v>3</v>
      </c>
      <c r="X9" s="189"/>
    </row>
    <row r="10" spans="1:26" ht="18" customHeight="1" thickBot="1">
      <c r="B10" s="66" t="s">
        <v>4</v>
      </c>
      <c r="C10" s="9"/>
      <c r="D10" s="64"/>
      <c r="E10" s="64"/>
      <c r="G10" s="36"/>
      <c r="N10" s="66" t="s">
        <v>5</v>
      </c>
    </row>
    <row r="11" spans="1:26" ht="18" customHeight="1" thickBot="1">
      <c r="B11" s="9"/>
      <c r="N11" s="151" t="s">
        <v>44</v>
      </c>
      <c r="O11" s="119"/>
      <c r="P11" s="119"/>
      <c r="Q11" s="120"/>
      <c r="R11" s="120"/>
      <c r="S11" s="120"/>
      <c r="T11" s="120"/>
      <c r="U11" s="121"/>
      <c r="V11" s="121"/>
      <c r="W11" s="186">
        <f ca="1">SUBTOTAL(9,W12:W46)</f>
        <v>346964549</v>
      </c>
      <c r="X11" s="187"/>
      <c r="Y11" s="177"/>
      <c r="Z11" s="167"/>
    </row>
    <row r="12" spans="1:26" ht="18" customHeight="1">
      <c r="A12" s="278"/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N12" s="127" t="s">
        <v>8</v>
      </c>
      <c r="O12" s="122"/>
      <c r="P12" s="122"/>
      <c r="Q12" s="123"/>
      <c r="R12" s="123"/>
      <c r="S12" s="123"/>
      <c r="T12" s="123"/>
      <c r="U12" s="184"/>
      <c r="V12" s="184"/>
      <c r="W12" s="163">
        <f ca="1">SUBTOTAL(9,W13:W43)</f>
        <v>129275331</v>
      </c>
      <c r="X12" s="164"/>
      <c r="Y12" s="178" t="s">
        <v>9</v>
      </c>
      <c r="Z12" s="179"/>
    </row>
    <row r="13" spans="1:26" ht="18" customHeight="1" thickBot="1">
      <c r="A13" s="278"/>
      <c r="B13" s="820"/>
      <c r="C13" s="821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218"/>
      <c r="V13" s="218"/>
      <c r="W13" s="255">
        <f ca="1">SUBTOTAL(9,W14:W39)</f>
        <v>121275331</v>
      </c>
      <c r="X13" s="256"/>
      <c r="Y13" s="220"/>
      <c r="Z13" s="220"/>
    </row>
    <row r="14" spans="1:26" ht="18" customHeight="1">
      <c r="A14" s="279"/>
      <c r="B14" s="225" t="s">
        <v>2667</v>
      </c>
      <c r="C14" s="72"/>
      <c r="D14" s="30">
        <f t="shared" ref="D14:I14" si="0">SUBTOTAL(9,D15:D17)</f>
        <v>0.4</v>
      </c>
      <c r="E14" s="31">
        <f t="shared" si="0"/>
        <v>0.60000000000000009</v>
      </c>
      <c r="F14" s="31">
        <f t="shared" si="0"/>
        <v>1.2000000000000002</v>
      </c>
      <c r="G14" s="31">
        <f t="shared" si="0"/>
        <v>2</v>
      </c>
      <c r="H14" s="31">
        <f t="shared" si="0"/>
        <v>2.8</v>
      </c>
      <c r="I14" s="32">
        <f t="shared" si="0"/>
        <v>4</v>
      </c>
      <c r="J14" s="654"/>
      <c r="L14" s="232"/>
      <c r="N14" s="354" t="str">
        <f>B14</f>
        <v>1. 조사 및 분석</v>
      </c>
      <c r="O14" s="169"/>
      <c r="P14" s="169"/>
      <c r="Q14" s="169"/>
      <c r="R14" s="169"/>
      <c r="S14" s="169"/>
      <c r="T14" s="169"/>
      <c r="U14" s="226"/>
      <c r="V14" s="248"/>
      <c r="W14" s="193">
        <f ca="1">SUBTOTAL(9,W15:W17)</f>
        <v>12002288</v>
      </c>
      <c r="X14" s="194"/>
      <c r="Y14" s="170" t="str">
        <f t="shared" ref="Y14:Y38" si="1">IF(A40&gt;0, "제 " &amp;A40&amp; " 호표","")</f>
        <v/>
      </c>
      <c r="Z14" s="170"/>
    </row>
    <row r="15" spans="1:26" ht="18" customHeight="1">
      <c r="A15" s="279"/>
      <c r="B15" s="223" t="s">
        <v>2668</v>
      </c>
      <c r="C15" s="253"/>
      <c r="D15" s="20">
        <v>0.1</v>
      </c>
      <c r="E15" s="21">
        <v>0.2</v>
      </c>
      <c r="F15" s="21">
        <v>0.4</v>
      </c>
      <c r="G15" s="21">
        <v>0.8</v>
      </c>
      <c r="H15" s="21">
        <v>1</v>
      </c>
      <c r="I15" s="22">
        <v>1.5</v>
      </c>
      <c r="J15" s="389" t="s">
        <v>2686</v>
      </c>
      <c r="L15" s="232">
        <v>1</v>
      </c>
      <c r="N15" s="292" t="str">
        <f t="shared" ref="N15:N38" si="2">B15</f>
        <v>1.1. 현황조사</v>
      </c>
      <c r="O15" s="169"/>
      <c r="P15" s="169"/>
      <c r="Q15" s="169"/>
      <c r="R15" s="169"/>
      <c r="S15" s="169"/>
      <c r="T15" s="169"/>
      <c r="U15" s="226"/>
      <c r="V15" s="248"/>
      <c r="W15" s="153">
        <f t="array" aca="1" ref="W15" ca="1">SUM((ROUNDDOWN((D41:I41)*단가,0)))</f>
        <v>4321778</v>
      </c>
      <c r="X15" s="194"/>
      <c r="Y15" s="170" t="str">
        <f t="shared" si="1"/>
        <v>제 1 호표</v>
      </c>
      <c r="Z15" s="170"/>
    </row>
    <row r="16" spans="1:26" ht="18" customHeight="1">
      <c r="A16" s="279"/>
      <c r="B16" s="223" t="s">
        <v>2669</v>
      </c>
      <c r="C16" s="253"/>
      <c r="D16" s="20">
        <v>0.1</v>
      </c>
      <c r="E16" s="21">
        <v>0.2</v>
      </c>
      <c r="F16" s="21">
        <v>0.4</v>
      </c>
      <c r="G16" s="21">
        <v>0.6</v>
      </c>
      <c r="H16" s="21">
        <v>0.9</v>
      </c>
      <c r="I16" s="22">
        <v>1.3</v>
      </c>
      <c r="J16" s="389" t="s">
        <v>1090</v>
      </c>
      <c r="L16" s="232">
        <v>1</v>
      </c>
      <c r="N16" s="292" t="str">
        <f t="shared" si="2"/>
        <v>1.2. 관련법규·계획 검토</v>
      </c>
      <c r="O16" s="169"/>
      <c r="P16" s="169"/>
      <c r="Q16" s="169"/>
      <c r="R16" s="169"/>
      <c r="S16" s="169"/>
      <c r="T16" s="169"/>
      <c r="U16" s="226"/>
      <c r="V16" s="248"/>
      <c r="W16" s="153">
        <f t="array" aca="1" ref="W16" ca="1">SUM((ROUNDDOWN((D42:I42)*단가,0)))</f>
        <v>3797263</v>
      </c>
      <c r="X16" s="194"/>
      <c r="Y16" s="170" t="str">
        <f t="shared" si="1"/>
        <v>제 2 호표</v>
      </c>
      <c r="Z16" s="170"/>
    </row>
    <row r="17" spans="1:26" ht="18" customHeight="1">
      <c r="A17" s="279"/>
      <c r="B17" s="223" t="s">
        <v>2670</v>
      </c>
      <c r="C17" s="253"/>
      <c r="D17" s="20">
        <v>0.2</v>
      </c>
      <c r="E17" s="21">
        <v>0.2</v>
      </c>
      <c r="F17" s="21">
        <v>0.4</v>
      </c>
      <c r="G17" s="21">
        <v>0.6</v>
      </c>
      <c r="H17" s="21">
        <v>0.9</v>
      </c>
      <c r="I17" s="22">
        <v>1.2</v>
      </c>
      <c r="J17" s="389" t="s">
        <v>1090</v>
      </c>
      <c r="L17" s="232">
        <v>1</v>
      </c>
      <c r="N17" s="292" t="str">
        <f t="shared" si="2"/>
        <v>1.3. 현황종합분석</v>
      </c>
      <c r="O17" s="169"/>
      <c r="P17" s="169"/>
      <c r="Q17" s="169"/>
      <c r="R17" s="169"/>
      <c r="S17" s="169"/>
      <c r="T17" s="169"/>
      <c r="U17" s="226"/>
      <c r="V17" s="248"/>
      <c r="W17" s="153">
        <f t="array" aca="1" ref="W17" ca="1">SUM((ROUNDDOWN((D43:I43)*단가,0)))</f>
        <v>3883247</v>
      </c>
      <c r="X17" s="194"/>
      <c r="Y17" s="170" t="str">
        <f t="shared" si="1"/>
        <v>제 3 호표</v>
      </c>
      <c r="Z17" s="170"/>
    </row>
    <row r="18" spans="1:26" ht="18" customHeight="1">
      <c r="A18" s="279"/>
      <c r="B18" s="393" t="s">
        <v>2671</v>
      </c>
      <c r="C18" s="23"/>
      <c r="D18" s="30">
        <f t="shared" ref="D18:I18" si="3">SUBTOTAL(9,D19:D20)</f>
        <v>0.2</v>
      </c>
      <c r="E18" s="31">
        <f t="shared" si="3"/>
        <v>0.4</v>
      </c>
      <c r="F18" s="31">
        <f t="shared" si="3"/>
        <v>0.8</v>
      </c>
      <c r="G18" s="31">
        <f t="shared" si="3"/>
        <v>1.2</v>
      </c>
      <c r="H18" s="31">
        <f t="shared" si="3"/>
        <v>2</v>
      </c>
      <c r="I18" s="32">
        <f t="shared" si="3"/>
        <v>2</v>
      </c>
      <c r="J18" s="389"/>
      <c r="L18" s="232"/>
      <c r="N18" s="354" t="str">
        <f t="shared" si="2"/>
        <v>2. 도시·군관리계획 개요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SUBTOTAL(9,W19:W20)</f>
        <v>7187304</v>
      </c>
      <c r="X18" s="194"/>
      <c r="Y18" s="170" t="str">
        <f t="shared" si="1"/>
        <v/>
      </c>
      <c r="Z18" s="170"/>
    </row>
    <row r="19" spans="1:26" ht="18" customHeight="1">
      <c r="A19" s="279"/>
      <c r="B19" s="223" t="s">
        <v>2672</v>
      </c>
      <c r="C19" s="253"/>
      <c r="D19" s="20">
        <v>0.1</v>
      </c>
      <c r="E19" s="21">
        <v>0.2</v>
      </c>
      <c r="F19" s="21">
        <v>0.4</v>
      </c>
      <c r="G19" s="21">
        <v>0.6</v>
      </c>
      <c r="H19" s="21">
        <v>1</v>
      </c>
      <c r="I19" s="22">
        <v>1</v>
      </c>
      <c r="J19" s="389" t="s">
        <v>1090</v>
      </c>
      <c r="L19" s="232">
        <v>1</v>
      </c>
      <c r="N19" s="292" t="str">
        <f t="shared" si="2"/>
        <v>2.1. 사업개요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SUM((ROUNDDOWN((D45:I45)*단가,0)))</f>
        <v>3593652</v>
      </c>
      <c r="X19" s="194"/>
      <c r="Y19" s="170" t="str">
        <f t="shared" si="1"/>
        <v>제 4 호표</v>
      </c>
      <c r="Z19" s="170"/>
    </row>
    <row r="20" spans="1:26" ht="18" customHeight="1">
      <c r="A20" s="279"/>
      <c r="B20" s="223" t="s">
        <v>2673</v>
      </c>
      <c r="C20" s="253"/>
      <c r="D20" s="20">
        <v>0.1</v>
      </c>
      <c r="E20" s="21">
        <v>0.2</v>
      </c>
      <c r="F20" s="21">
        <v>0.4</v>
      </c>
      <c r="G20" s="21">
        <v>0.6</v>
      </c>
      <c r="H20" s="21">
        <v>1</v>
      </c>
      <c r="I20" s="22">
        <v>1</v>
      </c>
      <c r="J20" s="389" t="s">
        <v>1090</v>
      </c>
      <c r="L20" s="232">
        <v>1</v>
      </c>
      <c r="N20" s="292" t="str">
        <f t="shared" si="2"/>
        <v>2.2. 시뮬레이션 여건</v>
      </c>
      <c r="O20" s="169"/>
      <c r="P20" s="169"/>
      <c r="Q20" s="169"/>
      <c r="R20" s="169"/>
      <c r="S20" s="169"/>
      <c r="T20" s="169"/>
      <c r="U20" s="226"/>
      <c r="V20" s="248"/>
      <c r="W20" s="153">
        <f t="array" aca="1" ref="W20" ca="1">SUM((ROUNDDOWN((D46:I46)*단가,0)))</f>
        <v>3593652</v>
      </c>
      <c r="X20" s="194"/>
      <c r="Y20" s="170" t="str">
        <f t="shared" si="1"/>
        <v>제 5 호표</v>
      </c>
      <c r="Z20" s="170"/>
    </row>
    <row r="21" spans="1:26" ht="18" customHeight="1">
      <c r="A21" s="279"/>
      <c r="B21" s="393" t="s">
        <v>640</v>
      </c>
      <c r="C21" s="23"/>
      <c r="D21" s="30">
        <f t="shared" ref="D21:I21" si="4">SUBTOTAL(9,D22:D24)</f>
        <v>0.4</v>
      </c>
      <c r="E21" s="31">
        <f t="shared" si="4"/>
        <v>0.60000000000000009</v>
      </c>
      <c r="F21" s="31">
        <f t="shared" si="4"/>
        <v>1.2000000000000002</v>
      </c>
      <c r="G21" s="31">
        <f t="shared" si="4"/>
        <v>2</v>
      </c>
      <c r="H21" s="31">
        <f t="shared" si="4"/>
        <v>2.8</v>
      </c>
      <c r="I21" s="32">
        <f t="shared" si="4"/>
        <v>4</v>
      </c>
      <c r="J21" s="389"/>
      <c r="L21" s="232"/>
      <c r="N21" s="354" t="str">
        <f t="shared" si="2"/>
        <v>3. 조망점 선정</v>
      </c>
      <c r="O21" s="169"/>
      <c r="P21" s="169"/>
      <c r="Q21" s="169"/>
      <c r="R21" s="169"/>
      <c r="S21" s="169"/>
      <c r="T21" s="169"/>
      <c r="U21" s="226"/>
      <c r="V21" s="248"/>
      <c r="W21" s="193">
        <f ca="1">SUBTOTAL(9,W22:W24)</f>
        <v>12001993</v>
      </c>
      <c r="X21" s="194"/>
      <c r="Y21" s="170" t="str">
        <f t="shared" si="1"/>
        <v/>
      </c>
      <c r="Z21" s="170"/>
    </row>
    <row r="22" spans="1:26" ht="18" customHeight="1">
      <c r="A22" s="279"/>
      <c r="B22" s="223" t="s">
        <v>2674</v>
      </c>
      <c r="C22" s="253"/>
      <c r="D22" s="20">
        <v>0.1</v>
      </c>
      <c r="E22" s="21">
        <v>0.2</v>
      </c>
      <c r="F22" s="21">
        <v>0.4</v>
      </c>
      <c r="G22" s="21">
        <v>0.7</v>
      </c>
      <c r="H22" s="21">
        <v>0.9</v>
      </c>
      <c r="I22" s="22">
        <v>1.2</v>
      </c>
      <c r="J22" s="389" t="s">
        <v>1090</v>
      </c>
      <c r="L22" s="232">
        <v>1</v>
      </c>
      <c r="N22" s="292" t="str">
        <f t="shared" si="2"/>
        <v>3.1. 예비조망점 선정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SUM((ROUNDDOWN((D48:I48)*단가,0)))</f>
        <v>3814809</v>
      </c>
      <c r="X22" s="194"/>
      <c r="Y22" s="170" t="str">
        <f t="shared" si="1"/>
        <v>제 6 호표</v>
      </c>
      <c r="Z22" s="170"/>
    </row>
    <row r="23" spans="1:26" ht="18" customHeight="1">
      <c r="A23" s="279"/>
      <c r="B23" s="223" t="s">
        <v>2675</v>
      </c>
      <c r="C23" s="253"/>
      <c r="D23" s="20">
        <v>0.1</v>
      </c>
      <c r="E23" s="21">
        <v>0.2</v>
      </c>
      <c r="F23" s="21">
        <v>0.4</v>
      </c>
      <c r="G23" s="21">
        <v>0.8</v>
      </c>
      <c r="H23" s="21">
        <v>1</v>
      </c>
      <c r="I23" s="22">
        <v>1.5</v>
      </c>
      <c r="J23" s="389" t="s">
        <v>1090</v>
      </c>
      <c r="L23" s="232">
        <v>1</v>
      </c>
      <c r="N23" s="292" t="str">
        <f t="shared" si="2"/>
        <v>3.2. 가시권분석</v>
      </c>
      <c r="O23" s="169"/>
      <c r="P23" s="169"/>
      <c r="Q23" s="169"/>
      <c r="R23" s="169"/>
      <c r="S23" s="169"/>
      <c r="T23" s="169"/>
      <c r="U23" s="226"/>
      <c r="V23" s="248"/>
      <c r="W23" s="153">
        <f t="array" aca="1" ref="W23" ca="1">SUM((ROUNDDOWN((D49:I49)*단가,0)))</f>
        <v>4321778</v>
      </c>
      <c r="X23" s="194"/>
      <c r="Y23" s="170" t="str">
        <f t="shared" si="1"/>
        <v>제 7 호표</v>
      </c>
      <c r="Z23" s="170"/>
    </row>
    <row r="24" spans="1:26" ht="18" customHeight="1">
      <c r="A24" s="279"/>
      <c r="B24" s="223" t="s">
        <v>2676</v>
      </c>
      <c r="C24" s="253"/>
      <c r="D24" s="20">
        <v>0.2</v>
      </c>
      <c r="E24" s="21">
        <v>0.2</v>
      </c>
      <c r="F24" s="21">
        <v>0.4</v>
      </c>
      <c r="G24" s="21">
        <v>0.5</v>
      </c>
      <c r="H24" s="21">
        <v>0.9</v>
      </c>
      <c r="I24" s="22">
        <v>1.3</v>
      </c>
      <c r="J24" s="389" t="s">
        <v>1090</v>
      </c>
      <c r="L24" s="232">
        <v>1</v>
      </c>
      <c r="N24" s="292" t="str">
        <f t="shared" si="2"/>
        <v>3.3. 최종조망점 선정</v>
      </c>
      <c r="O24" s="169"/>
      <c r="P24" s="169"/>
      <c r="Q24" s="169"/>
      <c r="R24" s="169"/>
      <c r="S24" s="169"/>
      <c r="T24" s="169"/>
      <c r="U24" s="226"/>
      <c r="V24" s="248"/>
      <c r="W24" s="153">
        <f t="array" aca="1" ref="W24" ca="1">SUM((ROUNDDOWN((D50:I50)*단가,0)))</f>
        <v>3865406</v>
      </c>
      <c r="X24" s="194"/>
      <c r="Y24" s="170" t="str">
        <f t="shared" si="1"/>
        <v>제 8 호표</v>
      </c>
      <c r="Z24" s="170"/>
    </row>
    <row r="25" spans="1:26" ht="18" customHeight="1">
      <c r="A25" s="279"/>
      <c r="B25" s="393" t="s">
        <v>641</v>
      </c>
      <c r="C25" s="23"/>
      <c r="D25" s="30">
        <f t="shared" ref="D25:I25" si="5">SUBTOTAL(9,D26:D27)</f>
        <v>2</v>
      </c>
      <c r="E25" s="31">
        <f t="shared" si="5"/>
        <v>3.2</v>
      </c>
      <c r="F25" s="31">
        <f t="shared" si="5"/>
        <v>4</v>
      </c>
      <c r="G25" s="31">
        <f t="shared" si="5"/>
        <v>5.2</v>
      </c>
      <c r="H25" s="31">
        <f t="shared" si="5"/>
        <v>6</v>
      </c>
      <c r="I25" s="32">
        <f t="shared" si="5"/>
        <v>6</v>
      </c>
      <c r="J25" s="389"/>
      <c r="L25" s="232"/>
      <c r="N25" s="354" t="str">
        <f t="shared" si="2"/>
        <v>4. 경관시뮬레이션 분석</v>
      </c>
      <c r="O25" s="169"/>
      <c r="P25" s="169"/>
      <c r="Q25" s="169"/>
      <c r="R25" s="169"/>
      <c r="S25" s="169"/>
      <c r="T25" s="169"/>
      <c r="U25" s="226"/>
      <c r="V25" s="248"/>
      <c r="W25" s="193">
        <f ca="1">SUBTOTAL(9,W26:W27)</f>
        <v>30944572</v>
      </c>
      <c r="X25" s="194"/>
      <c r="Y25" s="170" t="str">
        <f t="shared" si="1"/>
        <v/>
      </c>
      <c r="Z25" s="170"/>
    </row>
    <row r="26" spans="1:26" ht="18" customHeight="1">
      <c r="A26" s="279"/>
      <c r="B26" s="223" t="s">
        <v>2677</v>
      </c>
      <c r="C26" s="253"/>
      <c r="D26" s="20">
        <v>0.8</v>
      </c>
      <c r="E26" s="21">
        <v>1.4</v>
      </c>
      <c r="F26" s="21">
        <v>2.2000000000000002</v>
      </c>
      <c r="G26" s="21">
        <v>3.6</v>
      </c>
      <c r="H26" s="21">
        <v>4.5</v>
      </c>
      <c r="I26" s="22">
        <v>4.9000000000000004</v>
      </c>
      <c r="J26" s="389" t="s">
        <v>1090</v>
      </c>
      <c r="L26" s="232">
        <v>1</v>
      </c>
      <c r="N26" s="292" t="str">
        <f t="shared" si="2"/>
        <v>4.1. 조망점별 시뮬레이션 분석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SUM((ROUNDDOWN((D52:I52)*단가,0)))</f>
        <v>19498746</v>
      </c>
      <c r="X26" s="154"/>
      <c r="Y26" s="170" t="str">
        <f t="shared" si="1"/>
        <v>제 9 호표</v>
      </c>
      <c r="Z26" s="150"/>
    </row>
    <row r="27" spans="1:26" ht="18" customHeight="1">
      <c r="A27" s="279"/>
      <c r="B27" s="223" t="s">
        <v>2678</v>
      </c>
      <c r="C27" s="253"/>
      <c r="D27" s="20">
        <v>1.2</v>
      </c>
      <c r="E27" s="21">
        <v>1.8</v>
      </c>
      <c r="F27" s="21">
        <v>1.8</v>
      </c>
      <c r="G27" s="21">
        <v>1.6</v>
      </c>
      <c r="H27" s="21">
        <v>1.5</v>
      </c>
      <c r="I27" s="22">
        <v>1.1000000000000001</v>
      </c>
      <c r="J27" s="389" t="s">
        <v>1090</v>
      </c>
      <c r="L27" s="232">
        <v>1</v>
      </c>
      <c r="N27" s="292" t="str">
        <f t="shared" si="2"/>
        <v>4.2. 시뮬레이션 종합분석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SUM((ROUNDDOWN((D53:I53)*단가,0)))</f>
        <v>11445826</v>
      </c>
      <c r="X27" s="154"/>
      <c r="Y27" s="170" t="str">
        <f t="shared" si="1"/>
        <v>제 10 호표</v>
      </c>
      <c r="Z27" s="150"/>
    </row>
    <row r="28" spans="1:26" ht="18" customHeight="1">
      <c r="A28" s="279"/>
      <c r="B28" s="393" t="s">
        <v>642</v>
      </c>
      <c r="C28" s="23"/>
      <c r="D28" s="30">
        <f t="shared" ref="D28:I28" si="6">SUBTOTAL(9,D29:D30)</f>
        <v>2.8</v>
      </c>
      <c r="E28" s="31">
        <f t="shared" si="6"/>
        <v>4</v>
      </c>
      <c r="F28" s="31">
        <f t="shared" si="6"/>
        <v>2.8</v>
      </c>
      <c r="G28" s="31">
        <f t="shared" si="6"/>
        <v>4.8</v>
      </c>
      <c r="H28" s="31">
        <f t="shared" si="6"/>
        <v>5.2</v>
      </c>
      <c r="I28" s="32">
        <f t="shared" si="6"/>
        <v>4</v>
      </c>
      <c r="J28" s="389"/>
      <c r="L28" s="232"/>
      <c r="N28" s="354" t="str">
        <f t="shared" si="2"/>
        <v>5. 경관영향 분석 및 저감방안 도출</v>
      </c>
      <c r="O28" s="169"/>
      <c r="P28" s="169"/>
      <c r="Q28" s="169"/>
      <c r="R28" s="169"/>
      <c r="S28" s="169"/>
      <c r="T28" s="169"/>
      <c r="U28" s="226"/>
      <c r="V28" s="248"/>
      <c r="W28" s="193">
        <f ca="1">SUBTOTAL(9,W29:W30)</f>
        <v>28937670</v>
      </c>
      <c r="X28" s="194"/>
      <c r="Y28" s="170" t="str">
        <f t="shared" si="1"/>
        <v/>
      </c>
      <c r="Z28" s="170"/>
    </row>
    <row r="29" spans="1:26" ht="18" customHeight="1">
      <c r="A29" s="279"/>
      <c r="B29" s="223" t="s">
        <v>2679</v>
      </c>
      <c r="C29" s="253"/>
      <c r="D29" s="20">
        <v>1.4</v>
      </c>
      <c r="E29" s="21">
        <v>2</v>
      </c>
      <c r="F29" s="21">
        <v>1.4</v>
      </c>
      <c r="G29" s="21">
        <v>2.4</v>
      </c>
      <c r="H29" s="21">
        <v>2.6</v>
      </c>
      <c r="I29" s="22">
        <v>2</v>
      </c>
      <c r="J29" s="389" t="s">
        <v>1090</v>
      </c>
      <c r="L29" s="232">
        <v>1</v>
      </c>
      <c r="N29" s="292" t="str">
        <f t="shared" si="2"/>
        <v>5.1. 경관예측</v>
      </c>
      <c r="O29" s="37"/>
      <c r="P29" s="37"/>
      <c r="Q29" s="37"/>
      <c r="R29" s="37"/>
      <c r="S29" s="37"/>
      <c r="T29" s="37"/>
      <c r="U29" s="227"/>
      <c r="V29" s="231"/>
      <c r="W29" s="153">
        <f t="array" aca="1" ref="W29" ca="1">SUM((ROUNDDOWN((D55:I55)*단가,0)))</f>
        <v>14468835</v>
      </c>
      <c r="X29" s="154"/>
      <c r="Y29" s="170" t="str">
        <f t="shared" si="1"/>
        <v>제 11 호표</v>
      </c>
      <c r="Z29" s="150"/>
    </row>
    <row r="30" spans="1:26" ht="18" customHeight="1">
      <c r="A30" s="279"/>
      <c r="B30" s="223" t="s">
        <v>2680</v>
      </c>
      <c r="C30" s="253"/>
      <c r="D30" s="20">
        <v>1.4</v>
      </c>
      <c r="E30" s="21">
        <v>2</v>
      </c>
      <c r="F30" s="21">
        <v>1.4</v>
      </c>
      <c r="G30" s="21">
        <v>2.4</v>
      </c>
      <c r="H30" s="21">
        <v>2.6</v>
      </c>
      <c r="I30" s="22">
        <v>2</v>
      </c>
      <c r="J30" s="389" t="s">
        <v>1090</v>
      </c>
      <c r="L30" s="232">
        <v>1</v>
      </c>
      <c r="N30" s="292" t="str">
        <f t="shared" si="2"/>
        <v>5.2. 저감방안 수립</v>
      </c>
      <c r="O30" s="37"/>
      <c r="P30" s="37"/>
      <c r="Q30" s="37"/>
      <c r="R30" s="37"/>
      <c r="S30" s="37"/>
      <c r="T30" s="37"/>
      <c r="U30" s="227"/>
      <c r="V30" s="231"/>
      <c r="W30" s="153">
        <f t="array" aca="1" ref="W30" ca="1">SUM((ROUNDDOWN((D56:I56)*단가,0)))</f>
        <v>14468835</v>
      </c>
      <c r="X30" s="154"/>
      <c r="Y30" s="170" t="str">
        <f t="shared" si="1"/>
        <v>제 12 호표</v>
      </c>
      <c r="Z30" s="150"/>
    </row>
    <row r="31" spans="1:26" ht="18" customHeight="1">
      <c r="A31" s="279"/>
      <c r="B31" s="393" t="s">
        <v>99</v>
      </c>
      <c r="C31" s="23"/>
      <c r="D31" s="30">
        <f t="shared" ref="D31:I31" si="7">SUBTOTAL(9,D32:D33)</f>
        <v>0.30000000000000004</v>
      </c>
      <c r="E31" s="31">
        <f t="shared" si="7"/>
        <v>0.4</v>
      </c>
      <c r="F31" s="31">
        <f t="shared" si="7"/>
        <v>1</v>
      </c>
      <c r="G31" s="31">
        <f t="shared" si="7"/>
        <v>1.7000000000000002</v>
      </c>
      <c r="H31" s="31">
        <f t="shared" si="7"/>
        <v>2</v>
      </c>
      <c r="I31" s="32">
        <f t="shared" si="7"/>
        <v>2.2999999999999998</v>
      </c>
      <c r="J31" s="389"/>
      <c r="L31" s="232"/>
      <c r="N31" s="354" t="str">
        <f t="shared" si="2"/>
        <v>6. 성과품 작성</v>
      </c>
      <c r="O31" s="169"/>
      <c r="P31" s="169"/>
      <c r="Q31" s="169"/>
      <c r="R31" s="169"/>
      <c r="S31" s="169"/>
      <c r="T31" s="169"/>
      <c r="U31" s="226"/>
      <c r="V31" s="248"/>
      <c r="W31" s="193">
        <f ca="1">SUBTOTAL(9,W32:W33)</f>
        <v>8498928</v>
      </c>
      <c r="X31" s="194"/>
      <c r="Y31" s="170" t="str">
        <f t="shared" si="1"/>
        <v/>
      </c>
      <c r="Z31" s="170"/>
    </row>
    <row r="32" spans="1:26" ht="18" customHeight="1">
      <c r="A32" s="279"/>
      <c r="B32" s="223" t="s">
        <v>2681</v>
      </c>
      <c r="C32" s="23"/>
      <c r="D32" s="20">
        <v>0.2</v>
      </c>
      <c r="E32" s="21">
        <v>0.2</v>
      </c>
      <c r="F32" s="21">
        <v>0.5</v>
      </c>
      <c r="G32" s="21">
        <v>0.9</v>
      </c>
      <c r="H32" s="21">
        <v>1</v>
      </c>
      <c r="I32" s="22">
        <v>1.2</v>
      </c>
      <c r="J32" s="389" t="s">
        <v>1090</v>
      </c>
      <c r="L32" s="232">
        <v>1</v>
      </c>
      <c r="N32" s="292" t="str">
        <f t="shared" si="2"/>
        <v>6.1. 보고서 작성 및 편집</v>
      </c>
      <c r="O32" s="37"/>
      <c r="P32" s="37"/>
      <c r="Q32" s="37"/>
      <c r="R32" s="37"/>
      <c r="S32" s="37"/>
      <c r="T32" s="37"/>
      <c r="U32" s="227"/>
      <c r="V32" s="231"/>
      <c r="W32" s="153">
        <f t="array" aca="1" ref="W32" ca="1">SUM((ROUNDDOWN((D58:I58)*단가,0)))</f>
        <v>4449928</v>
      </c>
      <c r="X32" s="154"/>
      <c r="Y32" s="170" t="str">
        <f t="shared" si="1"/>
        <v>제 13 호표</v>
      </c>
      <c r="Z32" s="150"/>
    </row>
    <row r="33" spans="1:26" ht="18" customHeight="1">
      <c r="A33" s="279"/>
      <c r="B33" s="223" t="s">
        <v>2682</v>
      </c>
      <c r="C33" s="23"/>
      <c r="D33" s="20">
        <v>0.1</v>
      </c>
      <c r="E33" s="21">
        <v>0.2</v>
      </c>
      <c r="F33" s="21">
        <v>0.5</v>
      </c>
      <c r="G33" s="21">
        <v>0.8</v>
      </c>
      <c r="H33" s="21">
        <v>1</v>
      </c>
      <c r="I33" s="22">
        <v>1.1000000000000001</v>
      </c>
      <c r="J33" s="389" t="s">
        <v>1090</v>
      </c>
      <c r="L33" s="232">
        <v>1</v>
      </c>
      <c r="N33" s="292" t="str">
        <f t="shared" si="2"/>
        <v>6.2. 관련도서 작성</v>
      </c>
      <c r="O33" s="37"/>
      <c r="P33" s="37"/>
      <c r="Q33" s="37"/>
      <c r="R33" s="37"/>
      <c r="S33" s="37"/>
      <c r="T33" s="37"/>
      <c r="U33" s="227"/>
      <c r="V33" s="231"/>
      <c r="W33" s="153">
        <f t="array" aca="1" ref="W33" ca="1">SUM((ROUNDDOWN((D59:I59)*단가,0)))</f>
        <v>4049000</v>
      </c>
      <c r="X33" s="154"/>
      <c r="Y33" s="170" t="str">
        <f t="shared" si="1"/>
        <v>제 14 호표</v>
      </c>
      <c r="Z33" s="150"/>
    </row>
    <row r="34" spans="1:26" ht="18" customHeight="1">
      <c r="A34" s="279"/>
      <c r="B34" s="222" t="s">
        <v>180</v>
      </c>
      <c r="C34" s="47"/>
      <c r="D34" s="48">
        <f t="shared" ref="D34:I34" si="8">SUBTOTAL(9,D35:D38)</f>
        <v>8</v>
      </c>
      <c r="E34" s="49">
        <f t="shared" si="8"/>
        <v>8</v>
      </c>
      <c r="F34" s="49">
        <f t="shared" si="8"/>
        <v>8</v>
      </c>
      <c r="G34" s="49">
        <f t="shared" si="8"/>
        <v>16</v>
      </c>
      <c r="H34" s="49">
        <f t="shared" si="8"/>
        <v>16</v>
      </c>
      <c r="I34" s="50">
        <f t="shared" si="8"/>
        <v>16</v>
      </c>
      <c r="J34" s="389"/>
      <c r="L34" s="232"/>
      <c r="N34" s="354" t="str">
        <f t="shared" si="2"/>
        <v>7. 기술협의</v>
      </c>
      <c r="O34" s="169"/>
      <c r="P34" s="169"/>
      <c r="Q34" s="169"/>
      <c r="R34" s="169"/>
      <c r="S34" s="169"/>
      <c r="T34" s="169"/>
      <c r="U34" s="226"/>
      <c r="V34" s="248"/>
      <c r="W34" s="193">
        <f ca="1">SUBTOTAL(9,W35:W38)</f>
        <v>21702576</v>
      </c>
      <c r="X34" s="194"/>
      <c r="Y34" s="170" t="str">
        <f t="shared" si="1"/>
        <v/>
      </c>
      <c r="Z34" s="170"/>
    </row>
    <row r="35" spans="1:26" ht="18" customHeight="1">
      <c r="A35" s="279"/>
      <c r="B35" s="223" t="s">
        <v>2683</v>
      </c>
      <c r="C35" s="23"/>
      <c r="D35" s="197">
        <v>2</v>
      </c>
      <c r="E35" s="198">
        <v>2</v>
      </c>
      <c r="F35" s="198">
        <v>2</v>
      </c>
      <c r="G35" s="198">
        <v>4</v>
      </c>
      <c r="H35" s="198">
        <v>4</v>
      </c>
      <c r="I35" s="199">
        <v>4</v>
      </c>
      <c r="J35" s="389" t="s">
        <v>2687</v>
      </c>
      <c r="L35" s="233">
        <v>1</v>
      </c>
      <c r="N35" s="292" t="str">
        <f t="shared" si="2"/>
        <v>7.1. 공청회/주민설명회</v>
      </c>
      <c r="O35" s="37"/>
      <c r="P35" s="37"/>
      <c r="Q35" s="37"/>
      <c r="R35" s="37"/>
      <c r="S35" s="37"/>
      <c r="T35" s="37"/>
      <c r="U35" s="227"/>
      <c r="V35" s="231"/>
      <c r="W35" s="153">
        <f t="array" aca="1" ref="W35" ca="1">SUM((ROUNDDOWN((D61:I61)*단가,0)))</f>
        <v>5425644</v>
      </c>
      <c r="X35" s="154"/>
      <c r="Y35" s="170" t="str">
        <f t="shared" si="1"/>
        <v>제 15 호표</v>
      </c>
      <c r="Z35" s="150"/>
    </row>
    <row r="36" spans="1:26" ht="18" customHeight="1">
      <c r="A36" s="279"/>
      <c r="B36" s="259" t="s">
        <v>2684</v>
      </c>
      <c r="C36" s="43"/>
      <c r="D36" s="206">
        <v>2</v>
      </c>
      <c r="E36" s="207">
        <v>2</v>
      </c>
      <c r="F36" s="207">
        <v>2</v>
      </c>
      <c r="G36" s="207">
        <v>4</v>
      </c>
      <c r="H36" s="207">
        <v>4</v>
      </c>
      <c r="I36" s="208">
        <v>4</v>
      </c>
      <c r="J36" s="389" t="s">
        <v>1094</v>
      </c>
      <c r="L36" s="233">
        <v>1</v>
      </c>
      <c r="N36" s="292" t="str">
        <f t="shared" si="2"/>
        <v>7.2. 주민간담회/시민계획단</v>
      </c>
      <c r="O36" s="37"/>
      <c r="P36" s="37"/>
      <c r="Q36" s="37"/>
      <c r="R36" s="37"/>
      <c r="S36" s="37"/>
      <c r="T36" s="37"/>
      <c r="U36" s="227"/>
      <c r="V36" s="231"/>
      <c r="W36" s="153">
        <f t="array" aca="1" ref="W36" ca="1">SUM((ROUNDDOWN((D62:I62)*단가,0)))</f>
        <v>5425644</v>
      </c>
      <c r="X36" s="154"/>
      <c r="Y36" s="170" t="str">
        <f t="shared" si="1"/>
        <v>제 16 호표</v>
      </c>
      <c r="Z36" s="150"/>
    </row>
    <row r="37" spans="1:26" ht="18" customHeight="1">
      <c r="A37" s="279"/>
      <c r="B37" s="223" t="s">
        <v>2685</v>
      </c>
      <c r="C37" s="23"/>
      <c r="D37" s="197">
        <v>2</v>
      </c>
      <c r="E37" s="198">
        <v>2</v>
      </c>
      <c r="F37" s="198">
        <v>2</v>
      </c>
      <c r="G37" s="198">
        <v>4</v>
      </c>
      <c r="H37" s="198">
        <v>4</v>
      </c>
      <c r="I37" s="199">
        <v>4</v>
      </c>
      <c r="J37" s="389" t="s">
        <v>1094</v>
      </c>
      <c r="L37" s="233">
        <v>1</v>
      </c>
      <c r="N37" s="292" t="str">
        <f t="shared" si="2"/>
        <v>7.3. 위원회심의 지원</v>
      </c>
      <c r="O37" s="37"/>
      <c r="P37" s="37"/>
      <c r="Q37" s="37"/>
      <c r="R37" s="37"/>
      <c r="S37" s="37"/>
      <c r="T37" s="37"/>
      <c r="U37" s="227"/>
      <c r="V37" s="231"/>
      <c r="W37" s="153">
        <f t="array" aca="1" ref="W37" ca="1">SUM((ROUNDDOWN((D63:I63)*단가,0)))</f>
        <v>5425644</v>
      </c>
      <c r="X37" s="154"/>
      <c r="Y37" s="170" t="str">
        <f t="shared" si="1"/>
        <v>제 17 호표</v>
      </c>
      <c r="Z37" s="150"/>
    </row>
    <row r="38" spans="1:26" ht="18" customHeight="1" thickBot="1">
      <c r="A38" s="279"/>
      <c r="B38" s="259" t="s">
        <v>2143</v>
      </c>
      <c r="C38" s="43"/>
      <c r="D38" s="206">
        <v>2</v>
      </c>
      <c r="E38" s="207">
        <v>2</v>
      </c>
      <c r="F38" s="207">
        <v>2</v>
      </c>
      <c r="G38" s="207">
        <v>4</v>
      </c>
      <c r="H38" s="207">
        <v>4</v>
      </c>
      <c r="I38" s="208">
        <v>4</v>
      </c>
      <c r="J38" s="612" t="s">
        <v>1094</v>
      </c>
      <c r="L38" s="233">
        <v>1</v>
      </c>
      <c r="N38" s="292" t="str">
        <f t="shared" si="2"/>
        <v>7.4. 관계기관 협의</v>
      </c>
      <c r="O38" s="37"/>
      <c r="P38" s="37"/>
      <c r="Q38" s="37"/>
      <c r="R38" s="37"/>
      <c r="S38" s="37"/>
      <c r="T38" s="37"/>
      <c r="U38" s="227"/>
      <c r="V38" s="231"/>
      <c r="W38" s="153">
        <f t="array" aca="1" ref="W38" ca="1">SUM((ROUNDDOWN((D64:I64)*단가,0)))</f>
        <v>5425644</v>
      </c>
      <c r="X38" s="154"/>
      <c r="Y38" s="170" t="str">
        <f t="shared" si="1"/>
        <v>제 18 호표</v>
      </c>
      <c r="Z38" s="150"/>
    </row>
    <row r="39" spans="1:26" ht="18" customHeight="1" thickBot="1">
      <c r="A39" s="279"/>
      <c r="B39" s="249" t="s">
        <v>30</v>
      </c>
      <c r="C39" s="250"/>
      <c r="D39" s="249" t="s">
        <v>12</v>
      </c>
      <c r="E39" s="251"/>
      <c r="F39" s="251"/>
      <c r="G39" s="251"/>
      <c r="H39" s="251"/>
      <c r="I39" s="250"/>
      <c r="J39" s="175" t="s">
        <v>31</v>
      </c>
      <c r="N39" s="8"/>
      <c r="P39" s="371"/>
      <c r="R39" s="357"/>
      <c r="S39" s="1"/>
      <c r="T39" s="1"/>
      <c r="U39" s="258"/>
      <c r="V39" s="372"/>
      <c r="W39" s="373"/>
      <c r="X39" s="374"/>
      <c r="Y39" s="170" t="str">
        <f>IF(A77&gt;0, "제 " &amp;A77&amp; " 호표","")</f>
        <v/>
      </c>
    </row>
    <row r="40" spans="1:26" ht="18" customHeight="1">
      <c r="A40" s="278"/>
      <c r="B40" s="252" t="str">
        <f>B14</f>
        <v>1. 조사 및 분석</v>
      </c>
      <c r="C40" s="253"/>
      <c r="D40" s="30">
        <f t="shared" ref="D40:I40" si="9">SUBTOTAL(9,D41:D43)</f>
        <v>1.581</v>
      </c>
      <c r="E40" s="31">
        <f t="shared" si="9"/>
        <v>2.3730000000000002</v>
      </c>
      <c r="F40" s="31">
        <f t="shared" si="9"/>
        <v>4.7460000000000004</v>
      </c>
      <c r="G40" s="31">
        <f t="shared" si="9"/>
        <v>7.9130000000000003</v>
      </c>
      <c r="H40" s="31">
        <f t="shared" si="9"/>
        <v>11.079000000000001</v>
      </c>
      <c r="I40" s="32">
        <f t="shared" si="9"/>
        <v>15.827000000000002</v>
      </c>
      <c r="J40" s="73"/>
      <c r="N40" s="290" t="s">
        <v>10</v>
      </c>
      <c r="O40" s="129"/>
      <c r="P40" s="130"/>
      <c r="Q40" s="124"/>
      <c r="R40" s="131"/>
      <c r="S40" s="124"/>
      <c r="T40" s="124"/>
      <c r="U40" s="181"/>
      <c r="V40" s="181"/>
      <c r="W40" s="159">
        <f>SUBTOTAL(9,W41:W43)</f>
        <v>8000000</v>
      </c>
      <c r="X40" s="160"/>
      <c r="Y40" s="124"/>
      <c r="Z40" s="124"/>
    </row>
    <row r="41" spans="1:26" ht="18" customHeight="1">
      <c r="A41" s="278">
        <v>1</v>
      </c>
      <c r="B41" s="223" t="str">
        <f t="shared" ref="B41:B64" si="10">B15</f>
        <v>1.1. 현황조사</v>
      </c>
      <c r="C41" s="253"/>
      <c r="D41" s="20">
        <f t="array" ref="D41:I43">ROUNDDOWN(D15:I17*L15:L17*$D$5,3)</f>
        <v>0.39500000000000002</v>
      </c>
      <c r="E41" s="21">
        <v>0.79100000000000004</v>
      </c>
      <c r="F41" s="21">
        <v>1.5820000000000001</v>
      </c>
      <c r="G41" s="21">
        <v>3.165</v>
      </c>
      <c r="H41" s="21">
        <v>3.9569999999999999</v>
      </c>
      <c r="I41" s="22">
        <v>5.9349999999999996</v>
      </c>
      <c r="J41" s="74"/>
      <c r="N41" s="128" t="str">
        <f>"여비("&amp;TEXT(R41,"#인 ×")&amp;TEXT(S41,"#일 ×")&amp;TEXT(T41,"###,###원)")</f>
        <v>여비(3인 ×10일 ×100,000원)</v>
      </c>
      <c r="O41" s="78"/>
      <c r="P41" s="52"/>
      <c r="Q41" s="51"/>
      <c r="R41" s="146">
        <v>3</v>
      </c>
      <c r="S41" s="146">
        <v>10</v>
      </c>
      <c r="T41" s="147">
        <v>100000</v>
      </c>
      <c r="U41" s="182"/>
      <c r="V41" s="182"/>
      <c r="W41" s="161">
        <f>R41*S41*T41</f>
        <v>3000000</v>
      </c>
      <c r="X41" s="162"/>
      <c r="Y41" s="51"/>
      <c r="Z41" s="51"/>
    </row>
    <row r="42" spans="1:26" ht="18" customHeight="1">
      <c r="A42" s="278">
        <v>2</v>
      </c>
      <c r="B42" s="223" t="str">
        <f t="shared" si="10"/>
        <v>1.2. 관련법규·계획 검토</v>
      </c>
      <c r="C42" s="253"/>
      <c r="D42" s="20">
        <v>0.39500000000000002</v>
      </c>
      <c r="E42" s="21">
        <v>0.79100000000000004</v>
      </c>
      <c r="F42" s="21">
        <v>1.5820000000000001</v>
      </c>
      <c r="G42" s="21">
        <v>2.3740000000000001</v>
      </c>
      <c r="H42" s="21">
        <v>3.5609999999999999</v>
      </c>
      <c r="I42" s="22">
        <v>5.1440000000000001</v>
      </c>
      <c r="J42" s="74"/>
      <c r="N42" s="79" t="s">
        <v>46</v>
      </c>
      <c r="O42" s="79"/>
      <c r="P42" s="39"/>
      <c r="Q42" s="37"/>
      <c r="R42" s="117"/>
      <c r="S42" s="37"/>
      <c r="T42" s="37"/>
      <c r="U42" s="180"/>
      <c r="V42" s="180"/>
      <c r="W42" s="157">
        <v>3000000</v>
      </c>
      <c r="X42" s="158"/>
      <c r="Y42" s="37"/>
      <c r="Z42" s="37"/>
    </row>
    <row r="43" spans="1:26" ht="18" customHeight="1">
      <c r="A43" s="278">
        <v>3</v>
      </c>
      <c r="B43" s="223" t="str">
        <f t="shared" si="10"/>
        <v>1.3. 현황종합분석</v>
      </c>
      <c r="C43" s="253"/>
      <c r="D43" s="20">
        <v>0.79100000000000004</v>
      </c>
      <c r="E43" s="21">
        <v>0.79100000000000004</v>
      </c>
      <c r="F43" s="21">
        <v>1.5820000000000001</v>
      </c>
      <c r="G43" s="21">
        <v>2.3740000000000001</v>
      </c>
      <c r="H43" s="21">
        <v>3.5609999999999999</v>
      </c>
      <c r="I43" s="22">
        <v>4.7480000000000002</v>
      </c>
      <c r="J43" s="74"/>
      <c r="N43" s="132" t="s">
        <v>13</v>
      </c>
      <c r="O43" s="132"/>
      <c r="P43" s="38"/>
      <c r="Q43" s="38"/>
      <c r="R43" s="116"/>
      <c r="S43" s="38"/>
      <c r="T43" s="38"/>
      <c r="U43" s="183"/>
      <c r="V43" s="183"/>
      <c r="W43" s="155">
        <v>2000000</v>
      </c>
      <c r="X43" s="156"/>
      <c r="Y43" s="38"/>
      <c r="Z43" s="38"/>
    </row>
    <row r="44" spans="1:26" ht="18" customHeight="1">
      <c r="A44" s="278"/>
      <c r="B44" s="393" t="str">
        <f t="shared" si="10"/>
        <v>2. 도시·군관리계획 개요</v>
      </c>
      <c r="C44" s="23"/>
      <c r="D44" s="30">
        <f t="shared" ref="D44:I44" si="11">SUBTOTAL(9,D45:D46)</f>
        <v>0.79</v>
      </c>
      <c r="E44" s="31">
        <f t="shared" si="11"/>
        <v>1.5820000000000001</v>
      </c>
      <c r="F44" s="31">
        <f t="shared" si="11"/>
        <v>3.1640000000000001</v>
      </c>
      <c r="G44" s="31">
        <f t="shared" si="11"/>
        <v>4.7480000000000002</v>
      </c>
      <c r="H44" s="31">
        <f t="shared" si="11"/>
        <v>7.9139999999999997</v>
      </c>
      <c r="I44" s="32">
        <f t="shared" si="11"/>
        <v>7.9139999999999997</v>
      </c>
      <c r="J44" s="74"/>
      <c r="N44" s="127" t="s">
        <v>47</v>
      </c>
      <c r="O44" s="123"/>
      <c r="P44" s="123"/>
      <c r="Q44" s="123"/>
      <c r="R44" s="123"/>
      <c r="S44" s="123"/>
      <c r="T44" s="123"/>
      <c r="U44" s="184"/>
      <c r="V44" s="184"/>
      <c r="W44" s="163">
        <f ca="1">SUBTOTAL(9,W45:W46)</f>
        <v>217689218</v>
      </c>
      <c r="X44" s="164"/>
      <c r="Y44" s="123"/>
      <c r="Z44" s="123"/>
    </row>
    <row r="45" spans="1:26" ht="18" customHeight="1">
      <c r="A45" s="278">
        <v>4</v>
      </c>
      <c r="B45" s="223" t="str">
        <f t="shared" si="10"/>
        <v>2.1. 사업개요</v>
      </c>
      <c r="C45" s="253"/>
      <c r="D45" s="20">
        <f t="array" ref="D45:I46">ROUNDDOWN(D19:I20*L19:L20*$D$5,3)</f>
        <v>0.39500000000000002</v>
      </c>
      <c r="E45" s="21">
        <v>0.79100000000000004</v>
      </c>
      <c r="F45" s="21">
        <v>1.5820000000000001</v>
      </c>
      <c r="G45" s="21">
        <v>2.3740000000000001</v>
      </c>
      <c r="H45" s="21">
        <v>3.9569999999999999</v>
      </c>
      <c r="I45" s="22">
        <v>3.9569999999999999</v>
      </c>
      <c r="J45" s="74"/>
      <c r="N45" s="133" t="s">
        <v>861</v>
      </c>
      <c r="O45" s="124"/>
      <c r="P45" s="134"/>
      <c r="Q45" s="124"/>
      <c r="R45" s="131"/>
      <c r="S45" s="124"/>
      <c r="T45" s="181"/>
      <c r="U45" s="181"/>
      <c r="V45" s="190">
        <v>1.1499999999999999</v>
      </c>
      <c r="W45" s="159">
        <f ca="1">ROUNDDOWN(W13*V45,0)</f>
        <v>139466630</v>
      </c>
      <c r="X45" s="160"/>
      <c r="Y45" s="124"/>
      <c r="Z45" s="124"/>
    </row>
    <row r="46" spans="1:26" ht="18" customHeight="1" thickBot="1">
      <c r="A46" s="278">
        <v>5</v>
      </c>
      <c r="B46" s="223" t="str">
        <f t="shared" si="10"/>
        <v>2.2. 시뮬레이션 여건</v>
      </c>
      <c r="C46" s="253"/>
      <c r="D46" s="20">
        <v>0.39500000000000002</v>
      </c>
      <c r="E46" s="21">
        <v>0.79100000000000004</v>
      </c>
      <c r="F46" s="21">
        <v>1.5820000000000001</v>
      </c>
      <c r="G46" s="21">
        <v>2.3740000000000001</v>
      </c>
      <c r="H46" s="21">
        <v>3.9569999999999999</v>
      </c>
      <c r="I46" s="22">
        <v>3.9569999999999999</v>
      </c>
      <c r="J46" s="74"/>
      <c r="N46" s="135" t="s">
        <v>862</v>
      </c>
      <c r="O46" s="136"/>
      <c r="P46" s="137"/>
      <c r="Q46" s="136"/>
      <c r="R46" s="138"/>
      <c r="S46" s="136"/>
      <c r="T46" s="185"/>
      <c r="U46" s="185"/>
      <c r="V46" s="191">
        <v>0.3</v>
      </c>
      <c r="W46" s="165">
        <f ca="1">ROUNDDOWN((W13+W45)*V46,0)</f>
        <v>78222588</v>
      </c>
      <c r="X46" s="166"/>
      <c r="Y46" s="136"/>
      <c r="Z46" s="136"/>
    </row>
    <row r="47" spans="1:26" ht="18" customHeight="1">
      <c r="A47" s="278"/>
      <c r="B47" s="393" t="str">
        <f t="shared" si="10"/>
        <v>3. 조망점 선정</v>
      </c>
      <c r="C47" s="23"/>
      <c r="D47" s="30">
        <f t="shared" ref="D47:I47" si="12">SUBTOTAL(9,D48:D50)</f>
        <v>1.581</v>
      </c>
      <c r="E47" s="31">
        <f t="shared" si="12"/>
        <v>2.3730000000000002</v>
      </c>
      <c r="F47" s="31">
        <f t="shared" si="12"/>
        <v>4.7460000000000004</v>
      </c>
      <c r="G47" s="31">
        <f t="shared" si="12"/>
        <v>7.9119999999999999</v>
      </c>
      <c r="H47" s="31">
        <f t="shared" si="12"/>
        <v>11.079000000000001</v>
      </c>
      <c r="I47" s="32">
        <f t="shared" si="12"/>
        <v>15.827</v>
      </c>
      <c r="J47" s="74"/>
      <c r="K47" s="171" t="s">
        <v>14</v>
      </c>
    </row>
    <row r="48" spans="1:26" ht="18" customHeight="1">
      <c r="A48" s="278">
        <v>6</v>
      </c>
      <c r="B48" s="223" t="str">
        <f t="shared" si="10"/>
        <v>3.1. 예비조망점 선정</v>
      </c>
      <c r="C48" s="23"/>
      <c r="D48" s="20">
        <f t="array" ref="D48:I50">ROUNDDOWN(D22:I24*L22:L24*$D$5,3)</f>
        <v>0.39500000000000002</v>
      </c>
      <c r="E48" s="21">
        <v>0.79100000000000004</v>
      </c>
      <c r="F48" s="21">
        <v>1.5820000000000001</v>
      </c>
      <c r="G48" s="21">
        <v>2.7690000000000001</v>
      </c>
      <c r="H48" s="21">
        <v>3.5609999999999999</v>
      </c>
      <c r="I48" s="22">
        <v>4.7480000000000002</v>
      </c>
      <c r="J48" s="74"/>
      <c r="K48" s="171" t="s">
        <v>14</v>
      </c>
    </row>
    <row r="49" spans="1:26" ht="18" customHeight="1">
      <c r="A49" s="278">
        <v>7</v>
      </c>
      <c r="B49" s="223" t="str">
        <f t="shared" si="10"/>
        <v>3.2. 가시권분석</v>
      </c>
      <c r="C49" s="23"/>
      <c r="D49" s="20">
        <v>0.39500000000000002</v>
      </c>
      <c r="E49" s="21">
        <v>0.79100000000000004</v>
      </c>
      <c r="F49" s="21">
        <v>1.5820000000000001</v>
      </c>
      <c r="G49" s="21">
        <v>3.165</v>
      </c>
      <c r="H49" s="21">
        <v>3.9569999999999999</v>
      </c>
      <c r="I49" s="22">
        <v>5.9349999999999996</v>
      </c>
      <c r="J49" s="74"/>
      <c r="K49" s="171" t="s">
        <v>14</v>
      </c>
    </row>
    <row r="50" spans="1:26" ht="18" customHeight="1">
      <c r="A50" s="278">
        <v>8</v>
      </c>
      <c r="B50" s="223" t="str">
        <f t="shared" si="10"/>
        <v>3.3. 최종조망점 선정</v>
      </c>
      <c r="C50" s="23"/>
      <c r="D50" s="20">
        <v>0.79100000000000004</v>
      </c>
      <c r="E50" s="21">
        <v>0.79100000000000004</v>
      </c>
      <c r="F50" s="21">
        <v>1.5820000000000001</v>
      </c>
      <c r="G50" s="21">
        <v>1.978</v>
      </c>
      <c r="H50" s="21">
        <v>3.5609999999999999</v>
      </c>
      <c r="I50" s="22">
        <v>5.1440000000000001</v>
      </c>
      <c r="J50" s="74"/>
      <c r="K50" s="171" t="s">
        <v>14</v>
      </c>
    </row>
    <row r="51" spans="1:26" ht="18" customHeight="1">
      <c r="A51" s="278"/>
      <c r="B51" s="393" t="str">
        <f t="shared" si="10"/>
        <v>4. 경관시뮬레이션 분석</v>
      </c>
      <c r="C51" s="23"/>
      <c r="D51" s="30">
        <f t="shared" ref="D51:I51" si="13">SUBTOTAL(9,D52:D53)</f>
        <v>7.9130000000000003</v>
      </c>
      <c r="E51" s="31">
        <f t="shared" si="13"/>
        <v>12.661</v>
      </c>
      <c r="F51" s="31">
        <f t="shared" si="13"/>
        <v>15.827</v>
      </c>
      <c r="G51" s="31">
        <f t="shared" si="13"/>
        <v>20.576000000000001</v>
      </c>
      <c r="H51" s="31">
        <f t="shared" si="13"/>
        <v>23.741</v>
      </c>
      <c r="I51" s="32">
        <f t="shared" si="13"/>
        <v>23.741</v>
      </c>
      <c r="J51" s="74"/>
    </row>
    <row r="52" spans="1:26" ht="18" customHeight="1">
      <c r="A52" s="278">
        <v>9</v>
      </c>
      <c r="B52" s="223" t="str">
        <f t="shared" si="10"/>
        <v>4.1. 조망점별 시뮬레이션 분석</v>
      </c>
      <c r="C52" s="253"/>
      <c r="D52" s="20">
        <f t="array" ref="D52:I53">ROUNDDOWN(D26:I27*L26:L27*$D$5,3)</f>
        <v>3.165</v>
      </c>
      <c r="E52" s="21">
        <v>5.5389999999999997</v>
      </c>
      <c r="F52" s="21">
        <v>8.7050000000000001</v>
      </c>
      <c r="G52" s="21">
        <v>14.244999999999999</v>
      </c>
      <c r="H52" s="21">
        <v>17.806000000000001</v>
      </c>
      <c r="I52" s="22">
        <v>19.388999999999999</v>
      </c>
      <c r="J52" s="74"/>
      <c r="R52" s="1"/>
      <c r="S52" s="1"/>
      <c r="T52" s="1"/>
      <c r="U52" s="1"/>
      <c r="V52" s="1"/>
      <c r="W52" s="1"/>
      <c r="X52" s="1"/>
      <c r="Y52" s="1"/>
    </row>
    <row r="53" spans="1:26" ht="18" customHeight="1">
      <c r="A53" s="278">
        <v>10</v>
      </c>
      <c r="B53" s="223" t="str">
        <f t="shared" si="10"/>
        <v>4.2. 시뮬레이션 종합분석</v>
      </c>
      <c r="C53" s="253"/>
      <c r="D53" s="20">
        <v>4.7480000000000002</v>
      </c>
      <c r="E53" s="21">
        <v>7.1219999999999999</v>
      </c>
      <c r="F53" s="21">
        <v>7.1219999999999999</v>
      </c>
      <c r="G53" s="21">
        <v>6.3310000000000004</v>
      </c>
      <c r="H53" s="21">
        <v>5.9349999999999996</v>
      </c>
      <c r="I53" s="22">
        <v>4.3520000000000003</v>
      </c>
      <c r="J53" s="74"/>
      <c r="R53" s="1"/>
      <c r="S53" s="1"/>
      <c r="T53" s="1"/>
      <c r="U53" s="1"/>
      <c r="V53" s="1"/>
      <c r="W53" s="1"/>
      <c r="X53" s="1"/>
      <c r="Y53" s="1"/>
    </row>
    <row r="54" spans="1:26" ht="18" customHeight="1">
      <c r="A54" s="278"/>
      <c r="B54" s="393" t="str">
        <f t="shared" si="10"/>
        <v>5. 경관영향 분석 및 저감방안 도출</v>
      </c>
      <c r="C54" s="23"/>
      <c r="D54" s="30">
        <f t="shared" ref="D54:I54" si="14">SUBTOTAL(9,D55:D56)</f>
        <v>11.077999999999999</v>
      </c>
      <c r="E54" s="31">
        <f t="shared" si="14"/>
        <v>15.827999999999999</v>
      </c>
      <c r="F54" s="31">
        <f t="shared" si="14"/>
        <v>11.077999999999999</v>
      </c>
      <c r="G54" s="31">
        <f t="shared" si="14"/>
        <v>18.992000000000001</v>
      </c>
      <c r="H54" s="31">
        <f t="shared" si="14"/>
        <v>20.576000000000001</v>
      </c>
      <c r="I54" s="32">
        <f t="shared" si="14"/>
        <v>15.827999999999999</v>
      </c>
      <c r="J54" s="74"/>
      <c r="R54" s="1"/>
      <c r="S54" s="1"/>
      <c r="T54" s="1"/>
      <c r="U54" s="1"/>
      <c r="V54" s="1"/>
      <c r="W54" s="1"/>
      <c r="X54" s="1"/>
      <c r="Y54" s="1"/>
    </row>
    <row r="55" spans="1:26" ht="18" customHeight="1" thickBot="1">
      <c r="A55" s="278">
        <v>11</v>
      </c>
      <c r="B55" s="223" t="str">
        <f t="shared" si="10"/>
        <v>5.1. 경관예측</v>
      </c>
      <c r="C55" s="253"/>
      <c r="D55" s="20">
        <f t="array" ref="D55:I56">ROUNDDOWN(D29:I30*L29:L30*$D$5,3)</f>
        <v>5.5389999999999997</v>
      </c>
      <c r="E55" s="21">
        <v>7.9139999999999997</v>
      </c>
      <c r="F55" s="21">
        <v>5.5389999999999997</v>
      </c>
      <c r="G55" s="21">
        <v>9.4960000000000004</v>
      </c>
      <c r="H55" s="21">
        <v>10.288</v>
      </c>
      <c r="I55" s="22">
        <v>7.9139999999999997</v>
      </c>
      <c r="J55" s="74"/>
      <c r="N55" s="66" t="s">
        <v>18</v>
      </c>
      <c r="O55" s="2"/>
      <c r="P55" s="2"/>
      <c r="Q55" s="2"/>
      <c r="R55" s="3"/>
      <c r="S55" s="4"/>
      <c r="T55" s="3"/>
      <c r="U55" s="4"/>
      <c r="V55" s="3"/>
      <c r="W55" s="4"/>
      <c r="X55" s="3"/>
      <c r="Y55" s="4"/>
      <c r="Z55" s="2"/>
    </row>
    <row r="56" spans="1:26" ht="18" customHeight="1">
      <c r="A56" s="278">
        <v>12</v>
      </c>
      <c r="B56" s="223" t="str">
        <f t="shared" si="10"/>
        <v>5.2. 저감방안 수립</v>
      </c>
      <c r="C56" s="253"/>
      <c r="D56" s="20">
        <v>5.5389999999999997</v>
      </c>
      <c r="E56" s="21">
        <v>7.9139999999999997</v>
      </c>
      <c r="F56" s="21">
        <v>5.5389999999999997</v>
      </c>
      <c r="G56" s="21">
        <v>9.4960000000000004</v>
      </c>
      <c r="H56" s="21">
        <v>10.288</v>
      </c>
      <c r="I56" s="22">
        <v>7.9139999999999997</v>
      </c>
      <c r="J56" s="74"/>
      <c r="N56" s="765" t="s">
        <v>19</v>
      </c>
      <c r="O56" s="755" t="s">
        <v>20</v>
      </c>
      <c r="P56" s="755" t="s">
        <v>21</v>
      </c>
      <c r="Q56" s="755" t="s">
        <v>16</v>
      </c>
      <c r="R56" s="5" t="s">
        <v>22</v>
      </c>
      <c r="S56" s="5"/>
      <c r="T56" s="5" t="s">
        <v>23</v>
      </c>
      <c r="U56" s="5"/>
      <c r="V56" s="5" t="s">
        <v>24</v>
      </c>
      <c r="W56" s="5"/>
      <c r="X56" s="5" t="s">
        <v>25</v>
      </c>
      <c r="Y56" s="5"/>
      <c r="Z56" s="755" t="s">
        <v>26</v>
      </c>
    </row>
    <row r="57" spans="1:26" ht="18" customHeight="1" thickBot="1">
      <c r="A57" s="278"/>
      <c r="B57" s="393" t="str">
        <f t="shared" si="10"/>
        <v>6. 성과품 작성</v>
      </c>
      <c r="C57" s="23"/>
      <c r="D57" s="30">
        <f t="shared" ref="D57:I57" si="15">SUBTOTAL(9,D58:D59)</f>
        <v>1.1859999999999999</v>
      </c>
      <c r="E57" s="31">
        <f t="shared" si="15"/>
        <v>1.5820000000000001</v>
      </c>
      <c r="F57" s="31">
        <f t="shared" si="15"/>
        <v>3.956</v>
      </c>
      <c r="G57" s="31">
        <f t="shared" si="15"/>
        <v>6.726</v>
      </c>
      <c r="H57" s="31">
        <f t="shared" si="15"/>
        <v>7.9139999999999997</v>
      </c>
      <c r="I57" s="32">
        <f t="shared" si="15"/>
        <v>9.1000000000000014</v>
      </c>
      <c r="J57" s="74"/>
      <c r="N57" s="766"/>
      <c r="O57" s="756"/>
      <c r="P57" s="756"/>
      <c r="Q57" s="756"/>
      <c r="R57" s="67" t="s">
        <v>27</v>
      </c>
      <c r="S57" s="67" t="s">
        <v>28</v>
      </c>
      <c r="T57" s="67" t="s">
        <v>27</v>
      </c>
      <c r="U57" s="67" t="s">
        <v>28</v>
      </c>
      <c r="V57" s="67" t="s">
        <v>27</v>
      </c>
      <c r="W57" s="67" t="s">
        <v>28</v>
      </c>
      <c r="X57" s="67" t="s">
        <v>27</v>
      </c>
      <c r="Y57" s="67" t="s">
        <v>28</v>
      </c>
      <c r="Z57" s="756"/>
    </row>
    <row r="58" spans="1:26" ht="18" customHeight="1" thickTop="1">
      <c r="A58" s="278">
        <v>13</v>
      </c>
      <c r="B58" s="223" t="str">
        <f t="shared" si="10"/>
        <v>6.1. 보고서 작성 및 편집</v>
      </c>
      <c r="C58" s="253"/>
      <c r="D58" s="20">
        <f t="array" ref="D58:I59">ROUNDDOWN(D32:I33*L32:L33*$D$5,3)</f>
        <v>0.79100000000000004</v>
      </c>
      <c r="E58" s="21">
        <v>0.79100000000000004</v>
      </c>
      <c r="F58" s="21">
        <v>1.978</v>
      </c>
      <c r="G58" s="21">
        <v>3.5609999999999999</v>
      </c>
      <c r="H58" s="21">
        <v>3.9569999999999999</v>
      </c>
      <c r="I58" s="22">
        <v>4.7480000000000002</v>
      </c>
      <c r="J58" s="74"/>
      <c r="N58" s="318" t="str">
        <f ca="1">"제 " &amp; Z58 &amp; " 호표  "&amp; OFFSET($A$1,MATCH(Z58,$A:$A,0)-1,1)</f>
        <v>제 1 호표  1.1. 현황조사</v>
      </c>
      <c r="O58" s="221"/>
      <c r="P58" s="148"/>
      <c r="Q58" s="148"/>
      <c r="R58" s="149"/>
      <c r="S58" s="149"/>
      <c r="T58" s="149"/>
      <c r="U58" s="149"/>
      <c r="V58" s="149"/>
      <c r="W58" s="149"/>
      <c r="X58" s="149"/>
      <c r="Y58" s="149"/>
      <c r="Z58" s="325">
        <v>1</v>
      </c>
    </row>
    <row r="59" spans="1:26" ht="18" customHeight="1">
      <c r="A59" s="278">
        <v>14</v>
      </c>
      <c r="B59" s="223" t="str">
        <f t="shared" si="10"/>
        <v>6.2. 관련도서 작성</v>
      </c>
      <c r="C59" s="253"/>
      <c r="D59" s="20">
        <v>0.39500000000000002</v>
      </c>
      <c r="E59" s="21">
        <v>0.79100000000000004</v>
      </c>
      <c r="F59" s="21">
        <v>1.978</v>
      </c>
      <c r="G59" s="21">
        <v>3.165</v>
      </c>
      <c r="H59" s="21">
        <v>3.9569999999999999</v>
      </c>
      <c r="I59" s="22">
        <v>4.3520000000000003</v>
      </c>
      <c r="J59" s="74"/>
      <c r="N59" s="140" t="s">
        <v>43</v>
      </c>
      <c r="O59" s="172">
        <v>3</v>
      </c>
      <c r="P59" s="219">
        <f ca="1">OFFSET($A$1,MATCH(Z58,$A:$A,0)-1,O59)</f>
        <v>0.39500000000000002</v>
      </c>
      <c r="Q59" s="141" t="s">
        <v>29</v>
      </c>
      <c r="R59" s="142">
        <f t="shared" ref="R59:S64" ca="1" si="16">T59</f>
        <v>467217</v>
      </c>
      <c r="S59" s="142">
        <f t="shared" ca="1" si="16"/>
        <v>184550</v>
      </c>
      <c r="T59" s="142">
        <f ca="1">기술사</f>
        <v>467217</v>
      </c>
      <c r="U59" s="142">
        <f t="shared" ref="U59:U64" ca="1" si="17">ROUNDDOWN(P59*R59,0)</f>
        <v>184550</v>
      </c>
      <c r="V59" s="142"/>
      <c r="W59" s="142"/>
      <c r="X59" s="142"/>
      <c r="Y59" s="142"/>
      <c r="Z59" s="114"/>
    </row>
    <row r="60" spans="1:26" ht="18" customHeight="1">
      <c r="A60" s="278"/>
      <c r="B60" s="222" t="str">
        <f t="shared" si="10"/>
        <v>7. 기술협의</v>
      </c>
      <c r="C60" s="47"/>
      <c r="D60" s="48">
        <f t="shared" ref="D60:I60" si="18">SUBTOTAL(9,D61:D64)</f>
        <v>8</v>
      </c>
      <c r="E60" s="49">
        <f t="shared" si="18"/>
        <v>8</v>
      </c>
      <c r="F60" s="49">
        <f t="shared" si="18"/>
        <v>8</v>
      </c>
      <c r="G60" s="49">
        <f t="shared" si="18"/>
        <v>16</v>
      </c>
      <c r="H60" s="49">
        <f t="shared" si="18"/>
        <v>16</v>
      </c>
      <c r="I60" s="50">
        <f t="shared" si="18"/>
        <v>16</v>
      </c>
      <c r="J60" s="74"/>
      <c r="K60" s="171" t="s">
        <v>14</v>
      </c>
      <c r="L60" s="171"/>
      <c r="N60" s="143" t="s">
        <v>32</v>
      </c>
      <c r="O60" s="173">
        <v>4</v>
      </c>
      <c r="P60" s="234">
        <f ca="1">OFFSET($A$1,MATCH(Z58,$A:$A,0)-1,O60)</f>
        <v>0.79100000000000004</v>
      </c>
      <c r="Q60" s="144" t="s">
        <v>29</v>
      </c>
      <c r="R60" s="118">
        <f t="shared" ca="1" si="16"/>
        <v>373353</v>
      </c>
      <c r="S60" s="118">
        <f t="shared" ca="1" si="16"/>
        <v>295322</v>
      </c>
      <c r="T60" s="118">
        <f ca="1">특급</f>
        <v>373353</v>
      </c>
      <c r="U60" s="118">
        <f t="shared" ca="1" si="17"/>
        <v>295322</v>
      </c>
      <c r="V60" s="118"/>
      <c r="W60" s="118"/>
      <c r="X60" s="118"/>
      <c r="Y60" s="118"/>
      <c r="Z60" s="115"/>
    </row>
    <row r="61" spans="1:26" ht="18" customHeight="1">
      <c r="A61" s="278">
        <v>15</v>
      </c>
      <c r="B61" s="223" t="str">
        <f t="shared" si="10"/>
        <v>7.1. 공청회/주민설명회</v>
      </c>
      <c r="C61" s="23"/>
      <c r="D61" s="20">
        <f t="array" ref="D61:I64">ROUNDDOWN(D35:I38*L35:L38*I5,3)</f>
        <v>2</v>
      </c>
      <c r="E61" s="198">
        <v>2</v>
      </c>
      <c r="F61" s="198">
        <v>2</v>
      </c>
      <c r="G61" s="198">
        <v>4</v>
      </c>
      <c r="H61" s="198">
        <v>4</v>
      </c>
      <c r="I61" s="199">
        <v>4</v>
      </c>
      <c r="J61" s="74"/>
      <c r="K61" s="171"/>
      <c r="L61" s="171"/>
      <c r="N61" s="145" t="s">
        <v>39</v>
      </c>
      <c r="O61" s="173">
        <v>5</v>
      </c>
      <c r="P61" s="234">
        <f ca="1">OFFSET($A$1,MATCH(Z58,$A:$A,0)-1,O61)</f>
        <v>1.5820000000000001</v>
      </c>
      <c r="Q61" s="144" t="s">
        <v>29</v>
      </c>
      <c r="R61" s="118">
        <f t="shared" ca="1" si="16"/>
        <v>310884</v>
      </c>
      <c r="S61" s="118">
        <f t="shared" ca="1" si="16"/>
        <v>491818</v>
      </c>
      <c r="T61" s="118">
        <f ca="1">고급</f>
        <v>310884</v>
      </c>
      <c r="U61" s="118">
        <f t="shared" ca="1" si="17"/>
        <v>491818</v>
      </c>
      <c r="V61" s="118"/>
      <c r="W61" s="118"/>
      <c r="X61" s="118"/>
      <c r="Y61" s="118"/>
      <c r="Z61" s="115"/>
    </row>
    <row r="62" spans="1:26" ht="18" customHeight="1">
      <c r="A62" s="278">
        <v>16</v>
      </c>
      <c r="B62" s="223" t="str">
        <f t="shared" si="10"/>
        <v>7.2. 주민간담회/시민계획단</v>
      </c>
      <c r="C62" s="23"/>
      <c r="D62" s="197">
        <v>2</v>
      </c>
      <c r="E62" s="198">
        <v>2</v>
      </c>
      <c r="F62" s="198">
        <v>2</v>
      </c>
      <c r="G62" s="198">
        <v>4</v>
      </c>
      <c r="H62" s="198">
        <v>4</v>
      </c>
      <c r="I62" s="199">
        <v>4</v>
      </c>
      <c r="J62" s="74"/>
      <c r="K62" s="171"/>
      <c r="L62" s="171"/>
      <c r="N62" s="145" t="s">
        <v>40</v>
      </c>
      <c r="O62" s="173">
        <v>6</v>
      </c>
      <c r="P62" s="234">
        <f ca="1">OFFSET($A$1,MATCH(Z58,$A:$A,0)-1,O62)</f>
        <v>3.165</v>
      </c>
      <c r="Q62" s="144" t="s">
        <v>29</v>
      </c>
      <c r="R62" s="118">
        <f t="shared" ca="1" si="16"/>
        <v>295138</v>
      </c>
      <c r="S62" s="118">
        <f t="shared" ca="1" si="16"/>
        <v>934111</v>
      </c>
      <c r="T62" s="118">
        <f ca="1">중급</f>
        <v>295138</v>
      </c>
      <c r="U62" s="118">
        <f t="shared" ca="1" si="17"/>
        <v>934111</v>
      </c>
      <c r="V62" s="118"/>
      <c r="W62" s="118"/>
      <c r="X62" s="118"/>
      <c r="Y62" s="118"/>
      <c r="Z62" s="115"/>
    </row>
    <row r="63" spans="1:26" ht="18" customHeight="1">
      <c r="A63" s="278">
        <v>17</v>
      </c>
      <c r="B63" s="223" t="str">
        <f t="shared" si="10"/>
        <v>7.3. 위원회심의 지원</v>
      </c>
      <c r="C63" s="23"/>
      <c r="D63" s="197">
        <v>2</v>
      </c>
      <c r="E63" s="198">
        <v>2</v>
      </c>
      <c r="F63" s="198">
        <v>2</v>
      </c>
      <c r="G63" s="198">
        <v>4</v>
      </c>
      <c r="H63" s="198">
        <v>4</v>
      </c>
      <c r="I63" s="199">
        <v>4</v>
      </c>
      <c r="J63" s="74"/>
      <c r="K63" s="171"/>
      <c r="L63" s="171"/>
      <c r="N63" s="145" t="s">
        <v>41</v>
      </c>
      <c r="O63" s="173">
        <v>7</v>
      </c>
      <c r="P63" s="234">
        <f ca="1">OFFSET($A$1,MATCH(Z58,$A:$A,0)-1,O63)</f>
        <v>3.9569999999999999</v>
      </c>
      <c r="Q63" s="144" t="s">
        <v>29</v>
      </c>
      <c r="R63" s="118">
        <f t="shared" ca="1" si="16"/>
        <v>235459</v>
      </c>
      <c r="S63" s="118">
        <f t="shared" ca="1" si="16"/>
        <v>931711</v>
      </c>
      <c r="T63" s="118">
        <f ca="1">초급</f>
        <v>235459</v>
      </c>
      <c r="U63" s="118">
        <f t="shared" ca="1" si="17"/>
        <v>931711</v>
      </c>
      <c r="V63" s="118"/>
      <c r="W63" s="118"/>
      <c r="X63" s="118"/>
      <c r="Y63" s="118"/>
      <c r="Z63" s="115"/>
    </row>
    <row r="64" spans="1:26" ht="18" customHeight="1" thickBot="1">
      <c r="A64" s="278">
        <v>18</v>
      </c>
      <c r="B64" s="388" t="str">
        <f t="shared" si="10"/>
        <v>7.4. 관계기관 협의</v>
      </c>
      <c r="C64" s="342"/>
      <c r="D64" s="343">
        <v>2</v>
      </c>
      <c r="E64" s="344">
        <v>2</v>
      </c>
      <c r="F64" s="344">
        <v>2</v>
      </c>
      <c r="G64" s="344">
        <v>4</v>
      </c>
      <c r="H64" s="344">
        <v>4</v>
      </c>
      <c r="I64" s="345">
        <v>4</v>
      </c>
      <c r="J64" s="176"/>
      <c r="K64" s="171" t="s">
        <v>14</v>
      </c>
      <c r="L64" s="171"/>
      <c r="N64" s="319" t="s">
        <v>42</v>
      </c>
      <c r="O64" s="174">
        <v>8</v>
      </c>
      <c r="P64" s="235">
        <f ca="1">OFFSET($A$1,MATCH(Z58,$A:$A,0)-1,O64)</f>
        <v>5.9349999999999996</v>
      </c>
      <c r="Q64" s="322" t="s">
        <v>29</v>
      </c>
      <c r="R64" s="323">
        <f t="shared" ca="1" si="16"/>
        <v>250087</v>
      </c>
      <c r="S64" s="323">
        <f t="shared" ca="1" si="16"/>
        <v>1484266</v>
      </c>
      <c r="T64" s="323">
        <f ca="1">보조원</f>
        <v>250087</v>
      </c>
      <c r="U64" s="323">
        <f t="shared" ca="1" si="17"/>
        <v>1484266</v>
      </c>
      <c r="V64" s="323"/>
      <c r="W64" s="323"/>
      <c r="X64" s="323"/>
      <c r="Y64" s="323"/>
      <c r="Z64" s="324"/>
    </row>
    <row r="65" spans="1:26" ht="18" customHeight="1">
      <c r="A65" s="278"/>
      <c r="B65" s="80" t="s">
        <v>15</v>
      </c>
      <c r="C65" s="1" t="s">
        <v>2688</v>
      </c>
      <c r="E65" s="8"/>
      <c r="F65" s="8"/>
      <c r="G65" s="8"/>
      <c r="H65" s="8"/>
      <c r="I65" s="8"/>
      <c r="J65" s="10"/>
      <c r="K65" s="171" t="s">
        <v>14</v>
      </c>
      <c r="L65" s="171"/>
      <c r="N65" s="139" t="s">
        <v>17</v>
      </c>
      <c r="O65" s="68"/>
      <c r="P65" s="69"/>
      <c r="Q65" s="70"/>
      <c r="R65" s="71"/>
      <c r="S65" s="71">
        <f ca="1">SUBTOTAL(9,S59:S64)</f>
        <v>4321778</v>
      </c>
      <c r="T65" s="71"/>
      <c r="U65" s="71">
        <f ca="1">SUBTOTAL(9,U59:U64)</f>
        <v>4321778</v>
      </c>
      <c r="V65" s="71"/>
      <c r="W65" s="71"/>
      <c r="X65" s="71"/>
      <c r="Y65" s="71"/>
      <c r="Z65" s="68"/>
    </row>
    <row r="66" spans="1:26" ht="18" customHeight="1">
      <c r="A66" s="278"/>
      <c r="B66" s="80"/>
      <c r="C66" s="1" t="s">
        <v>2689</v>
      </c>
      <c r="J66" s="8"/>
      <c r="K66" s="171" t="s">
        <v>14</v>
      </c>
      <c r="L66" s="171"/>
      <c r="N66" s="318" t="str">
        <f ca="1">"제 " &amp; Z66 &amp; " 호표  "&amp; OFFSET($A$1,MATCH(Z66,$A:$A,0)-1,1)</f>
        <v>제 2 호표  1.2. 관련법규·계획 검토</v>
      </c>
      <c r="O66" s="221"/>
      <c r="P66" s="148"/>
      <c r="Q66" s="148"/>
      <c r="R66" s="149"/>
      <c r="S66" s="149"/>
      <c r="T66" s="149"/>
      <c r="U66" s="149"/>
      <c r="V66" s="149"/>
      <c r="W66" s="149"/>
      <c r="X66" s="149"/>
      <c r="Y66" s="149"/>
      <c r="Z66" s="325">
        <f>Z58+1</f>
        <v>2</v>
      </c>
    </row>
    <row r="67" spans="1:26" ht="18" customHeight="1">
      <c r="A67" s="278"/>
      <c r="C67" s="9" t="s">
        <v>2690</v>
      </c>
      <c r="J67" s="8"/>
      <c r="K67" s="171" t="s">
        <v>14</v>
      </c>
      <c r="L67" s="171"/>
      <c r="N67" s="140" t="s">
        <v>43</v>
      </c>
      <c r="O67" s="172">
        <v>3</v>
      </c>
      <c r="P67" s="219">
        <f ca="1">OFFSET($A$1,MATCH(Z66,$A:$A,0)-1,O67)</f>
        <v>0.39500000000000002</v>
      </c>
      <c r="Q67" s="141" t="s">
        <v>29</v>
      </c>
      <c r="R67" s="142">
        <f t="shared" ref="R67:S72" ca="1" si="19">T67</f>
        <v>467217</v>
      </c>
      <c r="S67" s="142">
        <f t="shared" ca="1" si="19"/>
        <v>184550</v>
      </c>
      <c r="T67" s="142">
        <f ca="1">기술사</f>
        <v>467217</v>
      </c>
      <c r="U67" s="142">
        <f t="shared" ref="U67:U72" ca="1" si="20">ROUNDDOWN(P67*R67,0)</f>
        <v>184550</v>
      </c>
      <c r="V67" s="142"/>
      <c r="W67" s="142"/>
      <c r="X67" s="142"/>
      <c r="Y67" s="142"/>
      <c r="Z67" s="114"/>
    </row>
    <row r="68" spans="1:26" ht="18" customHeight="1">
      <c r="A68" s="278"/>
      <c r="J68" s="8"/>
      <c r="K68" s="171" t="s">
        <v>14</v>
      </c>
      <c r="L68" s="171"/>
      <c r="N68" s="143" t="s">
        <v>32</v>
      </c>
      <c r="O68" s="173">
        <v>4</v>
      </c>
      <c r="P68" s="234">
        <f ca="1">OFFSET($A$1,MATCH(Z66,$A:$A,0)-1,O68)</f>
        <v>0.79100000000000004</v>
      </c>
      <c r="Q68" s="144" t="s">
        <v>29</v>
      </c>
      <c r="R68" s="118">
        <f t="shared" ca="1" si="19"/>
        <v>373353</v>
      </c>
      <c r="S68" s="118">
        <f t="shared" ca="1" si="19"/>
        <v>295322</v>
      </c>
      <c r="T68" s="118">
        <f ca="1">특급</f>
        <v>373353</v>
      </c>
      <c r="U68" s="118">
        <f t="shared" ca="1" si="20"/>
        <v>295322</v>
      </c>
      <c r="V68" s="118"/>
      <c r="W68" s="118"/>
      <c r="X68" s="118"/>
      <c r="Y68" s="118"/>
      <c r="Z68" s="115"/>
    </row>
    <row r="69" spans="1:26" ht="18" customHeight="1">
      <c r="A69" s="278"/>
      <c r="K69" s="171" t="s">
        <v>14</v>
      </c>
      <c r="L69" s="171"/>
      <c r="N69" s="145" t="s">
        <v>39</v>
      </c>
      <c r="O69" s="173">
        <v>5</v>
      </c>
      <c r="P69" s="234">
        <f ca="1">OFFSET($A$1,MATCH(Z66,$A:$A,0)-1,O69)</f>
        <v>1.5820000000000001</v>
      </c>
      <c r="Q69" s="144" t="s">
        <v>29</v>
      </c>
      <c r="R69" s="118">
        <f t="shared" ca="1" si="19"/>
        <v>310884</v>
      </c>
      <c r="S69" s="118">
        <f t="shared" ca="1" si="19"/>
        <v>491818</v>
      </c>
      <c r="T69" s="118">
        <f ca="1">고급</f>
        <v>310884</v>
      </c>
      <c r="U69" s="118">
        <f t="shared" ca="1" si="20"/>
        <v>491818</v>
      </c>
      <c r="V69" s="118"/>
      <c r="W69" s="118"/>
      <c r="X69" s="118"/>
      <c r="Y69" s="118"/>
      <c r="Z69" s="115"/>
    </row>
    <row r="70" spans="1:26" ht="18" customHeight="1">
      <c r="A70" s="278"/>
      <c r="C70" s="9"/>
      <c r="K70" s="171" t="s">
        <v>14</v>
      </c>
      <c r="L70" s="171"/>
      <c r="N70" s="145" t="s">
        <v>40</v>
      </c>
      <c r="O70" s="173">
        <v>6</v>
      </c>
      <c r="P70" s="234">
        <f ca="1">OFFSET($A$1,MATCH(Z66,$A:$A,0)-1,O70)</f>
        <v>2.3740000000000001</v>
      </c>
      <c r="Q70" s="144" t="s">
        <v>29</v>
      </c>
      <c r="R70" s="118">
        <f t="shared" ca="1" si="19"/>
        <v>295138</v>
      </c>
      <c r="S70" s="118">
        <f t="shared" ca="1" si="19"/>
        <v>700657</v>
      </c>
      <c r="T70" s="118">
        <f ca="1">중급</f>
        <v>295138</v>
      </c>
      <c r="U70" s="118">
        <f t="shared" ca="1" si="20"/>
        <v>700657</v>
      </c>
      <c r="V70" s="118"/>
      <c r="W70" s="118"/>
      <c r="X70" s="118"/>
      <c r="Y70" s="118"/>
      <c r="Z70" s="115"/>
    </row>
    <row r="71" spans="1:26" ht="18" customHeight="1">
      <c r="A71" s="278"/>
      <c r="C71" s="9"/>
      <c r="K71" s="171" t="s">
        <v>14</v>
      </c>
      <c r="L71" s="171"/>
      <c r="N71" s="145" t="s">
        <v>41</v>
      </c>
      <c r="O71" s="173">
        <v>7</v>
      </c>
      <c r="P71" s="234">
        <f ca="1">OFFSET($A$1,MATCH(Z66,$A:$A,0)-1,O71)</f>
        <v>3.5609999999999999</v>
      </c>
      <c r="Q71" s="144" t="s">
        <v>29</v>
      </c>
      <c r="R71" s="118">
        <f t="shared" ca="1" si="19"/>
        <v>235459</v>
      </c>
      <c r="S71" s="118">
        <f t="shared" ca="1" si="19"/>
        <v>838469</v>
      </c>
      <c r="T71" s="118">
        <f ca="1">초급</f>
        <v>235459</v>
      </c>
      <c r="U71" s="118">
        <f t="shared" ca="1" si="20"/>
        <v>838469</v>
      </c>
      <c r="V71" s="118"/>
      <c r="W71" s="118"/>
      <c r="X71" s="118"/>
      <c r="Y71" s="118"/>
      <c r="Z71" s="115"/>
    </row>
    <row r="72" spans="1:26" ht="18" customHeight="1">
      <c r="A72" s="278"/>
      <c r="C72" s="9"/>
      <c r="K72" s="171" t="s">
        <v>14</v>
      </c>
      <c r="L72" s="171"/>
      <c r="N72" s="319" t="s">
        <v>42</v>
      </c>
      <c r="O72" s="174">
        <v>8</v>
      </c>
      <c r="P72" s="235">
        <f ca="1">OFFSET($A$1,MATCH(Z66,$A:$A,0)-1,O72)</f>
        <v>5.1440000000000001</v>
      </c>
      <c r="Q72" s="322" t="s">
        <v>29</v>
      </c>
      <c r="R72" s="323">
        <f t="shared" ca="1" si="19"/>
        <v>250087</v>
      </c>
      <c r="S72" s="323">
        <f t="shared" ca="1" si="19"/>
        <v>1286447</v>
      </c>
      <c r="T72" s="323">
        <f ca="1">보조원</f>
        <v>250087</v>
      </c>
      <c r="U72" s="323">
        <f t="shared" ca="1" si="20"/>
        <v>1286447</v>
      </c>
      <c r="V72" s="323"/>
      <c r="W72" s="323"/>
      <c r="X72" s="323"/>
      <c r="Y72" s="323"/>
      <c r="Z72" s="324"/>
    </row>
    <row r="73" spans="1:26" ht="18" customHeight="1">
      <c r="A73" s="278"/>
      <c r="K73" s="171" t="s">
        <v>14</v>
      </c>
      <c r="L73" s="171"/>
      <c r="N73" s="139" t="s">
        <v>17</v>
      </c>
      <c r="O73" s="68"/>
      <c r="P73" s="69"/>
      <c r="Q73" s="70"/>
      <c r="R73" s="71"/>
      <c r="S73" s="71">
        <f ca="1">SUBTOTAL(9,S67:S72)</f>
        <v>3797263</v>
      </c>
      <c r="T73" s="71"/>
      <c r="U73" s="71">
        <f ca="1">SUBTOTAL(9,U67:U72)</f>
        <v>3797263</v>
      </c>
      <c r="V73" s="71"/>
      <c r="W73" s="71"/>
      <c r="X73" s="71"/>
      <c r="Y73" s="71"/>
      <c r="Z73" s="68"/>
    </row>
    <row r="74" spans="1:26" ht="18" customHeight="1">
      <c r="A74" s="278"/>
      <c r="B74" s="9"/>
      <c r="C74" s="9"/>
      <c r="K74" s="171" t="s">
        <v>14</v>
      </c>
      <c r="L74" s="171"/>
      <c r="N74" s="318" t="str">
        <f ca="1">"제 " &amp; Z74 &amp; " 호표  "&amp; OFFSET($A$1,MATCH(Z74,$A:$A,0)-1,1)</f>
        <v>제 3 호표  1.3. 현황종합분석</v>
      </c>
      <c r="O74" s="221"/>
      <c r="P74" s="148"/>
      <c r="Q74" s="148"/>
      <c r="R74" s="149"/>
      <c r="S74" s="149"/>
      <c r="T74" s="149"/>
      <c r="U74" s="149"/>
      <c r="V74" s="149"/>
      <c r="W74" s="149"/>
      <c r="X74" s="149"/>
      <c r="Y74" s="149"/>
      <c r="Z74" s="325">
        <f>Z66+1</f>
        <v>3</v>
      </c>
    </row>
    <row r="75" spans="1:26" ht="18" customHeight="1">
      <c r="A75" s="278"/>
      <c r="B75" s="9"/>
      <c r="K75" s="171" t="s">
        <v>14</v>
      </c>
      <c r="L75" s="171"/>
      <c r="N75" s="140" t="s">
        <v>43</v>
      </c>
      <c r="O75" s="172">
        <v>3</v>
      </c>
      <c r="P75" s="219">
        <f ca="1">OFFSET($A$1,MATCH(Z74,$A:$A,0)-1,O75)</f>
        <v>0.79100000000000004</v>
      </c>
      <c r="Q75" s="141" t="s">
        <v>29</v>
      </c>
      <c r="R75" s="142">
        <f t="shared" ref="R75:S80" ca="1" si="21">T75</f>
        <v>467217</v>
      </c>
      <c r="S75" s="142">
        <f t="shared" ca="1" si="21"/>
        <v>369568</v>
      </c>
      <c r="T75" s="142">
        <f ca="1">기술사</f>
        <v>467217</v>
      </c>
      <c r="U75" s="142">
        <f t="shared" ref="U75:U80" ca="1" si="22">ROUNDDOWN(P75*R75,0)</f>
        <v>369568</v>
      </c>
      <c r="V75" s="142"/>
      <c r="W75" s="142"/>
      <c r="X75" s="142"/>
      <c r="Y75" s="142"/>
      <c r="Z75" s="114"/>
    </row>
    <row r="76" spans="1:26" ht="18" customHeight="1">
      <c r="A76" s="278"/>
      <c r="B76" s="9"/>
      <c r="K76" s="171" t="s">
        <v>14</v>
      </c>
      <c r="L76" s="171"/>
      <c r="N76" s="143" t="s">
        <v>32</v>
      </c>
      <c r="O76" s="173">
        <v>4</v>
      </c>
      <c r="P76" s="234">
        <f ca="1">OFFSET($A$1,MATCH(Z74,$A:$A,0)-1,O76)</f>
        <v>0.79100000000000004</v>
      </c>
      <c r="Q76" s="144" t="s">
        <v>29</v>
      </c>
      <c r="R76" s="118">
        <f t="shared" ca="1" si="21"/>
        <v>373353</v>
      </c>
      <c r="S76" s="118">
        <f t="shared" ca="1" si="21"/>
        <v>295322</v>
      </c>
      <c r="T76" s="118">
        <f ca="1">특급</f>
        <v>373353</v>
      </c>
      <c r="U76" s="118">
        <f t="shared" ca="1" si="22"/>
        <v>295322</v>
      </c>
      <c r="V76" s="118"/>
      <c r="W76" s="118"/>
      <c r="X76" s="118"/>
      <c r="Y76" s="118"/>
      <c r="Z76" s="115"/>
    </row>
    <row r="77" spans="1:26" ht="18" customHeight="1">
      <c r="A77" s="278"/>
      <c r="B77" s="9"/>
      <c r="K77" s="171" t="s">
        <v>14</v>
      </c>
      <c r="L77" s="171"/>
      <c r="N77" s="145" t="s">
        <v>39</v>
      </c>
      <c r="O77" s="173">
        <v>5</v>
      </c>
      <c r="P77" s="234">
        <f ca="1">OFFSET($A$1,MATCH(Z74,$A:$A,0)-1,O77)</f>
        <v>1.5820000000000001</v>
      </c>
      <c r="Q77" s="144" t="s">
        <v>29</v>
      </c>
      <c r="R77" s="118">
        <f t="shared" ca="1" si="21"/>
        <v>310884</v>
      </c>
      <c r="S77" s="118">
        <f t="shared" ca="1" si="21"/>
        <v>491818</v>
      </c>
      <c r="T77" s="118">
        <f ca="1">고급</f>
        <v>310884</v>
      </c>
      <c r="U77" s="118">
        <f t="shared" ca="1" si="22"/>
        <v>491818</v>
      </c>
      <c r="V77" s="118"/>
      <c r="W77" s="118"/>
      <c r="X77" s="118"/>
      <c r="Y77" s="118"/>
      <c r="Z77" s="115"/>
    </row>
    <row r="78" spans="1:26" ht="18" customHeight="1">
      <c r="A78" s="278"/>
      <c r="B78" s="9"/>
      <c r="K78" s="171" t="s">
        <v>14</v>
      </c>
      <c r="L78" s="171"/>
      <c r="N78" s="145" t="s">
        <v>40</v>
      </c>
      <c r="O78" s="173">
        <v>6</v>
      </c>
      <c r="P78" s="234">
        <f ca="1">OFFSET($A$1,MATCH(Z74,$A:$A,0)-1,O78)</f>
        <v>2.3740000000000001</v>
      </c>
      <c r="Q78" s="144" t="s">
        <v>29</v>
      </c>
      <c r="R78" s="118">
        <f t="shared" ca="1" si="21"/>
        <v>295138</v>
      </c>
      <c r="S78" s="118">
        <f t="shared" ca="1" si="21"/>
        <v>700657</v>
      </c>
      <c r="T78" s="118">
        <f ca="1">중급</f>
        <v>295138</v>
      </c>
      <c r="U78" s="118">
        <f t="shared" ca="1" si="22"/>
        <v>700657</v>
      </c>
      <c r="V78" s="118"/>
      <c r="W78" s="118"/>
      <c r="X78" s="118"/>
      <c r="Y78" s="118"/>
      <c r="Z78" s="115"/>
    </row>
    <row r="79" spans="1:26" ht="18" customHeight="1">
      <c r="A79" s="278"/>
      <c r="B79" s="9"/>
      <c r="K79" s="171" t="s">
        <v>14</v>
      </c>
      <c r="L79" s="171"/>
      <c r="N79" s="145" t="s">
        <v>41</v>
      </c>
      <c r="O79" s="173">
        <v>7</v>
      </c>
      <c r="P79" s="234">
        <f ca="1">OFFSET($A$1,MATCH(Z74,$A:$A,0)-1,O79)</f>
        <v>3.5609999999999999</v>
      </c>
      <c r="Q79" s="144" t="s">
        <v>29</v>
      </c>
      <c r="R79" s="118">
        <f t="shared" ca="1" si="21"/>
        <v>235459</v>
      </c>
      <c r="S79" s="118">
        <f t="shared" ca="1" si="21"/>
        <v>838469</v>
      </c>
      <c r="T79" s="118">
        <f ca="1">초급</f>
        <v>235459</v>
      </c>
      <c r="U79" s="118">
        <f t="shared" ca="1" si="22"/>
        <v>838469</v>
      </c>
      <c r="V79" s="118"/>
      <c r="W79" s="118"/>
      <c r="X79" s="118"/>
      <c r="Y79" s="118"/>
      <c r="Z79" s="115"/>
    </row>
    <row r="80" spans="1:26" ht="18" customHeight="1">
      <c r="A80" s="278"/>
      <c r="B80" s="9"/>
      <c r="K80" s="171" t="s">
        <v>14</v>
      </c>
      <c r="L80" s="171"/>
      <c r="N80" s="319" t="s">
        <v>42</v>
      </c>
      <c r="O80" s="174">
        <v>8</v>
      </c>
      <c r="P80" s="235">
        <f ca="1">OFFSET($A$1,MATCH(Z74,$A:$A,0)-1,O80)</f>
        <v>4.7480000000000002</v>
      </c>
      <c r="Q80" s="322" t="s">
        <v>29</v>
      </c>
      <c r="R80" s="323">
        <f t="shared" ca="1" si="21"/>
        <v>250087</v>
      </c>
      <c r="S80" s="323">
        <f t="shared" ca="1" si="21"/>
        <v>1187413</v>
      </c>
      <c r="T80" s="323">
        <f ca="1">보조원</f>
        <v>250087</v>
      </c>
      <c r="U80" s="323">
        <f t="shared" ca="1" si="22"/>
        <v>1187413</v>
      </c>
      <c r="V80" s="323"/>
      <c r="W80" s="323"/>
      <c r="X80" s="323"/>
      <c r="Y80" s="323"/>
      <c r="Z80" s="324"/>
    </row>
    <row r="81" spans="1:26" ht="18" customHeight="1">
      <c r="A81" s="278"/>
      <c r="K81" s="171" t="s">
        <v>14</v>
      </c>
      <c r="L81" s="171"/>
      <c r="N81" s="139" t="s">
        <v>17</v>
      </c>
      <c r="O81" s="68"/>
      <c r="P81" s="69"/>
      <c r="Q81" s="70"/>
      <c r="R81" s="71"/>
      <c r="S81" s="71">
        <f ca="1">SUBTOTAL(9,S75:S80)</f>
        <v>3883247</v>
      </c>
      <c r="T81" s="71"/>
      <c r="U81" s="71">
        <f ca="1">SUBTOTAL(9,U75:U80)</f>
        <v>3883247</v>
      </c>
      <c r="V81" s="71"/>
      <c r="W81" s="71"/>
      <c r="X81" s="71"/>
      <c r="Y81" s="71"/>
      <c r="Z81" s="68"/>
    </row>
    <row r="82" spans="1:26" ht="18" customHeight="1">
      <c r="A82" s="278"/>
      <c r="K82" s="171" t="s">
        <v>14</v>
      </c>
      <c r="L82" s="171"/>
      <c r="N82" s="318" t="str">
        <f ca="1">"제 " &amp; Z82 &amp; " 호표  "&amp; OFFSET($A$1,MATCH(Z82,$A:$A,0)-1,1)</f>
        <v>제 4 호표  2.1. 사업개요</v>
      </c>
      <c r="O82" s="221"/>
      <c r="P82" s="148"/>
      <c r="Q82" s="148"/>
      <c r="R82" s="149"/>
      <c r="S82" s="149"/>
      <c r="T82" s="149"/>
      <c r="U82" s="149"/>
      <c r="V82" s="149"/>
      <c r="W82" s="149"/>
      <c r="X82" s="149"/>
      <c r="Y82" s="149"/>
      <c r="Z82" s="325">
        <f>Z74+1</f>
        <v>4</v>
      </c>
    </row>
    <row r="83" spans="1:26" ht="18" customHeight="1">
      <c r="A83" s="278"/>
      <c r="K83" s="171" t="s">
        <v>14</v>
      </c>
      <c r="L83" s="171"/>
      <c r="N83" s="140" t="s">
        <v>43</v>
      </c>
      <c r="O83" s="172">
        <v>3</v>
      </c>
      <c r="P83" s="219">
        <f ca="1">OFFSET($A$1,MATCH(Z82,$A:$A,0)-1,O83)</f>
        <v>0.39500000000000002</v>
      </c>
      <c r="Q83" s="141" t="s">
        <v>29</v>
      </c>
      <c r="R83" s="142">
        <f t="shared" ref="R83:S88" ca="1" si="23">T83</f>
        <v>467217</v>
      </c>
      <c r="S83" s="142">
        <f t="shared" ca="1" si="23"/>
        <v>184550</v>
      </c>
      <c r="T83" s="142">
        <f ca="1">기술사</f>
        <v>467217</v>
      </c>
      <c r="U83" s="142">
        <f t="shared" ref="U83:U88" ca="1" si="24">ROUNDDOWN(P83*R83,0)</f>
        <v>184550</v>
      </c>
      <c r="V83" s="142"/>
      <c r="W83" s="142"/>
      <c r="X83" s="142"/>
      <c r="Y83" s="142"/>
      <c r="Z83" s="114"/>
    </row>
    <row r="84" spans="1:26" ht="18" customHeight="1">
      <c r="A84" s="278"/>
      <c r="K84" s="171" t="s">
        <v>14</v>
      </c>
      <c r="L84" s="171"/>
      <c r="N84" s="143" t="s">
        <v>32</v>
      </c>
      <c r="O84" s="173">
        <v>4</v>
      </c>
      <c r="P84" s="234">
        <f ca="1">OFFSET($A$1,MATCH(Z82,$A:$A,0)-1,O84)</f>
        <v>0.79100000000000004</v>
      </c>
      <c r="Q84" s="144" t="s">
        <v>29</v>
      </c>
      <c r="R84" s="118">
        <f t="shared" ca="1" si="23"/>
        <v>373353</v>
      </c>
      <c r="S84" s="118">
        <f t="shared" ca="1" si="23"/>
        <v>295322</v>
      </c>
      <c r="T84" s="118">
        <f ca="1">특급</f>
        <v>373353</v>
      </c>
      <c r="U84" s="118">
        <f t="shared" ca="1" si="24"/>
        <v>295322</v>
      </c>
      <c r="V84" s="118"/>
      <c r="W84" s="118"/>
      <c r="X84" s="118"/>
      <c r="Y84" s="118"/>
      <c r="Z84" s="115"/>
    </row>
    <row r="85" spans="1:26" ht="18" customHeight="1">
      <c r="A85" s="278"/>
      <c r="K85" s="171" t="s">
        <v>14</v>
      </c>
      <c r="L85" s="171"/>
      <c r="N85" s="145" t="s">
        <v>39</v>
      </c>
      <c r="O85" s="173">
        <v>5</v>
      </c>
      <c r="P85" s="234">
        <f ca="1">OFFSET($A$1,MATCH(Z82,$A:$A,0)-1,O85)</f>
        <v>1.5820000000000001</v>
      </c>
      <c r="Q85" s="144" t="s">
        <v>29</v>
      </c>
      <c r="R85" s="118">
        <f t="shared" ca="1" si="23"/>
        <v>310884</v>
      </c>
      <c r="S85" s="118">
        <f t="shared" ca="1" si="23"/>
        <v>491818</v>
      </c>
      <c r="T85" s="118">
        <f ca="1">고급</f>
        <v>310884</v>
      </c>
      <c r="U85" s="118">
        <f t="shared" ca="1" si="24"/>
        <v>491818</v>
      </c>
      <c r="V85" s="118"/>
      <c r="W85" s="118"/>
      <c r="X85" s="118"/>
      <c r="Y85" s="118"/>
      <c r="Z85" s="115"/>
    </row>
    <row r="86" spans="1:26" ht="18" customHeight="1">
      <c r="A86" s="278"/>
      <c r="K86" s="171" t="s">
        <v>14</v>
      </c>
      <c r="L86" s="171"/>
      <c r="N86" s="145" t="s">
        <v>40</v>
      </c>
      <c r="O86" s="173">
        <v>6</v>
      </c>
      <c r="P86" s="234">
        <f ca="1">OFFSET($A$1,MATCH(Z82,$A:$A,0)-1,O86)</f>
        <v>2.3740000000000001</v>
      </c>
      <c r="Q86" s="144" t="s">
        <v>29</v>
      </c>
      <c r="R86" s="118">
        <f t="shared" ca="1" si="23"/>
        <v>295138</v>
      </c>
      <c r="S86" s="118">
        <f t="shared" ca="1" si="23"/>
        <v>700657</v>
      </c>
      <c r="T86" s="118">
        <f ca="1">중급</f>
        <v>295138</v>
      </c>
      <c r="U86" s="118">
        <f t="shared" ca="1" si="24"/>
        <v>700657</v>
      </c>
      <c r="V86" s="118"/>
      <c r="W86" s="118"/>
      <c r="X86" s="118"/>
      <c r="Y86" s="118"/>
      <c r="Z86" s="115"/>
    </row>
    <row r="87" spans="1:26" ht="18" customHeight="1">
      <c r="A87" s="278"/>
      <c r="K87" s="171" t="s">
        <v>14</v>
      </c>
      <c r="L87" s="171"/>
      <c r="N87" s="145" t="s">
        <v>41</v>
      </c>
      <c r="O87" s="173">
        <v>7</v>
      </c>
      <c r="P87" s="234">
        <f ca="1">OFFSET($A$1,MATCH(Z82,$A:$A,0)-1,O87)</f>
        <v>3.9569999999999999</v>
      </c>
      <c r="Q87" s="144" t="s">
        <v>29</v>
      </c>
      <c r="R87" s="118">
        <f t="shared" ca="1" si="23"/>
        <v>235459</v>
      </c>
      <c r="S87" s="118">
        <f t="shared" ca="1" si="23"/>
        <v>931711</v>
      </c>
      <c r="T87" s="118">
        <f ca="1">초급</f>
        <v>235459</v>
      </c>
      <c r="U87" s="118">
        <f t="shared" ca="1" si="24"/>
        <v>931711</v>
      </c>
      <c r="V87" s="118"/>
      <c r="W87" s="118"/>
      <c r="X87" s="118"/>
      <c r="Y87" s="118"/>
      <c r="Z87" s="115"/>
    </row>
    <row r="88" spans="1:26" ht="18" customHeight="1">
      <c r="A88" s="278"/>
      <c r="K88" s="171" t="s">
        <v>14</v>
      </c>
      <c r="L88" s="171"/>
      <c r="N88" s="319" t="s">
        <v>42</v>
      </c>
      <c r="O88" s="174">
        <v>8</v>
      </c>
      <c r="P88" s="235">
        <f ca="1">OFFSET($A$1,MATCH(Z82,$A:$A,0)-1,O88)</f>
        <v>3.9569999999999999</v>
      </c>
      <c r="Q88" s="322" t="s">
        <v>29</v>
      </c>
      <c r="R88" s="323">
        <f t="shared" ca="1" si="23"/>
        <v>250087</v>
      </c>
      <c r="S88" s="323">
        <f t="shared" ca="1" si="23"/>
        <v>989594</v>
      </c>
      <c r="T88" s="323">
        <f ca="1">보조원</f>
        <v>250087</v>
      </c>
      <c r="U88" s="323">
        <f t="shared" ca="1" si="24"/>
        <v>989594</v>
      </c>
      <c r="V88" s="323"/>
      <c r="W88" s="323"/>
      <c r="X88" s="323"/>
      <c r="Y88" s="323"/>
      <c r="Z88" s="324"/>
    </row>
    <row r="89" spans="1:26" ht="18" customHeight="1">
      <c r="A89" s="278"/>
      <c r="K89" s="171" t="s">
        <v>14</v>
      </c>
      <c r="L89" s="171"/>
      <c r="N89" s="139" t="s">
        <v>17</v>
      </c>
      <c r="O89" s="68"/>
      <c r="P89" s="69"/>
      <c r="Q89" s="70"/>
      <c r="R89" s="71"/>
      <c r="S89" s="71">
        <f ca="1">SUBTOTAL(9,S83:S88)</f>
        <v>3593652</v>
      </c>
      <c r="T89" s="71"/>
      <c r="U89" s="71">
        <f ca="1">SUBTOTAL(9,U83:U88)</f>
        <v>3593652</v>
      </c>
      <c r="V89" s="71"/>
      <c r="W89" s="71"/>
      <c r="X89" s="71"/>
      <c r="Y89" s="71"/>
      <c r="Z89" s="68"/>
    </row>
    <row r="90" spans="1:26" ht="18" customHeight="1">
      <c r="K90" s="171" t="s">
        <v>14</v>
      </c>
      <c r="L90" s="171"/>
      <c r="N90" s="318" t="str">
        <f ca="1">"제 " &amp; Z90 &amp; " 호표  "&amp; OFFSET($A$1,MATCH(Z90,$A:$A,0)-1,1)</f>
        <v>제 5 호표  2.2. 시뮬레이션 여건</v>
      </c>
      <c r="O90" s="221"/>
      <c r="P90" s="148"/>
      <c r="Q90" s="148"/>
      <c r="R90" s="149"/>
      <c r="S90" s="149"/>
      <c r="T90" s="149"/>
      <c r="U90" s="149"/>
      <c r="V90" s="149"/>
      <c r="W90" s="149"/>
      <c r="X90" s="149"/>
      <c r="Y90" s="149"/>
      <c r="Z90" s="325">
        <f>Z82+1</f>
        <v>5</v>
      </c>
    </row>
    <row r="91" spans="1:26" ht="18" customHeight="1">
      <c r="K91" s="171" t="s">
        <v>14</v>
      </c>
      <c r="L91" s="171"/>
      <c r="N91" s="140" t="s">
        <v>43</v>
      </c>
      <c r="O91" s="172">
        <v>3</v>
      </c>
      <c r="P91" s="219">
        <f ca="1">OFFSET($A$1,MATCH(Z90,$A:$A,0)-1,O91)</f>
        <v>0.39500000000000002</v>
      </c>
      <c r="Q91" s="141" t="s">
        <v>29</v>
      </c>
      <c r="R91" s="142">
        <f t="shared" ref="R91:S96" ca="1" si="25">T91</f>
        <v>467217</v>
      </c>
      <c r="S91" s="142">
        <f t="shared" ca="1" si="25"/>
        <v>184550</v>
      </c>
      <c r="T91" s="142">
        <f ca="1">기술사</f>
        <v>467217</v>
      </c>
      <c r="U91" s="142">
        <f t="shared" ref="U91:U96" ca="1" si="26">ROUNDDOWN(P91*R91,0)</f>
        <v>184550</v>
      </c>
      <c r="V91" s="142"/>
      <c r="W91" s="142"/>
      <c r="X91" s="142"/>
      <c r="Y91" s="142"/>
      <c r="Z91" s="114"/>
    </row>
    <row r="92" spans="1:26" ht="18" customHeight="1">
      <c r="K92" s="171" t="s">
        <v>14</v>
      </c>
      <c r="L92" s="171"/>
      <c r="N92" s="143" t="s">
        <v>32</v>
      </c>
      <c r="O92" s="173">
        <v>4</v>
      </c>
      <c r="P92" s="234">
        <f ca="1">OFFSET($A$1,MATCH(Z90,$A:$A,0)-1,O92)</f>
        <v>0.79100000000000004</v>
      </c>
      <c r="Q92" s="144" t="s">
        <v>29</v>
      </c>
      <c r="R92" s="118">
        <f t="shared" ca="1" si="25"/>
        <v>373353</v>
      </c>
      <c r="S92" s="118">
        <f t="shared" ca="1" si="25"/>
        <v>295322</v>
      </c>
      <c r="T92" s="118">
        <f ca="1">특급</f>
        <v>373353</v>
      </c>
      <c r="U92" s="118">
        <f t="shared" ca="1" si="26"/>
        <v>295322</v>
      </c>
      <c r="V92" s="118"/>
      <c r="W92" s="118"/>
      <c r="X92" s="118"/>
      <c r="Y92" s="118"/>
      <c r="Z92" s="115"/>
    </row>
    <row r="93" spans="1:26" ht="18" customHeight="1">
      <c r="K93" s="171" t="s">
        <v>14</v>
      </c>
      <c r="L93" s="171"/>
      <c r="N93" s="145" t="s">
        <v>39</v>
      </c>
      <c r="O93" s="173">
        <v>5</v>
      </c>
      <c r="P93" s="234">
        <f ca="1">OFFSET($A$1,MATCH(Z90,$A:$A,0)-1,O93)</f>
        <v>1.5820000000000001</v>
      </c>
      <c r="Q93" s="144" t="s">
        <v>29</v>
      </c>
      <c r="R93" s="118">
        <f t="shared" ca="1" si="25"/>
        <v>310884</v>
      </c>
      <c r="S93" s="118">
        <f t="shared" ca="1" si="25"/>
        <v>491818</v>
      </c>
      <c r="T93" s="118">
        <f ca="1">고급</f>
        <v>310884</v>
      </c>
      <c r="U93" s="118">
        <f t="shared" ca="1" si="26"/>
        <v>491818</v>
      </c>
      <c r="V93" s="118"/>
      <c r="W93" s="118"/>
      <c r="X93" s="118"/>
      <c r="Y93" s="118"/>
      <c r="Z93" s="115"/>
    </row>
    <row r="94" spans="1:26" ht="18" customHeight="1">
      <c r="K94" s="171" t="s">
        <v>14</v>
      </c>
      <c r="L94" s="171"/>
      <c r="N94" s="145" t="s">
        <v>40</v>
      </c>
      <c r="O94" s="173">
        <v>6</v>
      </c>
      <c r="P94" s="234">
        <f ca="1">OFFSET($A$1,MATCH(Z90,$A:$A,0)-1,O94)</f>
        <v>2.3740000000000001</v>
      </c>
      <c r="Q94" s="144" t="s">
        <v>29</v>
      </c>
      <c r="R94" s="118">
        <f t="shared" ca="1" si="25"/>
        <v>295138</v>
      </c>
      <c r="S94" s="118">
        <f t="shared" ca="1" si="25"/>
        <v>700657</v>
      </c>
      <c r="T94" s="118">
        <f ca="1">중급</f>
        <v>295138</v>
      </c>
      <c r="U94" s="118">
        <f t="shared" ca="1" si="26"/>
        <v>700657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N95" s="145" t="s">
        <v>41</v>
      </c>
      <c r="O95" s="173">
        <v>7</v>
      </c>
      <c r="P95" s="234">
        <f ca="1">OFFSET($A$1,MATCH(Z90,$A:$A,0)-1,O95)</f>
        <v>3.9569999999999999</v>
      </c>
      <c r="Q95" s="144" t="s">
        <v>29</v>
      </c>
      <c r="R95" s="118">
        <f t="shared" ca="1" si="25"/>
        <v>235459</v>
      </c>
      <c r="S95" s="118">
        <f t="shared" ca="1" si="25"/>
        <v>931711</v>
      </c>
      <c r="T95" s="118">
        <f ca="1">초급</f>
        <v>235459</v>
      </c>
      <c r="U95" s="118">
        <f t="shared" ca="1" si="26"/>
        <v>931711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N96" s="319" t="s">
        <v>42</v>
      </c>
      <c r="O96" s="174">
        <v>8</v>
      </c>
      <c r="P96" s="235">
        <f ca="1">OFFSET($A$1,MATCH(Z90,$A:$A,0)-1,O96)</f>
        <v>3.9569999999999999</v>
      </c>
      <c r="Q96" s="322" t="s">
        <v>29</v>
      </c>
      <c r="R96" s="323">
        <f t="shared" ca="1" si="25"/>
        <v>250087</v>
      </c>
      <c r="S96" s="323">
        <f t="shared" ca="1" si="25"/>
        <v>989594</v>
      </c>
      <c r="T96" s="323">
        <f ca="1">보조원</f>
        <v>250087</v>
      </c>
      <c r="U96" s="323">
        <f t="shared" ca="1" si="26"/>
        <v>989594</v>
      </c>
      <c r="V96" s="323"/>
      <c r="W96" s="323"/>
      <c r="X96" s="323"/>
      <c r="Y96" s="323"/>
      <c r="Z96" s="324"/>
    </row>
    <row r="97" spans="11:26" ht="18" customHeight="1">
      <c r="K97" s="171" t="s">
        <v>14</v>
      </c>
      <c r="L97" s="171"/>
      <c r="N97" s="139" t="s">
        <v>17</v>
      </c>
      <c r="O97" s="68"/>
      <c r="P97" s="69"/>
      <c r="Q97" s="70"/>
      <c r="R97" s="71"/>
      <c r="S97" s="71">
        <f ca="1">SUBTOTAL(9,S91:S96)</f>
        <v>3593652</v>
      </c>
      <c r="T97" s="71"/>
      <c r="U97" s="71">
        <f ca="1">SUBTOTAL(9,U91:U96)</f>
        <v>3593652</v>
      </c>
      <c r="V97" s="71"/>
      <c r="W97" s="71"/>
      <c r="X97" s="71"/>
      <c r="Y97" s="71"/>
      <c r="Z97" s="68"/>
    </row>
    <row r="98" spans="11:26" ht="18" customHeight="1">
      <c r="K98" s="171" t="s">
        <v>14</v>
      </c>
      <c r="L98" s="171"/>
      <c r="N98" s="318" t="str">
        <f ca="1">"제 " &amp; Z98 &amp; " 호표  "&amp; OFFSET($A$1,MATCH(Z98,$A:$A,0)-1,1)</f>
        <v>제 6 호표  3.1. 예비조망점 선정</v>
      </c>
      <c r="O98" s="221"/>
      <c r="P98" s="148"/>
      <c r="Q98" s="148"/>
      <c r="R98" s="149"/>
      <c r="S98" s="149"/>
      <c r="T98" s="149"/>
      <c r="U98" s="149"/>
      <c r="V98" s="149"/>
      <c r="W98" s="149"/>
      <c r="X98" s="149"/>
      <c r="Y98" s="149"/>
      <c r="Z98" s="325">
        <f>Z90+1</f>
        <v>6</v>
      </c>
    </row>
    <row r="99" spans="11:26" ht="18" customHeight="1">
      <c r="K99" s="171" t="s">
        <v>14</v>
      </c>
      <c r="L99" s="171"/>
      <c r="N99" s="140" t="s">
        <v>43</v>
      </c>
      <c r="O99" s="172">
        <v>3</v>
      </c>
      <c r="P99" s="219">
        <f ca="1">OFFSET($A$1,MATCH(Z98,$A:$A,0)-1,O99)</f>
        <v>0.39500000000000002</v>
      </c>
      <c r="Q99" s="141" t="s">
        <v>29</v>
      </c>
      <c r="R99" s="142">
        <f t="shared" ref="R99:S104" ca="1" si="27">T99</f>
        <v>467217</v>
      </c>
      <c r="S99" s="142">
        <f t="shared" ca="1" si="27"/>
        <v>184550</v>
      </c>
      <c r="T99" s="142">
        <f ca="1">기술사</f>
        <v>467217</v>
      </c>
      <c r="U99" s="142">
        <f t="shared" ref="U99:U104" ca="1" si="28">ROUNDDOWN(P99*R99,0)</f>
        <v>184550</v>
      </c>
      <c r="V99" s="142"/>
      <c r="W99" s="142"/>
      <c r="X99" s="142"/>
      <c r="Y99" s="142"/>
      <c r="Z99" s="114"/>
    </row>
    <row r="100" spans="11:26" ht="18" customHeight="1">
      <c r="K100" s="171" t="s">
        <v>14</v>
      </c>
      <c r="L100" s="171"/>
      <c r="N100" s="143" t="s">
        <v>32</v>
      </c>
      <c r="O100" s="173">
        <v>4</v>
      </c>
      <c r="P100" s="234">
        <f ca="1">OFFSET($A$1,MATCH(Z98,$A:$A,0)-1,O100)</f>
        <v>0.79100000000000004</v>
      </c>
      <c r="Q100" s="144" t="s">
        <v>29</v>
      </c>
      <c r="R100" s="118">
        <f t="shared" ca="1" si="27"/>
        <v>373353</v>
      </c>
      <c r="S100" s="118">
        <f t="shared" ca="1" si="27"/>
        <v>295322</v>
      </c>
      <c r="T100" s="118">
        <f ca="1">특급</f>
        <v>373353</v>
      </c>
      <c r="U100" s="118">
        <f t="shared" ca="1" si="28"/>
        <v>295322</v>
      </c>
      <c r="V100" s="118"/>
      <c r="W100" s="118"/>
      <c r="X100" s="118"/>
      <c r="Y100" s="118"/>
      <c r="Z100" s="115"/>
    </row>
    <row r="101" spans="11:26" ht="18" customHeight="1">
      <c r="K101" s="171" t="s">
        <v>14</v>
      </c>
      <c r="L101" s="171"/>
      <c r="N101" s="145" t="s">
        <v>39</v>
      </c>
      <c r="O101" s="173">
        <v>5</v>
      </c>
      <c r="P101" s="234">
        <f ca="1">OFFSET($A$1,MATCH(Z98,$A:$A,0)-1,O101)</f>
        <v>1.5820000000000001</v>
      </c>
      <c r="Q101" s="144" t="s">
        <v>29</v>
      </c>
      <c r="R101" s="118">
        <f t="shared" ca="1" si="27"/>
        <v>310884</v>
      </c>
      <c r="S101" s="118">
        <f t="shared" ca="1" si="27"/>
        <v>491818</v>
      </c>
      <c r="T101" s="118">
        <f ca="1">고급</f>
        <v>310884</v>
      </c>
      <c r="U101" s="118">
        <f t="shared" ca="1" si="28"/>
        <v>491818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145" t="s">
        <v>40</v>
      </c>
      <c r="O102" s="173">
        <v>6</v>
      </c>
      <c r="P102" s="234">
        <f ca="1">OFFSET($A$1,MATCH(Z98,$A:$A,0)-1,O102)</f>
        <v>2.7690000000000001</v>
      </c>
      <c r="Q102" s="144" t="s">
        <v>29</v>
      </c>
      <c r="R102" s="118">
        <f t="shared" ca="1" si="27"/>
        <v>295138</v>
      </c>
      <c r="S102" s="118">
        <f t="shared" ca="1" si="27"/>
        <v>817237</v>
      </c>
      <c r="T102" s="118">
        <f ca="1">중급</f>
        <v>295138</v>
      </c>
      <c r="U102" s="118">
        <f t="shared" ca="1" si="28"/>
        <v>817237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145" t="s">
        <v>41</v>
      </c>
      <c r="O103" s="173">
        <v>7</v>
      </c>
      <c r="P103" s="234">
        <f ca="1">OFFSET($A$1,MATCH(Z98,$A:$A,0)-1,O103)</f>
        <v>3.5609999999999999</v>
      </c>
      <c r="Q103" s="144" t="s">
        <v>29</v>
      </c>
      <c r="R103" s="118">
        <f t="shared" ca="1" si="27"/>
        <v>235459</v>
      </c>
      <c r="S103" s="118">
        <f t="shared" ca="1" si="27"/>
        <v>838469</v>
      </c>
      <c r="T103" s="118">
        <f ca="1">초급</f>
        <v>235459</v>
      </c>
      <c r="U103" s="118">
        <f t="shared" ca="1" si="28"/>
        <v>838469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N104" s="319" t="s">
        <v>42</v>
      </c>
      <c r="O104" s="174">
        <v>8</v>
      </c>
      <c r="P104" s="235">
        <f ca="1">OFFSET($A$1,MATCH(Z98,$A:$A,0)-1,O104)</f>
        <v>4.7480000000000002</v>
      </c>
      <c r="Q104" s="322" t="s">
        <v>29</v>
      </c>
      <c r="R104" s="323">
        <f t="shared" ca="1" si="27"/>
        <v>250087</v>
      </c>
      <c r="S104" s="323">
        <f t="shared" ca="1" si="27"/>
        <v>1187413</v>
      </c>
      <c r="T104" s="323">
        <f ca="1">보조원</f>
        <v>250087</v>
      </c>
      <c r="U104" s="323">
        <f t="shared" ca="1" si="28"/>
        <v>1187413</v>
      </c>
      <c r="V104" s="323"/>
      <c r="W104" s="323"/>
      <c r="X104" s="323"/>
      <c r="Y104" s="323"/>
      <c r="Z104" s="324"/>
    </row>
    <row r="105" spans="11:26" ht="18" customHeight="1">
      <c r="K105" s="171" t="s">
        <v>14</v>
      </c>
      <c r="L105" s="171"/>
      <c r="N105" s="139" t="s">
        <v>17</v>
      </c>
      <c r="O105" s="68"/>
      <c r="P105" s="69"/>
      <c r="Q105" s="70"/>
      <c r="R105" s="71"/>
      <c r="S105" s="71">
        <f ca="1">SUBTOTAL(9,S99:S104)</f>
        <v>3814809</v>
      </c>
      <c r="T105" s="71"/>
      <c r="U105" s="71">
        <f ca="1">SUBTOTAL(9,U99:U104)</f>
        <v>3814809</v>
      </c>
      <c r="V105" s="71"/>
      <c r="W105" s="71"/>
      <c r="X105" s="71"/>
      <c r="Y105" s="71"/>
      <c r="Z105" s="68"/>
    </row>
    <row r="106" spans="11:26" ht="18" customHeight="1">
      <c r="K106" s="171" t="s">
        <v>14</v>
      </c>
      <c r="L106" s="171"/>
      <c r="N106" s="318" t="str">
        <f ca="1">"제 " &amp; Z106 &amp; " 호표  "&amp; OFFSET($A$1,MATCH(Z106,$A:$A,0)-1,1)</f>
        <v>제 7 호표  3.2. 가시권분석</v>
      </c>
      <c r="O106" s="221"/>
      <c r="P106" s="148"/>
      <c r="Q106" s="148"/>
      <c r="R106" s="149"/>
      <c r="S106" s="149"/>
      <c r="T106" s="149"/>
      <c r="U106" s="149"/>
      <c r="V106" s="149"/>
      <c r="W106" s="149"/>
      <c r="X106" s="149"/>
      <c r="Y106" s="149"/>
      <c r="Z106" s="325">
        <f>Z98+1</f>
        <v>7</v>
      </c>
    </row>
    <row r="107" spans="11:26" ht="18" customHeight="1">
      <c r="K107" s="171" t="s">
        <v>14</v>
      </c>
      <c r="L107" s="171"/>
      <c r="N107" s="140" t="s">
        <v>43</v>
      </c>
      <c r="O107" s="172">
        <v>3</v>
      </c>
      <c r="P107" s="219">
        <f ca="1">OFFSET($A$1,MATCH(Z106,$A:$A,0)-1,O107)</f>
        <v>0.39500000000000002</v>
      </c>
      <c r="Q107" s="141" t="s">
        <v>29</v>
      </c>
      <c r="R107" s="142">
        <f t="shared" ref="R107:S112" ca="1" si="29">T107</f>
        <v>467217</v>
      </c>
      <c r="S107" s="142">
        <f t="shared" ca="1" si="29"/>
        <v>184550</v>
      </c>
      <c r="T107" s="142">
        <f ca="1">기술사</f>
        <v>467217</v>
      </c>
      <c r="U107" s="142">
        <f t="shared" ref="U107:U112" ca="1" si="30">ROUNDDOWN(P107*R107,0)</f>
        <v>184550</v>
      </c>
      <c r="V107" s="142"/>
      <c r="W107" s="142"/>
      <c r="X107" s="142"/>
      <c r="Y107" s="142"/>
      <c r="Z107" s="114"/>
    </row>
    <row r="108" spans="11:26" ht="18" customHeight="1">
      <c r="K108" s="171" t="s">
        <v>14</v>
      </c>
      <c r="L108" s="171"/>
      <c r="N108" s="143" t="s">
        <v>32</v>
      </c>
      <c r="O108" s="173">
        <v>4</v>
      </c>
      <c r="P108" s="234">
        <f ca="1">OFFSET($A$1,MATCH(Z106,$A:$A,0)-1,O108)</f>
        <v>0.79100000000000004</v>
      </c>
      <c r="Q108" s="144" t="s">
        <v>29</v>
      </c>
      <c r="R108" s="118">
        <f t="shared" ca="1" si="29"/>
        <v>373353</v>
      </c>
      <c r="S108" s="118">
        <f t="shared" ca="1" si="29"/>
        <v>295322</v>
      </c>
      <c r="T108" s="118">
        <f ca="1">특급</f>
        <v>373353</v>
      </c>
      <c r="U108" s="118">
        <f t="shared" ca="1" si="30"/>
        <v>295322</v>
      </c>
      <c r="V108" s="118"/>
      <c r="W108" s="118"/>
      <c r="X108" s="118"/>
      <c r="Y108" s="118"/>
      <c r="Z108" s="115"/>
    </row>
    <row r="109" spans="11:26" ht="18" customHeight="1">
      <c r="K109" s="171" t="s">
        <v>14</v>
      </c>
      <c r="L109" s="171"/>
      <c r="N109" s="145" t="s">
        <v>39</v>
      </c>
      <c r="O109" s="173">
        <v>5</v>
      </c>
      <c r="P109" s="234">
        <f ca="1">OFFSET($A$1,MATCH(Z106,$A:$A,0)-1,O109)</f>
        <v>1.5820000000000001</v>
      </c>
      <c r="Q109" s="144" t="s">
        <v>29</v>
      </c>
      <c r="R109" s="118">
        <f t="shared" ca="1" si="29"/>
        <v>310884</v>
      </c>
      <c r="S109" s="118">
        <f t="shared" ca="1" si="29"/>
        <v>491818</v>
      </c>
      <c r="T109" s="118">
        <f ca="1">고급</f>
        <v>310884</v>
      </c>
      <c r="U109" s="118">
        <f t="shared" ca="1" si="30"/>
        <v>491818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145" t="s">
        <v>40</v>
      </c>
      <c r="O110" s="173">
        <v>6</v>
      </c>
      <c r="P110" s="234">
        <f ca="1">OFFSET($A$1,MATCH(Z106,$A:$A,0)-1,O110)</f>
        <v>3.165</v>
      </c>
      <c r="Q110" s="144" t="s">
        <v>29</v>
      </c>
      <c r="R110" s="118">
        <f t="shared" ca="1" si="29"/>
        <v>295138</v>
      </c>
      <c r="S110" s="118">
        <f t="shared" ca="1" si="29"/>
        <v>934111</v>
      </c>
      <c r="T110" s="118">
        <f ca="1">중급</f>
        <v>295138</v>
      </c>
      <c r="U110" s="118">
        <f t="shared" ca="1" si="30"/>
        <v>934111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145" t="s">
        <v>41</v>
      </c>
      <c r="O111" s="173">
        <v>7</v>
      </c>
      <c r="P111" s="234">
        <f ca="1">OFFSET($A$1,MATCH(Z106,$A:$A,0)-1,O111)</f>
        <v>3.9569999999999999</v>
      </c>
      <c r="Q111" s="144" t="s">
        <v>29</v>
      </c>
      <c r="R111" s="118">
        <f t="shared" ca="1" si="29"/>
        <v>235459</v>
      </c>
      <c r="S111" s="118">
        <f t="shared" ca="1" si="29"/>
        <v>931711</v>
      </c>
      <c r="T111" s="118">
        <f ca="1">초급</f>
        <v>235459</v>
      </c>
      <c r="U111" s="118">
        <f t="shared" ca="1" si="30"/>
        <v>931711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N112" s="319" t="s">
        <v>42</v>
      </c>
      <c r="O112" s="174">
        <v>8</v>
      </c>
      <c r="P112" s="235">
        <f ca="1">OFFSET($A$1,MATCH(Z106,$A:$A,0)-1,O112)</f>
        <v>5.9349999999999996</v>
      </c>
      <c r="Q112" s="322" t="s">
        <v>29</v>
      </c>
      <c r="R112" s="323">
        <f t="shared" ca="1" si="29"/>
        <v>250087</v>
      </c>
      <c r="S112" s="323">
        <f t="shared" ca="1" si="29"/>
        <v>1484266</v>
      </c>
      <c r="T112" s="323">
        <f ca="1">보조원</f>
        <v>250087</v>
      </c>
      <c r="U112" s="323">
        <f t="shared" ca="1" si="30"/>
        <v>1484266</v>
      </c>
      <c r="V112" s="323"/>
      <c r="W112" s="323"/>
      <c r="X112" s="323"/>
      <c r="Y112" s="323"/>
      <c r="Z112" s="324"/>
    </row>
    <row r="113" spans="11:26" ht="18" customHeight="1">
      <c r="K113" s="171" t="s">
        <v>14</v>
      </c>
      <c r="L113" s="171"/>
      <c r="N113" s="139" t="s">
        <v>17</v>
      </c>
      <c r="O113" s="68"/>
      <c r="P113" s="69"/>
      <c r="Q113" s="70"/>
      <c r="R113" s="71"/>
      <c r="S113" s="71">
        <f ca="1">SUBTOTAL(9,S107:S112)</f>
        <v>4321778</v>
      </c>
      <c r="T113" s="71"/>
      <c r="U113" s="71">
        <f ca="1">SUBTOTAL(9,U107:U112)</f>
        <v>4321778</v>
      </c>
      <c r="V113" s="71"/>
      <c r="W113" s="71"/>
      <c r="X113" s="71"/>
      <c r="Y113" s="71"/>
      <c r="Z113" s="68"/>
    </row>
    <row r="114" spans="11:26" ht="18" customHeight="1">
      <c r="K114" s="171" t="s">
        <v>14</v>
      </c>
      <c r="L114" s="171"/>
      <c r="N114" s="318" t="str">
        <f ca="1">"제 " &amp; Z114 &amp; " 호표  "&amp; OFFSET($A$1,MATCH(Z114,$A:$A,0)-1,1)</f>
        <v>제 8 호표  3.3. 최종조망점 선정</v>
      </c>
      <c r="O114" s="221"/>
      <c r="P114" s="148"/>
      <c r="Q114" s="148"/>
      <c r="R114" s="149"/>
      <c r="S114" s="149"/>
      <c r="T114" s="149"/>
      <c r="U114" s="149"/>
      <c r="V114" s="149"/>
      <c r="W114" s="149"/>
      <c r="X114" s="149"/>
      <c r="Y114" s="149"/>
      <c r="Z114" s="325">
        <f>Z106+1</f>
        <v>8</v>
      </c>
    </row>
    <row r="115" spans="11:26" ht="18" customHeight="1">
      <c r="K115" s="171" t="s">
        <v>14</v>
      </c>
      <c r="L115" s="171"/>
      <c r="N115" s="140" t="s">
        <v>43</v>
      </c>
      <c r="O115" s="172">
        <v>3</v>
      </c>
      <c r="P115" s="219">
        <f ca="1">OFFSET($A$1,MATCH(Z114,$A:$A,0)-1,O115)</f>
        <v>0.79100000000000004</v>
      </c>
      <c r="Q115" s="141" t="s">
        <v>29</v>
      </c>
      <c r="R115" s="142">
        <f t="shared" ref="R115:S120" ca="1" si="31">T115</f>
        <v>467217</v>
      </c>
      <c r="S115" s="142">
        <f t="shared" ca="1" si="31"/>
        <v>369568</v>
      </c>
      <c r="T115" s="142">
        <f ca="1">기술사</f>
        <v>467217</v>
      </c>
      <c r="U115" s="142">
        <f t="shared" ref="U115:U120" ca="1" si="32">ROUNDDOWN(P115*R115,0)</f>
        <v>369568</v>
      </c>
      <c r="V115" s="142"/>
      <c r="W115" s="142"/>
      <c r="X115" s="142"/>
      <c r="Y115" s="142"/>
      <c r="Z115" s="114"/>
    </row>
    <row r="116" spans="11:26" ht="18" customHeight="1">
      <c r="K116" s="171" t="s">
        <v>14</v>
      </c>
      <c r="L116" s="171"/>
      <c r="N116" s="143" t="s">
        <v>32</v>
      </c>
      <c r="O116" s="173">
        <v>4</v>
      </c>
      <c r="P116" s="234">
        <f ca="1">OFFSET($A$1,MATCH(Z114,$A:$A,0)-1,O116)</f>
        <v>0.79100000000000004</v>
      </c>
      <c r="Q116" s="144" t="s">
        <v>29</v>
      </c>
      <c r="R116" s="118">
        <f t="shared" ca="1" si="31"/>
        <v>373353</v>
      </c>
      <c r="S116" s="118">
        <f t="shared" ca="1" si="31"/>
        <v>295322</v>
      </c>
      <c r="T116" s="118">
        <f ca="1">특급</f>
        <v>373353</v>
      </c>
      <c r="U116" s="118">
        <f t="shared" ca="1" si="32"/>
        <v>295322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39</v>
      </c>
      <c r="O117" s="173">
        <v>5</v>
      </c>
      <c r="P117" s="234">
        <f ca="1">OFFSET($A$1,MATCH(Z114,$A:$A,0)-1,O117)</f>
        <v>1.5820000000000001</v>
      </c>
      <c r="Q117" s="144" t="s">
        <v>29</v>
      </c>
      <c r="R117" s="118">
        <f t="shared" ca="1" si="31"/>
        <v>310884</v>
      </c>
      <c r="S117" s="118">
        <f t="shared" ca="1" si="31"/>
        <v>491818</v>
      </c>
      <c r="T117" s="118">
        <f ca="1">고급</f>
        <v>310884</v>
      </c>
      <c r="U117" s="118">
        <f t="shared" ca="1" si="32"/>
        <v>491818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40</v>
      </c>
      <c r="O118" s="173">
        <v>6</v>
      </c>
      <c r="P118" s="234">
        <f ca="1">OFFSET($A$1,MATCH(Z114,$A:$A,0)-1,O118)</f>
        <v>1.978</v>
      </c>
      <c r="Q118" s="144" t="s">
        <v>29</v>
      </c>
      <c r="R118" s="118">
        <f t="shared" ca="1" si="31"/>
        <v>295138</v>
      </c>
      <c r="S118" s="118">
        <f t="shared" ca="1" si="31"/>
        <v>583782</v>
      </c>
      <c r="T118" s="118">
        <f ca="1">중급</f>
        <v>295138</v>
      </c>
      <c r="U118" s="118">
        <f t="shared" ca="1" si="32"/>
        <v>583782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41</v>
      </c>
      <c r="O119" s="173">
        <v>7</v>
      </c>
      <c r="P119" s="234">
        <f ca="1">OFFSET($A$1,MATCH(Z114,$A:$A,0)-1,O119)</f>
        <v>3.5609999999999999</v>
      </c>
      <c r="Q119" s="144" t="s">
        <v>29</v>
      </c>
      <c r="R119" s="118">
        <f t="shared" ca="1" si="31"/>
        <v>235459</v>
      </c>
      <c r="S119" s="118">
        <f t="shared" ca="1" si="31"/>
        <v>838469</v>
      </c>
      <c r="T119" s="118">
        <f ca="1">초급</f>
        <v>235459</v>
      </c>
      <c r="U119" s="118">
        <f t="shared" ca="1" si="32"/>
        <v>838469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319" t="s">
        <v>42</v>
      </c>
      <c r="O120" s="174">
        <v>8</v>
      </c>
      <c r="P120" s="235">
        <f ca="1">OFFSET($A$1,MATCH(Z114,$A:$A,0)-1,O120)</f>
        <v>5.1440000000000001</v>
      </c>
      <c r="Q120" s="322" t="s">
        <v>29</v>
      </c>
      <c r="R120" s="323">
        <f t="shared" ca="1" si="31"/>
        <v>250087</v>
      </c>
      <c r="S120" s="323">
        <f t="shared" ca="1" si="31"/>
        <v>1286447</v>
      </c>
      <c r="T120" s="323">
        <f ca="1">보조원</f>
        <v>250087</v>
      </c>
      <c r="U120" s="323">
        <f t="shared" ca="1" si="32"/>
        <v>1286447</v>
      </c>
      <c r="V120" s="323"/>
      <c r="W120" s="323"/>
      <c r="X120" s="323"/>
      <c r="Y120" s="323"/>
      <c r="Z120" s="324"/>
    </row>
    <row r="121" spans="11:26" ht="18" customHeight="1">
      <c r="K121" s="171" t="s">
        <v>14</v>
      </c>
      <c r="L121" s="171"/>
      <c r="M121" s="171"/>
      <c r="N121" s="139" t="s">
        <v>17</v>
      </c>
      <c r="O121" s="68"/>
      <c r="P121" s="69"/>
      <c r="Q121" s="70"/>
      <c r="R121" s="71"/>
      <c r="S121" s="71">
        <f ca="1">SUBTOTAL(9,S115:S120)</f>
        <v>3865406</v>
      </c>
      <c r="T121" s="71"/>
      <c r="U121" s="71">
        <f ca="1">SUBTOTAL(9,U115:U120)</f>
        <v>3865406</v>
      </c>
      <c r="V121" s="71"/>
      <c r="W121" s="71"/>
      <c r="X121" s="71"/>
      <c r="Y121" s="71"/>
      <c r="Z121" s="68"/>
    </row>
    <row r="122" spans="11:26" ht="18" customHeight="1">
      <c r="K122" s="171" t="s">
        <v>14</v>
      </c>
      <c r="L122" s="171"/>
      <c r="M122" s="171"/>
      <c r="N122" s="318" t="str">
        <f ca="1">"제 " &amp; Z122 &amp; " 호표  "&amp; OFFSET($A$1,MATCH(Z122,$A:$A,0)-1,1)</f>
        <v>제 9 호표  4.1. 조망점별 시뮬레이션 분석</v>
      </c>
      <c r="O122" s="221"/>
      <c r="P122" s="148"/>
      <c r="Q122" s="148"/>
      <c r="R122" s="149"/>
      <c r="S122" s="149"/>
      <c r="T122" s="149"/>
      <c r="U122" s="149"/>
      <c r="V122" s="149"/>
      <c r="W122" s="149"/>
      <c r="X122" s="149"/>
      <c r="Y122" s="149"/>
      <c r="Z122" s="325">
        <f>Z114+1</f>
        <v>9</v>
      </c>
    </row>
    <row r="123" spans="11:26" ht="18" customHeight="1">
      <c r="K123" s="171" t="s">
        <v>14</v>
      </c>
      <c r="L123" s="171"/>
      <c r="M123" s="171"/>
      <c r="N123" s="140" t="s">
        <v>43</v>
      </c>
      <c r="O123" s="172">
        <v>3</v>
      </c>
      <c r="P123" s="219">
        <f ca="1">OFFSET($A$1,MATCH(Z122,$A:$A,0)-1,O123)</f>
        <v>3.165</v>
      </c>
      <c r="Q123" s="141" t="s">
        <v>29</v>
      </c>
      <c r="R123" s="142">
        <f t="shared" ref="R123:S128" ca="1" si="33">T123</f>
        <v>467217</v>
      </c>
      <c r="S123" s="142">
        <f t="shared" ca="1" si="33"/>
        <v>1478741</v>
      </c>
      <c r="T123" s="142">
        <f ca="1">기술사</f>
        <v>467217</v>
      </c>
      <c r="U123" s="142">
        <f t="shared" ref="U123:U128" ca="1" si="34">ROUNDDOWN(P123*R123,0)</f>
        <v>1478741</v>
      </c>
      <c r="V123" s="142"/>
      <c r="W123" s="142"/>
      <c r="X123" s="142"/>
      <c r="Y123" s="142"/>
      <c r="Z123" s="114"/>
    </row>
    <row r="124" spans="11:26" ht="18" customHeight="1">
      <c r="K124" s="171" t="s">
        <v>14</v>
      </c>
      <c r="L124" s="171"/>
      <c r="M124" s="171"/>
      <c r="N124" s="143" t="s">
        <v>32</v>
      </c>
      <c r="O124" s="173">
        <v>4</v>
      </c>
      <c r="P124" s="234">
        <f ca="1">OFFSET($A$1,MATCH(Z122,$A:$A,0)-1,O124)</f>
        <v>5.5389999999999997</v>
      </c>
      <c r="Q124" s="144" t="s">
        <v>29</v>
      </c>
      <c r="R124" s="118">
        <f t="shared" ca="1" si="33"/>
        <v>373353</v>
      </c>
      <c r="S124" s="118">
        <f t="shared" ca="1" si="33"/>
        <v>2068002</v>
      </c>
      <c r="T124" s="118">
        <f ca="1">특급</f>
        <v>373353</v>
      </c>
      <c r="U124" s="118">
        <f t="shared" ca="1" si="34"/>
        <v>2068002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39</v>
      </c>
      <c r="O125" s="173">
        <v>5</v>
      </c>
      <c r="P125" s="234">
        <f ca="1">OFFSET($A$1,MATCH(Z122,$A:$A,0)-1,O125)</f>
        <v>8.7050000000000001</v>
      </c>
      <c r="Q125" s="144" t="s">
        <v>29</v>
      </c>
      <c r="R125" s="118">
        <f t="shared" ca="1" si="33"/>
        <v>310884</v>
      </c>
      <c r="S125" s="118">
        <f t="shared" ca="1" si="33"/>
        <v>2706245</v>
      </c>
      <c r="T125" s="118">
        <f ca="1">고급</f>
        <v>310884</v>
      </c>
      <c r="U125" s="118">
        <f t="shared" ca="1" si="34"/>
        <v>2706245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145" t="s">
        <v>40</v>
      </c>
      <c r="O126" s="173">
        <v>6</v>
      </c>
      <c r="P126" s="234">
        <f ca="1">OFFSET($A$1,MATCH(Z122,$A:$A,0)-1,O126)</f>
        <v>14.244999999999999</v>
      </c>
      <c r="Q126" s="144" t="s">
        <v>29</v>
      </c>
      <c r="R126" s="118">
        <f t="shared" ca="1" si="33"/>
        <v>295138</v>
      </c>
      <c r="S126" s="118">
        <f t="shared" ca="1" si="33"/>
        <v>4204240</v>
      </c>
      <c r="T126" s="118">
        <f ca="1">중급</f>
        <v>295138</v>
      </c>
      <c r="U126" s="118">
        <f t="shared" ca="1" si="34"/>
        <v>4204240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41</v>
      </c>
      <c r="O127" s="173">
        <v>7</v>
      </c>
      <c r="P127" s="234">
        <f ca="1">OFFSET($A$1,MATCH(Z122,$A:$A,0)-1,O127)</f>
        <v>17.806000000000001</v>
      </c>
      <c r="Q127" s="144" t="s">
        <v>29</v>
      </c>
      <c r="R127" s="118">
        <f t="shared" ca="1" si="33"/>
        <v>235459</v>
      </c>
      <c r="S127" s="118">
        <f t="shared" ca="1" si="33"/>
        <v>4192582</v>
      </c>
      <c r="T127" s="118">
        <f ca="1">초급</f>
        <v>235459</v>
      </c>
      <c r="U127" s="118">
        <f t="shared" ca="1" si="34"/>
        <v>4192582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319" t="s">
        <v>42</v>
      </c>
      <c r="O128" s="174">
        <v>8</v>
      </c>
      <c r="P128" s="235">
        <f ca="1">OFFSET($A$1,MATCH(Z122,$A:$A,0)-1,O128)</f>
        <v>19.388999999999999</v>
      </c>
      <c r="Q128" s="322" t="s">
        <v>29</v>
      </c>
      <c r="R128" s="323">
        <f t="shared" ca="1" si="33"/>
        <v>250087</v>
      </c>
      <c r="S128" s="323">
        <f t="shared" ca="1" si="33"/>
        <v>4848936</v>
      </c>
      <c r="T128" s="323">
        <f ca="1">보조원</f>
        <v>250087</v>
      </c>
      <c r="U128" s="323">
        <f t="shared" ca="1" si="34"/>
        <v>4848936</v>
      </c>
      <c r="V128" s="323"/>
      <c r="W128" s="323"/>
      <c r="X128" s="323"/>
      <c r="Y128" s="323"/>
      <c r="Z128" s="324"/>
    </row>
    <row r="129" spans="11:26" ht="18" customHeight="1">
      <c r="K129" s="171" t="s">
        <v>14</v>
      </c>
      <c r="L129" s="171"/>
      <c r="M129" s="171"/>
      <c r="N129" s="139" t="s">
        <v>17</v>
      </c>
      <c r="O129" s="68"/>
      <c r="P129" s="69"/>
      <c r="Q129" s="70"/>
      <c r="R129" s="71"/>
      <c r="S129" s="71">
        <f ca="1">SUBTOTAL(9,S123:S128)</f>
        <v>19498746</v>
      </c>
      <c r="T129" s="71"/>
      <c r="U129" s="71">
        <f ca="1">SUBTOTAL(9,U123:U128)</f>
        <v>19498746</v>
      </c>
      <c r="V129" s="71"/>
      <c r="W129" s="71"/>
      <c r="X129" s="71"/>
      <c r="Y129" s="71"/>
      <c r="Z129" s="68"/>
    </row>
    <row r="130" spans="11:26" ht="18" customHeight="1">
      <c r="K130" s="171" t="s">
        <v>14</v>
      </c>
      <c r="L130" s="171"/>
      <c r="M130" s="171"/>
      <c r="N130" s="318" t="str">
        <f ca="1">"제 " &amp; Z130 &amp; " 호표  "&amp; OFFSET($A$1,MATCH(Z130,$A:$A,0)-1,1)</f>
        <v>제 10 호표  4.2. 시뮬레이션 종합분석</v>
      </c>
      <c r="O130" s="221"/>
      <c r="P130" s="148"/>
      <c r="Q130" s="148"/>
      <c r="R130" s="149"/>
      <c r="S130" s="149"/>
      <c r="T130" s="149"/>
      <c r="U130" s="149"/>
      <c r="V130" s="149"/>
      <c r="W130" s="149"/>
      <c r="X130" s="149"/>
      <c r="Y130" s="149"/>
      <c r="Z130" s="325">
        <f>Z122+1</f>
        <v>10</v>
      </c>
    </row>
    <row r="131" spans="11:26" ht="18" customHeight="1">
      <c r="K131" s="171" t="s">
        <v>14</v>
      </c>
      <c r="L131" s="171"/>
      <c r="M131" s="171"/>
      <c r="N131" s="140" t="s">
        <v>43</v>
      </c>
      <c r="O131" s="172">
        <v>3</v>
      </c>
      <c r="P131" s="219">
        <f ca="1">OFFSET($A$1,MATCH(Z130,$A:$A,0)-1,O131)</f>
        <v>4.7480000000000002</v>
      </c>
      <c r="Q131" s="141" t="s">
        <v>29</v>
      </c>
      <c r="R131" s="142">
        <f t="shared" ref="R131:R136" ca="1" si="35">T131</f>
        <v>467217</v>
      </c>
      <c r="S131" s="142">
        <f t="shared" ref="S131:S136" ca="1" si="36">U131</f>
        <v>2218346</v>
      </c>
      <c r="T131" s="142">
        <f ca="1">기술사</f>
        <v>467217</v>
      </c>
      <c r="U131" s="142">
        <f t="shared" ref="U131:U136" ca="1" si="37">ROUNDDOWN(P131*R131,0)</f>
        <v>2218346</v>
      </c>
      <c r="V131" s="142"/>
      <c r="W131" s="142"/>
      <c r="X131" s="142"/>
      <c r="Y131" s="142"/>
      <c r="Z131" s="114"/>
    </row>
    <row r="132" spans="11:26" ht="18" customHeight="1">
      <c r="K132" s="171" t="s">
        <v>14</v>
      </c>
      <c r="L132" s="171"/>
      <c r="M132" s="171"/>
      <c r="N132" s="143" t="s">
        <v>32</v>
      </c>
      <c r="O132" s="173">
        <v>4</v>
      </c>
      <c r="P132" s="234">
        <f ca="1">OFFSET($A$1,MATCH(Z130,$A:$A,0)-1,O132)</f>
        <v>7.1219999999999999</v>
      </c>
      <c r="Q132" s="144" t="s">
        <v>29</v>
      </c>
      <c r="R132" s="118">
        <f t="shared" ca="1" si="35"/>
        <v>373353</v>
      </c>
      <c r="S132" s="118">
        <f t="shared" ca="1" si="36"/>
        <v>2659020</v>
      </c>
      <c r="T132" s="118">
        <f ca="1">특급</f>
        <v>373353</v>
      </c>
      <c r="U132" s="118">
        <f t="shared" ca="1" si="37"/>
        <v>2659020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39</v>
      </c>
      <c r="O133" s="173">
        <v>5</v>
      </c>
      <c r="P133" s="234">
        <f ca="1">OFFSET($A$1,MATCH(Z130,$A:$A,0)-1,O133)</f>
        <v>7.1219999999999999</v>
      </c>
      <c r="Q133" s="144" t="s">
        <v>29</v>
      </c>
      <c r="R133" s="118">
        <f t="shared" ca="1" si="35"/>
        <v>310884</v>
      </c>
      <c r="S133" s="118">
        <f t="shared" ca="1" si="36"/>
        <v>2214115</v>
      </c>
      <c r="T133" s="118">
        <f ca="1">고급</f>
        <v>310884</v>
      </c>
      <c r="U133" s="118">
        <f t="shared" ca="1" si="37"/>
        <v>2214115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40</v>
      </c>
      <c r="O134" s="173">
        <v>6</v>
      </c>
      <c r="P134" s="234">
        <f ca="1">OFFSET($A$1,MATCH(Z130,$A:$A,0)-1,O134)</f>
        <v>6.3310000000000004</v>
      </c>
      <c r="Q134" s="144" t="s">
        <v>29</v>
      </c>
      <c r="R134" s="118">
        <f t="shared" ca="1" si="35"/>
        <v>295138</v>
      </c>
      <c r="S134" s="118">
        <f t="shared" ca="1" si="36"/>
        <v>1868518</v>
      </c>
      <c r="T134" s="118">
        <f ca="1">중급</f>
        <v>295138</v>
      </c>
      <c r="U134" s="118">
        <f t="shared" ca="1" si="37"/>
        <v>1868518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41</v>
      </c>
      <c r="O135" s="173">
        <v>7</v>
      </c>
      <c r="P135" s="234">
        <f ca="1">OFFSET($A$1,MATCH(Z130,$A:$A,0)-1,O135)</f>
        <v>5.9349999999999996</v>
      </c>
      <c r="Q135" s="144" t="s">
        <v>29</v>
      </c>
      <c r="R135" s="118">
        <f t="shared" ca="1" si="35"/>
        <v>235459</v>
      </c>
      <c r="S135" s="118">
        <f t="shared" ca="1" si="36"/>
        <v>1397449</v>
      </c>
      <c r="T135" s="118">
        <f ca="1">초급</f>
        <v>235459</v>
      </c>
      <c r="U135" s="118">
        <f t="shared" ca="1" si="37"/>
        <v>1397449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319" t="s">
        <v>42</v>
      </c>
      <c r="O136" s="174">
        <v>8</v>
      </c>
      <c r="P136" s="235">
        <f ca="1">OFFSET($A$1,MATCH(Z130,$A:$A,0)-1,O136)</f>
        <v>4.3520000000000003</v>
      </c>
      <c r="Q136" s="322" t="s">
        <v>29</v>
      </c>
      <c r="R136" s="323">
        <f t="shared" ca="1" si="35"/>
        <v>250087</v>
      </c>
      <c r="S136" s="323">
        <f t="shared" ca="1" si="36"/>
        <v>1088378</v>
      </c>
      <c r="T136" s="323">
        <f ca="1">보조원</f>
        <v>250087</v>
      </c>
      <c r="U136" s="323">
        <f t="shared" ca="1" si="37"/>
        <v>1088378</v>
      </c>
      <c r="V136" s="323"/>
      <c r="W136" s="323"/>
      <c r="X136" s="323"/>
      <c r="Y136" s="323"/>
      <c r="Z136" s="324"/>
    </row>
    <row r="137" spans="11:26" ht="18" customHeight="1">
      <c r="K137" s="171" t="s">
        <v>14</v>
      </c>
      <c r="L137" s="171"/>
      <c r="M137" s="171"/>
      <c r="N137" s="139" t="s">
        <v>17</v>
      </c>
      <c r="O137" s="68"/>
      <c r="P137" s="69"/>
      <c r="Q137" s="70"/>
      <c r="R137" s="71"/>
      <c r="S137" s="71">
        <f ca="1">SUBTOTAL(9,S131:S136)</f>
        <v>11445826</v>
      </c>
      <c r="T137" s="71"/>
      <c r="U137" s="71">
        <f ca="1">SUBTOTAL(9,U131:U136)</f>
        <v>11445826</v>
      </c>
      <c r="V137" s="71"/>
      <c r="W137" s="71"/>
      <c r="X137" s="71"/>
      <c r="Y137" s="71"/>
      <c r="Z137" s="68"/>
    </row>
    <row r="138" spans="11:26" ht="18" customHeight="1">
      <c r="K138" s="171" t="s">
        <v>14</v>
      </c>
      <c r="L138" s="171"/>
      <c r="M138" s="171"/>
      <c r="N138" s="318" t="str">
        <f ca="1">"제 " &amp; Z138 &amp; " 호표  "&amp; OFFSET($A$1,MATCH(Z138,$A:$A,0)-1,1)</f>
        <v>제 11 호표  5.1. 경관예측</v>
      </c>
      <c r="O138" s="221"/>
      <c r="P138" s="148"/>
      <c r="Q138" s="148"/>
      <c r="R138" s="149"/>
      <c r="S138" s="149"/>
      <c r="T138" s="149"/>
      <c r="U138" s="149"/>
      <c r="V138" s="149"/>
      <c r="W138" s="149"/>
      <c r="X138" s="149"/>
      <c r="Y138" s="149"/>
      <c r="Z138" s="325">
        <f>Z130+1</f>
        <v>11</v>
      </c>
    </row>
    <row r="139" spans="11:26" ht="18" customHeight="1">
      <c r="K139" s="171" t="s">
        <v>14</v>
      </c>
      <c r="L139" s="171"/>
      <c r="M139" s="171"/>
      <c r="N139" s="140" t="s">
        <v>43</v>
      </c>
      <c r="O139" s="172">
        <v>3</v>
      </c>
      <c r="P139" s="219">
        <f ca="1">OFFSET($A$1,MATCH(Z138,$A:$A,0)-1,O139)</f>
        <v>5.5389999999999997</v>
      </c>
      <c r="Q139" s="141" t="s">
        <v>29</v>
      </c>
      <c r="R139" s="142">
        <f t="shared" ref="R139:R144" ca="1" si="38">T139</f>
        <v>467217</v>
      </c>
      <c r="S139" s="142">
        <f t="shared" ref="S139:S144" ca="1" si="39">U139</f>
        <v>2587914</v>
      </c>
      <c r="T139" s="142">
        <f ca="1">기술사</f>
        <v>467217</v>
      </c>
      <c r="U139" s="142">
        <f t="shared" ref="U139:U144" ca="1" si="40">ROUNDDOWN(P139*R139,0)</f>
        <v>2587914</v>
      </c>
      <c r="V139" s="142"/>
      <c r="W139" s="142"/>
      <c r="X139" s="142"/>
      <c r="Y139" s="142"/>
      <c r="Z139" s="114"/>
    </row>
    <row r="140" spans="11:26" ht="18" customHeight="1">
      <c r="K140" s="171" t="s">
        <v>14</v>
      </c>
      <c r="L140" s="171"/>
      <c r="M140" s="171"/>
      <c r="N140" s="143" t="s">
        <v>32</v>
      </c>
      <c r="O140" s="173">
        <v>4</v>
      </c>
      <c r="P140" s="234">
        <f ca="1">OFFSET($A$1,MATCH(Z138,$A:$A,0)-1,O140)</f>
        <v>7.9139999999999997</v>
      </c>
      <c r="Q140" s="144" t="s">
        <v>29</v>
      </c>
      <c r="R140" s="118">
        <f t="shared" ca="1" si="38"/>
        <v>373353</v>
      </c>
      <c r="S140" s="118">
        <f t="shared" ca="1" si="39"/>
        <v>2954715</v>
      </c>
      <c r="T140" s="118">
        <f ca="1">특급</f>
        <v>373353</v>
      </c>
      <c r="U140" s="118">
        <f t="shared" ca="1" si="40"/>
        <v>2954715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39</v>
      </c>
      <c r="O141" s="173">
        <v>5</v>
      </c>
      <c r="P141" s="234">
        <f ca="1">OFFSET($A$1,MATCH(Z138,$A:$A,0)-1,O141)</f>
        <v>5.5389999999999997</v>
      </c>
      <c r="Q141" s="144" t="s">
        <v>29</v>
      </c>
      <c r="R141" s="118">
        <f t="shared" ca="1" si="38"/>
        <v>310884</v>
      </c>
      <c r="S141" s="118">
        <f t="shared" ca="1" si="39"/>
        <v>1721986</v>
      </c>
      <c r="T141" s="118">
        <f ca="1">고급</f>
        <v>310884</v>
      </c>
      <c r="U141" s="118">
        <f t="shared" ca="1" si="40"/>
        <v>1721986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40</v>
      </c>
      <c r="O142" s="173">
        <v>6</v>
      </c>
      <c r="P142" s="234">
        <f ca="1">OFFSET($A$1,MATCH(Z138,$A:$A,0)-1,O142)</f>
        <v>9.4960000000000004</v>
      </c>
      <c r="Q142" s="144" t="s">
        <v>29</v>
      </c>
      <c r="R142" s="118">
        <f t="shared" ca="1" si="38"/>
        <v>295138</v>
      </c>
      <c r="S142" s="118">
        <f t="shared" ca="1" si="39"/>
        <v>2802630</v>
      </c>
      <c r="T142" s="118">
        <f ca="1">중급</f>
        <v>295138</v>
      </c>
      <c r="U142" s="118">
        <f t="shared" ca="1" si="40"/>
        <v>2802630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41</v>
      </c>
      <c r="O143" s="173">
        <v>7</v>
      </c>
      <c r="P143" s="234">
        <f ca="1">OFFSET($A$1,MATCH(Z138,$A:$A,0)-1,O143)</f>
        <v>10.288</v>
      </c>
      <c r="Q143" s="144" t="s">
        <v>29</v>
      </c>
      <c r="R143" s="118">
        <f t="shared" ca="1" si="38"/>
        <v>235459</v>
      </c>
      <c r="S143" s="118">
        <f t="shared" ca="1" si="39"/>
        <v>2422402</v>
      </c>
      <c r="T143" s="118">
        <f ca="1">초급</f>
        <v>235459</v>
      </c>
      <c r="U143" s="118">
        <f t="shared" ca="1" si="40"/>
        <v>2422402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319" t="s">
        <v>42</v>
      </c>
      <c r="O144" s="174">
        <v>8</v>
      </c>
      <c r="P144" s="235">
        <f ca="1">OFFSET($A$1,MATCH(Z138,$A:$A,0)-1,O144)</f>
        <v>7.9139999999999997</v>
      </c>
      <c r="Q144" s="322" t="s">
        <v>29</v>
      </c>
      <c r="R144" s="323">
        <f t="shared" ca="1" si="38"/>
        <v>250087</v>
      </c>
      <c r="S144" s="323">
        <f t="shared" ca="1" si="39"/>
        <v>1979188</v>
      </c>
      <c r="T144" s="323">
        <f ca="1">보조원</f>
        <v>250087</v>
      </c>
      <c r="U144" s="323">
        <f t="shared" ca="1" si="40"/>
        <v>1979188</v>
      </c>
      <c r="V144" s="323"/>
      <c r="W144" s="323"/>
      <c r="X144" s="323"/>
      <c r="Y144" s="323"/>
      <c r="Z144" s="324"/>
    </row>
    <row r="145" spans="11:26" ht="18" customHeight="1">
      <c r="K145" s="171" t="s">
        <v>14</v>
      </c>
      <c r="L145" s="171"/>
      <c r="M145" s="171"/>
      <c r="N145" s="139" t="s">
        <v>17</v>
      </c>
      <c r="O145" s="68"/>
      <c r="P145" s="69"/>
      <c r="Q145" s="70"/>
      <c r="R145" s="71"/>
      <c r="S145" s="71">
        <f ca="1">SUBTOTAL(9,S139:S144)</f>
        <v>14468835</v>
      </c>
      <c r="T145" s="71"/>
      <c r="U145" s="71">
        <f ca="1">SUBTOTAL(9,U139:U144)</f>
        <v>14468835</v>
      </c>
      <c r="V145" s="71"/>
      <c r="W145" s="71"/>
      <c r="X145" s="71"/>
      <c r="Y145" s="71"/>
      <c r="Z145" s="68"/>
    </row>
    <row r="146" spans="11:26" ht="18" customHeight="1">
      <c r="K146" s="171" t="s">
        <v>14</v>
      </c>
      <c r="L146" s="171"/>
      <c r="M146" s="171"/>
      <c r="N146" s="318" t="str">
        <f ca="1">"제 " &amp; Z146 &amp; " 호표  "&amp; OFFSET($A$1,MATCH(Z146,$A:$A,0)-1,1)</f>
        <v>제 12 호표  5.2. 저감방안 수립</v>
      </c>
      <c r="O146" s="221"/>
      <c r="P146" s="148"/>
      <c r="Q146" s="148"/>
      <c r="R146" s="149"/>
      <c r="S146" s="149"/>
      <c r="T146" s="149"/>
      <c r="U146" s="149"/>
      <c r="V146" s="149"/>
      <c r="W146" s="149"/>
      <c r="X146" s="149"/>
      <c r="Y146" s="149"/>
      <c r="Z146" s="325">
        <f>Z138+1</f>
        <v>12</v>
      </c>
    </row>
    <row r="147" spans="11:26" ht="18" customHeight="1">
      <c r="K147" s="171" t="s">
        <v>14</v>
      </c>
      <c r="L147" s="171"/>
      <c r="M147" s="171"/>
      <c r="N147" s="140" t="s">
        <v>43</v>
      </c>
      <c r="O147" s="172">
        <v>3</v>
      </c>
      <c r="P147" s="219">
        <f ca="1">OFFSET($A$1,MATCH(Z146,$A:$A,0)-1,O147)</f>
        <v>5.5389999999999997</v>
      </c>
      <c r="Q147" s="141" t="s">
        <v>29</v>
      </c>
      <c r="R147" s="142">
        <f t="shared" ref="R147:R152" ca="1" si="41">T147</f>
        <v>467217</v>
      </c>
      <c r="S147" s="142">
        <f t="shared" ref="S147:S152" ca="1" si="42">U147</f>
        <v>2587914</v>
      </c>
      <c r="T147" s="142">
        <f ca="1">기술사</f>
        <v>467217</v>
      </c>
      <c r="U147" s="142">
        <f t="shared" ref="U147:U152" ca="1" si="43">ROUNDDOWN(P147*R147,0)</f>
        <v>2587914</v>
      </c>
      <c r="V147" s="142"/>
      <c r="W147" s="142"/>
      <c r="X147" s="142"/>
      <c r="Y147" s="142"/>
      <c r="Z147" s="114"/>
    </row>
    <row r="148" spans="11:26" ht="18" customHeight="1">
      <c r="K148" s="171" t="s">
        <v>14</v>
      </c>
      <c r="L148" s="171"/>
      <c r="M148" s="171"/>
      <c r="N148" s="143" t="s">
        <v>32</v>
      </c>
      <c r="O148" s="173">
        <v>4</v>
      </c>
      <c r="P148" s="234">
        <f ca="1">OFFSET($A$1,MATCH(Z146,$A:$A,0)-1,O148)</f>
        <v>7.9139999999999997</v>
      </c>
      <c r="Q148" s="144" t="s">
        <v>29</v>
      </c>
      <c r="R148" s="118">
        <f t="shared" ca="1" si="41"/>
        <v>373353</v>
      </c>
      <c r="S148" s="118">
        <f t="shared" ca="1" si="42"/>
        <v>2954715</v>
      </c>
      <c r="T148" s="118">
        <f ca="1">특급</f>
        <v>373353</v>
      </c>
      <c r="U148" s="118">
        <f t="shared" ca="1" si="43"/>
        <v>2954715</v>
      </c>
      <c r="V148" s="118"/>
      <c r="W148" s="118"/>
      <c r="X148" s="118"/>
      <c r="Y148" s="118"/>
      <c r="Z148" s="115"/>
    </row>
    <row r="149" spans="11:26" ht="18" customHeight="1">
      <c r="K149" s="171" t="s">
        <v>14</v>
      </c>
      <c r="L149" s="171"/>
      <c r="M149" s="171"/>
      <c r="N149" s="145" t="s">
        <v>39</v>
      </c>
      <c r="O149" s="173">
        <v>5</v>
      </c>
      <c r="P149" s="234">
        <f ca="1">OFFSET($A$1,MATCH(Z146,$A:$A,0)-1,O149)</f>
        <v>5.5389999999999997</v>
      </c>
      <c r="Q149" s="144" t="s">
        <v>29</v>
      </c>
      <c r="R149" s="118">
        <f t="shared" ca="1" si="41"/>
        <v>310884</v>
      </c>
      <c r="S149" s="118">
        <f t="shared" ca="1" si="42"/>
        <v>1721986</v>
      </c>
      <c r="T149" s="118">
        <f ca="1">고급</f>
        <v>310884</v>
      </c>
      <c r="U149" s="118">
        <f t="shared" ca="1" si="43"/>
        <v>1721986</v>
      </c>
      <c r="V149" s="118"/>
      <c r="W149" s="118"/>
      <c r="X149" s="118"/>
      <c r="Y149" s="118"/>
      <c r="Z149" s="115"/>
    </row>
    <row r="150" spans="11:26" ht="18" customHeight="1">
      <c r="K150" s="171" t="s">
        <v>14</v>
      </c>
      <c r="L150" s="171"/>
      <c r="M150" s="171"/>
      <c r="N150" s="145" t="s">
        <v>40</v>
      </c>
      <c r="O150" s="173">
        <v>6</v>
      </c>
      <c r="P150" s="234">
        <f ca="1">OFFSET($A$1,MATCH(Z146,$A:$A,0)-1,O150)</f>
        <v>9.4960000000000004</v>
      </c>
      <c r="Q150" s="144" t="s">
        <v>29</v>
      </c>
      <c r="R150" s="118">
        <f t="shared" ca="1" si="41"/>
        <v>295138</v>
      </c>
      <c r="S150" s="118">
        <f t="shared" ca="1" si="42"/>
        <v>2802630</v>
      </c>
      <c r="T150" s="118">
        <f ca="1">중급</f>
        <v>295138</v>
      </c>
      <c r="U150" s="118">
        <f t="shared" ca="1" si="43"/>
        <v>2802630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41</v>
      </c>
      <c r="O151" s="173">
        <v>7</v>
      </c>
      <c r="P151" s="234">
        <f ca="1">OFFSET($A$1,MATCH(Z146,$A:$A,0)-1,O151)</f>
        <v>10.288</v>
      </c>
      <c r="Q151" s="144" t="s">
        <v>29</v>
      </c>
      <c r="R151" s="118">
        <f t="shared" ca="1" si="41"/>
        <v>235459</v>
      </c>
      <c r="S151" s="118">
        <f t="shared" ca="1" si="42"/>
        <v>2422402</v>
      </c>
      <c r="T151" s="118">
        <f ca="1">초급</f>
        <v>235459</v>
      </c>
      <c r="U151" s="118">
        <f t="shared" ca="1" si="43"/>
        <v>2422402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319" t="s">
        <v>42</v>
      </c>
      <c r="O152" s="174">
        <v>8</v>
      </c>
      <c r="P152" s="235">
        <f ca="1">OFFSET($A$1,MATCH(Z146,$A:$A,0)-1,O152)</f>
        <v>7.9139999999999997</v>
      </c>
      <c r="Q152" s="322" t="s">
        <v>29</v>
      </c>
      <c r="R152" s="323">
        <f t="shared" ca="1" si="41"/>
        <v>250087</v>
      </c>
      <c r="S152" s="323">
        <f t="shared" ca="1" si="42"/>
        <v>1979188</v>
      </c>
      <c r="T152" s="323">
        <f ca="1">보조원</f>
        <v>250087</v>
      </c>
      <c r="U152" s="323">
        <f t="shared" ca="1" si="43"/>
        <v>1979188</v>
      </c>
      <c r="V152" s="323"/>
      <c r="W152" s="323"/>
      <c r="X152" s="323"/>
      <c r="Y152" s="323"/>
      <c r="Z152" s="324"/>
    </row>
    <row r="153" spans="11:26" ht="18" customHeight="1">
      <c r="K153" s="171" t="s">
        <v>14</v>
      </c>
      <c r="L153" s="171"/>
      <c r="M153" s="171"/>
      <c r="N153" s="139" t="s">
        <v>17</v>
      </c>
      <c r="O153" s="68"/>
      <c r="P153" s="69"/>
      <c r="Q153" s="70"/>
      <c r="R153" s="71"/>
      <c r="S153" s="71">
        <f ca="1">SUBTOTAL(9,S147:S152)</f>
        <v>14468835</v>
      </c>
      <c r="T153" s="71"/>
      <c r="U153" s="71">
        <f ca="1">SUBTOTAL(9,U147:U152)</f>
        <v>14468835</v>
      </c>
      <c r="V153" s="71"/>
      <c r="W153" s="71"/>
      <c r="X153" s="71"/>
      <c r="Y153" s="71"/>
      <c r="Z153" s="68"/>
    </row>
    <row r="154" spans="11:26" ht="18" customHeight="1">
      <c r="K154" s="171" t="s">
        <v>14</v>
      </c>
      <c r="L154" s="171"/>
      <c r="M154" s="171"/>
      <c r="N154" s="318" t="str">
        <f ca="1">"제 " &amp; Z154 &amp; " 호표  "&amp; OFFSET($A$1,MATCH(Z154,$A:$A,0)-1,1)</f>
        <v>제 13 호표  6.1. 보고서 작성 및 편집</v>
      </c>
      <c r="O154" s="221"/>
      <c r="P154" s="148"/>
      <c r="Q154" s="148"/>
      <c r="R154" s="149"/>
      <c r="S154" s="149"/>
      <c r="T154" s="149"/>
      <c r="U154" s="149"/>
      <c r="V154" s="149"/>
      <c r="W154" s="149"/>
      <c r="X154" s="149"/>
      <c r="Y154" s="149"/>
      <c r="Z154" s="325">
        <f>Z146+1</f>
        <v>13</v>
      </c>
    </row>
    <row r="155" spans="11:26" ht="18" customHeight="1">
      <c r="K155" s="171" t="s">
        <v>14</v>
      </c>
      <c r="L155" s="171"/>
      <c r="M155" s="171"/>
      <c r="N155" s="140" t="s">
        <v>43</v>
      </c>
      <c r="O155" s="172">
        <v>3</v>
      </c>
      <c r="P155" s="219">
        <f ca="1">OFFSET($A$1,MATCH(Z154,$A:$A,0)-1,O155)</f>
        <v>0.79100000000000004</v>
      </c>
      <c r="Q155" s="141" t="s">
        <v>29</v>
      </c>
      <c r="R155" s="142">
        <f t="shared" ref="R155:R160" ca="1" si="44">T155</f>
        <v>467217</v>
      </c>
      <c r="S155" s="142">
        <f t="shared" ref="S155:S160" ca="1" si="45">U155</f>
        <v>369568</v>
      </c>
      <c r="T155" s="142">
        <f ca="1">기술사</f>
        <v>467217</v>
      </c>
      <c r="U155" s="142">
        <f t="shared" ref="U155:U160" ca="1" si="46">ROUNDDOWN(P155*R155,0)</f>
        <v>369568</v>
      </c>
      <c r="V155" s="142"/>
      <c r="W155" s="142"/>
      <c r="X155" s="142"/>
      <c r="Y155" s="142"/>
      <c r="Z155" s="114"/>
    </row>
    <row r="156" spans="11:26" ht="18" customHeight="1">
      <c r="K156" s="171" t="s">
        <v>14</v>
      </c>
      <c r="L156" s="171"/>
      <c r="M156" s="171"/>
      <c r="N156" s="143" t="s">
        <v>32</v>
      </c>
      <c r="O156" s="173">
        <v>4</v>
      </c>
      <c r="P156" s="234">
        <f ca="1">OFFSET($A$1,MATCH(Z154,$A:$A,0)-1,O156)</f>
        <v>0.79100000000000004</v>
      </c>
      <c r="Q156" s="144" t="s">
        <v>29</v>
      </c>
      <c r="R156" s="118">
        <f t="shared" ca="1" si="44"/>
        <v>373353</v>
      </c>
      <c r="S156" s="118">
        <f t="shared" ca="1" si="45"/>
        <v>295322</v>
      </c>
      <c r="T156" s="118">
        <f ca="1">특급</f>
        <v>373353</v>
      </c>
      <c r="U156" s="118">
        <f t="shared" ca="1" si="46"/>
        <v>295322</v>
      </c>
      <c r="V156" s="118"/>
      <c r="W156" s="118"/>
      <c r="X156" s="118"/>
      <c r="Y156" s="118"/>
      <c r="Z156" s="115"/>
    </row>
    <row r="157" spans="11:26" ht="18" customHeight="1">
      <c r="K157" s="171" t="s">
        <v>14</v>
      </c>
      <c r="L157" s="171"/>
      <c r="M157" s="171"/>
      <c r="N157" s="145" t="s">
        <v>39</v>
      </c>
      <c r="O157" s="173">
        <v>5</v>
      </c>
      <c r="P157" s="234">
        <f ca="1">OFFSET($A$1,MATCH(Z154,$A:$A,0)-1,O157)</f>
        <v>1.978</v>
      </c>
      <c r="Q157" s="144" t="s">
        <v>29</v>
      </c>
      <c r="R157" s="118">
        <f t="shared" ca="1" si="44"/>
        <v>310884</v>
      </c>
      <c r="S157" s="118">
        <f t="shared" ca="1" si="45"/>
        <v>614928</v>
      </c>
      <c r="T157" s="118">
        <f ca="1">고급</f>
        <v>310884</v>
      </c>
      <c r="U157" s="118">
        <f t="shared" ca="1" si="46"/>
        <v>614928</v>
      </c>
      <c r="V157" s="118"/>
      <c r="W157" s="118"/>
      <c r="X157" s="118"/>
      <c r="Y157" s="118"/>
      <c r="Z157" s="115"/>
    </row>
    <row r="158" spans="11:26" ht="18" customHeight="1">
      <c r="K158" s="171" t="s">
        <v>14</v>
      </c>
      <c r="L158" s="171"/>
      <c r="M158" s="171"/>
      <c r="N158" s="145" t="s">
        <v>40</v>
      </c>
      <c r="O158" s="173">
        <v>6</v>
      </c>
      <c r="P158" s="234">
        <f ca="1">OFFSET($A$1,MATCH(Z154,$A:$A,0)-1,O158)</f>
        <v>3.5609999999999999</v>
      </c>
      <c r="Q158" s="144" t="s">
        <v>29</v>
      </c>
      <c r="R158" s="118">
        <f t="shared" ca="1" si="44"/>
        <v>295138</v>
      </c>
      <c r="S158" s="118">
        <f t="shared" ca="1" si="45"/>
        <v>1050986</v>
      </c>
      <c r="T158" s="118">
        <f ca="1">중급</f>
        <v>295138</v>
      </c>
      <c r="U158" s="118">
        <f t="shared" ca="1" si="46"/>
        <v>1050986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41</v>
      </c>
      <c r="O159" s="173">
        <v>7</v>
      </c>
      <c r="P159" s="234">
        <f ca="1">OFFSET($A$1,MATCH(Z154,$A:$A,0)-1,O159)</f>
        <v>3.9569999999999999</v>
      </c>
      <c r="Q159" s="144" t="s">
        <v>29</v>
      </c>
      <c r="R159" s="118">
        <f t="shared" ca="1" si="44"/>
        <v>235459</v>
      </c>
      <c r="S159" s="118">
        <f t="shared" ca="1" si="45"/>
        <v>931711</v>
      </c>
      <c r="T159" s="118">
        <f ca="1">초급</f>
        <v>235459</v>
      </c>
      <c r="U159" s="118">
        <f t="shared" ca="1" si="46"/>
        <v>931711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319" t="s">
        <v>42</v>
      </c>
      <c r="O160" s="174">
        <v>8</v>
      </c>
      <c r="P160" s="235">
        <f ca="1">OFFSET($A$1,MATCH(Z154,$A:$A,0)-1,O160)</f>
        <v>4.7480000000000002</v>
      </c>
      <c r="Q160" s="322" t="s">
        <v>29</v>
      </c>
      <c r="R160" s="323">
        <f t="shared" ca="1" si="44"/>
        <v>250087</v>
      </c>
      <c r="S160" s="323">
        <f t="shared" ca="1" si="45"/>
        <v>1187413</v>
      </c>
      <c r="T160" s="323">
        <f ca="1">보조원</f>
        <v>250087</v>
      </c>
      <c r="U160" s="323">
        <f t="shared" ca="1" si="46"/>
        <v>1187413</v>
      </c>
      <c r="V160" s="323"/>
      <c r="W160" s="323"/>
      <c r="X160" s="323"/>
      <c r="Y160" s="323"/>
      <c r="Z160" s="324"/>
    </row>
    <row r="161" spans="11:26" ht="18" customHeight="1">
      <c r="K161" s="171" t="s">
        <v>14</v>
      </c>
      <c r="L161" s="171"/>
      <c r="M161" s="171"/>
      <c r="N161" s="139" t="s">
        <v>17</v>
      </c>
      <c r="O161" s="68"/>
      <c r="P161" s="69"/>
      <c r="Q161" s="70"/>
      <c r="R161" s="71"/>
      <c r="S161" s="71">
        <f ca="1">SUBTOTAL(9,S155:S160)</f>
        <v>4449928</v>
      </c>
      <c r="T161" s="71"/>
      <c r="U161" s="71">
        <f ca="1">SUBTOTAL(9,U155:U160)</f>
        <v>4449928</v>
      </c>
      <c r="V161" s="71"/>
      <c r="W161" s="71"/>
      <c r="X161" s="71"/>
      <c r="Y161" s="71"/>
      <c r="Z161" s="68"/>
    </row>
    <row r="162" spans="11:26" ht="18" customHeight="1">
      <c r="K162" s="171" t="s">
        <v>14</v>
      </c>
      <c r="L162" s="171"/>
      <c r="M162" s="171"/>
      <c r="N162" s="318" t="str">
        <f ca="1">"제 " &amp; Z162 &amp; " 호표  "&amp; OFFSET($A$1,MATCH(Z162,$A:$A,0)-1,1)</f>
        <v>제 14 호표  6.2. 관련도서 작성</v>
      </c>
      <c r="O162" s="221"/>
      <c r="P162" s="148"/>
      <c r="Q162" s="148"/>
      <c r="R162" s="149"/>
      <c r="S162" s="149"/>
      <c r="T162" s="149"/>
      <c r="U162" s="149"/>
      <c r="V162" s="149"/>
      <c r="W162" s="149"/>
      <c r="X162" s="149"/>
      <c r="Y162" s="149"/>
      <c r="Z162" s="325">
        <f>Z154+1</f>
        <v>14</v>
      </c>
    </row>
    <row r="163" spans="11:26" ht="18" customHeight="1">
      <c r="K163" s="171" t="s">
        <v>14</v>
      </c>
      <c r="L163" s="171"/>
      <c r="M163" s="171"/>
      <c r="N163" s="140" t="s">
        <v>43</v>
      </c>
      <c r="O163" s="172">
        <v>3</v>
      </c>
      <c r="P163" s="219">
        <f ca="1">OFFSET($A$1,MATCH(Z162,$A:$A,0)-1,O163)</f>
        <v>0.39500000000000002</v>
      </c>
      <c r="Q163" s="141" t="s">
        <v>29</v>
      </c>
      <c r="R163" s="142">
        <f t="shared" ref="R163:R168" ca="1" si="47">T163</f>
        <v>467217</v>
      </c>
      <c r="S163" s="142">
        <f t="shared" ref="S163:S168" ca="1" si="48">U163</f>
        <v>184550</v>
      </c>
      <c r="T163" s="142">
        <f ca="1">기술사</f>
        <v>467217</v>
      </c>
      <c r="U163" s="142">
        <f t="shared" ref="U163:U168" ca="1" si="49">ROUNDDOWN(P163*R163,0)</f>
        <v>184550</v>
      </c>
      <c r="V163" s="142"/>
      <c r="W163" s="142"/>
      <c r="X163" s="142"/>
      <c r="Y163" s="142"/>
      <c r="Z163" s="114"/>
    </row>
    <row r="164" spans="11:26" ht="18" customHeight="1">
      <c r="K164" s="171" t="s">
        <v>14</v>
      </c>
      <c r="L164" s="171"/>
      <c r="M164" s="171"/>
      <c r="N164" s="143" t="s">
        <v>32</v>
      </c>
      <c r="O164" s="173">
        <v>4</v>
      </c>
      <c r="P164" s="234">
        <f ca="1">OFFSET($A$1,MATCH(Z162,$A:$A,0)-1,O164)</f>
        <v>0.79100000000000004</v>
      </c>
      <c r="Q164" s="144" t="s">
        <v>29</v>
      </c>
      <c r="R164" s="118">
        <f t="shared" ca="1" si="47"/>
        <v>373353</v>
      </c>
      <c r="S164" s="118">
        <f t="shared" ca="1" si="48"/>
        <v>295322</v>
      </c>
      <c r="T164" s="118">
        <f ca="1">특급</f>
        <v>373353</v>
      </c>
      <c r="U164" s="118">
        <f t="shared" ca="1" si="49"/>
        <v>295322</v>
      </c>
      <c r="V164" s="118"/>
      <c r="W164" s="118"/>
      <c r="X164" s="118"/>
      <c r="Y164" s="118"/>
      <c r="Z164" s="115"/>
    </row>
    <row r="165" spans="11:26" ht="18" customHeight="1">
      <c r="K165" s="171" t="s">
        <v>14</v>
      </c>
      <c r="L165" s="171"/>
      <c r="M165" s="171"/>
      <c r="N165" s="145" t="s">
        <v>39</v>
      </c>
      <c r="O165" s="173">
        <v>5</v>
      </c>
      <c r="P165" s="234">
        <f ca="1">OFFSET($A$1,MATCH(Z162,$A:$A,0)-1,O165)</f>
        <v>1.978</v>
      </c>
      <c r="Q165" s="144" t="s">
        <v>29</v>
      </c>
      <c r="R165" s="118">
        <f t="shared" ca="1" si="47"/>
        <v>310884</v>
      </c>
      <c r="S165" s="118">
        <f t="shared" ca="1" si="48"/>
        <v>614928</v>
      </c>
      <c r="T165" s="118">
        <f ca="1">고급</f>
        <v>310884</v>
      </c>
      <c r="U165" s="118">
        <f t="shared" ca="1" si="49"/>
        <v>614928</v>
      </c>
      <c r="V165" s="118"/>
      <c r="W165" s="118"/>
      <c r="X165" s="118"/>
      <c r="Y165" s="118"/>
      <c r="Z165" s="115"/>
    </row>
    <row r="166" spans="11:26" ht="18" customHeight="1">
      <c r="K166" s="171" t="s">
        <v>14</v>
      </c>
      <c r="L166" s="171"/>
      <c r="M166" s="171"/>
      <c r="N166" s="145" t="s">
        <v>40</v>
      </c>
      <c r="O166" s="173">
        <v>6</v>
      </c>
      <c r="P166" s="234">
        <f ca="1">OFFSET($A$1,MATCH(Z162,$A:$A,0)-1,O166)</f>
        <v>3.165</v>
      </c>
      <c r="Q166" s="144" t="s">
        <v>29</v>
      </c>
      <c r="R166" s="118">
        <f t="shared" ca="1" si="47"/>
        <v>295138</v>
      </c>
      <c r="S166" s="118">
        <f t="shared" ca="1" si="48"/>
        <v>934111</v>
      </c>
      <c r="T166" s="118">
        <f ca="1">중급</f>
        <v>295138</v>
      </c>
      <c r="U166" s="118">
        <f t="shared" ca="1" si="49"/>
        <v>934111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41</v>
      </c>
      <c r="O167" s="173">
        <v>7</v>
      </c>
      <c r="P167" s="234">
        <f ca="1">OFFSET($A$1,MATCH(Z162,$A:$A,0)-1,O167)</f>
        <v>3.9569999999999999</v>
      </c>
      <c r="Q167" s="144" t="s">
        <v>29</v>
      </c>
      <c r="R167" s="118">
        <f t="shared" ca="1" si="47"/>
        <v>235459</v>
      </c>
      <c r="S167" s="118">
        <f t="shared" ca="1" si="48"/>
        <v>931711</v>
      </c>
      <c r="T167" s="118">
        <f ca="1">초급</f>
        <v>235459</v>
      </c>
      <c r="U167" s="118">
        <f t="shared" ca="1" si="49"/>
        <v>931711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319" t="s">
        <v>42</v>
      </c>
      <c r="O168" s="174">
        <v>8</v>
      </c>
      <c r="P168" s="235">
        <f ca="1">OFFSET($A$1,MATCH(Z162,$A:$A,0)-1,O168)</f>
        <v>4.3520000000000003</v>
      </c>
      <c r="Q168" s="322" t="s">
        <v>29</v>
      </c>
      <c r="R168" s="323">
        <f t="shared" ca="1" si="47"/>
        <v>250087</v>
      </c>
      <c r="S168" s="323">
        <f t="shared" ca="1" si="48"/>
        <v>1088378</v>
      </c>
      <c r="T168" s="323">
        <f ca="1">보조원</f>
        <v>250087</v>
      </c>
      <c r="U168" s="323">
        <f t="shared" ca="1" si="49"/>
        <v>1088378</v>
      </c>
      <c r="V168" s="323"/>
      <c r="W168" s="323"/>
      <c r="X168" s="323"/>
      <c r="Y168" s="323"/>
      <c r="Z168" s="324"/>
    </row>
    <row r="169" spans="11:26" ht="18" customHeight="1">
      <c r="K169" s="171" t="s">
        <v>14</v>
      </c>
      <c r="L169" s="171"/>
      <c r="M169" s="171"/>
      <c r="N169" s="139" t="s">
        <v>17</v>
      </c>
      <c r="O169" s="68"/>
      <c r="P169" s="69"/>
      <c r="Q169" s="70"/>
      <c r="R169" s="71"/>
      <c r="S169" s="71">
        <f ca="1">SUBTOTAL(9,S163:S168)</f>
        <v>4049000</v>
      </c>
      <c r="T169" s="71"/>
      <c r="U169" s="71">
        <f ca="1">SUBTOTAL(9,U163:U168)</f>
        <v>4049000</v>
      </c>
      <c r="V169" s="71"/>
      <c r="W169" s="71"/>
      <c r="X169" s="71"/>
      <c r="Y169" s="71"/>
      <c r="Z169" s="68"/>
    </row>
    <row r="170" spans="11:26" ht="18" customHeight="1">
      <c r="K170" s="171" t="s">
        <v>14</v>
      </c>
      <c r="L170" s="171"/>
      <c r="M170" s="171"/>
      <c r="N170" s="318" t="str">
        <f ca="1">"제 " &amp; Z170 &amp; " 호표  "&amp; OFFSET($A$1,MATCH(Z170,$A:$A,0)-1,1)</f>
        <v>제 15 호표  7.1. 공청회/주민설명회</v>
      </c>
      <c r="O170" s="221"/>
      <c r="P170" s="148"/>
      <c r="Q170" s="148"/>
      <c r="R170" s="149"/>
      <c r="S170" s="149"/>
      <c r="T170" s="149"/>
      <c r="U170" s="149"/>
      <c r="V170" s="149"/>
      <c r="W170" s="149"/>
      <c r="X170" s="149"/>
      <c r="Y170" s="149"/>
      <c r="Z170" s="325">
        <f>Z162+1</f>
        <v>15</v>
      </c>
    </row>
    <row r="171" spans="11:26" ht="18" customHeight="1">
      <c r="K171" s="171" t="s">
        <v>14</v>
      </c>
      <c r="L171" s="171"/>
      <c r="M171" s="171"/>
      <c r="N171" s="140" t="s">
        <v>43</v>
      </c>
      <c r="O171" s="172">
        <v>3</v>
      </c>
      <c r="P171" s="219">
        <f ca="1">OFFSET($A$1,MATCH(Z170,$A:$A,0)-1,O171)</f>
        <v>2</v>
      </c>
      <c r="Q171" s="141" t="s">
        <v>29</v>
      </c>
      <c r="R171" s="142">
        <f t="shared" ref="R171:R176" ca="1" si="50">T171</f>
        <v>467217</v>
      </c>
      <c r="S171" s="142">
        <f t="shared" ref="S171:S176" ca="1" si="51">U171</f>
        <v>934434</v>
      </c>
      <c r="T171" s="142">
        <f ca="1">기술사</f>
        <v>467217</v>
      </c>
      <c r="U171" s="142">
        <f t="shared" ref="U171:U176" ca="1" si="52">ROUNDDOWN(P171*R171,0)</f>
        <v>934434</v>
      </c>
      <c r="V171" s="142"/>
      <c r="W171" s="142"/>
      <c r="X171" s="142"/>
      <c r="Y171" s="142"/>
      <c r="Z171" s="114"/>
    </row>
    <row r="172" spans="11:26" ht="18" customHeight="1">
      <c r="K172" s="171" t="s">
        <v>14</v>
      </c>
      <c r="L172" s="171"/>
      <c r="M172" s="171"/>
      <c r="N172" s="143" t="s">
        <v>32</v>
      </c>
      <c r="O172" s="173">
        <v>4</v>
      </c>
      <c r="P172" s="234">
        <f ca="1">OFFSET($A$1,MATCH(Z170,$A:$A,0)-1,O172)</f>
        <v>2</v>
      </c>
      <c r="Q172" s="144" t="s">
        <v>29</v>
      </c>
      <c r="R172" s="118">
        <f t="shared" ca="1" si="50"/>
        <v>373353</v>
      </c>
      <c r="S172" s="118">
        <f t="shared" ca="1" si="51"/>
        <v>746706</v>
      </c>
      <c r="T172" s="118">
        <f ca="1">특급</f>
        <v>373353</v>
      </c>
      <c r="U172" s="118">
        <f t="shared" ca="1" si="52"/>
        <v>746706</v>
      </c>
      <c r="V172" s="118"/>
      <c r="W172" s="118"/>
      <c r="X172" s="118"/>
      <c r="Y172" s="118"/>
      <c r="Z172" s="115"/>
    </row>
    <row r="173" spans="11:26" ht="18" customHeight="1">
      <c r="K173" s="171" t="s">
        <v>14</v>
      </c>
      <c r="L173" s="171"/>
      <c r="M173" s="171"/>
      <c r="N173" s="145" t="s">
        <v>39</v>
      </c>
      <c r="O173" s="173">
        <v>5</v>
      </c>
      <c r="P173" s="234">
        <f ca="1">OFFSET($A$1,MATCH(Z170,$A:$A,0)-1,O173)</f>
        <v>2</v>
      </c>
      <c r="Q173" s="144" t="s">
        <v>29</v>
      </c>
      <c r="R173" s="118">
        <f t="shared" ca="1" si="50"/>
        <v>310884</v>
      </c>
      <c r="S173" s="118">
        <f t="shared" ca="1" si="51"/>
        <v>621768</v>
      </c>
      <c r="T173" s="118">
        <f ca="1">고급</f>
        <v>310884</v>
      </c>
      <c r="U173" s="118">
        <f t="shared" ca="1" si="52"/>
        <v>621768</v>
      </c>
      <c r="V173" s="118"/>
      <c r="W173" s="118"/>
      <c r="X173" s="118"/>
      <c r="Y173" s="118"/>
      <c r="Z173" s="115"/>
    </row>
    <row r="174" spans="11:26" ht="18" customHeight="1">
      <c r="K174" s="171" t="s">
        <v>14</v>
      </c>
      <c r="L174" s="171"/>
      <c r="M174" s="171"/>
      <c r="N174" s="145" t="s">
        <v>40</v>
      </c>
      <c r="O174" s="173">
        <v>6</v>
      </c>
      <c r="P174" s="234">
        <f ca="1">OFFSET($A$1,MATCH(Z170,$A:$A,0)-1,O174)</f>
        <v>4</v>
      </c>
      <c r="Q174" s="144" t="s">
        <v>29</v>
      </c>
      <c r="R174" s="118">
        <f t="shared" ca="1" si="50"/>
        <v>295138</v>
      </c>
      <c r="S174" s="118">
        <f t="shared" ca="1" si="51"/>
        <v>1180552</v>
      </c>
      <c r="T174" s="118">
        <f ca="1">중급</f>
        <v>295138</v>
      </c>
      <c r="U174" s="118">
        <f t="shared" ca="1" si="52"/>
        <v>1180552</v>
      </c>
      <c r="V174" s="118"/>
      <c r="W174" s="118"/>
      <c r="X174" s="118"/>
      <c r="Y174" s="118"/>
      <c r="Z174" s="115"/>
    </row>
    <row r="175" spans="11:26" ht="18" customHeight="1">
      <c r="K175" s="171" t="s">
        <v>14</v>
      </c>
      <c r="L175" s="171"/>
      <c r="M175" s="171"/>
      <c r="N175" s="145" t="s">
        <v>41</v>
      </c>
      <c r="O175" s="173">
        <v>7</v>
      </c>
      <c r="P175" s="234">
        <f ca="1">OFFSET($A$1,MATCH(Z170,$A:$A,0)-1,O175)</f>
        <v>4</v>
      </c>
      <c r="Q175" s="144" t="s">
        <v>29</v>
      </c>
      <c r="R175" s="118">
        <f t="shared" ca="1" si="50"/>
        <v>235459</v>
      </c>
      <c r="S175" s="118">
        <f t="shared" ca="1" si="51"/>
        <v>941836</v>
      </c>
      <c r="T175" s="118">
        <f ca="1">초급</f>
        <v>235459</v>
      </c>
      <c r="U175" s="118">
        <f t="shared" ca="1" si="52"/>
        <v>941836</v>
      </c>
      <c r="V175" s="118"/>
      <c r="W175" s="118"/>
      <c r="X175" s="118"/>
      <c r="Y175" s="118"/>
      <c r="Z175" s="115"/>
    </row>
    <row r="176" spans="11:26" ht="18" customHeight="1">
      <c r="K176" s="171" t="s">
        <v>14</v>
      </c>
      <c r="L176" s="171"/>
      <c r="M176" s="171"/>
      <c r="N176" s="319" t="s">
        <v>42</v>
      </c>
      <c r="O176" s="174">
        <v>8</v>
      </c>
      <c r="P176" s="235">
        <f ca="1">OFFSET($A$1,MATCH(Z170,$A:$A,0)-1,O176)</f>
        <v>4</v>
      </c>
      <c r="Q176" s="322" t="s">
        <v>29</v>
      </c>
      <c r="R176" s="323">
        <f t="shared" ca="1" si="50"/>
        <v>250087</v>
      </c>
      <c r="S176" s="323">
        <f t="shared" ca="1" si="51"/>
        <v>1000348</v>
      </c>
      <c r="T176" s="323">
        <f ca="1">보조원</f>
        <v>250087</v>
      </c>
      <c r="U176" s="323">
        <f t="shared" ca="1" si="52"/>
        <v>1000348</v>
      </c>
      <c r="V176" s="323"/>
      <c r="W176" s="323"/>
      <c r="X176" s="323"/>
      <c r="Y176" s="323"/>
      <c r="Z176" s="324"/>
    </row>
    <row r="177" spans="11:26" ht="18" customHeight="1">
      <c r="K177" s="171" t="s">
        <v>14</v>
      </c>
      <c r="L177" s="171"/>
      <c r="M177" s="171"/>
      <c r="N177" s="139" t="s">
        <v>17</v>
      </c>
      <c r="O177" s="68"/>
      <c r="P177" s="69"/>
      <c r="Q177" s="70"/>
      <c r="R177" s="71"/>
      <c r="S177" s="71">
        <f ca="1">SUBTOTAL(9,S171:S176)</f>
        <v>5425644</v>
      </c>
      <c r="T177" s="71"/>
      <c r="U177" s="71">
        <f ca="1">SUBTOTAL(9,U171:U176)</f>
        <v>5425644</v>
      </c>
      <c r="V177" s="71"/>
      <c r="W177" s="71"/>
      <c r="X177" s="71"/>
      <c r="Y177" s="71"/>
      <c r="Z177" s="68"/>
    </row>
    <row r="178" spans="11:26" ht="18" customHeight="1">
      <c r="K178" s="171" t="s">
        <v>14</v>
      </c>
      <c r="L178" s="171"/>
      <c r="M178" s="171"/>
      <c r="N178" s="318" t="str">
        <f ca="1">"제 " &amp; Z178 &amp; " 호표  "&amp; OFFSET($A$1,MATCH(Z178,$A:$A,0)-1,1)</f>
        <v>제 16 호표  7.2. 주민간담회/시민계획단</v>
      </c>
      <c r="O178" s="221"/>
      <c r="P178" s="148"/>
      <c r="Q178" s="148"/>
      <c r="R178" s="149"/>
      <c r="S178" s="149"/>
      <c r="T178" s="149"/>
      <c r="U178" s="149"/>
      <c r="V178" s="149"/>
      <c r="W178" s="149"/>
      <c r="X178" s="149"/>
      <c r="Y178" s="149"/>
      <c r="Z178" s="325">
        <f>Z170+1</f>
        <v>16</v>
      </c>
    </row>
    <row r="179" spans="11:26" ht="18" customHeight="1">
      <c r="K179" s="171" t="s">
        <v>14</v>
      </c>
      <c r="L179" s="171"/>
      <c r="M179" s="171"/>
      <c r="N179" s="140" t="s">
        <v>43</v>
      </c>
      <c r="O179" s="172">
        <v>3</v>
      </c>
      <c r="P179" s="219">
        <f ca="1">OFFSET($A$1,MATCH(Z178,$A:$A,0)-1,O179)</f>
        <v>2</v>
      </c>
      <c r="Q179" s="141" t="s">
        <v>29</v>
      </c>
      <c r="R179" s="142">
        <f t="shared" ref="R179:R184" ca="1" si="53">T179</f>
        <v>467217</v>
      </c>
      <c r="S179" s="142">
        <f t="shared" ref="S179:S184" ca="1" si="54">U179</f>
        <v>934434</v>
      </c>
      <c r="T179" s="142">
        <f ca="1">기술사</f>
        <v>467217</v>
      </c>
      <c r="U179" s="142">
        <f t="shared" ref="U179:U184" ca="1" si="55">ROUNDDOWN(P179*R179,0)</f>
        <v>934434</v>
      </c>
      <c r="V179" s="142"/>
      <c r="W179" s="142"/>
      <c r="X179" s="142"/>
      <c r="Y179" s="142"/>
      <c r="Z179" s="114"/>
    </row>
    <row r="180" spans="11:26" ht="18" customHeight="1">
      <c r="K180" s="171" t="s">
        <v>14</v>
      </c>
      <c r="L180" s="171"/>
      <c r="M180" s="171"/>
      <c r="N180" s="143" t="s">
        <v>32</v>
      </c>
      <c r="O180" s="173">
        <v>4</v>
      </c>
      <c r="P180" s="234">
        <f ca="1">OFFSET($A$1,MATCH(Z178,$A:$A,0)-1,O180)</f>
        <v>2</v>
      </c>
      <c r="Q180" s="144" t="s">
        <v>29</v>
      </c>
      <c r="R180" s="118">
        <f t="shared" ca="1" si="53"/>
        <v>373353</v>
      </c>
      <c r="S180" s="118">
        <f t="shared" ca="1" si="54"/>
        <v>746706</v>
      </c>
      <c r="T180" s="118">
        <f ca="1">특급</f>
        <v>373353</v>
      </c>
      <c r="U180" s="118">
        <f t="shared" ca="1" si="55"/>
        <v>746706</v>
      </c>
      <c r="V180" s="118"/>
      <c r="W180" s="118"/>
      <c r="X180" s="118"/>
      <c r="Y180" s="118"/>
      <c r="Z180" s="115"/>
    </row>
    <row r="181" spans="11:26" ht="18" customHeight="1">
      <c r="K181" s="171" t="s">
        <v>14</v>
      </c>
      <c r="L181" s="171"/>
      <c r="M181" s="171"/>
      <c r="N181" s="145" t="s">
        <v>39</v>
      </c>
      <c r="O181" s="173">
        <v>5</v>
      </c>
      <c r="P181" s="234">
        <f ca="1">OFFSET($A$1,MATCH(Z178,$A:$A,0)-1,O181)</f>
        <v>2</v>
      </c>
      <c r="Q181" s="144" t="s">
        <v>29</v>
      </c>
      <c r="R181" s="118">
        <f t="shared" ca="1" si="53"/>
        <v>310884</v>
      </c>
      <c r="S181" s="118">
        <f t="shared" ca="1" si="54"/>
        <v>621768</v>
      </c>
      <c r="T181" s="118">
        <f ca="1">고급</f>
        <v>310884</v>
      </c>
      <c r="U181" s="118">
        <f t="shared" ca="1" si="55"/>
        <v>621768</v>
      </c>
      <c r="V181" s="118"/>
      <c r="W181" s="118"/>
      <c r="X181" s="118"/>
      <c r="Y181" s="118"/>
      <c r="Z181" s="115"/>
    </row>
    <row r="182" spans="11:26" ht="18" customHeight="1">
      <c r="K182" s="171" t="s">
        <v>14</v>
      </c>
      <c r="L182" s="171"/>
      <c r="M182" s="171"/>
      <c r="N182" s="145" t="s">
        <v>40</v>
      </c>
      <c r="O182" s="173">
        <v>6</v>
      </c>
      <c r="P182" s="234">
        <f ca="1">OFFSET($A$1,MATCH(Z178,$A:$A,0)-1,O182)</f>
        <v>4</v>
      </c>
      <c r="Q182" s="144" t="s">
        <v>29</v>
      </c>
      <c r="R182" s="118">
        <f t="shared" ca="1" si="53"/>
        <v>295138</v>
      </c>
      <c r="S182" s="118">
        <f t="shared" ca="1" si="54"/>
        <v>1180552</v>
      </c>
      <c r="T182" s="118">
        <f ca="1">중급</f>
        <v>295138</v>
      </c>
      <c r="U182" s="118">
        <f t="shared" ca="1" si="55"/>
        <v>1180552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41</v>
      </c>
      <c r="O183" s="173">
        <v>7</v>
      </c>
      <c r="P183" s="234">
        <f ca="1">OFFSET($A$1,MATCH(Z178,$A:$A,0)-1,O183)</f>
        <v>4</v>
      </c>
      <c r="Q183" s="144" t="s">
        <v>29</v>
      </c>
      <c r="R183" s="118">
        <f t="shared" ca="1" si="53"/>
        <v>235459</v>
      </c>
      <c r="S183" s="118">
        <f t="shared" ca="1" si="54"/>
        <v>941836</v>
      </c>
      <c r="T183" s="118">
        <f ca="1">초급</f>
        <v>235459</v>
      </c>
      <c r="U183" s="118">
        <f t="shared" ca="1" si="55"/>
        <v>941836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319" t="s">
        <v>42</v>
      </c>
      <c r="O184" s="174">
        <v>8</v>
      </c>
      <c r="P184" s="235">
        <f ca="1">OFFSET($A$1,MATCH(Z178,$A:$A,0)-1,O184)</f>
        <v>4</v>
      </c>
      <c r="Q184" s="322" t="s">
        <v>29</v>
      </c>
      <c r="R184" s="323">
        <f t="shared" ca="1" si="53"/>
        <v>250087</v>
      </c>
      <c r="S184" s="323">
        <f t="shared" ca="1" si="54"/>
        <v>1000348</v>
      </c>
      <c r="T184" s="323">
        <f ca="1">보조원</f>
        <v>250087</v>
      </c>
      <c r="U184" s="323">
        <f t="shared" ca="1" si="55"/>
        <v>1000348</v>
      </c>
      <c r="V184" s="323"/>
      <c r="W184" s="323"/>
      <c r="X184" s="323"/>
      <c r="Y184" s="323"/>
      <c r="Z184" s="324"/>
    </row>
    <row r="185" spans="11:26" ht="18" customHeight="1">
      <c r="K185" s="171" t="s">
        <v>14</v>
      </c>
      <c r="L185" s="171"/>
      <c r="M185" s="171"/>
      <c r="N185" s="139" t="s">
        <v>17</v>
      </c>
      <c r="O185" s="68"/>
      <c r="P185" s="69"/>
      <c r="Q185" s="70"/>
      <c r="R185" s="71"/>
      <c r="S185" s="71">
        <f ca="1">SUBTOTAL(9,S179:S184)</f>
        <v>5425644</v>
      </c>
      <c r="T185" s="71"/>
      <c r="U185" s="71">
        <f ca="1">SUBTOTAL(9,U179:U184)</f>
        <v>5425644</v>
      </c>
      <c r="V185" s="71"/>
      <c r="W185" s="71"/>
      <c r="X185" s="71"/>
      <c r="Y185" s="71"/>
      <c r="Z185" s="68"/>
    </row>
    <row r="186" spans="11:26" ht="18" customHeight="1">
      <c r="K186" s="171" t="s">
        <v>14</v>
      </c>
      <c r="L186" s="171"/>
      <c r="M186" s="171"/>
      <c r="N186" s="318" t="str">
        <f ca="1">"제 " &amp; Z186 &amp; " 호표  "&amp; OFFSET($A$1,MATCH(Z186,$A:$A,0)-1,1)</f>
        <v>제 17 호표  7.3. 위원회심의 지원</v>
      </c>
      <c r="O186" s="221"/>
      <c r="P186" s="148"/>
      <c r="Q186" s="148"/>
      <c r="R186" s="149"/>
      <c r="S186" s="149"/>
      <c r="T186" s="149"/>
      <c r="U186" s="149"/>
      <c r="V186" s="149"/>
      <c r="W186" s="149"/>
      <c r="X186" s="149"/>
      <c r="Y186" s="149"/>
      <c r="Z186" s="325">
        <f>Z178+1</f>
        <v>17</v>
      </c>
    </row>
    <row r="187" spans="11:26" ht="18" customHeight="1">
      <c r="K187" s="171" t="s">
        <v>14</v>
      </c>
      <c r="L187" s="171"/>
      <c r="M187" s="171"/>
      <c r="N187" s="140" t="s">
        <v>43</v>
      </c>
      <c r="O187" s="172">
        <v>3</v>
      </c>
      <c r="P187" s="219">
        <f ca="1">OFFSET($A$1,MATCH(Z186,$A:$A,0)-1,O187)</f>
        <v>2</v>
      </c>
      <c r="Q187" s="141" t="s">
        <v>29</v>
      </c>
      <c r="R187" s="142">
        <f t="shared" ref="R187:R192" ca="1" si="56">T187</f>
        <v>467217</v>
      </c>
      <c r="S187" s="142">
        <f t="shared" ref="S187:S192" ca="1" si="57">U187</f>
        <v>934434</v>
      </c>
      <c r="T187" s="142">
        <f ca="1">기술사</f>
        <v>467217</v>
      </c>
      <c r="U187" s="142">
        <f t="shared" ref="U187:U192" ca="1" si="58">ROUNDDOWN(P187*R187,0)</f>
        <v>934434</v>
      </c>
      <c r="V187" s="142"/>
      <c r="W187" s="142"/>
      <c r="X187" s="142"/>
      <c r="Y187" s="142"/>
      <c r="Z187" s="114"/>
    </row>
    <row r="188" spans="11:26" ht="18" customHeight="1">
      <c r="K188" s="171" t="s">
        <v>14</v>
      </c>
      <c r="L188" s="171"/>
      <c r="M188" s="171"/>
      <c r="N188" s="143" t="s">
        <v>32</v>
      </c>
      <c r="O188" s="173">
        <v>4</v>
      </c>
      <c r="P188" s="234">
        <f ca="1">OFFSET($A$1,MATCH(Z186,$A:$A,0)-1,O188)</f>
        <v>2</v>
      </c>
      <c r="Q188" s="144" t="s">
        <v>29</v>
      </c>
      <c r="R188" s="118">
        <f t="shared" ca="1" si="56"/>
        <v>373353</v>
      </c>
      <c r="S188" s="118">
        <f t="shared" ca="1" si="57"/>
        <v>746706</v>
      </c>
      <c r="T188" s="118">
        <f ca="1">특급</f>
        <v>373353</v>
      </c>
      <c r="U188" s="118">
        <f t="shared" ca="1" si="58"/>
        <v>746706</v>
      </c>
      <c r="V188" s="118"/>
      <c r="W188" s="118"/>
      <c r="X188" s="118"/>
      <c r="Y188" s="118"/>
      <c r="Z188" s="115"/>
    </row>
    <row r="189" spans="11:26" ht="18" customHeight="1">
      <c r="K189" s="171" t="s">
        <v>14</v>
      </c>
      <c r="L189" s="171"/>
      <c r="M189" s="171"/>
      <c r="N189" s="145" t="s">
        <v>39</v>
      </c>
      <c r="O189" s="173">
        <v>5</v>
      </c>
      <c r="P189" s="234">
        <f ca="1">OFFSET($A$1,MATCH(Z186,$A:$A,0)-1,O189)</f>
        <v>2</v>
      </c>
      <c r="Q189" s="144" t="s">
        <v>29</v>
      </c>
      <c r="R189" s="118">
        <f t="shared" ca="1" si="56"/>
        <v>310884</v>
      </c>
      <c r="S189" s="118">
        <f t="shared" ca="1" si="57"/>
        <v>621768</v>
      </c>
      <c r="T189" s="118">
        <f ca="1">고급</f>
        <v>310884</v>
      </c>
      <c r="U189" s="118">
        <f t="shared" ca="1" si="58"/>
        <v>621768</v>
      </c>
      <c r="V189" s="118"/>
      <c r="W189" s="118"/>
      <c r="X189" s="118"/>
      <c r="Y189" s="118"/>
      <c r="Z189" s="115"/>
    </row>
    <row r="190" spans="11:26" ht="18" customHeight="1">
      <c r="K190" s="171" t="s">
        <v>14</v>
      </c>
      <c r="L190" s="171"/>
      <c r="M190" s="171"/>
      <c r="N190" s="145" t="s">
        <v>40</v>
      </c>
      <c r="O190" s="173">
        <v>6</v>
      </c>
      <c r="P190" s="234">
        <f ca="1">OFFSET($A$1,MATCH(Z186,$A:$A,0)-1,O190)</f>
        <v>4</v>
      </c>
      <c r="Q190" s="144" t="s">
        <v>29</v>
      </c>
      <c r="R190" s="118">
        <f t="shared" ca="1" si="56"/>
        <v>295138</v>
      </c>
      <c r="S190" s="118">
        <f t="shared" ca="1" si="57"/>
        <v>1180552</v>
      </c>
      <c r="T190" s="118">
        <f ca="1">중급</f>
        <v>295138</v>
      </c>
      <c r="U190" s="118">
        <f t="shared" ca="1" si="58"/>
        <v>1180552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41</v>
      </c>
      <c r="O191" s="173">
        <v>7</v>
      </c>
      <c r="P191" s="234">
        <f ca="1">OFFSET($A$1,MATCH(Z186,$A:$A,0)-1,O191)</f>
        <v>4</v>
      </c>
      <c r="Q191" s="144" t="s">
        <v>29</v>
      </c>
      <c r="R191" s="118">
        <f t="shared" ca="1" si="56"/>
        <v>235459</v>
      </c>
      <c r="S191" s="118">
        <f t="shared" ca="1" si="57"/>
        <v>941836</v>
      </c>
      <c r="T191" s="118">
        <f ca="1">초급</f>
        <v>235459</v>
      </c>
      <c r="U191" s="118">
        <f t="shared" ca="1" si="58"/>
        <v>941836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319" t="s">
        <v>42</v>
      </c>
      <c r="O192" s="174">
        <v>8</v>
      </c>
      <c r="P192" s="235">
        <f ca="1">OFFSET($A$1,MATCH(Z186,$A:$A,0)-1,O192)</f>
        <v>4</v>
      </c>
      <c r="Q192" s="322" t="s">
        <v>29</v>
      </c>
      <c r="R192" s="323">
        <f t="shared" ca="1" si="56"/>
        <v>250087</v>
      </c>
      <c r="S192" s="323">
        <f t="shared" ca="1" si="57"/>
        <v>1000348</v>
      </c>
      <c r="T192" s="323">
        <f ca="1">보조원</f>
        <v>250087</v>
      </c>
      <c r="U192" s="323">
        <f t="shared" ca="1" si="58"/>
        <v>1000348</v>
      </c>
      <c r="V192" s="323"/>
      <c r="W192" s="323"/>
      <c r="X192" s="323"/>
      <c r="Y192" s="323"/>
      <c r="Z192" s="324"/>
    </row>
    <row r="193" spans="11:26" ht="18" customHeight="1">
      <c r="K193" s="171" t="s">
        <v>14</v>
      </c>
      <c r="L193" s="171"/>
      <c r="M193" s="171"/>
      <c r="N193" s="139" t="s">
        <v>17</v>
      </c>
      <c r="O193" s="68"/>
      <c r="P193" s="69"/>
      <c r="Q193" s="70"/>
      <c r="R193" s="71"/>
      <c r="S193" s="71">
        <f ca="1">SUBTOTAL(9,S187:S192)</f>
        <v>5425644</v>
      </c>
      <c r="T193" s="71"/>
      <c r="U193" s="71">
        <f ca="1">SUBTOTAL(9,U187:U192)</f>
        <v>5425644</v>
      </c>
      <c r="V193" s="71"/>
      <c r="W193" s="71"/>
      <c r="X193" s="71"/>
      <c r="Y193" s="71"/>
      <c r="Z193" s="68"/>
    </row>
    <row r="194" spans="11:26" ht="18" customHeight="1">
      <c r="K194" s="171" t="s">
        <v>14</v>
      </c>
      <c r="L194" s="171"/>
      <c r="M194" s="171"/>
      <c r="N194" s="318" t="str">
        <f ca="1">"제 " &amp; Z194 &amp; " 호표  "&amp; OFFSET($A$1,MATCH(Z194,$A:$A,0)-1,1)</f>
        <v>제 18 호표  7.4. 관계기관 협의</v>
      </c>
      <c r="O194" s="221"/>
      <c r="P194" s="148"/>
      <c r="Q194" s="148"/>
      <c r="R194" s="149"/>
      <c r="S194" s="149"/>
      <c r="T194" s="149"/>
      <c r="U194" s="149"/>
      <c r="V194" s="149"/>
      <c r="W194" s="149"/>
      <c r="X194" s="149"/>
      <c r="Y194" s="149"/>
      <c r="Z194" s="325">
        <f>Z186+1</f>
        <v>18</v>
      </c>
    </row>
    <row r="195" spans="11:26" ht="18" customHeight="1">
      <c r="K195" s="171" t="s">
        <v>14</v>
      </c>
      <c r="L195" s="171"/>
      <c r="M195" s="171"/>
      <c r="N195" s="140" t="s">
        <v>43</v>
      </c>
      <c r="O195" s="172">
        <v>3</v>
      </c>
      <c r="P195" s="219">
        <f ca="1">OFFSET($A$1,MATCH(Z194,$A:$A,0)-1,O195)</f>
        <v>2</v>
      </c>
      <c r="Q195" s="141" t="s">
        <v>29</v>
      </c>
      <c r="R195" s="142">
        <f t="shared" ref="R195:R200" ca="1" si="59">T195</f>
        <v>467217</v>
      </c>
      <c r="S195" s="142">
        <f t="shared" ref="S195:S200" ca="1" si="60">U195</f>
        <v>934434</v>
      </c>
      <c r="T195" s="142">
        <f ca="1">기술사</f>
        <v>467217</v>
      </c>
      <c r="U195" s="142">
        <f t="shared" ref="U195:U200" ca="1" si="61">ROUNDDOWN(P195*R195,0)</f>
        <v>934434</v>
      </c>
      <c r="V195" s="142"/>
      <c r="W195" s="142"/>
      <c r="X195" s="142"/>
      <c r="Y195" s="142"/>
      <c r="Z195" s="114"/>
    </row>
    <row r="196" spans="11:26" ht="18" customHeight="1">
      <c r="K196" s="171" t="s">
        <v>14</v>
      </c>
      <c r="L196" s="171"/>
      <c r="M196" s="171"/>
      <c r="N196" s="143" t="s">
        <v>32</v>
      </c>
      <c r="O196" s="173">
        <v>4</v>
      </c>
      <c r="P196" s="234">
        <f ca="1">OFFSET($A$1,MATCH(Z194,$A:$A,0)-1,O196)</f>
        <v>2</v>
      </c>
      <c r="Q196" s="144" t="s">
        <v>29</v>
      </c>
      <c r="R196" s="118">
        <f t="shared" ca="1" si="59"/>
        <v>373353</v>
      </c>
      <c r="S196" s="118">
        <f t="shared" ca="1" si="60"/>
        <v>746706</v>
      </c>
      <c r="T196" s="118">
        <f ca="1">특급</f>
        <v>373353</v>
      </c>
      <c r="U196" s="118">
        <f t="shared" ca="1" si="61"/>
        <v>746706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39</v>
      </c>
      <c r="O197" s="173">
        <v>5</v>
      </c>
      <c r="P197" s="234">
        <f ca="1">OFFSET($A$1,MATCH(Z194,$A:$A,0)-1,O197)</f>
        <v>2</v>
      </c>
      <c r="Q197" s="144" t="s">
        <v>29</v>
      </c>
      <c r="R197" s="118">
        <f t="shared" ca="1" si="59"/>
        <v>310884</v>
      </c>
      <c r="S197" s="118">
        <f t="shared" ca="1" si="60"/>
        <v>621768</v>
      </c>
      <c r="T197" s="118">
        <f ca="1">고급</f>
        <v>310884</v>
      </c>
      <c r="U197" s="118">
        <f t="shared" ca="1" si="61"/>
        <v>621768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145" t="s">
        <v>40</v>
      </c>
      <c r="O198" s="173">
        <v>6</v>
      </c>
      <c r="P198" s="234">
        <f ca="1">OFFSET($A$1,MATCH(Z194,$A:$A,0)-1,O198)</f>
        <v>4</v>
      </c>
      <c r="Q198" s="144" t="s">
        <v>29</v>
      </c>
      <c r="R198" s="118">
        <f t="shared" ca="1" si="59"/>
        <v>295138</v>
      </c>
      <c r="S198" s="118">
        <f t="shared" ca="1" si="60"/>
        <v>1180552</v>
      </c>
      <c r="T198" s="118">
        <f ca="1">중급</f>
        <v>295138</v>
      </c>
      <c r="U198" s="118">
        <f t="shared" ca="1" si="61"/>
        <v>1180552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41</v>
      </c>
      <c r="O199" s="173">
        <v>7</v>
      </c>
      <c r="P199" s="234">
        <f ca="1">OFFSET($A$1,MATCH(Z194,$A:$A,0)-1,O199)</f>
        <v>4</v>
      </c>
      <c r="Q199" s="144" t="s">
        <v>29</v>
      </c>
      <c r="R199" s="118">
        <f t="shared" ca="1" si="59"/>
        <v>235459</v>
      </c>
      <c r="S199" s="118">
        <f t="shared" ca="1" si="60"/>
        <v>941836</v>
      </c>
      <c r="T199" s="118">
        <f ca="1">초급</f>
        <v>235459</v>
      </c>
      <c r="U199" s="118">
        <f t="shared" ca="1" si="61"/>
        <v>941836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319" t="s">
        <v>42</v>
      </c>
      <c r="O200" s="174">
        <v>8</v>
      </c>
      <c r="P200" s="235">
        <f ca="1">OFFSET($A$1,MATCH(Z194,$A:$A,0)-1,O200)</f>
        <v>4</v>
      </c>
      <c r="Q200" s="322" t="s">
        <v>29</v>
      </c>
      <c r="R200" s="323">
        <f t="shared" ca="1" si="59"/>
        <v>250087</v>
      </c>
      <c r="S200" s="323">
        <f t="shared" ca="1" si="60"/>
        <v>1000348</v>
      </c>
      <c r="T200" s="323">
        <f ca="1">보조원</f>
        <v>250087</v>
      </c>
      <c r="U200" s="323">
        <f t="shared" ca="1" si="61"/>
        <v>1000348</v>
      </c>
      <c r="V200" s="323"/>
      <c r="W200" s="323"/>
      <c r="X200" s="323"/>
      <c r="Y200" s="323"/>
      <c r="Z200" s="324"/>
    </row>
    <row r="201" spans="11:26" ht="18" customHeight="1">
      <c r="K201" s="171" t="s">
        <v>14</v>
      </c>
      <c r="L201" s="171"/>
      <c r="M201" s="171"/>
      <c r="N201" s="139" t="s">
        <v>17</v>
      </c>
      <c r="O201" s="68"/>
      <c r="P201" s="69"/>
      <c r="Q201" s="70"/>
      <c r="R201" s="71"/>
      <c r="S201" s="71">
        <f ca="1">SUBTOTAL(9,S195:S200)</f>
        <v>5425644</v>
      </c>
      <c r="T201" s="71"/>
      <c r="U201" s="71">
        <f ca="1">SUBTOTAL(9,U195:U200)</f>
        <v>5425644</v>
      </c>
      <c r="V201" s="71"/>
      <c r="W201" s="71"/>
      <c r="X201" s="71"/>
      <c r="Y201" s="71"/>
      <c r="Z201" s="68"/>
    </row>
    <row r="202" spans="11:26" ht="18" customHeight="1">
      <c r="K202" s="171" t="s">
        <v>14</v>
      </c>
      <c r="L202" s="171"/>
      <c r="M202" s="171"/>
    </row>
    <row r="203" spans="11:26" ht="18" customHeight="1">
      <c r="K203" s="171" t="s">
        <v>14</v>
      </c>
      <c r="L203" s="171"/>
      <c r="M203" s="171"/>
    </row>
    <row r="204" spans="11:26" ht="18" customHeight="1">
      <c r="K204" s="171" t="s">
        <v>14</v>
      </c>
      <c r="L204" s="171"/>
      <c r="M204" s="171"/>
    </row>
    <row r="205" spans="11:26" ht="18" customHeight="1">
      <c r="K205" s="171" t="s">
        <v>14</v>
      </c>
      <c r="L205" s="171"/>
      <c r="M205" s="171"/>
    </row>
    <row r="206" spans="11:26" ht="18" customHeight="1">
      <c r="K206" s="171" t="s">
        <v>14</v>
      </c>
      <c r="L206" s="171"/>
      <c r="M206" s="171"/>
    </row>
    <row r="207" spans="11:26" ht="18" customHeight="1">
      <c r="K207" s="171" t="s">
        <v>14</v>
      </c>
      <c r="L207" s="171"/>
      <c r="M207" s="171"/>
    </row>
    <row r="208" spans="11:26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</row>
    <row r="807" spans="11:13" ht="18" customHeight="1">
      <c r="K807" s="171" t="s">
        <v>14</v>
      </c>
      <c r="L807" s="171"/>
    </row>
    <row r="808" spans="11:13" ht="18" customHeight="1">
      <c r="K808" s="171" t="s">
        <v>14</v>
      </c>
      <c r="L808" s="171"/>
    </row>
    <row r="809" spans="11:13" ht="18" customHeight="1">
      <c r="K809" s="171" t="s">
        <v>14</v>
      </c>
      <c r="L809" s="171"/>
    </row>
    <row r="810" spans="11:13" ht="18" customHeight="1">
      <c r="K810" s="171" t="s">
        <v>14</v>
      </c>
      <c r="L810" s="171"/>
    </row>
    <row r="811" spans="11:13" ht="18" customHeight="1">
      <c r="K811" s="171" t="s">
        <v>14</v>
      </c>
      <c r="L811" s="171"/>
    </row>
    <row r="812" spans="11:13" ht="18" customHeight="1">
      <c r="K812" s="171" t="s">
        <v>14</v>
      </c>
      <c r="L812" s="171"/>
    </row>
    <row r="813" spans="11:13" ht="18" customHeight="1">
      <c r="K813" s="171" t="s">
        <v>14</v>
      </c>
      <c r="L813" s="171"/>
    </row>
    <row r="814" spans="11:13" ht="18" customHeight="1">
      <c r="K814" s="171" t="s">
        <v>14</v>
      </c>
      <c r="L814" s="171"/>
    </row>
    <row r="815" spans="11:13" ht="18" customHeight="1">
      <c r="K815" s="171" t="s">
        <v>14</v>
      </c>
      <c r="L815" s="171"/>
    </row>
    <row r="816" spans="11:13" ht="18" customHeight="1">
      <c r="K816" s="171" t="s">
        <v>14</v>
      </c>
      <c r="L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K823" s="171" t="s">
        <v>14</v>
      </c>
      <c r="L823" s="171"/>
    </row>
    <row r="824" spans="11:12" ht="18" customHeight="1">
      <c r="K824" s="171" t="s">
        <v>14</v>
      </c>
      <c r="L824" s="171"/>
    </row>
    <row r="825" spans="11:12" ht="18" customHeight="1">
      <c r="K825" s="171" t="s">
        <v>14</v>
      </c>
      <c r="L825" s="171"/>
    </row>
    <row r="826" spans="11:12" ht="18" customHeight="1">
      <c r="K826" s="171" t="s">
        <v>14</v>
      </c>
      <c r="L826" s="171"/>
    </row>
    <row r="827" spans="11:12" ht="18" customHeight="1">
      <c r="K827" s="171" t="s">
        <v>14</v>
      </c>
      <c r="L827" s="171"/>
    </row>
    <row r="828" spans="11:12" ht="18" customHeight="1">
      <c r="K828" s="171" t="s">
        <v>14</v>
      </c>
      <c r="L828" s="171"/>
    </row>
    <row r="829" spans="11:12" ht="18" customHeight="1">
      <c r="K829" s="171" t="s">
        <v>14</v>
      </c>
      <c r="L829" s="171"/>
    </row>
    <row r="830" spans="11:12" ht="18" customHeight="1">
      <c r="K830" s="171" t="s">
        <v>14</v>
      </c>
      <c r="L830" s="171"/>
    </row>
    <row r="831" spans="11:12" ht="18" customHeight="1">
      <c r="K831" s="171" t="s">
        <v>14</v>
      </c>
      <c r="L831" s="171"/>
    </row>
    <row r="832" spans="11:12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K839" s="171" t="s">
        <v>14</v>
      </c>
      <c r="L839" s="171"/>
    </row>
    <row r="840" spans="11:12" ht="18" customHeight="1">
      <c r="K840" s="171" t="s">
        <v>14</v>
      </c>
      <c r="L840" s="171"/>
    </row>
    <row r="841" spans="11:12" ht="18" customHeight="1">
      <c r="K841" s="171" t="s">
        <v>14</v>
      </c>
      <c r="L841" s="171"/>
    </row>
    <row r="842" spans="11:12" ht="18" customHeight="1">
      <c r="L842" s="171"/>
    </row>
    <row r="843" spans="11:12" ht="18" customHeight="1">
      <c r="L843" s="171"/>
    </row>
    <row r="844" spans="11:12" ht="18" customHeight="1">
      <c r="L844" s="171"/>
    </row>
  </sheetData>
  <mergeCells count="17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Z56:Z57"/>
    <mergeCell ref="B12:C13"/>
    <mergeCell ref="J12:J13"/>
    <mergeCell ref="L12:L13"/>
    <mergeCell ref="Q56:Q57"/>
    <mergeCell ref="N56:N57"/>
    <mergeCell ref="O56:O57"/>
    <mergeCell ref="P56:P57"/>
  </mergeCells>
  <phoneticPr fontId="14" type="noConversion"/>
  <conditionalFormatting sqref="V14:V39">
    <cfRule type="cellIs" dxfId="16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42" min="13" max="28" man="1"/>
    <brk id="63" min="13" max="28" man="1"/>
  </rowBreaks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 codeName="Sheet103">
    <tabColor theme="5" tint="0.39997558519241921"/>
    <pageSetUpPr fitToPage="1"/>
  </sheetPr>
  <dimension ref="A1:Z841"/>
  <sheetViews>
    <sheetView showGridLines="0" topLeftCell="A28" zoomScale="85" zoomScaleNormal="85" zoomScaleSheetLayoutView="75" workbookViewId="0">
      <selection activeCell="E45" sqref="E45"/>
    </sheetView>
  </sheetViews>
  <sheetFormatPr defaultColWidth="12" defaultRowHeight="18" customHeight="1"/>
  <cols>
    <col min="1" max="1" width="5.5" style="1" customWidth="1"/>
    <col min="2" max="2" width="3.6640625" style="1" customWidth="1"/>
    <col min="3" max="3" width="48.1640625" style="1" customWidth="1"/>
    <col min="4" max="5" width="10.5" style="1" customWidth="1"/>
    <col min="6" max="9" width="11.83203125" style="1" customWidth="1"/>
    <col min="10" max="10" width="12.5" style="1" customWidth="1"/>
    <col min="11" max="11" width="5.33203125" style="1" customWidth="1"/>
    <col min="12" max="12" width="9.5" style="1" customWidth="1"/>
    <col min="13" max="13" width="5.33203125" style="1" customWidth="1"/>
    <col min="14" max="14" width="18.1640625" style="1" customWidth="1"/>
    <col min="15" max="15" width="8.6640625" style="1" customWidth="1"/>
    <col min="16" max="16" width="13" style="1" bestFit="1" customWidth="1"/>
    <col min="17" max="17" width="8.33203125" style="1" bestFit="1" customWidth="1"/>
    <col min="18" max="18" width="14.5" style="6" bestFit="1" customWidth="1"/>
    <col min="19" max="19" width="19.1640625" style="6" bestFit="1" customWidth="1"/>
    <col min="20" max="20" width="13.1640625" style="6" bestFit="1" customWidth="1"/>
    <col min="21" max="21" width="21" style="6" bestFit="1" customWidth="1"/>
    <col min="22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356" t="s">
        <v>2691</v>
      </c>
      <c r="Z1" s="391" t="str">
        <f>CHOOSE(F5,"1. 참여인원 20인 기준","1. 참여인원 30인 기준")</f>
        <v>1. 참여인원 20인 기준</v>
      </c>
    </row>
    <row r="2" spans="1:26" ht="19.5" thickBot="1">
      <c r="B2" s="66" t="s">
        <v>1</v>
      </c>
      <c r="Z2" s="391" t="str">
        <f>CHOOSE(F5,"2. 참여인원 50인 기준","2. 참여인원 50인 기준")</f>
        <v>2. 참여인원 50인 기준</v>
      </c>
    </row>
    <row r="3" spans="1:26" ht="19.5" customHeight="1">
      <c r="B3" s="773" t="s">
        <v>667</v>
      </c>
      <c r="C3" s="774"/>
      <c r="D3" s="775">
        <v>4</v>
      </c>
      <c r="E3" s="776"/>
      <c r="F3" s="44" t="s">
        <v>669</v>
      </c>
      <c r="G3" s="750"/>
      <c r="H3" s="315"/>
      <c r="Z3" s="391" t="str">
        <f>CHOOSE(F5,"3. 참여인원 100인 기준","3. 참여인원 100인 기준")</f>
        <v>3. 참여인원 100인 기준</v>
      </c>
    </row>
    <row r="4" spans="1:26" ht="21.75" customHeight="1">
      <c r="B4" s="777" t="s">
        <v>668</v>
      </c>
      <c r="C4" s="778"/>
      <c r="D4" s="779">
        <v>4</v>
      </c>
      <c r="E4" s="780"/>
      <c r="F4" s="65" t="str">
        <f>F3</f>
        <v>회</v>
      </c>
      <c r="G4" s="29"/>
      <c r="J4" s="751"/>
      <c r="Z4" s="391" t="str">
        <f>CHOOSE(F5,"4. 참여인원 150인 기준","")</f>
        <v>4. 참여인원 150인 기준</v>
      </c>
    </row>
    <row r="5" spans="1:26" ht="24" customHeight="1">
      <c r="B5" s="777" t="s">
        <v>2692</v>
      </c>
      <c r="C5" s="814"/>
      <c r="D5" s="815">
        <f>ROUND((D4/D3)^0.6,3)</f>
        <v>1</v>
      </c>
      <c r="E5" s="816"/>
      <c r="F5" s="441">
        <v>1</v>
      </c>
      <c r="G5" s="29"/>
      <c r="J5" s="751"/>
      <c r="Z5" s="391" t="str">
        <f>CHOOSE(F5,"5. 참여인원 200인 기준","")</f>
        <v>5. 참여인원 200인 기준</v>
      </c>
    </row>
    <row r="6" spans="1:26" ht="24" customHeight="1" thickBot="1">
      <c r="B6" s="781" t="s">
        <v>2693</v>
      </c>
      <c r="C6" s="782"/>
      <c r="D6" s="783">
        <f>IF(F5=1,CHOOSE(F6,0.726,1,1.275,1.469,1.625,1.756),CHOOSE(F6,0.8,1,1.2))</f>
        <v>1</v>
      </c>
      <c r="E6" s="784"/>
      <c r="F6" s="430">
        <v>2</v>
      </c>
      <c r="G6" s="29"/>
      <c r="J6" s="751"/>
      <c r="Z6" s="391" t="str">
        <f>CHOOSE(F5,"6. 참여인원 250인 기준","")</f>
        <v>6. 참여인원 250인 기준</v>
      </c>
    </row>
    <row r="7" spans="1:26" ht="24" customHeight="1">
      <c r="B7" s="677"/>
      <c r="C7" s="677"/>
      <c r="D7" s="64"/>
      <c r="E7" s="64"/>
      <c r="F7" s="391"/>
      <c r="J7" s="751"/>
    </row>
    <row r="8" spans="1:26" ht="24" customHeight="1">
      <c r="B8" s="677"/>
      <c r="C8" s="677"/>
      <c r="D8" s="64"/>
      <c r="E8" s="64"/>
      <c r="F8" s="391"/>
      <c r="J8" s="751"/>
    </row>
    <row r="9" spans="1:26" ht="23.25" customHeight="1">
      <c r="B9" s="861"/>
      <c r="C9" s="861"/>
      <c r="D9" s="824"/>
      <c r="E9" s="824"/>
      <c r="F9" s="171"/>
      <c r="J9" s="751"/>
    </row>
    <row r="10" spans="1:26" ht="23.25" customHeight="1">
      <c r="B10" s="861"/>
      <c r="C10" s="861"/>
      <c r="D10" s="824"/>
      <c r="E10" s="824"/>
      <c r="F10" s="458"/>
      <c r="G10" s="428"/>
      <c r="H10" s="428"/>
      <c r="I10" s="428"/>
      <c r="J10" s="42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SUBTOTAL(9,W13:W47)</f>
        <v>60434268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SUBTOTAL(9,W14:W44)</f>
        <v>26760025</v>
      </c>
      <c r="X13" s="164"/>
      <c r="Y13" s="178" t="s">
        <v>9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SUBTOTAL(9,W15:W40)</f>
        <v>18760025</v>
      </c>
      <c r="X14" s="256"/>
      <c r="Y14" s="220"/>
      <c r="Z14" s="220"/>
    </row>
    <row r="15" spans="1:26" ht="18" customHeight="1">
      <c r="A15" s="279"/>
      <c r="B15" s="225" t="s">
        <v>857</v>
      </c>
      <c r="C15" s="72"/>
      <c r="D15" s="30">
        <f t="shared" ref="D15:I15" si="0">SUBTOTAL(9,D16:D17)</f>
        <v>0</v>
      </c>
      <c r="E15" s="31">
        <f t="shared" si="0"/>
        <v>1</v>
      </c>
      <c r="F15" s="31">
        <f t="shared" si="0"/>
        <v>0</v>
      </c>
      <c r="G15" s="31">
        <f t="shared" si="0"/>
        <v>0</v>
      </c>
      <c r="H15" s="31">
        <f t="shared" si="0"/>
        <v>0</v>
      </c>
      <c r="I15" s="32">
        <f t="shared" si="0"/>
        <v>0</v>
      </c>
      <c r="J15" s="654"/>
      <c r="L15" s="232"/>
      <c r="N15" s="354" t="str">
        <f>B15</f>
        <v>1. 퍼실리테이션 기획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SUBTOTAL(9,W16:W17)</f>
        <v>373352</v>
      </c>
      <c r="X15" s="194"/>
      <c r="Y15" s="170" t="str">
        <f>IF(A41&gt;0, "제 " &amp;A41&amp; " 호표","")</f>
        <v/>
      </c>
      <c r="Z15" s="170"/>
    </row>
    <row r="16" spans="1:26" ht="18" customHeight="1">
      <c r="A16" s="279"/>
      <c r="B16" s="223" t="s">
        <v>2694</v>
      </c>
      <c r="C16" s="253"/>
      <c r="D16" s="752">
        <v>0</v>
      </c>
      <c r="E16" s="753">
        <v>0.5</v>
      </c>
      <c r="F16" s="753">
        <v>0</v>
      </c>
      <c r="G16" s="753">
        <v>0</v>
      </c>
      <c r="H16" s="753">
        <v>0</v>
      </c>
      <c r="I16" s="754">
        <v>0</v>
      </c>
      <c r="J16" s="653" t="s">
        <v>2696</v>
      </c>
      <c r="L16" s="232">
        <v>1</v>
      </c>
      <c r="N16" s="292" t="str">
        <f t="shared" ref="N16:N39" si="1">B16</f>
        <v>1.1. 조직배분 및 구성</v>
      </c>
      <c r="O16" s="169"/>
      <c r="P16" s="169"/>
      <c r="Q16" s="169"/>
      <c r="R16" s="169"/>
      <c r="S16" s="169"/>
      <c r="T16" s="169"/>
      <c r="U16" s="226"/>
      <c r="V16" s="248"/>
      <c r="W16" s="153">
        <f t="array" aca="1" ref="W16" ca="1">SUM((ROUNDDOWN((D42:I42)*단가*IF($F$5=1,1,0),0)))</f>
        <v>186676</v>
      </c>
      <c r="X16" s="194"/>
      <c r="Y16" s="170" t="str">
        <f>IF(A42&lt;&gt;"", "제 " &amp;A42&amp; " 호표","")</f>
        <v>제 1 호표</v>
      </c>
      <c r="Z16" s="170"/>
    </row>
    <row r="17" spans="1:26" ht="18" customHeight="1">
      <c r="A17" s="279"/>
      <c r="B17" s="223" t="s">
        <v>2695</v>
      </c>
      <c r="C17" s="253"/>
      <c r="D17" s="752">
        <v>0</v>
      </c>
      <c r="E17" s="753">
        <v>0.5</v>
      </c>
      <c r="F17" s="753">
        <v>0</v>
      </c>
      <c r="G17" s="753">
        <v>0</v>
      </c>
      <c r="H17" s="753">
        <v>0</v>
      </c>
      <c r="I17" s="754">
        <v>0</v>
      </c>
      <c r="J17" s="653" t="s">
        <v>2717</v>
      </c>
      <c r="L17" s="232">
        <v>1</v>
      </c>
      <c r="N17" s="292" t="str">
        <f t="shared" si="1"/>
        <v>1.2. 프로세스 구성</v>
      </c>
      <c r="O17" s="169"/>
      <c r="P17" s="169"/>
      <c r="Q17" s="169"/>
      <c r="R17" s="169"/>
      <c r="S17" s="169"/>
      <c r="T17" s="169"/>
      <c r="U17" s="226"/>
      <c r="V17" s="248"/>
      <c r="W17" s="153">
        <f t="array" aca="1" ref="W17" ca="1">SUM((ROUNDDOWN((D43:I43)*단가*IF($F$5=1,1,0),0)))</f>
        <v>186676</v>
      </c>
      <c r="X17" s="194"/>
      <c r="Y17" s="170" t="str">
        <f>IF(A43&lt;&gt;"", "제 " &amp;A43&amp; " 호표","")</f>
        <v>제 2 호표</v>
      </c>
      <c r="Z17" s="170"/>
    </row>
    <row r="18" spans="1:26" ht="18" customHeight="1">
      <c r="A18" s="279"/>
      <c r="B18" s="393" t="s">
        <v>858</v>
      </c>
      <c r="C18" s="253"/>
      <c r="D18" s="30">
        <f t="shared" ref="D18:I18" si="2">SUBTOTAL(9,D19:D19)</f>
        <v>0</v>
      </c>
      <c r="E18" s="31">
        <f t="shared" si="2"/>
        <v>1</v>
      </c>
      <c r="F18" s="31">
        <f t="shared" si="2"/>
        <v>2.4</v>
      </c>
      <c r="G18" s="31">
        <f t="shared" si="2"/>
        <v>1.6</v>
      </c>
      <c r="H18" s="31">
        <f t="shared" si="2"/>
        <v>0.5</v>
      </c>
      <c r="I18" s="32">
        <f t="shared" si="2"/>
        <v>0</v>
      </c>
      <c r="J18" s="653"/>
      <c r="L18" s="232"/>
      <c r="N18" s="354" t="str">
        <f t="shared" si="1"/>
        <v>2. 목표정립</v>
      </c>
      <c r="O18" s="169"/>
      <c r="P18" s="169"/>
      <c r="Q18" s="169"/>
      <c r="R18" s="169"/>
      <c r="S18" s="169"/>
      <c r="T18" s="169"/>
      <c r="U18" s="226"/>
      <c r="V18" s="248"/>
      <c r="W18" s="193">
        <f ca="1">SUBTOTAL(9,W19)</f>
        <v>1709423</v>
      </c>
      <c r="X18" s="194"/>
      <c r="Y18" s="170" t="str">
        <f>IF(A44&gt;0, "제 " &amp;A44&amp; " 호표","")</f>
        <v/>
      </c>
      <c r="Z18" s="170"/>
    </row>
    <row r="19" spans="1:26" ht="18" customHeight="1">
      <c r="A19" s="279"/>
      <c r="B19" s="223" t="s">
        <v>2697</v>
      </c>
      <c r="C19" s="253"/>
      <c r="D19" s="752">
        <v>0</v>
      </c>
      <c r="E19" s="753">
        <v>1</v>
      </c>
      <c r="F19" s="753">
        <v>2.4</v>
      </c>
      <c r="G19" s="753">
        <v>1.6</v>
      </c>
      <c r="H19" s="753">
        <v>0.5</v>
      </c>
      <c r="I19" s="754">
        <v>0</v>
      </c>
      <c r="J19" s="653" t="s">
        <v>1090</v>
      </c>
      <c r="L19" s="232">
        <v>1</v>
      </c>
      <c r="N19" s="292" t="str">
        <f t="shared" si="1"/>
        <v>2.1. 비전만들기</v>
      </c>
      <c r="O19" s="169"/>
      <c r="P19" s="169"/>
      <c r="Q19" s="169"/>
      <c r="R19" s="169"/>
      <c r="S19" s="169"/>
      <c r="T19" s="169"/>
      <c r="U19" s="226"/>
      <c r="V19" s="248"/>
      <c r="W19" s="153">
        <f t="array" aca="1" ref="W19" ca="1">SUM((ROUNDDOWN((D45:I45)*단가*IF($F$5=1,1,0),0)))</f>
        <v>1709423</v>
      </c>
      <c r="X19" s="194"/>
      <c r="Y19" s="170" t="str">
        <f>IF(A45&lt;&gt;"", "제 " &amp;A45&amp; " 호표","")</f>
        <v>제 3 호표</v>
      </c>
      <c r="Z19" s="170"/>
    </row>
    <row r="20" spans="1:26" ht="18" customHeight="1">
      <c r="A20" s="279"/>
      <c r="B20" s="393" t="s">
        <v>859</v>
      </c>
      <c r="C20" s="23"/>
      <c r="D20" s="30">
        <f t="shared" ref="D20:I20" si="3">SUBTOTAL(9,D21:D23)</f>
        <v>0</v>
      </c>
      <c r="E20" s="31">
        <f t="shared" si="3"/>
        <v>3</v>
      </c>
      <c r="F20" s="31">
        <f t="shared" si="3"/>
        <v>7.1999999999999993</v>
      </c>
      <c r="G20" s="31">
        <f t="shared" si="3"/>
        <v>4.8000000000000007</v>
      </c>
      <c r="H20" s="31">
        <f t="shared" si="3"/>
        <v>1.5</v>
      </c>
      <c r="I20" s="32">
        <f t="shared" si="3"/>
        <v>0</v>
      </c>
      <c r="J20" s="389"/>
      <c r="L20" s="232"/>
      <c r="N20" s="354" t="str">
        <f t="shared" si="1"/>
        <v>3. 핵심과제 도출</v>
      </c>
      <c r="O20" s="169"/>
      <c r="P20" s="169"/>
      <c r="Q20" s="169"/>
      <c r="R20" s="169"/>
      <c r="S20" s="169"/>
      <c r="T20" s="169"/>
      <c r="U20" s="226"/>
      <c r="V20" s="248"/>
      <c r="W20" s="193">
        <f ca="1">SUBTOTAL(9,W21:W23)</f>
        <v>5128269</v>
      </c>
      <c r="X20" s="194"/>
      <c r="Y20" s="170" t="str">
        <f>IF(A46&gt;0, "제 " &amp;A46&amp; " 호표","")</f>
        <v/>
      </c>
      <c r="Z20" s="170"/>
    </row>
    <row r="21" spans="1:26" ht="18" customHeight="1">
      <c r="A21" s="279"/>
      <c r="B21" s="223" t="s">
        <v>2698</v>
      </c>
      <c r="C21" s="253"/>
      <c r="D21" s="752">
        <v>0</v>
      </c>
      <c r="E21" s="753">
        <v>1</v>
      </c>
      <c r="F21" s="753">
        <v>2.4</v>
      </c>
      <c r="G21" s="753">
        <v>1.6</v>
      </c>
      <c r="H21" s="753">
        <v>0.5</v>
      </c>
      <c r="I21" s="754">
        <v>0</v>
      </c>
      <c r="J21" s="653" t="s">
        <v>1090</v>
      </c>
      <c r="L21" s="232">
        <v>1</v>
      </c>
      <c r="N21" s="292" t="str">
        <f t="shared" si="1"/>
        <v>3.1. 이슈도출</v>
      </c>
      <c r="O21" s="169"/>
      <c r="P21" s="169"/>
      <c r="Q21" s="169"/>
      <c r="R21" s="169"/>
      <c r="S21" s="169"/>
      <c r="T21" s="169"/>
      <c r="U21" s="226"/>
      <c r="V21" s="248"/>
      <c r="W21" s="153">
        <f t="array" aca="1" ref="W21" ca="1">SUM((ROUNDDOWN((D47:I47)*단가*IF($F$5=1,1,0),0)))</f>
        <v>1709423</v>
      </c>
      <c r="X21" s="194"/>
      <c r="Y21" s="170" t="str">
        <f>IF(A47&lt;&gt;"", "제 " &amp;A47&amp; " 호표","")</f>
        <v>제 4 호표</v>
      </c>
      <c r="Z21" s="170"/>
    </row>
    <row r="22" spans="1:26" ht="18" customHeight="1">
      <c r="A22" s="279"/>
      <c r="B22" s="223" t="s">
        <v>2699</v>
      </c>
      <c r="C22" s="253"/>
      <c r="D22" s="752">
        <v>0</v>
      </c>
      <c r="E22" s="753">
        <v>1</v>
      </c>
      <c r="F22" s="753">
        <v>2.4</v>
      </c>
      <c r="G22" s="753">
        <v>1.6</v>
      </c>
      <c r="H22" s="753">
        <v>0.5</v>
      </c>
      <c r="I22" s="754">
        <v>0</v>
      </c>
      <c r="J22" s="653" t="s">
        <v>1090</v>
      </c>
      <c r="L22" s="232">
        <v>1</v>
      </c>
      <c r="N22" s="292" t="str">
        <f t="shared" si="1"/>
        <v>3.2. SWOT분석</v>
      </c>
      <c r="O22" s="169"/>
      <c r="P22" s="169"/>
      <c r="Q22" s="169"/>
      <c r="R22" s="169"/>
      <c r="S22" s="169"/>
      <c r="T22" s="169"/>
      <c r="U22" s="226"/>
      <c r="V22" s="248"/>
      <c r="W22" s="153">
        <f t="array" aca="1" ref="W22" ca="1">SUM((ROUNDDOWN((D48:I48)*단가*IF($F$5=1,1,0),0)))</f>
        <v>1709423</v>
      </c>
      <c r="X22" s="194"/>
      <c r="Y22" s="170" t="str">
        <f>IF(A48&lt;&gt;"", "제 " &amp;A48&amp; " 호표","")</f>
        <v>제 5 호표</v>
      </c>
      <c r="Z22" s="170"/>
    </row>
    <row r="23" spans="1:26" ht="18" customHeight="1">
      <c r="A23" s="279"/>
      <c r="B23" s="223" t="s">
        <v>2700</v>
      </c>
      <c r="C23" s="253"/>
      <c r="D23" s="752">
        <v>0</v>
      </c>
      <c r="E23" s="753">
        <v>1</v>
      </c>
      <c r="F23" s="753">
        <v>2.4</v>
      </c>
      <c r="G23" s="753">
        <v>1.6</v>
      </c>
      <c r="H23" s="753">
        <v>0.5</v>
      </c>
      <c r="I23" s="754">
        <v>0</v>
      </c>
      <c r="J23" s="653" t="s">
        <v>2716</v>
      </c>
      <c r="L23" s="232">
        <v>1</v>
      </c>
      <c r="N23" s="292" t="str">
        <f t="shared" si="1"/>
        <v>3.3. 핵심과제 도출</v>
      </c>
      <c r="O23" s="169"/>
      <c r="P23" s="169"/>
      <c r="Q23" s="169"/>
      <c r="R23" s="169"/>
      <c r="S23" s="169"/>
      <c r="T23" s="169"/>
      <c r="U23" s="226"/>
      <c r="V23" s="248"/>
      <c r="W23" s="153">
        <f t="array" aca="1" ref="W23" ca="1">SUM((ROUNDDOWN((D49:I49)*단가*IF($F$5=1,1,0),0)))</f>
        <v>1709423</v>
      </c>
      <c r="X23" s="194"/>
      <c r="Y23" s="170" t="str">
        <f>IF(A49&lt;&gt;"", "제 " &amp;A49&amp; " 호표","")</f>
        <v>제 6 호표</v>
      </c>
      <c r="Z23" s="170"/>
    </row>
    <row r="24" spans="1:26" ht="18" customHeight="1">
      <c r="A24" s="279"/>
      <c r="B24" s="393" t="s">
        <v>860</v>
      </c>
      <c r="C24" s="23"/>
      <c r="D24" s="30">
        <f t="shared" ref="D24:I24" si="4">SUBTOTAL(9,D25:D28)</f>
        <v>0</v>
      </c>
      <c r="E24" s="31">
        <f t="shared" si="4"/>
        <v>6</v>
      </c>
      <c r="F24" s="31">
        <f t="shared" si="4"/>
        <v>14.4</v>
      </c>
      <c r="G24" s="31">
        <f t="shared" si="4"/>
        <v>9.6</v>
      </c>
      <c r="H24" s="31">
        <f t="shared" si="4"/>
        <v>2.8</v>
      </c>
      <c r="I24" s="32">
        <f t="shared" si="4"/>
        <v>0</v>
      </c>
      <c r="J24" s="389"/>
      <c r="L24" s="232"/>
      <c r="N24" s="354" t="str">
        <f t="shared" si="1"/>
        <v>4. 의사결정</v>
      </c>
      <c r="O24" s="169"/>
      <c r="P24" s="169"/>
      <c r="Q24" s="169"/>
      <c r="R24" s="169"/>
      <c r="S24" s="169"/>
      <c r="T24" s="169"/>
      <c r="U24" s="226"/>
      <c r="V24" s="248"/>
      <c r="W24" s="193">
        <f ca="1">SUBTOTAL(9,W25:W28)</f>
        <v>10209452</v>
      </c>
      <c r="X24" s="194"/>
      <c r="Y24" s="170" t="str">
        <f>IF(A50&gt;0, "제 " &amp;A50&amp; " 호표","")</f>
        <v/>
      </c>
      <c r="Z24" s="170"/>
    </row>
    <row r="25" spans="1:26" ht="18" customHeight="1">
      <c r="A25" s="279"/>
      <c r="B25" s="223" t="s">
        <v>2701</v>
      </c>
      <c r="C25" s="253"/>
      <c r="D25" s="752">
        <v>0</v>
      </c>
      <c r="E25" s="753">
        <v>1.5</v>
      </c>
      <c r="F25" s="753">
        <v>3.6</v>
      </c>
      <c r="G25" s="753">
        <v>2.4</v>
      </c>
      <c r="H25" s="753">
        <v>0.7</v>
      </c>
      <c r="I25" s="754">
        <v>0</v>
      </c>
      <c r="J25" s="653" t="s">
        <v>2719</v>
      </c>
      <c r="L25" s="232">
        <v>1</v>
      </c>
      <c r="N25" s="292" t="str">
        <f t="shared" si="1"/>
        <v>4.1. 전략수립</v>
      </c>
      <c r="O25" s="169"/>
      <c r="P25" s="169"/>
      <c r="Q25" s="169"/>
      <c r="R25" s="169"/>
      <c r="S25" s="169"/>
      <c r="T25" s="169"/>
      <c r="U25" s="226"/>
      <c r="V25" s="248"/>
      <c r="W25" s="153">
        <f t="array" aca="1" ref="W25" ca="1">SUM((ROUNDDOWN((D51:I51)*단가*IF($F$5=1,1,0),0)))</f>
        <v>2552363</v>
      </c>
      <c r="X25" s="194"/>
      <c r="Y25" s="170" t="str">
        <f>IF(A51&lt;&gt;"", "제 " &amp;A51&amp; " 호표","")</f>
        <v>제 7 호표</v>
      </c>
      <c r="Z25" s="170"/>
    </row>
    <row r="26" spans="1:26" ht="18" customHeight="1">
      <c r="A26" s="279"/>
      <c r="B26" s="223" t="s">
        <v>2702</v>
      </c>
      <c r="C26" s="253"/>
      <c r="D26" s="752">
        <v>0</v>
      </c>
      <c r="E26" s="753">
        <v>1.5</v>
      </c>
      <c r="F26" s="753">
        <v>3.6</v>
      </c>
      <c r="G26" s="753">
        <v>2.4</v>
      </c>
      <c r="H26" s="753">
        <v>0.7</v>
      </c>
      <c r="I26" s="754">
        <v>0</v>
      </c>
      <c r="J26" s="653" t="s">
        <v>2718</v>
      </c>
      <c r="L26" s="232">
        <v>1</v>
      </c>
      <c r="N26" s="292" t="str">
        <f t="shared" si="1"/>
        <v>4.2. 아이디어 창출</v>
      </c>
      <c r="O26" s="169"/>
      <c r="P26" s="169"/>
      <c r="Q26" s="169"/>
      <c r="R26" s="169"/>
      <c r="S26" s="169"/>
      <c r="T26" s="169"/>
      <c r="U26" s="226"/>
      <c r="V26" s="248"/>
      <c r="W26" s="153">
        <f t="array" aca="1" ref="W26" ca="1">SUM((ROUNDDOWN((D52:I52)*단가*IF($F$5=1,1,0),0)))</f>
        <v>2552363</v>
      </c>
      <c r="X26" s="194"/>
      <c r="Y26" s="170" t="str">
        <f>IF(A52&lt;&gt;"", "제 " &amp;A52&amp; " 호표","")</f>
        <v>제 8 호표</v>
      </c>
      <c r="Z26" s="170"/>
    </row>
    <row r="27" spans="1:26" ht="18" customHeight="1">
      <c r="A27" s="279"/>
      <c r="B27" s="223" t="s">
        <v>2703</v>
      </c>
      <c r="C27" s="253"/>
      <c r="D27" s="752">
        <v>0</v>
      </c>
      <c r="E27" s="753">
        <v>1.5</v>
      </c>
      <c r="F27" s="753">
        <v>3.6</v>
      </c>
      <c r="G27" s="753">
        <v>2.4</v>
      </c>
      <c r="H27" s="753">
        <v>0.7</v>
      </c>
      <c r="I27" s="754">
        <v>0</v>
      </c>
      <c r="J27" s="653" t="s">
        <v>2718</v>
      </c>
      <c r="L27" s="232">
        <v>1</v>
      </c>
      <c r="N27" s="292" t="str">
        <f t="shared" si="1"/>
        <v>4.3. 문제해결방안 도출</v>
      </c>
      <c r="O27" s="169"/>
      <c r="P27" s="169"/>
      <c r="Q27" s="169"/>
      <c r="R27" s="169"/>
      <c r="S27" s="169"/>
      <c r="T27" s="169"/>
      <c r="U27" s="226"/>
      <c r="V27" s="248"/>
      <c r="W27" s="153">
        <f t="array" aca="1" ref="W27" ca="1">SUM((ROUNDDOWN((D53:I53)*단가*IF($F$5=1,1,0),0)))</f>
        <v>2552363</v>
      </c>
      <c r="X27" s="194"/>
      <c r="Y27" s="170" t="str">
        <f>IF(A53&lt;&gt;"", "제 " &amp;A53&amp; " 호표","")</f>
        <v>제 9 호표</v>
      </c>
      <c r="Z27" s="170"/>
    </row>
    <row r="28" spans="1:26" ht="18" customHeight="1">
      <c r="A28" s="279"/>
      <c r="B28" s="223" t="s">
        <v>2704</v>
      </c>
      <c r="C28" s="253"/>
      <c r="D28" s="752">
        <v>0</v>
      </c>
      <c r="E28" s="753">
        <v>1.5</v>
      </c>
      <c r="F28" s="753">
        <v>3.6</v>
      </c>
      <c r="G28" s="753">
        <v>2.4</v>
      </c>
      <c r="H28" s="753">
        <v>0.7</v>
      </c>
      <c r="I28" s="754">
        <v>0</v>
      </c>
      <c r="J28" s="653" t="s">
        <v>2718</v>
      </c>
      <c r="L28" s="232">
        <v>1</v>
      </c>
      <c r="N28" s="292" t="str">
        <f t="shared" si="1"/>
        <v>4.4. 갈등해결방안 도출</v>
      </c>
      <c r="O28" s="169"/>
      <c r="P28" s="169"/>
      <c r="Q28" s="169"/>
      <c r="R28" s="169"/>
      <c r="S28" s="169"/>
      <c r="T28" s="169"/>
      <c r="U28" s="226"/>
      <c r="V28" s="248"/>
      <c r="W28" s="153">
        <f t="array" aca="1" ref="W28" ca="1">SUM((ROUNDDOWN((D54:I54)*단가*IF($F$5=1,1,0),0)))</f>
        <v>2552363</v>
      </c>
      <c r="X28" s="194"/>
      <c r="Y28" s="170" t="str">
        <f>IF(A54&lt;&gt;"", "제 " &amp;A54&amp; " 호표","")</f>
        <v>제 10 호표</v>
      </c>
      <c r="Z28" s="170"/>
    </row>
    <row r="29" spans="1:26" ht="18" customHeight="1">
      <c r="A29" s="279"/>
      <c r="B29" s="393" t="s">
        <v>2705</v>
      </c>
      <c r="C29" s="23"/>
      <c r="D29" s="30">
        <f t="shared" ref="D29:I29" si="5">SUBTOTAL(9,D30:D33)</f>
        <v>9</v>
      </c>
      <c r="E29" s="31">
        <f t="shared" si="5"/>
        <v>18</v>
      </c>
      <c r="F29" s="31">
        <f t="shared" si="5"/>
        <v>30</v>
      </c>
      <c r="G29" s="31">
        <f t="shared" si="5"/>
        <v>25</v>
      </c>
      <c r="H29" s="31">
        <f t="shared" si="5"/>
        <v>25</v>
      </c>
      <c r="I29" s="32">
        <f t="shared" si="5"/>
        <v>0</v>
      </c>
      <c r="J29" s="389"/>
      <c r="L29" s="232"/>
      <c r="N29" s="354" t="str">
        <f t="shared" ref="N29:N37" si="6">B29</f>
        <v>5. 스마트도시 시민 리빙랩</v>
      </c>
      <c r="O29" s="169"/>
      <c r="P29" s="169"/>
      <c r="Q29" s="169"/>
      <c r="R29" s="169"/>
      <c r="S29" s="169"/>
      <c r="T29" s="169"/>
      <c r="U29" s="226"/>
      <c r="V29" s="248"/>
      <c r="W29" s="193">
        <f ca="1">SUBTOTAL(9,W30:W37)</f>
        <v>0</v>
      </c>
      <c r="X29" s="194"/>
      <c r="Y29" s="170" t="str">
        <f>IF(A55&gt;0, "제 " &amp;A55&amp; " 호표","")</f>
        <v/>
      </c>
      <c r="Z29" s="170"/>
    </row>
    <row r="30" spans="1:26" ht="18" customHeight="1">
      <c r="A30" s="279"/>
      <c r="B30" s="223" t="s">
        <v>2706</v>
      </c>
      <c r="C30" s="253"/>
      <c r="D30" s="752">
        <v>3</v>
      </c>
      <c r="E30" s="753">
        <v>6</v>
      </c>
      <c r="F30" s="753">
        <v>6</v>
      </c>
      <c r="G30" s="753">
        <v>10</v>
      </c>
      <c r="H30" s="753">
        <v>15</v>
      </c>
      <c r="I30" s="754">
        <v>0</v>
      </c>
      <c r="J30" s="653" t="s">
        <v>1090</v>
      </c>
      <c r="L30" s="232">
        <v>1</v>
      </c>
      <c r="N30" s="292" t="str">
        <f t="shared" si="6"/>
        <v>5.1. 사전준비</v>
      </c>
      <c r="O30" s="169"/>
      <c r="P30" s="169"/>
      <c r="Q30" s="169"/>
      <c r="R30" s="169"/>
      <c r="S30" s="169"/>
      <c r="T30" s="169"/>
      <c r="U30" s="226"/>
      <c r="V30" s="248"/>
      <c r="W30" s="153">
        <f t="array" aca="1" ref="W30" ca="1">SUM((ROUNDDOWN((D56:I56)*단가*IF($F$5=1,0,1),0)))</f>
        <v>0</v>
      </c>
      <c r="X30" s="194"/>
      <c r="Y30" s="170" t="str">
        <f>IF(A56&lt;&gt;"", "제 " &amp;A56&amp; " 호표","")</f>
        <v/>
      </c>
      <c r="Z30" s="170"/>
    </row>
    <row r="31" spans="1:26" ht="18" customHeight="1">
      <c r="A31" s="279"/>
      <c r="B31" s="223" t="s">
        <v>2707</v>
      </c>
      <c r="C31" s="253"/>
      <c r="D31" s="752">
        <v>2</v>
      </c>
      <c r="E31" s="753">
        <v>4</v>
      </c>
      <c r="F31" s="753">
        <v>8</v>
      </c>
      <c r="G31" s="753">
        <v>3</v>
      </c>
      <c r="H31" s="753">
        <v>2</v>
      </c>
      <c r="I31" s="754">
        <v>0</v>
      </c>
      <c r="J31" s="653" t="s">
        <v>1090</v>
      </c>
      <c r="L31" s="232">
        <v>1</v>
      </c>
      <c r="N31" s="292" t="str">
        <f t="shared" si="6"/>
        <v>5.2. 핵심과제 도출</v>
      </c>
      <c r="O31" s="169"/>
      <c r="P31" s="169"/>
      <c r="Q31" s="169"/>
      <c r="R31" s="169"/>
      <c r="S31" s="169"/>
      <c r="T31" s="169"/>
      <c r="U31" s="226"/>
      <c r="V31" s="248"/>
      <c r="W31" s="153">
        <f t="array" aca="1" ref="W31" ca="1">SUM((ROUNDDOWN((D57:I57)*단가*IF($F$5=1,0,1),0)))</f>
        <v>0</v>
      </c>
      <c r="X31" s="194"/>
      <c r="Y31" s="170" t="str">
        <f t="shared" ref="Y31:Y37" si="7">IF(A57&lt;&gt;"", "제 " &amp;A57&amp; " 호표","")</f>
        <v/>
      </c>
      <c r="Z31" s="170"/>
    </row>
    <row r="32" spans="1:26" ht="18" customHeight="1">
      <c r="A32" s="279"/>
      <c r="B32" s="223" t="s">
        <v>2708</v>
      </c>
      <c r="C32" s="253"/>
      <c r="D32" s="752">
        <v>2</v>
      </c>
      <c r="E32" s="753">
        <v>4</v>
      </c>
      <c r="F32" s="753">
        <v>8</v>
      </c>
      <c r="G32" s="753">
        <v>8</v>
      </c>
      <c r="H32" s="753">
        <v>4</v>
      </c>
      <c r="I32" s="754">
        <v>0</v>
      </c>
      <c r="J32" s="653" t="s">
        <v>2718</v>
      </c>
      <c r="L32" s="232">
        <v>1</v>
      </c>
      <c r="N32" s="292" t="str">
        <f t="shared" si="6"/>
        <v>5.3. Pre-Research</v>
      </c>
      <c r="O32" s="169"/>
      <c r="P32" s="169"/>
      <c r="Q32" s="169"/>
      <c r="R32" s="169"/>
      <c r="S32" s="169"/>
      <c r="T32" s="169"/>
      <c r="U32" s="226"/>
      <c r="V32" s="248"/>
      <c r="W32" s="153">
        <f t="array" aca="1" ref="W32" ca="1">SUM((ROUNDDOWN((D58:I58)*단가*IF($F$5=1,0,1),0)))</f>
        <v>0</v>
      </c>
      <c r="X32" s="194"/>
      <c r="Y32" s="170" t="str">
        <f t="shared" si="7"/>
        <v/>
      </c>
      <c r="Z32" s="170"/>
    </row>
    <row r="33" spans="1:26" ht="18" customHeight="1">
      <c r="A33" s="279"/>
      <c r="B33" s="223" t="s">
        <v>2709</v>
      </c>
      <c r="C33" s="253"/>
      <c r="D33" s="752">
        <v>2</v>
      </c>
      <c r="E33" s="753">
        <v>4</v>
      </c>
      <c r="F33" s="753">
        <v>8</v>
      </c>
      <c r="G33" s="753">
        <v>4</v>
      </c>
      <c r="H33" s="753">
        <v>4</v>
      </c>
      <c r="I33" s="754">
        <v>0</v>
      </c>
      <c r="J33" s="653" t="s">
        <v>2718</v>
      </c>
      <c r="L33" s="232">
        <v>1</v>
      </c>
      <c r="N33" s="292" t="str">
        <f t="shared" si="6"/>
        <v>5.4. Ideation</v>
      </c>
      <c r="O33" s="169"/>
      <c r="P33" s="169"/>
      <c r="Q33" s="169"/>
      <c r="R33" s="169"/>
      <c r="S33" s="169"/>
      <c r="T33" s="169"/>
      <c r="U33" s="226"/>
      <c r="V33" s="248"/>
      <c r="W33" s="153">
        <f t="array" aca="1" ref="W33" ca="1">SUM((ROUNDDOWN((D59:I59)*단가*IF($F$5=1,0,1),0)))</f>
        <v>0</v>
      </c>
      <c r="X33" s="194"/>
      <c r="Y33" s="170" t="str">
        <f t="shared" si="7"/>
        <v/>
      </c>
      <c r="Z33" s="170"/>
    </row>
    <row r="34" spans="1:26" ht="18" customHeight="1">
      <c r="A34" s="279"/>
      <c r="B34" s="223" t="s">
        <v>2710</v>
      </c>
      <c r="C34" s="253"/>
      <c r="D34" s="752">
        <v>5</v>
      </c>
      <c r="E34" s="753">
        <v>10</v>
      </c>
      <c r="F34" s="753">
        <v>15</v>
      </c>
      <c r="G34" s="753">
        <v>5</v>
      </c>
      <c r="H34" s="753">
        <v>5</v>
      </c>
      <c r="I34" s="754">
        <v>0</v>
      </c>
      <c r="J34" s="653" t="s">
        <v>2718</v>
      </c>
      <c r="L34" s="232">
        <v>1</v>
      </c>
      <c r="N34" s="292" t="str">
        <f t="shared" si="6"/>
        <v>5.5. User Research</v>
      </c>
      <c r="O34" s="169"/>
      <c r="P34" s="169"/>
      <c r="Q34" s="169"/>
      <c r="R34" s="169"/>
      <c r="S34" s="169"/>
      <c r="T34" s="169"/>
      <c r="U34" s="226"/>
      <c r="V34" s="248"/>
      <c r="W34" s="153">
        <f t="array" aca="1" ref="W34" ca="1">SUM((ROUNDDOWN((D60:I60)*단가*IF($F$5=1,0,1),0)))</f>
        <v>0</v>
      </c>
      <c r="X34" s="194"/>
      <c r="Y34" s="170" t="str">
        <f t="shared" si="7"/>
        <v/>
      </c>
      <c r="Z34" s="170"/>
    </row>
    <row r="35" spans="1:26" ht="18" customHeight="1">
      <c r="A35" s="279"/>
      <c r="B35" s="223" t="s">
        <v>2711</v>
      </c>
      <c r="C35" s="253"/>
      <c r="D35" s="752">
        <v>3</v>
      </c>
      <c r="E35" s="753">
        <v>6</v>
      </c>
      <c r="F35" s="753">
        <v>9</v>
      </c>
      <c r="G35" s="753">
        <v>9</v>
      </c>
      <c r="H35" s="753">
        <v>9</v>
      </c>
      <c r="I35" s="754">
        <v>0</v>
      </c>
      <c r="J35" s="653" t="s">
        <v>2718</v>
      </c>
      <c r="L35" s="232">
        <v>1</v>
      </c>
      <c r="N35" s="292" t="str">
        <f t="shared" si="6"/>
        <v>5.6. User Test</v>
      </c>
      <c r="O35" s="169"/>
      <c r="P35" s="169"/>
      <c r="Q35" s="169"/>
      <c r="R35" s="169"/>
      <c r="S35" s="169"/>
      <c r="T35" s="169"/>
      <c r="U35" s="226"/>
      <c r="V35" s="248"/>
      <c r="W35" s="153">
        <f t="array" aca="1" ref="W35" ca="1">SUM((ROUNDDOWN((D61:I61)*단가*IF($F$5=1,0,1),0)))</f>
        <v>0</v>
      </c>
      <c r="X35" s="194"/>
      <c r="Y35" s="170" t="str">
        <f t="shared" si="7"/>
        <v/>
      </c>
      <c r="Z35" s="170"/>
    </row>
    <row r="36" spans="1:26" ht="18" customHeight="1">
      <c r="A36" s="279"/>
      <c r="B36" s="223" t="s">
        <v>2712</v>
      </c>
      <c r="C36" s="253"/>
      <c r="D36" s="752">
        <v>3</v>
      </c>
      <c r="E36" s="753">
        <v>6</v>
      </c>
      <c r="F36" s="753">
        <v>9</v>
      </c>
      <c r="G36" s="753">
        <v>6</v>
      </c>
      <c r="H36" s="753">
        <v>3</v>
      </c>
      <c r="I36" s="754">
        <v>0</v>
      </c>
      <c r="J36" s="653" t="s">
        <v>1090</v>
      </c>
      <c r="L36" s="232">
        <v>1</v>
      </c>
      <c r="N36" s="292" t="str">
        <f t="shared" si="6"/>
        <v>5.7. 스마트서비스 구축현황 점검</v>
      </c>
      <c r="O36" s="169"/>
      <c r="P36" s="169"/>
      <c r="Q36" s="169"/>
      <c r="R36" s="169"/>
      <c r="S36" s="169"/>
      <c r="T36" s="169"/>
      <c r="U36" s="226"/>
      <c r="V36" s="248"/>
      <c r="W36" s="153">
        <f t="array" aca="1" ref="W36" ca="1">SUM((ROUNDDOWN((D62:I62)*단가*IF($F$5=1,0,1),0)))</f>
        <v>0</v>
      </c>
      <c r="X36" s="194"/>
      <c r="Y36" s="170" t="str">
        <f t="shared" si="7"/>
        <v/>
      </c>
      <c r="Z36" s="170"/>
    </row>
    <row r="37" spans="1:26" ht="18" customHeight="1">
      <c r="A37" s="279"/>
      <c r="B37" s="223" t="s">
        <v>2713</v>
      </c>
      <c r="C37" s="253"/>
      <c r="D37" s="752">
        <v>2</v>
      </c>
      <c r="E37" s="753">
        <v>4</v>
      </c>
      <c r="F37" s="753">
        <v>6</v>
      </c>
      <c r="G37" s="753">
        <v>4</v>
      </c>
      <c r="H37" s="753">
        <v>2</v>
      </c>
      <c r="I37" s="754">
        <v>0</v>
      </c>
      <c r="J37" s="653" t="s">
        <v>1090</v>
      </c>
      <c r="L37" s="232">
        <v>1</v>
      </c>
      <c r="N37" s="292" t="str">
        <f t="shared" si="6"/>
        <v>5.8. 리빙랩성과 점검 및 확산방안 도출</v>
      </c>
      <c r="O37" s="169"/>
      <c r="P37" s="169"/>
      <c r="Q37" s="169"/>
      <c r="R37" s="169"/>
      <c r="S37" s="169"/>
      <c r="T37" s="169"/>
      <c r="U37" s="226"/>
      <c r="V37" s="248"/>
      <c r="W37" s="153">
        <f t="array" aca="1" ref="W37" ca="1">SUM((ROUNDDOWN((D63:I63)*단가*IF($F$5=1,0,1),0)))</f>
        <v>0</v>
      </c>
      <c r="X37" s="194"/>
      <c r="Y37" s="170" t="str">
        <f t="shared" si="7"/>
        <v/>
      </c>
      <c r="Z37" s="170"/>
    </row>
    <row r="38" spans="1:26" ht="18" customHeight="1">
      <c r="A38" s="279"/>
      <c r="B38" s="393" t="s">
        <v>2714</v>
      </c>
      <c r="C38" s="23"/>
      <c r="D38" s="30">
        <f t="shared" ref="D38:I38" si="8">SUBTOTAL(9,D39:D39)</f>
        <v>0</v>
      </c>
      <c r="E38" s="31">
        <f t="shared" si="8"/>
        <v>1.5</v>
      </c>
      <c r="F38" s="31">
        <f t="shared" si="8"/>
        <v>1.35</v>
      </c>
      <c r="G38" s="31">
        <f t="shared" si="8"/>
        <v>0.9</v>
      </c>
      <c r="H38" s="31">
        <f t="shared" si="8"/>
        <v>0.4</v>
      </c>
      <c r="I38" s="32">
        <f t="shared" si="8"/>
        <v>0</v>
      </c>
      <c r="J38" s="389"/>
      <c r="L38" s="232"/>
      <c r="N38" s="354" t="str">
        <f t="shared" si="1"/>
        <v>6. 성과점검</v>
      </c>
      <c r="O38" s="169"/>
      <c r="P38" s="169"/>
      <c r="Q38" s="169"/>
      <c r="R38" s="169"/>
      <c r="S38" s="169"/>
      <c r="T38" s="169"/>
      <c r="U38" s="226"/>
      <c r="V38" s="248"/>
      <c r="W38" s="193">
        <f ca="1">SUBTOTAL(9,W39:W39)</f>
        <v>1339529</v>
      </c>
      <c r="X38" s="194"/>
      <c r="Y38" s="170" t="str">
        <f>IF(A64&gt;0, "제 " &amp;A64&amp; " 호표","")</f>
        <v/>
      </c>
      <c r="Z38" s="170"/>
    </row>
    <row r="39" spans="1:26" ht="18" customHeight="1" thickBot="1">
      <c r="A39" s="279"/>
      <c r="B39" s="223" t="s">
        <v>2715</v>
      </c>
      <c r="C39" s="253"/>
      <c r="D39" s="752"/>
      <c r="E39" s="753">
        <v>1.5</v>
      </c>
      <c r="F39" s="753">
        <v>1.35</v>
      </c>
      <c r="G39" s="753">
        <v>0.9</v>
      </c>
      <c r="H39" s="753">
        <v>0.4</v>
      </c>
      <c r="I39" s="754">
        <v>0</v>
      </c>
      <c r="J39" s="653" t="s">
        <v>1090</v>
      </c>
      <c r="L39" s="232">
        <v>1</v>
      </c>
      <c r="N39" s="292" t="str">
        <f t="shared" si="1"/>
        <v>6.1. 성과내용 반영여부 점검</v>
      </c>
      <c r="O39" s="169"/>
      <c r="P39" s="169"/>
      <c r="Q39" s="169"/>
      <c r="R39" s="169"/>
      <c r="S39" s="169"/>
      <c r="T39" s="169"/>
      <c r="U39" s="226"/>
      <c r="V39" s="248"/>
      <c r="W39" s="153">
        <f t="array" aca="1" ref="W39" ca="1">SUM((ROUNDDOWN((D65:I65)*단가*IF($F$5=1,1,0),0)))</f>
        <v>1339529</v>
      </c>
      <c r="X39" s="194"/>
      <c r="Y39" s="170" t="str">
        <f>IF(A65&lt;&gt;"", "제 " &amp;A65&amp; " 호표","")</f>
        <v>제 11 호표</v>
      </c>
      <c r="Z39" s="170"/>
    </row>
    <row r="40" spans="1:26" ht="18" customHeight="1" thickBot="1">
      <c r="A40" s="279"/>
      <c r="B40" s="249" t="s">
        <v>30</v>
      </c>
      <c r="C40" s="250"/>
      <c r="D40" s="249" t="s">
        <v>12</v>
      </c>
      <c r="E40" s="251"/>
      <c r="F40" s="251"/>
      <c r="G40" s="251"/>
      <c r="H40" s="251"/>
      <c r="I40" s="250"/>
      <c r="J40" s="175" t="s">
        <v>31</v>
      </c>
      <c r="N40" s="8"/>
      <c r="P40" s="371"/>
      <c r="R40" s="357"/>
      <c r="S40" s="1"/>
      <c r="T40" s="1"/>
      <c r="U40" s="258"/>
      <c r="V40" s="372"/>
      <c r="W40" s="373"/>
      <c r="X40" s="374"/>
      <c r="Y40" s="170" t="str">
        <f>IF(A75&gt;0, "제 " &amp;A75&amp; " 호표","")</f>
        <v/>
      </c>
    </row>
    <row r="41" spans="1:26" ht="18" customHeight="1">
      <c r="A41" s="278"/>
      <c r="B41" s="252" t="str">
        <f>B15</f>
        <v>1. 퍼실리테이션 기획</v>
      </c>
      <c r="C41" s="253"/>
      <c r="D41" s="614">
        <f t="shared" ref="D41:I41" si="9">SUBTOTAL(9,D42:D43)</f>
        <v>0</v>
      </c>
      <c r="E41" s="615">
        <f t="shared" si="9"/>
        <v>1</v>
      </c>
      <c r="F41" s="615">
        <f t="shared" si="9"/>
        <v>0</v>
      </c>
      <c r="G41" s="615">
        <f t="shared" si="9"/>
        <v>0</v>
      </c>
      <c r="H41" s="615">
        <f t="shared" si="9"/>
        <v>0</v>
      </c>
      <c r="I41" s="616">
        <f t="shared" si="9"/>
        <v>0</v>
      </c>
      <c r="J41" s="302"/>
      <c r="N41" s="290" t="s">
        <v>10</v>
      </c>
      <c r="O41" s="129"/>
      <c r="P41" s="130"/>
      <c r="Q41" s="124"/>
      <c r="R41" s="131"/>
      <c r="S41" s="124"/>
      <c r="T41" s="124"/>
      <c r="U41" s="181"/>
      <c r="V41" s="181"/>
      <c r="W41" s="159">
        <f>SUBTOTAL(9,W42:W44)</f>
        <v>8000000</v>
      </c>
      <c r="X41" s="160"/>
      <c r="Y41" s="124"/>
      <c r="Z41" s="124"/>
    </row>
    <row r="42" spans="1:26" ht="18" customHeight="1">
      <c r="A42" s="278">
        <f>IF(F5=1,1,"")</f>
        <v>1</v>
      </c>
      <c r="B42" s="223" t="str">
        <f t="shared" ref="B42:B65" si="10">B16</f>
        <v>1.1. 조직배분 및 구성</v>
      </c>
      <c r="C42" s="253"/>
      <c r="D42" s="617">
        <f t="array" ref="D42:I43">ROUND(D16:I17*L16:L17*D5,2)</f>
        <v>0</v>
      </c>
      <c r="E42" s="618">
        <v>0.5</v>
      </c>
      <c r="F42" s="618">
        <v>0</v>
      </c>
      <c r="G42" s="618">
        <v>0</v>
      </c>
      <c r="H42" s="618">
        <v>0</v>
      </c>
      <c r="I42" s="619">
        <v>0</v>
      </c>
      <c r="J42" s="390"/>
      <c r="N42" s="128" t="str">
        <f>"여비("&amp;TEXT(R42,"#인 ×")&amp;TEXT(S42,"#일 ×")&amp;TEXT(T42,"###,###원)")</f>
        <v>여비(3인 ×10일 ×100,000원)</v>
      </c>
      <c r="O42" s="78"/>
      <c r="P42" s="52"/>
      <c r="Q42" s="51"/>
      <c r="R42" s="146">
        <v>3</v>
      </c>
      <c r="S42" s="146">
        <v>10</v>
      </c>
      <c r="T42" s="147">
        <v>100000</v>
      </c>
      <c r="U42" s="182"/>
      <c r="V42" s="182"/>
      <c r="W42" s="161">
        <f>R42*S42*T42</f>
        <v>3000000</v>
      </c>
      <c r="X42" s="162"/>
      <c r="Y42" s="51"/>
      <c r="Z42" s="51"/>
    </row>
    <row r="43" spans="1:26" ht="18" customHeight="1">
      <c r="A43" s="278">
        <f>IF(F5=1,A42+1,"")</f>
        <v>2</v>
      </c>
      <c r="B43" s="223" t="str">
        <f t="shared" si="10"/>
        <v>1.2. 프로세스 구성</v>
      </c>
      <c r="C43" s="253"/>
      <c r="D43" s="617">
        <v>0</v>
      </c>
      <c r="E43" s="618">
        <v>0.5</v>
      </c>
      <c r="F43" s="618">
        <v>0</v>
      </c>
      <c r="G43" s="618">
        <v>0</v>
      </c>
      <c r="H43" s="618">
        <v>0</v>
      </c>
      <c r="I43" s="619">
        <v>0</v>
      </c>
      <c r="J43" s="390"/>
      <c r="N43" s="79" t="s">
        <v>46</v>
      </c>
      <c r="O43" s="79"/>
      <c r="P43" s="39"/>
      <c r="Q43" s="37"/>
      <c r="R43" s="117"/>
      <c r="S43" s="37"/>
      <c r="T43" s="37"/>
      <c r="U43" s="180"/>
      <c r="V43" s="180"/>
      <c r="W43" s="157">
        <v>3000000</v>
      </c>
      <c r="X43" s="158"/>
      <c r="Y43" s="37"/>
      <c r="Z43" s="37"/>
    </row>
    <row r="44" spans="1:26" ht="18" customHeight="1">
      <c r="A44" s="278"/>
      <c r="B44" s="393" t="str">
        <f t="shared" si="10"/>
        <v>2. 목표정립</v>
      </c>
      <c r="C44" s="253"/>
      <c r="D44" s="614">
        <f t="shared" ref="D44:I44" si="11">SUBTOTAL(9,D45:D45)</f>
        <v>0</v>
      </c>
      <c r="E44" s="615">
        <f t="shared" si="11"/>
        <v>1</v>
      </c>
      <c r="F44" s="615">
        <f t="shared" si="11"/>
        <v>2.4</v>
      </c>
      <c r="G44" s="615">
        <f t="shared" si="11"/>
        <v>1.6</v>
      </c>
      <c r="H44" s="615">
        <f t="shared" si="11"/>
        <v>0.5</v>
      </c>
      <c r="I44" s="616">
        <f t="shared" si="11"/>
        <v>0</v>
      </c>
      <c r="J44" s="390"/>
      <c r="N44" s="132" t="s">
        <v>13</v>
      </c>
      <c r="O44" s="132"/>
      <c r="P44" s="38"/>
      <c r="Q44" s="38"/>
      <c r="R44" s="116"/>
      <c r="S44" s="38"/>
      <c r="T44" s="38"/>
      <c r="U44" s="183"/>
      <c r="V44" s="183"/>
      <c r="W44" s="155">
        <v>2000000</v>
      </c>
      <c r="X44" s="156"/>
      <c r="Y44" s="38"/>
      <c r="Z44" s="38"/>
    </row>
    <row r="45" spans="1:26" ht="18" customHeight="1">
      <c r="A45" s="278">
        <f>IF(F5=1,A43+1,"")</f>
        <v>3</v>
      </c>
      <c r="B45" s="223" t="str">
        <f t="shared" si="10"/>
        <v>2.1. 비전만들기</v>
      </c>
      <c r="C45" s="253"/>
      <c r="D45" s="617">
        <f t="array" ref="D45:I45">ROUND(D19:I19*L19*D5,2)</f>
        <v>0</v>
      </c>
      <c r="E45" s="618">
        <v>1</v>
      </c>
      <c r="F45" s="618">
        <v>2.4</v>
      </c>
      <c r="G45" s="618">
        <v>1.6</v>
      </c>
      <c r="H45" s="618">
        <v>0.5</v>
      </c>
      <c r="I45" s="619">
        <v>0</v>
      </c>
      <c r="J45" s="390"/>
      <c r="N45" s="127" t="s">
        <v>47</v>
      </c>
      <c r="O45" s="123"/>
      <c r="P45" s="123"/>
      <c r="Q45" s="123"/>
      <c r="R45" s="123"/>
      <c r="S45" s="123"/>
      <c r="T45" s="123"/>
      <c r="U45" s="184"/>
      <c r="V45" s="184"/>
      <c r="W45" s="163">
        <f ca="1">SUBTOTAL(9,W46:W47)</f>
        <v>33674243</v>
      </c>
      <c r="X45" s="164"/>
      <c r="Y45" s="123"/>
      <c r="Z45" s="123"/>
    </row>
    <row r="46" spans="1:26" ht="18" customHeight="1">
      <c r="A46" s="278"/>
      <c r="B46" s="393" t="str">
        <f t="shared" si="10"/>
        <v>3. 핵심과제 도출</v>
      </c>
      <c r="C46" s="23"/>
      <c r="D46" s="614">
        <f t="shared" ref="D46:I46" si="12">SUBTOTAL(9,D47:D49)</f>
        <v>0</v>
      </c>
      <c r="E46" s="615">
        <f t="shared" si="12"/>
        <v>3</v>
      </c>
      <c r="F46" s="615">
        <f t="shared" si="12"/>
        <v>7.1999999999999993</v>
      </c>
      <c r="G46" s="615">
        <f t="shared" si="12"/>
        <v>4.8000000000000007</v>
      </c>
      <c r="H46" s="615">
        <f t="shared" si="12"/>
        <v>1.5</v>
      </c>
      <c r="I46" s="616">
        <f t="shared" si="12"/>
        <v>0</v>
      </c>
      <c r="J46" s="74"/>
      <c r="N46" s="133" t="s">
        <v>861</v>
      </c>
      <c r="O46" s="124"/>
      <c r="P46" s="134"/>
      <c r="Q46" s="124"/>
      <c r="R46" s="131"/>
      <c r="S46" s="124"/>
      <c r="T46" s="181"/>
      <c r="U46" s="181"/>
      <c r="V46" s="190">
        <v>1.1499999999999999</v>
      </c>
      <c r="W46" s="159">
        <f ca="1">ROUNDDOWN(W14*V46,0)</f>
        <v>21574028</v>
      </c>
      <c r="X46" s="160"/>
      <c r="Y46" s="124"/>
      <c r="Z46" s="124"/>
    </row>
    <row r="47" spans="1:26" ht="18" customHeight="1" thickBot="1">
      <c r="A47" s="278">
        <f>IF($F$5=1,A45+1,"")</f>
        <v>4</v>
      </c>
      <c r="B47" s="223" t="str">
        <f t="shared" si="10"/>
        <v>3.1. 이슈도출</v>
      </c>
      <c r="C47" s="253"/>
      <c r="D47" s="617">
        <f t="array" ref="D47:I49">ROUND(D21:I23*L21:L23*D5,2)</f>
        <v>0</v>
      </c>
      <c r="E47" s="618">
        <v>1</v>
      </c>
      <c r="F47" s="618">
        <v>2.4</v>
      </c>
      <c r="G47" s="618">
        <v>1.6</v>
      </c>
      <c r="H47" s="618">
        <v>0.5</v>
      </c>
      <c r="I47" s="619">
        <v>0</v>
      </c>
      <c r="J47" s="302"/>
      <c r="N47" s="135" t="s">
        <v>862</v>
      </c>
      <c r="O47" s="136"/>
      <c r="P47" s="137"/>
      <c r="Q47" s="136"/>
      <c r="R47" s="138"/>
      <c r="S47" s="136"/>
      <c r="T47" s="185"/>
      <c r="U47" s="185"/>
      <c r="V47" s="191">
        <v>0.3</v>
      </c>
      <c r="W47" s="165">
        <f ca="1">ROUNDDOWN((W14+W46)*V47,0)</f>
        <v>12100215</v>
      </c>
      <c r="X47" s="166"/>
      <c r="Y47" s="136"/>
      <c r="Z47" s="136"/>
    </row>
    <row r="48" spans="1:26" ht="18" customHeight="1">
      <c r="A48" s="278">
        <f>IF($F$5=1,A47+1,"")</f>
        <v>5</v>
      </c>
      <c r="B48" s="223" t="str">
        <f t="shared" si="10"/>
        <v>3.2. SWOT분석</v>
      </c>
      <c r="C48" s="253"/>
      <c r="D48" s="617">
        <v>0</v>
      </c>
      <c r="E48" s="618">
        <v>1</v>
      </c>
      <c r="F48" s="618">
        <v>2.4</v>
      </c>
      <c r="G48" s="618">
        <v>1.6</v>
      </c>
      <c r="H48" s="618">
        <v>0.5</v>
      </c>
      <c r="I48" s="619">
        <v>0</v>
      </c>
      <c r="J48" s="302"/>
    </row>
    <row r="49" spans="1:26" ht="18" customHeight="1">
      <c r="A49" s="278">
        <f>IF($F$5=1,A48+1,"")</f>
        <v>6</v>
      </c>
      <c r="B49" s="223" t="str">
        <f t="shared" si="10"/>
        <v>3.3. 핵심과제 도출</v>
      </c>
      <c r="C49" s="253"/>
      <c r="D49" s="617">
        <v>0</v>
      </c>
      <c r="E49" s="618">
        <v>1</v>
      </c>
      <c r="F49" s="618">
        <v>2.4</v>
      </c>
      <c r="G49" s="618">
        <v>1.6</v>
      </c>
      <c r="H49" s="618">
        <v>0.5</v>
      </c>
      <c r="I49" s="619">
        <v>0</v>
      </c>
      <c r="J49" s="302"/>
      <c r="K49" s="171" t="s">
        <v>14</v>
      </c>
    </row>
    <row r="50" spans="1:26" ht="18" customHeight="1">
      <c r="A50" s="278"/>
      <c r="B50" s="393" t="str">
        <f t="shared" si="10"/>
        <v>4. 의사결정</v>
      </c>
      <c r="C50" s="23"/>
      <c r="D50" s="614">
        <f t="shared" ref="D50:I50" si="13">SUBTOTAL(9,D51:D54)</f>
        <v>0</v>
      </c>
      <c r="E50" s="615">
        <f t="shared" si="13"/>
        <v>6</v>
      </c>
      <c r="F50" s="615">
        <f t="shared" si="13"/>
        <v>14.4</v>
      </c>
      <c r="G50" s="615">
        <f t="shared" si="13"/>
        <v>9.6</v>
      </c>
      <c r="H50" s="615">
        <f t="shared" si="13"/>
        <v>2.8</v>
      </c>
      <c r="I50" s="616">
        <f t="shared" si="13"/>
        <v>0</v>
      </c>
      <c r="J50" s="74"/>
    </row>
    <row r="51" spans="1:26" ht="18" customHeight="1">
      <c r="A51" s="278">
        <f>IF($F$5=1,A49+1,"")</f>
        <v>7</v>
      </c>
      <c r="B51" s="223" t="str">
        <f t="shared" si="10"/>
        <v>4.1. 전략수립</v>
      </c>
      <c r="C51" s="253"/>
      <c r="D51" s="617">
        <f t="array" ref="D51:I54">ROUND(D25:I28*L25:L28*D5*D6,2)</f>
        <v>0</v>
      </c>
      <c r="E51" s="618">
        <v>1.5</v>
      </c>
      <c r="F51" s="618">
        <v>3.6</v>
      </c>
      <c r="G51" s="618">
        <v>2.4</v>
      </c>
      <c r="H51" s="618">
        <v>0.7</v>
      </c>
      <c r="I51" s="619">
        <v>0</v>
      </c>
      <c r="J51" s="302"/>
    </row>
    <row r="52" spans="1:26" ht="18" customHeight="1">
      <c r="A52" s="278">
        <f>IF($F$5=1,A51+1,"")</f>
        <v>8</v>
      </c>
      <c r="B52" s="223" t="str">
        <f t="shared" si="10"/>
        <v>4.2. 아이디어 창출</v>
      </c>
      <c r="C52" s="253"/>
      <c r="D52" s="617">
        <v>0</v>
      </c>
      <c r="E52" s="618">
        <v>1.5</v>
      </c>
      <c r="F52" s="618">
        <v>3.6</v>
      </c>
      <c r="G52" s="618">
        <v>2.4</v>
      </c>
      <c r="H52" s="618">
        <v>0.7</v>
      </c>
      <c r="I52" s="619">
        <v>0</v>
      </c>
      <c r="J52" s="302"/>
    </row>
    <row r="53" spans="1:26" ht="18" customHeight="1">
      <c r="A53" s="278">
        <f>IF($F$5=1,A52+1,"")</f>
        <v>9</v>
      </c>
      <c r="B53" s="223" t="str">
        <f t="shared" si="10"/>
        <v>4.3. 문제해결방안 도출</v>
      </c>
      <c r="C53" s="253"/>
      <c r="D53" s="617">
        <v>0</v>
      </c>
      <c r="E53" s="618">
        <v>1.5</v>
      </c>
      <c r="F53" s="618">
        <v>3.6</v>
      </c>
      <c r="G53" s="618">
        <v>2.4</v>
      </c>
      <c r="H53" s="618">
        <v>0.7</v>
      </c>
      <c r="I53" s="619">
        <v>0</v>
      </c>
      <c r="J53" s="302"/>
      <c r="R53" s="1"/>
      <c r="S53" s="1"/>
      <c r="T53" s="1"/>
      <c r="U53" s="1"/>
      <c r="V53" s="1"/>
      <c r="W53" s="1"/>
      <c r="X53" s="1"/>
      <c r="Y53" s="1"/>
    </row>
    <row r="54" spans="1:26" ht="18" customHeight="1">
      <c r="A54" s="278">
        <f>IF($F$5=1,A53+1,"")</f>
        <v>10</v>
      </c>
      <c r="B54" s="223" t="str">
        <f t="shared" si="10"/>
        <v>4.4. 갈등해결방안 도출</v>
      </c>
      <c r="C54" s="253"/>
      <c r="D54" s="617">
        <v>0</v>
      </c>
      <c r="E54" s="618">
        <v>1.5</v>
      </c>
      <c r="F54" s="618">
        <v>3.6</v>
      </c>
      <c r="G54" s="618">
        <v>2.4</v>
      </c>
      <c r="H54" s="618">
        <v>0.7</v>
      </c>
      <c r="I54" s="619">
        <v>0</v>
      </c>
      <c r="J54" s="302"/>
      <c r="K54" s="171" t="s">
        <v>14</v>
      </c>
      <c r="R54" s="1"/>
      <c r="S54" s="1"/>
      <c r="T54" s="1"/>
      <c r="U54" s="1"/>
      <c r="V54" s="1"/>
      <c r="W54" s="1"/>
      <c r="X54" s="1"/>
      <c r="Y54" s="1"/>
    </row>
    <row r="55" spans="1:26" ht="18" customHeight="1">
      <c r="A55" s="278"/>
      <c r="B55" s="393" t="str">
        <f t="shared" si="10"/>
        <v>5. 스마트도시 시민 리빙랩</v>
      </c>
      <c r="C55" s="23"/>
      <c r="D55" s="614">
        <f t="shared" ref="D55:I55" si="14">SUBTOTAL(9,D56:D63)</f>
        <v>0</v>
      </c>
      <c r="E55" s="615">
        <f t="shared" si="14"/>
        <v>0</v>
      </c>
      <c r="F55" s="615">
        <f t="shared" si="14"/>
        <v>0</v>
      </c>
      <c r="G55" s="615">
        <f t="shared" si="14"/>
        <v>0</v>
      </c>
      <c r="H55" s="615">
        <f t="shared" si="14"/>
        <v>0</v>
      </c>
      <c r="I55" s="616">
        <f t="shared" si="14"/>
        <v>0</v>
      </c>
      <c r="J55" s="74"/>
      <c r="R55" s="1"/>
      <c r="S55" s="1"/>
      <c r="T55" s="1"/>
      <c r="U55" s="1"/>
      <c r="V55" s="1"/>
      <c r="W55" s="1"/>
      <c r="X55" s="1"/>
      <c r="Y55" s="1"/>
    </row>
    <row r="56" spans="1:26" ht="18" customHeight="1" thickBot="1">
      <c r="A56" s="278" t="str">
        <f>IF($F$5=2,1,"")</f>
        <v/>
      </c>
      <c r="B56" s="223" t="str">
        <f t="shared" si="10"/>
        <v>5.1. 사전준비</v>
      </c>
      <c r="C56" s="253"/>
      <c r="D56" s="617">
        <f t="array" ref="D56:I59">ROUND(D32:I35*L32:L35*D5*D6*IF(F5=1,0,1),2)</f>
        <v>0</v>
      </c>
      <c r="E56" s="618">
        <v>0</v>
      </c>
      <c r="F56" s="618">
        <v>0</v>
      </c>
      <c r="G56" s="618">
        <v>0</v>
      </c>
      <c r="H56" s="618">
        <v>0</v>
      </c>
      <c r="I56" s="619">
        <v>0</v>
      </c>
      <c r="J56" s="302"/>
      <c r="N56" s="66" t="s">
        <v>18</v>
      </c>
      <c r="O56" s="2"/>
      <c r="P56" s="2"/>
      <c r="Q56" s="2"/>
      <c r="R56" s="3"/>
      <c r="S56" s="4"/>
      <c r="T56" s="3"/>
      <c r="U56" s="4"/>
      <c r="V56" s="3"/>
      <c r="W56" s="4"/>
      <c r="X56" s="3"/>
      <c r="Y56" s="4"/>
      <c r="Z56" s="2"/>
    </row>
    <row r="57" spans="1:26" ht="18" customHeight="1">
      <c r="A57" s="278" t="str">
        <f t="shared" ref="A57:A63" si="15">IF($F$5=2,A56+1,"")</f>
        <v/>
      </c>
      <c r="B57" s="223" t="str">
        <f t="shared" si="10"/>
        <v>5.2. 핵심과제 도출</v>
      </c>
      <c r="C57" s="253"/>
      <c r="D57" s="617">
        <v>0</v>
      </c>
      <c r="E57" s="618">
        <v>0</v>
      </c>
      <c r="F57" s="618">
        <v>0</v>
      </c>
      <c r="G57" s="618">
        <v>0</v>
      </c>
      <c r="H57" s="618">
        <v>0</v>
      </c>
      <c r="I57" s="619">
        <v>0</v>
      </c>
      <c r="J57" s="302"/>
      <c r="N57" s="765" t="s">
        <v>19</v>
      </c>
      <c r="O57" s="755" t="s">
        <v>20</v>
      </c>
      <c r="P57" s="755" t="s">
        <v>21</v>
      </c>
      <c r="Q57" s="755" t="s">
        <v>16</v>
      </c>
      <c r="R57" s="5" t="s">
        <v>22</v>
      </c>
      <c r="S57" s="5"/>
      <c r="T57" s="5" t="s">
        <v>23</v>
      </c>
      <c r="U57" s="5"/>
      <c r="V57" s="5" t="s">
        <v>24</v>
      </c>
      <c r="W57" s="5"/>
      <c r="X57" s="5" t="s">
        <v>25</v>
      </c>
      <c r="Y57" s="5"/>
      <c r="Z57" s="755" t="s">
        <v>26</v>
      </c>
    </row>
    <row r="58" spans="1:26" ht="18" customHeight="1" thickBot="1">
      <c r="A58" s="278" t="str">
        <f t="shared" si="15"/>
        <v/>
      </c>
      <c r="B58" s="223" t="str">
        <f t="shared" si="10"/>
        <v>5.3. Pre-Research</v>
      </c>
      <c r="C58" s="253"/>
      <c r="D58" s="617">
        <v>0</v>
      </c>
      <c r="E58" s="618">
        <v>0</v>
      </c>
      <c r="F58" s="618">
        <v>0</v>
      </c>
      <c r="G58" s="618">
        <v>0</v>
      </c>
      <c r="H58" s="618">
        <v>0</v>
      </c>
      <c r="I58" s="619">
        <v>0</v>
      </c>
      <c r="J58" s="302"/>
      <c r="N58" s="766"/>
      <c r="O58" s="756"/>
      <c r="P58" s="756"/>
      <c r="Q58" s="756"/>
      <c r="R58" s="67" t="s">
        <v>27</v>
      </c>
      <c r="S58" s="67" t="s">
        <v>28</v>
      </c>
      <c r="T58" s="67" t="s">
        <v>27</v>
      </c>
      <c r="U58" s="67" t="s">
        <v>28</v>
      </c>
      <c r="V58" s="67" t="s">
        <v>27</v>
      </c>
      <c r="W58" s="67" t="s">
        <v>28</v>
      </c>
      <c r="X58" s="67" t="s">
        <v>27</v>
      </c>
      <c r="Y58" s="67" t="s">
        <v>28</v>
      </c>
      <c r="Z58" s="756"/>
    </row>
    <row r="59" spans="1:26" ht="18" customHeight="1" thickTop="1">
      <c r="A59" s="278" t="str">
        <f t="shared" si="15"/>
        <v/>
      </c>
      <c r="B59" s="223" t="str">
        <f t="shared" si="10"/>
        <v>5.4. Ideation</v>
      </c>
      <c r="C59" s="253"/>
      <c r="D59" s="617">
        <v>0</v>
      </c>
      <c r="E59" s="618">
        <v>0</v>
      </c>
      <c r="F59" s="618">
        <v>0</v>
      </c>
      <c r="G59" s="618">
        <v>0</v>
      </c>
      <c r="H59" s="618">
        <v>0</v>
      </c>
      <c r="I59" s="619">
        <v>0</v>
      </c>
      <c r="J59" s="302"/>
      <c r="K59" s="171" t="s">
        <v>14</v>
      </c>
      <c r="N59" s="318" t="str">
        <f ca="1">"제 " &amp; Z59 &amp; " 호표  "&amp; OFFSET($A$1,MATCH(Z59,$A:$A,0)-1,1)</f>
        <v>제 1 호표  1.1. 조직배분 및 구성</v>
      </c>
      <c r="O59" s="221"/>
      <c r="P59" s="148"/>
      <c r="Q59" s="148"/>
      <c r="R59" s="149"/>
      <c r="S59" s="149"/>
      <c r="T59" s="149"/>
      <c r="U59" s="149"/>
      <c r="V59" s="149"/>
      <c r="W59" s="149"/>
      <c r="X59" s="149"/>
      <c r="Y59" s="149"/>
      <c r="Z59" s="325">
        <v>1</v>
      </c>
    </row>
    <row r="60" spans="1:26" ht="18" customHeight="1">
      <c r="A60" s="278" t="str">
        <f t="shared" si="15"/>
        <v/>
      </c>
      <c r="B60" s="223" t="str">
        <f t="shared" si="10"/>
        <v>5.5. User Research</v>
      </c>
      <c r="C60" s="253"/>
      <c r="D60" s="617">
        <f t="array" ref="D60:I61">ROUND(D32:I35*L32:L35*D5*D6*IF(F5=1,0,1),2)</f>
        <v>0</v>
      </c>
      <c r="E60" s="618">
        <v>0</v>
      </c>
      <c r="F60" s="618">
        <v>0</v>
      </c>
      <c r="G60" s="618">
        <v>0</v>
      </c>
      <c r="H60" s="618">
        <v>0</v>
      </c>
      <c r="I60" s="619">
        <v>0</v>
      </c>
      <c r="J60" s="302"/>
      <c r="N60" s="140" t="s">
        <v>43</v>
      </c>
      <c r="O60" s="172">
        <v>3</v>
      </c>
      <c r="P60" s="219">
        <f ca="1">OFFSET($A$1,MATCH(Z59,$A:$A,0)-1,O60)</f>
        <v>0</v>
      </c>
      <c r="Q60" s="141" t="s">
        <v>29</v>
      </c>
      <c r="R60" s="142">
        <f t="shared" ref="R60:S65" ca="1" si="16">T60</f>
        <v>467217</v>
      </c>
      <c r="S60" s="142">
        <f t="shared" ca="1" si="16"/>
        <v>0</v>
      </c>
      <c r="T60" s="142">
        <f ca="1">기술사</f>
        <v>467217</v>
      </c>
      <c r="U60" s="142">
        <f t="shared" ref="U60:U65" ca="1" si="17">ROUNDDOWN(P60*R60,0)</f>
        <v>0</v>
      </c>
      <c r="V60" s="142"/>
      <c r="W60" s="142"/>
      <c r="X60" s="142"/>
      <c r="Y60" s="142"/>
      <c r="Z60" s="114"/>
    </row>
    <row r="61" spans="1:26" ht="18" customHeight="1">
      <c r="A61" s="278" t="str">
        <f t="shared" si="15"/>
        <v/>
      </c>
      <c r="B61" s="223" t="str">
        <f t="shared" si="10"/>
        <v>5.6. User Test</v>
      </c>
      <c r="C61" s="253"/>
      <c r="D61" s="617">
        <v>0</v>
      </c>
      <c r="E61" s="618">
        <v>0</v>
      </c>
      <c r="F61" s="618">
        <v>0</v>
      </c>
      <c r="G61" s="618">
        <v>0</v>
      </c>
      <c r="H61" s="618">
        <v>0</v>
      </c>
      <c r="I61" s="619">
        <v>0</v>
      </c>
      <c r="J61" s="302"/>
      <c r="N61" s="143" t="s">
        <v>32</v>
      </c>
      <c r="O61" s="173">
        <v>4</v>
      </c>
      <c r="P61" s="234">
        <f ca="1">OFFSET($A$1,MATCH(Z59,$A:$A,0)-1,O61)</f>
        <v>0.5</v>
      </c>
      <c r="Q61" s="144" t="s">
        <v>29</v>
      </c>
      <c r="R61" s="118">
        <f t="shared" ca="1" si="16"/>
        <v>373353</v>
      </c>
      <c r="S61" s="118">
        <f t="shared" ca="1" si="16"/>
        <v>186676</v>
      </c>
      <c r="T61" s="118">
        <f ca="1">특급</f>
        <v>373353</v>
      </c>
      <c r="U61" s="118">
        <f t="shared" ca="1" si="17"/>
        <v>186676</v>
      </c>
      <c r="V61" s="118"/>
      <c r="W61" s="118"/>
      <c r="X61" s="118"/>
      <c r="Y61" s="118"/>
      <c r="Z61" s="115"/>
    </row>
    <row r="62" spans="1:26" ht="18" customHeight="1">
      <c r="A62" s="278" t="str">
        <f t="shared" si="15"/>
        <v/>
      </c>
      <c r="B62" s="223" t="str">
        <f t="shared" si="10"/>
        <v>5.7. 스마트서비스 구축현황 점검</v>
      </c>
      <c r="C62" s="253"/>
      <c r="D62" s="617">
        <f t="array" ref="D62:I63">ROUND(D36:I37*L36:L37*D5*IF(F5=1,0,1),2)</f>
        <v>0</v>
      </c>
      <c r="E62" s="618">
        <v>0</v>
      </c>
      <c r="F62" s="618">
        <v>0</v>
      </c>
      <c r="G62" s="618">
        <v>0</v>
      </c>
      <c r="H62" s="618">
        <v>0</v>
      </c>
      <c r="I62" s="619">
        <v>0</v>
      </c>
      <c r="J62" s="302"/>
      <c r="N62" s="145" t="s">
        <v>39</v>
      </c>
      <c r="O62" s="173">
        <v>5</v>
      </c>
      <c r="P62" s="234">
        <f ca="1">OFFSET($A$1,MATCH(Z59,$A:$A,0)-1,O62)</f>
        <v>0</v>
      </c>
      <c r="Q62" s="144" t="s">
        <v>29</v>
      </c>
      <c r="R62" s="118">
        <f t="shared" ca="1" si="16"/>
        <v>310884</v>
      </c>
      <c r="S62" s="118">
        <f t="shared" ca="1" si="16"/>
        <v>0</v>
      </c>
      <c r="T62" s="118">
        <f ca="1">고급</f>
        <v>310884</v>
      </c>
      <c r="U62" s="118">
        <f t="shared" ca="1" si="17"/>
        <v>0</v>
      </c>
      <c r="V62" s="118"/>
      <c r="W62" s="118"/>
      <c r="X62" s="118"/>
      <c r="Y62" s="118"/>
      <c r="Z62" s="115"/>
    </row>
    <row r="63" spans="1:26" ht="18" customHeight="1">
      <c r="A63" s="278" t="str">
        <f t="shared" si="15"/>
        <v/>
      </c>
      <c r="B63" s="223" t="str">
        <f t="shared" si="10"/>
        <v>5.8. 리빙랩성과 점검 및 확산방안 도출</v>
      </c>
      <c r="C63" s="253"/>
      <c r="D63" s="617">
        <v>0</v>
      </c>
      <c r="E63" s="618">
        <v>0</v>
      </c>
      <c r="F63" s="618">
        <v>0</v>
      </c>
      <c r="G63" s="618">
        <v>0</v>
      </c>
      <c r="H63" s="618">
        <v>0</v>
      </c>
      <c r="I63" s="619">
        <v>0</v>
      </c>
      <c r="J63" s="302"/>
      <c r="K63" s="171" t="s">
        <v>14</v>
      </c>
      <c r="N63" s="145" t="s">
        <v>40</v>
      </c>
      <c r="O63" s="173">
        <v>6</v>
      </c>
      <c r="P63" s="234">
        <f ca="1">OFFSET($A$1,MATCH(Z59,$A:$A,0)-1,O63)</f>
        <v>0</v>
      </c>
      <c r="Q63" s="144" t="s">
        <v>29</v>
      </c>
      <c r="R63" s="118">
        <f t="shared" ca="1" si="16"/>
        <v>295138</v>
      </c>
      <c r="S63" s="118">
        <f t="shared" ca="1" si="16"/>
        <v>0</v>
      </c>
      <c r="T63" s="118">
        <f ca="1">중급</f>
        <v>295138</v>
      </c>
      <c r="U63" s="118">
        <f t="shared" ca="1" si="17"/>
        <v>0</v>
      </c>
      <c r="V63" s="118"/>
      <c r="W63" s="118"/>
      <c r="X63" s="118"/>
      <c r="Y63" s="118"/>
      <c r="Z63" s="115"/>
    </row>
    <row r="64" spans="1:26" ht="18" customHeight="1">
      <c r="A64" s="278"/>
      <c r="B64" s="393" t="str">
        <f t="shared" si="10"/>
        <v>6. 성과점검</v>
      </c>
      <c r="C64" s="23"/>
      <c r="D64" s="614">
        <f t="shared" ref="D64:I64" si="18">SUBTOTAL(9,D65)</f>
        <v>0</v>
      </c>
      <c r="E64" s="615">
        <f t="shared" si="18"/>
        <v>1.5</v>
      </c>
      <c r="F64" s="615">
        <f t="shared" si="18"/>
        <v>1.35</v>
      </c>
      <c r="G64" s="615">
        <f t="shared" si="18"/>
        <v>0.9</v>
      </c>
      <c r="H64" s="615">
        <f t="shared" si="18"/>
        <v>0.4</v>
      </c>
      <c r="I64" s="616">
        <f t="shared" si="18"/>
        <v>0</v>
      </c>
      <c r="J64" s="74"/>
      <c r="N64" s="145" t="s">
        <v>41</v>
      </c>
      <c r="O64" s="173">
        <v>7</v>
      </c>
      <c r="P64" s="234">
        <f ca="1">OFFSET($A$1,MATCH(Z59,$A:$A,0)-1,O64)</f>
        <v>0</v>
      </c>
      <c r="Q64" s="144" t="s">
        <v>29</v>
      </c>
      <c r="R64" s="118">
        <f t="shared" ca="1" si="16"/>
        <v>235459</v>
      </c>
      <c r="S64" s="118">
        <f t="shared" ca="1" si="16"/>
        <v>0</v>
      </c>
      <c r="T64" s="118">
        <f ca="1">초급</f>
        <v>235459</v>
      </c>
      <c r="U64" s="118">
        <f t="shared" ca="1" si="17"/>
        <v>0</v>
      </c>
      <c r="V64" s="118"/>
      <c r="W64" s="118"/>
      <c r="X64" s="118"/>
      <c r="Y64" s="118"/>
      <c r="Z64" s="115"/>
    </row>
    <row r="65" spans="1:26" ht="18" customHeight="1">
      <c r="A65" s="278">
        <f>IF($F$5=1,A54+1,"")</f>
        <v>11</v>
      </c>
      <c r="B65" s="223" t="str">
        <f t="shared" si="10"/>
        <v>6.1. 성과내용 반영여부 점검</v>
      </c>
      <c r="C65" s="253"/>
      <c r="D65" s="617">
        <f t="array" ref="D65:I65">ROUND(D39:I39*L39*D5,2)</f>
        <v>0</v>
      </c>
      <c r="E65" s="618">
        <v>1.5</v>
      </c>
      <c r="F65" s="618">
        <v>1.35</v>
      </c>
      <c r="G65" s="618">
        <v>0.9</v>
      </c>
      <c r="H65" s="618">
        <v>0.4</v>
      </c>
      <c r="I65" s="619">
        <v>0</v>
      </c>
      <c r="J65" s="302"/>
      <c r="K65" s="171" t="s">
        <v>14</v>
      </c>
      <c r="N65" s="319" t="s">
        <v>42</v>
      </c>
      <c r="O65" s="174">
        <v>8</v>
      </c>
      <c r="P65" s="235">
        <f ca="1">OFFSET($A$1,MATCH(Z59,$A:$A,0)-1,O65)</f>
        <v>0</v>
      </c>
      <c r="Q65" s="322" t="s">
        <v>29</v>
      </c>
      <c r="R65" s="323">
        <f t="shared" ca="1" si="16"/>
        <v>250087</v>
      </c>
      <c r="S65" s="323">
        <f t="shared" ca="1" si="16"/>
        <v>0</v>
      </c>
      <c r="T65" s="323">
        <f ca="1">보조원</f>
        <v>250087</v>
      </c>
      <c r="U65" s="323">
        <f t="shared" ca="1" si="17"/>
        <v>0</v>
      </c>
      <c r="V65" s="323"/>
      <c r="W65" s="323"/>
      <c r="X65" s="323"/>
      <c r="Y65" s="323"/>
      <c r="Z65" s="324"/>
    </row>
    <row r="66" spans="1:26" ht="18" customHeight="1" thickBot="1">
      <c r="A66" s="278"/>
      <c r="B66" s="53" t="s">
        <v>11</v>
      </c>
      <c r="C66" s="54"/>
      <c r="D66" s="55">
        <f t="shared" ref="D66:I66" si="19">SUBTOTAL(9,D41:D65)</f>
        <v>0</v>
      </c>
      <c r="E66" s="56">
        <f t="shared" si="19"/>
        <v>12.5</v>
      </c>
      <c r="F66" s="56">
        <f t="shared" si="19"/>
        <v>25.350000000000005</v>
      </c>
      <c r="G66" s="56">
        <f t="shared" si="19"/>
        <v>16.899999999999999</v>
      </c>
      <c r="H66" s="56">
        <f t="shared" si="19"/>
        <v>5.2000000000000011</v>
      </c>
      <c r="I66" s="57">
        <f t="shared" si="19"/>
        <v>0</v>
      </c>
      <c r="J66" s="240"/>
      <c r="K66" s="171" t="s">
        <v>14</v>
      </c>
      <c r="L66" s="171"/>
      <c r="N66" s="139" t="s">
        <v>17</v>
      </c>
      <c r="O66" s="68"/>
      <c r="P66" s="69"/>
      <c r="Q66" s="70"/>
      <c r="R66" s="71"/>
      <c r="S66" s="71">
        <f ca="1">SUBTOTAL(9,S60:S65)</f>
        <v>186676</v>
      </c>
      <c r="T66" s="71"/>
      <c r="U66" s="71">
        <f ca="1">SUBTOTAL(9,U60:U65)</f>
        <v>186676</v>
      </c>
      <c r="V66" s="71"/>
      <c r="W66" s="71"/>
      <c r="X66" s="71"/>
      <c r="Y66" s="71"/>
      <c r="Z66" s="68"/>
    </row>
    <row r="67" spans="1:26" ht="18" customHeight="1">
      <c r="A67" s="278"/>
      <c r="B67" s="1" t="s">
        <v>2720</v>
      </c>
      <c r="C67" s="1" t="s">
        <v>2721</v>
      </c>
      <c r="K67" s="171" t="s">
        <v>14</v>
      </c>
      <c r="L67" s="171"/>
      <c r="N67" s="318" t="str">
        <f ca="1">"제 " &amp; Z67 &amp; " 호표  "&amp; OFFSET($A$1,MATCH(Z67,$A:$A,0)-1,1)</f>
        <v>제 2 호표  1.2. 프로세스 구성</v>
      </c>
      <c r="O67" s="221"/>
      <c r="P67" s="148"/>
      <c r="Q67" s="148"/>
      <c r="R67" s="149"/>
      <c r="S67" s="149"/>
      <c r="T67" s="149"/>
      <c r="U67" s="149"/>
      <c r="V67" s="149"/>
      <c r="W67" s="149"/>
      <c r="X67" s="149"/>
      <c r="Y67" s="149"/>
      <c r="Z67" s="325">
        <f>Z59+1</f>
        <v>2</v>
      </c>
    </row>
    <row r="68" spans="1:26" ht="18" customHeight="1">
      <c r="A68" s="278"/>
      <c r="C68" s="9" t="s">
        <v>2722</v>
      </c>
      <c r="K68" s="171" t="s">
        <v>14</v>
      </c>
      <c r="L68" s="171"/>
      <c r="N68" s="140" t="s">
        <v>43</v>
      </c>
      <c r="O68" s="172">
        <v>3</v>
      </c>
      <c r="P68" s="219">
        <f ca="1">OFFSET($A$1,MATCH(Z67,$A:$A,0)-1,O68)</f>
        <v>0</v>
      </c>
      <c r="Q68" s="141" t="s">
        <v>29</v>
      </c>
      <c r="R68" s="142">
        <f t="shared" ref="R68:S73" ca="1" si="20">T68</f>
        <v>467217</v>
      </c>
      <c r="S68" s="142">
        <f t="shared" ca="1" si="20"/>
        <v>0</v>
      </c>
      <c r="T68" s="142">
        <f ca="1">기술사</f>
        <v>467217</v>
      </c>
      <c r="U68" s="142">
        <f t="shared" ref="U68:U73" ca="1" si="21">ROUNDDOWN(P68*R68,0)</f>
        <v>0</v>
      </c>
      <c r="V68" s="142"/>
      <c r="W68" s="142"/>
      <c r="X68" s="142"/>
      <c r="Y68" s="142"/>
      <c r="Z68" s="114"/>
    </row>
    <row r="69" spans="1:26" ht="18" customHeight="1">
      <c r="A69" s="278"/>
      <c r="C69" s="9" t="s">
        <v>2723</v>
      </c>
      <c r="K69" s="171" t="s">
        <v>14</v>
      </c>
      <c r="L69" s="171"/>
      <c r="N69" s="143" t="s">
        <v>32</v>
      </c>
      <c r="O69" s="173">
        <v>4</v>
      </c>
      <c r="P69" s="234">
        <f ca="1">OFFSET($A$1,MATCH(Z67,$A:$A,0)-1,O69)</f>
        <v>0.5</v>
      </c>
      <c r="Q69" s="144" t="s">
        <v>29</v>
      </c>
      <c r="R69" s="118">
        <f t="shared" ca="1" si="20"/>
        <v>373353</v>
      </c>
      <c r="S69" s="118">
        <f t="shared" ca="1" si="20"/>
        <v>186676</v>
      </c>
      <c r="T69" s="118">
        <f ca="1">특급</f>
        <v>373353</v>
      </c>
      <c r="U69" s="118">
        <f t="shared" ca="1" si="21"/>
        <v>186676</v>
      </c>
      <c r="V69" s="118"/>
      <c r="W69" s="118"/>
      <c r="X69" s="118"/>
      <c r="Y69" s="118"/>
      <c r="Z69" s="115"/>
    </row>
    <row r="70" spans="1:26" ht="18" customHeight="1">
      <c r="A70" s="278"/>
      <c r="C70" s="9"/>
      <c r="K70" s="171" t="s">
        <v>14</v>
      </c>
      <c r="L70" s="171"/>
      <c r="N70" s="145" t="s">
        <v>39</v>
      </c>
      <c r="O70" s="173">
        <v>5</v>
      </c>
      <c r="P70" s="234">
        <f ca="1">OFFSET($A$1,MATCH(Z67,$A:$A,0)-1,O70)</f>
        <v>0</v>
      </c>
      <c r="Q70" s="144" t="s">
        <v>29</v>
      </c>
      <c r="R70" s="118">
        <f t="shared" ca="1" si="20"/>
        <v>310884</v>
      </c>
      <c r="S70" s="118">
        <f t="shared" ca="1" si="20"/>
        <v>0</v>
      </c>
      <c r="T70" s="118">
        <f ca="1">고급</f>
        <v>310884</v>
      </c>
      <c r="U70" s="118">
        <f t="shared" ca="1" si="21"/>
        <v>0</v>
      </c>
      <c r="V70" s="118"/>
      <c r="W70" s="118"/>
      <c r="X70" s="118"/>
      <c r="Y70" s="118"/>
      <c r="Z70" s="115"/>
    </row>
    <row r="71" spans="1:26" ht="18" customHeight="1">
      <c r="A71" s="278"/>
      <c r="K71" s="171" t="s">
        <v>14</v>
      </c>
      <c r="L71" s="171"/>
      <c r="N71" s="145" t="s">
        <v>40</v>
      </c>
      <c r="O71" s="173">
        <v>6</v>
      </c>
      <c r="P71" s="234">
        <f ca="1">OFFSET($A$1,MATCH(Z67,$A:$A,0)-1,O71)</f>
        <v>0</v>
      </c>
      <c r="Q71" s="144" t="s">
        <v>29</v>
      </c>
      <c r="R71" s="118">
        <f t="shared" ca="1" si="20"/>
        <v>295138</v>
      </c>
      <c r="S71" s="118">
        <f t="shared" ca="1" si="20"/>
        <v>0</v>
      </c>
      <c r="T71" s="118">
        <f ca="1">중급</f>
        <v>295138</v>
      </c>
      <c r="U71" s="118">
        <f t="shared" ca="1" si="21"/>
        <v>0</v>
      </c>
      <c r="V71" s="118"/>
      <c r="W71" s="118"/>
      <c r="X71" s="118"/>
      <c r="Y71" s="118"/>
      <c r="Z71" s="115"/>
    </row>
    <row r="72" spans="1:26" ht="18" customHeight="1">
      <c r="A72" s="278"/>
      <c r="B72" s="9"/>
      <c r="C72" s="9"/>
      <c r="K72" s="171" t="s">
        <v>14</v>
      </c>
      <c r="L72" s="171"/>
      <c r="N72" s="145" t="s">
        <v>41</v>
      </c>
      <c r="O72" s="173">
        <v>7</v>
      </c>
      <c r="P72" s="234">
        <f ca="1">OFFSET($A$1,MATCH(Z67,$A:$A,0)-1,O72)</f>
        <v>0</v>
      </c>
      <c r="Q72" s="144" t="s">
        <v>29</v>
      </c>
      <c r="R72" s="118">
        <f t="shared" ca="1" si="20"/>
        <v>235459</v>
      </c>
      <c r="S72" s="118">
        <f t="shared" ca="1" si="20"/>
        <v>0</v>
      </c>
      <c r="T72" s="118">
        <f ca="1">초급</f>
        <v>235459</v>
      </c>
      <c r="U72" s="118">
        <f t="shared" ca="1" si="21"/>
        <v>0</v>
      </c>
      <c r="V72" s="118"/>
      <c r="W72" s="118"/>
      <c r="X72" s="118"/>
      <c r="Y72" s="118"/>
      <c r="Z72" s="115"/>
    </row>
    <row r="73" spans="1:26" ht="18" customHeight="1">
      <c r="A73" s="278"/>
      <c r="B73" s="9"/>
      <c r="K73" s="171" t="s">
        <v>14</v>
      </c>
      <c r="L73" s="171"/>
      <c r="N73" s="319" t="s">
        <v>42</v>
      </c>
      <c r="O73" s="174">
        <v>8</v>
      </c>
      <c r="P73" s="235">
        <f ca="1">OFFSET($A$1,MATCH(Z67,$A:$A,0)-1,O73)</f>
        <v>0</v>
      </c>
      <c r="Q73" s="322" t="s">
        <v>29</v>
      </c>
      <c r="R73" s="323">
        <f t="shared" ca="1" si="20"/>
        <v>250087</v>
      </c>
      <c r="S73" s="323">
        <f t="shared" ca="1" si="20"/>
        <v>0</v>
      </c>
      <c r="T73" s="323">
        <f ca="1">보조원</f>
        <v>250087</v>
      </c>
      <c r="U73" s="323">
        <f t="shared" ca="1" si="21"/>
        <v>0</v>
      </c>
      <c r="V73" s="323"/>
      <c r="W73" s="323"/>
      <c r="X73" s="323"/>
      <c r="Y73" s="323"/>
      <c r="Z73" s="324"/>
    </row>
    <row r="74" spans="1:26" ht="18" customHeight="1">
      <c r="A74" s="278"/>
      <c r="B74" s="9"/>
      <c r="K74" s="171" t="s">
        <v>14</v>
      </c>
      <c r="L74" s="171"/>
      <c r="N74" s="139" t="s">
        <v>17</v>
      </c>
      <c r="O74" s="68"/>
      <c r="P74" s="69"/>
      <c r="Q74" s="70"/>
      <c r="R74" s="71"/>
      <c r="S74" s="71">
        <f ca="1">SUBTOTAL(9,S68:S73)</f>
        <v>186676</v>
      </c>
      <c r="T74" s="71"/>
      <c r="U74" s="71">
        <f ca="1">SUBTOTAL(9,U68:U73)</f>
        <v>186676</v>
      </c>
      <c r="V74" s="71"/>
      <c r="W74" s="71"/>
      <c r="X74" s="71"/>
      <c r="Y74" s="71"/>
      <c r="Z74" s="68"/>
    </row>
    <row r="75" spans="1:26" ht="18" customHeight="1">
      <c r="A75" s="278"/>
      <c r="B75" s="9"/>
      <c r="K75" s="171" t="s">
        <v>14</v>
      </c>
      <c r="L75" s="171"/>
      <c r="N75" s="318" t="str">
        <f ca="1">"제 " &amp; Z75 &amp; " 호표  "&amp; OFFSET($A$1,MATCH(Z75,$A:$A,0)-1,1)</f>
        <v>제 3 호표  2.1. 비전만들기</v>
      </c>
      <c r="O75" s="221"/>
      <c r="P75" s="148"/>
      <c r="Q75" s="148"/>
      <c r="R75" s="149"/>
      <c r="S75" s="149"/>
      <c r="T75" s="149"/>
      <c r="U75" s="149"/>
      <c r="V75" s="149"/>
      <c r="W75" s="149"/>
      <c r="X75" s="149"/>
      <c r="Y75" s="149"/>
      <c r="Z75" s="325">
        <f>Z67+1</f>
        <v>3</v>
      </c>
    </row>
    <row r="76" spans="1:26" ht="18" customHeight="1">
      <c r="A76" s="278"/>
      <c r="B76" s="9"/>
      <c r="K76" s="171" t="s">
        <v>14</v>
      </c>
      <c r="L76" s="171"/>
      <c r="N76" s="140" t="s">
        <v>43</v>
      </c>
      <c r="O76" s="172">
        <v>3</v>
      </c>
      <c r="P76" s="219">
        <f ca="1">OFFSET($A$1,MATCH(Z75,$A:$A,0)-1,O76)</f>
        <v>0</v>
      </c>
      <c r="Q76" s="141" t="s">
        <v>29</v>
      </c>
      <c r="R76" s="142">
        <f t="shared" ref="R76:S81" ca="1" si="22">T76</f>
        <v>467217</v>
      </c>
      <c r="S76" s="142">
        <f t="shared" ca="1" si="22"/>
        <v>0</v>
      </c>
      <c r="T76" s="142">
        <f ca="1">기술사</f>
        <v>467217</v>
      </c>
      <c r="U76" s="142">
        <f t="shared" ref="U76:U81" ca="1" si="23">ROUNDDOWN(P76*R76,0)</f>
        <v>0</v>
      </c>
      <c r="V76" s="142"/>
      <c r="W76" s="142"/>
      <c r="X76" s="142"/>
      <c r="Y76" s="142"/>
      <c r="Z76" s="114"/>
    </row>
    <row r="77" spans="1:26" ht="18" customHeight="1">
      <c r="A77" s="278"/>
      <c r="B77" s="9"/>
      <c r="K77" s="171" t="s">
        <v>14</v>
      </c>
      <c r="L77" s="171"/>
      <c r="N77" s="143" t="s">
        <v>32</v>
      </c>
      <c r="O77" s="173">
        <v>4</v>
      </c>
      <c r="P77" s="234">
        <f ca="1">OFFSET($A$1,MATCH(Z75,$A:$A,0)-1,O77)</f>
        <v>1</v>
      </c>
      <c r="Q77" s="144" t="s">
        <v>29</v>
      </c>
      <c r="R77" s="118">
        <f t="shared" ca="1" si="22"/>
        <v>373353</v>
      </c>
      <c r="S77" s="118">
        <f t="shared" ca="1" si="22"/>
        <v>373353</v>
      </c>
      <c r="T77" s="118">
        <f ca="1">특급</f>
        <v>373353</v>
      </c>
      <c r="U77" s="118">
        <f t="shared" ca="1" si="23"/>
        <v>373353</v>
      </c>
      <c r="V77" s="118"/>
      <c r="W77" s="118"/>
      <c r="X77" s="118"/>
      <c r="Y77" s="118"/>
      <c r="Z77" s="115"/>
    </row>
    <row r="78" spans="1:26" ht="18" customHeight="1">
      <c r="A78" s="278"/>
      <c r="B78" s="9"/>
      <c r="K78" s="171" t="s">
        <v>14</v>
      </c>
      <c r="L78" s="171"/>
      <c r="N78" s="145" t="s">
        <v>39</v>
      </c>
      <c r="O78" s="173">
        <v>5</v>
      </c>
      <c r="P78" s="234">
        <f ca="1">OFFSET($A$1,MATCH(Z75,$A:$A,0)-1,O78)</f>
        <v>2.4</v>
      </c>
      <c r="Q78" s="144" t="s">
        <v>29</v>
      </c>
      <c r="R78" s="118">
        <f t="shared" ca="1" si="22"/>
        <v>310884</v>
      </c>
      <c r="S78" s="118">
        <f t="shared" ca="1" si="22"/>
        <v>746121</v>
      </c>
      <c r="T78" s="118">
        <f ca="1">고급</f>
        <v>310884</v>
      </c>
      <c r="U78" s="118">
        <f t="shared" ca="1" si="23"/>
        <v>746121</v>
      </c>
      <c r="V78" s="118"/>
      <c r="W78" s="118"/>
      <c r="X78" s="118"/>
      <c r="Y78" s="118"/>
      <c r="Z78" s="115"/>
    </row>
    <row r="79" spans="1:26" ht="18" customHeight="1">
      <c r="A79" s="278"/>
      <c r="K79" s="171" t="s">
        <v>14</v>
      </c>
      <c r="L79" s="171"/>
      <c r="N79" s="145" t="s">
        <v>40</v>
      </c>
      <c r="O79" s="173">
        <v>6</v>
      </c>
      <c r="P79" s="234">
        <f ca="1">OFFSET($A$1,MATCH(Z75,$A:$A,0)-1,O79)</f>
        <v>1.6</v>
      </c>
      <c r="Q79" s="144" t="s">
        <v>29</v>
      </c>
      <c r="R79" s="118">
        <f t="shared" ca="1" si="22"/>
        <v>295138</v>
      </c>
      <c r="S79" s="118">
        <f t="shared" ca="1" si="22"/>
        <v>472220</v>
      </c>
      <c r="T79" s="118">
        <f ca="1">중급</f>
        <v>295138</v>
      </c>
      <c r="U79" s="118">
        <f t="shared" ca="1" si="23"/>
        <v>472220</v>
      </c>
      <c r="V79" s="118"/>
      <c r="W79" s="118"/>
      <c r="X79" s="118"/>
      <c r="Y79" s="118"/>
      <c r="Z79" s="115"/>
    </row>
    <row r="80" spans="1:26" ht="18" customHeight="1">
      <c r="A80" s="278"/>
      <c r="K80" s="171" t="s">
        <v>14</v>
      </c>
      <c r="L80" s="171"/>
      <c r="N80" s="145" t="s">
        <v>41</v>
      </c>
      <c r="O80" s="173">
        <v>7</v>
      </c>
      <c r="P80" s="234">
        <f ca="1">OFFSET($A$1,MATCH(Z75,$A:$A,0)-1,O80)</f>
        <v>0.5</v>
      </c>
      <c r="Q80" s="144" t="s">
        <v>29</v>
      </c>
      <c r="R80" s="118">
        <f t="shared" ca="1" si="22"/>
        <v>235459</v>
      </c>
      <c r="S80" s="118">
        <f t="shared" ca="1" si="22"/>
        <v>117729</v>
      </c>
      <c r="T80" s="118">
        <f ca="1">초급</f>
        <v>235459</v>
      </c>
      <c r="U80" s="118">
        <f t="shared" ca="1" si="23"/>
        <v>117729</v>
      </c>
      <c r="V80" s="118"/>
      <c r="W80" s="118"/>
      <c r="X80" s="118"/>
      <c r="Y80" s="118"/>
      <c r="Z80" s="115"/>
    </row>
    <row r="81" spans="1:26" ht="18" customHeight="1">
      <c r="A81" s="278"/>
      <c r="K81" s="171" t="s">
        <v>14</v>
      </c>
      <c r="L81" s="171"/>
      <c r="N81" s="319" t="s">
        <v>42</v>
      </c>
      <c r="O81" s="174">
        <v>8</v>
      </c>
      <c r="P81" s="235">
        <f ca="1">OFFSET($A$1,MATCH(Z75,$A:$A,0)-1,O81)</f>
        <v>0</v>
      </c>
      <c r="Q81" s="322" t="s">
        <v>29</v>
      </c>
      <c r="R81" s="323">
        <f t="shared" ca="1" si="22"/>
        <v>250087</v>
      </c>
      <c r="S81" s="323">
        <f t="shared" ca="1" si="22"/>
        <v>0</v>
      </c>
      <c r="T81" s="323">
        <f ca="1">보조원</f>
        <v>250087</v>
      </c>
      <c r="U81" s="323">
        <f t="shared" ca="1" si="23"/>
        <v>0</v>
      </c>
      <c r="V81" s="323"/>
      <c r="W81" s="323"/>
      <c r="X81" s="323"/>
      <c r="Y81" s="323"/>
      <c r="Z81" s="324"/>
    </row>
    <row r="82" spans="1:26" ht="18" customHeight="1">
      <c r="A82" s="278"/>
      <c r="K82" s="171" t="s">
        <v>14</v>
      </c>
      <c r="L82" s="171"/>
      <c r="N82" s="139" t="s">
        <v>17</v>
      </c>
      <c r="O82" s="68"/>
      <c r="P82" s="69"/>
      <c r="Q82" s="70"/>
      <c r="R82" s="71"/>
      <c r="S82" s="71">
        <f ca="1">SUBTOTAL(9,S76:S81)</f>
        <v>1709423</v>
      </c>
      <c r="T82" s="71"/>
      <c r="U82" s="71">
        <f ca="1">SUBTOTAL(9,U76:U81)</f>
        <v>1709423</v>
      </c>
      <c r="V82" s="71"/>
      <c r="W82" s="71"/>
      <c r="X82" s="71"/>
      <c r="Y82" s="71"/>
      <c r="Z82" s="68"/>
    </row>
    <row r="83" spans="1:26" ht="18" customHeight="1">
      <c r="A83" s="278"/>
      <c r="K83" s="171" t="s">
        <v>14</v>
      </c>
      <c r="L83" s="171"/>
      <c r="N83" s="318" t="str">
        <f ca="1">"제 " &amp; Z83 &amp; " 호표  "&amp; OFFSET($A$1,MATCH(Z83,$A:$A,0)-1,1)</f>
        <v>제 4 호표  3.1. 이슈도출</v>
      </c>
      <c r="O83" s="221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325">
        <f>Z75+1</f>
        <v>4</v>
      </c>
    </row>
    <row r="84" spans="1:26" ht="18" customHeight="1">
      <c r="A84" s="278"/>
      <c r="K84" s="171" t="s">
        <v>14</v>
      </c>
      <c r="L84" s="171"/>
      <c r="N84" s="140" t="s">
        <v>43</v>
      </c>
      <c r="O84" s="172">
        <v>3</v>
      </c>
      <c r="P84" s="219">
        <f ca="1">OFFSET($A$1,MATCH(Z83,$A:$A,0)-1,O84)</f>
        <v>0</v>
      </c>
      <c r="Q84" s="141" t="s">
        <v>29</v>
      </c>
      <c r="R84" s="142">
        <f t="shared" ref="R84:S89" ca="1" si="24">T84</f>
        <v>467217</v>
      </c>
      <c r="S84" s="142">
        <f t="shared" ca="1" si="24"/>
        <v>0</v>
      </c>
      <c r="T84" s="142">
        <f ca="1">기술사</f>
        <v>467217</v>
      </c>
      <c r="U84" s="142">
        <f t="shared" ref="U84:U89" ca="1" si="25">ROUNDDOWN(P84*R84,0)</f>
        <v>0</v>
      </c>
      <c r="V84" s="142"/>
      <c r="W84" s="142"/>
      <c r="X84" s="142"/>
      <c r="Y84" s="142"/>
      <c r="Z84" s="114"/>
    </row>
    <row r="85" spans="1:26" ht="18" customHeight="1">
      <c r="A85" s="278"/>
      <c r="K85" s="171" t="s">
        <v>14</v>
      </c>
      <c r="L85" s="171"/>
      <c r="N85" s="143" t="s">
        <v>32</v>
      </c>
      <c r="O85" s="173">
        <v>4</v>
      </c>
      <c r="P85" s="234">
        <f ca="1">OFFSET($A$1,MATCH(Z83,$A:$A,0)-1,O85)</f>
        <v>1</v>
      </c>
      <c r="Q85" s="144" t="s">
        <v>29</v>
      </c>
      <c r="R85" s="118">
        <f t="shared" ca="1" si="24"/>
        <v>373353</v>
      </c>
      <c r="S85" s="118">
        <f t="shared" ca="1" si="24"/>
        <v>373353</v>
      </c>
      <c r="T85" s="118">
        <f ca="1">특급</f>
        <v>373353</v>
      </c>
      <c r="U85" s="118">
        <f t="shared" ca="1" si="25"/>
        <v>373353</v>
      </c>
      <c r="V85" s="118"/>
      <c r="W85" s="118"/>
      <c r="X85" s="118"/>
      <c r="Y85" s="118"/>
      <c r="Z85" s="115"/>
    </row>
    <row r="86" spans="1:26" ht="18" customHeight="1">
      <c r="A86" s="278"/>
      <c r="K86" s="171" t="s">
        <v>14</v>
      </c>
      <c r="L86" s="171"/>
      <c r="N86" s="145" t="s">
        <v>39</v>
      </c>
      <c r="O86" s="173">
        <v>5</v>
      </c>
      <c r="P86" s="234">
        <f ca="1">OFFSET($A$1,MATCH(Z83,$A:$A,0)-1,O86)</f>
        <v>2.4</v>
      </c>
      <c r="Q86" s="144" t="s">
        <v>29</v>
      </c>
      <c r="R86" s="118">
        <f t="shared" ca="1" si="24"/>
        <v>310884</v>
      </c>
      <c r="S86" s="118">
        <f t="shared" ca="1" si="24"/>
        <v>746121</v>
      </c>
      <c r="T86" s="118">
        <f ca="1">고급</f>
        <v>310884</v>
      </c>
      <c r="U86" s="118">
        <f t="shared" ca="1" si="25"/>
        <v>746121</v>
      </c>
      <c r="V86" s="118"/>
      <c r="W86" s="118"/>
      <c r="X86" s="118"/>
      <c r="Y86" s="118"/>
      <c r="Z86" s="115"/>
    </row>
    <row r="87" spans="1:26" ht="18" customHeight="1">
      <c r="A87" s="278"/>
      <c r="K87" s="171" t="s">
        <v>14</v>
      </c>
      <c r="L87" s="171"/>
      <c r="N87" s="145" t="s">
        <v>40</v>
      </c>
      <c r="O87" s="173">
        <v>6</v>
      </c>
      <c r="P87" s="234">
        <f ca="1">OFFSET($A$1,MATCH(Z83,$A:$A,0)-1,O87)</f>
        <v>1.6</v>
      </c>
      <c r="Q87" s="144" t="s">
        <v>29</v>
      </c>
      <c r="R87" s="118">
        <f t="shared" ca="1" si="24"/>
        <v>295138</v>
      </c>
      <c r="S87" s="118">
        <f t="shared" ca="1" si="24"/>
        <v>472220</v>
      </c>
      <c r="T87" s="118">
        <f ca="1">중급</f>
        <v>295138</v>
      </c>
      <c r="U87" s="118">
        <f t="shared" ca="1" si="25"/>
        <v>472220</v>
      </c>
      <c r="V87" s="118"/>
      <c r="W87" s="118"/>
      <c r="X87" s="118"/>
      <c r="Y87" s="118"/>
      <c r="Z87" s="115"/>
    </row>
    <row r="88" spans="1:26" ht="18" customHeight="1">
      <c r="K88" s="171" t="s">
        <v>14</v>
      </c>
      <c r="L88" s="171"/>
      <c r="N88" s="145" t="s">
        <v>41</v>
      </c>
      <c r="O88" s="173">
        <v>7</v>
      </c>
      <c r="P88" s="234">
        <f ca="1">OFFSET($A$1,MATCH(Z83,$A:$A,0)-1,O88)</f>
        <v>0.5</v>
      </c>
      <c r="Q88" s="144" t="s">
        <v>29</v>
      </c>
      <c r="R88" s="118">
        <f t="shared" ca="1" si="24"/>
        <v>235459</v>
      </c>
      <c r="S88" s="118">
        <f t="shared" ca="1" si="24"/>
        <v>117729</v>
      </c>
      <c r="T88" s="118">
        <f ca="1">초급</f>
        <v>235459</v>
      </c>
      <c r="U88" s="118">
        <f t="shared" ca="1" si="25"/>
        <v>117729</v>
      </c>
      <c r="V88" s="118"/>
      <c r="W88" s="118"/>
      <c r="X88" s="118"/>
      <c r="Y88" s="118"/>
      <c r="Z88" s="115"/>
    </row>
    <row r="89" spans="1:26" ht="18" customHeight="1">
      <c r="K89" s="171" t="s">
        <v>14</v>
      </c>
      <c r="L89" s="171"/>
      <c r="N89" s="319" t="s">
        <v>42</v>
      </c>
      <c r="O89" s="174">
        <v>8</v>
      </c>
      <c r="P89" s="235">
        <f ca="1">OFFSET($A$1,MATCH(Z83,$A:$A,0)-1,O89)</f>
        <v>0</v>
      </c>
      <c r="Q89" s="322" t="s">
        <v>29</v>
      </c>
      <c r="R89" s="323">
        <f t="shared" ca="1" si="24"/>
        <v>250087</v>
      </c>
      <c r="S89" s="323">
        <f t="shared" ca="1" si="24"/>
        <v>0</v>
      </c>
      <c r="T89" s="323">
        <f ca="1">보조원</f>
        <v>250087</v>
      </c>
      <c r="U89" s="323">
        <f t="shared" ca="1" si="25"/>
        <v>0</v>
      </c>
      <c r="V89" s="323"/>
      <c r="W89" s="323"/>
      <c r="X89" s="323"/>
      <c r="Y89" s="323"/>
      <c r="Z89" s="324"/>
    </row>
    <row r="90" spans="1:26" ht="18" customHeight="1">
      <c r="K90" s="171" t="s">
        <v>14</v>
      </c>
      <c r="L90" s="171"/>
      <c r="N90" s="139" t="s">
        <v>17</v>
      </c>
      <c r="O90" s="68"/>
      <c r="P90" s="69"/>
      <c r="Q90" s="70"/>
      <c r="R90" s="71"/>
      <c r="S90" s="71">
        <f ca="1">SUBTOTAL(9,S84:S89)</f>
        <v>1709423</v>
      </c>
      <c r="T90" s="71"/>
      <c r="U90" s="71">
        <f ca="1">SUBTOTAL(9,U84:U89)</f>
        <v>1709423</v>
      </c>
      <c r="V90" s="71"/>
      <c r="W90" s="71"/>
      <c r="X90" s="71"/>
      <c r="Y90" s="71"/>
      <c r="Z90" s="68"/>
    </row>
    <row r="91" spans="1:26" ht="18" customHeight="1">
      <c r="K91" s="171" t="s">
        <v>14</v>
      </c>
      <c r="L91" s="171"/>
      <c r="N91" s="318" t="str">
        <f ca="1">"제 " &amp; Z91 &amp; " 호표  "&amp; OFFSET($A$1,MATCH(Z91,$A:$A,0)-1,1)</f>
        <v>제 5 호표  3.2. SWOT분석</v>
      </c>
      <c r="O91" s="221"/>
      <c r="P91" s="148"/>
      <c r="Q91" s="148"/>
      <c r="R91" s="149"/>
      <c r="S91" s="149"/>
      <c r="T91" s="149"/>
      <c r="U91" s="149"/>
      <c r="V91" s="149"/>
      <c r="W91" s="149"/>
      <c r="X91" s="149"/>
      <c r="Y91" s="149"/>
      <c r="Z91" s="325">
        <f>Z83+1</f>
        <v>5</v>
      </c>
    </row>
    <row r="92" spans="1:26" ht="18" customHeight="1">
      <c r="K92" s="171" t="s">
        <v>14</v>
      </c>
      <c r="L92" s="171"/>
      <c r="N92" s="140" t="s">
        <v>43</v>
      </c>
      <c r="O92" s="172">
        <v>3</v>
      </c>
      <c r="P92" s="219">
        <f ca="1">OFFSET($A$1,MATCH(Z91,$A:$A,0)-1,O92)</f>
        <v>0</v>
      </c>
      <c r="Q92" s="141" t="s">
        <v>29</v>
      </c>
      <c r="R92" s="142">
        <f t="shared" ref="R92:S97" ca="1" si="26">T92</f>
        <v>467217</v>
      </c>
      <c r="S92" s="142">
        <f t="shared" ca="1" si="26"/>
        <v>0</v>
      </c>
      <c r="T92" s="142">
        <f ca="1">기술사</f>
        <v>467217</v>
      </c>
      <c r="U92" s="142">
        <f t="shared" ref="U92:U97" ca="1" si="27">ROUNDDOWN(P92*R92,0)</f>
        <v>0</v>
      </c>
      <c r="V92" s="142"/>
      <c r="W92" s="142"/>
      <c r="X92" s="142"/>
      <c r="Y92" s="142"/>
      <c r="Z92" s="114"/>
    </row>
    <row r="93" spans="1:26" ht="18" customHeight="1">
      <c r="K93" s="171" t="s">
        <v>14</v>
      </c>
      <c r="L93" s="171"/>
      <c r="N93" s="143" t="s">
        <v>32</v>
      </c>
      <c r="O93" s="173">
        <v>4</v>
      </c>
      <c r="P93" s="234">
        <f ca="1">OFFSET($A$1,MATCH(Z91,$A:$A,0)-1,O93)</f>
        <v>1</v>
      </c>
      <c r="Q93" s="144" t="s">
        <v>29</v>
      </c>
      <c r="R93" s="118">
        <f t="shared" ca="1" si="26"/>
        <v>373353</v>
      </c>
      <c r="S93" s="118">
        <f t="shared" ca="1" si="26"/>
        <v>373353</v>
      </c>
      <c r="T93" s="118">
        <f ca="1">특급</f>
        <v>373353</v>
      </c>
      <c r="U93" s="118">
        <f t="shared" ca="1" si="27"/>
        <v>373353</v>
      </c>
      <c r="V93" s="118"/>
      <c r="W93" s="118"/>
      <c r="X93" s="118"/>
      <c r="Y93" s="118"/>
      <c r="Z93" s="115"/>
    </row>
    <row r="94" spans="1:26" ht="18" customHeight="1">
      <c r="K94" s="171" t="s">
        <v>14</v>
      </c>
      <c r="L94" s="171"/>
      <c r="N94" s="145" t="s">
        <v>39</v>
      </c>
      <c r="O94" s="173">
        <v>5</v>
      </c>
      <c r="P94" s="234">
        <f ca="1">OFFSET($A$1,MATCH(Z91,$A:$A,0)-1,O94)</f>
        <v>2.4</v>
      </c>
      <c r="Q94" s="144" t="s">
        <v>29</v>
      </c>
      <c r="R94" s="118">
        <f t="shared" ca="1" si="26"/>
        <v>310884</v>
      </c>
      <c r="S94" s="118">
        <f t="shared" ca="1" si="26"/>
        <v>746121</v>
      </c>
      <c r="T94" s="118">
        <f ca="1">고급</f>
        <v>310884</v>
      </c>
      <c r="U94" s="118">
        <f t="shared" ca="1" si="27"/>
        <v>746121</v>
      </c>
      <c r="V94" s="118"/>
      <c r="W94" s="118"/>
      <c r="X94" s="118"/>
      <c r="Y94" s="118"/>
      <c r="Z94" s="115"/>
    </row>
    <row r="95" spans="1:26" ht="18" customHeight="1">
      <c r="K95" s="171" t="s">
        <v>14</v>
      </c>
      <c r="L95" s="171"/>
      <c r="N95" s="145" t="s">
        <v>40</v>
      </c>
      <c r="O95" s="173">
        <v>6</v>
      </c>
      <c r="P95" s="234">
        <f ca="1">OFFSET($A$1,MATCH(Z91,$A:$A,0)-1,O95)</f>
        <v>1.6</v>
      </c>
      <c r="Q95" s="144" t="s">
        <v>29</v>
      </c>
      <c r="R95" s="118">
        <f t="shared" ca="1" si="26"/>
        <v>295138</v>
      </c>
      <c r="S95" s="118">
        <f t="shared" ca="1" si="26"/>
        <v>472220</v>
      </c>
      <c r="T95" s="118">
        <f ca="1">중급</f>
        <v>295138</v>
      </c>
      <c r="U95" s="118">
        <f t="shared" ca="1" si="27"/>
        <v>472220</v>
      </c>
      <c r="V95" s="118"/>
      <c r="W95" s="118"/>
      <c r="X95" s="118"/>
      <c r="Y95" s="118"/>
      <c r="Z95" s="115"/>
    </row>
    <row r="96" spans="1:26" ht="18" customHeight="1">
      <c r="K96" s="171" t="s">
        <v>14</v>
      </c>
      <c r="L96" s="171"/>
      <c r="N96" s="145" t="s">
        <v>41</v>
      </c>
      <c r="O96" s="173">
        <v>7</v>
      </c>
      <c r="P96" s="234">
        <f ca="1">OFFSET($A$1,MATCH(Z91,$A:$A,0)-1,O96)</f>
        <v>0.5</v>
      </c>
      <c r="Q96" s="144" t="s">
        <v>29</v>
      </c>
      <c r="R96" s="118">
        <f t="shared" ca="1" si="26"/>
        <v>235459</v>
      </c>
      <c r="S96" s="118">
        <f t="shared" ca="1" si="26"/>
        <v>117729</v>
      </c>
      <c r="T96" s="118">
        <f ca="1">초급</f>
        <v>235459</v>
      </c>
      <c r="U96" s="118">
        <f t="shared" ca="1" si="27"/>
        <v>117729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N97" s="319" t="s">
        <v>42</v>
      </c>
      <c r="O97" s="174">
        <v>8</v>
      </c>
      <c r="P97" s="235">
        <f ca="1">OFFSET($A$1,MATCH(Z91,$A:$A,0)-1,O97)</f>
        <v>0</v>
      </c>
      <c r="Q97" s="322" t="s">
        <v>29</v>
      </c>
      <c r="R97" s="323">
        <f t="shared" ca="1" si="26"/>
        <v>250087</v>
      </c>
      <c r="S97" s="323">
        <f t="shared" ca="1" si="26"/>
        <v>0</v>
      </c>
      <c r="T97" s="323">
        <f ca="1">보조원</f>
        <v>250087</v>
      </c>
      <c r="U97" s="323">
        <f t="shared" ca="1" si="27"/>
        <v>0</v>
      </c>
      <c r="V97" s="323"/>
      <c r="W97" s="323"/>
      <c r="X97" s="323"/>
      <c r="Y97" s="323"/>
      <c r="Z97" s="324"/>
    </row>
    <row r="98" spans="11:26" ht="18" customHeight="1">
      <c r="K98" s="171" t="s">
        <v>14</v>
      </c>
      <c r="L98" s="171"/>
      <c r="N98" s="139" t="s">
        <v>17</v>
      </c>
      <c r="O98" s="68"/>
      <c r="P98" s="69"/>
      <c r="Q98" s="70"/>
      <c r="R98" s="71"/>
      <c r="S98" s="71">
        <f ca="1">SUBTOTAL(9,S92:S97)</f>
        <v>1709423</v>
      </c>
      <c r="T98" s="71"/>
      <c r="U98" s="71">
        <f ca="1">SUBTOTAL(9,U92:U97)</f>
        <v>1709423</v>
      </c>
      <c r="V98" s="71"/>
      <c r="W98" s="71"/>
      <c r="X98" s="71"/>
      <c r="Y98" s="71"/>
      <c r="Z98" s="68"/>
    </row>
    <row r="99" spans="11:26" ht="18" customHeight="1">
      <c r="K99" s="171" t="s">
        <v>14</v>
      </c>
      <c r="L99" s="171"/>
      <c r="N99" s="318" t="str">
        <f ca="1">"제 " &amp; Z99 &amp; " 호표  "&amp; OFFSET($A$1,MATCH(Z99,$A:$A,0)-1,1)</f>
        <v>제 6 호표  3.3. 핵심과제 도출</v>
      </c>
      <c r="O99" s="221"/>
      <c r="P99" s="148"/>
      <c r="Q99" s="148"/>
      <c r="R99" s="149"/>
      <c r="S99" s="149"/>
      <c r="T99" s="149"/>
      <c r="U99" s="149"/>
      <c r="V99" s="149"/>
      <c r="W99" s="149"/>
      <c r="X99" s="149"/>
      <c r="Y99" s="149"/>
      <c r="Z99" s="325">
        <f>Z91+1</f>
        <v>6</v>
      </c>
    </row>
    <row r="100" spans="11:26" ht="18" customHeight="1">
      <c r="K100" s="171" t="s">
        <v>14</v>
      </c>
      <c r="L100" s="171"/>
      <c r="N100" s="140" t="s">
        <v>43</v>
      </c>
      <c r="O100" s="172">
        <v>3</v>
      </c>
      <c r="P100" s="219">
        <f ca="1">OFFSET($A$1,MATCH(Z99,$A:$A,0)-1,O100)</f>
        <v>0</v>
      </c>
      <c r="Q100" s="141" t="s">
        <v>29</v>
      </c>
      <c r="R100" s="142">
        <f t="shared" ref="R100:S105" ca="1" si="28">T100</f>
        <v>467217</v>
      </c>
      <c r="S100" s="142">
        <f t="shared" ca="1" si="28"/>
        <v>0</v>
      </c>
      <c r="T100" s="142">
        <f ca="1">기술사</f>
        <v>467217</v>
      </c>
      <c r="U100" s="142">
        <f t="shared" ref="U100:U105" ca="1" si="29">ROUNDDOWN(P100*R100,0)</f>
        <v>0</v>
      </c>
      <c r="V100" s="142"/>
      <c r="W100" s="142"/>
      <c r="X100" s="142"/>
      <c r="Y100" s="142"/>
      <c r="Z100" s="114"/>
    </row>
    <row r="101" spans="11:26" ht="18" customHeight="1">
      <c r="K101" s="171" t="s">
        <v>14</v>
      </c>
      <c r="L101" s="171"/>
      <c r="N101" s="143" t="s">
        <v>32</v>
      </c>
      <c r="O101" s="173">
        <v>4</v>
      </c>
      <c r="P101" s="234">
        <f ca="1">OFFSET($A$1,MATCH(Z99,$A:$A,0)-1,O101)</f>
        <v>1</v>
      </c>
      <c r="Q101" s="144" t="s">
        <v>29</v>
      </c>
      <c r="R101" s="118">
        <f t="shared" ca="1" si="28"/>
        <v>373353</v>
      </c>
      <c r="S101" s="118">
        <f t="shared" ca="1" si="28"/>
        <v>373353</v>
      </c>
      <c r="T101" s="118">
        <f ca="1">특급</f>
        <v>373353</v>
      </c>
      <c r="U101" s="118">
        <f t="shared" ca="1" si="29"/>
        <v>373353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N102" s="145" t="s">
        <v>39</v>
      </c>
      <c r="O102" s="173">
        <v>5</v>
      </c>
      <c r="P102" s="234">
        <f ca="1">OFFSET($A$1,MATCH(Z99,$A:$A,0)-1,O102)</f>
        <v>2.4</v>
      </c>
      <c r="Q102" s="144" t="s">
        <v>29</v>
      </c>
      <c r="R102" s="118">
        <f t="shared" ca="1" si="28"/>
        <v>310884</v>
      </c>
      <c r="S102" s="118">
        <f t="shared" ca="1" si="28"/>
        <v>746121</v>
      </c>
      <c r="T102" s="118">
        <f ca="1">고급</f>
        <v>310884</v>
      </c>
      <c r="U102" s="118">
        <f t="shared" ca="1" si="29"/>
        <v>746121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N103" s="145" t="s">
        <v>40</v>
      </c>
      <c r="O103" s="173">
        <v>6</v>
      </c>
      <c r="P103" s="234">
        <f ca="1">OFFSET($A$1,MATCH(Z99,$A:$A,0)-1,O103)</f>
        <v>1.6</v>
      </c>
      <c r="Q103" s="144" t="s">
        <v>29</v>
      </c>
      <c r="R103" s="118">
        <f t="shared" ca="1" si="28"/>
        <v>295138</v>
      </c>
      <c r="S103" s="118">
        <f t="shared" ca="1" si="28"/>
        <v>472220</v>
      </c>
      <c r="T103" s="118">
        <f ca="1">중급</f>
        <v>295138</v>
      </c>
      <c r="U103" s="118">
        <f t="shared" ca="1" si="29"/>
        <v>472220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N104" s="145" t="s">
        <v>41</v>
      </c>
      <c r="O104" s="173">
        <v>7</v>
      </c>
      <c r="P104" s="234">
        <f ca="1">OFFSET($A$1,MATCH(Z99,$A:$A,0)-1,O104)</f>
        <v>0.5</v>
      </c>
      <c r="Q104" s="144" t="s">
        <v>29</v>
      </c>
      <c r="R104" s="118">
        <f t="shared" ca="1" si="28"/>
        <v>235459</v>
      </c>
      <c r="S104" s="118">
        <f t="shared" ca="1" si="28"/>
        <v>117729</v>
      </c>
      <c r="T104" s="118">
        <f ca="1">초급</f>
        <v>235459</v>
      </c>
      <c r="U104" s="118">
        <f t="shared" ca="1" si="29"/>
        <v>117729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N105" s="319" t="s">
        <v>42</v>
      </c>
      <c r="O105" s="174">
        <v>8</v>
      </c>
      <c r="P105" s="235">
        <f ca="1">OFFSET($A$1,MATCH(Z99,$A:$A,0)-1,O105)</f>
        <v>0</v>
      </c>
      <c r="Q105" s="322" t="s">
        <v>29</v>
      </c>
      <c r="R105" s="323">
        <f t="shared" ca="1" si="28"/>
        <v>250087</v>
      </c>
      <c r="S105" s="323">
        <f t="shared" ca="1" si="28"/>
        <v>0</v>
      </c>
      <c r="T105" s="323">
        <f ca="1">보조원</f>
        <v>250087</v>
      </c>
      <c r="U105" s="323">
        <f t="shared" ca="1" si="29"/>
        <v>0</v>
      </c>
      <c r="V105" s="323"/>
      <c r="W105" s="323"/>
      <c r="X105" s="323"/>
      <c r="Y105" s="323"/>
      <c r="Z105" s="324"/>
    </row>
    <row r="106" spans="11:26" ht="18" customHeight="1">
      <c r="K106" s="171" t="s">
        <v>14</v>
      </c>
      <c r="L106" s="171"/>
      <c r="N106" s="139" t="s">
        <v>17</v>
      </c>
      <c r="O106" s="68"/>
      <c r="P106" s="69"/>
      <c r="Q106" s="70"/>
      <c r="R106" s="71"/>
      <c r="S106" s="71">
        <f ca="1">SUBTOTAL(9,S100:S105)</f>
        <v>1709423</v>
      </c>
      <c r="T106" s="71"/>
      <c r="U106" s="71">
        <f ca="1">SUBTOTAL(9,U100:U105)</f>
        <v>1709423</v>
      </c>
      <c r="V106" s="71"/>
      <c r="W106" s="71"/>
      <c r="X106" s="71"/>
      <c r="Y106" s="71"/>
      <c r="Z106" s="68"/>
    </row>
    <row r="107" spans="11:26" ht="18" customHeight="1">
      <c r="K107" s="171" t="s">
        <v>14</v>
      </c>
      <c r="L107" s="171"/>
      <c r="N107" s="318" t="str">
        <f ca="1">"제 " &amp; Z107 &amp; " 호표  "&amp; OFFSET($A$1,MATCH(Z107,$A:$A,0)-1,1)</f>
        <v>제 7 호표  4.1. 전략수립</v>
      </c>
      <c r="O107" s="221"/>
      <c r="P107" s="148"/>
      <c r="Q107" s="148"/>
      <c r="R107" s="149"/>
      <c r="S107" s="149"/>
      <c r="T107" s="149"/>
      <c r="U107" s="149"/>
      <c r="V107" s="149"/>
      <c r="W107" s="149"/>
      <c r="X107" s="149"/>
      <c r="Y107" s="149"/>
      <c r="Z107" s="325">
        <f>Z99+1</f>
        <v>7</v>
      </c>
    </row>
    <row r="108" spans="11:26" ht="18" customHeight="1">
      <c r="K108" s="171" t="s">
        <v>14</v>
      </c>
      <c r="L108" s="171"/>
      <c r="N108" s="140" t="s">
        <v>43</v>
      </c>
      <c r="O108" s="172">
        <v>3</v>
      </c>
      <c r="P108" s="219">
        <f ca="1">OFFSET($A$1,MATCH(Z107,$A:$A,0)-1,O108)</f>
        <v>0</v>
      </c>
      <c r="Q108" s="141" t="s">
        <v>29</v>
      </c>
      <c r="R108" s="142">
        <f t="shared" ref="R108:S113" ca="1" si="30">T108</f>
        <v>467217</v>
      </c>
      <c r="S108" s="142">
        <f t="shared" ca="1" si="30"/>
        <v>0</v>
      </c>
      <c r="T108" s="142">
        <f ca="1">기술사</f>
        <v>467217</v>
      </c>
      <c r="U108" s="142">
        <f t="shared" ref="U108:U113" ca="1" si="31">ROUNDDOWN(P108*R108,0)</f>
        <v>0</v>
      </c>
      <c r="V108" s="142"/>
      <c r="W108" s="142"/>
      <c r="X108" s="142"/>
      <c r="Y108" s="142"/>
      <c r="Z108" s="114"/>
    </row>
    <row r="109" spans="11:26" ht="18" customHeight="1">
      <c r="K109" s="171" t="s">
        <v>14</v>
      </c>
      <c r="L109" s="171"/>
      <c r="N109" s="143" t="s">
        <v>32</v>
      </c>
      <c r="O109" s="173">
        <v>4</v>
      </c>
      <c r="P109" s="234">
        <f ca="1">OFFSET($A$1,MATCH(Z107,$A:$A,0)-1,O109)</f>
        <v>1.5</v>
      </c>
      <c r="Q109" s="144" t="s">
        <v>29</v>
      </c>
      <c r="R109" s="118">
        <f t="shared" ca="1" si="30"/>
        <v>373353</v>
      </c>
      <c r="S109" s="118">
        <f t="shared" ca="1" si="30"/>
        <v>560029</v>
      </c>
      <c r="T109" s="118">
        <f ca="1">특급</f>
        <v>373353</v>
      </c>
      <c r="U109" s="118">
        <f t="shared" ca="1" si="31"/>
        <v>560029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N110" s="145" t="s">
        <v>39</v>
      </c>
      <c r="O110" s="173">
        <v>5</v>
      </c>
      <c r="P110" s="234">
        <f ca="1">OFFSET($A$1,MATCH(Z107,$A:$A,0)-1,O110)</f>
        <v>3.6</v>
      </c>
      <c r="Q110" s="144" t="s">
        <v>29</v>
      </c>
      <c r="R110" s="118">
        <f t="shared" ca="1" si="30"/>
        <v>310884</v>
      </c>
      <c r="S110" s="118">
        <f t="shared" ca="1" si="30"/>
        <v>1119182</v>
      </c>
      <c r="T110" s="118">
        <f ca="1">고급</f>
        <v>310884</v>
      </c>
      <c r="U110" s="118">
        <f t="shared" ca="1" si="31"/>
        <v>1119182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N111" s="145" t="s">
        <v>40</v>
      </c>
      <c r="O111" s="173">
        <v>6</v>
      </c>
      <c r="P111" s="234">
        <f ca="1">OFFSET($A$1,MATCH(Z107,$A:$A,0)-1,O111)</f>
        <v>2.4</v>
      </c>
      <c r="Q111" s="144" t="s">
        <v>29</v>
      </c>
      <c r="R111" s="118">
        <f t="shared" ca="1" si="30"/>
        <v>295138</v>
      </c>
      <c r="S111" s="118">
        <f t="shared" ca="1" si="30"/>
        <v>708331</v>
      </c>
      <c r="T111" s="118">
        <f ca="1">중급</f>
        <v>295138</v>
      </c>
      <c r="U111" s="118">
        <f t="shared" ca="1" si="31"/>
        <v>708331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N112" s="145" t="s">
        <v>41</v>
      </c>
      <c r="O112" s="173">
        <v>7</v>
      </c>
      <c r="P112" s="234">
        <f ca="1">OFFSET($A$1,MATCH(Z107,$A:$A,0)-1,O112)</f>
        <v>0.7</v>
      </c>
      <c r="Q112" s="144" t="s">
        <v>29</v>
      </c>
      <c r="R112" s="118">
        <f t="shared" ca="1" si="30"/>
        <v>235459</v>
      </c>
      <c r="S112" s="118">
        <f t="shared" ca="1" si="30"/>
        <v>164821</v>
      </c>
      <c r="T112" s="118">
        <f ca="1">초급</f>
        <v>235459</v>
      </c>
      <c r="U112" s="118">
        <f t="shared" ca="1" si="31"/>
        <v>164821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N113" s="319" t="s">
        <v>42</v>
      </c>
      <c r="O113" s="174">
        <v>8</v>
      </c>
      <c r="P113" s="235">
        <f ca="1">OFFSET($A$1,MATCH(Z107,$A:$A,0)-1,O113)</f>
        <v>0</v>
      </c>
      <c r="Q113" s="322" t="s">
        <v>29</v>
      </c>
      <c r="R113" s="323">
        <f t="shared" ca="1" si="30"/>
        <v>250087</v>
      </c>
      <c r="S113" s="323">
        <f t="shared" ca="1" si="30"/>
        <v>0</v>
      </c>
      <c r="T113" s="323">
        <f ca="1">보조원</f>
        <v>250087</v>
      </c>
      <c r="U113" s="323">
        <f t="shared" ca="1" si="31"/>
        <v>0</v>
      </c>
      <c r="V113" s="323"/>
      <c r="W113" s="323"/>
      <c r="X113" s="323"/>
      <c r="Y113" s="323"/>
      <c r="Z113" s="324"/>
    </row>
    <row r="114" spans="11:26" ht="18" customHeight="1">
      <c r="K114" s="171" t="s">
        <v>14</v>
      </c>
      <c r="L114" s="171"/>
      <c r="N114" s="139" t="s">
        <v>17</v>
      </c>
      <c r="O114" s="68"/>
      <c r="P114" s="69"/>
      <c r="Q114" s="70"/>
      <c r="R114" s="71"/>
      <c r="S114" s="71">
        <f ca="1">SUBTOTAL(9,S108:S113)</f>
        <v>2552363</v>
      </c>
      <c r="T114" s="71"/>
      <c r="U114" s="71">
        <f ca="1">SUBTOTAL(9,U108:U113)</f>
        <v>2552363</v>
      </c>
      <c r="V114" s="71"/>
      <c r="W114" s="71"/>
      <c r="X114" s="71"/>
      <c r="Y114" s="71"/>
      <c r="Z114" s="68"/>
    </row>
    <row r="115" spans="11:26" ht="18" customHeight="1">
      <c r="K115" s="171" t="s">
        <v>14</v>
      </c>
      <c r="L115" s="171"/>
      <c r="N115" s="318" t="str">
        <f ca="1">"제 " &amp; Z115 &amp; " 호표  "&amp; OFFSET($A$1,MATCH(Z115,$A:$A,0)-1,1)</f>
        <v>제 8 호표  4.2. 아이디어 창출</v>
      </c>
      <c r="O115" s="221"/>
      <c r="P115" s="148"/>
      <c r="Q115" s="148"/>
      <c r="R115" s="149"/>
      <c r="S115" s="149"/>
      <c r="T115" s="149"/>
      <c r="U115" s="149"/>
      <c r="V115" s="149"/>
      <c r="W115" s="149"/>
      <c r="X115" s="149"/>
      <c r="Y115" s="149"/>
      <c r="Z115" s="325">
        <f>Z107+1</f>
        <v>8</v>
      </c>
    </row>
    <row r="116" spans="11:26" ht="18" customHeight="1">
      <c r="K116" s="171" t="s">
        <v>14</v>
      </c>
      <c r="L116" s="171"/>
      <c r="N116" s="140" t="s">
        <v>43</v>
      </c>
      <c r="O116" s="172">
        <v>3</v>
      </c>
      <c r="P116" s="219">
        <f ca="1">OFFSET($A$1,MATCH(Z115,$A:$A,0)-1,O116)</f>
        <v>0</v>
      </c>
      <c r="Q116" s="141" t="s">
        <v>29</v>
      </c>
      <c r="R116" s="142">
        <f t="shared" ref="R116:S121" ca="1" si="32">T116</f>
        <v>467217</v>
      </c>
      <c r="S116" s="142">
        <f t="shared" ca="1" si="32"/>
        <v>0</v>
      </c>
      <c r="T116" s="142">
        <f ca="1">기술사</f>
        <v>467217</v>
      </c>
      <c r="U116" s="142">
        <f t="shared" ref="U116:U121" ca="1" si="33">ROUNDDOWN(P116*R116,0)</f>
        <v>0</v>
      </c>
      <c r="V116" s="142"/>
      <c r="W116" s="142"/>
      <c r="X116" s="142"/>
      <c r="Y116" s="142"/>
      <c r="Z116" s="114"/>
    </row>
    <row r="117" spans="11:26" ht="18" customHeight="1">
      <c r="K117" s="171" t="s">
        <v>14</v>
      </c>
      <c r="L117" s="171"/>
      <c r="N117" s="143" t="s">
        <v>32</v>
      </c>
      <c r="O117" s="173">
        <v>4</v>
      </c>
      <c r="P117" s="234">
        <f ca="1">OFFSET($A$1,MATCH(Z115,$A:$A,0)-1,O117)</f>
        <v>1.5</v>
      </c>
      <c r="Q117" s="144" t="s">
        <v>29</v>
      </c>
      <c r="R117" s="118">
        <f t="shared" ca="1" si="32"/>
        <v>373353</v>
      </c>
      <c r="S117" s="118">
        <f t="shared" ca="1" si="32"/>
        <v>560029</v>
      </c>
      <c r="T117" s="118">
        <f ca="1">특급</f>
        <v>373353</v>
      </c>
      <c r="U117" s="118">
        <f t="shared" ca="1" si="33"/>
        <v>560029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N118" s="145" t="s">
        <v>39</v>
      </c>
      <c r="O118" s="173">
        <v>5</v>
      </c>
      <c r="P118" s="234">
        <f ca="1">OFFSET($A$1,MATCH(Z115,$A:$A,0)-1,O118)</f>
        <v>3.6</v>
      </c>
      <c r="Q118" s="144" t="s">
        <v>29</v>
      </c>
      <c r="R118" s="118">
        <f t="shared" ca="1" si="32"/>
        <v>310884</v>
      </c>
      <c r="S118" s="118">
        <f t="shared" ca="1" si="32"/>
        <v>1119182</v>
      </c>
      <c r="T118" s="118">
        <f ca="1">고급</f>
        <v>310884</v>
      </c>
      <c r="U118" s="118">
        <f t="shared" ca="1" si="33"/>
        <v>1119182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N119" s="145" t="s">
        <v>40</v>
      </c>
      <c r="O119" s="173">
        <v>6</v>
      </c>
      <c r="P119" s="234">
        <f ca="1">OFFSET($A$1,MATCH(Z115,$A:$A,0)-1,O119)</f>
        <v>2.4</v>
      </c>
      <c r="Q119" s="144" t="s">
        <v>29</v>
      </c>
      <c r="R119" s="118">
        <f t="shared" ca="1" si="32"/>
        <v>295138</v>
      </c>
      <c r="S119" s="118">
        <f t="shared" ca="1" si="32"/>
        <v>708331</v>
      </c>
      <c r="T119" s="118">
        <f ca="1">중급</f>
        <v>295138</v>
      </c>
      <c r="U119" s="118">
        <f t="shared" ca="1" si="33"/>
        <v>708331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N120" s="145" t="s">
        <v>41</v>
      </c>
      <c r="O120" s="173">
        <v>7</v>
      </c>
      <c r="P120" s="234">
        <f ca="1">OFFSET($A$1,MATCH(Z115,$A:$A,0)-1,O120)</f>
        <v>0.7</v>
      </c>
      <c r="Q120" s="144" t="s">
        <v>29</v>
      </c>
      <c r="R120" s="118">
        <f t="shared" ca="1" si="32"/>
        <v>235459</v>
      </c>
      <c r="S120" s="118">
        <f t="shared" ca="1" si="32"/>
        <v>164821</v>
      </c>
      <c r="T120" s="118">
        <f ca="1">초급</f>
        <v>235459</v>
      </c>
      <c r="U120" s="118">
        <f t="shared" ca="1" si="33"/>
        <v>164821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N121" s="319" t="s">
        <v>42</v>
      </c>
      <c r="O121" s="174">
        <v>8</v>
      </c>
      <c r="P121" s="235">
        <f ca="1">OFFSET($A$1,MATCH(Z115,$A:$A,0)-1,O121)</f>
        <v>0</v>
      </c>
      <c r="Q121" s="322" t="s">
        <v>29</v>
      </c>
      <c r="R121" s="323">
        <f t="shared" ca="1" si="32"/>
        <v>250087</v>
      </c>
      <c r="S121" s="323">
        <f t="shared" ca="1" si="32"/>
        <v>0</v>
      </c>
      <c r="T121" s="323">
        <f ca="1">보조원</f>
        <v>250087</v>
      </c>
      <c r="U121" s="323">
        <f t="shared" ca="1" si="33"/>
        <v>0</v>
      </c>
      <c r="V121" s="323"/>
      <c r="W121" s="323"/>
      <c r="X121" s="323"/>
      <c r="Y121" s="323"/>
      <c r="Z121" s="324"/>
    </row>
    <row r="122" spans="11:26" ht="18" customHeight="1">
      <c r="K122" s="171" t="s">
        <v>14</v>
      </c>
      <c r="L122" s="171"/>
      <c r="N122" s="139" t="s">
        <v>17</v>
      </c>
      <c r="O122" s="68"/>
      <c r="P122" s="69"/>
      <c r="Q122" s="70"/>
      <c r="R122" s="71"/>
      <c r="S122" s="71">
        <f ca="1">SUBTOTAL(9,S116:S121)</f>
        <v>2552363</v>
      </c>
      <c r="T122" s="71"/>
      <c r="U122" s="71">
        <f ca="1">SUBTOTAL(9,U116:U121)</f>
        <v>2552363</v>
      </c>
      <c r="V122" s="71"/>
      <c r="W122" s="71"/>
      <c r="X122" s="71"/>
      <c r="Y122" s="71"/>
      <c r="Z122" s="68"/>
    </row>
    <row r="123" spans="11:26" ht="18" customHeight="1">
      <c r="K123" s="171" t="s">
        <v>14</v>
      </c>
      <c r="L123" s="171"/>
      <c r="N123" s="318" t="str">
        <f ca="1">"제 " &amp; Z123 &amp; " 호표  "&amp; OFFSET($A$1,MATCH(Z123,$A:$A,0)-1,1)</f>
        <v>제 9 호표  4.3. 문제해결방안 도출</v>
      </c>
      <c r="O123" s="221"/>
      <c r="P123" s="148"/>
      <c r="Q123" s="148"/>
      <c r="R123" s="149"/>
      <c r="S123" s="149"/>
      <c r="T123" s="149"/>
      <c r="U123" s="149"/>
      <c r="V123" s="149"/>
      <c r="W123" s="149"/>
      <c r="X123" s="149"/>
      <c r="Y123" s="149"/>
      <c r="Z123" s="325">
        <f>Z115+1</f>
        <v>9</v>
      </c>
    </row>
    <row r="124" spans="11:26" ht="18" customHeight="1">
      <c r="K124" s="171" t="s">
        <v>14</v>
      </c>
      <c r="L124" s="171"/>
      <c r="N124" s="140" t="s">
        <v>43</v>
      </c>
      <c r="O124" s="172">
        <v>3</v>
      </c>
      <c r="P124" s="219">
        <f ca="1">OFFSET($A$1,MATCH(Z123,$A:$A,0)-1,O124)</f>
        <v>0</v>
      </c>
      <c r="Q124" s="141" t="s">
        <v>29</v>
      </c>
      <c r="R124" s="142">
        <f t="shared" ref="R124:S129" ca="1" si="34">T124</f>
        <v>467217</v>
      </c>
      <c r="S124" s="142">
        <f t="shared" ca="1" si="34"/>
        <v>0</v>
      </c>
      <c r="T124" s="142">
        <f ca="1">기술사</f>
        <v>467217</v>
      </c>
      <c r="U124" s="142">
        <f t="shared" ref="U124:U129" ca="1" si="35">ROUNDDOWN(P124*R124,0)</f>
        <v>0</v>
      </c>
      <c r="V124" s="142"/>
      <c r="W124" s="142"/>
      <c r="X124" s="142"/>
      <c r="Y124" s="142"/>
      <c r="Z124" s="114"/>
    </row>
    <row r="125" spans="11:26" ht="18" customHeight="1">
      <c r="K125" s="171" t="s">
        <v>14</v>
      </c>
      <c r="L125" s="171"/>
      <c r="N125" s="143" t="s">
        <v>32</v>
      </c>
      <c r="O125" s="173">
        <v>4</v>
      </c>
      <c r="P125" s="234">
        <f ca="1">OFFSET($A$1,MATCH(Z123,$A:$A,0)-1,O125)</f>
        <v>1.5</v>
      </c>
      <c r="Q125" s="144" t="s">
        <v>29</v>
      </c>
      <c r="R125" s="118">
        <f t="shared" ca="1" si="34"/>
        <v>373353</v>
      </c>
      <c r="S125" s="118">
        <f t="shared" ca="1" si="34"/>
        <v>560029</v>
      </c>
      <c r="T125" s="118">
        <f ca="1">특급</f>
        <v>373353</v>
      </c>
      <c r="U125" s="118">
        <f t="shared" ca="1" si="35"/>
        <v>560029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N126" s="145" t="s">
        <v>39</v>
      </c>
      <c r="O126" s="173">
        <v>5</v>
      </c>
      <c r="P126" s="234">
        <f ca="1">OFFSET($A$1,MATCH(Z123,$A:$A,0)-1,O126)</f>
        <v>3.6</v>
      </c>
      <c r="Q126" s="144" t="s">
        <v>29</v>
      </c>
      <c r="R126" s="118">
        <f t="shared" ca="1" si="34"/>
        <v>310884</v>
      </c>
      <c r="S126" s="118">
        <f t="shared" ca="1" si="34"/>
        <v>1119182</v>
      </c>
      <c r="T126" s="118">
        <f ca="1">고급</f>
        <v>310884</v>
      </c>
      <c r="U126" s="118">
        <f t="shared" ca="1" si="35"/>
        <v>1119182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N127" s="145" t="s">
        <v>40</v>
      </c>
      <c r="O127" s="173">
        <v>6</v>
      </c>
      <c r="P127" s="234">
        <f ca="1">OFFSET($A$1,MATCH(Z123,$A:$A,0)-1,O127)</f>
        <v>2.4</v>
      </c>
      <c r="Q127" s="144" t="s">
        <v>29</v>
      </c>
      <c r="R127" s="118">
        <f t="shared" ca="1" si="34"/>
        <v>295138</v>
      </c>
      <c r="S127" s="118">
        <f t="shared" ca="1" si="34"/>
        <v>708331</v>
      </c>
      <c r="T127" s="118">
        <f ca="1">중급</f>
        <v>295138</v>
      </c>
      <c r="U127" s="118">
        <f t="shared" ca="1" si="35"/>
        <v>708331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41</v>
      </c>
      <c r="O128" s="173">
        <v>7</v>
      </c>
      <c r="P128" s="234">
        <f ca="1">OFFSET($A$1,MATCH(Z123,$A:$A,0)-1,O128)</f>
        <v>0.7</v>
      </c>
      <c r="Q128" s="144" t="s">
        <v>29</v>
      </c>
      <c r="R128" s="118">
        <f t="shared" ca="1" si="34"/>
        <v>235459</v>
      </c>
      <c r="S128" s="118">
        <f t="shared" ca="1" si="34"/>
        <v>164821</v>
      </c>
      <c r="T128" s="118">
        <f ca="1">초급</f>
        <v>235459</v>
      </c>
      <c r="U128" s="118">
        <f t="shared" ca="1" si="35"/>
        <v>164821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319" t="s">
        <v>42</v>
      </c>
      <c r="O129" s="174">
        <v>8</v>
      </c>
      <c r="P129" s="235">
        <f ca="1">OFFSET($A$1,MATCH(Z123,$A:$A,0)-1,O129)</f>
        <v>0</v>
      </c>
      <c r="Q129" s="322" t="s">
        <v>29</v>
      </c>
      <c r="R129" s="323">
        <f t="shared" ca="1" si="34"/>
        <v>250087</v>
      </c>
      <c r="S129" s="323">
        <f t="shared" ca="1" si="34"/>
        <v>0</v>
      </c>
      <c r="T129" s="323">
        <f ca="1">보조원</f>
        <v>250087</v>
      </c>
      <c r="U129" s="323">
        <f t="shared" ca="1" si="35"/>
        <v>0</v>
      </c>
      <c r="V129" s="323"/>
      <c r="W129" s="323"/>
      <c r="X129" s="323"/>
      <c r="Y129" s="323"/>
      <c r="Z129" s="324"/>
    </row>
    <row r="130" spans="11:26" ht="18" customHeight="1">
      <c r="K130" s="171" t="s">
        <v>14</v>
      </c>
      <c r="L130" s="171"/>
      <c r="M130" s="171"/>
      <c r="N130" s="139" t="s">
        <v>17</v>
      </c>
      <c r="O130" s="68"/>
      <c r="P130" s="69"/>
      <c r="Q130" s="70"/>
      <c r="R130" s="71"/>
      <c r="S130" s="71">
        <f ca="1">SUBTOTAL(9,S124:S129)</f>
        <v>2552363</v>
      </c>
      <c r="T130" s="71"/>
      <c r="U130" s="71">
        <f ca="1">SUBTOTAL(9,U124:U129)</f>
        <v>2552363</v>
      </c>
      <c r="V130" s="71"/>
      <c r="W130" s="71"/>
      <c r="X130" s="71"/>
      <c r="Y130" s="71"/>
      <c r="Z130" s="68"/>
    </row>
    <row r="131" spans="11:26" ht="18" customHeight="1">
      <c r="K131" s="171" t="s">
        <v>14</v>
      </c>
      <c r="L131" s="171"/>
      <c r="M131" s="171"/>
      <c r="N131" s="318" t="str">
        <f ca="1">"제 " &amp; Z131 &amp; " 호표  "&amp; OFFSET($A$1,MATCH(Z131,$A:$A,0)-1,1)</f>
        <v>제 10 호표  4.4. 갈등해결방안 도출</v>
      </c>
      <c r="O131" s="221"/>
      <c r="P131" s="148"/>
      <c r="Q131" s="148"/>
      <c r="R131" s="149"/>
      <c r="S131" s="149"/>
      <c r="T131" s="149"/>
      <c r="U131" s="149"/>
      <c r="V131" s="149"/>
      <c r="W131" s="149"/>
      <c r="X131" s="149"/>
      <c r="Y131" s="149"/>
      <c r="Z131" s="325">
        <f>Z123+1</f>
        <v>10</v>
      </c>
    </row>
    <row r="132" spans="11:26" ht="18" customHeight="1">
      <c r="K132" s="171" t="s">
        <v>14</v>
      </c>
      <c r="L132" s="171"/>
      <c r="M132" s="171"/>
      <c r="N132" s="140" t="s">
        <v>43</v>
      </c>
      <c r="O132" s="172">
        <v>3</v>
      </c>
      <c r="P132" s="219">
        <f ca="1">OFFSET($A$1,MATCH(Z131,$A:$A,0)-1,O132)</f>
        <v>0</v>
      </c>
      <c r="Q132" s="141" t="s">
        <v>29</v>
      </c>
      <c r="R132" s="142">
        <f t="shared" ref="R132:S137" ca="1" si="36">T132</f>
        <v>467217</v>
      </c>
      <c r="S132" s="142">
        <f t="shared" ca="1" si="36"/>
        <v>0</v>
      </c>
      <c r="T132" s="142">
        <f ca="1">기술사</f>
        <v>467217</v>
      </c>
      <c r="U132" s="142">
        <f t="shared" ref="U132:U137" ca="1" si="37">ROUNDDOWN(P132*R132,0)</f>
        <v>0</v>
      </c>
      <c r="V132" s="142"/>
      <c r="W132" s="142"/>
      <c r="X132" s="142"/>
      <c r="Y132" s="142"/>
      <c r="Z132" s="114"/>
    </row>
    <row r="133" spans="11:26" ht="18" customHeight="1">
      <c r="K133" s="171" t="s">
        <v>14</v>
      </c>
      <c r="L133" s="171"/>
      <c r="M133" s="171"/>
      <c r="N133" s="143" t="s">
        <v>32</v>
      </c>
      <c r="O133" s="173">
        <v>4</v>
      </c>
      <c r="P133" s="234">
        <f ca="1">OFFSET($A$1,MATCH(Z131,$A:$A,0)-1,O133)</f>
        <v>1.5</v>
      </c>
      <c r="Q133" s="144" t="s">
        <v>29</v>
      </c>
      <c r="R133" s="118">
        <f t="shared" ca="1" si="36"/>
        <v>373353</v>
      </c>
      <c r="S133" s="118">
        <f t="shared" ca="1" si="36"/>
        <v>560029</v>
      </c>
      <c r="T133" s="118">
        <f ca="1">특급</f>
        <v>373353</v>
      </c>
      <c r="U133" s="118">
        <f t="shared" ca="1" si="37"/>
        <v>560029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145" t="s">
        <v>39</v>
      </c>
      <c r="O134" s="173">
        <v>5</v>
      </c>
      <c r="P134" s="234">
        <f ca="1">OFFSET($A$1,MATCH(Z131,$A:$A,0)-1,O134)</f>
        <v>3.6</v>
      </c>
      <c r="Q134" s="144" t="s">
        <v>29</v>
      </c>
      <c r="R134" s="118">
        <f t="shared" ca="1" si="36"/>
        <v>310884</v>
      </c>
      <c r="S134" s="118">
        <f t="shared" ca="1" si="36"/>
        <v>1119182</v>
      </c>
      <c r="T134" s="118">
        <f ca="1">고급</f>
        <v>310884</v>
      </c>
      <c r="U134" s="118">
        <f t="shared" ca="1" si="37"/>
        <v>1119182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40</v>
      </c>
      <c r="O135" s="173">
        <v>6</v>
      </c>
      <c r="P135" s="234">
        <f ca="1">OFFSET($A$1,MATCH(Z131,$A:$A,0)-1,O135)</f>
        <v>2.4</v>
      </c>
      <c r="Q135" s="144" t="s">
        <v>29</v>
      </c>
      <c r="R135" s="118">
        <f t="shared" ca="1" si="36"/>
        <v>295138</v>
      </c>
      <c r="S135" s="118">
        <f t="shared" ca="1" si="36"/>
        <v>708331</v>
      </c>
      <c r="T135" s="118">
        <f ca="1">중급</f>
        <v>295138</v>
      </c>
      <c r="U135" s="118">
        <f t="shared" ca="1" si="37"/>
        <v>708331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41</v>
      </c>
      <c r="O136" s="173">
        <v>7</v>
      </c>
      <c r="P136" s="234">
        <f ca="1">OFFSET($A$1,MATCH(Z131,$A:$A,0)-1,O136)</f>
        <v>0.7</v>
      </c>
      <c r="Q136" s="144" t="s">
        <v>29</v>
      </c>
      <c r="R136" s="118">
        <f t="shared" ca="1" si="36"/>
        <v>235459</v>
      </c>
      <c r="S136" s="118">
        <f t="shared" ca="1" si="36"/>
        <v>164821</v>
      </c>
      <c r="T136" s="118">
        <f ca="1">초급</f>
        <v>235459</v>
      </c>
      <c r="U136" s="118">
        <f t="shared" ca="1" si="37"/>
        <v>164821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319" t="s">
        <v>42</v>
      </c>
      <c r="O137" s="174">
        <v>8</v>
      </c>
      <c r="P137" s="235">
        <f ca="1">OFFSET($A$1,MATCH(Z131,$A:$A,0)-1,O137)</f>
        <v>0</v>
      </c>
      <c r="Q137" s="322" t="s">
        <v>29</v>
      </c>
      <c r="R137" s="323">
        <f t="shared" ca="1" si="36"/>
        <v>250087</v>
      </c>
      <c r="S137" s="323">
        <f t="shared" ca="1" si="36"/>
        <v>0</v>
      </c>
      <c r="T137" s="323">
        <f ca="1">보조원</f>
        <v>250087</v>
      </c>
      <c r="U137" s="323">
        <f t="shared" ca="1" si="37"/>
        <v>0</v>
      </c>
      <c r="V137" s="323"/>
      <c r="W137" s="323"/>
      <c r="X137" s="323"/>
      <c r="Y137" s="323"/>
      <c r="Z137" s="324"/>
    </row>
    <row r="138" spans="11:26" ht="18" customHeight="1">
      <c r="K138" s="171" t="s">
        <v>14</v>
      </c>
      <c r="L138" s="171"/>
      <c r="M138" s="171"/>
      <c r="N138" s="139" t="s">
        <v>17</v>
      </c>
      <c r="O138" s="68"/>
      <c r="P138" s="69"/>
      <c r="Q138" s="70"/>
      <c r="R138" s="71"/>
      <c r="S138" s="71">
        <f ca="1">SUBTOTAL(9,S132:S137)</f>
        <v>2552363</v>
      </c>
      <c r="T138" s="71"/>
      <c r="U138" s="71">
        <f ca="1">SUBTOTAL(9,U132:U137)</f>
        <v>2552363</v>
      </c>
      <c r="V138" s="71"/>
      <c r="W138" s="71"/>
      <c r="X138" s="71"/>
      <c r="Y138" s="71"/>
      <c r="Z138" s="68"/>
    </row>
    <row r="139" spans="11:26" ht="18" customHeight="1">
      <c r="K139" s="171" t="s">
        <v>14</v>
      </c>
      <c r="L139" s="171"/>
      <c r="M139" s="171"/>
      <c r="N139" s="318" t="str">
        <f ca="1">"제 " &amp; Z139 &amp; " 호표  "&amp; OFFSET($A$1,MATCH(Z139,$A:$A,0)-1,1)</f>
        <v>제 11 호표  6.1. 성과내용 반영여부 점검</v>
      </c>
      <c r="O139" s="221"/>
      <c r="P139" s="148"/>
      <c r="Q139" s="148"/>
      <c r="R139" s="149"/>
      <c r="S139" s="149"/>
      <c r="T139" s="149"/>
      <c r="U139" s="149"/>
      <c r="V139" s="149"/>
      <c r="W139" s="149"/>
      <c r="X139" s="149"/>
      <c r="Y139" s="149"/>
      <c r="Z139" s="325">
        <f>Z131+1</f>
        <v>11</v>
      </c>
    </row>
    <row r="140" spans="11:26" ht="18" customHeight="1">
      <c r="K140" s="171" t="s">
        <v>14</v>
      </c>
      <c r="L140" s="171"/>
      <c r="M140" s="171"/>
      <c r="N140" s="140" t="s">
        <v>43</v>
      </c>
      <c r="O140" s="172">
        <v>3</v>
      </c>
      <c r="P140" s="219">
        <f ca="1">OFFSET($A$1,MATCH(Z139,$A:$A,0)-1,O140)</f>
        <v>0</v>
      </c>
      <c r="Q140" s="141" t="s">
        <v>29</v>
      </c>
      <c r="R140" s="142">
        <f t="shared" ref="R140:R145" ca="1" si="38">T140</f>
        <v>467217</v>
      </c>
      <c r="S140" s="142">
        <f t="shared" ref="S140:S145" ca="1" si="39">U140</f>
        <v>0</v>
      </c>
      <c r="T140" s="142">
        <f ca="1">기술사</f>
        <v>467217</v>
      </c>
      <c r="U140" s="142">
        <f t="shared" ref="U140:U145" ca="1" si="40">ROUNDDOWN(P140*R140,0)</f>
        <v>0</v>
      </c>
      <c r="V140" s="142"/>
      <c r="W140" s="142"/>
      <c r="X140" s="142"/>
      <c r="Y140" s="142"/>
      <c r="Z140" s="114"/>
    </row>
    <row r="141" spans="11:26" ht="18" customHeight="1">
      <c r="K141" s="171" t="s">
        <v>14</v>
      </c>
      <c r="L141" s="171"/>
      <c r="M141" s="171"/>
      <c r="N141" s="143" t="s">
        <v>32</v>
      </c>
      <c r="O141" s="173">
        <v>4</v>
      </c>
      <c r="P141" s="234">
        <f ca="1">OFFSET($A$1,MATCH(Z139,$A:$A,0)-1,O141)</f>
        <v>1.5</v>
      </c>
      <c r="Q141" s="144" t="s">
        <v>29</v>
      </c>
      <c r="R141" s="118">
        <f t="shared" ca="1" si="38"/>
        <v>373353</v>
      </c>
      <c r="S141" s="118">
        <f t="shared" ca="1" si="39"/>
        <v>560029</v>
      </c>
      <c r="T141" s="118">
        <f ca="1">특급</f>
        <v>373353</v>
      </c>
      <c r="U141" s="118">
        <f t="shared" ca="1" si="40"/>
        <v>560029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145" t="s">
        <v>39</v>
      </c>
      <c r="O142" s="173">
        <v>5</v>
      </c>
      <c r="P142" s="234">
        <f ca="1">OFFSET($A$1,MATCH(Z139,$A:$A,0)-1,O142)</f>
        <v>1.35</v>
      </c>
      <c r="Q142" s="144" t="s">
        <v>29</v>
      </c>
      <c r="R142" s="118">
        <f t="shared" ca="1" si="38"/>
        <v>310884</v>
      </c>
      <c r="S142" s="118">
        <f t="shared" ca="1" si="39"/>
        <v>419693</v>
      </c>
      <c r="T142" s="118">
        <f ca="1">고급</f>
        <v>310884</v>
      </c>
      <c r="U142" s="118">
        <f t="shared" ca="1" si="40"/>
        <v>419693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40</v>
      </c>
      <c r="O143" s="173">
        <v>6</v>
      </c>
      <c r="P143" s="234">
        <f ca="1">OFFSET($A$1,MATCH(Z139,$A:$A,0)-1,O143)</f>
        <v>0.9</v>
      </c>
      <c r="Q143" s="144" t="s">
        <v>29</v>
      </c>
      <c r="R143" s="118">
        <f t="shared" ca="1" si="38"/>
        <v>295138</v>
      </c>
      <c r="S143" s="118">
        <f t="shared" ca="1" si="39"/>
        <v>265624</v>
      </c>
      <c r="T143" s="118">
        <f ca="1">중급</f>
        <v>295138</v>
      </c>
      <c r="U143" s="118">
        <f t="shared" ca="1" si="40"/>
        <v>265624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41</v>
      </c>
      <c r="O144" s="173">
        <v>7</v>
      </c>
      <c r="P144" s="234">
        <f ca="1">OFFSET($A$1,MATCH(Z139,$A:$A,0)-1,O144)</f>
        <v>0.4</v>
      </c>
      <c r="Q144" s="144" t="s">
        <v>29</v>
      </c>
      <c r="R144" s="118">
        <f t="shared" ca="1" si="38"/>
        <v>235459</v>
      </c>
      <c r="S144" s="118">
        <f t="shared" ca="1" si="39"/>
        <v>94183</v>
      </c>
      <c r="T144" s="118">
        <f ca="1">초급</f>
        <v>235459</v>
      </c>
      <c r="U144" s="118">
        <f t="shared" ca="1" si="40"/>
        <v>94183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319" t="s">
        <v>42</v>
      </c>
      <c r="O145" s="174">
        <v>8</v>
      </c>
      <c r="P145" s="235">
        <f ca="1">OFFSET($A$1,MATCH(Z139,$A:$A,0)-1,O145)</f>
        <v>0</v>
      </c>
      <c r="Q145" s="322" t="s">
        <v>29</v>
      </c>
      <c r="R145" s="323">
        <f t="shared" ca="1" si="38"/>
        <v>250087</v>
      </c>
      <c r="S145" s="323">
        <f t="shared" ca="1" si="39"/>
        <v>0</v>
      </c>
      <c r="T145" s="323">
        <f ca="1">보조원</f>
        <v>250087</v>
      </c>
      <c r="U145" s="323">
        <f t="shared" ca="1" si="40"/>
        <v>0</v>
      </c>
      <c r="V145" s="323"/>
      <c r="W145" s="323"/>
      <c r="X145" s="323"/>
      <c r="Y145" s="323"/>
      <c r="Z145" s="324"/>
    </row>
    <row r="146" spans="11:26" ht="18" customHeight="1">
      <c r="K146" s="171" t="s">
        <v>14</v>
      </c>
      <c r="L146" s="171"/>
      <c r="M146" s="171"/>
      <c r="N146" s="139" t="s">
        <v>17</v>
      </c>
      <c r="O146" s="68"/>
      <c r="P146" s="69"/>
      <c r="Q146" s="70"/>
      <c r="R146" s="71"/>
      <c r="S146" s="71">
        <f ca="1">SUBTOTAL(9,S140:S145)</f>
        <v>1339529</v>
      </c>
      <c r="T146" s="71"/>
      <c r="U146" s="71">
        <f ca="1">SUBTOTAL(9,U140:U145)</f>
        <v>1339529</v>
      </c>
      <c r="V146" s="71"/>
      <c r="W146" s="71"/>
      <c r="X146" s="71"/>
      <c r="Y146" s="71"/>
      <c r="Z146" s="68"/>
    </row>
    <row r="147" spans="11:26" ht="18" customHeight="1">
      <c r="K147" s="171" t="s">
        <v>14</v>
      </c>
      <c r="L147" s="171"/>
      <c r="M147" s="171"/>
    </row>
    <row r="148" spans="11:26" ht="18" customHeight="1">
      <c r="K148" s="171" t="s">
        <v>14</v>
      </c>
      <c r="L148" s="171"/>
      <c r="M148" s="171"/>
    </row>
    <row r="149" spans="11:26" ht="18" customHeight="1">
      <c r="K149" s="171" t="s">
        <v>14</v>
      </c>
      <c r="L149" s="171"/>
      <c r="M149" s="171"/>
    </row>
    <row r="150" spans="11:26" ht="18" customHeight="1">
      <c r="K150" s="171" t="s">
        <v>14</v>
      </c>
      <c r="L150" s="171"/>
      <c r="M150" s="171"/>
    </row>
    <row r="151" spans="11:26" ht="18" customHeight="1">
      <c r="K151" s="171" t="s">
        <v>14</v>
      </c>
      <c r="L151" s="171"/>
      <c r="M151" s="171"/>
    </row>
    <row r="152" spans="11:26" ht="18" customHeight="1">
      <c r="K152" s="171" t="s">
        <v>14</v>
      </c>
      <c r="L152" s="171"/>
      <c r="M152" s="171"/>
    </row>
    <row r="153" spans="11:26" ht="18" customHeight="1">
      <c r="K153" s="171" t="s">
        <v>14</v>
      </c>
      <c r="L153" s="171"/>
      <c r="M153" s="171"/>
    </row>
    <row r="154" spans="11:26" ht="18" customHeight="1">
      <c r="K154" s="171" t="s">
        <v>14</v>
      </c>
      <c r="L154" s="171"/>
      <c r="M154" s="171"/>
    </row>
    <row r="155" spans="11:26" ht="18" customHeight="1">
      <c r="K155" s="171" t="s">
        <v>14</v>
      </c>
      <c r="L155" s="171"/>
      <c r="M155" s="171"/>
    </row>
    <row r="156" spans="11:26" ht="18" customHeight="1">
      <c r="K156" s="171" t="s">
        <v>14</v>
      </c>
      <c r="L156" s="171"/>
      <c r="M156" s="171"/>
    </row>
    <row r="157" spans="11:26" ht="18" customHeight="1">
      <c r="K157" s="171" t="s">
        <v>14</v>
      </c>
      <c r="L157" s="171"/>
      <c r="M157" s="171"/>
    </row>
    <row r="158" spans="11:26" ht="18" customHeight="1">
      <c r="K158" s="171" t="s">
        <v>14</v>
      </c>
      <c r="L158" s="171"/>
      <c r="M158" s="171"/>
    </row>
    <row r="159" spans="11:26" ht="18" customHeight="1">
      <c r="K159" s="171" t="s">
        <v>14</v>
      </c>
      <c r="L159" s="171"/>
      <c r="M159" s="171"/>
    </row>
    <row r="160" spans="11:26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L787" s="171"/>
      <c r="M787" s="171"/>
    </row>
    <row r="788" spans="11:13" ht="18" customHeight="1">
      <c r="K788" s="171" t="s">
        <v>14</v>
      </c>
      <c r="L788" s="171"/>
      <c r="M788" s="171"/>
    </row>
    <row r="789" spans="11:13" ht="18" customHeight="1">
      <c r="K789" s="171" t="s">
        <v>14</v>
      </c>
      <c r="L789" s="171"/>
      <c r="M789" s="171"/>
    </row>
    <row r="790" spans="11:13" ht="18" customHeight="1">
      <c r="K790" s="171" t="s">
        <v>14</v>
      </c>
      <c r="L790" s="171"/>
      <c r="M790" s="171"/>
    </row>
    <row r="791" spans="11:13" ht="18" customHeight="1">
      <c r="K791" s="171" t="s">
        <v>14</v>
      </c>
      <c r="L791" s="171"/>
      <c r="M791" s="171"/>
    </row>
    <row r="792" spans="11:13" ht="18" customHeight="1">
      <c r="K792" s="171" t="s">
        <v>14</v>
      </c>
      <c r="L792" s="171"/>
      <c r="M792" s="171"/>
    </row>
    <row r="793" spans="11:13" ht="18" customHeight="1">
      <c r="K793" s="171" t="s">
        <v>14</v>
      </c>
      <c r="L793" s="171"/>
      <c r="M793" s="171"/>
    </row>
    <row r="794" spans="11:13" ht="18" customHeight="1">
      <c r="K794" s="171" t="s">
        <v>14</v>
      </c>
      <c r="L794" s="171"/>
      <c r="M794" s="171"/>
    </row>
    <row r="795" spans="11:13" ht="18" customHeight="1">
      <c r="K795" s="171" t="s">
        <v>14</v>
      </c>
      <c r="L795" s="171"/>
      <c r="M795" s="171"/>
    </row>
    <row r="796" spans="11:13" ht="18" customHeight="1">
      <c r="K796" s="171" t="s">
        <v>14</v>
      </c>
      <c r="L796" s="171"/>
      <c r="M796" s="171"/>
    </row>
    <row r="797" spans="11:13" ht="18" customHeight="1">
      <c r="K797" s="171" t="s">
        <v>14</v>
      </c>
      <c r="L797" s="171"/>
      <c r="M797" s="171"/>
    </row>
    <row r="798" spans="11:13" ht="18" customHeight="1">
      <c r="K798" s="171" t="s">
        <v>14</v>
      </c>
      <c r="L798" s="171"/>
      <c r="M798" s="171"/>
    </row>
    <row r="799" spans="11:13" ht="18" customHeight="1">
      <c r="K799" s="171" t="s">
        <v>14</v>
      </c>
      <c r="L799" s="171"/>
      <c r="M799" s="171"/>
    </row>
    <row r="800" spans="11:13" ht="18" customHeight="1">
      <c r="K800" s="171" t="s">
        <v>14</v>
      </c>
      <c r="L800" s="171"/>
      <c r="M800" s="171"/>
    </row>
    <row r="801" spans="11:13" ht="18" customHeight="1">
      <c r="K801" s="171" t="s">
        <v>14</v>
      </c>
      <c r="L801" s="171"/>
      <c r="M801" s="171"/>
    </row>
    <row r="802" spans="11:13" ht="18" customHeight="1">
      <c r="K802" s="171" t="s">
        <v>14</v>
      </c>
      <c r="L802" s="171"/>
      <c r="M802" s="171"/>
    </row>
    <row r="803" spans="11:13" ht="18" customHeight="1">
      <c r="K803" s="171" t="s">
        <v>14</v>
      </c>
      <c r="L803" s="171"/>
      <c r="M803" s="171"/>
    </row>
    <row r="804" spans="11:13" ht="18" customHeight="1">
      <c r="K804" s="171" t="s">
        <v>14</v>
      </c>
      <c r="L804" s="171"/>
      <c r="M804" s="171"/>
    </row>
    <row r="805" spans="11:13" ht="18" customHeight="1">
      <c r="K805" s="171" t="s">
        <v>14</v>
      </c>
      <c r="L805" s="171"/>
      <c r="M805" s="171"/>
    </row>
    <row r="806" spans="11:13" ht="18" customHeight="1">
      <c r="K806" s="171" t="s">
        <v>14</v>
      </c>
      <c r="L806" s="171"/>
      <c r="M806" s="171"/>
    </row>
    <row r="807" spans="11:13" ht="18" customHeight="1">
      <c r="K807" s="171" t="s">
        <v>14</v>
      </c>
      <c r="L807" s="171"/>
      <c r="M807" s="171"/>
    </row>
    <row r="808" spans="11:13" ht="18" customHeight="1">
      <c r="K808" s="171" t="s">
        <v>14</v>
      </c>
      <c r="L808" s="171"/>
      <c r="M808" s="171"/>
    </row>
    <row r="809" spans="11:13" ht="18" customHeight="1">
      <c r="K809" s="171" t="s">
        <v>14</v>
      </c>
      <c r="L809" s="171"/>
      <c r="M809" s="171"/>
    </row>
    <row r="810" spans="11:13" ht="18" customHeight="1">
      <c r="K810" s="171" t="s">
        <v>14</v>
      </c>
      <c r="L810" s="171"/>
      <c r="M810" s="171"/>
    </row>
    <row r="811" spans="11:13" ht="18" customHeight="1">
      <c r="K811" s="171" t="s">
        <v>14</v>
      </c>
      <c r="L811" s="171"/>
      <c r="M811" s="171"/>
    </row>
    <row r="812" spans="11:13" ht="18" customHeight="1">
      <c r="K812" s="171" t="s">
        <v>14</v>
      </c>
      <c r="L812" s="171"/>
      <c r="M812" s="171"/>
    </row>
    <row r="813" spans="11:13" ht="18" customHeight="1">
      <c r="K813" s="171" t="s">
        <v>14</v>
      </c>
      <c r="L813" s="171"/>
      <c r="M813" s="171"/>
    </row>
    <row r="814" spans="11:13" ht="18" customHeight="1">
      <c r="K814" s="171" t="s">
        <v>14</v>
      </c>
      <c r="L814" s="171"/>
      <c r="M814" s="171"/>
    </row>
    <row r="815" spans="11:13" ht="18" customHeight="1">
      <c r="K815" s="171" t="s">
        <v>14</v>
      </c>
      <c r="L815" s="171"/>
      <c r="M815" s="171"/>
    </row>
    <row r="816" spans="11:13" ht="18" customHeight="1">
      <c r="K816" s="171" t="s">
        <v>14</v>
      </c>
      <c r="L816" s="171"/>
      <c r="M816" s="171"/>
    </row>
    <row r="817" spans="11:12" ht="18" customHeight="1">
      <c r="K817" s="171" t="s">
        <v>14</v>
      </c>
      <c r="L817" s="171"/>
    </row>
    <row r="818" spans="11:12" ht="18" customHeight="1">
      <c r="K818" s="171" t="s">
        <v>14</v>
      </c>
      <c r="L818" s="171"/>
    </row>
    <row r="819" spans="11:12" ht="18" customHeight="1">
      <c r="K819" s="171" t="s">
        <v>14</v>
      </c>
      <c r="L819" s="171"/>
    </row>
    <row r="820" spans="11:12" ht="18" customHeight="1">
      <c r="K820" s="171" t="s">
        <v>14</v>
      </c>
      <c r="L820" s="171"/>
    </row>
    <row r="821" spans="11:12" ht="18" customHeight="1">
      <c r="K821" s="171" t="s">
        <v>14</v>
      </c>
      <c r="L821" s="171"/>
    </row>
    <row r="822" spans="11:12" ht="18" customHeight="1">
      <c r="K822" s="171" t="s">
        <v>14</v>
      </c>
      <c r="L822" s="171"/>
    </row>
    <row r="823" spans="11:12" ht="18" customHeight="1">
      <c r="K823" s="171" t="s">
        <v>14</v>
      </c>
      <c r="L823" s="171"/>
    </row>
    <row r="824" spans="11:12" ht="18" customHeight="1">
      <c r="K824" s="171" t="s">
        <v>14</v>
      </c>
      <c r="L824" s="171"/>
    </row>
    <row r="825" spans="11:12" ht="18" customHeight="1">
      <c r="K825" s="171" t="s">
        <v>14</v>
      </c>
      <c r="L825" s="171"/>
    </row>
    <row r="826" spans="11:12" ht="18" customHeight="1">
      <c r="K826" s="171" t="s">
        <v>14</v>
      </c>
      <c r="L826" s="171"/>
    </row>
    <row r="827" spans="11:12" ht="18" customHeight="1">
      <c r="K827" s="171" t="s">
        <v>14</v>
      </c>
      <c r="L827" s="171"/>
    </row>
    <row r="828" spans="11:12" ht="18" customHeight="1">
      <c r="K828" s="171" t="s">
        <v>14</v>
      </c>
      <c r="L828" s="171"/>
    </row>
    <row r="829" spans="11:12" ht="18" customHeight="1">
      <c r="K829" s="171" t="s">
        <v>14</v>
      </c>
      <c r="L829" s="171"/>
    </row>
    <row r="830" spans="11:12" ht="18" customHeight="1">
      <c r="K830" s="171" t="s">
        <v>14</v>
      </c>
      <c r="L830" s="171"/>
    </row>
    <row r="831" spans="11:12" ht="18" customHeight="1">
      <c r="K831" s="171" t="s">
        <v>14</v>
      </c>
      <c r="L831" s="171"/>
    </row>
    <row r="832" spans="11:12" ht="18" customHeight="1">
      <c r="K832" s="171" t="s">
        <v>14</v>
      </c>
      <c r="L832" s="171"/>
    </row>
    <row r="833" spans="11:12" ht="18" customHeight="1">
      <c r="K833" s="171" t="s">
        <v>14</v>
      </c>
      <c r="L833" s="171"/>
    </row>
    <row r="834" spans="11:12" ht="18" customHeight="1">
      <c r="K834" s="171" t="s">
        <v>14</v>
      </c>
      <c r="L834" s="171"/>
    </row>
    <row r="835" spans="11:12" ht="18" customHeight="1">
      <c r="K835" s="171" t="s">
        <v>14</v>
      </c>
      <c r="L835" s="171"/>
    </row>
    <row r="836" spans="11:12" ht="18" customHeight="1">
      <c r="K836" s="171" t="s">
        <v>14</v>
      </c>
      <c r="L836" s="171"/>
    </row>
    <row r="837" spans="11:12" ht="18" customHeight="1">
      <c r="K837" s="171" t="s">
        <v>14</v>
      </c>
      <c r="L837" s="171"/>
    </row>
    <row r="838" spans="11:12" ht="18" customHeight="1">
      <c r="K838" s="171" t="s">
        <v>14</v>
      </c>
      <c r="L838" s="171"/>
    </row>
    <row r="839" spans="11:12" ht="18" customHeight="1">
      <c r="L839" s="171"/>
    </row>
    <row r="840" spans="11:12" ht="18" customHeight="1">
      <c r="L840" s="171"/>
    </row>
    <row r="841" spans="11:12" ht="18" customHeight="1">
      <c r="L841" s="171"/>
    </row>
  </sheetData>
  <mergeCells count="20">
    <mergeCell ref="B6:C6"/>
    <mergeCell ref="D6:E6"/>
    <mergeCell ref="B3:C3"/>
    <mergeCell ref="D3:E3"/>
    <mergeCell ref="B4:C4"/>
    <mergeCell ref="D4:E4"/>
    <mergeCell ref="B5:C5"/>
    <mergeCell ref="D5:E5"/>
    <mergeCell ref="B9:C9"/>
    <mergeCell ref="D9:E9"/>
    <mergeCell ref="B10:C10"/>
    <mergeCell ref="D10:E10"/>
    <mergeCell ref="B13:C14"/>
    <mergeCell ref="J13:J14"/>
    <mergeCell ref="P57:P58"/>
    <mergeCell ref="Q57:Q58"/>
    <mergeCell ref="Z57:Z58"/>
    <mergeCell ref="L13:L14"/>
    <mergeCell ref="N57:N58"/>
    <mergeCell ref="O57:O58"/>
  </mergeCells>
  <phoneticPr fontId="14" type="noConversion"/>
  <conditionalFormatting sqref="V15:V40">
    <cfRule type="cellIs" dxfId="15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8" orientation="landscape" horizontalDpi="4294967292" verticalDpi="300" r:id="rId1"/>
  <headerFooter alignWithMargins="0">
    <oddHeader>&amp;R&amp;F &amp;A</oddHeader>
  </headerFooter>
  <rowBreaks count="2" manualBreakCount="2">
    <brk id="53" min="13" max="28" man="1"/>
    <brk id="7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0593" r:id="rId4" name="Drop Down 1">
              <controlPr defaultSize="0" autoLine="0" autoPict="0">
                <anchor moveWithCells="1">
                  <from>
                    <xdr:col>6</xdr:col>
                    <xdr:colOff>133350</xdr:colOff>
                    <xdr:row>4</xdr:row>
                    <xdr:rowOff>152400</xdr:rowOff>
                  </from>
                  <to>
                    <xdr:col>10</xdr:col>
                    <xdr:colOff>133350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94" r:id="rId5" name="Option Button 2">
              <controlPr defaultSize="0" autoFill="0" autoLine="0" autoPict="0">
                <anchor moveWithCells="1">
                  <from>
                    <xdr:col>6</xdr:col>
                    <xdr:colOff>180975</xdr:colOff>
                    <xdr:row>1</xdr:row>
                    <xdr:rowOff>209550</xdr:rowOff>
                  </from>
                  <to>
                    <xdr:col>7</xdr:col>
                    <xdr:colOff>514350</xdr:colOff>
                    <xdr:row>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0598" r:id="rId6" name="Option Button 6">
              <controlPr defaultSize="0" autoFill="0" autoLine="0" autoPict="0">
                <anchor moveWithCells="1">
                  <from>
                    <xdr:col>6</xdr:col>
                    <xdr:colOff>171450</xdr:colOff>
                    <xdr:row>2</xdr:row>
                    <xdr:rowOff>190500</xdr:rowOff>
                  </from>
                  <to>
                    <xdr:col>7</xdr:col>
                    <xdr:colOff>504825</xdr:colOff>
                    <xdr:row>4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codeName="Sheet52">
    <tabColor theme="5" tint="0.39997558519241921"/>
    <pageSetUpPr fitToPage="1"/>
  </sheetPr>
  <dimension ref="A1:AC761"/>
  <sheetViews>
    <sheetView showGridLines="0" zoomScale="85" zoomScaleNormal="85" zoomScaleSheetLayoutView="75" workbookViewId="0">
      <selection activeCell="G3" sqref="G3:K6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2:26" ht="22.5">
      <c r="B1" s="7" t="s">
        <v>63</v>
      </c>
    </row>
    <row r="2" spans="2:26" ht="30" customHeight="1" thickBot="1">
      <c r="B2" s="66" t="s">
        <v>1</v>
      </c>
    </row>
    <row r="3" spans="2:26" ht="18" customHeight="1">
      <c r="B3" s="773" t="s">
        <v>48</v>
      </c>
      <c r="C3" s="774"/>
      <c r="D3" s="775">
        <f>CHOOSE(F5,50,1)</f>
        <v>50</v>
      </c>
      <c r="E3" s="776"/>
      <c r="F3" s="44" t="s">
        <v>354</v>
      </c>
      <c r="G3" s="838" t="s">
        <v>1104</v>
      </c>
      <c r="H3" s="839"/>
      <c r="I3" s="656">
        <v>2</v>
      </c>
      <c r="J3" s="669" t="s">
        <v>794</v>
      </c>
    </row>
    <row r="4" spans="2:26" ht="18" customHeight="1">
      <c r="B4" s="777" t="s">
        <v>54</v>
      </c>
      <c r="C4" s="778"/>
      <c r="D4" s="779">
        <v>50</v>
      </c>
      <c r="E4" s="780"/>
      <c r="F4" s="65" t="str">
        <f>F3</f>
        <v>만㎡</v>
      </c>
      <c r="G4" s="777" t="s">
        <v>1109</v>
      </c>
      <c r="H4" s="814"/>
      <c r="I4" s="298">
        <v>2</v>
      </c>
      <c r="J4" s="670" t="s">
        <v>794</v>
      </c>
      <c r="M4" s="427"/>
      <c r="N4" s="427"/>
      <c r="O4" s="427"/>
    </row>
    <row r="5" spans="2:26" ht="18" customHeight="1" thickBot="1">
      <c r="B5" s="781" t="str">
        <f>CHOOSE(F5,"보정계수(α) = (A/50)^0.5 :","보정계수(α) = (A/1)^0.5 :")</f>
        <v>보정계수(α) = (A/50)^0.5 :</v>
      </c>
      <c r="C5" s="782"/>
      <c r="D5" s="783">
        <f>CHOOSE(F5,ROUND((IF(D4&lt;=10,10,D4)/D3)^0.5,3),ROUND((IF(D4&lt;=1,1,D4)/D3)^0.5,3))</f>
        <v>1</v>
      </c>
      <c r="E5" s="784"/>
      <c r="F5" s="621">
        <v>1</v>
      </c>
      <c r="G5" s="817" t="s">
        <v>1102</v>
      </c>
      <c r="H5" s="818"/>
      <c r="I5" s="746">
        <f>ROUND(I4/I3,3)</f>
        <v>1</v>
      </c>
      <c r="J5" s="671"/>
    </row>
    <row r="6" spans="2:26" ht="18" customHeight="1">
      <c r="B6" s="9" t="s">
        <v>2733</v>
      </c>
      <c r="C6" s="36"/>
      <c r="D6" s="36"/>
      <c r="E6" s="36"/>
      <c r="F6" s="36"/>
      <c r="G6" s="9" t="s">
        <v>1107</v>
      </c>
      <c r="J6" s="36"/>
    </row>
    <row r="7" spans="2:26" ht="18" customHeight="1">
      <c r="B7" s="9"/>
      <c r="C7" s="1" t="s">
        <v>2734</v>
      </c>
      <c r="D7" s="64"/>
      <c r="E7" s="64"/>
      <c r="G7" s="36"/>
      <c r="R7" s="1"/>
      <c r="S7" s="1"/>
      <c r="T7" s="1"/>
    </row>
    <row r="8" spans="2:26" ht="18" customHeight="1">
      <c r="B8" s="9"/>
      <c r="C8" s="9" t="s">
        <v>2735</v>
      </c>
      <c r="D8" s="64"/>
      <c r="E8" s="64"/>
      <c r="G8" s="36"/>
      <c r="R8" s="1"/>
      <c r="S8" s="1"/>
      <c r="T8" s="1"/>
    </row>
    <row r="9" spans="2:26" ht="18" customHeight="1">
      <c r="B9" s="9"/>
      <c r="C9" s="9" t="s">
        <v>2736</v>
      </c>
      <c r="D9" s="64"/>
      <c r="E9" s="64"/>
      <c r="G9" s="36"/>
      <c r="R9" s="1"/>
      <c r="S9" s="1"/>
      <c r="T9" s="1"/>
    </row>
    <row r="10" spans="2:26" ht="18" customHeight="1">
      <c r="B10" s="9"/>
      <c r="C10" s="9"/>
      <c r="D10" s="64"/>
      <c r="E10" s="64"/>
      <c r="G10" s="36"/>
      <c r="R10" s="1"/>
      <c r="S10" s="1"/>
      <c r="T10" s="1"/>
    </row>
    <row r="11" spans="2:26" ht="18" customHeight="1">
      <c r="G11" s="36"/>
      <c r="W11" s="188" t="s">
        <v>3</v>
      </c>
      <c r="X11" s="189"/>
    </row>
    <row r="12" spans="2:26" ht="18" customHeight="1" thickBot="1">
      <c r="B12" s="66" t="s">
        <v>4</v>
      </c>
      <c r="C12" s="9"/>
      <c r="D12" s="64"/>
      <c r="E12" s="64"/>
      <c r="G12" s="36"/>
      <c r="N12" s="66" t="s">
        <v>5</v>
      </c>
    </row>
    <row r="13" spans="2:26" ht="18" customHeight="1" thickBot="1">
      <c r="B13" s="9"/>
      <c r="N13" s="151" t="s">
        <v>44</v>
      </c>
      <c r="O13" s="119"/>
      <c r="P13" s="119"/>
      <c r="Q13" s="120"/>
      <c r="R13" s="120"/>
      <c r="S13" s="120"/>
      <c r="T13" s="120"/>
      <c r="U13" s="121"/>
      <c r="V13" s="121"/>
      <c r="W13" s="186">
        <f ca="1">SUBTOTAL(9,W14:W38)</f>
        <v>722769839</v>
      </c>
      <c r="X13" s="187"/>
      <c r="Y13" s="177"/>
      <c r="Z13" s="167"/>
    </row>
    <row r="14" spans="2:26" ht="18" customHeight="1">
      <c r="B14" s="757" t="s">
        <v>30</v>
      </c>
      <c r="C14" s="758"/>
      <c r="D14" s="14" t="s">
        <v>6</v>
      </c>
      <c r="E14" s="15"/>
      <c r="F14" s="15"/>
      <c r="G14" s="15"/>
      <c r="H14" s="15"/>
      <c r="I14" s="16"/>
      <c r="J14" s="761" t="s">
        <v>31</v>
      </c>
      <c r="L14" s="763" t="s">
        <v>7</v>
      </c>
      <c r="N14" s="127" t="s">
        <v>8</v>
      </c>
      <c r="O14" s="122"/>
      <c r="P14" s="122"/>
      <c r="Q14" s="123"/>
      <c r="R14" s="123"/>
      <c r="S14" s="123"/>
      <c r="T14" s="123"/>
      <c r="U14" s="184"/>
      <c r="V14" s="184"/>
      <c r="W14" s="163">
        <f ca="1">SUBTOTAL(9,W15:W35)</f>
        <v>262447170</v>
      </c>
      <c r="X14" s="164"/>
      <c r="Y14" s="178" t="s">
        <v>9</v>
      </c>
      <c r="Z14" s="179"/>
    </row>
    <row r="15" spans="2:26" ht="18" customHeight="1" thickBot="1">
      <c r="B15" s="759"/>
      <c r="C15" s="760"/>
      <c r="D15" s="17" t="s">
        <v>33</v>
      </c>
      <c r="E15" s="19" t="s">
        <v>34</v>
      </c>
      <c r="F15" s="19" t="s">
        <v>35</v>
      </c>
      <c r="G15" s="19" t="s">
        <v>36</v>
      </c>
      <c r="H15" s="19" t="s">
        <v>37</v>
      </c>
      <c r="I15" s="18" t="s">
        <v>38</v>
      </c>
      <c r="J15" s="762"/>
      <c r="L15" s="764"/>
      <c r="N15" s="290" t="s">
        <v>45</v>
      </c>
      <c r="O15" s="124"/>
      <c r="P15" s="125"/>
      <c r="Q15" s="126"/>
      <c r="R15" s="126"/>
      <c r="S15" s="126"/>
      <c r="T15" s="126"/>
      <c r="U15" s="181"/>
      <c r="V15" s="218"/>
      <c r="W15" s="159">
        <f ca="1">SUBTOTAL(9,W16:W30)</f>
        <v>256447170</v>
      </c>
      <c r="X15" s="160"/>
      <c r="Y15" s="168"/>
      <c r="Z15" s="168"/>
    </row>
    <row r="16" spans="2:26" ht="18" customHeight="1">
      <c r="B16" s="225" t="s">
        <v>2724</v>
      </c>
      <c r="C16" s="72"/>
      <c r="D16" s="203">
        <f t="shared" ref="D16:I16" si="0">SUBTOTAL(9,D17:D18)</f>
        <v>9.1999999999999993</v>
      </c>
      <c r="E16" s="204">
        <f t="shared" si="0"/>
        <v>14.3</v>
      </c>
      <c r="F16" s="204">
        <f t="shared" si="0"/>
        <v>39.099999999999994</v>
      </c>
      <c r="G16" s="204">
        <f t="shared" si="0"/>
        <v>92.9</v>
      </c>
      <c r="H16" s="204">
        <f t="shared" si="0"/>
        <v>91.1</v>
      </c>
      <c r="I16" s="205">
        <f t="shared" si="0"/>
        <v>104.1</v>
      </c>
      <c r="J16" s="654"/>
      <c r="L16" s="232"/>
      <c r="N16" s="294" t="str">
        <f>B16</f>
        <v>1. 조사 및 분석</v>
      </c>
      <c r="O16" s="169"/>
      <c r="P16" s="169"/>
      <c r="Q16" s="169"/>
      <c r="R16" s="169"/>
      <c r="S16" s="169"/>
      <c r="T16" s="169"/>
      <c r="U16" s="226"/>
      <c r="V16" s="248"/>
      <c r="W16" s="193">
        <f ca="1">SUBTOTAL(9,W17:W18)</f>
        <v>96695594</v>
      </c>
      <c r="X16" s="194"/>
      <c r="Y16" s="170" t="str">
        <f>IF(A30&gt;0, "제 " &amp;A30&amp; " 호표","")</f>
        <v/>
      </c>
      <c r="Z16" s="170"/>
    </row>
    <row r="17" spans="2:26" ht="18" customHeight="1">
      <c r="B17" s="223" t="s">
        <v>2725</v>
      </c>
      <c r="C17" s="23"/>
      <c r="D17" s="197">
        <v>1.7</v>
      </c>
      <c r="E17" s="198">
        <v>5.4</v>
      </c>
      <c r="F17" s="198">
        <v>11.7</v>
      </c>
      <c r="G17" s="198">
        <v>51.2</v>
      </c>
      <c r="H17" s="198">
        <v>58.8</v>
      </c>
      <c r="I17" s="199">
        <v>76.5</v>
      </c>
      <c r="J17" s="389" t="s">
        <v>1091</v>
      </c>
      <c r="L17" s="233">
        <v>1</v>
      </c>
      <c r="N17" s="296" t="str">
        <f t="shared" ref="N17:N30" si="1">B17</f>
        <v>1.1. 현황조사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SUM((ROUNDDOWN((D33:I33)*단가,0)))</f>
        <v>54535425</v>
      </c>
      <c r="X17" s="154"/>
      <c r="Y17" s="150" t="str">
        <f>IF(A33&gt;0, "제 " &amp;A33&amp; " 호표","")</f>
        <v>제 1 호표</v>
      </c>
      <c r="Z17" s="150"/>
    </row>
    <row r="18" spans="2:26" ht="18" customHeight="1">
      <c r="B18" s="223" t="s">
        <v>2726</v>
      </c>
      <c r="C18" s="23"/>
      <c r="D18" s="197">
        <v>7.5</v>
      </c>
      <c r="E18" s="198">
        <v>8.9</v>
      </c>
      <c r="F18" s="198">
        <v>27.4</v>
      </c>
      <c r="G18" s="198">
        <v>41.7</v>
      </c>
      <c r="H18" s="198">
        <v>32.299999999999997</v>
      </c>
      <c r="I18" s="199">
        <v>27.6</v>
      </c>
      <c r="J18" s="389" t="s">
        <v>1090</v>
      </c>
      <c r="L18" s="233">
        <v>1</v>
      </c>
      <c r="N18" s="296" t="str">
        <f t="shared" si="1"/>
        <v>1.2. 분석·평가·진단</v>
      </c>
      <c r="O18" s="37"/>
      <c r="P18" s="37"/>
      <c r="Q18" s="37"/>
      <c r="R18" s="37"/>
      <c r="S18" s="37"/>
      <c r="T18" s="37"/>
      <c r="U18" s="226"/>
      <c r="V18" s="231"/>
      <c r="W18" s="153">
        <f t="array" aca="1" ref="W18" ca="1">SUM((ROUNDDOWN((D34:I34)*단가,0)))</f>
        <v>42160169</v>
      </c>
      <c r="X18" s="154"/>
      <c r="Y18" s="150" t="str">
        <f t="shared" ref="Y18:Y30" si="2">IF(A34&gt;0, "제 " &amp;A34&amp; " 호표","")</f>
        <v>제 2 호표</v>
      </c>
      <c r="Z18" s="150"/>
    </row>
    <row r="19" spans="2:26" ht="18" customHeight="1">
      <c r="B19" s="222" t="s">
        <v>52</v>
      </c>
      <c r="C19" s="47"/>
      <c r="D19" s="48">
        <f t="shared" ref="D19:I19" si="3">SUBTOTAL(9,D20:D20)</f>
        <v>7.8</v>
      </c>
      <c r="E19" s="49">
        <f t="shared" si="3"/>
        <v>13.2</v>
      </c>
      <c r="F19" s="49">
        <f t="shared" si="3"/>
        <v>32</v>
      </c>
      <c r="G19" s="49">
        <f t="shared" si="3"/>
        <v>21.3</v>
      </c>
      <c r="H19" s="49">
        <f t="shared" si="3"/>
        <v>19</v>
      </c>
      <c r="I19" s="50">
        <f t="shared" si="3"/>
        <v>20.6</v>
      </c>
      <c r="J19" s="389"/>
      <c r="L19" s="233"/>
      <c r="N19" s="292" t="str">
        <f t="shared" si="1"/>
        <v>2. 기본구상</v>
      </c>
      <c r="O19" s="37"/>
      <c r="P19" s="39"/>
      <c r="Q19" s="37"/>
      <c r="R19" s="117"/>
      <c r="S19" s="37"/>
      <c r="T19" s="37"/>
      <c r="U19" s="226"/>
      <c r="V19" s="231"/>
      <c r="W19" s="195">
        <f ca="1">SUBTOTAL(9,W20:W20)</f>
        <v>34432791</v>
      </c>
      <c r="X19" s="196"/>
      <c r="Y19" s="150" t="str">
        <f t="shared" si="2"/>
        <v/>
      </c>
      <c r="Z19" s="150"/>
    </row>
    <row r="20" spans="2:26" ht="18" customHeight="1">
      <c r="B20" s="223" t="s">
        <v>2557</v>
      </c>
      <c r="C20" s="23"/>
      <c r="D20" s="197">
        <v>7.8</v>
      </c>
      <c r="E20" s="198">
        <v>13.2</v>
      </c>
      <c r="F20" s="198">
        <v>32</v>
      </c>
      <c r="G20" s="198">
        <v>21.3</v>
      </c>
      <c r="H20" s="198">
        <v>19</v>
      </c>
      <c r="I20" s="199">
        <v>20.6</v>
      </c>
      <c r="J20" s="389" t="s">
        <v>1090</v>
      </c>
      <c r="L20" s="233">
        <v>1</v>
      </c>
      <c r="N20" s="296" t="str">
        <f t="shared" si="1"/>
        <v>2.1. 기본구상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SUM((ROUNDDOWN((D36:I36)*단가,0)))</f>
        <v>34432791</v>
      </c>
      <c r="X20" s="154"/>
      <c r="Y20" s="150" t="str">
        <f t="shared" si="2"/>
        <v>제 3 호표</v>
      </c>
      <c r="Z20" s="150"/>
    </row>
    <row r="21" spans="2:26" ht="18" customHeight="1">
      <c r="B21" s="222" t="s">
        <v>366</v>
      </c>
      <c r="C21" s="47"/>
      <c r="D21" s="48">
        <f t="shared" ref="D21:I21" si="4">SUBTOTAL(9,D22:D22)</f>
        <v>5.5</v>
      </c>
      <c r="E21" s="49">
        <f t="shared" si="4"/>
        <v>12.1</v>
      </c>
      <c r="F21" s="49">
        <f t="shared" si="4"/>
        <v>29.3</v>
      </c>
      <c r="G21" s="49">
        <f t="shared" si="4"/>
        <v>29.5</v>
      </c>
      <c r="H21" s="49">
        <f t="shared" si="4"/>
        <v>23.7</v>
      </c>
      <c r="I21" s="50">
        <f t="shared" si="4"/>
        <v>26.4</v>
      </c>
      <c r="J21" s="389"/>
      <c r="L21" s="233"/>
      <c r="N21" s="292" t="str">
        <f t="shared" si="1"/>
        <v>3. 단계별 집행계획</v>
      </c>
      <c r="O21" s="37"/>
      <c r="P21" s="39"/>
      <c r="Q21" s="37"/>
      <c r="R21" s="117"/>
      <c r="S21" s="37"/>
      <c r="T21" s="37"/>
      <c r="U21" s="226"/>
      <c r="V21" s="231"/>
      <c r="W21" s="195">
        <f ca="1">SUBTOTAL(9,W22:W22)</f>
        <v>37085410</v>
      </c>
      <c r="X21" s="154"/>
      <c r="Y21" s="150" t="str">
        <f t="shared" si="2"/>
        <v/>
      </c>
      <c r="Z21" s="150"/>
    </row>
    <row r="22" spans="2:26" ht="18" customHeight="1">
      <c r="B22" s="223" t="s">
        <v>2727</v>
      </c>
      <c r="C22" s="23"/>
      <c r="D22" s="197">
        <v>5.5</v>
      </c>
      <c r="E22" s="198">
        <v>12.1</v>
      </c>
      <c r="F22" s="198">
        <v>29.3</v>
      </c>
      <c r="G22" s="198">
        <v>29.5</v>
      </c>
      <c r="H22" s="198">
        <v>23.7</v>
      </c>
      <c r="I22" s="199">
        <v>26.4</v>
      </c>
      <c r="J22" s="389" t="s">
        <v>1090</v>
      </c>
      <c r="L22" s="233">
        <v>1</v>
      </c>
      <c r="N22" s="296" t="str">
        <f t="shared" si="1"/>
        <v>3.1. 단계별집행계획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SUM((ROUNDDOWN((D38:I38)*단가,0)))</f>
        <v>37085410</v>
      </c>
      <c r="X22" s="154"/>
      <c r="Y22" s="150" t="str">
        <f t="shared" si="2"/>
        <v>제 4 호표</v>
      </c>
      <c r="Z22" s="150"/>
    </row>
    <row r="23" spans="2:26" ht="18" customHeight="1">
      <c r="B23" s="222" t="s">
        <v>98</v>
      </c>
      <c r="C23" s="47"/>
      <c r="D23" s="48">
        <f t="shared" ref="D23:I23" si="5">SUBTOTAL(9,D24:D25)</f>
        <v>2.2000000000000002</v>
      </c>
      <c r="E23" s="49">
        <f t="shared" si="5"/>
        <v>3.6</v>
      </c>
      <c r="F23" s="49">
        <f t="shared" si="5"/>
        <v>16.899999999999999</v>
      </c>
      <c r="G23" s="49">
        <f t="shared" si="5"/>
        <v>62.8</v>
      </c>
      <c r="H23" s="49">
        <f t="shared" si="5"/>
        <v>74.8</v>
      </c>
      <c r="I23" s="50">
        <f t="shared" si="5"/>
        <v>91</v>
      </c>
      <c r="J23" s="389"/>
      <c r="L23" s="233"/>
      <c r="N23" s="292" t="str">
        <f t="shared" si="1"/>
        <v>4. 성과품작성</v>
      </c>
      <c r="O23" s="37"/>
      <c r="P23" s="39"/>
      <c r="Q23" s="37"/>
      <c r="R23" s="117"/>
      <c r="S23" s="37"/>
      <c r="T23" s="37"/>
      <c r="U23" s="226"/>
      <c r="V23" s="231"/>
      <c r="W23" s="195">
        <f ca="1">SUBTOTAL(9,W24:W25)</f>
        <v>66530799</v>
      </c>
      <c r="X23" s="154"/>
      <c r="Y23" s="150" t="str">
        <f t="shared" si="2"/>
        <v/>
      </c>
      <c r="Z23" s="150"/>
    </row>
    <row r="24" spans="2:26" ht="18" customHeight="1">
      <c r="B24" s="223" t="s">
        <v>2728</v>
      </c>
      <c r="C24" s="23"/>
      <c r="D24" s="197">
        <v>1.1000000000000001</v>
      </c>
      <c r="E24" s="198">
        <v>1.8</v>
      </c>
      <c r="F24" s="198">
        <v>8.5</v>
      </c>
      <c r="G24" s="198">
        <v>31.4</v>
      </c>
      <c r="H24" s="198">
        <v>37.4</v>
      </c>
      <c r="I24" s="199">
        <v>45.5</v>
      </c>
      <c r="J24" s="389" t="s">
        <v>1090</v>
      </c>
      <c r="L24" s="233">
        <v>1</v>
      </c>
      <c r="N24" s="296" t="str">
        <f t="shared" si="1"/>
        <v>4.1. 보고서작성 및 편집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SUM((ROUNDDOWN((D40:I40)*단가,0)))</f>
        <v>33280944</v>
      </c>
      <c r="X24" s="154"/>
      <c r="Y24" s="150" t="str">
        <f t="shared" si="2"/>
        <v>제 5 호표</v>
      </c>
      <c r="Z24" s="150"/>
    </row>
    <row r="25" spans="2:26" ht="18" customHeight="1">
      <c r="B25" s="259" t="s">
        <v>1539</v>
      </c>
      <c r="C25" s="43"/>
      <c r="D25" s="206">
        <v>1.1000000000000001</v>
      </c>
      <c r="E25" s="207">
        <v>1.8</v>
      </c>
      <c r="F25" s="207">
        <v>8.4</v>
      </c>
      <c r="G25" s="207">
        <v>31.4</v>
      </c>
      <c r="H25" s="207">
        <v>37.4</v>
      </c>
      <c r="I25" s="208">
        <v>45.5</v>
      </c>
      <c r="J25" s="389" t="s">
        <v>1090</v>
      </c>
      <c r="L25" s="233">
        <v>1</v>
      </c>
      <c r="N25" s="296" t="str">
        <f t="shared" si="1"/>
        <v>4.2. 관련도서작성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SUM((ROUNDDOWN((D41:I41)*단가,0)))</f>
        <v>33249855</v>
      </c>
      <c r="X25" s="154"/>
      <c r="Y25" s="150" t="str">
        <f t="shared" si="2"/>
        <v>제 6 호표</v>
      </c>
      <c r="Z25" s="150"/>
    </row>
    <row r="26" spans="2:26" ht="18" customHeight="1">
      <c r="B26" s="222" t="s">
        <v>232</v>
      </c>
      <c r="C26" s="47"/>
      <c r="D26" s="48">
        <f t="shared" ref="D26:I26" si="6">SUBTOTAL(9,D27:D30)</f>
        <v>8</v>
      </c>
      <c r="E26" s="49">
        <f t="shared" si="6"/>
        <v>8</v>
      </c>
      <c r="F26" s="49">
        <f t="shared" si="6"/>
        <v>8</v>
      </c>
      <c r="G26" s="49">
        <f t="shared" si="6"/>
        <v>16</v>
      </c>
      <c r="H26" s="49">
        <f t="shared" si="6"/>
        <v>16</v>
      </c>
      <c r="I26" s="50">
        <f t="shared" si="6"/>
        <v>16</v>
      </c>
      <c r="J26" s="389"/>
      <c r="L26" s="233"/>
      <c r="N26" s="292" t="str">
        <f t="shared" si="1"/>
        <v>5. 기술협의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SUBTOTAL(9,W27:W30)</f>
        <v>21702576</v>
      </c>
      <c r="X26" s="154"/>
      <c r="Y26" s="150" t="str">
        <f t="shared" si="2"/>
        <v/>
      </c>
      <c r="Z26" s="150"/>
    </row>
    <row r="27" spans="2:26" ht="18" customHeight="1">
      <c r="B27" s="223" t="s">
        <v>2729</v>
      </c>
      <c r="C27" s="23"/>
      <c r="D27" s="197">
        <v>2</v>
      </c>
      <c r="E27" s="198">
        <v>2</v>
      </c>
      <c r="F27" s="198">
        <v>2</v>
      </c>
      <c r="G27" s="198">
        <v>4</v>
      </c>
      <c r="H27" s="198">
        <v>4</v>
      </c>
      <c r="I27" s="199">
        <v>4</v>
      </c>
      <c r="J27" s="389" t="s">
        <v>2732</v>
      </c>
      <c r="L27" s="233">
        <v>1</v>
      </c>
      <c r="N27" s="296" t="str">
        <f t="shared" si="1"/>
        <v>5.1. 공청회/주민설명회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SUM((ROUNDDOWN((D43:I43)*단가,0)))</f>
        <v>5425644</v>
      </c>
      <c r="X27" s="154"/>
      <c r="Y27" s="150" t="str">
        <f t="shared" si="2"/>
        <v>제 7 호표</v>
      </c>
      <c r="Z27" s="150"/>
    </row>
    <row r="28" spans="2:26" ht="18" customHeight="1">
      <c r="B28" s="223" t="s">
        <v>2730</v>
      </c>
      <c r="C28" s="23"/>
      <c r="D28" s="197">
        <v>2</v>
      </c>
      <c r="E28" s="198">
        <v>2</v>
      </c>
      <c r="F28" s="198">
        <v>2</v>
      </c>
      <c r="G28" s="198">
        <v>4</v>
      </c>
      <c r="H28" s="198">
        <v>4</v>
      </c>
      <c r="I28" s="199">
        <v>4</v>
      </c>
      <c r="J28" s="389" t="s">
        <v>1094</v>
      </c>
      <c r="L28" s="233">
        <v>1</v>
      </c>
      <c r="N28" s="296" t="str">
        <f t="shared" si="1"/>
        <v>5.2. 주민간담회/시민계획단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SUM((ROUNDDOWN((D44:I44)*단가,0)))</f>
        <v>5425644</v>
      </c>
      <c r="X28" s="154"/>
      <c r="Y28" s="150" t="str">
        <f t="shared" si="2"/>
        <v>제 8 호표</v>
      </c>
      <c r="Z28" s="150"/>
    </row>
    <row r="29" spans="2:26" ht="18" customHeight="1">
      <c r="B29" s="223" t="s">
        <v>1542</v>
      </c>
      <c r="C29" s="23"/>
      <c r="D29" s="197">
        <v>2</v>
      </c>
      <c r="E29" s="198">
        <v>2</v>
      </c>
      <c r="F29" s="198">
        <v>2</v>
      </c>
      <c r="G29" s="198">
        <v>4</v>
      </c>
      <c r="H29" s="198">
        <v>4</v>
      </c>
      <c r="I29" s="199">
        <v>4</v>
      </c>
      <c r="J29" s="389" t="s">
        <v>1094</v>
      </c>
      <c r="L29" s="233">
        <v>1</v>
      </c>
      <c r="N29" s="296" t="str">
        <f t="shared" si="1"/>
        <v>5.3. 위원회심의 지원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SUM((ROUNDDOWN((D45:I45)*단가,0)))</f>
        <v>5425644</v>
      </c>
      <c r="X29" s="154"/>
      <c r="Y29" s="150" t="str">
        <f t="shared" si="2"/>
        <v>제 9 호표</v>
      </c>
      <c r="Z29" s="150"/>
    </row>
    <row r="30" spans="2:26" ht="18" customHeight="1" thickBot="1">
      <c r="B30" s="223" t="s">
        <v>2731</v>
      </c>
      <c r="C30" s="23"/>
      <c r="D30" s="197">
        <v>2</v>
      </c>
      <c r="E30" s="198">
        <v>2</v>
      </c>
      <c r="F30" s="198">
        <v>2</v>
      </c>
      <c r="G30" s="198">
        <v>4</v>
      </c>
      <c r="H30" s="198">
        <v>4</v>
      </c>
      <c r="I30" s="199">
        <v>4</v>
      </c>
      <c r="J30" s="612" t="s">
        <v>1094</v>
      </c>
      <c r="L30" s="233">
        <v>1</v>
      </c>
      <c r="N30" s="296" t="str">
        <f t="shared" si="1"/>
        <v>5.4. 관계기관 협의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SUM((ROUNDDOWN((D46:I46)*단가,0)))</f>
        <v>5425644</v>
      </c>
      <c r="X30" s="154"/>
      <c r="Y30" s="150" t="str">
        <f t="shared" si="2"/>
        <v>제 10 호표</v>
      </c>
      <c r="Z30" s="150"/>
    </row>
    <row r="31" spans="2:26" ht="18" customHeight="1" thickBot="1">
      <c r="B31" s="14" t="s">
        <v>30</v>
      </c>
      <c r="C31" s="16"/>
      <c r="D31" s="14" t="s">
        <v>12</v>
      </c>
      <c r="E31" s="15"/>
      <c r="F31" s="15"/>
      <c r="G31" s="15"/>
      <c r="H31" s="15"/>
      <c r="I31" s="16"/>
      <c r="J31" s="175" t="s">
        <v>31</v>
      </c>
      <c r="N31" s="379"/>
      <c r="P31" s="371"/>
      <c r="R31" s="357"/>
      <c r="S31" s="1"/>
      <c r="T31" s="1"/>
      <c r="U31" s="258"/>
      <c r="V31" s="380"/>
      <c r="W31" s="373"/>
      <c r="X31" s="374"/>
      <c r="Y31" s="378"/>
      <c r="Z31" s="378"/>
    </row>
    <row r="32" spans="2:26" ht="18" customHeight="1">
      <c r="B32" s="225" t="str">
        <f>B16</f>
        <v>1. 조사 및 분석</v>
      </c>
      <c r="C32" s="72"/>
      <c r="D32" s="203">
        <f t="shared" ref="D32:I32" si="7">SUBTOTAL(9,D33:D34)</f>
        <v>9.1999999999999993</v>
      </c>
      <c r="E32" s="204">
        <f t="shared" si="7"/>
        <v>14.3</v>
      </c>
      <c r="F32" s="204">
        <f t="shared" si="7"/>
        <v>39.099999999999994</v>
      </c>
      <c r="G32" s="204">
        <f t="shared" si="7"/>
        <v>92.9</v>
      </c>
      <c r="H32" s="204">
        <f t="shared" si="7"/>
        <v>91.1</v>
      </c>
      <c r="I32" s="205">
        <f t="shared" si="7"/>
        <v>104.1</v>
      </c>
      <c r="J32" s="73"/>
      <c r="N32" s="290" t="s">
        <v>2744</v>
      </c>
      <c r="O32" s="129"/>
      <c r="P32" s="130"/>
      <c r="Q32" s="124"/>
      <c r="R32" s="131"/>
      <c r="S32" s="124"/>
      <c r="T32" s="124"/>
      <c r="U32" s="181"/>
      <c r="V32" s="181"/>
      <c r="W32" s="159">
        <f>SUBTOTAL(9,W33:W35)</f>
        <v>6000000</v>
      </c>
      <c r="X32" s="160"/>
      <c r="Y32" s="124"/>
      <c r="Z32" s="124"/>
    </row>
    <row r="33" spans="1:26" ht="18" customHeight="1">
      <c r="A33" s="326">
        <v>1</v>
      </c>
      <c r="B33" s="223" t="str">
        <f t="shared" ref="B33:B46" si="8">B17</f>
        <v>1.1. 현황조사</v>
      </c>
      <c r="C33" s="23"/>
      <c r="D33" s="197">
        <f t="array" ref="D33:I34">ROUNDDOWN(D17:I18*L17:L18*D5,3)</f>
        <v>1.7</v>
      </c>
      <c r="E33" s="198">
        <v>5.4</v>
      </c>
      <c r="F33" s="198">
        <v>11.7</v>
      </c>
      <c r="G33" s="198">
        <v>51.2</v>
      </c>
      <c r="H33" s="198">
        <v>58.8</v>
      </c>
      <c r="I33" s="199">
        <v>76.5</v>
      </c>
      <c r="J33" s="389"/>
      <c r="N33" s="291" t="str">
        <f>"여비("&amp;TEXT(T33,"#인 ×")&amp;TEXT(U33,"#일 ×")&amp;TEXT(V33,"###,###원)")</f>
        <v>여비(3인 ×10일 ×100,000원)</v>
      </c>
      <c r="O33" s="78"/>
      <c r="P33" s="52"/>
      <c r="Q33" s="51"/>
      <c r="T33" s="146">
        <v>3</v>
      </c>
      <c r="U33" s="146">
        <v>10</v>
      </c>
      <c r="V33" s="147">
        <v>100000</v>
      </c>
      <c r="W33" s="161">
        <f>T33*U33*V33</f>
        <v>3000000</v>
      </c>
      <c r="X33" s="162"/>
      <c r="Y33" s="51"/>
      <c r="Z33" s="51"/>
    </row>
    <row r="34" spans="1:26" ht="18" customHeight="1">
      <c r="A34" s="326">
        <v>2</v>
      </c>
      <c r="B34" s="223" t="str">
        <f t="shared" si="8"/>
        <v>1.2. 분석·평가·진단</v>
      </c>
      <c r="C34" s="23"/>
      <c r="D34" s="197">
        <v>7.5</v>
      </c>
      <c r="E34" s="198">
        <v>8.9</v>
      </c>
      <c r="F34" s="198">
        <v>27.4</v>
      </c>
      <c r="G34" s="198">
        <v>41.7</v>
      </c>
      <c r="H34" s="198">
        <v>32.299999999999997</v>
      </c>
      <c r="I34" s="199">
        <v>27.6</v>
      </c>
      <c r="J34" s="389"/>
      <c r="N34" s="292" t="s">
        <v>46</v>
      </c>
      <c r="O34" s="79"/>
      <c r="P34" s="39"/>
      <c r="Q34" s="37"/>
      <c r="R34" s="117"/>
      <c r="S34" s="37"/>
      <c r="T34" s="37"/>
      <c r="U34" s="180"/>
      <c r="V34" s="180"/>
      <c r="W34" s="157">
        <v>2000000</v>
      </c>
      <c r="X34" s="158"/>
      <c r="Y34" s="37"/>
      <c r="Z34" s="37"/>
    </row>
    <row r="35" spans="1:26" ht="18" customHeight="1">
      <c r="B35" s="222" t="str">
        <f t="shared" si="8"/>
        <v>2. 기본구상</v>
      </c>
      <c r="C35" s="47"/>
      <c r="D35" s="48">
        <f t="shared" ref="D35:I35" si="9">SUBTOTAL(9,D36:D36)</f>
        <v>7.8</v>
      </c>
      <c r="E35" s="49">
        <f t="shared" si="9"/>
        <v>13.2</v>
      </c>
      <c r="F35" s="49">
        <f t="shared" si="9"/>
        <v>32</v>
      </c>
      <c r="G35" s="49">
        <f t="shared" si="9"/>
        <v>21.3</v>
      </c>
      <c r="H35" s="49">
        <f t="shared" si="9"/>
        <v>19</v>
      </c>
      <c r="I35" s="50">
        <f t="shared" si="9"/>
        <v>20.6</v>
      </c>
      <c r="J35" s="74"/>
      <c r="N35" s="293" t="s">
        <v>13</v>
      </c>
      <c r="O35" s="132"/>
      <c r="P35" s="38"/>
      <c r="Q35" s="38"/>
      <c r="R35" s="116"/>
      <c r="S35" s="38"/>
      <c r="T35" s="38"/>
      <c r="U35" s="183"/>
      <c r="V35" s="183"/>
      <c r="W35" s="155">
        <v>1000000</v>
      </c>
      <c r="X35" s="156"/>
      <c r="Y35" s="38"/>
      <c r="Z35" s="38"/>
    </row>
    <row r="36" spans="1:26" ht="18" customHeight="1">
      <c r="A36" s="326">
        <v>3</v>
      </c>
      <c r="B36" s="223" t="str">
        <f t="shared" si="8"/>
        <v>2.1. 기본구상</v>
      </c>
      <c r="C36" s="23"/>
      <c r="D36" s="197">
        <f t="array" ref="D36:I36">ROUNDDOWN(D20:I20*L20*D5,3)</f>
        <v>7.8</v>
      </c>
      <c r="E36" s="198">
        <v>13.2</v>
      </c>
      <c r="F36" s="198">
        <v>32</v>
      </c>
      <c r="G36" s="198">
        <v>21.3</v>
      </c>
      <c r="H36" s="198">
        <v>19</v>
      </c>
      <c r="I36" s="199">
        <v>20.6</v>
      </c>
      <c r="J36" s="390"/>
      <c r="N36" s="127" t="s">
        <v>47</v>
      </c>
      <c r="O36" s="123"/>
      <c r="P36" s="123"/>
      <c r="Q36" s="123"/>
      <c r="R36" s="123"/>
      <c r="S36" s="123"/>
      <c r="T36" s="123"/>
      <c r="U36" s="184"/>
      <c r="V36" s="184"/>
      <c r="W36" s="163">
        <f ca="1">SUBTOTAL(9,W37:W38)</f>
        <v>460322669</v>
      </c>
      <c r="X36" s="164"/>
      <c r="Y36" s="123"/>
      <c r="Z36" s="123"/>
    </row>
    <row r="37" spans="1:26" ht="18" customHeight="1">
      <c r="B37" s="222" t="str">
        <f t="shared" si="8"/>
        <v>3. 단계별 집행계획</v>
      </c>
      <c r="C37" s="47"/>
      <c r="D37" s="48">
        <f t="shared" ref="D37:I37" si="10">SUBTOTAL(9,D38:D38)</f>
        <v>5.5</v>
      </c>
      <c r="E37" s="49">
        <f t="shared" si="10"/>
        <v>12.1</v>
      </c>
      <c r="F37" s="49">
        <f t="shared" si="10"/>
        <v>29.3</v>
      </c>
      <c r="G37" s="49">
        <f t="shared" si="10"/>
        <v>29.5</v>
      </c>
      <c r="H37" s="49">
        <f t="shared" si="10"/>
        <v>23.7</v>
      </c>
      <c r="I37" s="50">
        <f t="shared" si="10"/>
        <v>26.4</v>
      </c>
      <c r="J37" s="74"/>
      <c r="N37" s="133" t="s">
        <v>861</v>
      </c>
      <c r="O37" s="124"/>
      <c r="P37" s="134"/>
      <c r="Q37" s="124"/>
      <c r="R37" s="131"/>
      <c r="S37" s="124"/>
      <c r="T37" s="181"/>
      <c r="U37" s="181"/>
      <c r="V37" s="190">
        <v>1.1499999999999999</v>
      </c>
      <c r="W37" s="159">
        <f ca="1">ROUNDDOWN(W15*V37,0)</f>
        <v>294914245</v>
      </c>
      <c r="X37" s="160"/>
      <c r="Y37" s="124"/>
      <c r="Z37" s="124"/>
    </row>
    <row r="38" spans="1:26" ht="18" customHeight="1" thickBot="1">
      <c r="A38" s="326">
        <v>4</v>
      </c>
      <c r="B38" s="223" t="str">
        <f t="shared" si="8"/>
        <v>3.1. 단계별집행계획</v>
      </c>
      <c r="C38" s="23"/>
      <c r="D38" s="197">
        <f t="array" ref="D38:I38">ROUNDDOWN(D22:I22*D5*L22,3)</f>
        <v>5.5</v>
      </c>
      <c r="E38" s="198">
        <v>12.1</v>
      </c>
      <c r="F38" s="198">
        <v>29.3</v>
      </c>
      <c r="G38" s="198">
        <v>29.5</v>
      </c>
      <c r="H38" s="198">
        <v>23.7</v>
      </c>
      <c r="I38" s="199">
        <v>26.4</v>
      </c>
      <c r="J38" s="74"/>
      <c r="N38" s="135" t="s">
        <v>862</v>
      </c>
      <c r="O38" s="136"/>
      <c r="P38" s="137"/>
      <c r="Q38" s="136"/>
      <c r="R38" s="138"/>
      <c r="S38" s="136"/>
      <c r="T38" s="185"/>
      <c r="U38" s="185"/>
      <c r="V38" s="191">
        <v>0.3</v>
      </c>
      <c r="W38" s="165">
        <f ca="1">ROUNDDOWN((W15+W37)*V38,0)</f>
        <v>165408424</v>
      </c>
      <c r="X38" s="166"/>
      <c r="Y38" s="136"/>
      <c r="Z38" s="136"/>
    </row>
    <row r="39" spans="1:26" ht="18" customHeight="1">
      <c r="B39" s="222" t="str">
        <f t="shared" si="8"/>
        <v>4. 성과품작성</v>
      </c>
      <c r="C39" s="47"/>
      <c r="D39" s="48">
        <f t="shared" ref="D39:I39" si="11">SUBTOTAL(9,D40:D41)</f>
        <v>2.2000000000000002</v>
      </c>
      <c r="E39" s="49">
        <f t="shared" si="11"/>
        <v>3.6</v>
      </c>
      <c r="F39" s="49">
        <f t="shared" si="11"/>
        <v>16.899999999999999</v>
      </c>
      <c r="G39" s="49">
        <f t="shared" si="11"/>
        <v>62.8</v>
      </c>
      <c r="H39" s="49">
        <f t="shared" si="11"/>
        <v>74.8</v>
      </c>
      <c r="I39" s="50">
        <f t="shared" si="11"/>
        <v>91</v>
      </c>
      <c r="J39" s="74"/>
    </row>
    <row r="40" spans="1:26" ht="18" customHeight="1">
      <c r="A40" s="326">
        <v>5</v>
      </c>
      <c r="B40" s="223" t="str">
        <f t="shared" si="8"/>
        <v>4.1. 보고서작성 및 편집</v>
      </c>
      <c r="C40" s="23"/>
      <c r="D40" s="197">
        <f t="array" ref="D40:I41">ROUNDDOWN(D24:I25*D5*L24:L25,3)</f>
        <v>1.1000000000000001</v>
      </c>
      <c r="E40" s="198">
        <v>1.8</v>
      </c>
      <c r="F40" s="198">
        <v>8.5</v>
      </c>
      <c r="G40" s="198">
        <v>31.4</v>
      </c>
      <c r="H40" s="198">
        <v>37.4</v>
      </c>
      <c r="I40" s="199">
        <v>45.5</v>
      </c>
      <c r="J40" s="74"/>
    </row>
    <row r="41" spans="1:26" ht="18" customHeight="1" thickBot="1">
      <c r="A41" s="326">
        <v>6</v>
      </c>
      <c r="B41" s="223" t="str">
        <f t="shared" si="8"/>
        <v>4.2. 관련도서작성</v>
      </c>
      <c r="C41" s="43"/>
      <c r="D41" s="206">
        <v>1.1000000000000001</v>
      </c>
      <c r="E41" s="207">
        <v>1.8</v>
      </c>
      <c r="F41" s="207">
        <v>8.4</v>
      </c>
      <c r="G41" s="207">
        <v>31.4</v>
      </c>
      <c r="H41" s="207">
        <v>37.4</v>
      </c>
      <c r="I41" s="208">
        <v>45.5</v>
      </c>
      <c r="J41" s="239"/>
      <c r="N41" s="66" t="s">
        <v>18</v>
      </c>
      <c r="O41" s="2"/>
      <c r="P41" s="2"/>
      <c r="Q41" s="2"/>
      <c r="R41" s="3"/>
      <c r="S41" s="4"/>
      <c r="T41" s="3"/>
      <c r="U41" s="4"/>
      <c r="V41" s="3"/>
      <c r="W41" s="4"/>
      <c r="X41" s="3"/>
      <c r="Y41" s="4"/>
      <c r="Z41" s="2"/>
    </row>
    <row r="42" spans="1:26" ht="18" customHeight="1">
      <c r="B42" s="222" t="str">
        <f t="shared" si="8"/>
        <v>5. 기술협의</v>
      </c>
      <c r="C42" s="47"/>
      <c r="D42" s="48">
        <f t="shared" ref="D42:I42" si="12">SUBTOTAL(9,D43:D46)</f>
        <v>8</v>
      </c>
      <c r="E42" s="49">
        <f t="shared" si="12"/>
        <v>8</v>
      </c>
      <c r="F42" s="49">
        <f t="shared" si="12"/>
        <v>8</v>
      </c>
      <c r="G42" s="49">
        <f t="shared" si="12"/>
        <v>16</v>
      </c>
      <c r="H42" s="49">
        <f t="shared" si="12"/>
        <v>16</v>
      </c>
      <c r="I42" s="50">
        <f t="shared" si="12"/>
        <v>16</v>
      </c>
      <c r="J42" s="786" t="s">
        <v>224</v>
      </c>
      <c r="N42" s="765" t="s">
        <v>19</v>
      </c>
      <c r="O42" s="755" t="s">
        <v>20</v>
      </c>
      <c r="P42" s="755" t="s">
        <v>21</v>
      </c>
      <c r="Q42" s="755" t="s">
        <v>16</v>
      </c>
      <c r="R42" s="5" t="s">
        <v>22</v>
      </c>
      <c r="S42" s="5"/>
      <c r="T42" s="5" t="s">
        <v>23</v>
      </c>
      <c r="U42" s="5"/>
      <c r="V42" s="5" t="s">
        <v>24</v>
      </c>
      <c r="W42" s="5"/>
      <c r="X42" s="5" t="s">
        <v>25</v>
      </c>
      <c r="Y42" s="5"/>
      <c r="Z42" s="755" t="s">
        <v>26</v>
      </c>
    </row>
    <row r="43" spans="1:26" ht="18" customHeight="1" thickBot="1">
      <c r="A43" s="326">
        <v>7</v>
      </c>
      <c r="B43" s="223" t="str">
        <f t="shared" si="8"/>
        <v>5.1. 공청회/주민설명회</v>
      </c>
      <c r="C43" s="23"/>
      <c r="D43" s="197">
        <f t="array" ref="D43:I46">ROUNDDOWN(D27:I30*L27:L30*I5,3)</f>
        <v>2</v>
      </c>
      <c r="E43" s="198">
        <v>2</v>
      </c>
      <c r="F43" s="198">
        <v>2</v>
      </c>
      <c r="G43" s="198">
        <v>4</v>
      </c>
      <c r="H43" s="198">
        <v>4</v>
      </c>
      <c r="I43" s="199">
        <v>4</v>
      </c>
      <c r="J43" s="787"/>
      <c r="M43" s="171"/>
      <c r="N43" s="766"/>
      <c r="O43" s="756"/>
      <c r="P43" s="756"/>
      <c r="Q43" s="756"/>
      <c r="R43" s="67" t="s">
        <v>27</v>
      </c>
      <c r="S43" s="67" t="s">
        <v>28</v>
      </c>
      <c r="T43" s="67" t="s">
        <v>27</v>
      </c>
      <c r="U43" s="67" t="s">
        <v>28</v>
      </c>
      <c r="V43" s="67" t="s">
        <v>27</v>
      </c>
      <c r="W43" s="67" t="s">
        <v>28</v>
      </c>
      <c r="X43" s="67" t="s">
        <v>27</v>
      </c>
      <c r="Y43" s="67" t="s">
        <v>28</v>
      </c>
      <c r="Z43" s="756"/>
    </row>
    <row r="44" spans="1:26" ht="18" customHeight="1" thickTop="1">
      <c r="A44" s="326">
        <v>8</v>
      </c>
      <c r="B44" s="223" t="str">
        <f t="shared" si="8"/>
        <v>5.2. 주민간담회/시민계획단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787"/>
      <c r="M44" s="171"/>
      <c r="N44" s="318" t="str">
        <f ca="1">"제 " &amp; Z44 &amp; " 호표  "&amp; OFFSET($A$1,MATCH(Z44,$A:$A,0)-1,1)</f>
        <v>제 1 호표  1.1. 현황조사</v>
      </c>
      <c r="O44" s="221"/>
      <c r="P44" s="148"/>
      <c r="Q44" s="148"/>
      <c r="R44" s="149"/>
      <c r="S44" s="149"/>
      <c r="T44" s="149"/>
      <c r="U44" s="149"/>
      <c r="V44" s="149"/>
      <c r="W44" s="149"/>
      <c r="X44" s="149"/>
      <c r="Y44" s="149"/>
      <c r="Z44" s="325">
        <v>1</v>
      </c>
    </row>
    <row r="45" spans="1:26" ht="18" customHeight="1">
      <c r="A45" s="326">
        <v>9</v>
      </c>
      <c r="B45" s="223" t="str">
        <f t="shared" si="8"/>
        <v>5.3. 위원회심의 지원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787"/>
      <c r="M45" s="171"/>
      <c r="N45" s="140" t="s">
        <v>43</v>
      </c>
      <c r="O45" s="172">
        <v>3</v>
      </c>
      <c r="P45" s="219">
        <f ca="1">OFFSET($A$1,MATCH(Z44,$A:$A,0)-1,O45)</f>
        <v>1.7</v>
      </c>
      <c r="Q45" s="141" t="s">
        <v>29</v>
      </c>
      <c r="R45" s="142">
        <f t="shared" ref="R45:S50" ca="1" si="13">T45</f>
        <v>467217</v>
      </c>
      <c r="S45" s="142">
        <f t="shared" ca="1" si="13"/>
        <v>794268</v>
      </c>
      <c r="T45" s="142">
        <f ca="1">기술사</f>
        <v>467217</v>
      </c>
      <c r="U45" s="142">
        <f t="shared" ref="U45:U50" ca="1" si="14">ROUNDDOWN(P45*R45,0)</f>
        <v>794268</v>
      </c>
      <c r="V45" s="142"/>
      <c r="W45" s="142"/>
      <c r="X45" s="142"/>
      <c r="Y45" s="142"/>
      <c r="Z45" s="114"/>
    </row>
    <row r="46" spans="1:26" ht="18" customHeight="1" thickBot="1">
      <c r="A46" s="326">
        <v>10</v>
      </c>
      <c r="B46" s="388" t="str">
        <f t="shared" si="8"/>
        <v>5.4. 관계기관 협의</v>
      </c>
      <c r="C46" s="342"/>
      <c r="D46" s="343">
        <v>2</v>
      </c>
      <c r="E46" s="344">
        <v>2</v>
      </c>
      <c r="F46" s="344">
        <v>2</v>
      </c>
      <c r="G46" s="344">
        <v>4</v>
      </c>
      <c r="H46" s="344">
        <v>4</v>
      </c>
      <c r="I46" s="345">
        <v>4</v>
      </c>
      <c r="J46" s="788"/>
      <c r="M46" s="171"/>
      <c r="N46" s="143" t="s">
        <v>32</v>
      </c>
      <c r="O46" s="173">
        <v>4</v>
      </c>
      <c r="P46" s="234">
        <f ca="1">OFFSET($A$1,MATCH(Z44,$A:$A,0)-1,O46)</f>
        <v>5.4</v>
      </c>
      <c r="Q46" s="144" t="s">
        <v>29</v>
      </c>
      <c r="R46" s="118">
        <f t="shared" ca="1" si="13"/>
        <v>373353</v>
      </c>
      <c r="S46" s="118">
        <f t="shared" ca="1" si="13"/>
        <v>2016106</v>
      </c>
      <c r="T46" s="118">
        <f ca="1">특급</f>
        <v>373353</v>
      </c>
      <c r="U46" s="118">
        <f t="shared" ca="1" si="14"/>
        <v>2016106</v>
      </c>
      <c r="V46" s="118"/>
      <c r="W46" s="118"/>
      <c r="X46" s="118"/>
      <c r="Y46" s="118"/>
      <c r="Z46" s="115"/>
    </row>
    <row r="47" spans="1:26" ht="18" customHeight="1">
      <c r="B47" s="80" t="s">
        <v>15</v>
      </c>
      <c r="C47" s="9" t="s">
        <v>2737</v>
      </c>
      <c r="M47" s="171"/>
      <c r="N47" s="145" t="s">
        <v>39</v>
      </c>
      <c r="O47" s="173">
        <v>5</v>
      </c>
      <c r="P47" s="234">
        <f ca="1">OFFSET($A$1,MATCH(Z44,$A:$A,0)-1,O47)</f>
        <v>11.7</v>
      </c>
      <c r="Q47" s="144" t="s">
        <v>29</v>
      </c>
      <c r="R47" s="118">
        <f t="shared" ca="1" si="13"/>
        <v>310884</v>
      </c>
      <c r="S47" s="118">
        <f t="shared" ca="1" si="13"/>
        <v>3637342</v>
      </c>
      <c r="T47" s="118">
        <f ca="1">고급</f>
        <v>310884</v>
      </c>
      <c r="U47" s="118">
        <f t="shared" ca="1" si="14"/>
        <v>3637342</v>
      </c>
      <c r="V47" s="118"/>
      <c r="W47" s="118"/>
      <c r="X47" s="118"/>
      <c r="Y47" s="118"/>
      <c r="Z47" s="115"/>
    </row>
    <row r="48" spans="1:26" ht="18" customHeight="1">
      <c r="C48" s="1" t="s">
        <v>2738</v>
      </c>
      <c r="M48" s="171"/>
      <c r="N48" s="145" t="s">
        <v>40</v>
      </c>
      <c r="O48" s="173">
        <v>6</v>
      </c>
      <c r="P48" s="234">
        <f ca="1">OFFSET($A$1,MATCH(Z44,$A:$A,0)-1,O48)</f>
        <v>51.2</v>
      </c>
      <c r="Q48" s="144" t="s">
        <v>29</v>
      </c>
      <c r="R48" s="118">
        <f t="shared" ca="1" si="13"/>
        <v>295138</v>
      </c>
      <c r="S48" s="118">
        <f t="shared" ca="1" si="13"/>
        <v>15111065</v>
      </c>
      <c r="T48" s="118">
        <f ca="1">중급</f>
        <v>295138</v>
      </c>
      <c r="U48" s="118">
        <f t="shared" ca="1" si="14"/>
        <v>15111065</v>
      </c>
      <c r="V48" s="118"/>
      <c r="W48" s="118"/>
      <c r="X48" s="118"/>
      <c r="Y48" s="118"/>
      <c r="Z48" s="115"/>
    </row>
    <row r="49" spans="3:26" ht="18" customHeight="1">
      <c r="C49" s="9" t="s">
        <v>2740</v>
      </c>
      <c r="M49" s="171"/>
      <c r="N49" s="145" t="s">
        <v>41</v>
      </c>
      <c r="O49" s="173">
        <v>7</v>
      </c>
      <c r="P49" s="234">
        <f ca="1">OFFSET($A$1,MATCH(Z44,$A:$A,0)-1,O49)</f>
        <v>58.8</v>
      </c>
      <c r="Q49" s="144" t="s">
        <v>29</v>
      </c>
      <c r="R49" s="118">
        <f t="shared" ca="1" si="13"/>
        <v>235459</v>
      </c>
      <c r="S49" s="118">
        <f t="shared" ca="1" si="13"/>
        <v>13844989</v>
      </c>
      <c r="T49" s="118">
        <f ca="1">초급</f>
        <v>235459</v>
      </c>
      <c r="U49" s="118">
        <f t="shared" ca="1" si="14"/>
        <v>13844989</v>
      </c>
      <c r="V49" s="118"/>
      <c r="W49" s="118"/>
      <c r="X49" s="118"/>
      <c r="Y49" s="118"/>
      <c r="Z49" s="115"/>
    </row>
    <row r="50" spans="3:26" ht="18" customHeight="1">
      <c r="C50" s="1" t="s">
        <v>2739</v>
      </c>
      <c r="L50" s="171"/>
      <c r="M50" s="171"/>
      <c r="N50" s="319" t="s">
        <v>42</v>
      </c>
      <c r="O50" s="174">
        <v>8</v>
      </c>
      <c r="P50" s="235">
        <f ca="1">OFFSET($A$1,MATCH(Z44,$A:$A,0)-1,O50)</f>
        <v>76.5</v>
      </c>
      <c r="Q50" s="322" t="s">
        <v>29</v>
      </c>
      <c r="R50" s="323">
        <f t="shared" ca="1" si="13"/>
        <v>250087</v>
      </c>
      <c r="S50" s="323">
        <f t="shared" ca="1" si="13"/>
        <v>19131655</v>
      </c>
      <c r="T50" s="323">
        <f ca="1">보조원</f>
        <v>250087</v>
      </c>
      <c r="U50" s="323">
        <f t="shared" ca="1" si="14"/>
        <v>19131655</v>
      </c>
      <c r="V50" s="323"/>
      <c r="W50" s="323"/>
      <c r="X50" s="323"/>
      <c r="Y50" s="323"/>
      <c r="Z50" s="324"/>
    </row>
    <row r="51" spans="3:26" ht="18" customHeight="1">
      <c r="C51" s="1" t="s">
        <v>2741</v>
      </c>
      <c r="L51" s="171"/>
      <c r="M51" s="171"/>
      <c r="N51" s="139" t="s">
        <v>17</v>
      </c>
      <c r="O51" s="68"/>
      <c r="P51" s="69"/>
      <c r="Q51" s="70"/>
      <c r="R51" s="71"/>
      <c r="S51" s="71">
        <f ca="1">SUBTOTAL(9,S45:S50)</f>
        <v>54535425</v>
      </c>
      <c r="T51" s="71"/>
      <c r="U51" s="71">
        <f ca="1">SUBTOTAL(9,U45:U50)</f>
        <v>54535425</v>
      </c>
      <c r="V51" s="71"/>
      <c r="W51" s="71"/>
      <c r="X51" s="71"/>
      <c r="Y51" s="71"/>
      <c r="Z51" s="68"/>
    </row>
    <row r="52" spans="3:26" ht="18" customHeight="1">
      <c r="C52" s="1" t="s">
        <v>2742</v>
      </c>
      <c r="L52" s="171"/>
      <c r="M52" s="171"/>
      <c r="N52" s="318" t="str">
        <f ca="1">"제 " &amp; Z52 &amp; " 호표  "&amp; OFFSET($A$1,MATCH(Z52,$A:$A,0)-1,1)</f>
        <v>제 2 호표  1.2. 분석·평가·진단</v>
      </c>
      <c r="O52" s="221"/>
      <c r="P52" s="148"/>
      <c r="Q52" s="148"/>
      <c r="R52" s="149"/>
      <c r="S52" s="149"/>
      <c r="T52" s="149"/>
      <c r="U52" s="149"/>
      <c r="V52" s="149"/>
      <c r="W52" s="149"/>
      <c r="X52" s="149"/>
      <c r="Y52" s="149"/>
      <c r="Z52" s="325">
        <f>Z44+1</f>
        <v>2</v>
      </c>
    </row>
    <row r="53" spans="3:26" ht="18" customHeight="1">
      <c r="C53" s="9" t="s">
        <v>2743</v>
      </c>
      <c r="L53" s="171"/>
      <c r="M53" s="171"/>
      <c r="N53" s="140" t="s">
        <v>43</v>
      </c>
      <c r="O53" s="172">
        <v>3</v>
      </c>
      <c r="P53" s="219">
        <f ca="1">OFFSET($A$1,MATCH(Z52,$A:$A,0)-1,O53)</f>
        <v>7.5</v>
      </c>
      <c r="Q53" s="141" t="s">
        <v>29</v>
      </c>
      <c r="R53" s="142">
        <f t="shared" ref="R53:S58" ca="1" si="15">T53</f>
        <v>467217</v>
      </c>
      <c r="S53" s="142">
        <f t="shared" ca="1" si="15"/>
        <v>3504127</v>
      </c>
      <c r="T53" s="142">
        <f ca="1">기술사</f>
        <v>467217</v>
      </c>
      <c r="U53" s="142">
        <f t="shared" ref="U53:U58" ca="1" si="16">ROUNDDOWN(P53*R53,0)</f>
        <v>3504127</v>
      </c>
      <c r="V53" s="142"/>
      <c r="W53" s="142"/>
      <c r="X53" s="142"/>
      <c r="Y53" s="142"/>
      <c r="Z53" s="114"/>
    </row>
    <row r="54" spans="3:26" ht="18" customHeight="1">
      <c r="C54" s="9"/>
      <c r="L54" s="171"/>
      <c r="M54" s="171"/>
      <c r="N54" s="143" t="s">
        <v>32</v>
      </c>
      <c r="O54" s="173">
        <v>4</v>
      </c>
      <c r="P54" s="234">
        <f ca="1">OFFSET($A$1,MATCH(Z52,$A:$A,0)-1,O54)</f>
        <v>8.9</v>
      </c>
      <c r="Q54" s="144" t="s">
        <v>29</v>
      </c>
      <c r="R54" s="118">
        <f t="shared" ca="1" si="15"/>
        <v>373353</v>
      </c>
      <c r="S54" s="118">
        <f t="shared" ca="1" si="15"/>
        <v>3322841</v>
      </c>
      <c r="T54" s="118">
        <f ca="1">특급</f>
        <v>373353</v>
      </c>
      <c r="U54" s="118">
        <f t="shared" ca="1" si="16"/>
        <v>3322841</v>
      </c>
      <c r="V54" s="118"/>
      <c r="W54" s="118"/>
      <c r="X54" s="118"/>
      <c r="Y54" s="118"/>
      <c r="Z54" s="115"/>
    </row>
    <row r="55" spans="3:26" ht="18" customHeight="1">
      <c r="K55" s="171" t="s">
        <v>14</v>
      </c>
      <c r="L55" s="171"/>
      <c r="M55" s="171"/>
      <c r="N55" s="145" t="s">
        <v>39</v>
      </c>
      <c r="O55" s="173">
        <v>5</v>
      </c>
      <c r="P55" s="234">
        <f ca="1">OFFSET($A$1,MATCH(Z52,$A:$A,0)-1,O55)</f>
        <v>27.4</v>
      </c>
      <c r="Q55" s="144" t="s">
        <v>29</v>
      </c>
      <c r="R55" s="118">
        <f t="shared" ca="1" si="15"/>
        <v>310884</v>
      </c>
      <c r="S55" s="118">
        <f t="shared" ca="1" si="15"/>
        <v>8518221</v>
      </c>
      <c r="T55" s="118">
        <f ca="1">고급</f>
        <v>310884</v>
      </c>
      <c r="U55" s="118">
        <f t="shared" ca="1" si="16"/>
        <v>8518221</v>
      </c>
      <c r="V55" s="118"/>
      <c r="W55" s="118"/>
      <c r="X55" s="118"/>
      <c r="Y55" s="118"/>
      <c r="Z55" s="115"/>
    </row>
    <row r="56" spans="3:26" ht="18" customHeight="1">
      <c r="K56" s="171" t="s">
        <v>14</v>
      </c>
      <c r="L56" s="171"/>
      <c r="M56" s="171"/>
      <c r="N56" s="145" t="s">
        <v>40</v>
      </c>
      <c r="O56" s="173">
        <v>6</v>
      </c>
      <c r="P56" s="234">
        <f ca="1">OFFSET($A$1,MATCH(Z52,$A:$A,0)-1,O56)</f>
        <v>41.7</v>
      </c>
      <c r="Q56" s="144" t="s">
        <v>29</v>
      </c>
      <c r="R56" s="118">
        <f t="shared" ca="1" si="15"/>
        <v>295138</v>
      </c>
      <c r="S56" s="118">
        <f t="shared" ca="1" si="15"/>
        <v>12307254</v>
      </c>
      <c r="T56" s="118">
        <f ca="1">중급</f>
        <v>295138</v>
      </c>
      <c r="U56" s="118">
        <f t="shared" ca="1" si="16"/>
        <v>12307254</v>
      </c>
      <c r="V56" s="118"/>
      <c r="W56" s="118"/>
      <c r="X56" s="118"/>
      <c r="Y56" s="118"/>
      <c r="Z56" s="115"/>
    </row>
    <row r="57" spans="3:26" ht="18" customHeight="1">
      <c r="K57" s="171" t="s">
        <v>14</v>
      </c>
      <c r="L57" s="171"/>
      <c r="M57" s="171"/>
      <c r="N57" s="145" t="s">
        <v>41</v>
      </c>
      <c r="O57" s="173">
        <v>7</v>
      </c>
      <c r="P57" s="234">
        <f ca="1">OFFSET($A$1,MATCH(Z52,$A:$A,0)-1,O57)</f>
        <v>32.299999999999997</v>
      </c>
      <c r="Q57" s="144" t="s">
        <v>29</v>
      </c>
      <c r="R57" s="118">
        <f t="shared" ca="1" si="15"/>
        <v>235459</v>
      </c>
      <c r="S57" s="118">
        <f t="shared" ca="1" si="15"/>
        <v>7605325</v>
      </c>
      <c r="T57" s="118">
        <f ca="1">초급</f>
        <v>235459</v>
      </c>
      <c r="U57" s="118">
        <f t="shared" ca="1" si="16"/>
        <v>7605325</v>
      </c>
      <c r="V57" s="118"/>
      <c r="W57" s="118"/>
      <c r="X57" s="118"/>
      <c r="Y57" s="118"/>
      <c r="Z57" s="115"/>
    </row>
    <row r="58" spans="3:26" ht="18" customHeight="1">
      <c r="K58" s="171" t="s">
        <v>14</v>
      </c>
      <c r="L58" s="171"/>
      <c r="M58" s="171"/>
      <c r="N58" s="319" t="s">
        <v>42</v>
      </c>
      <c r="O58" s="174">
        <v>8</v>
      </c>
      <c r="P58" s="235">
        <f ca="1">OFFSET($A$1,MATCH(Z52,$A:$A,0)-1,O58)</f>
        <v>27.6</v>
      </c>
      <c r="Q58" s="322" t="s">
        <v>29</v>
      </c>
      <c r="R58" s="323">
        <f t="shared" ca="1" si="15"/>
        <v>250087</v>
      </c>
      <c r="S58" s="323">
        <f t="shared" ca="1" si="15"/>
        <v>6902401</v>
      </c>
      <c r="T58" s="323">
        <f ca="1">보조원</f>
        <v>250087</v>
      </c>
      <c r="U58" s="323">
        <f t="shared" ca="1" si="16"/>
        <v>6902401</v>
      </c>
      <c r="V58" s="323"/>
      <c r="W58" s="323"/>
      <c r="X58" s="323"/>
      <c r="Y58" s="323"/>
      <c r="Z58" s="324"/>
    </row>
    <row r="59" spans="3:26" ht="18" customHeight="1">
      <c r="K59" s="171" t="s">
        <v>14</v>
      </c>
      <c r="L59" s="171"/>
      <c r="M59" s="171"/>
      <c r="N59" s="139" t="s">
        <v>17</v>
      </c>
      <c r="O59" s="68"/>
      <c r="P59" s="69"/>
      <c r="Q59" s="70"/>
      <c r="R59" s="71"/>
      <c r="S59" s="71">
        <f ca="1">SUBTOTAL(9,S53:S58)</f>
        <v>42160169</v>
      </c>
      <c r="T59" s="71"/>
      <c r="U59" s="71">
        <f ca="1">SUBTOTAL(9,U53:U58)</f>
        <v>42160169</v>
      </c>
      <c r="V59" s="71"/>
      <c r="W59" s="71"/>
      <c r="X59" s="71"/>
      <c r="Y59" s="71"/>
      <c r="Z59" s="68"/>
    </row>
    <row r="60" spans="3:26" ht="18" customHeight="1">
      <c r="C60" s="9"/>
      <c r="K60" s="171" t="s">
        <v>14</v>
      </c>
      <c r="L60" s="171"/>
      <c r="M60" s="171"/>
      <c r="N60" s="318" t="str">
        <f ca="1">"제 " &amp; Z60 &amp; " 호표  "&amp; OFFSET($A$1,MATCH(Z60,$A:$A,0)-1,1)</f>
        <v>제 3 호표  2.1. 기본구상</v>
      </c>
      <c r="O60" s="221"/>
      <c r="P60" s="148"/>
      <c r="Q60" s="148"/>
      <c r="R60" s="149"/>
      <c r="S60" s="149"/>
      <c r="T60" s="149"/>
      <c r="U60" s="149"/>
      <c r="V60" s="149"/>
      <c r="W60" s="149"/>
      <c r="X60" s="149"/>
      <c r="Y60" s="149"/>
      <c r="Z60" s="325">
        <f>Z52+1</f>
        <v>3</v>
      </c>
    </row>
    <row r="61" spans="3:26" ht="18" customHeight="1">
      <c r="C61" s="9"/>
      <c r="K61" s="171" t="s">
        <v>14</v>
      </c>
      <c r="L61" s="171"/>
      <c r="M61" s="171"/>
      <c r="N61" s="140" t="s">
        <v>43</v>
      </c>
      <c r="O61" s="172">
        <v>3</v>
      </c>
      <c r="P61" s="219">
        <f ca="1">OFFSET($A$1,MATCH(Z60,$A:$A,0)-1,O61)</f>
        <v>7.8</v>
      </c>
      <c r="Q61" s="141" t="s">
        <v>29</v>
      </c>
      <c r="R61" s="142">
        <f t="shared" ref="R61:S66" ca="1" si="17">T61</f>
        <v>467217</v>
      </c>
      <c r="S61" s="142">
        <f t="shared" ca="1" si="17"/>
        <v>3644292</v>
      </c>
      <c r="T61" s="142">
        <f ca="1">기술사</f>
        <v>467217</v>
      </c>
      <c r="U61" s="142">
        <f t="shared" ref="U61:U66" ca="1" si="18">ROUNDDOWN(P61*R61,0)</f>
        <v>3644292</v>
      </c>
      <c r="V61" s="142"/>
      <c r="W61" s="142"/>
      <c r="X61" s="142"/>
      <c r="Y61" s="142"/>
      <c r="Z61" s="114"/>
    </row>
    <row r="62" spans="3:26" ht="18" customHeight="1">
      <c r="K62" s="171" t="s">
        <v>14</v>
      </c>
      <c r="L62" s="171"/>
      <c r="M62" s="171"/>
      <c r="N62" s="143" t="s">
        <v>32</v>
      </c>
      <c r="O62" s="173">
        <v>4</v>
      </c>
      <c r="P62" s="234">
        <f ca="1">OFFSET($A$1,MATCH(Z60,$A:$A,0)-1,O62)</f>
        <v>13.2</v>
      </c>
      <c r="Q62" s="144" t="s">
        <v>29</v>
      </c>
      <c r="R62" s="118">
        <f t="shared" ca="1" si="17"/>
        <v>373353</v>
      </c>
      <c r="S62" s="118">
        <f t="shared" ca="1" si="17"/>
        <v>4928259</v>
      </c>
      <c r="T62" s="118">
        <f ca="1">특급</f>
        <v>373353</v>
      </c>
      <c r="U62" s="118">
        <f t="shared" ca="1" si="18"/>
        <v>4928259</v>
      </c>
      <c r="V62" s="118"/>
      <c r="W62" s="118"/>
      <c r="X62" s="118"/>
      <c r="Y62" s="118"/>
      <c r="Z62" s="115"/>
    </row>
    <row r="63" spans="3:26" ht="18" customHeight="1">
      <c r="K63" s="171" t="s">
        <v>14</v>
      </c>
      <c r="L63" s="171"/>
      <c r="M63" s="171"/>
      <c r="N63" s="145" t="s">
        <v>39</v>
      </c>
      <c r="O63" s="173">
        <v>5</v>
      </c>
      <c r="P63" s="234">
        <f ca="1">OFFSET($A$1,MATCH(Z60,$A:$A,0)-1,O63)</f>
        <v>32</v>
      </c>
      <c r="Q63" s="144" t="s">
        <v>29</v>
      </c>
      <c r="R63" s="118">
        <f t="shared" ca="1" si="17"/>
        <v>310884</v>
      </c>
      <c r="S63" s="118">
        <f t="shared" ca="1" si="17"/>
        <v>9948288</v>
      </c>
      <c r="T63" s="118">
        <f ca="1">고급</f>
        <v>310884</v>
      </c>
      <c r="U63" s="118">
        <f t="shared" ca="1" si="18"/>
        <v>9948288</v>
      </c>
      <c r="V63" s="118"/>
      <c r="W63" s="118"/>
      <c r="X63" s="118"/>
      <c r="Y63" s="118"/>
      <c r="Z63" s="115"/>
    </row>
    <row r="64" spans="3:26" ht="18" customHeight="1">
      <c r="K64" s="171" t="s">
        <v>14</v>
      </c>
      <c r="L64" s="171"/>
      <c r="M64" s="171"/>
      <c r="N64" s="145" t="s">
        <v>40</v>
      </c>
      <c r="O64" s="173">
        <v>6</v>
      </c>
      <c r="P64" s="234">
        <f ca="1">OFFSET($A$1,MATCH(Z60,$A:$A,0)-1,O64)</f>
        <v>21.3</v>
      </c>
      <c r="Q64" s="144" t="s">
        <v>29</v>
      </c>
      <c r="R64" s="118">
        <f t="shared" ca="1" si="17"/>
        <v>295138</v>
      </c>
      <c r="S64" s="118">
        <f t="shared" ca="1" si="17"/>
        <v>6286439</v>
      </c>
      <c r="T64" s="118">
        <f ca="1">중급</f>
        <v>295138</v>
      </c>
      <c r="U64" s="118">
        <f t="shared" ca="1" si="18"/>
        <v>6286439</v>
      </c>
      <c r="V64" s="118"/>
      <c r="W64" s="118"/>
      <c r="X64" s="118"/>
      <c r="Y64" s="118"/>
      <c r="Z64" s="115"/>
    </row>
    <row r="65" spans="11:26" ht="18" customHeight="1">
      <c r="K65" s="171" t="s">
        <v>14</v>
      </c>
      <c r="L65" s="171"/>
      <c r="M65" s="171"/>
      <c r="N65" s="145" t="s">
        <v>41</v>
      </c>
      <c r="O65" s="173">
        <v>7</v>
      </c>
      <c r="P65" s="234">
        <f ca="1">OFFSET($A$1,MATCH(Z60,$A:$A,0)-1,O65)</f>
        <v>19</v>
      </c>
      <c r="Q65" s="144" t="s">
        <v>29</v>
      </c>
      <c r="R65" s="118">
        <f t="shared" ca="1" si="17"/>
        <v>235459</v>
      </c>
      <c r="S65" s="118">
        <f t="shared" ca="1" si="17"/>
        <v>4473721</v>
      </c>
      <c r="T65" s="118">
        <f ca="1">초급</f>
        <v>235459</v>
      </c>
      <c r="U65" s="118">
        <f t="shared" ca="1" si="18"/>
        <v>4473721</v>
      </c>
      <c r="V65" s="118"/>
      <c r="W65" s="118"/>
      <c r="X65" s="118"/>
      <c r="Y65" s="118"/>
      <c r="Z65" s="115"/>
    </row>
    <row r="66" spans="11:26" ht="18" customHeight="1">
      <c r="K66" s="171" t="s">
        <v>14</v>
      </c>
      <c r="L66" s="171"/>
      <c r="M66" s="171"/>
      <c r="N66" s="319" t="s">
        <v>42</v>
      </c>
      <c r="O66" s="174">
        <v>8</v>
      </c>
      <c r="P66" s="235">
        <f ca="1">OFFSET($A$1,MATCH(Z60,$A:$A,0)-1,O66)</f>
        <v>20.6</v>
      </c>
      <c r="Q66" s="322" t="s">
        <v>29</v>
      </c>
      <c r="R66" s="323">
        <f t="shared" ca="1" si="17"/>
        <v>250087</v>
      </c>
      <c r="S66" s="323">
        <f t="shared" ca="1" si="17"/>
        <v>5151792</v>
      </c>
      <c r="T66" s="323">
        <f ca="1">보조원</f>
        <v>250087</v>
      </c>
      <c r="U66" s="323">
        <f t="shared" ca="1" si="18"/>
        <v>5151792</v>
      </c>
      <c r="V66" s="323"/>
      <c r="W66" s="323"/>
      <c r="X66" s="323"/>
      <c r="Y66" s="323"/>
      <c r="Z66" s="324"/>
    </row>
    <row r="67" spans="11:26" ht="18" customHeight="1">
      <c r="K67" s="171" t="s">
        <v>14</v>
      </c>
      <c r="L67" s="171"/>
      <c r="M67" s="171"/>
      <c r="N67" s="139" t="s">
        <v>17</v>
      </c>
      <c r="O67" s="68"/>
      <c r="P67" s="69"/>
      <c r="Q67" s="70"/>
      <c r="R67" s="71"/>
      <c r="S67" s="71">
        <f ca="1">SUBTOTAL(9,S61:S66)</f>
        <v>34432791</v>
      </c>
      <c r="T67" s="71"/>
      <c r="U67" s="71">
        <f ca="1">SUBTOTAL(9,U61:U66)</f>
        <v>34432791</v>
      </c>
      <c r="V67" s="71"/>
      <c r="W67" s="71"/>
      <c r="X67" s="71"/>
      <c r="Y67" s="71"/>
      <c r="Z67" s="68"/>
    </row>
    <row r="68" spans="11:26" ht="18" customHeight="1">
      <c r="K68" s="171" t="s">
        <v>14</v>
      </c>
      <c r="L68" s="171"/>
      <c r="M68" s="171"/>
      <c r="N68" s="318" t="str">
        <f ca="1">"제 " &amp; Z68 &amp; " 호표  "&amp; OFFSET($A$1,MATCH(Z68,$A:$A,0)-1,1)</f>
        <v>제 4 호표  3.1. 단계별집행계획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f>Z60+1</f>
        <v>4</v>
      </c>
    </row>
    <row r="69" spans="11:26" ht="18" customHeight="1"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5.5</v>
      </c>
      <c r="Q69" s="141" t="s">
        <v>29</v>
      </c>
      <c r="R69" s="142">
        <f t="shared" ref="R69:S74" ca="1" si="19">T69</f>
        <v>467217</v>
      </c>
      <c r="S69" s="142">
        <f t="shared" ca="1" si="19"/>
        <v>2569693</v>
      </c>
      <c r="T69" s="142">
        <f ca="1">기술사</f>
        <v>467217</v>
      </c>
      <c r="U69" s="142">
        <f t="shared" ref="U69:U74" ca="1" si="20">ROUNDDOWN(P69*R69,0)</f>
        <v>2569693</v>
      </c>
      <c r="V69" s="142"/>
      <c r="W69" s="142"/>
      <c r="X69" s="142"/>
      <c r="Y69" s="142"/>
      <c r="Z69" s="114"/>
    </row>
    <row r="70" spans="11:26" ht="18" customHeight="1"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12.1</v>
      </c>
      <c r="Q70" s="144" t="s">
        <v>29</v>
      </c>
      <c r="R70" s="118">
        <f t="shared" ca="1" si="19"/>
        <v>373353</v>
      </c>
      <c r="S70" s="118">
        <f t="shared" ca="1" si="19"/>
        <v>4517571</v>
      </c>
      <c r="T70" s="118">
        <f ca="1">특급</f>
        <v>373353</v>
      </c>
      <c r="U70" s="118">
        <f t="shared" ca="1" si="20"/>
        <v>4517571</v>
      </c>
      <c r="V70" s="118"/>
      <c r="W70" s="118"/>
      <c r="X70" s="118"/>
      <c r="Y70" s="118"/>
      <c r="Z70" s="115"/>
    </row>
    <row r="71" spans="11:26" ht="18" customHeight="1"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29.3</v>
      </c>
      <c r="Q71" s="144" t="s">
        <v>29</v>
      </c>
      <c r="R71" s="118">
        <f t="shared" ca="1" si="19"/>
        <v>310884</v>
      </c>
      <c r="S71" s="118">
        <f t="shared" ca="1" si="19"/>
        <v>9108901</v>
      </c>
      <c r="T71" s="118">
        <f ca="1">고급</f>
        <v>310884</v>
      </c>
      <c r="U71" s="118">
        <f t="shared" ca="1" si="20"/>
        <v>9108901</v>
      </c>
      <c r="V71" s="118"/>
      <c r="W71" s="118"/>
      <c r="X71" s="118"/>
      <c r="Y71" s="118"/>
      <c r="Z71" s="115"/>
    </row>
    <row r="72" spans="11:26" ht="18" customHeight="1"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29.5</v>
      </c>
      <c r="Q72" s="144" t="s">
        <v>29</v>
      </c>
      <c r="R72" s="118">
        <f t="shared" ca="1" si="19"/>
        <v>295138</v>
      </c>
      <c r="S72" s="118">
        <f t="shared" ca="1" si="19"/>
        <v>8706571</v>
      </c>
      <c r="T72" s="118">
        <f ca="1">중급</f>
        <v>295138</v>
      </c>
      <c r="U72" s="118">
        <f t="shared" ca="1" si="20"/>
        <v>8706571</v>
      </c>
      <c r="V72" s="118"/>
      <c r="W72" s="118"/>
      <c r="X72" s="118"/>
      <c r="Y72" s="118"/>
      <c r="Z72" s="115"/>
    </row>
    <row r="73" spans="11:26" ht="18" customHeight="1"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23.7</v>
      </c>
      <c r="Q73" s="144" t="s">
        <v>29</v>
      </c>
      <c r="R73" s="118">
        <f t="shared" ca="1" si="19"/>
        <v>235459</v>
      </c>
      <c r="S73" s="118">
        <f t="shared" ca="1" si="19"/>
        <v>5580378</v>
      </c>
      <c r="T73" s="118">
        <f ca="1">초급</f>
        <v>235459</v>
      </c>
      <c r="U73" s="118">
        <f t="shared" ca="1" si="20"/>
        <v>5580378</v>
      </c>
      <c r="V73" s="118"/>
      <c r="W73" s="118"/>
      <c r="X73" s="118"/>
      <c r="Y73" s="118"/>
      <c r="Z73" s="115"/>
    </row>
    <row r="74" spans="11:26" ht="18" customHeight="1"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26.4</v>
      </c>
      <c r="Q74" s="322" t="s">
        <v>29</v>
      </c>
      <c r="R74" s="323">
        <f t="shared" ca="1" si="19"/>
        <v>250087</v>
      </c>
      <c r="S74" s="323">
        <f t="shared" ca="1" si="19"/>
        <v>6602296</v>
      </c>
      <c r="T74" s="323">
        <f ca="1">보조원</f>
        <v>250087</v>
      </c>
      <c r="U74" s="323">
        <f t="shared" ca="1" si="20"/>
        <v>6602296</v>
      </c>
      <c r="V74" s="323"/>
      <c r="W74" s="323"/>
      <c r="X74" s="323"/>
      <c r="Y74" s="323"/>
      <c r="Z74" s="324"/>
    </row>
    <row r="75" spans="11:26" ht="18" customHeight="1"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37085410</v>
      </c>
      <c r="T75" s="71"/>
      <c r="U75" s="71">
        <f ca="1">SUBTOTAL(9,U69:U74)</f>
        <v>37085410</v>
      </c>
      <c r="V75" s="71"/>
      <c r="W75" s="71"/>
      <c r="X75" s="71"/>
      <c r="Y75" s="71"/>
      <c r="Z75" s="68"/>
    </row>
    <row r="76" spans="11:26" ht="18" customHeight="1">
      <c r="K76" s="171" t="s">
        <v>14</v>
      </c>
      <c r="L76" s="171"/>
      <c r="M76" s="171"/>
      <c r="N76" s="318" t="str">
        <f ca="1">"제 " &amp; Z76 &amp; " 호표  "&amp; OFFSET($A$1,MATCH(Z76,$A:$A,0)-1,1)</f>
        <v>제 5 호표  4.1. 보고서작성 및 편집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5</v>
      </c>
    </row>
    <row r="77" spans="11:26" ht="18" customHeight="1"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1.1000000000000001</v>
      </c>
      <c r="Q77" s="141" t="s">
        <v>29</v>
      </c>
      <c r="R77" s="142">
        <f t="shared" ref="R77:S82" ca="1" si="21">T77</f>
        <v>467217</v>
      </c>
      <c r="S77" s="142">
        <f t="shared" ca="1" si="21"/>
        <v>513938</v>
      </c>
      <c r="T77" s="142">
        <f ca="1">기술사</f>
        <v>467217</v>
      </c>
      <c r="U77" s="142">
        <f t="shared" ref="U77:U82" ca="1" si="22">ROUNDDOWN(P77*R77,0)</f>
        <v>513938</v>
      </c>
      <c r="V77" s="142"/>
      <c r="W77" s="142"/>
      <c r="X77" s="142"/>
      <c r="Y77" s="142"/>
      <c r="Z77" s="114"/>
    </row>
    <row r="78" spans="11:26" ht="18" customHeight="1"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1.8</v>
      </c>
      <c r="Q78" s="144" t="s">
        <v>29</v>
      </c>
      <c r="R78" s="118">
        <f t="shared" ca="1" si="21"/>
        <v>373353</v>
      </c>
      <c r="S78" s="118">
        <f t="shared" ca="1" si="21"/>
        <v>672035</v>
      </c>
      <c r="T78" s="118">
        <f ca="1">특급</f>
        <v>373353</v>
      </c>
      <c r="U78" s="118">
        <f t="shared" ca="1" si="22"/>
        <v>672035</v>
      </c>
      <c r="V78" s="118"/>
      <c r="W78" s="118"/>
      <c r="X78" s="118"/>
      <c r="Y78" s="118"/>
      <c r="Z78" s="115"/>
    </row>
    <row r="79" spans="11:26" ht="18" customHeight="1"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8.5</v>
      </c>
      <c r="Q79" s="144" t="s">
        <v>29</v>
      </c>
      <c r="R79" s="118">
        <f t="shared" ca="1" si="21"/>
        <v>310884</v>
      </c>
      <c r="S79" s="118">
        <f t="shared" ca="1" si="21"/>
        <v>2642514</v>
      </c>
      <c r="T79" s="118">
        <f ca="1">고급</f>
        <v>310884</v>
      </c>
      <c r="U79" s="118">
        <f t="shared" ca="1" si="22"/>
        <v>2642514</v>
      </c>
      <c r="V79" s="118"/>
      <c r="W79" s="118"/>
      <c r="X79" s="118"/>
      <c r="Y79" s="118"/>
      <c r="Z79" s="115"/>
    </row>
    <row r="80" spans="11:26" ht="18" customHeight="1"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31.4</v>
      </c>
      <c r="Q80" s="144" t="s">
        <v>29</v>
      </c>
      <c r="R80" s="118">
        <f t="shared" ca="1" si="21"/>
        <v>295138</v>
      </c>
      <c r="S80" s="118">
        <f t="shared" ca="1" si="21"/>
        <v>9267333</v>
      </c>
      <c r="T80" s="118">
        <f ca="1">중급</f>
        <v>295138</v>
      </c>
      <c r="U80" s="118">
        <f t="shared" ca="1" si="22"/>
        <v>9267333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37.4</v>
      </c>
      <c r="Q81" s="144" t="s">
        <v>29</v>
      </c>
      <c r="R81" s="118">
        <f t="shared" ca="1" si="21"/>
        <v>235459</v>
      </c>
      <c r="S81" s="118">
        <f t="shared" ca="1" si="21"/>
        <v>8806166</v>
      </c>
      <c r="T81" s="118">
        <f ca="1">초급</f>
        <v>235459</v>
      </c>
      <c r="U81" s="118">
        <f t="shared" ca="1" si="22"/>
        <v>8806166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45.5</v>
      </c>
      <c r="Q82" s="322" t="s">
        <v>29</v>
      </c>
      <c r="R82" s="323">
        <f t="shared" ca="1" si="21"/>
        <v>250087</v>
      </c>
      <c r="S82" s="323">
        <f t="shared" ca="1" si="21"/>
        <v>11378958</v>
      </c>
      <c r="T82" s="323">
        <f ca="1">보조원</f>
        <v>250087</v>
      </c>
      <c r="U82" s="323">
        <f t="shared" ca="1" si="22"/>
        <v>11378958</v>
      </c>
      <c r="V82" s="323"/>
      <c r="W82" s="323"/>
      <c r="X82" s="323"/>
      <c r="Y82" s="323"/>
      <c r="Z82" s="324"/>
    </row>
    <row r="83" spans="11:26" ht="18" customHeight="1"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33280944</v>
      </c>
      <c r="T83" s="71"/>
      <c r="U83" s="71">
        <f ca="1">SUBTOTAL(9,U77:U82)</f>
        <v>33280944</v>
      </c>
      <c r="V83" s="71"/>
      <c r="W83" s="71"/>
      <c r="X83" s="71"/>
      <c r="Y83" s="71"/>
      <c r="Z83" s="68"/>
    </row>
    <row r="84" spans="11:26" ht="18" customHeight="1">
      <c r="K84" s="171" t="s">
        <v>14</v>
      </c>
      <c r="L84" s="171"/>
      <c r="M84" s="171"/>
      <c r="N84" s="318" t="str">
        <f ca="1">"제 " &amp; Z84 &amp; " 호표  "&amp; OFFSET($A$1,MATCH(Z84,$A:$A,0)-1,1)</f>
        <v>제 6 호표  4.2. 관련도서작성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6</v>
      </c>
    </row>
    <row r="85" spans="11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1.1000000000000001</v>
      </c>
      <c r="Q85" s="141" t="s">
        <v>29</v>
      </c>
      <c r="R85" s="142">
        <f t="shared" ref="R85:S90" ca="1" si="23">T85</f>
        <v>467217</v>
      </c>
      <c r="S85" s="142">
        <f t="shared" ca="1" si="23"/>
        <v>513938</v>
      </c>
      <c r="T85" s="142">
        <f ca="1">기술사</f>
        <v>467217</v>
      </c>
      <c r="U85" s="142">
        <f t="shared" ref="U85:U90" ca="1" si="24">ROUNDDOWN(P85*R85,0)</f>
        <v>513938</v>
      </c>
      <c r="V85" s="142"/>
      <c r="W85" s="142"/>
      <c r="X85" s="142"/>
      <c r="Y85" s="142"/>
      <c r="Z85" s="114"/>
    </row>
    <row r="86" spans="11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1.8</v>
      </c>
      <c r="Q86" s="144" t="s">
        <v>29</v>
      </c>
      <c r="R86" s="118">
        <f t="shared" ca="1" si="23"/>
        <v>373353</v>
      </c>
      <c r="S86" s="118">
        <f t="shared" ca="1" si="23"/>
        <v>672035</v>
      </c>
      <c r="T86" s="118">
        <f ca="1">특급</f>
        <v>373353</v>
      </c>
      <c r="U86" s="118">
        <f t="shared" ca="1" si="24"/>
        <v>672035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8.4</v>
      </c>
      <c r="Q87" s="144" t="s">
        <v>29</v>
      </c>
      <c r="R87" s="118">
        <f t="shared" ca="1" si="23"/>
        <v>310884</v>
      </c>
      <c r="S87" s="118">
        <f t="shared" ca="1" si="23"/>
        <v>2611425</v>
      </c>
      <c r="T87" s="118">
        <f ca="1">고급</f>
        <v>310884</v>
      </c>
      <c r="U87" s="118">
        <f t="shared" ca="1" si="24"/>
        <v>2611425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31.4</v>
      </c>
      <c r="Q88" s="144" t="s">
        <v>29</v>
      </c>
      <c r="R88" s="118">
        <f t="shared" ca="1" si="23"/>
        <v>295138</v>
      </c>
      <c r="S88" s="118">
        <f t="shared" ca="1" si="23"/>
        <v>9267333</v>
      </c>
      <c r="T88" s="118">
        <f ca="1">중급</f>
        <v>295138</v>
      </c>
      <c r="U88" s="118">
        <f t="shared" ca="1" si="24"/>
        <v>9267333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37.4</v>
      </c>
      <c r="Q89" s="144" t="s">
        <v>29</v>
      </c>
      <c r="R89" s="118">
        <f t="shared" ca="1" si="23"/>
        <v>235459</v>
      </c>
      <c r="S89" s="118">
        <f t="shared" ca="1" si="23"/>
        <v>8806166</v>
      </c>
      <c r="T89" s="118">
        <f ca="1">초급</f>
        <v>235459</v>
      </c>
      <c r="U89" s="118">
        <f t="shared" ca="1" si="24"/>
        <v>8806166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45.5</v>
      </c>
      <c r="Q90" s="322" t="s">
        <v>29</v>
      </c>
      <c r="R90" s="323">
        <f t="shared" ca="1" si="23"/>
        <v>250087</v>
      </c>
      <c r="S90" s="323">
        <f t="shared" ca="1" si="23"/>
        <v>11378958</v>
      </c>
      <c r="T90" s="323">
        <f ca="1">보조원</f>
        <v>250087</v>
      </c>
      <c r="U90" s="323">
        <f t="shared" ca="1" si="24"/>
        <v>11378958</v>
      </c>
      <c r="V90" s="323"/>
      <c r="W90" s="323"/>
      <c r="X90" s="323"/>
      <c r="Y90" s="323"/>
      <c r="Z90" s="324"/>
    </row>
    <row r="91" spans="11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33249855</v>
      </c>
      <c r="T91" s="71"/>
      <c r="U91" s="71">
        <f ca="1">SUBTOTAL(9,U85:U90)</f>
        <v>33249855</v>
      </c>
      <c r="V91" s="71"/>
      <c r="W91" s="71"/>
      <c r="X91" s="71"/>
      <c r="Y91" s="71"/>
      <c r="Z91" s="68"/>
    </row>
    <row r="92" spans="11:26" ht="18" customHeight="1">
      <c r="K92" s="171" t="s">
        <v>14</v>
      </c>
      <c r="L92" s="171"/>
      <c r="M92" s="171"/>
      <c r="N92" s="318" t="str">
        <f ca="1">"제 " &amp; Z92 &amp; " 호표  "&amp; OFFSET($A$1,MATCH(Z92,$A:$A,0)-1,1)</f>
        <v>제 7 호표  5.1. 공청회/주민설명회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7</v>
      </c>
    </row>
    <row r="93" spans="1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2</v>
      </c>
      <c r="Q93" s="141" t="s">
        <v>29</v>
      </c>
      <c r="R93" s="142">
        <f t="shared" ref="R93:S98" ca="1" si="25">T93</f>
        <v>467217</v>
      </c>
      <c r="S93" s="142">
        <f t="shared" ca="1" si="25"/>
        <v>934434</v>
      </c>
      <c r="T93" s="142">
        <f ca="1">기술사</f>
        <v>467217</v>
      </c>
      <c r="U93" s="142">
        <f t="shared" ref="U93:U98" ca="1" si="26">ROUNDDOWN(P93*R93,0)</f>
        <v>934434</v>
      </c>
      <c r="V93" s="142"/>
      <c r="W93" s="142"/>
      <c r="X93" s="142"/>
      <c r="Y93" s="142"/>
      <c r="Z93" s="114"/>
    </row>
    <row r="94" spans="1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2</v>
      </c>
      <c r="Q94" s="144" t="s">
        <v>29</v>
      </c>
      <c r="R94" s="118">
        <f t="shared" ca="1" si="25"/>
        <v>373353</v>
      </c>
      <c r="S94" s="118">
        <f t="shared" ca="1" si="25"/>
        <v>746706</v>
      </c>
      <c r="T94" s="118">
        <f ca="1">특급</f>
        <v>373353</v>
      </c>
      <c r="U94" s="118">
        <f t="shared" ca="1" si="26"/>
        <v>746706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2</v>
      </c>
      <c r="Q95" s="144" t="s">
        <v>29</v>
      </c>
      <c r="R95" s="118">
        <f t="shared" ca="1" si="25"/>
        <v>310884</v>
      </c>
      <c r="S95" s="118">
        <f t="shared" ca="1" si="25"/>
        <v>621768</v>
      </c>
      <c r="T95" s="118">
        <f ca="1">고급</f>
        <v>310884</v>
      </c>
      <c r="U95" s="118">
        <f t="shared" ca="1" si="26"/>
        <v>621768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4</v>
      </c>
      <c r="Q96" s="144" t="s">
        <v>29</v>
      </c>
      <c r="R96" s="118">
        <f t="shared" ca="1" si="25"/>
        <v>295138</v>
      </c>
      <c r="S96" s="118">
        <f t="shared" ca="1" si="25"/>
        <v>1180552</v>
      </c>
      <c r="T96" s="118">
        <f ca="1">중급</f>
        <v>295138</v>
      </c>
      <c r="U96" s="118">
        <f t="shared" ca="1" si="26"/>
        <v>1180552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4</v>
      </c>
      <c r="Q97" s="144" t="s">
        <v>29</v>
      </c>
      <c r="R97" s="118">
        <f t="shared" ca="1" si="25"/>
        <v>235459</v>
      </c>
      <c r="S97" s="118">
        <f t="shared" ca="1" si="25"/>
        <v>941836</v>
      </c>
      <c r="T97" s="118">
        <f ca="1">초급</f>
        <v>235459</v>
      </c>
      <c r="U97" s="118">
        <f t="shared" ca="1" si="26"/>
        <v>941836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4</v>
      </c>
      <c r="Q98" s="322" t="s">
        <v>29</v>
      </c>
      <c r="R98" s="323">
        <f t="shared" ca="1" si="25"/>
        <v>250087</v>
      </c>
      <c r="S98" s="323">
        <f t="shared" ca="1" si="25"/>
        <v>1000348</v>
      </c>
      <c r="T98" s="323">
        <f ca="1">보조원</f>
        <v>250087</v>
      </c>
      <c r="U98" s="323">
        <f t="shared" ca="1" si="26"/>
        <v>1000348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5425644</v>
      </c>
      <c r="T99" s="71"/>
      <c r="U99" s="71">
        <f ca="1">SUBTOTAL(9,U93:U98)</f>
        <v>5425644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8 호표  5.2. 주민간담회/시민계획단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8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2</v>
      </c>
      <c r="Q101" s="141" t="s">
        <v>29</v>
      </c>
      <c r="R101" s="142">
        <f t="shared" ref="R101:S106" ca="1" si="27">T101</f>
        <v>467217</v>
      </c>
      <c r="S101" s="142">
        <f t="shared" ca="1" si="27"/>
        <v>934434</v>
      </c>
      <c r="T101" s="142">
        <f ca="1">기술사</f>
        <v>467217</v>
      </c>
      <c r="U101" s="142">
        <f t="shared" ref="U101:U106" ca="1" si="28">ROUNDDOWN(P101*R101,0)</f>
        <v>934434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2</v>
      </c>
      <c r="Q102" s="144" t="s">
        <v>29</v>
      </c>
      <c r="R102" s="118">
        <f t="shared" ca="1" si="27"/>
        <v>373353</v>
      </c>
      <c r="S102" s="118">
        <f t="shared" ca="1" si="27"/>
        <v>746706</v>
      </c>
      <c r="T102" s="118">
        <f ca="1">특급</f>
        <v>373353</v>
      </c>
      <c r="U102" s="118">
        <f t="shared" ca="1" si="28"/>
        <v>746706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2</v>
      </c>
      <c r="Q103" s="144" t="s">
        <v>29</v>
      </c>
      <c r="R103" s="118">
        <f t="shared" ca="1" si="27"/>
        <v>310884</v>
      </c>
      <c r="S103" s="118">
        <f t="shared" ca="1" si="27"/>
        <v>621768</v>
      </c>
      <c r="T103" s="118">
        <f ca="1">고급</f>
        <v>310884</v>
      </c>
      <c r="U103" s="118">
        <f t="shared" ca="1" si="28"/>
        <v>621768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4</v>
      </c>
      <c r="Q104" s="144" t="s">
        <v>29</v>
      </c>
      <c r="R104" s="118">
        <f t="shared" ca="1" si="27"/>
        <v>295138</v>
      </c>
      <c r="S104" s="118">
        <f t="shared" ca="1" si="27"/>
        <v>1180552</v>
      </c>
      <c r="T104" s="118">
        <f ca="1">중급</f>
        <v>295138</v>
      </c>
      <c r="U104" s="118">
        <f t="shared" ca="1" si="28"/>
        <v>1180552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4</v>
      </c>
      <c r="Q105" s="144" t="s">
        <v>29</v>
      </c>
      <c r="R105" s="118">
        <f t="shared" ca="1" si="27"/>
        <v>235459</v>
      </c>
      <c r="S105" s="118">
        <f t="shared" ca="1" si="27"/>
        <v>941836</v>
      </c>
      <c r="T105" s="118">
        <f ca="1">초급</f>
        <v>235459</v>
      </c>
      <c r="U105" s="118">
        <f t="shared" ca="1" si="28"/>
        <v>941836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4</v>
      </c>
      <c r="Q106" s="322" t="s">
        <v>29</v>
      </c>
      <c r="R106" s="323">
        <f t="shared" ca="1" si="27"/>
        <v>250087</v>
      </c>
      <c r="S106" s="323">
        <f t="shared" ca="1" si="27"/>
        <v>1000348</v>
      </c>
      <c r="T106" s="323">
        <f ca="1">보조원</f>
        <v>250087</v>
      </c>
      <c r="U106" s="323">
        <f t="shared" ca="1" si="28"/>
        <v>1000348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5425644</v>
      </c>
      <c r="T107" s="71"/>
      <c r="U107" s="71">
        <f ca="1">SUBTOTAL(9,U101:U106)</f>
        <v>5425644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9 호표  5.3. 위원회심의 지원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9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2</v>
      </c>
      <c r="Q109" s="141" t="s">
        <v>29</v>
      </c>
      <c r="R109" s="142">
        <f t="shared" ref="R109:S114" ca="1" si="29">T109</f>
        <v>467217</v>
      </c>
      <c r="S109" s="142">
        <f t="shared" ca="1" si="29"/>
        <v>934434</v>
      </c>
      <c r="T109" s="142">
        <f ca="1">기술사</f>
        <v>467217</v>
      </c>
      <c r="U109" s="142">
        <f t="shared" ref="U109:U114" ca="1" si="30">ROUNDDOWN(P109*R109,0)</f>
        <v>934434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2</v>
      </c>
      <c r="Q110" s="144" t="s">
        <v>29</v>
      </c>
      <c r="R110" s="118">
        <f t="shared" ca="1" si="29"/>
        <v>373353</v>
      </c>
      <c r="S110" s="118">
        <f t="shared" ca="1" si="29"/>
        <v>746706</v>
      </c>
      <c r="T110" s="118">
        <f ca="1">특급</f>
        <v>373353</v>
      </c>
      <c r="U110" s="118">
        <f t="shared" ca="1" si="30"/>
        <v>746706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2</v>
      </c>
      <c r="Q111" s="144" t="s">
        <v>29</v>
      </c>
      <c r="R111" s="118">
        <f t="shared" ca="1" si="29"/>
        <v>310884</v>
      </c>
      <c r="S111" s="118">
        <f t="shared" ca="1" si="29"/>
        <v>621768</v>
      </c>
      <c r="T111" s="118">
        <f ca="1">고급</f>
        <v>310884</v>
      </c>
      <c r="U111" s="118">
        <f t="shared" ca="1" si="30"/>
        <v>621768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4</v>
      </c>
      <c r="Q112" s="144" t="s">
        <v>29</v>
      </c>
      <c r="R112" s="118">
        <f t="shared" ca="1" si="29"/>
        <v>295138</v>
      </c>
      <c r="S112" s="118">
        <f t="shared" ca="1" si="29"/>
        <v>1180552</v>
      </c>
      <c r="T112" s="118">
        <f ca="1">중급</f>
        <v>295138</v>
      </c>
      <c r="U112" s="118">
        <f t="shared" ca="1" si="30"/>
        <v>1180552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4</v>
      </c>
      <c r="Q113" s="144" t="s">
        <v>29</v>
      </c>
      <c r="R113" s="118">
        <f t="shared" ca="1" si="29"/>
        <v>235459</v>
      </c>
      <c r="S113" s="118">
        <f t="shared" ca="1" si="29"/>
        <v>941836</v>
      </c>
      <c r="T113" s="118">
        <f ca="1">초급</f>
        <v>235459</v>
      </c>
      <c r="U113" s="118">
        <f t="shared" ca="1" si="30"/>
        <v>941836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4</v>
      </c>
      <c r="Q114" s="322" t="s">
        <v>29</v>
      </c>
      <c r="R114" s="323">
        <f t="shared" ca="1" si="29"/>
        <v>250087</v>
      </c>
      <c r="S114" s="323">
        <f t="shared" ca="1" si="29"/>
        <v>1000348</v>
      </c>
      <c r="T114" s="323">
        <f ca="1">보조원</f>
        <v>250087</v>
      </c>
      <c r="U114" s="323">
        <f t="shared" ca="1" si="30"/>
        <v>1000348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5425644</v>
      </c>
      <c r="T115" s="71"/>
      <c r="U115" s="71">
        <f ca="1">SUBTOTAL(9,U109:U114)</f>
        <v>5425644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10 호표  5.4. 관계기관 협의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10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2</v>
      </c>
      <c r="Q117" s="141" t="s">
        <v>29</v>
      </c>
      <c r="R117" s="142">
        <f t="shared" ref="R117:S122" ca="1" si="31">T117</f>
        <v>467217</v>
      </c>
      <c r="S117" s="142">
        <f t="shared" ca="1" si="31"/>
        <v>934434</v>
      </c>
      <c r="T117" s="142">
        <f ca="1">기술사</f>
        <v>467217</v>
      </c>
      <c r="U117" s="142">
        <f t="shared" ref="U117:U122" ca="1" si="32">ROUNDDOWN(P117*R117,0)</f>
        <v>934434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2</v>
      </c>
      <c r="Q118" s="144" t="s">
        <v>29</v>
      </c>
      <c r="R118" s="118">
        <f t="shared" ca="1" si="31"/>
        <v>373353</v>
      </c>
      <c r="S118" s="118">
        <f t="shared" ca="1" si="31"/>
        <v>746706</v>
      </c>
      <c r="T118" s="118">
        <f ca="1">특급</f>
        <v>373353</v>
      </c>
      <c r="U118" s="118">
        <f t="shared" ca="1" si="32"/>
        <v>746706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2</v>
      </c>
      <c r="Q119" s="144" t="s">
        <v>29</v>
      </c>
      <c r="R119" s="118">
        <f t="shared" ca="1" si="31"/>
        <v>310884</v>
      </c>
      <c r="S119" s="118">
        <f t="shared" ca="1" si="31"/>
        <v>621768</v>
      </c>
      <c r="T119" s="118">
        <f ca="1">고급</f>
        <v>310884</v>
      </c>
      <c r="U119" s="118">
        <f t="shared" ca="1" si="32"/>
        <v>621768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4</v>
      </c>
      <c r="Q120" s="144" t="s">
        <v>29</v>
      </c>
      <c r="R120" s="118">
        <f t="shared" ca="1" si="31"/>
        <v>295138</v>
      </c>
      <c r="S120" s="118">
        <f t="shared" ca="1" si="31"/>
        <v>1180552</v>
      </c>
      <c r="T120" s="118">
        <f ca="1">중급</f>
        <v>295138</v>
      </c>
      <c r="U120" s="118">
        <f t="shared" ca="1" si="32"/>
        <v>1180552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4</v>
      </c>
      <c r="Q121" s="144" t="s">
        <v>29</v>
      </c>
      <c r="R121" s="118">
        <f t="shared" ca="1" si="31"/>
        <v>235459</v>
      </c>
      <c r="S121" s="118">
        <f t="shared" ca="1" si="31"/>
        <v>941836</v>
      </c>
      <c r="T121" s="118">
        <f ca="1">초급</f>
        <v>235459</v>
      </c>
      <c r="U121" s="118">
        <f t="shared" ca="1" si="32"/>
        <v>941836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4</v>
      </c>
      <c r="Q122" s="322" t="s">
        <v>29</v>
      </c>
      <c r="R122" s="323">
        <f t="shared" ca="1" si="31"/>
        <v>250087</v>
      </c>
      <c r="S122" s="323">
        <f t="shared" ca="1" si="31"/>
        <v>1000348</v>
      </c>
      <c r="T122" s="323">
        <f ca="1">보조원</f>
        <v>250087</v>
      </c>
      <c r="U122" s="323">
        <f t="shared" ca="1" si="32"/>
        <v>1000348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5425644</v>
      </c>
      <c r="T123" s="71"/>
      <c r="U123" s="71">
        <f ca="1">SUBTOTAL(9,U117:U122)</f>
        <v>5425644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1:26" ht="18" customHeight="1">
      <c r="K125" s="171" t="s">
        <v>14</v>
      </c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1:26" ht="18" customHeight="1">
      <c r="K126" s="171" t="s">
        <v>14</v>
      </c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1:26" ht="18" customHeight="1">
      <c r="K127" s="171" t="s">
        <v>14</v>
      </c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1:26" ht="18" customHeight="1">
      <c r="K128" s="171" t="s">
        <v>14</v>
      </c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1:29" ht="18" customHeight="1">
      <c r="K129" s="171" t="s">
        <v>14</v>
      </c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1:29" ht="18" customHeight="1">
      <c r="K130" s="171" t="s">
        <v>14</v>
      </c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1:29" ht="18" customHeight="1">
      <c r="K131" s="171" t="s">
        <v>14</v>
      </c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1:29" ht="18" customHeight="1">
      <c r="K132" s="171" t="s">
        <v>14</v>
      </c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1:29" ht="18" customHeight="1">
      <c r="K133" s="171" t="s">
        <v>14</v>
      </c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1:29" ht="18" customHeight="1">
      <c r="K134" s="171" t="s">
        <v>14</v>
      </c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</row>
    <row r="135" spans="11:29" ht="18" customHeight="1">
      <c r="K135" s="171" t="s">
        <v>14</v>
      </c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 spans="11:29" ht="18" customHeight="1">
      <c r="K136" s="171" t="s">
        <v>14</v>
      </c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</row>
    <row r="137" spans="11:29" ht="18" customHeight="1">
      <c r="K137" s="171" t="s">
        <v>14</v>
      </c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71"/>
      <c r="O151" s="171"/>
      <c r="P151" s="171"/>
      <c r="Q151" s="171"/>
      <c r="R151" s="171"/>
      <c r="S151" s="171"/>
      <c r="T151" s="171"/>
      <c r="U151" s="171"/>
      <c r="V151" s="171"/>
      <c r="W151" s="171"/>
      <c r="X151" s="171"/>
      <c r="Y151" s="171"/>
      <c r="Z151" s="171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AB163" s="171"/>
      <c r="AC163" s="171"/>
    </row>
    <row r="164" spans="11:29" ht="18" customHeight="1">
      <c r="K164" s="171" t="s">
        <v>14</v>
      </c>
      <c r="L164" s="171"/>
      <c r="M164" s="171"/>
      <c r="AB164" s="171"/>
      <c r="AC164" s="171"/>
    </row>
    <row r="165" spans="11:29" ht="18" customHeight="1">
      <c r="K165" s="171" t="s">
        <v>14</v>
      </c>
      <c r="L165" s="171"/>
      <c r="M165" s="171"/>
    </row>
    <row r="166" spans="11:29" ht="18" customHeight="1">
      <c r="K166" s="171" t="s">
        <v>14</v>
      </c>
      <c r="L166" s="171"/>
      <c r="M166" s="171"/>
    </row>
    <row r="167" spans="11:29" ht="18" customHeight="1">
      <c r="K167" s="171" t="s">
        <v>14</v>
      </c>
      <c r="L167" s="171"/>
      <c r="M167" s="171"/>
    </row>
    <row r="168" spans="11:29" ht="18" customHeight="1">
      <c r="K168" s="171" t="s">
        <v>14</v>
      </c>
      <c r="L168" s="171"/>
      <c r="M168" s="171"/>
    </row>
    <row r="169" spans="11:29" ht="18" customHeight="1">
      <c r="K169" s="171" t="s">
        <v>14</v>
      </c>
      <c r="L169" s="171"/>
      <c r="M169" s="171"/>
    </row>
    <row r="170" spans="11:29" ht="18" customHeight="1">
      <c r="K170" s="171" t="s">
        <v>14</v>
      </c>
      <c r="L170" s="171"/>
      <c r="M170" s="171"/>
    </row>
    <row r="171" spans="11:29" ht="18" customHeight="1">
      <c r="K171" s="171" t="s">
        <v>14</v>
      </c>
      <c r="L171" s="171"/>
      <c r="M171" s="171"/>
    </row>
    <row r="172" spans="11:29" ht="18" customHeight="1">
      <c r="K172" s="171" t="s">
        <v>14</v>
      </c>
      <c r="L172" s="171"/>
      <c r="M172" s="171"/>
    </row>
    <row r="173" spans="11:29" ht="18" customHeight="1">
      <c r="K173" s="171" t="s">
        <v>14</v>
      </c>
      <c r="L173" s="171"/>
      <c r="M173" s="171"/>
    </row>
    <row r="174" spans="11:29" ht="18" customHeight="1">
      <c r="K174" s="171" t="s">
        <v>14</v>
      </c>
      <c r="L174" s="171"/>
      <c r="M174" s="171"/>
    </row>
    <row r="175" spans="11:29" ht="18" customHeight="1">
      <c r="K175" s="171" t="s">
        <v>14</v>
      </c>
      <c r="L175" s="171"/>
      <c r="M175" s="171"/>
    </row>
    <row r="176" spans="11:29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</row>
    <row r="756" spans="12:13" ht="18" customHeight="1">
      <c r="L756" s="171"/>
    </row>
    <row r="757" spans="12:13" ht="18" customHeight="1">
      <c r="L757" s="171"/>
    </row>
    <row r="758" spans="12:13" ht="18" customHeight="1">
      <c r="L758" s="171"/>
    </row>
    <row r="759" spans="12:13" ht="18" customHeight="1">
      <c r="L759" s="171"/>
    </row>
    <row r="760" spans="12:13" ht="18" customHeight="1">
      <c r="L760" s="171"/>
    </row>
    <row r="761" spans="12:13" ht="18" customHeight="1">
      <c r="L761" s="171"/>
    </row>
  </sheetData>
  <mergeCells count="18">
    <mergeCell ref="B14:C15"/>
    <mergeCell ref="J14:J15"/>
    <mergeCell ref="L14:L15"/>
    <mergeCell ref="N42:N43"/>
    <mergeCell ref="B3:C3"/>
    <mergeCell ref="D3:E3"/>
    <mergeCell ref="B4:C4"/>
    <mergeCell ref="D4:E4"/>
    <mergeCell ref="B5:C5"/>
    <mergeCell ref="D5:E5"/>
    <mergeCell ref="G3:H3"/>
    <mergeCell ref="G4:H4"/>
    <mergeCell ref="G5:H5"/>
    <mergeCell ref="Z42:Z43"/>
    <mergeCell ref="J42:J46"/>
    <mergeCell ref="O42:O43"/>
    <mergeCell ref="P42:P43"/>
    <mergeCell ref="Q42:Q43"/>
  </mergeCells>
  <phoneticPr fontId="14" type="noConversion"/>
  <conditionalFormatting sqref="V16:V31">
    <cfRule type="cellIs" dxfId="1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6" min="13" max="28" man="1"/>
    <brk id="63" min="13" max="28" man="1"/>
    <brk id="84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84356" r:id="rId4" name="Option Button 4">
              <controlPr defaultSize="0" autoFill="0" autoLine="0" autoPict="0">
                <anchor moveWithCells="1">
                  <from>
                    <xdr:col>3</xdr:col>
                    <xdr:colOff>219075</xdr:colOff>
                    <xdr:row>0</xdr:row>
                    <xdr:rowOff>0</xdr:rowOff>
                  </from>
                  <to>
                    <xdr:col>5</xdr:col>
                    <xdr:colOff>247650</xdr:colOff>
                    <xdr:row>1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84357" r:id="rId5" name="Option Button 5">
              <controlPr defaultSize="0" autoFill="0" autoLine="0" autoPict="0">
                <anchor moveWithCells="1">
                  <from>
                    <xdr:col>3</xdr:col>
                    <xdr:colOff>219075</xdr:colOff>
                    <xdr:row>0</xdr:row>
                    <xdr:rowOff>257175</xdr:rowOff>
                  </from>
                  <to>
                    <xdr:col>5</xdr:col>
                    <xdr:colOff>257175</xdr:colOff>
                    <xdr:row>1</xdr:row>
                    <xdr:rowOff>295275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 codeName="Sheet20">
    <tabColor theme="5" tint="0.39997558519241921"/>
    <pageSetUpPr fitToPage="1"/>
  </sheetPr>
  <dimension ref="A1:AC750"/>
  <sheetViews>
    <sheetView showGridLines="0" zoomScale="85" zoomScaleNormal="85" zoomScaleSheetLayoutView="75" workbookViewId="0">
      <selection activeCell="N20" sqref="N20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2745</v>
      </c>
    </row>
    <row r="2" spans="1:26" ht="19.5" thickBot="1">
      <c r="B2" s="66" t="s">
        <v>1</v>
      </c>
    </row>
    <row r="3" spans="1:26" ht="18" customHeight="1">
      <c r="B3" s="773" t="s">
        <v>376</v>
      </c>
      <c r="C3" s="774"/>
      <c r="D3" s="775">
        <v>1</v>
      </c>
      <c r="E3" s="776"/>
      <c r="F3" s="44" t="str">
        <f>CHOOSE(G3,"만㎡","㎞")</f>
        <v>만㎡</v>
      </c>
      <c r="G3" s="391">
        <v>1</v>
      </c>
    </row>
    <row r="4" spans="1:26" ht="18" customHeight="1">
      <c r="B4" s="777" t="s">
        <v>377</v>
      </c>
      <c r="C4" s="778"/>
      <c r="D4" s="779">
        <v>3.34</v>
      </c>
      <c r="E4" s="780"/>
      <c r="F4" s="65" t="str">
        <f>F3</f>
        <v>만㎡</v>
      </c>
    </row>
    <row r="5" spans="1:26" ht="18" customHeight="1" thickBot="1">
      <c r="B5" s="781" t="s">
        <v>262</v>
      </c>
      <c r="C5" s="782"/>
      <c r="D5" s="783">
        <f>ROUND((IF(D4&gt;=10,10,D4)/D3)^0.6,3)</f>
        <v>2.0619999999999998</v>
      </c>
      <c r="E5" s="784"/>
      <c r="F5" s="45"/>
      <c r="G5" s="36"/>
    </row>
    <row r="6" spans="1:26" ht="18" customHeight="1">
      <c r="A6" s="358"/>
      <c r="B6" s="9" t="s">
        <v>2748</v>
      </c>
      <c r="C6" s="36"/>
      <c r="D6" s="36"/>
      <c r="E6" s="36"/>
      <c r="F6" s="36"/>
      <c r="G6" s="36"/>
    </row>
    <row r="7" spans="1:26" ht="18" customHeight="1">
      <c r="B7" s="9" t="s">
        <v>2749</v>
      </c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SUBTOTAL(9,W11:W25)</f>
        <v>75138673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SUBTOTAL(9,W12:W22)</f>
        <v>30736556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SUBTOTAL(9,W13:W18)</f>
        <v>24736556</v>
      </c>
      <c r="X12" s="160"/>
      <c r="Y12" s="168"/>
      <c r="Z12" s="168"/>
    </row>
    <row r="13" spans="1:26" ht="18" customHeight="1">
      <c r="B13" s="222" t="s">
        <v>2750</v>
      </c>
      <c r="C13" s="47"/>
      <c r="D13" s="48">
        <f t="shared" ref="D13:I13" si="0">SUBTOTAL(9,D14:D18)</f>
        <v>4.7</v>
      </c>
      <c r="E13" s="49">
        <f t="shared" si="0"/>
        <v>5.2</v>
      </c>
      <c r="F13" s="49">
        <f t="shared" si="0"/>
        <v>7.1</v>
      </c>
      <c r="G13" s="49">
        <f t="shared" si="0"/>
        <v>11</v>
      </c>
      <c r="H13" s="49">
        <f t="shared" si="0"/>
        <v>15.9</v>
      </c>
      <c r="I13" s="50">
        <f t="shared" si="0"/>
        <v>17</v>
      </c>
      <c r="J13" s="74"/>
      <c r="L13" s="233"/>
      <c r="N13" s="292" t="str">
        <f t="shared" ref="N13:N18" si="1">B13</f>
        <v>1. 도시군계획시설사업 실시계획 인가</v>
      </c>
      <c r="O13" s="37"/>
      <c r="P13" s="39"/>
      <c r="Q13" s="37"/>
      <c r="R13" s="117"/>
      <c r="S13" s="37"/>
      <c r="T13" s="37"/>
      <c r="U13" s="226"/>
      <c r="V13" s="231"/>
      <c r="W13" s="195">
        <f ca="1">SUBTOTAL(9,W14:W18)</f>
        <v>24736556</v>
      </c>
      <c r="X13" s="196"/>
      <c r="Y13" s="150" t="str">
        <f t="shared" ref="Y13:Y18" si="2">IF(A20&gt;0, "제 " &amp;A20&amp; " 호표","")</f>
        <v/>
      </c>
      <c r="Z13" s="150"/>
    </row>
    <row r="14" spans="1:26" ht="18" customHeight="1">
      <c r="B14" s="223" t="s">
        <v>2751</v>
      </c>
      <c r="C14" s="23"/>
      <c r="D14" s="197">
        <v>0.4</v>
      </c>
      <c r="E14" s="198">
        <v>0.2</v>
      </c>
      <c r="F14" s="198">
        <v>0.8</v>
      </c>
      <c r="G14" s="198">
        <v>0.8</v>
      </c>
      <c r="H14" s="198">
        <v>2.6</v>
      </c>
      <c r="I14" s="199">
        <v>3.1</v>
      </c>
      <c r="J14" s="389" t="s">
        <v>1091</v>
      </c>
      <c r="L14" s="233">
        <v>1</v>
      </c>
      <c r="N14" s="296" t="str">
        <f t="shared" si="1"/>
        <v>1.1. 실시계획 승인도서 작성</v>
      </c>
      <c r="O14" s="37"/>
      <c r="P14" s="39"/>
      <c r="Q14" s="37"/>
      <c r="R14" s="117"/>
      <c r="S14" s="37"/>
      <c r="T14" s="37"/>
      <c r="U14" s="226"/>
      <c r="V14" s="231"/>
      <c r="W14" s="153">
        <f t="array" aca="1" ref="W14" ca="1">SUM((ROUNDDOWN((D21:I21)*단가,0)))</f>
        <v>4398987</v>
      </c>
      <c r="X14" s="154"/>
      <c r="Y14" s="150" t="str">
        <f t="shared" si="2"/>
        <v>제 1 호표</v>
      </c>
      <c r="Z14" s="150"/>
    </row>
    <row r="15" spans="1:26" ht="18" customHeight="1">
      <c r="B15" s="223" t="s">
        <v>2752</v>
      </c>
      <c r="C15" s="613"/>
      <c r="D15" s="197">
        <v>0.2</v>
      </c>
      <c r="E15" s="198">
        <v>0.7</v>
      </c>
      <c r="F15" s="198">
        <v>1.5</v>
      </c>
      <c r="G15" s="198">
        <v>1.3</v>
      </c>
      <c r="H15" s="198">
        <v>2.2999999999999998</v>
      </c>
      <c r="I15" s="199">
        <v>1.7</v>
      </c>
      <c r="J15" s="389" t="s">
        <v>1090</v>
      </c>
      <c r="L15" s="233">
        <v>1</v>
      </c>
      <c r="N15" s="296" t="str">
        <f t="shared" si="1"/>
        <v>1.2. 보고서작성 및 편집</v>
      </c>
      <c r="O15" s="37"/>
      <c r="P15" s="39"/>
      <c r="Q15" s="37"/>
      <c r="R15" s="117"/>
      <c r="S15" s="37"/>
      <c r="T15" s="37"/>
      <c r="U15" s="226"/>
      <c r="V15" s="231"/>
      <c r="W15" s="153">
        <f t="array" aca="1" ref="W15" ca="1">SUM((ROUNDDOWN((D22:I22)*단가,0)))</f>
        <v>4476874</v>
      </c>
      <c r="X15" s="154"/>
      <c r="Y15" s="150" t="str">
        <f t="shared" si="2"/>
        <v>제 2 호표</v>
      </c>
      <c r="Z15" s="150"/>
    </row>
    <row r="16" spans="1:26" ht="18" customHeight="1">
      <c r="B16" s="223" t="s">
        <v>2753</v>
      </c>
      <c r="C16" s="23"/>
      <c r="D16" s="197">
        <v>0.1</v>
      </c>
      <c r="E16" s="198">
        <v>0.3</v>
      </c>
      <c r="F16" s="198">
        <v>0.8</v>
      </c>
      <c r="G16" s="198">
        <v>0.9</v>
      </c>
      <c r="H16" s="198">
        <v>3</v>
      </c>
      <c r="I16" s="199">
        <v>4.2</v>
      </c>
      <c r="J16" s="389" t="s">
        <v>1090</v>
      </c>
      <c r="L16" s="233">
        <v>1</v>
      </c>
      <c r="N16" s="296" t="str">
        <f t="shared" si="1"/>
        <v>1.3. 관련도서 작성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SUM((ROUNDDOWN((D23:I23)*단가,0)))</f>
        <v>5009407</v>
      </c>
      <c r="X16" s="154"/>
      <c r="Y16" s="150" t="str">
        <f t="shared" si="2"/>
        <v>제 3 호표</v>
      </c>
      <c r="Z16" s="150"/>
    </row>
    <row r="17" spans="1:26" ht="18" customHeight="1">
      <c r="B17" s="223" t="s">
        <v>2754</v>
      </c>
      <c r="C17" s="23"/>
      <c r="D17" s="197">
        <v>2</v>
      </c>
      <c r="E17" s="198">
        <v>2</v>
      </c>
      <c r="F17" s="198">
        <v>2</v>
      </c>
      <c r="G17" s="198">
        <v>4</v>
      </c>
      <c r="H17" s="198">
        <v>4</v>
      </c>
      <c r="I17" s="199">
        <v>4</v>
      </c>
      <c r="J17" s="389" t="s">
        <v>2746</v>
      </c>
      <c r="L17" s="233">
        <v>1</v>
      </c>
      <c r="N17" s="296" t="str">
        <f t="shared" si="1"/>
        <v>1.4. 주민공람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SUM((ROUNDDOWN((D24:I24)*단가,0)))</f>
        <v>5425644</v>
      </c>
      <c r="X17" s="154"/>
      <c r="Y17" s="150" t="str">
        <f t="shared" si="2"/>
        <v>제 4 호표</v>
      </c>
      <c r="Z17" s="150"/>
    </row>
    <row r="18" spans="1:26" ht="18" customHeight="1" thickBot="1">
      <c r="B18" s="223" t="s">
        <v>2755</v>
      </c>
      <c r="C18" s="23"/>
      <c r="D18" s="197">
        <v>2</v>
      </c>
      <c r="E18" s="198">
        <v>2</v>
      </c>
      <c r="F18" s="198">
        <v>2</v>
      </c>
      <c r="G18" s="198">
        <v>4</v>
      </c>
      <c r="H18" s="198">
        <v>4</v>
      </c>
      <c r="I18" s="199">
        <v>4</v>
      </c>
      <c r="J18" s="389" t="s">
        <v>2747</v>
      </c>
      <c r="L18" s="233">
        <v>1</v>
      </c>
      <c r="N18" s="296" t="str">
        <f t="shared" si="1"/>
        <v>1.5. 관계기관 협의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SUM((ROUNDDOWN((D25:I25)*단가,0)))</f>
        <v>5425644</v>
      </c>
      <c r="X18" s="154"/>
      <c r="Y18" s="150" t="str">
        <f t="shared" si="2"/>
        <v>제 5 호표</v>
      </c>
      <c r="Z18" s="150"/>
    </row>
    <row r="19" spans="1:26" ht="18" customHeight="1" thickBot="1">
      <c r="B19" s="14" t="s">
        <v>30</v>
      </c>
      <c r="C19" s="16"/>
      <c r="D19" s="14" t="s">
        <v>12</v>
      </c>
      <c r="E19" s="15"/>
      <c r="F19" s="15"/>
      <c r="G19" s="15"/>
      <c r="H19" s="15"/>
      <c r="I19" s="16"/>
      <c r="J19" s="175" t="s">
        <v>31</v>
      </c>
      <c r="N19" s="290" t="s">
        <v>2769</v>
      </c>
      <c r="O19" s="129"/>
      <c r="P19" s="130"/>
      <c r="Q19" s="124"/>
      <c r="R19" s="131"/>
      <c r="S19" s="124"/>
      <c r="T19" s="124"/>
      <c r="U19" s="181"/>
      <c r="V19" s="181"/>
      <c r="W19" s="159">
        <f>SUBTOTAL(9,W20:W22)</f>
        <v>6000000</v>
      </c>
      <c r="X19" s="160"/>
      <c r="Y19" s="124"/>
      <c r="Z19" s="124"/>
    </row>
    <row r="20" spans="1:26" ht="18" customHeight="1">
      <c r="B20" s="222" t="str">
        <f t="shared" ref="B20:B25" si="3">B13</f>
        <v>1. 도시군계획시설사업 실시계획 인가</v>
      </c>
      <c r="C20" s="47"/>
      <c r="D20" s="48">
        <f t="shared" ref="D20:I20" si="4">SUBTOTAL(9,D21:D25)</f>
        <v>5.4420000000000002</v>
      </c>
      <c r="E20" s="49">
        <f t="shared" si="4"/>
        <v>6.4729999999999999</v>
      </c>
      <c r="F20" s="49">
        <f t="shared" si="4"/>
        <v>10.391</v>
      </c>
      <c r="G20" s="49">
        <f t="shared" si="4"/>
        <v>14.184000000000001</v>
      </c>
      <c r="H20" s="49">
        <f t="shared" si="4"/>
        <v>24.289000000000001</v>
      </c>
      <c r="I20" s="50">
        <f t="shared" si="4"/>
        <v>26.557000000000002</v>
      </c>
      <c r="J20" s="74"/>
      <c r="N20" s="291" t="str">
        <f>"여비("&amp;TEXT(T20,"#인 ×")&amp;TEXT(U20,"#일 ×")&amp;TEXT(V20,"###,###원)")</f>
        <v>여비(3인 ×10일 ×100,000원)</v>
      </c>
      <c r="O20" s="78"/>
      <c r="P20" s="52"/>
      <c r="Q20" s="51"/>
      <c r="T20" s="146">
        <v>3</v>
      </c>
      <c r="U20" s="146">
        <v>10</v>
      </c>
      <c r="V20" s="147">
        <v>100000</v>
      </c>
      <c r="W20" s="161">
        <f>T20*U20*V20</f>
        <v>3000000</v>
      </c>
      <c r="X20" s="162"/>
      <c r="Y20" s="51"/>
      <c r="Z20" s="51"/>
    </row>
    <row r="21" spans="1:26" ht="18" customHeight="1">
      <c r="A21" s="326">
        <v>1</v>
      </c>
      <c r="B21" s="223" t="str">
        <f t="shared" si="3"/>
        <v>1.1. 실시계획 승인도서 작성</v>
      </c>
      <c r="C21" s="23"/>
      <c r="D21" s="197">
        <f t="array" ref="D21:I23">ROUNDDOWN(D14:I16*L14:L16*D5,3)</f>
        <v>0.82399999999999995</v>
      </c>
      <c r="E21" s="198">
        <v>0.41199999999999998</v>
      </c>
      <c r="F21" s="198">
        <v>1.649</v>
      </c>
      <c r="G21" s="198">
        <v>1.649</v>
      </c>
      <c r="H21" s="198">
        <v>5.3609999999999998</v>
      </c>
      <c r="I21" s="199">
        <v>6.3920000000000003</v>
      </c>
      <c r="J21" s="389"/>
      <c r="N21" s="292" t="s">
        <v>46</v>
      </c>
      <c r="O21" s="79"/>
      <c r="P21" s="39"/>
      <c r="Q21" s="37"/>
      <c r="R21" s="117"/>
      <c r="S21" s="37"/>
      <c r="T21" s="37"/>
      <c r="U21" s="180"/>
      <c r="V21" s="180"/>
      <c r="W21" s="157">
        <v>2000000</v>
      </c>
      <c r="X21" s="158"/>
      <c r="Y21" s="37"/>
      <c r="Z21" s="37"/>
    </row>
    <row r="22" spans="1:26" ht="18" customHeight="1">
      <c r="A22" s="326">
        <v>2</v>
      </c>
      <c r="B22" s="223" t="str">
        <f t="shared" si="3"/>
        <v>1.2. 보고서작성 및 편집</v>
      </c>
      <c r="C22" s="613"/>
      <c r="D22" s="197">
        <v>0.41199999999999998</v>
      </c>
      <c r="E22" s="198">
        <v>1.4430000000000001</v>
      </c>
      <c r="F22" s="198">
        <v>3.093</v>
      </c>
      <c r="G22" s="198">
        <v>2.68</v>
      </c>
      <c r="H22" s="198">
        <v>4.742</v>
      </c>
      <c r="I22" s="199">
        <v>3.5049999999999999</v>
      </c>
      <c r="J22" s="389"/>
      <c r="N22" s="293" t="s">
        <v>13</v>
      </c>
      <c r="O22" s="132"/>
      <c r="P22" s="38"/>
      <c r="Q22" s="38"/>
      <c r="R22" s="116"/>
      <c r="S22" s="38"/>
      <c r="T22" s="38"/>
      <c r="U22" s="183"/>
      <c r="V22" s="183"/>
      <c r="W22" s="155">
        <v>1000000</v>
      </c>
      <c r="X22" s="156"/>
      <c r="Y22" s="38"/>
      <c r="Z22" s="38"/>
    </row>
    <row r="23" spans="1:26" ht="18" customHeight="1">
      <c r="A23" s="326">
        <v>3</v>
      </c>
      <c r="B23" s="223" t="str">
        <f t="shared" si="3"/>
        <v>1.3. 관련도서 작성</v>
      </c>
      <c r="C23" s="23"/>
      <c r="D23" s="197">
        <v>0.20599999999999999</v>
      </c>
      <c r="E23" s="198">
        <v>0.61799999999999999</v>
      </c>
      <c r="F23" s="198">
        <v>1.649</v>
      </c>
      <c r="G23" s="198">
        <v>1.855</v>
      </c>
      <c r="H23" s="198">
        <v>6.1859999999999999</v>
      </c>
      <c r="I23" s="199">
        <v>8.66</v>
      </c>
      <c r="J23" s="389"/>
      <c r="N23" s="127" t="s">
        <v>47</v>
      </c>
      <c r="O23" s="123"/>
      <c r="P23" s="123"/>
      <c r="Q23" s="123"/>
      <c r="R23" s="123"/>
      <c r="S23" s="123"/>
      <c r="T23" s="123"/>
      <c r="U23" s="184"/>
      <c r="V23" s="184"/>
      <c r="W23" s="163">
        <f ca="1">SUBTOTAL(9,W24:W25)</f>
        <v>44402117</v>
      </c>
      <c r="X23" s="164"/>
      <c r="Y23" s="123"/>
      <c r="Z23" s="123"/>
    </row>
    <row r="24" spans="1:26" ht="18" customHeight="1">
      <c r="A24" s="326">
        <v>4</v>
      </c>
      <c r="B24" s="223" t="str">
        <f t="shared" si="3"/>
        <v>1.4. 주민공람</v>
      </c>
      <c r="C24" s="23"/>
      <c r="D24" s="197">
        <f t="array" ref="D24:I25">ROUNDDOWN(D17:I18*L17:L18,3)</f>
        <v>2</v>
      </c>
      <c r="E24" s="198">
        <v>2</v>
      </c>
      <c r="F24" s="198">
        <v>2</v>
      </c>
      <c r="G24" s="198">
        <v>4</v>
      </c>
      <c r="H24" s="198">
        <v>4</v>
      </c>
      <c r="I24" s="199">
        <v>4</v>
      </c>
      <c r="J24" s="389"/>
      <c r="N24" s="133" t="s">
        <v>861</v>
      </c>
      <c r="O24" s="124"/>
      <c r="P24" s="134"/>
      <c r="Q24" s="124"/>
      <c r="R24" s="131"/>
      <c r="S24" s="124"/>
      <c r="T24" s="181"/>
      <c r="U24" s="181"/>
      <c r="V24" s="190">
        <v>1.1499999999999999</v>
      </c>
      <c r="W24" s="159">
        <f ca="1">ROUNDDOWN(W12*V24,0)</f>
        <v>28447039</v>
      </c>
      <c r="X24" s="160"/>
      <c r="Y24" s="124"/>
      <c r="Z24" s="124"/>
    </row>
    <row r="25" spans="1:26" ht="18" customHeight="1" thickBot="1">
      <c r="A25" s="326">
        <v>5</v>
      </c>
      <c r="B25" s="388" t="str">
        <f t="shared" si="3"/>
        <v>1.5. 관계기관 협의</v>
      </c>
      <c r="C25" s="342"/>
      <c r="D25" s="343">
        <v>2</v>
      </c>
      <c r="E25" s="344">
        <v>2</v>
      </c>
      <c r="F25" s="344">
        <v>2</v>
      </c>
      <c r="G25" s="344">
        <v>4</v>
      </c>
      <c r="H25" s="344">
        <v>4</v>
      </c>
      <c r="I25" s="345">
        <v>4</v>
      </c>
      <c r="J25" s="612"/>
      <c r="M25" s="171"/>
      <c r="N25" s="135" t="s">
        <v>862</v>
      </c>
      <c r="O25" s="136"/>
      <c r="P25" s="137"/>
      <c r="Q25" s="136"/>
      <c r="R25" s="138"/>
      <c r="S25" s="136"/>
      <c r="T25" s="185"/>
      <c r="U25" s="185"/>
      <c r="V25" s="191">
        <v>0.3</v>
      </c>
      <c r="W25" s="165">
        <f ca="1">ROUNDDOWN((W12+W24)*V25,0)</f>
        <v>15955078</v>
      </c>
      <c r="X25" s="166"/>
      <c r="Y25" s="136"/>
      <c r="Z25" s="136"/>
    </row>
    <row r="26" spans="1:26" ht="18" customHeight="1">
      <c r="B26" s="80" t="s">
        <v>15</v>
      </c>
      <c r="C26" s="9" t="s">
        <v>2756</v>
      </c>
      <c r="M26" s="171"/>
    </row>
    <row r="27" spans="1:26" ht="18" customHeight="1">
      <c r="C27" s="1" t="s">
        <v>2757</v>
      </c>
      <c r="M27" s="171"/>
    </row>
    <row r="28" spans="1:26" ht="18" customHeight="1" thickBot="1">
      <c r="C28" s="9" t="s">
        <v>2758</v>
      </c>
      <c r="M28" s="171"/>
      <c r="N28" s="66" t="s">
        <v>18</v>
      </c>
      <c r="O28" s="2"/>
      <c r="P28" s="2"/>
      <c r="Q28" s="2"/>
      <c r="R28" s="3"/>
      <c r="S28" s="4"/>
      <c r="T28" s="3"/>
      <c r="U28" s="4"/>
      <c r="V28" s="3"/>
      <c r="W28" s="4"/>
      <c r="X28" s="3"/>
      <c r="Y28" s="4"/>
      <c r="Z28" s="2"/>
    </row>
    <row r="29" spans="1:26" ht="18" customHeight="1">
      <c r="C29" s="1" t="s">
        <v>2759</v>
      </c>
      <c r="M29" s="171"/>
      <c r="N29" s="765" t="s">
        <v>19</v>
      </c>
      <c r="O29" s="755" t="s">
        <v>20</v>
      </c>
      <c r="P29" s="755" t="s">
        <v>21</v>
      </c>
      <c r="Q29" s="755" t="s">
        <v>16</v>
      </c>
      <c r="R29" s="5" t="s">
        <v>22</v>
      </c>
      <c r="S29" s="5"/>
      <c r="T29" s="5" t="s">
        <v>23</v>
      </c>
      <c r="U29" s="5"/>
      <c r="V29" s="5" t="s">
        <v>24</v>
      </c>
      <c r="W29" s="5"/>
      <c r="X29" s="5" t="s">
        <v>25</v>
      </c>
      <c r="Y29" s="5"/>
      <c r="Z29" s="755" t="s">
        <v>26</v>
      </c>
    </row>
    <row r="30" spans="1:26" ht="18" customHeight="1" thickBot="1">
      <c r="C30" s="9" t="s">
        <v>2760</v>
      </c>
      <c r="M30" s="171"/>
      <c r="N30" s="766"/>
      <c r="O30" s="756"/>
      <c r="P30" s="756"/>
      <c r="Q30" s="756"/>
      <c r="R30" s="67" t="s">
        <v>27</v>
      </c>
      <c r="S30" s="67" t="s">
        <v>28</v>
      </c>
      <c r="T30" s="67" t="s">
        <v>27</v>
      </c>
      <c r="U30" s="67" t="s">
        <v>28</v>
      </c>
      <c r="V30" s="67" t="s">
        <v>27</v>
      </c>
      <c r="W30" s="67" t="s">
        <v>28</v>
      </c>
      <c r="X30" s="67" t="s">
        <v>27</v>
      </c>
      <c r="Y30" s="67" t="s">
        <v>28</v>
      </c>
      <c r="Z30" s="756"/>
    </row>
    <row r="31" spans="1:26" ht="18" customHeight="1" thickTop="1">
      <c r="C31" s="1" t="s">
        <v>2761</v>
      </c>
      <c r="M31" s="171"/>
      <c r="N31" s="318" t="str">
        <f ca="1">"제 " &amp; Z31 &amp; " 호표  "&amp; OFFSET($A$1,MATCH(Z31,$A:$A,0)-1,1)</f>
        <v>제 1 호표  1.1. 실시계획 승인도서 작성</v>
      </c>
      <c r="O31" s="221"/>
      <c r="P31" s="148"/>
      <c r="Q31" s="148"/>
      <c r="R31" s="149"/>
      <c r="S31" s="149"/>
      <c r="T31" s="149"/>
      <c r="U31" s="149"/>
      <c r="V31" s="149"/>
      <c r="W31" s="149"/>
      <c r="X31" s="149"/>
      <c r="Y31" s="149"/>
      <c r="Z31" s="325">
        <v>1</v>
      </c>
    </row>
    <row r="32" spans="1:26" ht="18" customHeight="1">
      <c r="C32" s="9" t="s">
        <v>2762</v>
      </c>
      <c r="M32" s="171"/>
      <c r="N32" s="140" t="s">
        <v>43</v>
      </c>
      <c r="O32" s="172">
        <v>3</v>
      </c>
      <c r="P32" s="219">
        <f ca="1">OFFSET($A$1,MATCH(Z31,$A:$A,0)-1,O32)</f>
        <v>0.82399999999999995</v>
      </c>
      <c r="Q32" s="141" t="s">
        <v>29</v>
      </c>
      <c r="R32" s="142">
        <f t="shared" ref="R32:S37" ca="1" si="5">T32</f>
        <v>467217</v>
      </c>
      <c r="S32" s="142">
        <f t="shared" ca="1" si="5"/>
        <v>384986</v>
      </c>
      <c r="T32" s="142">
        <f ca="1">기술사</f>
        <v>467217</v>
      </c>
      <c r="U32" s="142">
        <f t="shared" ref="U32:U37" ca="1" si="6">ROUNDDOWN(P32*R32,0)</f>
        <v>384986</v>
      </c>
      <c r="V32" s="142"/>
      <c r="W32" s="142"/>
      <c r="X32" s="142"/>
      <c r="Y32" s="142"/>
      <c r="Z32" s="114"/>
    </row>
    <row r="33" spans="3:26" ht="18" customHeight="1">
      <c r="M33" s="171"/>
      <c r="N33" s="143" t="s">
        <v>32</v>
      </c>
      <c r="O33" s="173">
        <v>4</v>
      </c>
      <c r="P33" s="234">
        <f ca="1">OFFSET($A$1,MATCH(Z31,$A:$A,0)-1,O33)</f>
        <v>0.41199999999999998</v>
      </c>
      <c r="Q33" s="144" t="s">
        <v>29</v>
      </c>
      <c r="R33" s="118">
        <f t="shared" ca="1" si="5"/>
        <v>373353</v>
      </c>
      <c r="S33" s="118">
        <f t="shared" ca="1" si="5"/>
        <v>153821</v>
      </c>
      <c r="T33" s="118">
        <f ca="1">특급</f>
        <v>373353</v>
      </c>
      <c r="U33" s="118">
        <f t="shared" ca="1" si="6"/>
        <v>153821</v>
      </c>
      <c r="V33" s="118"/>
      <c r="W33" s="118"/>
      <c r="X33" s="118"/>
      <c r="Y33" s="118"/>
      <c r="Z33" s="115"/>
    </row>
    <row r="34" spans="3:26" ht="18" customHeight="1">
      <c r="M34" s="171"/>
      <c r="N34" s="145" t="s">
        <v>39</v>
      </c>
      <c r="O34" s="173">
        <v>5</v>
      </c>
      <c r="P34" s="234">
        <f ca="1">OFFSET($A$1,MATCH(Z31,$A:$A,0)-1,O34)</f>
        <v>1.649</v>
      </c>
      <c r="Q34" s="144" t="s">
        <v>29</v>
      </c>
      <c r="R34" s="118">
        <f t="shared" ca="1" si="5"/>
        <v>310884</v>
      </c>
      <c r="S34" s="118">
        <f t="shared" ca="1" si="5"/>
        <v>512647</v>
      </c>
      <c r="T34" s="118">
        <f ca="1">고급</f>
        <v>310884</v>
      </c>
      <c r="U34" s="118">
        <f t="shared" ca="1" si="6"/>
        <v>512647</v>
      </c>
      <c r="V34" s="118"/>
      <c r="W34" s="118"/>
      <c r="X34" s="118"/>
      <c r="Y34" s="118"/>
      <c r="Z34" s="115"/>
    </row>
    <row r="35" spans="3:26" ht="18" customHeight="1">
      <c r="M35" s="171"/>
      <c r="N35" s="145" t="s">
        <v>40</v>
      </c>
      <c r="O35" s="173">
        <v>6</v>
      </c>
      <c r="P35" s="234">
        <f ca="1">OFFSET($A$1,MATCH(Z31,$A:$A,0)-1,O35)</f>
        <v>1.649</v>
      </c>
      <c r="Q35" s="144" t="s">
        <v>29</v>
      </c>
      <c r="R35" s="118">
        <f t="shared" ca="1" si="5"/>
        <v>295138</v>
      </c>
      <c r="S35" s="118">
        <f t="shared" ca="1" si="5"/>
        <v>486682</v>
      </c>
      <c r="T35" s="118">
        <f ca="1">중급</f>
        <v>295138</v>
      </c>
      <c r="U35" s="118">
        <f t="shared" ca="1" si="6"/>
        <v>486682</v>
      </c>
      <c r="V35" s="118"/>
      <c r="W35" s="118"/>
      <c r="X35" s="118"/>
      <c r="Y35" s="118"/>
      <c r="Z35" s="115"/>
    </row>
    <row r="36" spans="3:26" ht="18" customHeight="1">
      <c r="M36" s="171"/>
      <c r="N36" s="145" t="s">
        <v>41</v>
      </c>
      <c r="O36" s="173">
        <v>7</v>
      </c>
      <c r="P36" s="234">
        <f ca="1">OFFSET($A$1,MATCH(Z31,$A:$A,0)-1,O36)</f>
        <v>5.3609999999999998</v>
      </c>
      <c r="Q36" s="144" t="s">
        <v>29</v>
      </c>
      <c r="R36" s="118">
        <f t="shared" ca="1" si="5"/>
        <v>235459</v>
      </c>
      <c r="S36" s="118">
        <f t="shared" ca="1" si="5"/>
        <v>1262295</v>
      </c>
      <c r="T36" s="118">
        <f ca="1">초급</f>
        <v>235459</v>
      </c>
      <c r="U36" s="118">
        <f t="shared" ca="1" si="6"/>
        <v>1262295</v>
      </c>
      <c r="V36" s="118"/>
      <c r="W36" s="118"/>
      <c r="X36" s="118"/>
      <c r="Y36" s="118"/>
      <c r="Z36" s="115"/>
    </row>
    <row r="37" spans="3:26" ht="18" customHeight="1">
      <c r="M37" s="171"/>
      <c r="N37" s="319" t="s">
        <v>42</v>
      </c>
      <c r="O37" s="174">
        <v>8</v>
      </c>
      <c r="P37" s="235">
        <f ca="1">OFFSET($A$1,MATCH(Z31,$A:$A,0)-1,O37)</f>
        <v>6.3920000000000003</v>
      </c>
      <c r="Q37" s="322" t="s">
        <v>29</v>
      </c>
      <c r="R37" s="323">
        <f t="shared" ca="1" si="5"/>
        <v>250087</v>
      </c>
      <c r="S37" s="323">
        <f t="shared" ca="1" si="5"/>
        <v>1598556</v>
      </c>
      <c r="T37" s="323">
        <f ca="1">보조원</f>
        <v>250087</v>
      </c>
      <c r="U37" s="323">
        <f t="shared" ca="1" si="6"/>
        <v>1598556</v>
      </c>
      <c r="V37" s="323"/>
      <c r="W37" s="323"/>
      <c r="X37" s="323"/>
      <c r="Y37" s="323"/>
      <c r="Z37" s="324"/>
    </row>
    <row r="38" spans="3:26" ht="18" customHeight="1">
      <c r="M38" s="171"/>
      <c r="N38" s="139" t="s">
        <v>17</v>
      </c>
      <c r="O38" s="68"/>
      <c r="P38" s="69"/>
      <c r="Q38" s="70"/>
      <c r="R38" s="71"/>
      <c r="S38" s="71">
        <f ca="1">SUBTOTAL(9,S32:S37)</f>
        <v>4398987</v>
      </c>
      <c r="T38" s="71"/>
      <c r="U38" s="71">
        <f ca="1">SUBTOTAL(9,U32:U37)</f>
        <v>4398987</v>
      </c>
      <c r="V38" s="71"/>
      <c r="W38" s="71"/>
      <c r="X38" s="71"/>
      <c r="Y38" s="71"/>
      <c r="Z38" s="68"/>
    </row>
    <row r="39" spans="3:26" ht="18" customHeight="1">
      <c r="C39" s="9"/>
      <c r="L39" s="171"/>
      <c r="M39" s="171"/>
      <c r="N39" s="318" t="str">
        <f ca="1">"제 " &amp; Z39 &amp; " 호표  "&amp; OFFSET($A$1,MATCH(Z39,$A:$A,0)-1,1)</f>
        <v>제 2 호표  1.2. 보고서작성 및 편집</v>
      </c>
      <c r="O39" s="221"/>
      <c r="P39" s="148"/>
      <c r="Q39" s="148"/>
      <c r="R39" s="149"/>
      <c r="S39" s="149"/>
      <c r="T39" s="149"/>
      <c r="U39" s="149"/>
      <c r="V39" s="149"/>
      <c r="W39" s="149"/>
      <c r="X39" s="149"/>
      <c r="Y39" s="149"/>
      <c r="Z39" s="325">
        <f>Z31+1</f>
        <v>2</v>
      </c>
    </row>
    <row r="40" spans="3:26" ht="18" customHeight="1">
      <c r="C40" s="9"/>
      <c r="L40" s="171"/>
      <c r="M40" s="171"/>
      <c r="N40" s="140" t="s">
        <v>43</v>
      </c>
      <c r="O40" s="172">
        <v>3</v>
      </c>
      <c r="P40" s="219">
        <f ca="1">OFFSET($A$1,MATCH(Z39,$A:$A,0)-1,O40)</f>
        <v>0.41199999999999998</v>
      </c>
      <c r="Q40" s="141" t="s">
        <v>29</v>
      </c>
      <c r="R40" s="142">
        <f t="shared" ref="R40:S45" ca="1" si="7">T40</f>
        <v>467217</v>
      </c>
      <c r="S40" s="142">
        <f t="shared" ca="1" si="7"/>
        <v>192493</v>
      </c>
      <c r="T40" s="142">
        <f ca="1">기술사</f>
        <v>467217</v>
      </c>
      <c r="U40" s="142">
        <f t="shared" ref="U40:U45" ca="1" si="8">ROUNDDOWN(P40*R40,0)</f>
        <v>192493</v>
      </c>
      <c r="V40" s="142"/>
      <c r="W40" s="142"/>
      <c r="X40" s="142"/>
      <c r="Y40" s="142"/>
      <c r="Z40" s="114"/>
    </row>
    <row r="41" spans="3:26" ht="18" customHeight="1">
      <c r="L41" s="171"/>
      <c r="M41" s="171"/>
      <c r="N41" s="143" t="s">
        <v>32</v>
      </c>
      <c r="O41" s="173">
        <v>4</v>
      </c>
      <c r="P41" s="234">
        <f ca="1">OFFSET($A$1,MATCH(Z39,$A:$A,0)-1,O41)</f>
        <v>1.4430000000000001</v>
      </c>
      <c r="Q41" s="144" t="s">
        <v>29</v>
      </c>
      <c r="R41" s="118">
        <f t="shared" ca="1" si="7"/>
        <v>373353</v>
      </c>
      <c r="S41" s="118">
        <f t="shared" ca="1" si="7"/>
        <v>538748</v>
      </c>
      <c r="T41" s="118">
        <f ca="1">특급</f>
        <v>373353</v>
      </c>
      <c r="U41" s="118">
        <f t="shared" ca="1" si="8"/>
        <v>538748</v>
      </c>
      <c r="V41" s="118"/>
      <c r="W41" s="118"/>
      <c r="X41" s="118"/>
      <c r="Y41" s="118"/>
      <c r="Z41" s="115"/>
    </row>
    <row r="42" spans="3:26" ht="18" customHeight="1">
      <c r="L42" s="171"/>
      <c r="M42" s="171"/>
      <c r="N42" s="145" t="s">
        <v>39</v>
      </c>
      <c r="O42" s="173">
        <v>5</v>
      </c>
      <c r="P42" s="234">
        <f ca="1">OFFSET($A$1,MATCH(Z39,$A:$A,0)-1,O42)</f>
        <v>3.093</v>
      </c>
      <c r="Q42" s="144" t="s">
        <v>29</v>
      </c>
      <c r="R42" s="118">
        <f t="shared" ca="1" si="7"/>
        <v>310884</v>
      </c>
      <c r="S42" s="118">
        <f t="shared" ca="1" si="7"/>
        <v>961564</v>
      </c>
      <c r="T42" s="118">
        <f ca="1">고급</f>
        <v>310884</v>
      </c>
      <c r="U42" s="118">
        <f t="shared" ca="1" si="8"/>
        <v>961564</v>
      </c>
      <c r="V42" s="118"/>
      <c r="W42" s="118"/>
      <c r="X42" s="118"/>
      <c r="Y42" s="118"/>
      <c r="Z42" s="115"/>
    </row>
    <row r="43" spans="3:26" ht="18" customHeight="1">
      <c r="L43" s="171"/>
      <c r="M43" s="171"/>
      <c r="N43" s="145" t="s">
        <v>40</v>
      </c>
      <c r="O43" s="173">
        <v>6</v>
      </c>
      <c r="P43" s="234">
        <f ca="1">OFFSET($A$1,MATCH(Z39,$A:$A,0)-1,O43)</f>
        <v>2.68</v>
      </c>
      <c r="Q43" s="144" t="s">
        <v>29</v>
      </c>
      <c r="R43" s="118">
        <f t="shared" ca="1" si="7"/>
        <v>295138</v>
      </c>
      <c r="S43" s="118">
        <f t="shared" ca="1" si="7"/>
        <v>790969</v>
      </c>
      <c r="T43" s="118">
        <f ca="1">중급</f>
        <v>295138</v>
      </c>
      <c r="U43" s="118">
        <f t="shared" ca="1" si="8"/>
        <v>790969</v>
      </c>
      <c r="V43" s="118"/>
      <c r="W43" s="118"/>
      <c r="X43" s="118"/>
      <c r="Y43" s="118"/>
      <c r="Z43" s="115"/>
    </row>
    <row r="44" spans="3:26" ht="18" customHeight="1">
      <c r="K44" s="171" t="s">
        <v>14</v>
      </c>
      <c r="L44" s="171"/>
      <c r="M44" s="171"/>
      <c r="N44" s="145" t="s">
        <v>41</v>
      </c>
      <c r="O44" s="173">
        <v>7</v>
      </c>
      <c r="P44" s="234">
        <f ca="1">OFFSET($A$1,MATCH(Z39,$A:$A,0)-1,O44)</f>
        <v>4.742</v>
      </c>
      <c r="Q44" s="144" t="s">
        <v>29</v>
      </c>
      <c r="R44" s="118">
        <f t="shared" ca="1" si="7"/>
        <v>235459</v>
      </c>
      <c r="S44" s="118">
        <f t="shared" ca="1" si="7"/>
        <v>1116546</v>
      </c>
      <c r="T44" s="118">
        <f ca="1">초급</f>
        <v>235459</v>
      </c>
      <c r="U44" s="118">
        <f t="shared" ca="1" si="8"/>
        <v>1116546</v>
      </c>
      <c r="V44" s="118"/>
      <c r="W44" s="118"/>
      <c r="X44" s="118"/>
      <c r="Y44" s="118"/>
      <c r="Z44" s="115"/>
    </row>
    <row r="45" spans="3:26" ht="18" customHeight="1">
      <c r="K45" s="171" t="s">
        <v>14</v>
      </c>
      <c r="L45" s="171"/>
      <c r="M45" s="171"/>
      <c r="N45" s="319" t="s">
        <v>42</v>
      </c>
      <c r="O45" s="174">
        <v>8</v>
      </c>
      <c r="P45" s="235">
        <f ca="1">OFFSET($A$1,MATCH(Z39,$A:$A,0)-1,O45)</f>
        <v>3.5049999999999999</v>
      </c>
      <c r="Q45" s="322" t="s">
        <v>29</v>
      </c>
      <c r="R45" s="323">
        <f t="shared" ca="1" si="7"/>
        <v>250087</v>
      </c>
      <c r="S45" s="323">
        <f t="shared" ca="1" si="7"/>
        <v>876554</v>
      </c>
      <c r="T45" s="323">
        <f ca="1">보조원</f>
        <v>250087</v>
      </c>
      <c r="U45" s="323">
        <f t="shared" ca="1" si="8"/>
        <v>876554</v>
      </c>
      <c r="V45" s="323"/>
      <c r="W45" s="323"/>
      <c r="X45" s="323"/>
      <c r="Y45" s="323"/>
      <c r="Z45" s="324"/>
    </row>
    <row r="46" spans="3:26" ht="18" customHeight="1">
      <c r="K46" s="171" t="s">
        <v>14</v>
      </c>
      <c r="L46" s="171"/>
      <c r="M46" s="171"/>
      <c r="N46" s="139" t="s">
        <v>17</v>
      </c>
      <c r="O46" s="68"/>
      <c r="P46" s="69"/>
      <c r="Q46" s="70"/>
      <c r="R46" s="71"/>
      <c r="S46" s="71">
        <f ca="1">SUBTOTAL(9,S40:S45)</f>
        <v>4476874</v>
      </c>
      <c r="T46" s="71"/>
      <c r="U46" s="71">
        <f ca="1">SUBTOTAL(9,U40:U45)</f>
        <v>4476874</v>
      </c>
      <c r="V46" s="71"/>
      <c r="W46" s="71"/>
      <c r="X46" s="71"/>
      <c r="Y46" s="71"/>
      <c r="Z46" s="68"/>
    </row>
    <row r="47" spans="3:26" ht="18" customHeight="1">
      <c r="K47" s="171" t="s">
        <v>14</v>
      </c>
      <c r="L47" s="171"/>
      <c r="M47" s="171"/>
      <c r="N47" s="318" t="str">
        <f ca="1">"제 " &amp; Z47 &amp; " 호표  "&amp; OFFSET($A$1,MATCH(Z47,$A:$A,0)-1,1)</f>
        <v>제 3 호표  1.3. 관련도서 작성</v>
      </c>
      <c r="O47" s="221"/>
      <c r="P47" s="148"/>
      <c r="Q47" s="148"/>
      <c r="R47" s="149"/>
      <c r="S47" s="149"/>
      <c r="T47" s="149"/>
      <c r="U47" s="149"/>
      <c r="V47" s="149"/>
      <c r="W47" s="149"/>
      <c r="X47" s="149"/>
      <c r="Y47" s="149"/>
      <c r="Z47" s="325">
        <f>Z39+1</f>
        <v>3</v>
      </c>
    </row>
    <row r="48" spans="3:26" ht="18" customHeight="1">
      <c r="K48" s="171" t="s">
        <v>14</v>
      </c>
      <c r="L48" s="171"/>
      <c r="M48" s="171"/>
      <c r="N48" s="140" t="s">
        <v>43</v>
      </c>
      <c r="O48" s="172">
        <v>3</v>
      </c>
      <c r="P48" s="219">
        <f ca="1">OFFSET($A$1,MATCH(Z47,$A:$A,0)-1,O48)</f>
        <v>0.20599999999999999</v>
      </c>
      <c r="Q48" s="141" t="s">
        <v>29</v>
      </c>
      <c r="R48" s="142">
        <f t="shared" ref="R48:S53" ca="1" si="9">T48</f>
        <v>467217</v>
      </c>
      <c r="S48" s="142">
        <f t="shared" ca="1" si="9"/>
        <v>96246</v>
      </c>
      <c r="T48" s="142">
        <f ca="1">기술사</f>
        <v>467217</v>
      </c>
      <c r="U48" s="142">
        <f t="shared" ref="U48:U53" ca="1" si="10">ROUNDDOWN(P48*R48,0)</f>
        <v>96246</v>
      </c>
      <c r="V48" s="142"/>
      <c r="W48" s="142"/>
      <c r="X48" s="142"/>
      <c r="Y48" s="142"/>
      <c r="Z48" s="114"/>
    </row>
    <row r="49" spans="11:26" ht="18" customHeight="1">
      <c r="K49" s="171" t="s">
        <v>14</v>
      </c>
      <c r="L49" s="171"/>
      <c r="M49" s="171"/>
      <c r="N49" s="143" t="s">
        <v>32</v>
      </c>
      <c r="O49" s="173">
        <v>4</v>
      </c>
      <c r="P49" s="234">
        <f ca="1">OFFSET($A$1,MATCH(Z47,$A:$A,0)-1,O49)</f>
        <v>0.61799999999999999</v>
      </c>
      <c r="Q49" s="144" t="s">
        <v>29</v>
      </c>
      <c r="R49" s="118">
        <f t="shared" ca="1" si="9"/>
        <v>373353</v>
      </c>
      <c r="S49" s="118">
        <f t="shared" ca="1" si="9"/>
        <v>230732</v>
      </c>
      <c r="T49" s="118">
        <f ca="1">특급</f>
        <v>373353</v>
      </c>
      <c r="U49" s="118">
        <f t="shared" ca="1" si="10"/>
        <v>230732</v>
      </c>
      <c r="V49" s="118"/>
      <c r="W49" s="118"/>
      <c r="X49" s="118"/>
      <c r="Y49" s="118"/>
      <c r="Z49" s="115"/>
    </row>
    <row r="50" spans="11:26" ht="18" customHeight="1">
      <c r="K50" s="171" t="s">
        <v>14</v>
      </c>
      <c r="L50" s="171"/>
      <c r="M50" s="171"/>
      <c r="N50" s="145" t="s">
        <v>39</v>
      </c>
      <c r="O50" s="173">
        <v>5</v>
      </c>
      <c r="P50" s="234">
        <f ca="1">OFFSET($A$1,MATCH(Z47,$A:$A,0)-1,O50)</f>
        <v>1.649</v>
      </c>
      <c r="Q50" s="144" t="s">
        <v>29</v>
      </c>
      <c r="R50" s="118">
        <f t="shared" ca="1" si="9"/>
        <v>310884</v>
      </c>
      <c r="S50" s="118">
        <f t="shared" ca="1" si="9"/>
        <v>512647</v>
      </c>
      <c r="T50" s="118">
        <f ca="1">고급</f>
        <v>310884</v>
      </c>
      <c r="U50" s="118">
        <f t="shared" ca="1" si="10"/>
        <v>512647</v>
      </c>
      <c r="V50" s="118"/>
      <c r="W50" s="118"/>
      <c r="X50" s="118"/>
      <c r="Y50" s="118"/>
      <c r="Z50" s="115"/>
    </row>
    <row r="51" spans="11:26" ht="18" customHeight="1">
      <c r="K51" s="171" t="s">
        <v>14</v>
      </c>
      <c r="L51" s="171"/>
      <c r="M51" s="171"/>
      <c r="N51" s="145" t="s">
        <v>40</v>
      </c>
      <c r="O51" s="173">
        <v>6</v>
      </c>
      <c r="P51" s="234">
        <f ca="1">OFFSET($A$1,MATCH(Z47,$A:$A,0)-1,O51)</f>
        <v>1.855</v>
      </c>
      <c r="Q51" s="144" t="s">
        <v>29</v>
      </c>
      <c r="R51" s="118">
        <f t="shared" ca="1" si="9"/>
        <v>295138</v>
      </c>
      <c r="S51" s="118">
        <f t="shared" ca="1" si="9"/>
        <v>547480</v>
      </c>
      <c r="T51" s="118">
        <f ca="1">중급</f>
        <v>295138</v>
      </c>
      <c r="U51" s="118">
        <f t="shared" ca="1" si="10"/>
        <v>547480</v>
      </c>
      <c r="V51" s="118"/>
      <c r="W51" s="118"/>
      <c r="X51" s="118"/>
      <c r="Y51" s="118"/>
      <c r="Z51" s="115"/>
    </row>
    <row r="52" spans="11:26" ht="18" customHeight="1">
      <c r="K52" s="171" t="s">
        <v>14</v>
      </c>
      <c r="L52" s="171"/>
      <c r="M52" s="171"/>
      <c r="N52" s="145" t="s">
        <v>41</v>
      </c>
      <c r="O52" s="173">
        <v>7</v>
      </c>
      <c r="P52" s="234">
        <f ca="1">OFFSET($A$1,MATCH(Z47,$A:$A,0)-1,O52)</f>
        <v>6.1859999999999999</v>
      </c>
      <c r="Q52" s="144" t="s">
        <v>29</v>
      </c>
      <c r="R52" s="118">
        <f t="shared" ca="1" si="9"/>
        <v>235459</v>
      </c>
      <c r="S52" s="118">
        <f t="shared" ca="1" si="9"/>
        <v>1456549</v>
      </c>
      <c r="T52" s="118">
        <f ca="1">초급</f>
        <v>235459</v>
      </c>
      <c r="U52" s="118">
        <f t="shared" ca="1" si="10"/>
        <v>1456549</v>
      </c>
      <c r="V52" s="118"/>
      <c r="W52" s="118"/>
      <c r="X52" s="118"/>
      <c r="Y52" s="118"/>
      <c r="Z52" s="115"/>
    </row>
    <row r="53" spans="11:26" ht="18" customHeight="1">
      <c r="K53" s="171" t="s">
        <v>14</v>
      </c>
      <c r="L53" s="171"/>
      <c r="M53" s="171"/>
      <c r="N53" s="319" t="s">
        <v>42</v>
      </c>
      <c r="O53" s="174">
        <v>8</v>
      </c>
      <c r="P53" s="235">
        <f ca="1">OFFSET($A$1,MATCH(Z47,$A:$A,0)-1,O53)</f>
        <v>8.66</v>
      </c>
      <c r="Q53" s="322" t="s">
        <v>29</v>
      </c>
      <c r="R53" s="323">
        <f t="shared" ca="1" si="9"/>
        <v>250087</v>
      </c>
      <c r="S53" s="323">
        <f t="shared" ca="1" si="9"/>
        <v>2165753</v>
      </c>
      <c r="T53" s="323">
        <f ca="1">보조원</f>
        <v>250087</v>
      </c>
      <c r="U53" s="323">
        <f t="shared" ca="1" si="10"/>
        <v>2165753</v>
      </c>
      <c r="V53" s="323"/>
      <c r="W53" s="323"/>
      <c r="X53" s="323"/>
      <c r="Y53" s="323"/>
      <c r="Z53" s="324"/>
    </row>
    <row r="54" spans="11:26" ht="18" customHeight="1">
      <c r="K54" s="171" t="s">
        <v>14</v>
      </c>
      <c r="L54" s="171"/>
      <c r="M54" s="171"/>
      <c r="N54" s="139" t="s">
        <v>17</v>
      </c>
      <c r="O54" s="68"/>
      <c r="P54" s="69"/>
      <c r="Q54" s="70"/>
      <c r="R54" s="71"/>
      <c r="S54" s="71">
        <f ca="1">SUBTOTAL(9,S48:S53)</f>
        <v>5009407</v>
      </c>
      <c r="T54" s="71"/>
      <c r="U54" s="71">
        <f ca="1">SUBTOTAL(9,U48:U53)</f>
        <v>5009407</v>
      </c>
      <c r="V54" s="71"/>
      <c r="W54" s="71"/>
      <c r="X54" s="71"/>
      <c r="Y54" s="71"/>
      <c r="Z54" s="68"/>
    </row>
    <row r="55" spans="11:26" ht="18" customHeight="1">
      <c r="K55" s="171" t="s">
        <v>14</v>
      </c>
      <c r="L55" s="171"/>
      <c r="M55" s="171"/>
      <c r="N55" s="318" t="str">
        <f ca="1">"제 " &amp; Z55 &amp; " 호표  "&amp; OFFSET($A$1,MATCH(Z55,$A:$A,0)-1,1)</f>
        <v>제 4 호표  1.4. 주민공람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f>Z47+1</f>
        <v>4</v>
      </c>
    </row>
    <row r="56" spans="11:26" ht="18" customHeight="1">
      <c r="K56" s="171" t="s">
        <v>14</v>
      </c>
      <c r="L56" s="171"/>
      <c r="M56" s="171"/>
      <c r="N56" s="140" t="s">
        <v>43</v>
      </c>
      <c r="O56" s="172">
        <v>3</v>
      </c>
      <c r="P56" s="219">
        <f ca="1">OFFSET($A$1,MATCH(Z55,$A:$A,0)-1,O56)</f>
        <v>2</v>
      </c>
      <c r="Q56" s="141" t="s">
        <v>29</v>
      </c>
      <c r="R56" s="142">
        <f t="shared" ref="R56:S61" ca="1" si="11">T56</f>
        <v>467217</v>
      </c>
      <c r="S56" s="142">
        <f t="shared" ca="1" si="11"/>
        <v>934434</v>
      </c>
      <c r="T56" s="142">
        <f ca="1">기술사</f>
        <v>467217</v>
      </c>
      <c r="U56" s="142">
        <f t="shared" ref="U56:U61" ca="1" si="12">ROUNDDOWN(P56*R56,0)</f>
        <v>934434</v>
      </c>
      <c r="V56" s="142"/>
      <c r="W56" s="142"/>
      <c r="X56" s="142"/>
      <c r="Y56" s="142"/>
      <c r="Z56" s="114"/>
    </row>
    <row r="57" spans="11:26" ht="18" customHeight="1">
      <c r="K57" s="171" t="s">
        <v>14</v>
      </c>
      <c r="L57" s="171"/>
      <c r="M57" s="171"/>
      <c r="N57" s="143" t="s">
        <v>32</v>
      </c>
      <c r="O57" s="173">
        <v>4</v>
      </c>
      <c r="P57" s="234">
        <f ca="1">OFFSET($A$1,MATCH(Z55,$A:$A,0)-1,O57)</f>
        <v>2</v>
      </c>
      <c r="Q57" s="144" t="s">
        <v>29</v>
      </c>
      <c r="R57" s="118">
        <f t="shared" ca="1" si="11"/>
        <v>373353</v>
      </c>
      <c r="S57" s="118">
        <f t="shared" ca="1" si="11"/>
        <v>746706</v>
      </c>
      <c r="T57" s="118">
        <f ca="1">특급</f>
        <v>373353</v>
      </c>
      <c r="U57" s="118">
        <f t="shared" ca="1" si="12"/>
        <v>746706</v>
      </c>
      <c r="V57" s="118"/>
      <c r="W57" s="118"/>
      <c r="X57" s="118"/>
      <c r="Y57" s="118"/>
      <c r="Z57" s="115"/>
    </row>
    <row r="58" spans="11:26" ht="18" customHeight="1">
      <c r="K58" s="171" t="s">
        <v>14</v>
      </c>
      <c r="L58" s="171"/>
      <c r="M58" s="171"/>
      <c r="N58" s="145" t="s">
        <v>39</v>
      </c>
      <c r="O58" s="173">
        <v>5</v>
      </c>
      <c r="P58" s="234">
        <f ca="1">OFFSET($A$1,MATCH(Z55,$A:$A,0)-1,O58)</f>
        <v>2</v>
      </c>
      <c r="Q58" s="144" t="s">
        <v>29</v>
      </c>
      <c r="R58" s="118">
        <f t="shared" ca="1" si="11"/>
        <v>310884</v>
      </c>
      <c r="S58" s="118">
        <f t="shared" ca="1" si="11"/>
        <v>621768</v>
      </c>
      <c r="T58" s="118">
        <f ca="1">고급</f>
        <v>310884</v>
      </c>
      <c r="U58" s="118">
        <f t="shared" ca="1" si="12"/>
        <v>621768</v>
      </c>
      <c r="V58" s="118"/>
      <c r="W58" s="118"/>
      <c r="X58" s="118"/>
      <c r="Y58" s="118"/>
      <c r="Z58" s="115"/>
    </row>
    <row r="59" spans="11:26" ht="18" customHeight="1">
      <c r="K59" s="171" t="s">
        <v>14</v>
      </c>
      <c r="L59" s="171"/>
      <c r="M59" s="171"/>
      <c r="N59" s="145" t="s">
        <v>40</v>
      </c>
      <c r="O59" s="173">
        <v>6</v>
      </c>
      <c r="P59" s="234">
        <f ca="1">OFFSET($A$1,MATCH(Z55,$A:$A,0)-1,O59)</f>
        <v>4</v>
      </c>
      <c r="Q59" s="144" t="s">
        <v>29</v>
      </c>
      <c r="R59" s="118">
        <f t="shared" ca="1" si="11"/>
        <v>295138</v>
      </c>
      <c r="S59" s="118">
        <f t="shared" ca="1" si="11"/>
        <v>1180552</v>
      </c>
      <c r="T59" s="118">
        <f ca="1">중급</f>
        <v>295138</v>
      </c>
      <c r="U59" s="118">
        <f t="shared" ca="1" si="12"/>
        <v>1180552</v>
      </c>
      <c r="V59" s="118"/>
      <c r="W59" s="118"/>
      <c r="X59" s="118"/>
      <c r="Y59" s="118"/>
      <c r="Z59" s="115"/>
    </row>
    <row r="60" spans="11:26" ht="18" customHeight="1">
      <c r="K60" s="171" t="s">
        <v>14</v>
      </c>
      <c r="L60" s="171"/>
      <c r="M60" s="171"/>
      <c r="N60" s="145" t="s">
        <v>41</v>
      </c>
      <c r="O60" s="173">
        <v>7</v>
      </c>
      <c r="P60" s="234">
        <f ca="1">OFFSET($A$1,MATCH(Z55,$A:$A,0)-1,O60)</f>
        <v>4</v>
      </c>
      <c r="Q60" s="144" t="s">
        <v>29</v>
      </c>
      <c r="R60" s="118">
        <f t="shared" ca="1" si="11"/>
        <v>235459</v>
      </c>
      <c r="S60" s="118">
        <f t="shared" ca="1" si="11"/>
        <v>941836</v>
      </c>
      <c r="T60" s="118">
        <f ca="1">초급</f>
        <v>235459</v>
      </c>
      <c r="U60" s="118">
        <f t="shared" ca="1" si="12"/>
        <v>941836</v>
      </c>
      <c r="V60" s="118"/>
      <c r="W60" s="118"/>
      <c r="X60" s="118"/>
      <c r="Y60" s="118"/>
      <c r="Z60" s="115"/>
    </row>
    <row r="61" spans="11:26" ht="18" customHeight="1">
      <c r="K61" s="171" t="s">
        <v>14</v>
      </c>
      <c r="L61" s="171"/>
      <c r="M61" s="171"/>
      <c r="N61" s="319" t="s">
        <v>42</v>
      </c>
      <c r="O61" s="174">
        <v>8</v>
      </c>
      <c r="P61" s="235">
        <f ca="1">OFFSET($A$1,MATCH(Z55,$A:$A,0)-1,O61)</f>
        <v>4</v>
      </c>
      <c r="Q61" s="322" t="s">
        <v>29</v>
      </c>
      <c r="R61" s="323">
        <f t="shared" ca="1" si="11"/>
        <v>250087</v>
      </c>
      <c r="S61" s="323">
        <f t="shared" ca="1" si="11"/>
        <v>1000348</v>
      </c>
      <c r="T61" s="323">
        <f ca="1">보조원</f>
        <v>250087</v>
      </c>
      <c r="U61" s="323">
        <f t="shared" ca="1" si="12"/>
        <v>1000348</v>
      </c>
      <c r="V61" s="323"/>
      <c r="W61" s="323"/>
      <c r="X61" s="323"/>
      <c r="Y61" s="323"/>
      <c r="Z61" s="324"/>
    </row>
    <row r="62" spans="11:26" ht="18" customHeight="1">
      <c r="K62" s="171" t="s">
        <v>14</v>
      </c>
      <c r="L62" s="171"/>
      <c r="M62" s="171"/>
      <c r="N62" s="139" t="s">
        <v>17</v>
      </c>
      <c r="O62" s="68"/>
      <c r="P62" s="69"/>
      <c r="Q62" s="70"/>
      <c r="R62" s="71"/>
      <c r="S62" s="71">
        <f ca="1">SUBTOTAL(9,S56:S61)</f>
        <v>5425644</v>
      </c>
      <c r="T62" s="71"/>
      <c r="U62" s="71">
        <f ca="1">SUBTOTAL(9,U56:U61)</f>
        <v>5425644</v>
      </c>
      <c r="V62" s="71"/>
      <c r="W62" s="71"/>
      <c r="X62" s="71"/>
      <c r="Y62" s="71"/>
      <c r="Z62" s="68"/>
    </row>
    <row r="63" spans="11:26" ht="18" customHeight="1">
      <c r="K63" s="171" t="s">
        <v>14</v>
      </c>
      <c r="L63" s="171"/>
      <c r="M63" s="171"/>
      <c r="N63" s="318" t="str">
        <f ca="1">"제 " &amp; Z63 &amp; " 호표  "&amp; OFFSET($A$1,MATCH(Z63,$A:$A,0)-1,1)</f>
        <v>제 5 호표  1.5. 관계기관 협의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5</v>
      </c>
    </row>
    <row r="64" spans="11:26" ht="18" customHeight="1">
      <c r="K64" s="171" t="s">
        <v>14</v>
      </c>
      <c r="L64" s="171"/>
      <c r="M64" s="171"/>
      <c r="N64" s="140" t="s">
        <v>43</v>
      </c>
      <c r="O64" s="172">
        <v>3</v>
      </c>
      <c r="P64" s="219">
        <f ca="1">OFFSET($A$1,MATCH(Z63,$A:$A,0)-1,O64)</f>
        <v>2</v>
      </c>
      <c r="Q64" s="141" t="s">
        <v>29</v>
      </c>
      <c r="R64" s="142">
        <f t="shared" ref="R64:S69" ca="1" si="13">T64</f>
        <v>467217</v>
      </c>
      <c r="S64" s="142">
        <f t="shared" ca="1" si="13"/>
        <v>934434</v>
      </c>
      <c r="T64" s="142">
        <f ca="1">기술사</f>
        <v>467217</v>
      </c>
      <c r="U64" s="142">
        <f t="shared" ref="U64:U69" ca="1" si="14">ROUNDDOWN(P64*R64,0)</f>
        <v>934434</v>
      </c>
      <c r="V64" s="142"/>
      <c r="W64" s="142"/>
      <c r="X64" s="142"/>
      <c r="Y64" s="142"/>
      <c r="Z64" s="114"/>
    </row>
    <row r="65" spans="11:26" ht="18" customHeight="1">
      <c r="K65" s="171" t="s">
        <v>14</v>
      </c>
      <c r="L65" s="171"/>
      <c r="M65" s="171"/>
      <c r="N65" s="143" t="s">
        <v>32</v>
      </c>
      <c r="O65" s="173">
        <v>4</v>
      </c>
      <c r="P65" s="234">
        <f ca="1">OFFSET($A$1,MATCH(Z63,$A:$A,0)-1,O65)</f>
        <v>2</v>
      </c>
      <c r="Q65" s="144" t="s">
        <v>29</v>
      </c>
      <c r="R65" s="118">
        <f t="shared" ca="1" si="13"/>
        <v>373353</v>
      </c>
      <c r="S65" s="118">
        <f t="shared" ca="1" si="13"/>
        <v>746706</v>
      </c>
      <c r="T65" s="118">
        <f ca="1">특급</f>
        <v>373353</v>
      </c>
      <c r="U65" s="118">
        <f t="shared" ca="1" si="14"/>
        <v>746706</v>
      </c>
      <c r="V65" s="118"/>
      <c r="W65" s="118"/>
      <c r="X65" s="118"/>
      <c r="Y65" s="118"/>
      <c r="Z65" s="115"/>
    </row>
    <row r="66" spans="11:26" ht="18" customHeight="1">
      <c r="K66" s="171" t="s">
        <v>14</v>
      </c>
      <c r="L66" s="171"/>
      <c r="M66" s="171"/>
      <c r="N66" s="145" t="s">
        <v>39</v>
      </c>
      <c r="O66" s="173">
        <v>5</v>
      </c>
      <c r="P66" s="234">
        <f ca="1">OFFSET($A$1,MATCH(Z63,$A:$A,0)-1,O66)</f>
        <v>2</v>
      </c>
      <c r="Q66" s="144" t="s">
        <v>29</v>
      </c>
      <c r="R66" s="118">
        <f t="shared" ca="1" si="13"/>
        <v>310884</v>
      </c>
      <c r="S66" s="118">
        <f t="shared" ca="1" si="13"/>
        <v>621768</v>
      </c>
      <c r="T66" s="118">
        <f ca="1">고급</f>
        <v>310884</v>
      </c>
      <c r="U66" s="118">
        <f t="shared" ca="1" si="14"/>
        <v>621768</v>
      </c>
      <c r="V66" s="118"/>
      <c r="W66" s="118"/>
      <c r="X66" s="118"/>
      <c r="Y66" s="118"/>
      <c r="Z66" s="115"/>
    </row>
    <row r="67" spans="11:26" ht="18" customHeight="1">
      <c r="K67" s="171" t="s">
        <v>14</v>
      </c>
      <c r="L67" s="171"/>
      <c r="M67" s="171"/>
      <c r="N67" s="145" t="s">
        <v>40</v>
      </c>
      <c r="O67" s="173">
        <v>6</v>
      </c>
      <c r="P67" s="234">
        <f ca="1">OFFSET($A$1,MATCH(Z63,$A:$A,0)-1,O67)</f>
        <v>4</v>
      </c>
      <c r="Q67" s="144" t="s">
        <v>29</v>
      </c>
      <c r="R67" s="118">
        <f t="shared" ca="1" si="13"/>
        <v>295138</v>
      </c>
      <c r="S67" s="118">
        <f t="shared" ca="1" si="13"/>
        <v>1180552</v>
      </c>
      <c r="T67" s="118">
        <f ca="1">중급</f>
        <v>295138</v>
      </c>
      <c r="U67" s="118">
        <f t="shared" ca="1" si="14"/>
        <v>1180552</v>
      </c>
      <c r="V67" s="118"/>
      <c r="W67" s="118"/>
      <c r="X67" s="118"/>
      <c r="Y67" s="118"/>
      <c r="Z67" s="115"/>
    </row>
    <row r="68" spans="11:26" ht="18" customHeight="1">
      <c r="K68" s="171" t="s">
        <v>14</v>
      </c>
      <c r="L68" s="171"/>
      <c r="M68" s="171"/>
      <c r="N68" s="145" t="s">
        <v>41</v>
      </c>
      <c r="O68" s="173">
        <v>7</v>
      </c>
      <c r="P68" s="234">
        <f ca="1">OFFSET($A$1,MATCH(Z63,$A:$A,0)-1,O68)</f>
        <v>4</v>
      </c>
      <c r="Q68" s="144" t="s">
        <v>29</v>
      </c>
      <c r="R68" s="118">
        <f t="shared" ca="1" si="13"/>
        <v>235459</v>
      </c>
      <c r="S68" s="118">
        <f t="shared" ca="1" si="13"/>
        <v>941836</v>
      </c>
      <c r="T68" s="118">
        <f ca="1">초급</f>
        <v>235459</v>
      </c>
      <c r="U68" s="118">
        <f t="shared" ca="1" si="14"/>
        <v>941836</v>
      </c>
      <c r="V68" s="118"/>
      <c r="W68" s="118"/>
      <c r="X68" s="118"/>
      <c r="Y68" s="118"/>
      <c r="Z68" s="115"/>
    </row>
    <row r="69" spans="11:26" ht="18" customHeight="1">
      <c r="K69" s="171" t="s">
        <v>14</v>
      </c>
      <c r="L69" s="171"/>
      <c r="M69" s="171"/>
      <c r="N69" s="319" t="s">
        <v>42</v>
      </c>
      <c r="O69" s="174">
        <v>8</v>
      </c>
      <c r="P69" s="235">
        <f ca="1">OFFSET($A$1,MATCH(Z63,$A:$A,0)-1,O69)</f>
        <v>4</v>
      </c>
      <c r="Q69" s="322" t="s">
        <v>29</v>
      </c>
      <c r="R69" s="323">
        <f t="shared" ca="1" si="13"/>
        <v>250087</v>
      </c>
      <c r="S69" s="323">
        <f t="shared" ca="1" si="13"/>
        <v>1000348</v>
      </c>
      <c r="T69" s="323">
        <f ca="1">보조원</f>
        <v>250087</v>
      </c>
      <c r="U69" s="323">
        <f t="shared" ca="1" si="14"/>
        <v>1000348</v>
      </c>
      <c r="V69" s="323"/>
      <c r="W69" s="323"/>
      <c r="X69" s="323"/>
      <c r="Y69" s="323"/>
      <c r="Z69" s="324"/>
    </row>
    <row r="70" spans="11:26" ht="18" customHeight="1">
      <c r="K70" s="171" t="s">
        <v>14</v>
      </c>
      <c r="L70" s="171"/>
      <c r="M70" s="171"/>
      <c r="N70" s="139" t="s">
        <v>17</v>
      </c>
      <c r="O70" s="68"/>
      <c r="P70" s="69"/>
      <c r="Q70" s="70"/>
      <c r="R70" s="71"/>
      <c r="S70" s="71">
        <f ca="1">SUBTOTAL(9,S64:S69)</f>
        <v>5425644</v>
      </c>
      <c r="T70" s="71"/>
      <c r="U70" s="71">
        <f ca="1">SUBTOTAL(9,U64:U69)</f>
        <v>5425644</v>
      </c>
      <c r="V70" s="71"/>
      <c r="W70" s="71"/>
      <c r="X70" s="71"/>
      <c r="Y70" s="71"/>
      <c r="Z70" s="68"/>
    </row>
    <row r="71" spans="11:26" ht="18" customHeight="1">
      <c r="K71" s="171" t="s">
        <v>14</v>
      </c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1:26" ht="18" customHeight="1">
      <c r="K72" s="171" t="s">
        <v>14</v>
      </c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1:26" ht="18" customHeight="1">
      <c r="K73" s="171" t="s">
        <v>14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1:26" ht="18" customHeight="1">
      <c r="K74" s="171" t="s">
        <v>14</v>
      </c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1:26" ht="18" customHeight="1">
      <c r="K75" s="171" t="s">
        <v>14</v>
      </c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1:26" ht="18" customHeight="1">
      <c r="K76" s="171" t="s">
        <v>14</v>
      </c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1:26" ht="18" customHeight="1">
      <c r="K77" s="171" t="s">
        <v>14</v>
      </c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1:26" ht="18" customHeight="1">
      <c r="K78" s="171" t="s">
        <v>14</v>
      </c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1:26" ht="18" customHeight="1">
      <c r="K79" s="171" t="s">
        <v>14</v>
      </c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1:26" ht="18" customHeight="1">
      <c r="K80" s="171" t="s">
        <v>14</v>
      </c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1:26" ht="18" customHeight="1">
      <c r="K81" s="171" t="s">
        <v>14</v>
      </c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1:26" ht="18" customHeight="1">
      <c r="K82" s="171" t="s">
        <v>14</v>
      </c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1:26" ht="18" customHeight="1">
      <c r="K83" s="171" t="s">
        <v>14</v>
      </c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1:26" ht="18" customHeight="1">
      <c r="K84" s="171" t="s">
        <v>14</v>
      </c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1:26" ht="18" customHeight="1">
      <c r="K85" s="171" t="s">
        <v>14</v>
      </c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1:26" ht="18" customHeight="1">
      <c r="K86" s="171" t="s">
        <v>14</v>
      </c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1:26" ht="18" customHeight="1">
      <c r="K87" s="171" t="s">
        <v>14</v>
      </c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1:26" ht="18" customHeight="1">
      <c r="K88" s="171" t="s">
        <v>14</v>
      </c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1:26" ht="18" customHeight="1">
      <c r="K89" s="171" t="s">
        <v>14</v>
      </c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1:26" ht="18" customHeight="1">
      <c r="K90" s="171" t="s">
        <v>14</v>
      </c>
      <c r="L90" s="171"/>
      <c r="M90" s="171"/>
      <c r="N90" s="171"/>
      <c r="O90" s="171"/>
      <c r="P90" s="171"/>
      <c r="Q90" s="171"/>
      <c r="R90" s="171"/>
      <c r="S90" s="171"/>
      <c r="T90" s="171"/>
      <c r="U90" s="171"/>
      <c r="V90" s="171"/>
      <c r="W90" s="171"/>
      <c r="X90" s="171"/>
      <c r="Y90" s="171"/>
      <c r="Z90" s="171"/>
    </row>
    <row r="91" spans="11:26" ht="18" customHeight="1">
      <c r="K91" s="171" t="s">
        <v>14</v>
      </c>
      <c r="L91" s="171"/>
      <c r="M91" s="171"/>
      <c r="N91" s="171"/>
      <c r="O91" s="171"/>
      <c r="P91" s="171"/>
      <c r="Q91" s="171"/>
      <c r="R91" s="171"/>
      <c r="S91" s="171"/>
      <c r="T91" s="171"/>
      <c r="U91" s="171"/>
      <c r="V91" s="171"/>
      <c r="W91" s="171"/>
      <c r="X91" s="171"/>
      <c r="Y91" s="171"/>
      <c r="Z91" s="171"/>
    </row>
    <row r="92" spans="11:26" ht="18" customHeight="1">
      <c r="K92" s="171" t="s">
        <v>14</v>
      </c>
      <c r="L92" s="171"/>
      <c r="M92" s="171"/>
      <c r="N92" s="171"/>
      <c r="O92" s="171"/>
      <c r="P92" s="171"/>
      <c r="Q92" s="171"/>
      <c r="R92" s="171"/>
      <c r="S92" s="171"/>
      <c r="T92" s="171"/>
      <c r="U92" s="171"/>
      <c r="V92" s="171"/>
      <c r="W92" s="171"/>
      <c r="X92" s="171"/>
      <c r="Y92" s="171"/>
      <c r="Z92" s="171"/>
    </row>
    <row r="93" spans="11:26" ht="18" customHeight="1">
      <c r="K93" s="171" t="s">
        <v>14</v>
      </c>
      <c r="L93" s="171"/>
      <c r="M93" s="171"/>
      <c r="N93" s="171"/>
      <c r="O93" s="171"/>
      <c r="P93" s="171"/>
      <c r="Q93" s="171"/>
      <c r="R93" s="171"/>
      <c r="S93" s="171"/>
      <c r="T93" s="171"/>
      <c r="U93" s="171"/>
      <c r="V93" s="171"/>
      <c r="W93" s="171"/>
      <c r="X93" s="171"/>
      <c r="Y93" s="171"/>
      <c r="Z93" s="171"/>
    </row>
    <row r="94" spans="11:26" ht="18" customHeight="1">
      <c r="K94" s="171" t="s">
        <v>14</v>
      </c>
      <c r="L94" s="171"/>
      <c r="M94" s="171"/>
      <c r="N94" s="171"/>
      <c r="O94" s="171"/>
      <c r="P94" s="171"/>
      <c r="Q94" s="171"/>
      <c r="R94" s="171"/>
      <c r="S94" s="171"/>
      <c r="T94" s="171"/>
      <c r="U94" s="171"/>
      <c r="V94" s="171"/>
      <c r="W94" s="171"/>
      <c r="X94" s="171"/>
      <c r="Y94" s="171"/>
      <c r="Z94" s="171"/>
    </row>
    <row r="95" spans="11:26" ht="18" customHeight="1">
      <c r="K95" s="171" t="s">
        <v>14</v>
      </c>
      <c r="L95" s="171"/>
      <c r="M95" s="171"/>
      <c r="N95" s="171"/>
      <c r="O95" s="171"/>
      <c r="P95" s="171"/>
      <c r="Q95" s="171"/>
      <c r="R95" s="171"/>
      <c r="S95" s="171"/>
      <c r="T95" s="171"/>
      <c r="U95" s="171"/>
      <c r="V95" s="171"/>
      <c r="W95" s="171"/>
      <c r="X95" s="171"/>
      <c r="Y95" s="171"/>
      <c r="Z95" s="171"/>
    </row>
    <row r="96" spans="11:26" ht="18" customHeight="1">
      <c r="K96" s="171" t="s">
        <v>14</v>
      </c>
      <c r="L96" s="171"/>
      <c r="M96" s="171"/>
      <c r="N96" s="171"/>
      <c r="O96" s="171"/>
      <c r="P96" s="171"/>
      <c r="Q96" s="171"/>
      <c r="R96" s="171"/>
      <c r="S96" s="171"/>
      <c r="T96" s="171"/>
      <c r="U96" s="171"/>
      <c r="V96" s="171"/>
      <c r="W96" s="171"/>
      <c r="X96" s="171"/>
      <c r="Y96" s="171"/>
      <c r="Z96" s="171"/>
    </row>
    <row r="97" spans="11:26" ht="18" customHeight="1">
      <c r="K97" s="171" t="s">
        <v>14</v>
      </c>
      <c r="L97" s="171"/>
      <c r="M97" s="171"/>
      <c r="N97" s="171"/>
      <c r="O97" s="171"/>
      <c r="P97" s="171"/>
      <c r="Q97" s="171"/>
      <c r="R97" s="171"/>
      <c r="S97" s="171"/>
      <c r="T97" s="171"/>
      <c r="U97" s="171"/>
      <c r="V97" s="171"/>
      <c r="W97" s="171"/>
      <c r="X97" s="171"/>
      <c r="Y97" s="171"/>
      <c r="Z97" s="171"/>
    </row>
    <row r="98" spans="11:26" ht="18" customHeight="1">
      <c r="K98" s="171" t="s">
        <v>14</v>
      </c>
      <c r="L98" s="171"/>
      <c r="M98" s="171"/>
      <c r="N98" s="171"/>
      <c r="O98" s="171"/>
      <c r="P98" s="171"/>
      <c r="Q98" s="171"/>
      <c r="R98" s="171"/>
      <c r="S98" s="171"/>
      <c r="T98" s="171"/>
      <c r="U98" s="171"/>
      <c r="V98" s="171"/>
      <c r="W98" s="171"/>
      <c r="X98" s="171"/>
      <c r="Y98" s="171"/>
      <c r="Z98" s="171"/>
    </row>
    <row r="99" spans="11:26" ht="18" customHeight="1">
      <c r="K99" s="171" t="s">
        <v>14</v>
      </c>
      <c r="L99" s="171"/>
      <c r="M99" s="171"/>
    </row>
    <row r="100" spans="11:26" ht="18" customHeight="1">
      <c r="K100" s="171" t="s">
        <v>14</v>
      </c>
      <c r="L100" s="171"/>
      <c r="M100" s="171"/>
    </row>
    <row r="101" spans="11:26" ht="18" customHeight="1">
      <c r="K101" s="171" t="s">
        <v>14</v>
      </c>
      <c r="L101" s="171"/>
      <c r="M101" s="171"/>
    </row>
    <row r="102" spans="11:26" ht="18" customHeight="1">
      <c r="K102" s="171" t="s">
        <v>14</v>
      </c>
      <c r="L102" s="171"/>
      <c r="M102" s="171"/>
    </row>
    <row r="103" spans="11:26" ht="18" customHeight="1">
      <c r="K103" s="171" t="s">
        <v>14</v>
      </c>
      <c r="L103" s="171"/>
      <c r="M103" s="171"/>
    </row>
    <row r="104" spans="11:26" ht="18" customHeight="1">
      <c r="K104" s="171" t="s">
        <v>14</v>
      </c>
      <c r="L104" s="171"/>
      <c r="M104" s="171"/>
    </row>
    <row r="105" spans="11:26" ht="18" customHeight="1">
      <c r="K105" s="171" t="s">
        <v>14</v>
      </c>
      <c r="L105" s="171"/>
      <c r="M105" s="171"/>
    </row>
    <row r="106" spans="11:26" ht="18" customHeight="1">
      <c r="K106" s="171" t="s">
        <v>14</v>
      </c>
      <c r="L106" s="171"/>
      <c r="M106" s="171"/>
    </row>
    <row r="107" spans="11:26" ht="18" customHeight="1">
      <c r="K107" s="171" t="s">
        <v>14</v>
      </c>
      <c r="L107" s="171"/>
      <c r="M107" s="171"/>
    </row>
    <row r="108" spans="11:26" ht="18" customHeight="1">
      <c r="K108" s="171" t="s">
        <v>14</v>
      </c>
      <c r="L108" s="171"/>
      <c r="M108" s="171"/>
    </row>
    <row r="109" spans="11:26" ht="18" customHeight="1">
      <c r="K109" s="171" t="s">
        <v>14</v>
      </c>
      <c r="L109" s="171"/>
      <c r="M109" s="171"/>
    </row>
    <row r="110" spans="11:26" ht="18" customHeight="1">
      <c r="K110" s="171" t="s">
        <v>14</v>
      </c>
      <c r="L110" s="171"/>
      <c r="M110" s="171"/>
    </row>
    <row r="111" spans="11:26" ht="18" customHeight="1">
      <c r="K111" s="171" t="s">
        <v>14</v>
      </c>
      <c r="L111" s="171"/>
      <c r="M111" s="171"/>
    </row>
    <row r="112" spans="11:26" ht="18" customHeight="1">
      <c r="K112" s="171" t="s">
        <v>14</v>
      </c>
      <c r="L112" s="171"/>
      <c r="M112" s="171"/>
    </row>
    <row r="113" spans="11:29" ht="18" customHeight="1">
      <c r="K113" s="171" t="s">
        <v>14</v>
      </c>
      <c r="L113" s="171"/>
      <c r="M113" s="171"/>
    </row>
    <row r="114" spans="11:29" ht="18" customHeight="1">
      <c r="K114" s="171" t="s">
        <v>14</v>
      </c>
      <c r="L114" s="171"/>
      <c r="M114" s="171"/>
    </row>
    <row r="115" spans="11:29" ht="18" customHeight="1">
      <c r="K115" s="171" t="s">
        <v>14</v>
      </c>
      <c r="L115" s="171"/>
      <c r="M115" s="171"/>
    </row>
    <row r="116" spans="11:29" ht="18" customHeight="1">
      <c r="K116" s="171" t="s">
        <v>14</v>
      </c>
      <c r="L116" s="171"/>
      <c r="M116" s="171"/>
    </row>
    <row r="117" spans="11:29" ht="18" customHeight="1">
      <c r="K117" s="171" t="s">
        <v>14</v>
      </c>
      <c r="L117" s="171"/>
      <c r="M117" s="171"/>
    </row>
    <row r="118" spans="11:29" ht="18" customHeight="1">
      <c r="K118" s="171" t="s">
        <v>14</v>
      </c>
      <c r="L118" s="171"/>
      <c r="M118" s="171"/>
    </row>
    <row r="119" spans="11:29" ht="18" customHeight="1">
      <c r="K119" s="171" t="s">
        <v>14</v>
      </c>
      <c r="L119" s="171"/>
      <c r="M119" s="171"/>
      <c r="AA119" s="171"/>
    </row>
    <row r="120" spans="11:29" ht="18" customHeight="1">
      <c r="K120" s="171" t="s">
        <v>14</v>
      </c>
      <c r="L120" s="171"/>
      <c r="M120" s="171"/>
      <c r="AA120" s="171"/>
    </row>
    <row r="121" spans="11:29" ht="18" customHeight="1">
      <c r="K121" s="171" t="s">
        <v>14</v>
      </c>
      <c r="L121" s="171"/>
      <c r="M121" s="171"/>
      <c r="AA121" s="171"/>
      <c r="AB121" s="171"/>
      <c r="AC121" s="171"/>
    </row>
    <row r="122" spans="11:29" ht="18" customHeight="1">
      <c r="K122" s="171" t="s">
        <v>14</v>
      </c>
      <c r="L122" s="171"/>
      <c r="M122" s="171"/>
      <c r="AA122" s="171"/>
      <c r="AB122" s="171"/>
      <c r="AC122" s="171"/>
    </row>
    <row r="123" spans="11:29" ht="18" customHeight="1">
      <c r="K123" s="171" t="s">
        <v>14</v>
      </c>
      <c r="L123" s="171"/>
      <c r="M123" s="171"/>
      <c r="AA123" s="171"/>
      <c r="AB123" s="171"/>
      <c r="AC123" s="171"/>
    </row>
    <row r="124" spans="11:29" ht="18" customHeight="1">
      <c r="K124" s="171" t="s">
        <v>14</v>
      </c>
      <c r="L124" s="171"/>
      <c r="M124" s="171"/>
      <c r="AA124" s="171"/>
      <c r="AB124" s="171"/>
      <c r="AC124" s="171"/>
    </row>
    <row r="125" spans="11:29" ht="18" customHeight="1">
      <c r="K125" s="171" t="s">
        <v>14</v>
      </c>
      <c r="L125" s="171"/>
      <c r="M125" s="171"/>
      <c r="AA125" s="171"/>
      <c r="AB125" s="171"/>
      <c r="AC125" s="171"/>
    </row>
    <row r="126" spans="11:29" ht="18" customHeight="1">
      <c r="K126" s="171" t="s">
        <v>14</v>
      </c>
      <c r="L126" s="171"/>
      <c r="M126" s="171"/>
      <c r="AA126" s="171"/>
      <c r="AB126" s="171"/>
      <c r="AC126" s="171"/>
    </row>
    <row r="127" spans="11:29" ht="18" customHeight="1">
      <c r="K127" s="171" t="s">
        <v>14</v>
      </c>
      <c r="L127" s="171"/>
      <c r="M127" s="171"/>
      <c r="AA127" s="171"/>
      <c r="AB127" s="171"/>
      <c r="AC127" s="171"/>
    </row>
    <row r="128" spans="11:29" ht="18" customHeight="1">
      <c r="K128" s="171" t="s">
        <v>14</v>
      </c>
      <c r="L128" s="171"/>
      <c r="M128" s="171"/>
      <c r="AA128" s="171"/>
      <c r="AB128" s="171"/>
      <c r="AC128" s="171"/>
    </row>
    <row r="129" spans="11:29" ht="18" customHeight="1">
      <c r="K129" s="171" t="s">
        <v>14</v>
      </c>
      <c r="L129" s="171"/>
      <c r="M129" s="171"/>
      <c r="AA129" s="171"/>
      <c r="AB129" s="171"/>
      <c r="AC129" s="171"/>
    </row>
    <row r="130" spans="11:29" ht="18" customHeight="1">
      <c r="K130" s="171" t="s">
        <v>14</v>
      </c>
      <c r="L130" s="171"/>
      <c r="M130" s="171"/>
      <c r="AA130" s="171"/>
      <c r="AB130" s="171"/>
      <c r="AC130" s="171"/>
    </row>
    <row r="131" spans="11:29" ht="18" customHeight="1">
      <c r="K131" s="171" t="s">
        <v>14</v>
      </c>
      <c r="L131" s="171"/>
      <c r="M131" s="171"/>
      <c r="AA131" s="171"/>
      <c r="AB131" s="171"/>
      <c r="AC131" s="171"/>
    </row>
    <row r="132" spans="11:29" ht="18" customHeight="1">
      <c r="K132" s="171" t="s">
        <v>14</v>
      </c>
      <c r="L132" s="171"/>
      <c r="M132" s="171"/>
      <c r="AA132" s="171"/>
      <c r="AB132" s="171"/>
      <c r="AC132" s="171"/>
    </row>
    <row r="133" spans="11:29" ht="18" customHeight="1">
      <c r="K133" s="171" t="s">
        <v>14</v>
      </c>
      <c r="L133" s="171"/>
      <c r="M133" s="171"/>
      <c r="AA133" s="171"/>
      <c r="AB133" s="171"/>
      <c r="AC133" s="171"/>
    </row>
    <row r="134" spans="11:29" ht="18" customHeight="1">
      <c r="K134" s="171" t="s">
        <v>14</v>
      </c>
      <c r="L134" s="171"/>
      <c r="M134" s="171"/>
      <c r="AA134" s="171"/>
      <c r="AB134" s="171"/>
      <c r="AC134" s="171"/>
    </row>
    <row r="135" spans="11:29" ht="18" customHeight="1">
      <c r="K135" s="171" t="s">
        <v>14</v>
      </c>
      <c r="L135" s="171"/>
      <c r="M135" s="171"/>
      <c r="AA135" s="171"/>
      <c r="AB135" s="171"/>
      <c r="AC135" s="171"/>
    </row>
    <row r="136" spans="11:29" ht="18" customHeight="1">
      <c r="K136" s="171" t="s">
        <v>14</v>
      </c>
      <c r="L136" s="171"/>
      <c r="M136" s="171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AB147" s="171"/>
      <c r="AC147" s="171"/>
    </row>
    <row r="148" spans="11:29" ht="18" customHeight="1">
      <c r="K148" s="171" t="s">
        <v>14</v>
      </c>
      <c r="L148" s="171"/>
      <c r="M148" s="171"/>
      <c r="AB148" s="171"/>
      <c r="AC148" s="171"/>
    </row>
    <row r="149" spans="11:29" ht="18" customHeight="1">
      <c r="K149" s="171" t="s">
        <v>14</v>
      </c>
      <c r="L149" s="171"/>
      <c r="M149" s="171"/>
    </row>
    <row r="150" spans="11:29" ht="18" customHeight="1">
      <c r="K150" s="171" t="s">
        <v>14</v>
      </c>
      <c r="L150" s="171"/>
      <c r="M150" s="171"/>
    </row>
    <row r="151" spans="11:29" ht="18" customHeight="1">
      <c r="K151" s="171" t="s">
        <v>14</v>
      </c>
      <c r="L151" s="171"/>
      <c r="M151" s="171"/>
    </row>
    <row r="152" spans="11:29" ht="18" customHeight="1">
      <c r="K152" s="171" t="s">
        <v>14</v>
      </c>
      <c r="L152" s="171"/>
      <c r="M152" s="171"/>
    </row>
    <row r="153" spans="11:29" ht="18" customHeight="1">
      <c r="K153" s="171" t="s">
        <v>14</v>
      </c>
      <c r="L153" s="171"/>
      <c r="M153" s="171"/>
    </row>
    <row r="154" spans="11:29" ht="18" customHeight="1">
      <c r="K154" s="171" t="s">
        <v>14</v>
      </c>
      <c r="L154" s="171"/>
      <c r="M154" s="171"/>
    </row>
    <row r="155" spans="11:29" ht="18" customHeight="1">
      <c r="K155" s="171" t="s">
        <v>14</v>
      </c>
      <c r="L155" s="171"/>
      <c r="M155" s="171"/>
    </row>
    <row r="156" spans="11:29" ht="18" customHeight="1">
      <c r="K156" s="171" t="s">
        <v>14</v>
      </c>
      <c r="L156" s="171"/>
      <c r="M156" s="171"/>
    </row>
    <row r="157" spans="11:29" ht="18" customHeight="1">
      <c r="K157" s="171" t="s">
        <v>14</v>
      </c>
      <c r="L157" s="171"/>
      <c r="M157" s="171"/>
    </row>
    <row r="158" spans="11:29" ht="18" customHeight="1">
      <c r="K158" s="171" t="s">
        <v>14</v>
      </c>
      <c r="L158" s="171"/>
      <c r="M158" s="171"/>
    </row>
    <row r="159" spans="11:29" ht="18" customHeight="1">
      <c r="K159" s="171" t="s">
        <v>14</v>
      </c>
      <c r="L159" s="171"/>
      <c r="M159" s="171"/>
    </row>
    <row r="160" spans="11:29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L597" s="171"/>
      <c r="M597" s="171"/>
    </row>
    <row r="598" spans="11:13" ht="18" customHeight="1">
      <c r="L598" s="171"/>
      <c r="M598" s="171"/>
    </row>
    <row r="599" spans="11:13" ht="18" customHeight="1">
      <c r="L599" s="171"/>
      <c r="M599" s="171"/>
    </row>
    <row r="600" spans="11:13" ht="18" customHeight="1">
      <c r="L600" s="171"/>
      <c r="M600" s="171"/>
    </row>
    <row r="601" spans="11:13" ht="18" customHeight="1">
      <c r="L601" s="171"/>
      <c r="M601" s="171"/>
    </row>
    <row r="602" spans="11:13" ht="18" customHeight="1">
      <c r="L602" s="171"/>
      <c r="M602" s="171"/>
    </row>
    <row r="603" spans="11:13" ht="18" customHeight="1">
      <c r="L603" s="171"/>
      <c r="M603" s="171"/>
    </row>
    <row r="604" spans="11:13" ht="18" customHeight="1">
      <c r="L604" s="171"/>
      <c r="M604" s="171"/>
    </row>
    <row r="605" spans="11:13" ht="18" customHeight="1">
      <c r="L605" s="171"/>
      <c r="M605" s="171"/>
    </row>
    <row r="606" spans="11:13" ht="18" customHeight="1">
      <c r="L606" s="171"/>
      <c r="M606" s="171"/>
    </row>
    <row r="607" spans="11:13" ht="18" customHeight="1">
      <c r="L607" s="171"/>
      <c r="M607" s="171"/>
    </row>
    <row r="608" spans="11:13" ht="18" customHeight="1"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2" ht="18" customHeight="1">
      <c r="L737" s="171"/>
    </row>
    <row r="738" spans="12:12" ht="18" customHeight="1">
      <c r="L738" s="171"/>
    </row>
    <row r="739" spans="12:12" ht="18" customHeight="1">
      <c r="L739" s="171"/>
    </row>
    <row r="740" spans="12:12" ht="18" customHeight="1">
      <c r="L740" s="171"/>
    </row>
    <row r="741" spans="12:12" ht="18" customHeight="1">
      <c r="L741" s="171"/>
    </row>
    <row r="742" spans="12:12" ht="18" customHeight="1">
      <c r="L742" s="171"/>
    </row>
    <row r="743" spans="12:12" ht="18" customHeight="1">
      <c r="L743" s="171"/>
    </row>
    <row r="744" spans="12:12" ht="18" customHeight="1">
      <c r="L744" s="171"/>
    </row>
    <row r="745" spans="12:12" ht="18" customHeight="1">
      <c r="L745" s="171"/>
    </row>
    <row r="746" spans="12:12" ht="18" customHeight="1">
      <c r="L746" s="171"/>
    </row>
    <row r="747" spans="12:12" ht="18" customHeight="1">
      <c r="L747" s="171"/>
    </row>
    <row r="748" spans="12:12" ht="18" customHeight="1">
      <c r="L748" s="171"/>
    </row>
    <row r="749" spans="12:12" ht="18" customHeight="1">
      <c r="L749" s="171"/>
    </row>
    <row r="750" spans="12:12" ht="18" customHeight="1">
      <c r="L750" s="171"/>
    </row>
  </sheetData>
  <mergeCells count="14">
    <mergeCell ref="B11:C12"/>
    <mergeCell ref="J11:J12"/>
    <mergeCell ref="L11:L12"/>
    <mergeCell ref="B3:C3"/>
    <mergeCell ref="D3:E3"/>
    <mergeCell ref="B4:C4"/>
    <mergeCell ref="D4:E4"/>
    <mergeCell ref="B5:C5"/>
    <mergeCell ref="D5:E5"/>
    <mergeCell ref="N29:N30"/>
    <mergeCell ref="O29:O30"/>
    <mergeCell ref="P29:P30"/>
    <mergeCell ref="Q29:Q30"/>
    <mergeCell ref="Z29:Z30"/>
  </mergeCells>
  <phoneticPr fontId="14" type="noConversion"/>
  <conditionalFormatting sqref="V13:V18">
    <cfRule type="cellIs" dxfId="1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20" min="13" max="28" man="1"/>
    <brk id="47" min="13" max="28" man="1"/>
    <brk id="68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8481" r:id="rId4" name="Group Box 1">
              <controlPr defaultSize="0" autoFill="0" autoPict="0">
                <anchor moveWithCells="1" sizeWithCells="1">
                  <from>
                    <xdr:col>9</xdr:col>
                    <xdr:colOff>257175</xdr:colOff>
                    <xdr:row>0</xdr:row>
                    <xdr:rowOff>47625</xdr:rowOff>
                  </from>
                  <to>
                    <xdr:col>11</xdr:col>
                    <xdr:colOff>104775</xdr:colOff>
                    <xdr:row>4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82" r:id="rId5" name="Option Button 2">
              <controlPr defaultSize="0" autoFill="0" autoLine="0" autoPict="0">
                <anchor moveWithCells="1" sizeWithCells="1">
                  <from>
                    <xdr:col>9</xdr:col>
                    <xdr:colOff>371475</xdr:colOff>
                    <xdr:row>0</xdr:row>
                    <xdr:rowOff>238125</xdr:rowOff>
                  </from>
                  <to>
                    <xdr:col>10</xdr:col>
                    <xdr:colOff>285750</xdr:colOff>
                    <xdr:row>2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483" r:id="rId6" name="Option Button 3">
              <controlPr defaultSize="0" autoFill="0" autoLine="0" autoPict="0">
                <anchor moveWithCells="1" sizeWithCells="1">
                  <from>
                    <xdr:col>9</xdr:col>
                    <xdr:colOff>371475</xdr:colOff>
                    <xdr:row>2</xdr:row>
                    <xdr:rowOff>85725</xdr:rowOff>
                  </from>
                  <to>
                    <xdr:col>10</xdr:col>
                    <xdr:colOff>285750</xdr:colOff>
                    <xdr:row>4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5" tint="0.39997558519241921"/>
    <pageSetUpPr fitToPage="1"/>
  </sheetPr>
  <dimension ref="A1:AC748"/>
  <sheetViews>
    <sheetView showGridLines="0" zoomScale="85" zoomScaleNormal="85" zoomScaleSheetLayoutView="75" workbookViewId="0">
      <selection activeCell="B14" sqref="B14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2763</v>
      </c>
    </row>
    <row r="2" spans="1:26" ht="19.5" thickBot="1">
      <c r="B2" s="66" t="s">
        <v>1</v>
      </c>
    </row>
    <row r="3" spans="1:26" ht="18" customHeight="1">
      <c r="B3" s="773" t="s">
        <v>376</v>
      </c>
      <c r="C3" s="774"/>
      <c r="D3" s="775">
        <v>50</v>
      </c>
      <c r="E3" s="776"/>
      <c r="F3" s="44" t="s">
        <v>393</v>
      </c>
      <c r="G3" s="391">
        <v>1</v>
      </c>
    </row>
    <row r="4" spans="1:26" ht="18" customHeight="1">
      <c r="B4" s="777" t="s">
        <v>377</v>
      </c>
      <c r="C4" s="778"/>
      <c r="D4" s="779">
        <v>50</v>
      </c>
      <c r="E4" s="780"/>
      <c r="F4" s="65" t="str">
        <f>F3</f>
        <v>만㎡</v>
      </c>
    </row>
    <row r="5" spans="1:26" ht="18" customHeight="1" thickBot="1">
      <c r="B5" s="781" t="s">
        <v>523</v>
      </c>
      <c r="C5" s="782"/>
      <c r="D5" s="783">
        <f>ROUND((IF(D4&lt;=3,3,D4)/D3)^0.6,3)</f>
        <v>1</v>
      </c>
      <c r="E5" s="784"/>
      <c r="F5" s="45"/>
      <c r="G5" s="36"/>
    </row>
    <row r="6" spans="1:26" ht="18" customHeight="1">
      <c r="A6" s="358"/>
      <c r="B6" s="9" t="s">
        <v>2770</v>
      </c>
      <c r="C6" s="36"/>
      <c r="D6" s="36"/>
      <c r="E6" s="36"/>
      <c r="F6" s="36"/>
      <c r="G6" s="36"/>
    </row>
    <row r="7" spans="1:26" ht="18" customHeight="1">
      <c r="B7" s="9"/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SUBTOTAL(9,W11:W24)</f>
        <v>126554353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SUBTOTAL(9,W12:W21)</f>
        <v>49132148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SUBTOTAL(9,W13:W17)</f>
        <v>43132148</v>
      </c>
      <c r="X12" s="160"/>
      <c r="Y12" s="168"/>
      <c r="Z12" s="168"/>
    </row>
    <row r="13" spans="1:26" ht="18" customHeight="1">
      <c r="B13" s="222" t="s">
        <v>2764</v>
      </c>
      <c r="C13" s="47"/>
      <c r="D13" s="48">
        <f t="shared" ref="D13:I13" si="0">SUBTOTAL(9,D14:D17)</f>
        <v>3.5</v>
      </c>
      <c r="E13" s="49">
        <f t="shared" si="0"/>
        <v>3.1</v>
      </c>
      <c r="F13" s="49">
        <f t="shared" si="0"/>
        <v>19.5</v>
      </c>
      <c r="G13" s="49">
        <f t="shared" si="0"/>
        <v>19.899999999999999</v>
      </c>
      <c r="H13" s="49">
        <f t="shared" si="0"/>
        <v>53.4</v>
      </c>
      <c r="I13" s="50">
        <f t="shared" si="0"/>
        <v>63.3</v>
      </c>
      <c r="J13" s="74"/>
      <c r="L13" s="233"/>
      <c r="N13" s="292" t="str">
        <f>B13</f>
        <v>1. 실시계획 수립</v>
      </c>
      <c r="O13" s="37"/>
      <c r="P13" s="39"/>
      <c r="Q13" s="37"/>
      <c r="R13" s="117"/>
      <c r="S13" s="37"/>
      <c r="T13" s="37"/>
      <c r="U13" s="226"/>
      <c r="V13" s="231"/>
      <c r="W13" s="195">
        <f ca="1">SUBTOTAL(9,W14:W17)</f>
        <v>43132148</v>
      </c>
      <c r="X13" s="196"/>
      <c r="Y13" s="150" t="str">
        <f>IF(A19&gt;0, "제 " &amp;A19&amp; " 호표","")</f>
        <v/>
      </c>
      <c r="Z13" s="150"/>
    </row>
    <row r="14" spans="1:26" ht="18" customHeight="1">
      <c r="B14" s="223" t="s">
        <v>2765</v>
      </c>
      <c r="C14" s="23"/>
      <c r="D14" s="197">
        <v>0.5</v>
      </c>
      <c r="E14" s="198">
        <v>0.9</v>
      </c>
      <c r="F14" s="198">
        <v>4</v>
      </c>
      <c r="G14" s="198">
        <v>3.8</v>
      </c>
      <c r="H14" s="198">
        <v>6.6</v>
      </c>
      <c r="I14" s="199">
        <v>9.9</v>
      </c>
      <c r="J14" s="389" t="s">
        <v>1091</v>
      </c>
      <c r="L14" s="233">
        <v>1</v>
      </c>
      <c r="N14" s="296" t="str">
        <f>B14</f>
        <v>1.1. 용도지역 결정(변경)</v>
      </c>
      <c r="O14" s="37"/>
      <c r="P14" s="39"/>
      <c r="Q14" s="37"/>
      <c r="R14" s="117"/>
      <c r="S14" s="37"/>
      <c r="T14" s="37"/>
      <c r="U14" s="226"/>
      <c r="V14" s="231"/>
      <c r="W14" s="153">
        <f t="array" aca="1" ref="W14" ca="1">SUM((ROUNDDOWN((D20:I20)*단가,0)))</f>
        <v>6964575</v>
      </c>
      <c r="X14" s="154"/>
      <c r="Y14" s="150" t="str">
        <f>IF(A20&gt;0, "제 " &amp;A20&amp; " 호표","")</f>
        <v>제 1 호표</v>
      </c>
      <c r="Z14" s="150"/>
    </row>
    <row r="15" spans="1:26" ht="18" customHeight="1">
      <c r="B15" s="223" t="s">
        <v>2766</v>
      </c>
      <c r="C15" s="613"/>
      <c r="D15" s="197">
        <v>0.8</v>
      </c>
      <c r="E15" s="198">
        <v>0.5</v>
      </c>
      <c r="F15" s="198">
        <v>4</v>
      </c>
      <c r="G15" s="198">
        <v>4</v>
      </c>
      <c r="H15" s="198">
        <v>13.2</v>
      </c>
      <c r="I15" s="199">
        <v>16.5</v>
      </c>
      <c r="J15" s="389" t="s">
        <v>1090</v>
      </c>
      <c r="L15" s="233">
        <v>1</v>
      </c>
      <c r="N15" s="296" t="str">
        <f>B15</f>
        <v>1.2. 도시계획시설 결정(변경)</v>
      </c>
      <c r="O15" s="37"/>
      <c r="P15" s="39"/>
      <c r="Q15" s="37"/>
      <c r="R15" s="117"/>
      <c r="S15" s="37"/>
      <c r="T15" s="37"/>
      <c r="U15" s="226"/>
      <c r="V15" s="231"/>
      <c r="W15" s="153">
        <f t="array" aca="1" ref="W15" ca="1">SUM((ROUNDDOWN((D21:I21)*단가,0)))</f>
        <v>10219030</v>
      </c>
      <c r="X15" s="154"/>
      <c r="Y15" s="150" t="str">
        <f>IF(A21&gt;0, "제 " &amp;A21&amp; " 호표","")</f>
        <v>제 2 호표</v>
      </c>
      <c r="Z15" s="150"/>
    </row>
    <row r="16" spans="1:26" ht="18" customHeight="1">
      <c r="B16" s="259" t="s">
        <v>2767</v>
      </c>
      <c r="C16" s="43"/>
      <c r="D16" s="197">
        <v>1.3</v>
      </c>
      <c r="E16" s="198">
        <v>1.3</v>
      </c>
      <c r="F16" s="198">
        <v>7.5</v>
      </c>
      <c r="G16" s="198">
        <v>8.1</v>
      </c>
      <c r="H16" s="198">
        <v>27</v>
      </c>
      <c r="I16" s="199">
        <v>27</v>
      </c>
      <c r="J16" s="389" t="s">
        <v>2771</v>
      </c>
      <c r="L16" s="233">
        <v>1</v>
      </c>
      <c r="N16" s="296" t="str">
        <f>B16</f>
        <v>1.3. 토지이용계획(변경)</v>
      </c>
      <c r="O16" s="37"/>
      <c r="P16" s="39"/>
      <c r="Q16" s="37"/>
      <c r="R16" s="117"/>
      <c r="S16" s="37"/>
      <c r="T16" s="37"/>
      <c r="U16" s="226"/>
      <c r="V16" s="231"/>
      <c r="W16" s="153">
        <f t="array" aca="1" ref="W16" ca="1">SUM((ROUNDDOWN((D22:I22)*단가,0)))</f>
        <v>18924729</v>
      </c>
      <c r="X16" s="154"/>
      <c r="Y16" s="150" t="str">
        <f>IF(A22&gt;0, "제 " &amp;A22&amp; " 호표","")</f>
        <v>제 3 호표</v>
      </c>
      <c r="Z16" s="150"/>
    </row>
    <row r="17" spans="1:26" ht="18" customHeight="1" thickBot="1">
      <c r="B17" s="393" t="s">
        <v>2768</v>
      </c>
      <c r="C17" s="23"/>
      <c r="D17" s="197">
        <v>0.9</v>
      </c>
      <c r="E17" s="198">
        <v>0.4</v>
      </c>
      <c r="F17" s="198">
        <v>4</v>
      </c>
      <c r="G17" s="198">
        <v>4</v>
      </c>
      <c r="H17" s="198">
        <v>6.6</v>
      </c>
      <c r="I17" s="199">
        <v>9.9</v>
      </c>
      <c r="J17" s="389" t="s">
        <v>2772</v>
      </c>
      <c r="L17" s="233">
        <v>1</v>
      </c>
      <c r="N17" s="296" t="str">
        <f>B17</f>
        <v>2. 실시계획 승인도서 작성</v>
      </c>
      <c r="O17" s="37"/>
      <c r="P17" s="39"/>
      <c r="Q17" s="37"/>
      <c r="R17" s="117"/>
      <c r="S17" s="37"/>
      <c r="T17" s="37"/>
      <c r="U17" s="226"/>
      <c r="V17" s="231"/>
      <c r="W17" s="153">
        <f t="array" aca="1" ref="W17" ca="1">SUM((ROUNDDOWN((D23:I23)*단가,0)))</f>
        <v>7023814</v>
      </c>
      <c r="X17" s="154"/>
      <c r="Y17" s="150" t="str">
        <f>IF(A23&gt;0, "제 " &amp;A23&amp; " 호표","")</f>
        <v>제 4 호표</v>
      </c>
      <c r="Z17" s="150"/>
    </row>
    <row r="18" spans="1:26" ht="18" customHeight="1" thickBot="1">
      <c r="B18" s="14" t="s">
        <v>30</v>
      </c>
      <c r="C18" s="16"/>
      <c r="D18" s="14" t="s">
        <v>12</v>
      </c>
      <c r="E18" s="15"/>
      <c r="F18" s="15"/>
      <c r="G18" s="15"/>
      <c r="H18" s="15"/>
      <c r="I18" s="16"/>
      <c r="J18" s="175" t="s">
        <v>31</v>
      </c>
      <c r="N18" s="290" t="s">
        <v>10</v>
      </c>
      <c r="O18" s="129"/>
      <c r="P18" s="130"/>
      <c r="Q18" s="124"/>
      <c r="R18" s="131"/>
      <c r="S18" s="124"/>
      <c r="T18" s="124"/>
      <c r="U18" s="181"/>
      <c r="V18" s="181"/>
      <c r="W18" s="159">
        <f>SUBTOTAL(9,W19:W21)</f>
        <v>6000000</v>
      </c>
      <c r="X18" s="160"/>
      <c r="Y18" s="124"/>
      <c r="Z18" s="124"/>
    </row>
    <row r="19" spans="1:26" ht="18" customHeight="1">
      <c r="B19" s="222" t="str">
        <f>B13</f>
        <v>1. 실시계획 수립</v>
      </c>
      <c r="C19" s="47"/>
      <c r="D19" s="48">
        <f t="shared" ref="D19:I19" si="1">SUBTOTAL(9,D20:D23)</f>
        <v>3.5</v>
      </c>
      <c r="E19" s="49">
        <f t="shared" si="1"/>
        <v>3.1</v>
      </c>
      <c r="F19" s="49">
        <f t="shared" si="1"/>
        <v>19.5</v>
      </c>
      <c r="G19" s="49">
        <f t="shared" si="1"/>
        <v>19.899999999999999</v>
      </c>
      <c r="H19" s="49">
        <f t="shared" si="1"/>
        <v>53.4</v>
      </c>
      <c r="I19" s="50">
        <f t="shared" si="1"/>
        <v>63.3</v>
      </c>
      <c r="J19" s="74"/>
      <c r="N19" s="291" t="str">
        <f>"여비("&amp;TEXT(T19,"#인 ×")&amp;TEXT(U19,"#일 ×")&amp;TEXT(V19,"###,###원)")</f>
        <v>여비(3인 ×10일 ×100,000원)</v>
      </c>
      <c r="O19" s="78"/>
      <c r="P19" s="52"/>
      <c r="Q19" s="51"/>
      <c r="T19" s="146">
        <v>3</v>
      </c>
      <c r="U19" s="146">
        <v>10</v>
      </c>
      <c r="V19" s="147">
        <v>100000</v>
      </c>
      <c r="W19" s="161">
        <f>T19*U19*V19</f>
        <v>3000000</v>
      </c>
      <c r="X19" s="162"/>
      <c r="Y19" s="51"/>
      <c r="Z19" s="51"/>
    </row>
    <row r="20" spans="1:26" ht="18" customHeight="1">
      <c r="A20" s="326">
        <v>1</v>
      </c>
      <c r="B20" s="223" t="str">
        <f>B14</f>
        <v>1.1. 용도지역 결정(변경)</v>
      </c>
      <c r="C20" s="23"/>
      <c r="D20" s="197">
        <f t="array" ref="D20:I23">ROUNDDOWN(D14:I17*L14:L17*D5,3)</f>
        <v>0.5</v>
      </c>
      <c r="E20" s="198">
        <v>0.9</v>
      </c>
      <c r="F20" s="198">
        <v>4</v>
      </c>
      <c r="G20" s="198">
        <v>3.8</v>
      </c>
      <c r="H20" s="198">
        <v>6.6</v>
      </c>
      <c r="I20" s="199">
        <v>9.9</v>
      </c>
      <c r="J20" s="389"/>
      <c r="N20" s="292" t="s">
        <v>46</v>
      </c>
      <c r="O20" s="79"/>
      <c r="P20" s="39"/>
      <c r="Q20" s="37"/>
      <c r="R20" s="117"/>
      <c r="S20" s="37"/>
      <c r="T20" s="37"/>
      <c r="U20" s="180"/>
      <c r="V20" s="180"/>
      <c r="W20" s="157">
        <v>2000000</v>
      </c>
      <c r="X20" s="158"/>
      <c r="Y20" s="37"/>
      <c r="Z20" s="37"/>
    </row>
    <row r="21" spans="1:26" ht="18" customHeight="1">
      <c r="A21" s="326">
        <v>2</v>
      </c>
      <c r="B21" s="223" t="str">
        <f>B15</f>
        <v>1.2. 도시계획시설 결정(변경)</v>
      </c>
      <c r="C21" s="613"/>
      <c r="D21" s="197">
        <v>0.8</v>
      </c>
      <c r="E21" s="198">
        <v>0.5</v>
      </c>
      <c r="F21" s="198">
        <v>4</v>
      </c>
      <c r="G21" s="198">
        <v>4</v>
      </c>
      <c r="H21" s="198">
        <v>13.2</v>
      </c>
      <c r="I21" s="199">
        <v>16.5</v>
      </c>
      <c r="J21" s="389"/>
      <c r="N21" s="293" t="s">
        <v>13</v>
      </c>
      <c r="O21" s="132"/>
      <c r="P21" s="38"/>
      <c r="Q21" s="38"/>
      <c r="R21" s="116"/>
      <c r="S21" s="38"/>
      <c r="T21" s="38"/>
      <c r="U21" s="183"/>
      <c r="V21" s="183"/>
      <c r="W21" s="155">
        <v>1000000</v>
      </c>
      <c r="X21" s="156"/>
      <c r="Y21" s="38"/>
      <c r="Z21" s="38"/>
    </row>
    <row r="22" spans="1:26" ht="18" customHeight="1">
      <c r="A22" s="326">
        <v>3</v>
      </c>
      <c r="B22" s="223" t="str">
        <f>B16</f>
        <v>1.3. 토지이용계획(변경)</v>
      </c>
      <c r="C22" s="23"/>
      <c r="D22" s="197">
        <v>1.3</v>
      </c>
      <c r="E22" s="198">
        <v>1.3</v>
      </c>
      <c r="F22" s="198">
        <v>7.5</v>
      </c>
      <c r="G22" s="198">
        <v>8.1</v>
      </c>
      <c r="H22" s="198">
        <v>27</v>
      </c>
      <c r="I22" s="199">
        <v>27</v>
      </c>
      <c r="J22" s="389"/>
      <c r="N22" s="127" t="s">
        <v>47</v>
      </c>
      <c r="O22" s="123"/>
      <c r="P22" s="123"/>
      <c r="Q22" s="123"/>
      <c r="R22" s="123"/>
      <c r="S22" s="123"/>
      <c r="T22" s="123"/>
      <c r="U22" s="184"/>
      <c r="V22" s="184"/>
      <c r="W22" s="163">
        <f ca="1">SUBTOTAL(9,W23:W24)</f>
        <v>77422205</v>
      </c>
      <c r="X22" s="164"/>
      <c r="Y22" s="123"/>
      <c r="Z22" s="123"/>
    </row>
    <row r="23" spans="1:26" ht="18" customHeight="1" thickBot="1">
      <c r="A23" s="326">
        <v>4</v>
      </c>
      <c r="B23" s="388" t="str">
        <f>B17</f>
        <v>2. 실시계획 승인도서 작성</v>
      </c>
      <c r="C23" s="342"/>
      <c r="D23" s="343">
        <v>0.9</v>
      </c>
      <c r="E23" s="344">
        <v>0.4</v>
      </c>
      <c r="F23" s="344">
        <v>4</v>
      </c>
      <c r="G23" s="344">
        <v>4</v>
      </c>
      <c r="H23" s="344">
        <v>6.6</v>
      </c>
      <c r="I23" s="345">
        <v>9.9</v>
      </c>
      <c r="J23" s="612"/>
      <c r="N23" s="133" t="s">
        <v>861</v>
      </c>
      <c r="O23" s="124"/>
      <c r="P23" s="134"/>
      <c r="Q23" s="124"/>
      <c r="R23" s="131"/>
      <c r="S23" s="124"/>
      <c r="T23" s="181"/>
      <c r="U23" s="181"/>
      <c r="V23" s="190">
        <v>1.1499999999999999</v>
      </c>
      <c r="W23" s="159">
        <f ca="1">ROUNDDOWN(W12*V23,0)</f>
        <v>49601970</v>
      </c>
      <c r="X23" s="160"/>
      <c r="Y23" s="124"/>
      <c r="Z23" s="124"/>
    </row>
    <row r="24" spans="1:26" ht="18" customHeight="1" thickBot="1">
      <c r="B24" s="80" t="s">
        <v>15</v>
      </c>
      <c r="C24" s="9" t="s">
        <v>2773</v>
      </c>
      <c r="M24" s="171"/>
      <c r="N24" s="135" t="s">
        <v>862</v>
      </c>
      <c r="O24" s="136"/>
      <c r="P24" s="137"/>
      <c r="Q24" s="136"/>
      <c r="R24" s="138"/>
      <c r="S24" s="136"/>
      <c r="T24" s="185"/>
      <c r="U24" s="185"/>
      <c r="V24" s="191">
        <v>0.3</v>
      </c>
      <c r="W24" s="165">
        <f ca="1">ROUNDDOWN((W12+W23)*V24,0)</f>
        <v>27820235</v>
      </c>
      <c r="X24" s="166"/>
      <c r="Y24" s="136"/>
      <c r="Z24" s="136"/>
    </row>
    <row r="25" spans="1:26" ht="18" customHeight="1">
      <c r="C25" s="1" t="s">
        <v>2774</v>
      </c>
      <c r="M25" s="171"/>
    </row>
    <row r="26" spans="1:26" ht="18" customHeight="1">
      <c r="C26" s="9" t="s">
        <v>2775</v>
      </c>
      <c r="M26" s="171"/>
    </row>
    <row r="27" spans="1:26" ht="18" customHeight="1" thickBot="1">
      <c r="C27" s="1" t="s">
        <v>2776</v>
      </c>
      <c r="M27" s="171"/>
      <c r="N27" s="66" t="s">
        <v>18</v>
      </c>
      <c r="O27" s="2"/>
      <c r="P27" s="2"/>
      <c r="Q27" s="2"/>
      <c r="R27" s="3"/>
      <c r="S27" s="4"/>
      <c r="T27" s="3"/>
      <c r="U27" s="4"/>
      <c r="V27" s="3"/>
      <c r="W27" s="4"/>
      <c r="X27" s="3"/>
      <c r="Y27" s="4"/>
      <c r="Z27" s="2"/>
    </row>
    <row r="28" spans="1:26" ht="18" customHeight="1">
      <c r="C28" s="9" t="s">
        <v>2777</v>
      </c>
      <c r="M28" s="171"/>
      <c r="N28" s="765" t="s">
        <v>19</v>
      </c>
      <c r="O28" s="755" t="s">
        <v>20</v>
      </c>
      <c r="P28" s="755" t="s">
        <v>21</v>
      </c>
      <c r="Q28" s="755" t="s">
        <v>16</v>
      </c>
      <c r="R28" s="5" t="s">
        <v>22</v>
      </c>
      <c r="S28" s="5"/>
      <c r="T28" s="5" t="s">
        <v>23</v>
      </c>
      <c r="U28" s="5"/>
      <c r="V28" s="5" t="s">
        <v>24</v>
      </c>
      <c r="W28" s="5"/>
      <c r="X28" s="5" t="s">
        <v>25</v>
      </c>
      <c r="Y28" s="5"/>
      <c r="Z28" s="755" t="s">
        <v>26</v>
      </c>
    </row>
    <row r="29" spans="1:26" ht="18" customHeight="1" thickBot="1">
      <c r="C29" s="1" t="s">
        <v>2778</v>
      </c>
      <c r="M29" s="171"/>
      <c r="N29" s="766"/>
      <c r="O29" s="756"/>
      <c r="P29" s="756"/>
      <c r="Q29" s="756"/>
      <c r="R29" s="67" t="s">
        <v>27</v>
      </c>
      <c r="S29" s="67" t="s">
        <v>28</v>
      </c>
      <c r="T29" s="67" t="s">
        <v>27</v>
      </c>
      <c r="U29" s="67" t="s">
        <v>28</v>
      </c>
      <c r="V29" s="67" t="s">
        <v>27</v>
      </c>
      <c r="W29" s="67" t="s">
        <v>28</v>
      </c>
      <c r="X29" s="67" t="s">
        <v>27</v>
      </c>
      <c r="Y29" s="67" t="s">
        <v>28</v>
      </c>
      <c r="Z29" s="756"/>
    </row>
    <row r="30" spans="1:26" ht="18" customHeight="1" thickTop="1">
      <c r="C30" s="9" t="s">
        <v>2779</v>
      </c>
      <c r="M30" s="171"/>
      <c r="N30" s="318" t="str">
        <f ca="1">"제 " &amp; Z30 &amp; " 호표  "&amp; OFFSET($A$1,MATCH(Z30,$A:$A,0)-1,1)</f>
        <v>제 1 호표  1.1. 용도지역 결정(변경)</v>
      </c>
      <c r="O30" s="221"/>
      <c r="P30" s="148"/>
      <c r="Q30" s="148"/>
      <c r="R30" s="149"/>
      <c r="S30" s="149"/>
      <c r="T30" s="149"/>
      <c r="U30" s="149"/>
      <c r="V30" s="149"/>
      <c r="W30" s="149"/>
      <c r="X30" s="149"/>
      <c r="Y30" s="149"/>
      <c r="Z30" s="325">
        <v>1</v>
      </c>
    </row>
    <row r="31" spans="1:26" ht="18" customHeight="1">
      <c r="M31" s="171"/>
      <c r="N31" s="140" t="s">
        <v>43</v>
      </c>
      <c r="O31" s="172">
        <v>3</v>
      </c>
      <c r="P31" s="219">
        <f ca="1">OFFSET($A$1,MATCH(Z30,$A:$A,0)-1,O31)</f>
        <v>0.5</v>
      </c>
      <c r="Q31" s="141" t="s">
        <v>29</v>
      </c>
      <c r="R31" s="142">
        <f t="shared" ref="R31:S36" ca="1" si="2">T31</f>
        <v>467217</v>
      </c>
      <c r="S31" s="142">
        <f t="shared" ca="1" si="2"/>
        <v>233608</v>
      </c>
      <c r="T31" s="142">
        <f ca="1">기술사</f>
        <v>467217</v>
      </c>
      <c r="U31" s="142">
        <f t="shared" ref="U31:U36" ca="1" si="3">ROUNDDOWN(P31*R31,0)</f>
        <v>233608</v>
      </c>
      <c r="V31" s="142"/>
      <c r="W31" s="142"/>
      <c r="X31" s="142"/>
      <c r="Y31" s="142"/>
      <c r="Z31" s="114"/>
    </row>
    <row r="32" spans="1:26" ht="18" customHeight="1">
      <c r="M32" s="171"/>
      <c r="N32" s="143" t="s">
        <v>32</v>
      </c>
      <c r="O32" s="173">
        <v>4</v>
      </c>
      <c r="P32" s="234">
        <f ca="1">OFFSET($A$1,MATCH(Z30,$A:$A,0)-1,O32)</f>
        <v>0.9</v>
      </c>
      <c r="Q32" s="144" t="s">
        <v>29</v>
      </c>
      <c r="R32" s="118">
        <f t="shared" ca="1" si="2"/>
        <v>373353</v>
      </c>
      <c r="S32" s="118">
        <f t="shared" ca="1" si="2"/>
        <v>336017</v>
      </c>
      <c r="T32" s="118">
        <f ca="1">특급</f>
        <v>373353</v>
      </c>
      <c r="U32" s="118">
        <f t="shared" ca="1" si="3"/>
        <v>336017</v>
      </c>
      <c r="V32" s="118"/>
      <c r="W32" s="118"/>
      <c r="X32" s="118"/>
      <c r="Y32" s="118"/>
      <c r="Z32" s="115"/>
    </row>
    <row r="33" spans="3:26" ht="18" customHeight="1">
      <c r="M33" s="171"/>
      <c r="N33" s="145" t="s">
        <v>39</v>
      </c>
      <c r="O33" s="173">
        <v>5</v>
      </c>
      <c r="P33" s="234">
        <f ca="1">OFFSET($A$1,MATCH(Z30,$A:$A,0)-1,O33)</f>
        <v>4</v>
      </c>
      <c r="Q33" s="144" t="s">
        <v>29</v>
      </c>
      <c r="R33" s="118">
        <f t="shared" ca="1" si="2"/>
        <v>310884</v>
      </c>
      <c r="S33" s="118">
        <f t="shared" ca="1" si="2"/>
        <v>1243536</v>
      </c>
      <c r="T33" s="118">
        <f ca="1">고급</f>
        <v>310884</v>
      </c>
      <c r="U33" s="118">
        <f t="shared" ca="1" si="3"/>
        <v>1243536</v>
      </c>
      <c r="V33" s="118"/>
      <c r="W33" s="118"/>
      <c r="X33" s="118"/>
      <c r="Y33" s="118"/>
      <c r="Z33" s="115"/>
    </row>
    <row r="34" spans="3:26" ht="18" customHeight="1">
      <c r="M34" s="171"/>
      <c r="N34" s="145" t="s">
        <v>40</v>
      </c>
      <c r="O34" s="173">
        <v>6</v>
      </c>
      <c r="P34" s="234">
        <f ca="1">OFFSET($A$1,MATCH(Z30,$A:$A,0)-1,O34)</f>
        <v>3.8</v>
      </c>
      <c r="Q34" s="144" t="s">
        <v>29</v>
      </c>
      <c r="R34" s="118">
        <f t="shared" ca="1" si="2"/>
        <v>295138</v>
      </c>
      <c r="S34" s="118">
        <f t="shared" ca="1" si="2"/>
        <v>1121524</v>
      </c>
      <c r="T34" s="118">
        <f ca="1">중급</f>
        <v>295138</v>
      </c>
      <c r="U34" s="118">
        <f t="shared" ca="1" si="3"/>
        <v>1121524</v>
      </c>
      <c r="V34" s="118"/>
      <c r="W34" s="118"/>
      <c r="X34" s="118"/>
      <c r="Y34" s="118"/>
      <c r="Z34" s="115"/>
    </row>
    <row r="35" spans="3:26" ht="18" customHeight="1">
      <c r="M35" s="171"/>
      <c r="N35" s="145" t="s">
        <v>41</v>
      </c>
      <c r="O35" s="173">
        <v>7</v>
      </c>
      <c r="P35" s="234">
        <f ca="1">OFFSET($A$1,MATCH(Z30,$A:$A,0)-1,O35)</f>
        <v>6.6</v>
      </c>
      <c r="Q35" s="144" t="s">
        <v>29</v>
      </c>
      <c r="R35" s="118">
        <f t="shared" ca="1" si="2"/>
        <v>235459</v>
      </c>
      <c r="S35" s="118">
        <f t="shared" ca="1" si="2"/>
        <v>1554029</v>
      </c>
      <c r="T35" s="118">
        <f ca="1">초급</f>
        <v>235459</v>
      </c>
      <c r="U35" s="118">
        <f t="shared" ca="1" si="3"/>
        <v>1554029</v>
      </c>
      <c r="V35" s="118"/>
      <c r="W35" s="118"/>
      <c r="X35" s="118"/>
      <c r="Y35" s="118"/>
      <c r="Z35" s="115"/>
    </row>
    <row r="36" spans="3:26" ht="18" customHeight="1">
      <c r="M36" s="171"/>
      <c r="N36" s="319" t="s">
        <v>42</v>
      </c>
      <c r="O36" s="174">
        <v>8</v>
      </c>
      <c r="P36" s="235">
        <f ca="1">OFFSET($A$1,MATCH(Z30,$A:$A,0)-1,O36)</f>
        <v>9.9</v>
      </c>
      <c r="Q36" s="322" t="s">
        <v>29</v>
      </c>
      <c r="R36" s="323">
        <f t="shared" ca="1" si="2"/>
        <v>250087</v>
      </c>
      <c r="S36" s="323">
        <f t="shared" ca="1" si="2"/>
        <v>2475861</v>
      </c>
      <c r="T36" s="323">
        <f ca="1">보조원</f>
        <v>250087</v>
      </c>
      <c r="U36" s="323">
        <f t="shared" ca="1" si="3"/>
        <v>2475861</v>
      </c>
      <c r="V36" s="323"/>
      <c r="W36" s="323"/>
      <c r="X36" s="323"/>
      <c r="Y36" s="323"/>
      <c r="Z36" s="324"/>
    </row>
    <row r="37" spans="3:26" ht="18" customHeight="1">
      <c r="C37" s="9"/>
      <c r="L37" s="171"/>
      <c r="M37" s="171"/>
      <c r="N37" s="139" t="s">
        <v>17</v>
      </c>
      <c r="O37" s="68"/>
      <c r="P37" s="69"/>
      <c r="Q37" s="70"/>
      <c r="R37" s="71"/>
      <c r="S37" s="71">
        <f ca="1">SUBTOTAL(9,S31:S36)</f>
        <v>6964575</v>
      </c>
      <c r="T37" s="71"/>
      <c r="U37" s="71">
        <f ca="1">SUBTOTAL(9,U31:U36)</f>
        <v>6964575</v>
      </c>
      <c r="V37" s="71"/>
      <c r="W37" s="71"/>
      <c r="X37" s="71"/>
      <c r="Y37" s="71"/>
      <c r="Z37" s="68"/>
    </row>
    <row r="38" spans="3:26" ht="18" customHeight="1">
      <c r="C38" s="9"/>
      <c r="L38" s="171"/>
      <c r="M38" s="171"/>
      <c r="N38" s="318" t="str">
        <f ca="1">"제 " &amp; Z38 &amp; " 호표  "&amp; OFFSET($A$1,MATCH(Z38,$A:$A,0)-1,1)</f>
        <v>제 2 호표  1.2. 도시계획시설 결정(변경)</v>
      </c>
      <c r="O38" s="221"/>
      <c r="P38" s="148"/>
      <c r="Q38" s="148"/>
      <c r="R38" s="149"/>
      <c r="S38" s="149"/>
      <c r="T38" s="149"/>
      <c r="U38" s="149"/>
      <c r="V38" s="149"/>
      <c r="W38" s="149"/>
      <c r="X38" s="149"/>
      <c r="Y38" s="149"/>
      <c r="Z38" s="325">
        <f>Z30+1</f>
        <v>2</v>
      </c>
    </row>
    <row r="39" spans="3:26" ht="18" customHeight="1">
      <c r="L39" s="171"/>
      <c r="M39" s="171"/>
      <c r="N39" s="140" t="s">
        <v>43</v>
      </c>
      <c r="O39" s="172">
        <v>3</v>
      </c>
      <c r="P39" s="219">
        <f ca="1">OFFSET($A$1,MATCH(Z38,$A:$A,0)-1,O39)</f>
        <v>0.8</v>
      </c>
      <c r="Q39" s="141" t="s">
        <v>29</v>
      </c>
      <c r="R39" s="142">
        <f t="shared" ref="R39:S44" ca="1" si="4">T39</f>
        <v>467217</v>
      </c>
      <c r="S39" s="142">
        <f t="shared" ca="1" si="4"/>
        <v>373773</v>
      </c>
      <c r="T39" s="142">
        <f ca="1">기술사</f>
        <v>467217</v>
      </c>
      <c r="U39" s="142">
        <f t="shared" ref="U39:U44" ca="1" si="5">ROUNDDOWN(P39*R39,0)</f>
        <v>373773</v>
      </c>
      <c r="V39" s="142"/>
      <c r="W39" s="142"/>
      <c r="X39" s="142"/>
      <c r="Y39" s="142"/>
      <c r="Z39" s="114"/>
    </row>
    <row r="40" spans="3:26" ht="18" customHeight="1">
      <c r="L40" s="171"/>
      <c r="M40" s="171"/>
      <c r="N40" s="143" t="s">
        <v>32</v>
      </c>
      <c r="O40" s="173">
        <v>4</v>
      </c>
      <c r="P40" s="234">
        <f ca="1">OFFSET($A$1,MATCH(Z38,$A:$A,0)-1,O40)</f>
        <v>0.5</v>
      </c>
      <c r="Q40" s="144" t="s">
        <v>29</v>
      </c>
      <c r="R40" s="118">
        <f t="shared" ca="1" si="4"/>
        <v>373353</v>
      </c>
      <c r="S40" s="118">
        <f t="shared" ca="1" si="4"/>
        <v>186676</v>
      </c>
      <c r="T40" s="118">
        <f ca="1">특급</f>
        <v>373353</v>
      </c>
      <c r="U40" s="118">
        <f t="shared" ca="1" si="5"/>
        <v>186676</v>
      </c>
      <c r="V40" s="118"/>
      <c r="W40" s="118"/>
      <c r="X40" s="118"/>
      <c r="Y40" s="118"/>
      <c r="Z40" s="115"/>
    </row>
    <row r="41" spans="3:26" ht="18" customHeight="1">
      <c r="L41" s="171"/>
      <c r="M41" s="171"/>
      <c r="N41" s="145" t="s">
        <v>39</v>
      </c>
      <c r="O41" s="173">
        <v>5</v>
      </c>
      <c r="P41" s="234">
        <f ca="1">OFFSET($A$1,MATCH(Z38,$A:$A,0)-1,O41)</f>
        <v>4</v>
      </c>
      <c r="Q41" s="144" t="s">
        <v>29</v>
      </c>
      <c r="R41" s="118">
        <f t="shared" ca="1" si="4"/>
        <v>310884</v>
      </c>
      <c r="S41" s="118">
        <f t="shared" ca="1" si="4"/>
        <v>1243536</v>
      </c>
      <c r="T41" s="118">
        <f ca="1">고급</f>
        <v>310884</v>
      </c>
      <c r="U41" s="118">
        <f t="shared" ca="1" si="5"/>
        <v>1243536</v>
      </c>
      <c r="V41" s="118"/>
      <c r="W41" s="118"/>
      <c r="X41" s="118"/>
      <c r="Y41" s="118"/>
      <c r="Z41" s="115"/>
    </row>
    <row r="42" spans="3:26" ht="18" customHeight="1">
      <c r="K42" s="171" t="s">
        <v>14</v>
      </c>
      <c r="L42" s="171"/>
      <c r="M42" s="171"/>
      <c r="N42" s="145" t="s">
        <v>40</v>
      </c>
      <c r="O42" s="173">
        <v>6</v>
      </c>
      <c r="P42" s="234">
        <f ca="1">OFFSET($A$1,MATCH(Z38,$A:$A,0)-1,O42)</f>
        <v>4</v>
      </c>
      <c r="Q42" s="144" t="s">
        <v>29</v>
      </c>
      <c r="R42" s="118">
        <f t="shared" ca="1" si="4"/>
        <v>295138</v>
      </c>
      <c r="S42" s="118">
        <f t="shared" ca="1" si="4"/>
        <v>1180552</v>
      </c>
      <c r="T42" s="118">
        <f ca="1">중급</f>
        <v>295138</v>
      </c>
      <c r="U42" s="118">
        <f t="shared" ca="1" si="5"/>
        <v>1180552</v>
      </c>
      <c r="V42" s="118"/>
      <c r="W42" s="118"/>
      <c r="X42" s="118"/>
      <c r="Y42" s="118"/>
      <c r="Z42" s="115"/>
    </row>
    <row r="43" spans="3:26" ht="18" customHeight="1">
      <c r="K43" s="171" t="s">
        <v>14</v>
      </c>
      <c r="L43" s="171"/>
      <c r="M43" s="171"/>
      <c r="N43" s="145" t="s">
        <v>41</v>
      </c>
      <c r="O43" s="173">
        <v>7</v>
      </c>
      <c r="P43" s="234">
        <f ca="1">OFFSET($A$1,MATCH(Z38,$A:$A,0)-1,O43)</f>
        <v>13.2</v>
      </c>
      <c r="Q43" s="144" t="s">
        <v>29</v>
      </c>
      <c r="R43" s="118">
        <f t="shared" ca="1" si="4"/>
        <v>235459</v>
      </c>
      <c r="S43" s="118">
        <f t="shared" ca="1" si="4"/>
        <v>3108058</v>
      </c>
      <c r="T43" s="118">
        <f ca="1">초급</f>
        <v>235459</v>
      </c>
      <c r="U43" s="118">
        <f t="shared" ca="1" si="5"/>
        <v>3108058</v>
      </c>
      <c r="V43" s="118"/>
      <c r="W43" s="118"/>
      <c r="X43" s="118"/>
      <c r="Y43" s="118"/>
      <c r="Z43" s="115"/>
    </row>
    <row r="44" spans="3:26" ht="18" customHeight="1">
      <c r="K44" s="171" t="s">
        <v>14</v>
      </c>
      <c r="L44" s="171"/>
      <c r="M44" s="171"/>
      <c r="N44" s="319" t="s">
        <v>42</v>
      </c>
      <c r="O44" s="174">
        <v>8</v>
      </c>
      <c r="P44" s="235">
        <f ca="1">OFFSET($A$1,MATCH(Z38,$A:$A,0)-1,O44)</f>
        <v>16.5</v>
      </c>
      <c r="Q44" s="322" t="s">
        <v>29</v>
      </c>
      <c r="R44" s="323">
        <f t="shared" ca="1" si="4"/>
        <v>250087</v>
      </c>
      <c r="S44" s="323">
        <f t="shared" ca="1" si="4"/>
        <v>4126435</v>
      </c>
      <c r="T44" s="323">
        <f ca="1">보조원</f>
        <v>250087</v>
      </c>
      <c r="U44" s="323">
        <f t="shared" ca="1" si="5"/>
        <v>4126435</v>
      </c>
      <c r="V44" s="323"/>
      <c r="W44" s="323"/>
      <c r="X44" s="323"/>
      <c r="Y44" s="323"/>
      <c r="Z44" s="324"/>
    </row>
    <row r="45" spans="3:26" ht="18" customHeight="1">
      <c r="K45" s="171" t="s">
        <v>14</v>
      </c>
      <c r="L45" s="171"/>
      <c r="M45" s="171"/>
      <c r="N45" s="139" t="s">
        <v>17</v>
      </c>
      <c r="O45" s="68"/>
      <c r="P45" s="69"/>
      <c r="Q45" s="70"/>
      <c r="R45" s="71"/>
      <c r="S45" s="71">
        <f ca="1">SUBTOTAL(9,S39:S44)</f>
        <v>10219030</v>
      </c>
      <c r="T45" s="71"/>
      <c r="U45" s="71">
        <f ca="1">SUBTOTAL(9,U39:U44)</f>
        <v>10219030</v>
      </c>
      <c r="V45" s="71"/>
      <c r="W45" s="71"/>
      <c r="X45" s="71"/>
      <c r="Y45" s="71"/>
      <c r="Z45" s="68"/>
    </row>
    <row r="46" spans="3:26" ht="18" customHeight="1">
      <c r="K46" s="171" t="s">
        <v>14</v>
      </c>
      <c r="L46" s="171"/>
      <c r="M46" s="171"/>
      <c r="N46" s="318" t="str">
        <f ca="1">"제 " &amp; Z46 &amp; " 호표  "&amp; OFFSET($A$1,MATCH(Z46,$A:$A,0)-1,1)</f>
        <v>제 3 호표  1.3. 토지이용계획(변경)</v>
      </c>
      <c r="O46" s="221"/>
      <c r="P46" s="148"/>
      <c r="Q46" s="148"/>
      <c r="R46" s="149"/>
      <c r="S46" s="149"/>
      <c r="T46" s="149"/>
      <c r="U46" s="149"/>
      <c r="V46" s="149"/>
      <c r="W46" s="149"/>
      <c r="X46" s="149"/>
      <c r="Y46" s="149"/>
      <c r="Z46" s="325">
        <f>Z38+1</f>
        <v>3</v>
      </c>
    </row>
    <row r="47" spans="3:26" ht="18" customHeight="1">
      <c r="K47" s="171" t="s">
        <v>14</v>
      </c>
      <c r="L47" s="171"/>
      <c r="M47" s="171"/>
      <c r="N47" s="140" t="s">
        <v>43</v>
      </c>
      <c r="O47" s="172">
        <v>3</v>
      </c>
      <c r="P47" s="219">
        <f ca="1">OFFSET($A$1,MATCH(Z46,$A:$A,0)-1,O47)</f>
        <v>1.3</v>
      </c>
      <c r="Q47" s="141" t="s">
        <v>29</v>
      </c>
      <c r="R47" s="142">
        <f t="shared" ref="R47:S52" ca="1" si="6">T47</f>
        <v>467217</v>
      </c>
      <c r="S47" s="142">
        <f t="shared" ca="1" si="6"/>
        <v>607382</v>
      </c>
      <c r="T47" s="142">
        <f ca="1">기술사</f>
        <v>467217</v>
      </c>
      <c r="U47" s="142">
        <f t="shared" ref="U47:U52" ca="1" si="7">ROUNDDOWN(P47*R47,0)</f>
        <v>607382</v>
      </c>
      <c r="V47" s="142"/>
      <c r="W47" s="142"/>
      <c r="X47" s="142"/>
      <c r="Y47" s="142"/>
      <c r="Z47" s="114"/>
    </row>
    <row r="48" spans="3:26" ht="18" customHeight="1">
      <c r="K48" s="171" t="s">
        <v>14</v>
      </c>
      <c r="L48" s="171"/>
      <c r="M48" s="171"/>
      <c r="N48" s="143" t="s">
        <v>32</v>
      </c>
      <c r="O48" s="173">
        <v>4</v>
      </c>
      <c r="P48" s="234">
        <f ca="1">OFFSET($A$1,MATCH(Z46,$A:$A,0)-1,O48)</f>
        <v>1.3</v>
      </c>
      <c r="Q48" s="144" t="s">
        <v>29</v>
      </c>
      <c r="R48" s="118">
        <f t="shared" ca="1" si="6"/>
        <v>373353</v>
      </c>
      <c r="S48" s="118">
        <f t="shared" ca="1" si="6"/>
        <v>485358</v>
      </c>
      <c r="T48" s="118">
        <f ca="1">특급</f>
        <v>373353</v>
      </c>
      <c r="U48" s="118">
        <f t="shared" ca="1" si="7"/>
        <v>485358</v>
      </c>
      <c r="V48" s="118"/>
      <c r="W48" s="118"/>
      <c r="X48" s="118"/>
      <c r="Y48" s="118"/>
      <c r="Z48" s="115"/>
    </row>
    <row r="49" spans="11:26" ht="18" customHeight="1">
      <c r="K49" s="171" t="s">
        <v>14</v>
      </c>
      <c r="L49" s="171"/>
      <c r="M49" s="171"/>
      <c r="N49" s="145" t="s">
        <v>39</v>
      </c>
      <c r="O49" s="173">
        <v>5</v>
      </c>
      <c r="P49" s="234">
        <f ca="1">OFFSET($A$1,MATCH(Z46,$A:$A,0)-1,O49)</f>
        <v>7.5</v>
      </c>
      <c r="Q49" s="144" t="s">
        <v>29</v>
      </c>
      <c r="R49" s="118">
        <f t="shared" ca="1" si="6"/>
        <v>310884</v>
      </c>
      <c r="S49" s="118">
        <f t="shared" ca="1" si="6"/>
        <v>2331630</v>
      </c>
      <c r="T49" s="118">
        <f ca="1">고급</f>
        <v>310884</v>
      </c>
      <c r="U49" s="118">
        <f t="shared" ca="1" si="7"/>
        <v>2331630</v>
      </c>
      <c r="V49" s="118"/>
      <c r="W49" s="118"/>
      <c r="X49" s="118"/>
      <c r="Y49" s="118"/>
      <c r="Z49" s="115"/>
    </row>
    <row r="50" spans="11:26" ht="18" customHeight="1">
      <c r="K50" s="171" t="s">
        <v>14</v>
      </c>
      <c r="L50" s="171"/>
      <c r="M50" s="171"/>
      <c r="N50" s="145" t="s">
        <v>40</v>
      </c>
      <c r="O50" s="173">
        <v>6</v>
      </c>
      <c r="P50" s="234">
        <f ca="1">OFFSET($A$1,MATCH(Z46,$A:$A,0)-1,O50)</f>
        <v>8.1</v>
      </c>
      <c r="Q50" s="144" t="s">
        <v>29</v>
      </c>
      <c r="R50" s="118">
        <f t="shared" ca="1" si="6"/>
        <v>295138</v>
      </c>
      <c r="S50" s="118">
        <f t="shared" ca="1" si="6"/>
        <v>2390617</v>
      </c>
      <c r="T50" s="118">
        <f ca="1">중급</f>
        <v>295138</v>
      </c>
      <c r="U50" s="118">
        <f t="shared" ca="1" si="7"/>
        <v>2390617</v>
      </c>
      <c r="V50" s="118"/>
      <c r="W50" s="118"/>
      <c r="X50" s="118"/>
      <c r="Y50" s="118"/>
      <c r="Z50" s="115"/>
    </row>
    <row r="51" spans="11:26" ht="18" customHeight="1">
      <c r="K51" s="171" t="s">
        <v>14</v>
      </c>
      <c r="L51" s="171"/>
      <c r="M51" s="171"/>
      <c r="N51" s="145" t="s">
        <v>41</v>
      </c>
      <c r="O51" s="173">
        <v>7</v>
      </c>
      <c r="P51" s="234">
        <f ca="1">OFFSET($A$1,MATCH(Z46,$A:$A,0)-1,O51)</f>
        <v>27</v>
      </c>
      <c r="Q51" s="144" t="s">
        <v>29</v>
      </c>
      <c r="R51" s="118">
        <f t="shared" ca="1" si="6"/>
        <v>235459</v>
      </c>
      <c r="S51" s="118">
        <f t="shared" ca="1" si="6"/>
        <v>6357393</v>
      </c>
      <c r="T51" s="118">
        <f ca="1">초급</f>
        <v>235459</v>
      </c>
      <c r="U51" s="118">
        <f t="shared" ca="1" si="7"/>
        <v>6357393</v>
      </c>
      <c r="V51" s="118"/>
      <c r="W51" s="118"/>
      <c r="X51" s="118"/>
      <c r="Y51" s="118"/>
      <c r="Z51" s="115"/>
    </row>
    <row r="52" spans="11:26" ht="18" customHeight="1">
      <c r="K52" s="171" t="s">
        <v>14</v>
      </c>
      <c r="L52" s="171"/>
      <c r="M52" s="171"/>
      <c r="N52" s="319" t="s">
        <v>42</v>
      </c>
      <c r="O52" s="174">
        <v>8</v>
      </c>
      <c r="P52" s="235">
        <f ca="1">OFFSET($A$1,MATCH(Z46,$A:$A,0)-1,O52)</f>
        <v>27</v>
      </c>
      <c r="Q52" s="322" t="s">
        <v>29</v>
      </c>
      <c r="R52" s="323">
        <f t="shared" ca="1" si="6"/>
        <v>250087</v>
      </c>
      <c r="S52" s="323">
        <f t="shared" ca="1" si="6"/>
        <v>6752349</v>
      </c>
      <c r="T52" s="323">
        <f ca="1">보조원</f>
        <v>250087</v>
      </c>
      <c r="U52" s="323">
        <f t="shared" ca="1" si="7"/>
        <v>6752349</v>
      </c>
      <c r="V52" s="323"/>
      <c r="W52" s="323"/>
      <c r="X52" s="323"/>
      <c r="Y52" s="323"/>
      <c r="Z52" s="324"/>
    </row>
    <row r="53" spans="11:26" ht="18" customHeight="1">
      <c r="K53" s="171" t="s">
        <v>14</v>
      </c>
      <c r="L53" s="171"/>
      <c r="M53" s="171"/>
      <c r="N53" s="139" t="s">
        <v>17</v>
      </c>
      <c r="O53" s="68"/>
      <c r="P53" s="69"/>
      <c r="Q53" s="70"/>
      <c r="R53" s="71"/>
      <c r="S53" s="71">
        <f ca="1">SUBTOTAL(9,S47:S52)</f>
        <v>18924729</v>
      </c>
      <c r="T53" s="71"/>
      <c r="U53" s="71">
        <f ca="1">SUBTOTAL(9,U47:U52)</f>
        <v>18924729</v>
      </c>
      <c r="V53" s="71"/>
      <c r="W53" s="71"/>
      <c r="X53" s="71"/>
      <c r="Y53" s="71"/>
      <c r="Z53" s="68"/>
    </row>
    <row r="54" spans="11:26" ht="18" customHeight="1">
      <c r="K54" s="171" t="s">
        <v>14</v>
      </c>
      <c r="L54" s="171"/>
      <c r="M54" s="171"/>
      <c r="N54" s="318" t="str">
        <f ca="1">"제 " &amp; Z54 &amp; " 호표  "&amp; OFFSET($A$1,MATCH(Z54,$A:$A,0)-1,1)</f>
        <v>제 4 호표  2. 실시계획 승인도서 작성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f>Z46+1</f>
        <v>4</v>
      </c>
    </row>
    <row r="55" spans="11:26" ht="18" customHeight="1">
      <c r="K55" s="171" t="s">
        <v>14</v>
      </c>
      <c r="L55" s="171"/>
      <c r="M55" s="171"/>
      <c r="N55" s="140" t="s">
        <v>43</v>
      </c>
      <c r="O55" s="172">
        <v>3</v>
      </c>
      <c r="P55" s="219">
        <f ca="1">OFFSET($A$1,MATCH(Z54,$A:$A,0)-1,O55)</f>
        <v>0.9</v>
      </c>
      <c r="Q55" s="141" t="s">
        <v>29</v>
      </c>
      <c r="R55" s="142">
        <f t="shared" ref="R55:S60" ca="1" si="8">T55</f>
        <v>467217</v>
      </c>
      <c r="S55" s="142">
        <f t="shared" ca="1" si="8"/>
        <v>420495</v>
      </c>
      <c r="T55" s="142">
        <f ca="1">기술사</f>
        <v>467217</v>
      </c>
      <c r="U55" s="142">
        <f t="shared" ref="U55:U60" ca="1" si="9">ROUNDDOWN(P55*R55,0)</f>
        <v>420495</v>
      </c>
      <c r="V55" s="142"/>
      <c r="W55" s="142"/>
      <c r="X55" s="142"/>
      <c r="Y55" s="142"/>
      <c r="Z55" s="114"/>
    </row>
    <row r="56" spans="11:26" ht="18" customHeight="1">
      <c r="K56" s="171" t="s">
        <v>14</v>
      </c>
      <c r="L56" s="171"/>
      <c r="M56" s="171"/>
      <c r="N56" s="143" t="s">
        <v>32</v>
      </c>
      <c r="O56" s="173">
        <v>4</v>
      </c>
      <c r="P56" s="234">
        <f ca="1">OFFSET($A$1,MATCH(Z54,$A:$A,0)-1,O56)</f>
        <v>0.4</v>
      </c>
      <c r="Q56" s="144" t="s">
        <v>29</v>
      </c>
      <c r="R56" s="118">
        <f t="shared" ca="1" si="8"/>
        <v>373353</v>
      </c>
      <c r="S56" s="118">
        <f t="shared" ca="1" si="8"/>
        <v>149341</v>
      </c>
      <c r="T56" s="118">
        <f ca="1">특급</f>
        <v>373353</v>
      </c>
      <c r="U56" s="118">
        <f t="shared" ca="1" si="9"/>
        <v>149341</v>
      </c>
      <c r="V56" s="118"/>
      <c r="W56" s="118"/>
      <c r="X56" s="118"/>
      <c r="Y56" s="118"/>
      <c r="Z56" s="115"/>
    </row>
    <row r="57" spans="11:26" ht="18" customHeight="1">
      <c r="K57" s="171" t="s">
        <v>14</v>
      </c>
      <c r="L57" s="171"/>
      <c r="M57" s="171"/>
      <c r="N57" s="145" t="s">
        <v>39</v>
      </c>
      <c r="O57" s="173">
        <v>5</v>
      </c>
      <c r="P57" s="234">
        <f ca="1">OFFSET($A$1,MATCH(Z54,$A:$A,0)-1,O57)</f>
        <v>4</v>
      </c>
      <c r="Q57" s="144" t="s">
        <v>29</v>
      </c>
      <c r="R57" s="118">
        <f t="shared" ca="1" si="8"/>
        <v>310884</v>
      </c>
      <c r="S57" s="118">
        <f t="shared" ca="1" si="8"/>
        <v>1243536</v>
      </c>
      <c r="T57" s="118">
        <f ca="1">고급</f>
        <v>310884</v>
      </c>
      <c r="U57" s="118">
        <f t="shared" ca="1" si="9"/>
        <v>1243536</v>
      </c>
      <c r="V57" s="118"/>
      <c r="W57" s="118"/>
      <c r="X57" s="118"/>
      <c r="Y57" s="118"/>
      <c r="Z57" s="115"/>
    </row>
    <row r="58" spans="11:26" ht="18" customHeight="1">
      <c r="K58" s="171" t="s">
        <v>14</v>
      </c>
      <c r="L58" s="171"/>
      <c r="M58" s="171"/>
      <c r="N58" s="145" t="s">
        <v>40</v>
      </c>
      <c r="O58" s="173">
        <v>6</v>
      </c>
      <c r="P58" s="234">
        <f ca="1">OFFSET($A$1,MATCH(Z54,$A:$A,0)-1,O58)</f>
        <v>4</v>
      </c>
      <c r="Q58" s="144" t="s">
        <v>29</v>
      </c>
      <c r="R58" s="118">
        <f t="shared" ca="1" si="8"/>
        <v>295138</v>
      </c>
      <c r="S58" s="118">
        <f t="shared" ca="1" si="8"/>
        <v>1180552</v>
      </c>
      <c r="T58" s="118">
        <f ca="1">중급</f>
        <v>295138</v>
      </c>
      <c r="U58" s="118">
        <f t="shared" ca="1" si="9"/>
        <v>1180552</v>
      </c>
      <c r="V58" s="118"/>
      <c r="W58" s="118"/>
      <c r="X58" s="118"/>
      <c r="Y58" s="118"/>
      <c r="Z58" s="115"/>
    </row>
    <row r="59" spans="11:26" ht="18" customHeight="1">
      <c r="K59" s="171" t="s">
        <v>14</v>
      </c>
      <c r="L59" s="171"/>
      <c r="M59" s="171"/>
      <c r="N59" s="145" t="s">
        <v>41</v>
      </c>
      <c r="O59" s="173">
        <v>7</v>
      </c>
      <c r="P59" s="234">
        <f ca="1">OFFSET($A$1,MATCH(Z54,$A:$A,0)-1,O59)</f>
        <v>6.6</v>
      </c>
      <c r="Q59" s="144" t="s">
        <v>29</v>
      </c>
      <c r="R59" s="118">
        <f t="shared" ca="1" si="8"/>
        <v>235459</v>
      </c>
      <c r="S59" s="118">
        <f t="shared" ca="1" si="8"/>
        <v>1554029</v>
      </c>
      <c r="T59" s="118">
        <f ca="1">초급</f>
        <v>235459</v>
      </c>
      <c r="U59" s="118">
        <f t="shared" ca="1" si="9"/>
        <v>1554029</v>
      </c>
      <c r="V59" s="118"/>
      <c r="W59" s="118"/>
      <c r="X59" s="118"/>
      <c r="Y59" s="118"/>
      <c r="Z59" s="115"/>
    </row>
    <row r="60" spans="11:26" ht="18" customHeight="1">
      <c r="K60" s="171" t="s">
        <v>14</v>
      </c>
      <c r="L60" s="171"/>
      <c r="M60" s="171"/>
      <c r="N60" s="319" t="s">
        <v>42</v>
      </c>
      <c r="O60" s="174">
        <v>8</v>
      </c>
      <c r="P60" s="235">
        <f ca="1">OFFSET($A$1,MATCH(Z54,$A:$A,0)-1,O60)</f>
        <v>9.9</v>
      </c>
      <c r="Q60" s="322" t="s">
        <v>29</v>
      </c>
      <c r="R60" s="323">
        <f t="shared" ca="1" si="8"/>
        <v>250087</v>
      </c>
      <c r="S60" s="323">
        <f t="shared" ca="1" si="8"/>
        <v>2475861</v>
      </c>
      <c r="T60" s="323">
        <f ca="1">보조원</f>
        <v>250087</v>
      </c>
      <c r="U60" s="323">
        <f t="shared" ca="1" si="9"/>
        <v>2475861</v>
      </c>
      <c r="V60" s="323"/>
      <c r="W60" s="323"/>
      <c r="X60" s="323"/>
      <c r="Y60" s="323"/>
      <c r="Z60" s="324"/>
    </row>
    <row r="61" spans="11:26" ht="18" customHeight="1">
      <c r="K61" s="171" t="s">
        <v>14</v>
      </c>
      <c r="L61" s="171"/>
      <c r="M61" s="171"/>
      <c r="N61" s="139" t="s">
        <v>17</v>
      </c>
      <c r="O61" s="68"/>
      <c r="P61" s="69"/>
      <c r="Q61" s="70"/>
      <c r="R61" s="71"/>
      <c r="S61" s="71">
        <f ca="1">SUBTOTAL(9,S55:S60)</f>
        <v>7023814</v>
      </c>
      <c r="T61" s="71"/>
      <c r="U61" s="71">
        <f ca="1">SUBTOTAL(9,U55:U60)</f>
        <v>7023814</v>
      </c>
      <c r="V61" s="71"/>
      <c r="W61" s="71"/>
      <c r="X61" s="71"/>
      <c r="Y61" s="71"/>
      <c r="Z61" s="68"/>
    </row>
    <row r="62" spans="11:26" ht="18" customHeight="1">
      <c r="K62" s="171" t="s">
        <v>14</v>
      </c>
      <c r="L62" s="171"/>
      <c r="M62" s="171"/>
      <c r="N62" s="171"/>
      <c r="O62" s="171"/>
      <c r="P62" s="171"/>
      <c r="Q62" s="171"/>
      <c r="R62" s="171"/>
      <c r="S62" s="171"/>
      <c r="T62" s="171"/>
      <c r="U62" s="171"/>
      <c r="V62" s="171"/>
      <c r="W62" s="171"/>
      <c r="X62" s="171"/>
      <c r="Y62" s="171"/>
      <c r="Z62" s="171"/>
    </row>
    <row r="63" spans="11:26" ht="18" customHeight="1">
      <c r="K63" s="171" t="s">
        <v>14</v>
      </c>
      <c r="L63" s="171"/>
      <c r="M63" s="171"/>
      <c r="N63" s="171"/>
      <c r="O63" s="171"/>
      <c r="P63" s="171"/>
      <c r="Q63" s="171"/>
      <c r="R63" s="171"/>
      <c r="S63" s="171"/>
      <c r="T63" s="171"/>
      <c r="U63" s="171"/>
      <c r="V63" s="171"/>
      <c r="W63" s="171"/>
      <c r="X63" s="171"/>
      <c r="Y63" s="171"/>
      <c r="Z63" s="171"/>
    </row>
    <row r="64" spans="11:26" ht="18" customHeight="1">
      <c r="K64" s="171" t="s">
        <v>14</v>
      </c>
      <c r="L64" s="171"/>
      <c r="M64" s="171"/>
      <c r="N64" s="171"/>
      <c r="O64" s="171"/>
      <c r="P64" s="171"/>
      <c r="Q64" s="171"/>
      <c r="R64" s="171"/>
      <c r="S64" s="171"/>
      <c r="T64" s="171"/>
      <c r="U64" s="171"/>
      <c r="V64" s="171"/>
      <c r="W64" s="171"/>
      <c r="X64" s="171"/>
      <c r="Y64" s="171"/>
      <c r="Z64" s="171"/>
    </row>
    <row r="65" spans="11:26" ht="18" customHeight="1">
      <c r="K65" s="171" t="s">
        <v>14</v>
      </c>
      <c r="L65" s="171"/>
      <c r="M65" s="171"/>
      <c r="N65" s="171"/>
      <c r="O65" s="171"/>
      <c r="P65" s="171"/>
      <c r="Q65" s="171"/>
      <c r="R65" s="171"/>
      <c r="S65" s="171"/>
      <c r="T65" s="171"/>
      <c r="U65" s="171"/>
      <c r="V65" s="171"/>
      <c r="W65" s="171"/>
      <c r="X65" s="171"/>
      <c r="Y65" s="171"/>
      <c r="Z65" s="171"/>
    </row>
    <row r="66" spans="11:26" ht="18" customHeight="1">
      <c r="K66" s="171" t="s">
        <v>14</v>
      </c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X66" s="171"/>
      <c r="Y66" s="171"/>
      <c r="Z66" s="171"/>
    </row>
    <row r="67" spans="11:26" ht="18" customHeight="1">
      <c r="K67" s="171" t="s">
        <v>14</v>
      </c>
      <c r="L67" s="171"/>
      <c r="M67" s="171"/>
      <c r="N67" s="171"/>
      <c r="O67" s="171"/>
      <c r="P67" s="171"/>
      <c r="Q67" s="171"/>
      <c r="R67" s="171"/>
      <c r="S67" s="171"/>
      <c r="T67" s="171"/>
      <c r="U67" s="171"/>
      <c r="V67" s="171"/>
      <c r="W67" s="171"/>
      <c r="X67" s="171"/>
      <c r="Y67" s="171"/>
      <c r="Z67" s="171"/>
    </row>
    <row r="68" spans="11:26" ht="18" customHeight="1">
      <c r="K68" s="171" t="s">
        <v>14</v>
      </c>
      <c r="L68" s="171"/>
      <c r="M68" s="171"/>
      <c r="N68" s="171"/>
      <c r="O68" s="171"/>
      <c r="P68" s="171"/>
      <c r="Q68" s="171"/>
      <c r="R68" s="171"/>
      <c r="S68" s="171"/>
      <c r="T68" s="171"/>
      <c r="U68" s="171"/>
      <c r="V68" s="171"/>
      <c r="W68" s="171"/>
      <c r="X68" s="171"/>
      <c r="Y68" s="171"/>
      <c r="Z68" s="171"/>
    </row>
    <row r="69" spans="11:26" ht="18" customHeight="1">
      <c r="K69" s="171" t="s">
        <v>14</v>
      </c>
      <c r="L69" s="171"/>
      <c r="M69" s="171"/>
      <c r="N69" s="171"/>
      <c r="O69" s="171"/>
      <c r="P69" s="171"/>
      <c r="Q69" s="171"/>
      <c r="R69" s="171"/>
      <c r="S69" s="171"/>
      <c r="T69" s="171"/>
      <c r="U69" s="171"/>
      <c r="V69" s="171"/>
      <c r="W69" s="171"/>
      <c r="X69" s="171"/>
      <c r="Y69" s="171"/>
      <c r="Z69" s="171"/>
    </row>
    <row r="70" spans="11:26" ht="18" customHeight="1">
      <c r="K70" s="171" t="s">
        <v>14</v>
      </c>
      <c r="L70" s="171"/>
      <c r="M70" s="171"/>
      <c r="N70" s="171"/>
      <c r="O70" s="171"/>
      <c r="P70" s="171"/>
      <c r="Q70" s="171"/>
      <c r="R70" s="171"/>
      <c r="S70" s="171"/>
      <c r="T70" s="171"/>
      <c r="U70" s="171"/>
      <c r="V70" s="171"/>
      <c r="W70" s="171"/>
      <c r="X70" s="171"/>
      <c r="Y70" s="171"/>
      <c r="Z70" s="171"/>
    </row>
    <row r="71" spans="11:26" ht="18" customHeight="1">
      <c r="K71" s="171" t="s">
        <v>14</v>
      </c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</row>
    <row r="72" spans="11:26" ht="18" customHeight="1">
      <c r="K72" s="171" t="s">
        <v>14</v>
      </c>
      <c r="L72" s="171"/>
      <c r="M72" s="171"/>
      <c r="N72" s="171"/>
      <c r="O72" s="171"/>
      <c r="P72" s="171"/>
      <c r="Q72" s="171"/>
      <c r="R72" s="171"/>
      <c r="S72" s="171"/>
      <c r="T72" s="171"/>
      <c r="U72" s="171"/>
      <c r="V72" s="171"/>
      <c r="W72" s="171"/>
      <c r="X72" s="171"/>
      <c r="Y72" s="171"/>
      <c r="Z72" s="171"/>
    </row>
    <row r="73" spans="11:26" ht="18" customHeight="1">
      <c r="K73" s="171" t="s">
        <v>14</v>
      </c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</row>
    <row r="74" spans="11:26" ht="18" customHeight="1">
      <c r="K74" s="171" t="s">
        <v>14</v>
      </c>
      <c r="L74" s="171"/>
      <c r="M74" s="171"/>
      <c r="N74" s="171"/>
      <c r="O74" s="171"/>
      <c r="P74" s="171"/>
      <c r="Q74" s="171"/>
      <c r="R74" s="171"/>
      <c r="S74" s="171"/>
      <c r="T74" s="171"/>
      <c r="U74" s="171"/>
      <c r="V74" s="171"/>
      <c r="W74" s="171"/>
      <c r="X74" s="171"/>
      <c r="Y74" s="171"/>
      <c r="Z74" s="171"/>
    </row>
    <row r="75" spans="11:26" ht="18" customHeight="1">
      <c r="K75" s="171" t="s">
        <v>14</v>
      </c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</row>
    <row r="76" spans="11:26" ht="18" customHeight="1">
      <c r="K76" s="171" t="s">
        <v>14</v>
      </c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</row>
    <row r="77" spans="11:26" ht="18" customHeight="1">
      <c r="K77" s="171" t="s">
        <v>14</v>
      </c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</row>
    <row r="78" spans="11:26" ht="18" customHeight="1">
      <c r="K78" s="171" t="s">
        <v>14</v>
      </c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</row>
    <row r="79" spans="11:26" ht="18" customHeight="1">
      <c r="K79" s="171" t="s">
        <v>14</v>
      </c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</row>
    <row r="80" spans="11:26" ht="18" customHeight="1">
      <c r="K80" s="171" t="s">
        <v>14</v>
      </c>
      <c r="L80" s="171"/>
      <c r="M80" s="171"/>
      <c r="N80" s="171"/>
      <c r="O80" s="171"/>
      <c r="P80" s="171"/>
      <c r="Q80" s="171"/>
      <c r="R80" s="171"/>
      <c r="S80" s="171"/>
      <c r="T80" s="171"/>
      <c r="U80" s="171"/>
      <c r="V80" s="171"/>
      <c r="W80" s="171"/>
      <c r="X80" s="171"/>
      <c r="Y80" s="171"/>
      <c r="Z80" s="171"/>
    </row>
    <row r="81" spans="11:26" ht="18" customHeight="1">
      <c r="K81" s="171" t="s">
        <v>14</v>
      </c>
      <c r="L81" s="171"/>
      <c r="M81" s="171"/>
      <c r="N81" s="171"/>
      <c r="O81" s="171"/>
      <c r="P81" s="171"/>
      <c r="Q81" s="171"/>
      <c r="R81" s="171"/>
      <c r="S81" s="171"/>
      <c r="T81" s="171"/>
      <c r="U81" s="171"/>
      <c r="V81" s="171"/>
      <c r="W81" s="171"/>
      <c r="X81" s="171"/>
      <c r="Y81" s="171"/>
      <c r="Z81" s="171"/>
    </row>
    <row r="82" spans="11:26" ht="18" customHeight="1">
      <c r="K82" s="171" t="s">
        <v>14</v>
      </c>
      <c r="L82" s="171"/>
      <c r="M82" s="171"/>
      <c r="N82" s="171"/>
      <c r="O82" s="171"/>
      <c r="P82" s="171"/>
      <c r="Q82" s="171"/>
      <c r="R82" s="171"/>
      <c r="S82" s="171"/>
      <c r="T82" s="171"/>
      <c r="U82" s="171"/>
      <c r="V82" s="171"/>
      <c r="W82" s="171"/>
      <c r="X82" s="171"/>
      <c r="Y82" s="171"/>
      <c r="Z82" s="171"/>
    </row>
    <row r="83" spans="11:26" ht="18" customHeight="1">
      <c r="K83" s="171" t="s">
        <v>14</v>
      </c>
      <c r="L83" s="171"/>
      <c r="M83" s="171"/>
      <c r="N83" s="171"/>
      <c r="O83" s="171"/>
      <c r="P83" s="171"/>
      <c r="Q83" s="171"/>
      <c r="R83" s="171"/>
      <c r="S83" s="171"/>
      <c r="T83" s="171"/>
      <c r="U83" s="171"/>
      <c r="V83" s="171"/>
      <c r="W83" s="171"/>
      <c r="X83" s="171"/>
      <c r="Y83" s="171"/>
      <c r="Z83" s="171"/>
    </row>
    <row r="84" spans="11:26" ht="18" customHeight="1">
      <c r="K84" s="171" t="s">
        <v>14</v>
      </c>
      <c r="L84" s="171"/>
      <c r="M84" s="171"/>
      <c r="N84" s="171"/>
      <c r="O84" s="171"/>
      <c r="P84" s="171"/>
      <c r="Q84" s="171"/>
      <c r="R84" s="171"/>
      <c r="S84" s="171"/>
      <c r="T84" s="171"/>
      <c r="U84" s="171"/>
      <c r="V84" s="171"/>
      <c r="W84" s="171"/>
      <c r="X84" s="171"/>
      <c r="Y84" s="171"/>
      <c r="Z84" s="171"/>
    </row>
    <row r="85" spans="11:26" ht="18" customHeight="1">
      <c r="K85" s="171" t="s">
        <v>14</v>
      </c>
      <c r="L85" s="171"/>
      <c r="M85" s="171"/>
      <c r="N85" s="171"/>
      <c r="O85" s="171"/>
      <c r="P85" s="171"/>
      <c r="Q85" s="171"/>
      <c r="R85" s="171"/>
      <c r="S85" s="171"/>
      <c r="T85" s="171"/>
      <c r="U85" s="171"/>
      <c r="V85" s="171"/>
      <c r="W85" s="171"/>
      <c r="X85" s="171"/>
      <c r="Y85" s="171"/>
      <c r="Z85" s="171"/>
    </row>
    <row r="86" spans="11:26" ht="18" customHeight="1">
      <c r="K86" s="171" t="s">
        <v>14</v>
      </c>
      <c r="L86" s="171"/>
      <c r="M86" s="171"/>
      <c r="N86" s="171"/>
      <c r="O86" s="171"/>
      <c r="P86" s="171"/>
      <c r="Q86" s="171"/>
      <c r="R86" s="171"/>
      <c r="S86" s="171"/>
      <c r="T86" s="171"/>
      <c r="U86" s="171"/>
      <c r="V86" s="171"/>
      <c r="W86" s="171"/>
      <c r="X86" s="171"/>
      <c r="Y86" s="171"/>
      <c r="Z86" s="171"/>
    </row>
    <row r="87" spans="11:26" ht="18" customHeight="1">
      <c r="K87" s="171" t="s">
        <v>14</v>
      </c>
      <c r="L87" s="171"/>
      <c r="M87" s="171"/>
      <c r="N87" s="171"/>
      <c r="O87" s="171"/>
      <c r="P87" s="171"/>
      <c r="Q87" s="171"/>
      <c r="R87" s="171"/>
      <c r="S87" s="171"/>
      <c r="T87" s="171"/>
      <c r="U87" s="171"/>
      <c r="V87" s="171"/>
      <c r="W87" s="171"/>
      <c r="X87" s="171"/>
      <c r="Y87" s="171"/>
      <c r="Z87" s="171"/>
    </row>
    <row r="88" spans="11:26" ht="18" customHeight="1">
      <c r="K88" s="171" t="s">
        <v>14</v>
      </c>
      <c r="L88" s="171"/>
      <c r="M88" s="171"/>
      <c r="N88" s="171"/>
      <c r="O88" s="171"/>
      <c r="P88" s="171"/>
      <c r="Q88" s="171"/>
      <c r="R88" s="171"/>
      <c r="S88" s="171"/>
      <c r="T88" s="171"/>
      <c r="U88" s="171"/>
      <c r="V88" s="171"/>
      <c r="W88" s="171"/>
      <c r="X88" s="171"/>
      <c r="Y88" s="171"/>
      <c r="Z88" s="171"/>
    </row>
    <row r="89" spans="11:26" ht="18" customHeight="1">
      <c r="K89" s="171" t="s">
        <v>14</v>
      </c>
      <c r="L89" s="171"/>
      <c r="M89" s="171"/>
      <c r="N89" s="171"/>
      <c r="O89" s="171"/>
      <c r="P89" s="171"/>
      <c r="Q89" s="171"/>
      <c r="R89" s="171"/>
      <c r="S89" s="171"/>
      <c r="T89" s="171"/>
      <c r="U89" s="171"/>
      <c r="V89" s="171"/>
      <c r="W89" s="171"/>
      <c r="X89" s="171"/>
      <c r="Y89" s="171"/>
      <c r="Z89" s="171"/>
    </row>
    <row r="90" spans="11:26" ht="18" customHeight="1">
      <c r="K90" s="171" t="s">
        <v>14</v>
      </c>
      <c r="L90" s="171"/>
      <c r="M90" s="171"/>
    </row>
    <row r="91" spans="11:26" ht="18" customHeight="1">
      <c r="K91" s="171" t="s">
        <v>14</v>
      </c>
      <c r="L91" s="171"/>
      <c r="M91" s="171"/>
    </row>
    <row r="92" spans="11:26" ht="18" customHeight="1">
      <c r="K92" s="171" t="s">
        <v>14</v>
      </c>
      <c r="L92" s="171"/>
      <c r="M92" s="171"/>
    </row>
    <row r="93" spans="11:26" ht="18" customHeight="1">
      <c r="K93" s="171" t="s">
        <v>14</v>
      </c>
      <c r="L93" s="171"/>
      <c r="M93" s="171"/>
    </row>
    <row r="94" spans="11:26" ht="18" customHeight="1">
      <c r="K94" s="171" t="s">
        <v>14</v>
      </c>
      <c r="L94" s="171"/>
      <c r="M94" s="171"/>
    </row>
    <row r="95" spans="11:26" ht="18" customHeight="1">
      <c r="K95" s="171" t="s">
        <v>14</v>
      </c>
      <c r="L95" s="171"/>
      <c r="M95" s="171"/>
    </row>
    <row r="96" spans="11:26" ht="18" customHeight="1">
      <c r="K96" s="171" t="s">
        <v>14</v>
      </c>
      <c r="L96" s="171"/>
      <c r="M96" s="171"/>
    </row>
    <row r="97" spans="11:13" ht="18" customHeight="1">
      <c r="K97" s="171" t="s">
        <v>14</v>
      </c>
      <c r="L97" s="171"/>
      <c r="M97" s="171"/>
    </row>
    <row r="98" spans="11:13" ht="18" customHeight="1">
      <c r="K98" s="171" t="s">
        <v>14</v>
      </c>
      <c r="L98" s="171"/>
      <c r="M98" s="171"/>
    </row>
    <row r="99" spans="11:13" ht="18" customHeight="1">
      <c r="K99" s="171" t="s">
        <v>14</v>
      </c>
      <c r="L99" s="171"/>
      <c r="M99" s="171"/>
    </row>
    <row r="100" spans="11:13" ht="18" customHeight="1">
      <c r="K100" s="171" t="s">
        <v>14</v>
      </c>
      <c r="L100" s="171"/>
      <c r="M100" s="171"/>
    </row>
    <row r="101" spans="11:13" ht="18" customHeight="1">
      <c r="K101" s="171" t="s">
        <v>14</v>
      </c>
      <c r="L101" s="171"/>
      <c r="M101" s="171"/>
    </row>
    <row r="102" spans="11:13" ht="18" customHeight="1">
      <c r="K102" s="171" t="s">
        <v>14</v>
      </c>
      <c r="L102" s="171"/>
      <c r="M102" s="171"/>
    </row>
    <row r="103" spans="11:13" ht="18" customHeight="1">
      <c r="K103" s="171" t="s">
        <v>14</v>
      </c>
      <c r="L103" s="171"/>
      <c r="M103" s="171"/>
    </row>
    <row r="104" spans="11:13" ht="18" customHeight="1">
      <c r="K104" s="171" t="s">
        <v>14</v>
      </c>
      <c r="L104" s="171"/>
      <c r="M104" s="171"/>
    </row>
    <row r="105" spans="11:13" ht="18" customHeight="1">
      <c r="K105" s="171" t="s">
        <v>14</v>
      </c>
      <c r="L105" s="171"/>
      <c r="M105" s="171"/>
    </row>
    <row r="106" spans="11:13" ht="18" customHeight="1">
      <c r="K106" s="171" t="s">
        <v>14</v>
      </c>
      <c r="L106" s="171"/>
      <c r="M106" s="171"/>
    </row>
    <row r="107" spans="11:13" ht="18" customHeight="1">
      <c r="K107" s="171" t="s">
        <v>14</v>
      </c>
      <c r="L107" s="171"/>
      <c r="M107" s="171"/>
    </row>
    <row r="108" spans="11:13" ht="18" customHeight="1">
      <c r="K108" s="171" t="s">
        <v>14</v>
      </c>
      <c r="L108" s="171"/>
      <c r="M108" s="171"/>
    </row>
    <row r="109" spans="11:13" ht="18" customHeight="1">
      <c r="K109" s="171" t="s">
        <v>14</v>
      </c>
      <c r="L109" s="171"/>
      <c r="M109" s="171"/>
    </row>
    <row r="110" spans="11:13" ht="18" customHeight="1">
      <c r="K110" s="171" t="s">
        <v>14</v>
      </c>
      <c r="L110" s="171"/>
      <c r="M110" s="171"/>
    </row>
    <row r="111" spans="11:13" ht="18" customHeight="1">
      <c r="K111" s="171" t="s">
        <v>14</v>
      </c>
      <c r="L111" s="171"/>
      <c r="M111" s="171"/>
    </row>
    <row r="112" spans="11:13" ht="18" customHeight="1">
      <c r="K112" s="171" t="s">
        <v>14</v>
      </c>
      <c r="L112" s="171"/>
      <c r="M112" s="171"/>
    </row>
    <row r="113" spans="11:29" ht="18" customHeight="1">
      <c r="K113" s="171" t="s">
        <v>14</v>
      </c>
      <c r="L113" s="171"/>
      <c r="M113" s="171"/>
    </row>
    <row r="114" spans="11:29" ht="18" customHeight="1">
      <c r="K114" s="171" t="s">
        <v>14</v>
      </c>
      <c r="L114" s="171"/>
      <c r="M114" s="171"/>
    </row>
    <row r="115" spans="11:29" ht="18" customHeight="1">
      <c r="K115" s="171" t="s">
        <v>14</v>
      </c>
      <c r="L115" s="171"/>
      <c r="M115" s="171"/>
    </row>
    <row r="116" spans="11:29" ht="18" customHeight="1">
      <c r="K116" s="171" t="s">
        <v>14</v>
      </c>
      <c r="L116" s="171"/>
      <c r="M116" s="171"/>
    </row>
    <row r="117" spans="11:29" ht="18" customHeight="1">
      <c r="K117" s="171" t="s">
        <v>14</v>
      </c>
      <c r="L117" s="171"/>
      <c r="M117" s="171"/>
    </row>
    <row r="118" spans="11:29" ht="18" customHeight="1">
      <c r="K118" s="171" t="s">
        <v>14</v>
      </c>
      <c r="L118" s="171"/>
      <c r="M118" s="171"/>
      <c r="AA118" s="171"/>
    </row>
    <row r="119" spans="11:29" ht="18" customHeight="1">
      <c r="K119" s="171" t="s">
        <v>14</v>
      </c>
      <c r="L119" s="171"/>
      <c r="M119" s="171"/>
      <c r="AA119" s="171"/>
    </row>
    <row r="120" spans="11:29" ht="18" customHeight="1">
      <c r="K120" s="171" t="s">
        <v>14</v>
      </c>
      <c r="L120" s="171"/>
      <c r="M120" s="171"/>
      <c r="AA120" s="171"/>
      <c r="AB120" s="171"/>
      <c r="AC120" s="171"/>
    </row>
    <row r="121" spans="11:29" ht="18" customHeight="1">
      <c r="K121" s="171" t="s">
        <v>14</v>
      </c>
      <c r="L121" s="171"/>
      <c r="M121" s="171"/>
      <c r="AA121" s="171"/>
      <c r="AB121" s="171"/>
      <c r="AC121" s="171"/>
    </row>
    <row r="122" spans="11:29" ht="18" customHeight="1">
      <c r="K122" s="171" t="s">
        <v>14</v>
      </c>
      <c r="L122" s="171"/>
      <c r="M122" s="171"/>
      <c r="AA122" s="171"/>
      <c r="AB122" s="171"/>
      <c r="AC122" s="171"/>
    </row>
    <row r="123" spans="11:29" ht="18" customHeight="1">
      <c r="K123" s="171" t="s">
        <v>14</v>
      </c>
      <c r="L123" s="171"/>
      <c r="M123" s="171"/>
      <c r="AA123" s="171"/>
      <c r="AB123" s="171"/>
      <c r="AC123" s="171"/>
    </row>
    <row r="124" spans="11:29" ht="18" customHeight="1">
      <c r="K124" s="171" t="s">
        <v>14</v>
      </c>
      <c r="L124" s="171"/>
      <c r="M124" s="171"/>
      <c r="AA124" s="171"/>
      <c r="AB124" s="171"/>
      <c r="AC124" s="171"/>
    </row>
    <row r="125" spans="11:29" ht="18" customHeight="1">
      <c r="K125" s="171" t="s">
        <v>14</v>
      </c>
      <c r="L125" s="171"/>
      <c r="M125" s="171"/>
      <c r="AA125" s="171"/>
      <c r="AB125" s="171"/>
      <c r="AC125" s="171"/>
    </row>
    <row r="126" spans="11:29" ht="18" customHeight="1">
      <c r="K126" s="171" t="s">
        <v>14</v>
      </c>
      <c r="L126" s="171"/>
      <c r="M126" s="171"/>
      <c r="AA126" s="171"/>
      <c r="AB126" s="171"/>
      <c r="AC126" s="171"/>
    </row>
    <row r="127" spans="11:29" ht="18" customHeight="1">
      <c r="K127" s="171" t="s">
        <v>14</v>
      </c>
      <c r="L127" s="171"/>
      <c r="M127" s="171"/>
      <c r="AA127" s="171"/>
      <c r="AB127" s="171"/>
      <c r="AC127" s="171"/>
    </row>
    <row r="128" spans="11:29" ht="18" customHeight="1">
      <c r="K128" s="171" t="s">
        <v>14</v>
      </c>
      <c r="L128" s="171"/>
      <c r="M128" s="171"/>
      <c r="AA128" s="171"/>
      <c r="AB128" s="171"/>
      <c r="AC128" s="171"/>
    </row>
    <row r="129" spans="11:29" ht="18" customHeight="1">
      <c r="K129" s="171" t="s">
        <v>14</v>
      </c>
      <c r="L129" s="171"/>
      <c r="M129" s="171"/>
      <c r="AA129" s="171"/>
      <c r="AB129" s="171"/>
      <c r="AC129" s="171"/>
    </row>
    <row r="130" spans="11:29" ht="18" customHeight="1">
      <c r="K130" s="171" t="s">
        <v>14</v>
      </c>
      <c r="L130" s="171"/>
      <c r="M130" s="171"/>
      <c r="AA130" s="171"/>
      <c r="AB130" s="171"/>
      <c r="AC130" s="171"/>
    </row>
    <row r="131" spans="11:29" ht="18" customHeight="1">
      <c r="K131" s="171" t="s">
        <v>14</v>
      </c>
      <c r="L131" s="171"/>
      <c r="M131" s="171"/>
      <c r="AA131" s="171"/>
      <c r="AB131" s="171"/>
      <c r="AC131" s="171"/>
    </row>
    <row r="132" spans="11:29" ht="18" customHeight="1">
      <c r="K132" s="171" t="s">
        <v>14</v>
      </c>
      <c r="L132" s="171"/>
      <c r="M132" s="171"/>
      <c r="AA132" s="171"/>
      <c r="AB132" s="171"/>
      <c r="AC132" s="171"/>
    </row>
    <row r="133" spans="11:29" ht="18" customHeight="1">
      <c r="K133" s="171" t="s">
        <v>14</v>
      </c>
      <c r="L133" s="171"/>
      <c r="M133" s="171"/>
      <c r="AA133" s="171"/>
      <c r="AB133" s="171"/>
      <c r="AC133" s="171"/>
    </row>
    <row r="134" spans="11:29" ht="18" customHeight="1">
      <c r="K134" s="171" t="s">
        <v>14</v>
      </c>
      <c r="L134" s="171"/>
      <c r="M134" s="171"/>
      <c r="AA134" s="171"/>
      <c r="AB134" s="171"/>
      <c r="AC134" s="171"/>
    </row>
    <row r="135" spans="11:29" ht="18" customHeight="1">
      <c r="K135" s="171" t="s">
        <v>14</v>
      </c>
      <c r="L135" s="171"/>
      <c r="M135" s="171"/>
      <c r="AA135" s="171"/>
      <c r="AB135" s="171"/>
      <c r="AC135" s="171"/>
    </row>
    <row r="136" spans="11:29" ht="18" customHeight="1">
      <c r="K136" s="171" t="s">
        <v>14</v>
      </c>
      <c r="L136" s="171"/>
      <c r="M136" s="171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AB146" s="171"/>
      <c r="AC146" s="171"/>
    </row>
    <row r="147" spans="11:29" ht="18" customHeight="1">
      <c r="K147" s="171" t="s">
        <v>14</v>
      </c>
      <c r="L147" s="171"/>
      <c r="M147" s="171"/>
      <c r="AB147" s="171"/>
      <c r="AC147" s="171"/>
    </row>
    <row r="148" spans="11:29" ht="18" customHeight="1">
      <c r="K148" s="171" t="s">
        <v>14</v>
      </c>
      <c r="L148" s="171"/>
      <c r="M148" s="171"/>
    </row>
    <row r="149" spans="11:29" ht="18" customHeight="1">
      <c r="K149" s="171" t="s">
        <v>14</v>
      </c>
      <c r="L149" s="171"/>
      <c r="M149" s="171"/>
    </row>
    <row r="150" spans="11:29" ht="18" customHeight="1">
      <c r="K150" s="171" t="s">
        <v>14</v>
      </c>
      <c r="L150" s="171"/>
      <c r="M150" s="171"/>
    </row>
    <row r="151" spans="11:29" ht="18" customHeight="1">
      <c r="K151" s="171" t="s">
        <v>14</v>
      </c>
      <c r="L151" s="171"/>
      <c r="M151" s="171"/>
    </row>
    <row r="152" spans="11:29" ht="18" customHeight="1">
      <c r="K152" s="171" t="s">
        <v>14</v>
      </c>
      <c r="L152" s="171"/>
      <c r="M152" s="171"/>
    </row>
    <row r="153" spans="11:29" ht="18" customHeight="1">
      <c r="K153" s="171" t="s">
        <v>14</v>
      </c>
      <c r="L153" s="171"/>
      <c r="M153" s="171"/>
    </row>
    <row r="154" spans="11:29" ht="18" customHeight="1">
      <c r="K154" s="171" t="s">
        <v>14</v>
      </c>
      <c r="L154" s="171"/>
      <c r="M154" s="171"/>
    </row>
    <row r="155" spans="11:29" ht="18" customHeight="1">
      <c r="K155" s="171" t="s">
        <v>14</v>
      </c>
      <c r="L155" s="171"/>
      <c r="M155" s="171"/>
    </row>
    <row r="156" spans="11:29" ht="18" customHeight="1">
      <c r="K156" s="171" t="s">
        <v>14</v>
      </c>
      <c r="L156" s="171"/>
      <c r="M156" s="171"/>
    </row>
    <row r="157" spans="11:29" ht="18" customHeight="1">
      <c r="K157" s="171" t="s">
        <v>14</v>
      </c>
      <c r="L157" s="171"/>
      <c r="M157" s="171"/>
    </row>
    <row r="158" spans="11:29" ht="18" customHeight="1">
      <c r="K158" s="171" t="s">
        <v>14</v>
      </c>
      <c r="L158" s="171"/>
      <c r="M158" s="171"/>
    </row>
    <row r="159" spans="11:29" ht="18" customHeight="1">
      <c r="K159" s="171" t="s">
        <v>14</v>
      </c>
      <c r="L159" s="171"/>
      <c r="M159" s="171"/>
    </row>
    <row r="160" spans="11:29" ht="18" customHeight="1">
      <c r="K160" s="171" t="s">
        <v>14</v>
      </c>
      <c r="L160" s="171"/>
      <c r="M160" s="171"/>
    </row>
    <row r="161" spans="11:13" ht="18" customHeight="1">
      <c r="K161" s="171" t="s">
        <v>14</v>
      </c>
      <c r="L161" s="171"/>
      <c r="M161" s="171"/>
    </row>
    <row r="162" spans="11:13" ht="18" customHeight="1">
      <c r="K162" s="171" t="s">
        <v>14</v>
      </c>
      <c r="L162" s="171"/>
      <c r="M162" s="171"/>
    </row>
    <row r="163" spans="11:13" ht="18" customHeight="1">
      <c r="K163" s="171" t="s">
        <v>14</v>
      </c>
      <c r="L163" s="171"/>
      <c r="M163" s="171"/>
    </row>
    <row r="164" spans="11:13" ht="18" customHeight="1">
      <c r="K164" s="171" t="s">
        <v>14</v>
      </c>
      <c r="L164" s="171"/>
      <c r="M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L595" s="171"/>
      <c r="M595" s="171"/>
    </row>
    <row r="596" spans="11:13" ht="18" customHeight="1">
      <c r="L596" s="171"/>
      <c r="M596" s="171"/>
    </row>
    <row r="597" spans="11:13" ht="18" customHeight="1">
      <c r="L597" s="171"/>
      <c r="M597" s="171"/>
    </row>
    <row r="598" spans="11:13" ht="18" customHeight="1">
      <c r="L598" s="171"/>
      <c r="M598" s="171"/>
    </row>
    <row r="599" spans="11:13" ht="18" customHeight="1">
      <c r="L599" s="171"/>
      <c r="M599" s="171"/>
    </row>
    <row r="600" spans="11:13" ht="18" customHeight="1">
      <c r="L600" s="171"/>
      <c r="M600" s="171"/>
    </row>
    <row r="601" spans="11:13" ht="18" customHeight="1">
      <c r="L601" s="171"/>
      <c r="M601" s="171"/>
    </row>
    <row r="602" spans="11:13" ht="18" customHeight="1">
      <c r="L602" s="171"/>
      <c r="M602" s="171"/>
    </row>
    <row r="603" spans="11:13" ht="18" customHeight="1">
      <c r="L603" s="171"/>
      <c r="M603" s="171"/>
    </row>
    <row r="604" spans="11:13" ht="18" customHeight="1">
      <c r="L604" s="171"/>
      <c r="M604" s="171"/>
    </row>
    <row r="605" spans="11:13" ht="18" customHeight="1">
      <c r="L605" s="171"/>
      <c r="M605" s="171"/>
    </row>
    <row r="606" spans="11:13" ht="18" customHeight="1">
      <c r="L606" s="171"/>
      <c r="M606" s="171"/>
    </row>
    <row r="607" spans="11:13" ht="18" customHeight="1">
      <c r="L607" s="171"/>
      <c r="M607" s="171"/>
    </row>
    <row r="608" spans="11:13" ht="18" customHeight="1"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</row>
    <row r="737" spans="12:12" ht="18" customHeight="1">
      <c r="L737" s="171"/>
    </row>
    <row r="738" spans="12:12" ht="18" customHeight="1">
      <c r="L738" s="171"/>
    </row>
    <row r="739" spans="12:12" ht="18" customHeight="1">
      <c r="L739" s="171"/>
    </row>
    <row r="740" spans="12:12" ht="18" customHeight="1">
      <c r="L740" s="171"/>
    </row>
    <row r="741" spans="12:12" ht="18" customHeight="1">
      <c r="L741" s="171"/>
    </row>
    <row r="742" spans="12:12" ht="18" customHeight="1">
      <c r="L742" s="171"/>
    </row>
    <row r="743" spans="12:12" ht="18" customHeight="1">
      <c r="L743" s="171"/>
    </row>
    <row r="744" spans="12:12" ht="18" customHeight="1">
      <c r="L744" s="171"/>
    </row>
    <row r="745" spans="12:12" ht="18" customHeight="1">
      <c r="L745" s="171"/>
    </row>
    <row r="746" spans="12:12" ht="18" customHeight="1">
      <c r="L746" s="171"/>
    </row>
    <row r="747" spans="12:12" ht="18" customHeight="1">
      <c r="L747" s="171"/>
    </row>
    <row r="748" spans="12:12" ht="18" customHeight="1">
      <c r="L748" s="171"/>
    </row>
  </sheetData>
  <mergeCells count="14">
    <mergeCell ref="Q28:Q29"/>
    <mergeCell ref="Z28:Z29"/>
    <mergeCell ref="B11:C12"/>
    <mergeCell ref="J11:J12"/>
    <mergeCell ref="L11:L12"/>
    <mergeCell ref="N28:N29"/>
    <mergeCell ref="O28:O29"/>
    <mergeCell ref="P28:P29"/>
    <mergeCell ref="B3:C3"/>
    <mergeCell ref="D3:E3"/>
    <mergeCell ref="B4:C4"/>
    <mergeCell ref="D4:E4"/>
    <mergeCell ref="B5:C5"/>
    <mergeCell ref="D5:E5"/>
  </mergeCells>
  <phoneticPr fontId="14" type="noConversion"/>
  <conditionalFormatting sqref="V13:V17">
    <cfRule type="cellIs" dxfId="1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2" manualBreakCount="2">
    <brk id="19" min="13" max="28" man="1"/>
    <brk id="46" min="13" max="28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5" tint="0.39997558519241921"/>
    <pageSetUpPr fitToPage="1"/>
  </sheetPr>
  <dimension ref="A1:AB803"/>
  <sheetViews>
    <sheetView showGridLines="0" zoomScale="85" zoomScaleNormal="85" zoomScaleSheetLayoutView="75" workbookViewId="0">
      <selection activeCell="A8" sqref="A8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1640625" style="6" bestFit="1" customWidth="1"/>
    <col min="22" max="22" width="23.6640625" style="6" bestFit="1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2780</v>
      </c>
    </row>
    <row r="2" spans="1:27" ht="19.5" thickBot="1">
      <c r="B2" s="66" t="s">
        <v>1</v>
      </c>
    </row>
    <row r="3" spans="1:27" ht="18" customHeight="1">
      <c r="B3" s="773" t="s">
        <v>48</v>
      </c>
      <c r="C3" s="774"/>
      <c r="D3" s="809">
        <v>50</v>
      </c>
      <c r="E3" s="845"/>
      <c r="F3" s="845"/>
      <c r="G3" s="810"/>
      <c r="H3" s="44" t="s">
        <v>393</v>
      </c>
      <c r="R3" s="1"/>
      <c r="S3" s="1"/>
      <c r="Z3" s="6"/>
      <c r="AA3" s="6"/>
    </row>
    <row r="4" spans="1:27" ht="18" customHeight="1">
      <c r="B4" s="777" t="s">
        <v>54</v>
      </c>
      <c r="C4" s="778"/>
      <c r="D4" s="811">
        <v>50</v>
      </c>
      <c r="E4" s="846"/>
      <c r="F4" s="846"/>
      <c r="G4" s="812"/>
      <c r="H4" s="65" t="str">
        <f>H3</f>
        <v>만㎡</v>
      </c>
      <c r="R4" s="1"/>
      <c r="S4" s="1"/>
      <c r="Z4" s="6"/>
      <c r="AA4" s="6"/>
    </row>
    <row r="5" spans="1:27" ht="18" customHeight="1" thickBot="1">
      <c r="B5" s="781" t="s">
        <v>62</v>
      </c>
      <c r="C5" s="782"/>
      <c r="D5" s="783">
        <f>ROUND((IF(D4&lt;10,10,D4)/D3)^0.5,3)</f>
        <v>1</v>
      </c>
      <c r="E5" s="784"/>
      <c r="F5" s="784"/>
      <c r="G5" s="813"/>
      <c r="H5" s="244"/>
      <c r="I5" s="36"/>
      <c r="R5" s="1"/>
      <c r="S5" s="1"/>
      <c r="W5" s="6">
        <f t="array" aca="1" ref="W5" ca="1">SUM((N60:N171=N67)*S60:S171)</f>
        <v>17181195</v>
      </c>
      <c r="Z5" s="6"/>
      <c r="AA5" s="6"/>
    </row>
    <row r="6" spans="1:27" ht="18" customHeight="1">
      <c r="B6" s="9" t="s">
        <v>2781</v>
      </c>
      <c r="C6" s="9"/>
      <c r="D6" s="64"/>
      <c r="E6" s="64"/>
      <c r="G6" s="36"/>
      <c r="R6" s="1"/>
      <c r="S6" s="1"/>
      <c r="T6" s="1"/>
    </row>
    <row r="7" spans="1:27" ht="18" customHeight="1">
      <c r="G7" s="36"/>
      <c r="W7" s="188" t="s">
        <v>3</v>
      </c>
      <c r="X7" s="189"/>
    </row>
    <row r="8" spans="1:27" ht="18" customHeight="1" thickBot="1">
      <c r="B8" s="66" t="s">
        <v>4</v>
      </c>
      <c r="C8" s="9"/>
      <c r="D8" s="64"/>
      <c r="E8" s="64"/>
      <c r="G8" s="36"/>
      <c r="N8" s="66" t="s">
        <v>5</v>
      </c>
    </row>
    <row r="9" spans="1:27" ht="18" customHeight="1" thickBot="1"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SUBTOTAL(9,W10:W34)</f>
        <v>52521439</v>
      </c>
      <c r="X9" s="187"/>
      <c r="Y9" s="177"/>
      <c r="Z9" s="167"/>
    </row>
    <row r="10" spans="1:27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SUBTOTAL(9,W11:W31)</f>
        <v>21681195</v>
      </c>
      <c r="X10" s="164"/>
      <c r="Y10" s="178" t="s">
        <v>9</v>
      </c>
      <c r="Z10" s="179"/>
    </row>
    <row r="11" spans="1:27" ht="18" customHeight="1" thickBot="1">
      <c r="A11" s="326"/>
      <c r="B11" s="759"/>
      <c r="C11" s="760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218"/>
      <c r="W11" s="159">
        <f ca="1">SUBTOTAL(9,W12:W27)</f>
        <v>17181195</v>
      </c>
      <c r="X11" s="160"/>
      <c r="Y11" s="168"/>
      <c r="Z11" s="168"/>
    </row>
    <row r="12" spans="1:27" ht="18" customHeight="1">
      <c r="A12" s="355"/>
      <c r="B12" s="225" t="s">
        <v>2782</v>
      </c>
      <c r="C12" s="72"/>
      <c r="D12" s="33">
        <f t="shared" ref="D12:I12" si="0">SUBTOTAL(9,D13:D14)</f>
        <v>0.2</v>
      </c>
      <c r="E12" s="34">
        <f t="shared" si="0"/>
        <v>0.4</v>
      </c>
      <c r="F12" s="34">
        <f t="shared" si="0"/>
        <v>0.6</v>
      </c>
      <c r="G12" s="34">
        <f t="shared" si="0"/>
        <v>1</v>
      </c>
      <c r="H12" s="34">
        <f t="shared" si="0"/>
        <v>1.8</v>
      </c>
      <c r="I12" s="35">
        <f t="shared" si="0"/>
        <v>2</v>
      </c>
      <c r="J12" s="594"/>
      <c r="L12" s="233"/>
      <c r="N12" s="79" t="str">
        <f>B12</f>
        <v>1. 계획안 검토</v>
      </c>
      <c r="O12" s="37"/>
      <c r="P12" s="39"/>
      <c r="Q12" s="37"/>
      <c r="R12" s="117"/>
      <c r="S12" s="37"/>
      <c r="T12" s="37"/>
      <c r="U12" s="228"/>
      <c r="V12" s="231"/>
      <c r="W12" s="193">
        <f ca="1">SUBTOTAL(9,W13:W14)</f>
        <v>1648450</v>
      </c>
      <c r="X12" s="154"/>
      <c r="Y12" s="170" t="str">
        <f>IF(A29&gt;0, "제 " &amp;A29&amp; " 호표","")</f>
        <v/>
      </c>
      <c r="Z12" s="150"/>
    </row>
    <row r="13" spans="1:27" ht="18" customHeight="1">
      <c r="A13" s="355"/>
      <c r="B13" s="223"/>
      <c r="C13" s="237" t="s">
        <v>2783</v>
      </c>
      <c r="D13" s="20">
        <v>0.1</v>
      </c>
      <c r="E13" s="21">
        <v>0.2</v>
      </c>
      <c r="F13" s="21">
        <v>0.3</v>
      </c>
      <c r="G13" s="21">
        <v>0.5</v>
      </c>
      <c r="H13" s="21">
        <v>0.9</v>
      </c>
      <c r="I13" s="22">
        <v>1</v>
      </c>
      <c r="J13" s="400" t="s">
        <v>1091</v>
      </c>
      <c r="L13" s="233">
        <v>1</v>
      </c>
      <c r="N13" s="292" t="str">
        <f>C13</f>
        <v>1.1. 관련법규 검토</v>
      </c>
      <c r="O13" s="37"/>
      <c r="P13" s="39"/>
      <c r="Q13" s="37"/>
      <c r="R13" s="117"/>
      <c r="S13" s="37"/>
      <c r="T13" s="37"/>
      <c r="U13" s="228"/>
      <c r="V13" s="231"/>
      <c r="W13" s="153">
        <f t="array" aca="1" ref="W13" ca="1">SUM((ROUNDDOWN((D30:I30)*단가,0)))</f>
        <v>824225</v>
      </c>
      <c r="X13" s="154"/>
      <c r="Y13" s="170" t="str">
        <f t="shared" ref="Y13:Y27" si="1">IF(A30&gt;0, "제 " &amp;A30&amp; " 호표","")</f>
        <v>제 1 호표</v>
      </c>
      <c r="Z13" s="150"/>
    </row>
    <row r="14" spans="1:27" ht="18" customHeight="1">
      <c r="A14" s="355"/>
      <c r="B14" s="224"/>
      <c r="C14" s="238" t="s">
        <v>2784</v>
      </c>
      <c r="D14" s="24">
        <v>0.1</v>
      </c>
      <c r="E14" s="25">
        <v>0.2</v>
      </c>
      <c r="F14" s="25">
        <v>0.3</v>
      </c>
      <c r="G14" s="25">
        <v>0.5</v>
      </c>
      <c r="H14" s="25">
        <v>0.9</v>
      </c>
      <c r="I14" s="26">
        <v>1</v>
      </c>
      <c r="J14" s="400" t="s">
        <v>1090</v>
      </c>
      <c r="L14" s="233">
        <v>1</v>
      </c>
      <c r="N14" s="292" t="str">
        <f>C14</f>
        <v>1.2. 관련계획 검토</v>
      </c>
      <c r="O14" s="37"/>
      <c r="P14" s="39"/>
      <c r="Q14" s="37"/>
      <c r="R14" s="117"/>
      <c r="S14" s="37"/>
      <c r="T14" s="37"/>
      <c r="U14" s="228"/>
      <c r="V14" s="231"/>
      <c r="W14" s="153">
        <f t="array" aca="1" ref="W14" ca="1">SUM((ROUNDDOWN((D31:I31)*단가,0)))</f>
        <v>824225</v>
      </c>
      <c r="X14" s="154"/>
      <c r="Y14" s="170" t="str">
        <f t="shared" si="1"/>
        <v>제 2 호표</v>
      </c>
      <c r="Z14" s="150"/>
    </row>
    <row r="15" spans="1:27" ht="18" customHeight="1">
      <c r="A15" s="355"/>
      <c r="B15" s="252" t="s">
        <v>2785</v>
      </c>
      <c r="C15" s="253"/>
      <c r="D15" s="30">
        <f t="shared" ref="D15:I15" si="2">SUBTOTAL(9,D16:D27)</f>
        <v>1.5</v>
      </c>
      <c r="E15" s="31">
        <f t="shared" si="2"/>
        <v>3.4000000000000004</v>
      </c>
      <c r="F15" s="31">
        <f t="shared" si="2"/>
        <v>7.8000000000000007</v>
      </c>
      <c r="G15" s="31">
        <f t="shared" si="2"/>
        <v>11</v>
      </c>
      <c r="H15" s="31">
        <f t="shared" si="2"/>
        <v>19.599999999999998</v>
      </c>
      <c r="I15" s="32">
        <f t="shared" si="2"/>
        <v>13.100000000000001</v>
      </c>
      <c r="J15" s="678"/>
      <c r="L15" s="232"/>
      <c r="N15" s="354" t="str">
        <f>B15</f>
        <v>2. 사업인정 의제 협의 도서 작성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SUBTOTAL(9,W16:W27)</f>
        <v>15532745</v>
      </c>
      <c r="X15" s="194"/>
      <c r="Y15" s="170" t="str">
        <f t="shared" si="1"/>
        <v/>
      </c>
      <c r="Z15" s="170"/>
      <c r="AA15" s="229"/>
    </row>
    <row r="16" spans="1:27" ht="18" customHeight="1">
      <c r="A16" s="355"/>
      <c r="B16" s="223"/>
      <c r="C16" s="237" t="s">
        <v>2786</v>
      </c>
      <c r="D16" s="20">
        <v>0.1</v>
      </c>
      <c r="E16" s="21">
        <v>0.2</v>
      </c>
      <c r="F16" s="21">
        <v>0.5</v>
      </c>
      <c r="G16" s="21">
        <v>0.7</v>
      </c>
      <c r="H16" s="21">
        <v>1.2</v>
      </c>
      <c r="I16" s="22">
        <v>1.5</v>
      </c>
      <c r="J16" s="389" t="s">
        <v>1090</v>
      </c>
      <c r="L16" s="233">
        <v>1</v>
      </c>
      <c r="N16" s="292" t="str">
        <f>C16</f>
        <v>2.1. 주변지역과의 상관성 검토</v>
      </c>
      <c r="O16" s="37"/>
      <c r="P16" s="37"/>
      <c r="Q16" s="37"/>
      <c r="R16" s="37"/>
      <c r="S16" s="37"/>
      <c r="T16" s="37"/>
      <c r="U16" s="227"/>
      <c r="V16" s="231"/>
      <c r="W16" s="153">
        <f t="array" aca="1" ref="W16" ca="1">SUM((ROUNDDOWN((D33:I33)*단가,0)))</f>
        <v>1141109</v>
      </c>
      <c r="X16" s="154"/>
      <c r="Y16" s="170" t="str">
        <f t="shared" si="1"/>
        <v>제 3 호표</v>
      </c>
      <c r="Z16" s="150"/>
    </row>
    <row r="17" spans="1:26" ht="18" customHeight="1">
      <c r="A17" s="355"/>
      <c r="B17" s="223"/>
      <c r="C17" s="237" t="s">
        <v>2787</v>
      </c>
      <c r="D17" s="20">
        <v>0.1</v>
      </c>
      <c r="E17" s="21">
        <v>0.2</v>
      </c>
      <c r="F17" s="21">
        <v>0.5</v>
      </c>
      <c r="G17" s="21">
        <v>0.7</v>
      </c>
      <c r="H17" s="21">
        <v>1.2</v>
      </c>
      <c r="I17" s="22"/>
      <c r="J17" s="389" t="s">
        <v>1090</v>
      </c>
      <c r="L17" s="233">
        <v>1</v>
      </c>
      <c r="N17" s="292" t="str">
        <f t="shared" ref="N17:N27" si="3">C17</f>
        <v>2.2. 시행목적의 공공성</v>
      </c>
      <c r="O17" s="37"/>
      <c r="P17" s="37"/>
      <c r="Q17" s="37"/>
      <c r="R17" s="37"/>
      <c r="S17" s="37"/>
      <c r="T17" s="37"/>
      <c r="U17" s="227"/>
      <c r="V17" s="231"/>
      <c r="W17" s="153">
        <f t="array" aca="1" ref="W17" ca="1">SUM((ROUNDDOWN((D34:I34)*단가,0)))</f>
        <v>765979</v>
      </c>
      <c r="X17" s="154"/>
      <c r="Y17" s="170" t="str">
        <f t="shared" si="1"/>
        <v>제 4 호표</v>
      </c>
      <c r="Z17" s="150"/>
    </row>
    <row r="18" spans="1:26" ht="18" customHeight="1">
      <c r="A18" s="355"/>
      <c r="B18" s="223"/>
      <c r="C18" s="237" t="s">
        <v>2788</v>
      </c>
      <c r="D18" s="20">
        <v>0.1</v>
      </c>
      <c r="E18" s="21">
        <v>0.2</v>
      </c>
      <c r="F18" s="21">
        <v>0.5</v>
      </c>
      <c r="G18" s="21">
        <v>0.7</v>
      </c>
      <c r="H18" s="21">
        <v>1.2</v>
      </c>
      <c r="I18" s="22">
        <v>1.5</v>
      </c>
      <c r="J18" s="389" t="s">
        <v>1090</v>
      </c>
      <c r="L18" s="233">
        <v>1</v>
      </c>
      <c r="N18" s="292" t="str">
        <f t="shared" si="3"/>
        <v>2.3. 사업의 공공기여도</v>
      </c>
      <c r="O18" s="37"/>
      <c r="P18" s="37"/>
      <c r="Q18" s="37"/>
      <c r="R18" s="37"/>
      <c r="S18" s="37"/>
      <c r="T18" s="37"/>
      <c r="U18" s="227"/>
      <c r="V18" s="231"/>
      <c r="W18" s="153">
        <f t="array" aca="1" ref="W18" ca="1">SUM((ROUNDDOWN((D35:I35)*단가,0)))</f>
        <v>1141109</v>
      </c>
      <c r="X18" s="154"/>
      <c r="Y18" s="170" t="str">
        <f t="shared" si="1"/>
        <v>제 5 호표</v>
      </c>
      <c r="Z18" s="150"/>
    </row>
    <row r="19" spans="1:26" ht="18" customHeight="1">
      <c r="A19" s="355"/>
      <c r="B19" s="223"/>
      <c r="C19" s="237" t="s">
        <v>2789</v>
      </c>
      <c r="D19" s="20"/>
      <c r="E19" s="21">
        <v>0.2</v>
      </c>
      <c r="F19" s="21">
        <v>0.5</v>
      </c>
      <c r="G19" s="21">
        <v>0.7</v>
      </c>
      <c r="H19" s="21">
        <v>1.2</v>
      </c>
      <c r="I19" s="22"/>
      <c r="J19" s="389" t="s">
        <v>1090</v>
      </c>
      <c r="L19" s="233">
        <v>1</v>
      </c>
      <c r="N19" s="292" t="str">
        <f t="shared" si="3"/>
        <v>2.4. 사업시행자 유형</v>
      </c>
      <c r="O19" s="37"/>
      <c r="P19" s="37"/>
      <c r="Q19" s="37"/>
      <c r="R19" s="37"/>
      <c r="S19" s="37"/>
      <c r="T19" s="37"/>
      <c r="U19" s="227"/>
      <c r="V19" s="231"/>
      <c r="W19" s="153">
        <f t="array" aca="1" ref="W19" ca="1">SUM((ROUNDDOWN((D36:I36)*단가,0)))</f>
        <v>719258</v>
      </c>
      <c r="X19" s="154"/>
      <c r="Y19" s="170" t="str">
        <f t="shared" si="1"/>
        <v>제 6 호표</v>
      </c>
      <c r="Z19" s="150"/>
    </row>
    <row r="20" spans="1:26" ht="18" customHeight="1">
      <c r="A20" s="355"/>
      <c r="B20" s="223"/>
      <c r="C20" s="237" t="s">
        <v>2790</v>
      </c>
      <c r="D20" s="20"/>
      <c r="E20" s="21">
        <v>0.2</v>
      </c>
      <c r="F20" s="21">
        <v>0.5</v>
      </c>
      <c r="G20" s="21">
        <v>0.7</v>
      </c>
      <c r="H20" s="21">
        <v>1.2</v>
      </c>
      <c r="I20" s="22"/>
      <c r="J20" s="389" t="s">
        <v>1090</v>
      </c>
      <c r="L20" s="233">
        <v>1</v>
      </c>
      <c r="N20" s="292" t="str">
        <f t="shared" si="3"/>
        <v>2.5. 사업재원의 공공성</v>
      </c>
      <c r="O20" s="37"/>
      <c r="P20" s="37"/>
      <c r="Q20" s="37"/>
      <c r="R20" s="37"/>
      <c r="S20" s="37"/>
      <c r="T20" s="37"/>
      <c r="U20" s="227"/>
      <c r="V20" s="231"/>
      <c r="W20" s="153">
        <f t="array" aca="1" ref="W20" ca="1">SUM((ROUNDDOWN((D37:I37)*단가,0)))</f>
        <v>719258</v>
      </c>
      <c r="X20" s="154"/>
      <c r="Y20" s="170" t="str">
        <f t="shared" si="1"/>
        <v>제 7 호표</v>
      </c>
      <c r="Z20" s="150"/>
    </row>
    <row r="21" spans="1:26" ht="18" customHeight="1">
      <c r="A21" s="355"/>
      <c r="B21" s="223"/>
      <c r="C21" s="237" t="s">
        <v>2791</v>
      </c>
      <c r="D21" s="20"/>
      <c r="E21" s="21">
        <v>0.2</v>
      </c>
      <c r="F21" s="21">
        <v>0.5</v>
      </c>
      <c r="G21" s="21">
        <v>0.7</v>
      </c>
      <c r="H21" s="21">
        <v>1.2</v>
      </c>
      <c r="I21" s="22"/>
      <c r="J21" s="389" t="s">
        <v>1090</v>
      </c>
      <c r="L21" s="233">
        <v>1</v>
      </c>
      <c r="N21" s="292" t="str">
        <f t="shared" si="3"/>
        <v>2.6. 사업수행능력</v>
      </c>
      <c r="O21" s="37"/>
      <c r="P21" s="37"/>
      <c r="Q21" s="37"/>
      <c r="R21" s="37"/>
      <c r="S21" s="37"/>
      <c r="T21" s="37"/>
      <c r="U21" s="227"/>
      <c r="V21" s="231"/>
      <c r="W21" s="153">
        <f t="array" aca="1" ref="W21" ca="1">SUM((ROUNDDOWN((D38:I38)*단가,0)))</f>
        <v>719258</v>
      </c>
      <c r="X21" s="154"/>
      <c r="Y21" s="170" t="str">
        <f t="shared" si="1"/>
        <v>제 8 호표</v>
      </c>
      <c r="Z21" s="150"/>
    </row>
    <row r="22" spans="1:26" ht="18" customHeight="1">
      <c r="A22" s="355"/>
      <c r="B22" s="223"/>
      <c r="C22" s="237" t="s">
        <v>2792</v>
      </c>
      <c r="D22" s="20">
        <v>0.1</v>
      </c>
      <c r="E22" s="21">
        <v>0.2</v>
      </c>
      <c r="F22" s="21">
        <v>0.5</v>
      </c>
      <c r="G22" s="21">
        <v>0.7</v>
      </c>
      <c r="H22" s="21">
        <v>1.2</v>
      </c>
      <c r="I22" s="22"/>
      <c r="J22" s="389" t="s">
        <v>1090</v>
      </c>
      <c r="L22" s="233">
        <v>1</v>
      </c>
      <c r="N22" s="292" t="str">
        <f t="shared" si="3"/>
        <v>2.7. 목적 및 상위계획 부합여부</v>
      </c>
      <c r="O22" s="37"/>
      <c r="P22" s="37"/>
      <c r="Q22" s="37"/>
      <c r="R22" s="37"/>
      <c r="S22" s="37"/>
      <c r="T22" s="37"/>
      <c r="U22" s="227"/>
      <c r="V22" s="231"/>
      <c r="W22" s="153">
        <f t="array" aca="1" ref="W22" ca="1">SUM((ROUNDDOWN((D39:I39)*단가,0)))</f>
        <v>765979</v>
      </c>
      <c r="X22" s="154"/>
      <c r="Y22" s="170" t="str">
        <f t="shared" si="1"/>
        <v>제 9 호표</v>
      </c>
      <c r="Z22" s="150"/>
    </row>
    <row r="23" spans="1:26" ht="18" customHeight="1">
      <c r="A23" s="355"/>
      <c r="B23" s="223"/>
      <c r="C23" s="237" t="s">
        <v>2793</v>
      </c>
      <c r="D23" s="20">
        <v>0.1</v>
      </c>
      <c r="E23" s="21">
        <v>0.2</v>
      </c>
      <c r="F23" s="21">
        <v>0.5</v>
      </c>
      <c r="G23" s="21">
        <v>0.7</v>
      </c>
      <c r="H23" s="21">
        <v>1.2</v>
      </c>
      <c r="I23" s="22"/>
      <c r="J23" s="389" t="s">
        <v>1090</v>
      </c>
      <c r="L23" s="233">
        <v>1</v>
      </c>
      <c r="N23" s="292" t="str">
        <f t="shared" si="3"/>
        <v>2.8. 공익의 지속성</v>
      </c>
      <c r="O23" s="37"/>
      <c r="P23" s="37"/>
      <c r="Q23" s="37"/>
      <c r="R23" s="37"/>
      <c r="S23" s="37"/>
      <c r="T23" s="37"/>
      <c r="U23" s="227"/>
      <c r="V23" s="231"/>
      <c r="W23" s="153">
        <f t="array" aca="1" ref="W23" ca="1">SUM((ROUNDDOWN((D40:I40)*단가,0)))</f>
        <v>765979</v>
      </c>
      <c r="X23" s="154"/>
      <c r="Y23" s="170" t="str">
        <f t="shared" si="1"/>
        <v>제 10 호표</v>
      </c>
      <c r="Z23" s="150"/>
    </row>
    <row r="24" spans="1:26" ht="18" customHeight="1">
      <c r="A24" s="355"/>
      <c r="B24" s="223"/>
      <c r="C24" s="237" t="s">
        <v>2795</v>
      </c>
      <c r="D24" s="20">
        <v>0.1</v>
      </c>
      <c r="E24" s="21">
        <v>0.2</v>
      </c>
      <c r="F24" s="21">
        <v>0.5</v>
      </c>
      <c r="G24" s="21">
        <v>0.7</v>
      </c>
      <c r="H24" s="21">
        <v>1.2</v>
      </c>
      <c r="I24" s="22">
        <v>1.5</v>
      </c>
      <c r="J24" s="389" t="s">
        <v>1090</v>
      </c>
      <c r="L24" s="233">
        <v>1</v>
      </c>
      <c r="N24" s="292" t="str">
        <f t="shared" si="3"/>
        <v>2.9. 시설의 대중성</v>
      </c>
      <c r="O24" s="37"/>
      <c r="P24" s="37"/>
      <c r="Q24" s="37"/>
      <c r="R24" s="37"/>
      <c r="S24" s="37"/>
      <c r="T24" s="37"/>
      <c r="U24" s="227"/>
      <c r="V24" s="231"/>
      <c r="W24" s="153">
        <f t="array" aca="1" ref="W24" ca="1">SUM((ROUNDDOWN((D41:I41)*단가,0)))</f>
        <v>1141109</v>
      </c>
      <c r="X24" s="154"/>
      <c r="Y24" s="170" t="str">
        <f t="shared" si="1"/>
        <v>제 11 호표</v>
      </c>
      <c r="Z24" s="150"/>
    </row>
    <row r="25" spans="1:26" ht="18" customHeight="1">
      <c r="A25" s="355"/>
      <c r="B25" s="223"/>
      <c r="C25" s="237" t="s">
        <v>2796</v>
      </c>
      <c r="D25" s="20">
        <v>0.4</v>
      </c>
      <c r="E25" s="21">
        <v>0.7</v>
      </c>
      <c r="F25" s="21">
        <v>1.4</v>
      </c>
      <c r="G25" s="21">
        <v>2</v>
      </c>
      <c r="H25" s="21">
        <v>3.8</v>
      </c>
      <c r="I25" s="22">
        <v>4.3</v>
      </c>
      <c r="J25" s="389" t="s">
        <v>1090</v>
      </c>
      <c r="L25" s="233">
        <v>1</v>
      </c>
      <c r="N25" s="292" t="str">
        <f t="shared" si="3"/>
        <v>2.10. 피해의 최소성</v>
      </c>
      <c r="O25" s="37"/>
      <c r="P25" s="37"/>
      <c r="Q25" s="37"/>
      <c r="R25" s="37"/>
      <c r="S25" s="37"/>
      <c r="T25" s="37"/>
      <c r="U25" s="227"/>
      <c r="V25" s="231"/>
      <c r="W25" s="153">
        <f t="array" aca="1" ref="W25" ca="1">SUM((ROUNDDOWN((D42:I42)*단가,0)))</f>
        <v>3443864</v>
      </c>
      <c r="X25" s="154"/>
      <c r="Y25" s="170" t="str">
        <f t="shared" si="1"/>
        <v>제 12 호표</v>
      </c>
      <c r="Z25" s="150"/>
    </row>
    <row r="26" spans="1:26" ht="18" customHeight="1">
      <c r="A26" s="355"/>
      <c r="B26" s="223"/>
      <c r="C26" s="237" t="s">
        <v>2797</v>
      </c>
      <c r="D26" s="20">
        <v>0.4</v>
      </c>
      <c r="E26" s="21">
        <v>0.7</v>
      </c>
      <c r="F26" s="21">
        <v>1.4</v>
      </c>
      <c r="G26" s="21">
        <v>2</v>
      </c>
      <c r="H26" s="21">
        <v>3.8</v>
      </c>
      <c r="I26" s="22">
        <v>4.3</v>
      </c>
      <c r="J26" s="389" t="s">
        <v>1090</v>
      </c>
      <c r="L26" s="233">
        <v>1</v>
      </c>
      <c r="N26" s="292" t="str">
        <f t="shared" si="3"/>
        <v>2.11. 방법의 적절성</v>
      </c>
      <c r="O26" s="37"/>
      <c r="P26" s="37"/>
      <c r="Q26" s="37"/>
      <c r="R26" s="37"/>
      <c r="S26" s="37"/>
      <c r="T26" s="37"/>
      <c r="U26" s="227"/>
      <c r="V26" s="231"/>
      <c r="W26" s="153">
        <f t="array" aca="1" ref="W26" ca="1">SUM((ROUNDDOWN((D43:I43)*단가,0)))</f>
        <v>3443864</v>
      </c>
      <c r="X26" s="154"/>
      <c r="Y26" s="170" t="str">
        <f t="shared" si="1"/>
        <v>제 13 호표</v>
      </c>
      <c r="Z26" s="150"/>
    </row>
    <row r="27" spans="1:26" ht="18" customHeight="1" thickBot="1">
      <c r="A27" s="355"/>
      <c r="B27" s="224"/>
      <c r="C27" s="237" t="s">
        <v>2794</v>
      </c>
      <c r="D27" s="24">
        <v>0.1</v>
      </c>
      <c r="E27" s="25">
        <v>0.2</v>
      </c>
      <c r="F27" s="25">
        <v>0.5</v>
      </c>
      <c r="G27" s="25">
        <v>0.7</v>
      </c>
      <c r="H27" s="25">
        <v>1.2</v>
      </c>
      <c r="I27" s="26"/>
      <c r="J27" s="612" t="s">
        <v>1090</v>
      </c>
      <c r="L27" s="233">
        <v>1</v>
      </c>
      <c r="N27" s="292" t="str">
        <f t="shared" si="3"/>
        <v>2.12. 사업의 시급성</v>
      </c>
      <c r="O27" s="37"/>
      <c r="P27" s="37"/>
      <c r="Q27" s="37"/>
      <c r="R27" s="37"/>
      <c r="S27" s="37"/>
      <c r="T27" s="37"/>
      <c r="U27" s="227"/>
      <c r="V27" s="231"/>
      <c r="W27" s="153">
        <f t="array" aca="1" ref="W27" ca="1">SUM((ROUNDDOWN((D44:I44)*단가,0)))</f>
        <v>765979</v>
      </c>
      <c r="X27" s="154"/>
      <c r="Y27" s="170" t="str">
        <f t="shared" si="1"/>
        <v>제 14 호표</v>
      </c>
      <c r="Z27" s="150"/>
    </row>
    <row r="28" spans="1:26" ht="18" customHeight="1" thickBot="1">
      <c r="A28" s="355"/>
      <c r="B28" s="14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290" t="s">
        <v>2798</v>
      </c>
      <c r="O28" s="129"/>
      <c r="P28" s="130"/>
      <c r="Q28" s="124"/>
      <c r="R28" s="131"/>
      <c r="S28" s="124"/>
      <c r="T28" s="124"/>
      <c r="U28" s="181"/>
      <c r="V28" s="181"/>
      <c r="W28" s="159">
        <f>SUBTOTAL(9,W29:W31)</f>
        <v>4500000</v>
      </c>
      <c r="X28" s="160"/>
      <c r="Y28" s="124"/>
      <c r="Z28" s="124"/>
    </row>
    <row r="29" spans="1:26" ht="18" customHeight="1">
      <c r="A29" s="326"/>
      <c r="B29" s="225" t="str">
        <f>B12</f>
        <v>1. 계획안 검토</v>
      </c>
      <c r="C29" s="72"/>
      <c r="D29" s="693">
        <f t="shared" ref="D29:I29" si="4">SUBTOTAL(9,D30:D31)</f>
        <v>0.2</v>
      </c>
      <c r="E29" s="694">
        <f t="shared" si="4"/>
        <v>0.4</v>
      </c>
      <c r="F29" s="694">
        <f t="shared" si="4"/>
        <v>0.6</v>
      </c>
      <c r="G29" s="694">
        <f t="shared" si="4"/>
        <v>1</v>
      </c>
      <c r="H29" s="694">
        <f t="shared" si="4"/>
        <v>1.8</v>
      </c>
      <c r="I29" s="695">
        <f t="shared" si="4"/>
        <v>2</v>
      </c>
      <c r="J29" s="73"/>
      <c r="N29" s="128" t="str">
        <f>"여비("&amp;TEXT(R29,"#인 ×")&amp;TEXT(S29,"#일 ×")&amp;TEXT(T29,"###,###원)")</f>
        <v>여비(3인 ×5일 ×100,000원)</v>
      </c>
      <c r="O29" s="78"/>
      <c r="P29" s="52"/>
      <c r="Q29" s="51"/>
      <c r="R29" s="146">
        <v>3</v>
      </c>
      <c r="S29" s="146">
        <v>5</v>
      </c>
      <c r="T29" s="147">
        <v>100000</v>
      </c>
      <c r="U29" s="182"/>
      <c r="V29" s="182"/>
      <c r="W29" s="161">
        <f>R29*S29*T29</f>
        <v>1500000</v>
      </c>
      <c r="X29" s="162"/>
      <c r="Y29" s="51"/>
      <c r="Z29" s="51"/>
    </row>
    <row r="30" spans="1:26" ht="18" customHeight="1">
      <c r="A30" s="326">
        <v>1</v>
      </c>
      <c r="B30" s="223"/>
      <c r="C30" s="237" t="str">
        <f>C13</f>
        <v>1.1. 관련법규 검토</v>
      </c>
      <c r="D30" s="20">
        <f t="array" ref="D30:I31">ROUNDDOWN(D13:I14*L13:L14*D5,3)</f>
        <v>0.1</v>
      </c>
      <c r="E30" s="21">
        <v>0.2</v>
      </c>
      <c r="F30" s="21">
        <v>0.3</v>
      </c>
      <c r="G30" s="21">
        <v>0.5</v>
      </c>
      <c r="H30" s="21">
        <v>0.9</v>
      </c>
      <c r="I30" s="22">
        <v>1</v>
      </c>
      <c r="J30" s="74"/>
      <c r="N30" s="79" t="s">
        <v>46</v>
      </c>
      <c r="O30" s="79"/>
      <c r="P30" s="39"/>
      <c r="Q30" s="37"/>
      <c r="R30" s="117"/>
      <c r="S30" s="37"/>
      <c r="T30" s="37"/>
      <c r="U30" s="180"/>
      <c r="V30" s="180"/>
      <c r="W30" s="157">
        <v>2000000</v>
      </c>
      <c r="X30" s="158"/>
      <c r="Y30" s="37"/>
      <c r="Z30" s="37"/>
    </row>
    <row r="31" spans="1:26" ht="18" customHeight="1">
      <c r="A31" s="326">
        <v>2</v>
      </c>
      <c r="B31" s="223"/>
      <c r="C31" s="237" t="str">
        <f>C14</f>
        <v>1.2. 관련계획 검토</v>
      </c>
      <c r="D31" s="20">
        <v>0.1</v>
      </c>
      <c r="E31" s="21">
        <v>0.2</v>
      </c>
      <c r="F31" s="21">
        <v>0.3</v>
      </c>
      <c r="G31" s="21">
        <v>0.5</v>
      </c>
      <c r="H31" s="21">
        <v>0.9</v>
      </c>
      <c r="I31" s="22">
        <v>1</v>
      </c>
      <c r="J31" s="75"/>
      <c r="N31" s="132" t="s">
        <v>13</v>
      </c>
      <c r="O31" s="132"/>
      <c r="P31" s="38"/>
      <c r="Q31" s="38"/>
      <c r="R31" s="116"/>
      <c r="S31" s="38"/>
      <c r="T31" s="38"/>
      <c r="U31" s="183"/>
      <c r="V31" s="183"/>
      <c r="W31" s="155">
        <v>1000000</v>
      </c>
      <c r="X31" s="156"/>
      <c r="Y31" s="38"/>
      <c r="Z31" s="38"/>
    </row>
    <row r="32" spans="1:26" ht="18" customHeight="1">
      <c r="A32" s="326"/>
      <c r="B32" s="222" t="str">
        <f>B15</f>
        <v>2. 사업인정 의제 협의 도서 작성</v>
      </c>
      <c r="C32" s="47" t="s">
        <v>417</v>
      </c>
      <c r="D32" s="33">
        <f t="shared" ref="D32:I32" si="5">SUBTOTAL(9,D33:D44)</f>
        <v>1.5</v>
      </c>
      <c r="E32" s="34">
        <f t="shared" si="5"/>
        <v>3.4000000000000004</v>
      </c>
      <c r="F32" s="34">
        <f t="shared" si="5"/>
        <v>7.8000000000000007</v>
      </c>
      <c r="G32" s="34">
        <f t="shared" si="5"/>
        <v>11</v>
      </c>
      <c r="H32" s="34">
        <f t="shared" si="5"/>
        <v>19.599999999999998</v>
      </c>
      <c r="I32" s="35">
        <f t="shared" si="5"/>
        <v>13.100000000000001</v>
      </c>
      <c r="J32" s="13"/>
      <c r="N32" s="127" t="s">
        <v>47</v>
      </c>
      <c r="O32" s="123"/>
      <c r="P32" s="123"/>
      <c r="Q32" s="123"/>
      <c r="R32" s="123"/>
      <c r="S32" s="123"/>
      <c r="T32" s="123"/>
      <c r="U32" s="184"/>
      <c r="V32" s="184"/>
      <c r="W32" s="163">
        <f ca="1">SUBTOTAL(9,W33:W34)</f>
        <v>30840244</v>
      </c>
      <c r="X32" s="164"/>
      <c r="Y32" s="123"/>
      <c r="Z32" s="123"/>
    </row>
    <row r="33" spans="1:26" ht="18" customHeight="1">
      <c r="A33" s="326">
        <v>3</v>
      </c>
      <c r="B33" s="223"/>
      <c r="C33" s="237" t="str">
        <f t="shared" ref="C33:C44" si="6">C16</f>
        <v>2.1. 주변지역과의 상관성 검토</v>
      </c>
      <c r="D33" s="20">
        <f t="array" ref="D33:I44">ROUNDDOWN(D16:I27*L16:L27*D5,3)</f>
        <v>0.1</v>
      </c>
      <c r="E33" s="21">
        <v>0.2</v>
      </c>
      <c r="F33" s="21">
        <v>0.5</v>
      </c>
      <c r="G33" s="21">
        <v>0.7</v>
      </c>
      <c r="H33" s="21">
        <v>1.2</v>
      </c>
      <c r="I33" s="22">
        <v>1.5</v>
      </c>
      <c r="J33" s="23"/>
      <c r="N33" s="133" t="s">
        <v>861</v>
      </c>
      <c r="O33" s="124"/>
      <c r="P33" s="134"/>
      <c r="Q33" s="124"/>
      <c r="R33" s="131"/>
      <c r="S33" s="124"/>
      <c r="T33" s="181"/>
      <c r="U33" s="181"/>
      <c r="V33" s="190">
        <v>1.1499999999999999</v>
      </c>
      <c r="W33" s="159">
        <f ca="1">ROUNDDOWN(W11*V33,0)</f>
        <v>19758374</v>
      </c>
      <c r="X33" s="160"/>
      <c r="Y33" s="124"/>
      <c r="Z33" s="124"/>
    </row>
    <row r="34" spans="1:26" ht="18" customHeight="1" thickBot="1">
      <c r="A34" s="326">
        <v>4</v>
      </c>
      <c r="B34" s="223"/>
      <c r="C34" s="237" t="str">
        <f t="shared" si="6"/>
        <v>2.2. 시행목적의 공공성</v>
      </c>
      <c r="D34" s="20">
        <v>0.1</v>
      </c>
      <c r="E34" s="21">
        <v>0.2</v>
      </c>
      <c r="F34" s="21">
        <v>0.5</v>
      </c>
      <c r="G34" s="21">
        <v>0.7</v>
      </c>
      <c r="H34" s="21">
        <v>1.2</v>
      </c>
      <c r="I34" s="22">
        <v>0</v>
      </c>
      <c r="J34" s="23"/>
      <c r="N34" s="135" t="s">
        <v>862</v>
      </c>
      <c r="O34" s="136"/>
      <c r="P34" s="137"/>
      <c r="Q34" s="136"/>
      <c r="R34" s="138"/>
      <c r="S34" s="136"/>
      <c r="T34" s="185"/>
      <c r="U34" s="185"/>
      <c r="V34" s="191">
        <v>0.3</v>
      </c>
      <c r="W34" s="165">
        <f ca="1">ROUNDDOWN((W11+W33)*V34,0)</f>
        <v>11081870</v>
      </c>
      <c r="X34" s="166"/>
      <c r="Y34" s="136"/>
      <c r="Z34" s="136"/>
    </row>
    <row r="35" spans="1:26" ht="18" customHeight="1">
      <c r="A35" s="326">
        <v>5</v>
      </c>
      <c r="B35" s="223"/>
      <c r="C35" s="237" t="str">
        <f t="shared" si="6"/>
        <v>2.3. 사업의 공공기여도</v>
      </c>
      <c r="D35" s="20">
        <v>0.1</v>
      </c>
      <c r="E35" s="21">
        <v>0.2</v>
      </c>
      <c r="F35" s="21">
        <v>0.5</v>
      </c>
      <c r="G35" s="21">
        <v>0.7</v>
      </c>
      <c r="H35" s="21">
        <v>1.2</v>
      </c>
      <c r="I35" s="22">
        <v>1.5</v>
      </c>
      <c r="J35" s="23"/>
    </row>
    <row r="36" spans="1:26" ht="18" customHeight="1">
      <c r="A36" s="326">
        <v>6</v>
      </c>
      <c r="B36" s="223"/>
      <c r="C36" s="237" t="str">
        <f t="shared" si="6"/>
        <v>2.4. 사업시행자 유형</v>
      </c>
      <c r="D36" s="20">
        <v>0</v>
      </c>
      <c r="E36" s="21">
        <v>0.2</v>
      </c>
      <c r="F36" s="21">
        <v>0.5</v>
      </c>
      <c r="G36" s="21">
        <v>0.7</v>
      </c>
      <c r="H36" s="21">
        <v>1.2</v>
      </c>
      <c r="I36" s="22">
        <v>0</v>
      </c>
      <c r="J36" s="23"/>
    </row>
    <row r="37" spans="1:26" ht="18" customHeight="1">
      <c r="A37" s="326">
        <v>7</v>
      </c>
      <c r="B37" s="223"/>
      <c r="C37" s="237" t="str">
        <f t="shared" si="6"/>
        <v>2.5. 사업재원의 공공성</v>
      </c>
      <c r="D37" s="20">
        <v>0</v>
      </c>
      <c r="E37" s="21">
        <v>0.2</v>
      </c>
      <c r="F37" s="21">
        <v>0.5</v>
      </c>
      <c r="G37" s="21">
        <v>0.7</v>
      </c>
      <c r="H37" s="21">
        <v>1.2</v>
      </c>
      <c r="I37" s="22">
        <v>0</v>
      </c>
      <c r="J37" s="23"/>
    </row>
    <row r="38" spans="1:26" ht="18" customHeight="1">
      <c r="A38" s="326">
        <v>8</v>
      </c>
      <c r="B38" s="223"/>
      <c r="C38" s="237" t="str">
        <f t="shared" si="6"/>
        <v>2.6. 사업수행능력</v>
      </c>
      <c r="D38" s="20">
        <v>0</v>
      </c>
      <c r="E38" s="21">
        <v>0.2</v>
      </c>
      <c r="F38" s="21">
        <v>0.5</v>
      </c>
      <c r="G38" s="21">
        <v>0.7</v>
      </c>
      <c r="H38" s="21">
        <v>1.2</v>
      </c>
      <c r="I38" s="22">
        <v>0</v>
      </c>
      <c r="J38" s="23"/>
    </row>
    <row r="39" spans="1:26" ht="18" customHeight="1">
      <c r="A39" s="326">
        <v>9</v>
      </c>
      <c r="B39" s="223"/>
      <c r="C39" s="237" t="str">
        <f t="shared" si="6"/>
        <v>2.7. 목적 및 상위계획 부합여부</v>
      </c>
      <c r="D39" s="20">
        <v>0.1</v>
      </c>
      <c r="E39" s="21">
        <v>0.2</v>
      </c>
      <c r="F39" s="21">
        <v>0.5</v>
      </c>
      <c r="G39" s="21">
        <v>0.7</v>
      </c>
      <c r="H39" s="21">
        <v>1.2</v>
      </c>
      <c r="I39" s="22">
        <v>0</v>
      </c>
      <c r="J39" s="23"/>
    </row>
    <row r="40" spans="1:26" ht="18" customHeight="1">
      <c r="A40" s="326">
        <v>10</v>
      </c>
      <c r="B40" s="223"/>
      <c r="C40" s="237" t="str">
        <f t="shared" si="6"/>
        <v>2.8. 공익의 지속성</v>
      </c>
      <c r="D40" s="20">
        <v>0.1</v>
      </c>
      <c r="E40" s="21">
        <v>0.2</v>
      </c>
      <c r="F40" s="21">
        <v>0.5</v>
      </c>
      <c r="G40" s="21">
        <v>0.7</v>
      </c>
      <c r="H40" s="21">
        <v>1.2</v>
      </c>
      <c r="I40" s="22">
        <v>0</v>
      </c>
      <c r="J40" s="23"/>
    </row>
    <row r="41" spans="1:26" ht="18" customHeight="1">
      <c r="A41" s="326">
        <v>11</v>
      </c>
      <c r="B41" s="223"/>
      <c r="C41" s="237" t="str">
        <f t="shared" si="6"/>
        <v>2.9. 시설의 대중성</v>
      </c>
      <c r="D41" s="20">
        <v>0.1</v>
      </c>
      <c r="E41" s="21">
        <v>0.2</v>
      </c>
      <c r="F41" s="21">
        <v>0.5</v>
      </c>
      <c r="G41" s="21">
        <v>0.7</v>
      </c>
      <c r="H41" s="21">
        <v>1.2</v>
      </c>
      <c r="I41" s="22">
        <v>1.5</v>
      </c>
      <c r="J41" s="23"/>
    </row>
    <row r="42" spans="1:26" ht="18" customHeight="1">
      <c r="A42" s="326">
        <v>12</v>
      </c>
      <c r="B42" s="223"/>
      <c r="C42" s="237" t="str">
        <f t="shared" si="6"/>
        <v>2.10. 피해의 최소성</v>
      </c>
      <c r="D42" s="20">
        <v>0.4</v>
      </c>
      <c r="E42" s="21">
        <v>0.7</v>
      </c>
      <c r="F42" s="21">
        <v>1.4</v>
      </c>
      <c r="G42" s="21">
        <v>2</v>
      </c>
      <c r="H42" s="21">
        <v>3.8</v>
      </c>
      <c r="I42" s="22">
        <v>4.3</v>
      </c>
      <c r="J42" s="23"/>
    </row>
    <row r="43" spans="1:26" ht="18" customHeight="1">
      <c r="A43" s="326">
        <v>13</v>
      </c>
      <c r="B43" s="223"/>
      <c r="C43" s="237" t="str">
        <f t="shared" si="6"/>
        <v>2.11. 방법의 적절성</v>
      </c>
      <c r="D43" s="20">
        <v>0.4</v>
      </c>
      <c r="E43" s="21">
        <v>0.7</v>
      </c>
      <c r="F43" s="21">
        <v>1.4</v>
      </c>
      <c r="G43" s="21">
        <v>2</v>
      </c>
      <c r="H43" s="21">
        <v>3.8</v>
      </c>
      <c r="I43" s="22">
        <v>4.3</v>
      </c>
      <c r="J43" s="23"/>
    </row>
    <row r="44" spans="1:26" ht="18" customHeight="1" thickBot="1">
      <c r="A44" s="326">
        <v>14</v>
      </c>
      <c r="B44" s="388"/>
      <c r="C44" s="401" t="str">
        <f t="shared" si="6"/>
        <v>2.12. 사업의 시급성</v>
      </c>
      <c r="D44" s="397">
        <v>0.1</v>
      </c>
      <c r="E44" s="398">
        <v>0.2</v>
      </c>
      <c r="F44" s="398">
        <v>0.5</v>
      </c>
      <c r="G44" s="398">
        <v>0.7</v>
      </c>
      <c r="H44" s="398">
        <v>1.2</v>
      </c>
      <c r="I44" s="399">
        <v>0</v>
      </c>
      <c r="J44" s="342"/>
      <c r="L44" s="171"/>
    </row>
    <row r="45" spans="1:26" ht="18" customHeight="1">
      <c r="A45" s="326"/>
      <c r="B45" s="85" t="s">
        <v>15</v>
      </c>
      <c r="C45" s="9" t="s">
        <v>418</v>
      </c>
      <c r="K45" s="171" t="s">
        <v>14</v>
      </c>
      <c r="L45" s="171"/>
    </row>
    <row r="46" spans="1:26" ht="18" customHeight="1">
      <c r="A46" s="326"/>
      <c r="B46" s="8"/>
      <c r="C46" s="9" t="s">
        <v>419</v>
      </c>
      <c r="K46" s="171" t="s">
        <v>14</v>
      </c>
      <c r="L46" s="171"/>
    </row>
    <row r="47" spans="1:26" ht="18" customHeight="1">
      <c r="A47" s="355"/>
      <c r="B47" s="80"/>
      <c r="C47" s="9" t="s">
        <v>336</v>
      </c>
      <c r="K47" s="171" t="s">
        <v>14</v>
      </c>
      <c r="L47" s="171"/>
    </row>
    <row r="48" spans="1:26" ht="18" customHeight="1">
      <c r="A48" s="355"/>
      <c r="C48" s="9" t="s">
        <v>230</v>
      </c>
      <c r="K48" s="171" t="s">
        <v>14</v>
      </c>
      <c r="L48" s="171"/>
    </row>
    <row r="49" spans="1:26" ht="18" customHeight="1">
      <c r="A49" s="355"/>
      <c r="C49" s="9"/>
      <c r="K49" s="171" t="s">
        <v>14</v>
      </c>
      <c r="L49" s="171"/>
    </row>
    <row r="50" spans="1:26" ht="18" customHeight="1">
      <c r="A50" s="326"/>
      <c r="C50" s="9"/>
      <c r="K50" s="171" t="s">
        <v>14</v>
      </c>
      <c r="L50" s="171"/>
    </row>
    <row r="51" spans="1:26" ht="18" customHeight="1">
      <c r="A51" s="326"/>
      <c r="C51" s="9"/>
      <c r="K51" s="171" t="s">
        <v>14</v>
      </c>
      <c r="L51" s="171"/>
    </row>
    <row r="52" spans="1:26" ht="18" customHeight="1">
      <c r="A52" s="326"/>
      <c r="C52" s="9"/>
      <c r="K52" s="171" t="s">
        <v>14</v>
      </c>
      <c r="L52" s="171"/>
      <c r="M52" s="171"/>
    </row>
    <row r="53" spans="1:26" ht="18" customHeight="1">
      <c r="A53" s="326"/>
      <c r="C53" s="9"/>
      <c r="K53" s="171" t="s">
        <v>14</v>
      </c>
      <c r="L53" s="171"/>
      <c r="M53" s="171"/>
    </row>
    <row r="54" spans="1:26" ht="18" customHeight="1">
      <c r="A54" s="326"/>
      <c r="K54" s="171" t="s">
        <v>14</v>
      </c>
      <c r="L54" s="171"/>
      <c r="M54" s="171"/>
    </row>
    <row r="55" spans="1:26" ht="18" customHeight="1">
      <c r="A55" s="326"/>
      <c r="K55" s="171" t="s">
        <v>14</v>
      </c>
      <c r="L55" s="171"/>
      <c r="M55" s="171"/>
    </row>
    <row r="56" spans="1:26" ht="18" customHeight="1">
      <c r="A56" s="326"/>
      <c r="K56" s="171" t="s">
        <v>14</v>
      </c>
      <c r="L56" s="171"/>
      <c r="M56" s="171"/>
    </row>
    <row r="57" spans="1:26" ht="18" customHeight="1" thickBot="1">
      <c r="A57" s="326"/>
      <c r="K57" s="171" t="s">
        <v>14</v>
      </c>
      <c r="L57" s="171"/>
      <c r="M57" s="171"/>
      <c r="N57" s="66" t="s">
        <v>18</v>
      </c>
      <c r="O57" s="2"/>
      <c r="P57" s="2"/>
      <c r="Q57" s="2"/>
      <c r="R57" s="3"/>
      <c r="S57" s="4"/>
      <c r="T57" s="3"/>
      <c r="U57" s="4"/>
      <c r="V57" s="3"/>
      <c r="W57" s="4"/>
      <c r="X57" s="3"/>
      <c r="Y57" s="4"/>
      <c r="Z57" s="2"/>
    </row>
    <row r="58" spans="1:26" ht="18" customHeight="1">
      <c r="A58" s="326"/>
      <c r="K58" s="171" t="s">
        <v>14</v>
      </c>
      <c r="L58" s="171"/>
      <c r="M58" s="171"/>
      <c r="N58" s="765" t="s">
        <v>19</v>
      </c>
      <c r="O58" s="755" t="s">
        <v>20</v>
      </c>
      <c r="P58" s="755" t="s">
        <v>21</v>
      </c>
      <c r="Q58" s="755" t="s">
        <v>16</v>
      </c>
      <c r="R58" s="5" t="s">
        <v>22</v>
      </c>
      <c r="S58" s="5"/>
      <c r="T58" s="5" t="s">
        <v>23</v>
      </c>
      <c r="U58" s="5"/>
      <c r="V58" s="5" t="s">
        <v>24</v>
      </c>
      <c r="W58" s="5"/>
      <c r="X58" s="5" t="s">
        <v>25</v>
      </c>
      <c r="Y58" s="5"/>
      <c r="Z58" s="755" t="s">
        <v>26</v>
      </c>
    </row>
    <row r="59" spans="1:26" ht="18" customHeight="1" thickBot="1">
      <c r="A59" s="326"/>
      <c r="K59" s="171" t="s">
        <v>14</v>
      </c>
      <c r="L59" s="171"/>
      <c r="M59" s="171"/>
      <c r="N59" s="766"/>
      <c r="O59" s="756"/>
      <c r="P59" s="756"/>
      <c r="Q59" s="756"/>
      <c r="R59" s="67" t="s">
        <v>27</v>
      </c>
      <c r="S59" s="67" t="s">
        <v>28</v>
      </c>
      <c r="T59" s="67" t="s">
        <v>27</v>
      </c>
      <c r="U59" s="67" t="s">
        <v>28</v>
      </c>
      <c r="V59" s="67" t="s">
        <v>27</v>
      </c>
      <c r="W59" s="67" t="s">
        <v>28</v>
      </c>
      <c r="X59" s="67" t="s">
        <v>27</v>
      </c>
      <c r="Y59" s="67" t="s">
        <v>28</v>
      </c>
      <c r="Z59" s="756"/>
    </row>
    <row r="60" spans="1:26" ht="18" customHeight="1" thickTop="1">
      <c r="A60" s="326"/>
      <c r="K60" s="171" t="s">
        <v>14</v>
      </c>
      <c r="L60" s="171"/>
      <c r="M60" s="171"/>
      <c r="N60" s="318" t="str">
        <f ca="1">"제 " &amp; Z60 &amp; " 호표  "&amp; OFFSET($A$1,MATCH(Z60,$A:$A,0)-1,2)</f>
        <v>제 1 호표  1.1. 관련법규 검토</v>
      </c>
      <c r="O60" s="221"/>
      <c r="P60" s="148"/>
      <c r="Q60" s="148"/>
      <c r="R60" s="149"/>
      <c r="S60" s="149"/>
      <c r="T60" s="149"/>
      <c r="U60" s="149"/>
      <c r="V60" s="149"/>
      <c r="W60" s="149"/>
      <c r="X60" s="149"/>
      <c r="Y60" s="149"/>
      <c r="Z60" s="325">
        <v>1</v>
      </c>
    </row>
    <row r="61" spans="1:26" ht="18" customHeight="1">
      <c r="A61" s="326"/>
      <c r="K61" s="171" t="s">
        <v>14</v>
      </c>
      <c r="L61" s="171"/>
      <c r="M61" s="171"/>
      <c r="N61" s="140" t="s">
        <v>43</v>
      </c>
      <c r="O61" s="172">
        <v>3</v>
      </c>
      <c r="P61" s="219">
        <f ca="1">OFFSET($A$1,MATCH(Z60,$A:$A,0)-1,O61)</f>
        <v>0.1</v>
      </c>
      <c r="Q61" s="141" t="s">
        <v>29</v>
      </c>
      <c r="R61" s="142">
        <f t="shared" ref="R61:S66" ca="1" si="7">T61</f>
        <v>467217</v>
      </c>
      <c r="S61" s="142">
        <f t="shared" ca="1" si="7"/>
        <v>46721</v>
      </c>
      <c r="T61" s="142">
        <f ca="1">기술사</f>
        <v>467217</v>
      </c>
      <c r="U61" s="142">
        <f t="shared" ref="U61:U66" ca="1" si="8">ROUNDDOWN(P61*R61,0)</f>
        <v>46721</v>
      </c>
      <c r="V61" s="142"/>
      <c r="W61" s="142"/>
      <c r="X61" s="142"/>
      <c r="Y61" s="142"/>
      <c r="Z61" s="114"/>
    </row>
    <row r="62" spans="1:26" ht="18" customHeight="1">
      <c r="A62" s="326"/>
      <c r="K62" s="171" t="s">
        <v>14</v>
      </c>
      <c r="L62" s="171"/>
      <c r="M62" s="171"/>
      <c r="N62" s="143" t="s">
        <v>32</v>
      </c>
      <c r="O62" s="173">
        <v>4</v>
      </c>
      <c r="P62" s="234">
        <f ca="1">OFFSET($A$1,MATCH(Z60,$A:$A,0)-1,O62)</f>
        <v>0.2</v>
      </c>
      <c r="Q62" s="144" t="s">
        <v>29</v>
      </c>
      <c r="R62" s="118">
        <f t="shared" ca="1" si="7"/>
        <v>373353</v>
      </c>
      <c r="S62" s="118">
        <f t="shared" ca="1" si="7"/>
        <v>74670</v>
      </c>
      <c r="T62" s="118">
        <f ca="1">특급</f>
        <v>373353</v>
      </c>
      <c r="U62" s="118">
        <f t="shared" ca="1" si="8"/>
        <v>74670</v>
      </c>
      <c r="V62" s="118"/>
      <c r="W62" s="118"/>
      <c r="X62" s="118"/>
      <c r="Y62" s="118"/>
      <c r="Z62" s="115"/>
    </row>
    <row r="63" spans="1:26" ht="18" customHeight="1">
      <c r="A63" s="326"/>
      <c r="K63" s="171" t="s">
        <v>14</v>
      </c>
      <c r="L63" s="171"/>
      <c r="M63" s="171"/>
      <c r="N63" s="145" t="s">
        <v>39</v>
      </c>
      <c r="O63" s="173">
        <v>5</v>
      </c>
      <c r="P63" s="234">
        <f ca="1">OFFSET($A$1,MATCH(Z60,$A:$A,0)-1,O63)</f>
        <v>0.3</v>
      </c>
      <c r="Q63" s="144" t="s">
        <v>29</v>
      </c>
      <c r="R63" s="118">
        <f t="shared" ca="1" si="7"/>
        <v>310884</v>
      </c>
      <c r="S63" s="118">
        <f t="shared" ca="1" si="7"/>
        <v>93265</v>
      </c>
      <c r="T63" s="118">
        <f ca="1">고급</f>
        <v>310884</v>
      </c>
      <c r="U63" s="118">
        <f t="shared" ca="1" si="8"/>
        <v>93265</v>
      </c>
      <c r="V63" s="118"/>
      <c r="W63" s="118"/>
      <c r="X63" s="118"/>
      <c r="Y63" s="118"/>
      <c r="Z63" s="115"/>
    </row>
    <row r="64" spans="1:26" ht="18" customHeight="1">
      <c r="A64" s="326"/>
      <c r="K64" s="171" t="s">
        <v>14</v>
      </c>
      <c r="L64" s="171"/>
      <c r="M64" s="171"/>
      <c r="N64" s="145" t="s">
        <v>40</v>
      </c>
      <c r="O64" s="173">
        <v>6</v>
      </c>
      <c r="P64" s="234">
        <f ca="1">OFFSET($A$1,MATCH(Z60,$A:$A,0)-1,O64)</f>
        <v>0.5</v>
      </c>
      <c r="Q64" s="144" t="s">
        <v>29</v>
      </c>
      <c r="R64" s="118">
        <f t="shared" ca="1" si="7"/>
        <v>295138</v>
      </c>
      <c r="S64" s="118">
        <f t="shared" ca="1" si="7"/>
        <v>147569</v>
      </c>
      <c r="T64" s="118">
        <f ca="1">중급</f>
        <v>295138</v>
      </c>
      <c r="U64" s="118">
        <f t="shared" ca="1" si="8"/>
        <v>147569</v>
      </c>
      <c r="V64" s="118"/>
      <c r="W64" s="118"/>
      <c r="X64" s="118"/>
      <c r="Y64" s="118"/>
      <c r="Z64" s="115"/>
    </row>
    <row r="65" spans="1:26" ht="18" customHeight="1">
      <c r="A65" s="326"/>
      <c r="K65" s="171" t="s">
        <v>14</v>
      </c>
      <c r="L65" s="171"/>
      <c r="M65" s="171"/>
      <c r="N65" s="145" t="s">
        <v>41</v>
      </c>
      <c r="O65" s="173">
        <v>7</v>
      </c>
      <c r="P65" s="234">
        <f ca="1">OFFSET($A$1,MATCH(Z60,$A:$A,0)-1,O65)</f>
        <v>0.9</v>
      </c>
      <c r="Q65" s="144" t="s">
        <v>29</v>
      </c>
      <c r="R65" s="118">
        <f t="shared" ca="1" si="7"/>
        <v>235459</v>
      </c>
      <c r="S65" s="118">
        <f t="shared" ca="1" si="7"/>
        <v>211913</v>
      </c>
      <c r="T65" s="118">
        <f ca="1">초급</f>
        <v>235459</v>
      </c>
      <c r="U65" s="118">
        <f t="shared" ca="1" si="8"/>
        <v>211913</v>
      </c>
      <c r="V65" s="118"/>
      <c r="W65" s="118"/>
      <c r="X65" s="118"/>
      <c r="Y65" s="118"/>
      <c r="Z65" s="115"/>
    </row>
    <row r="66" spans="1:26" ht="18" customHeight="1">
      <c r="A66" s="326"/>
      <c r="K66" s="171" t="s">
        <v>14</v>
      </c>
      <c r="L66" s="171"/>
      <c r="M66" s="171"/>
      <c r="N66" s="319" t="s">
        <v>42</v>
      </c>
      <c r="O66" s="174">
        <v>8</v>
      </c>
      <c r="P66" s="235">
        <f ca="1">OFFSET($A$1,MATCH(Z60,$A:$A,0)-1,O66)</f>
        <v>1</v>
      </c>
      <c r="Q66" s="322" t="s">
        <v>29</v>
      </c>
      <c r="R66" s="323">
        <f t="shared" ca="1" si="7"/>
        <v>250087</v>
      </c>
      <c r="S66" s="323">
        <f t="shared" ca="1" si="7"/>
        <v>250087</v>
      </c>
      <c r="T66" s="323">
        <f ca="1">보조원</f>
        <v>250087</v>
      </c>
      <c r="U66" s="323">
        <f t="shared" ca="1" si="8"/>
        <v>250087</v>
      </c>
      <c r="V66" s="323"/>
      <c r="W66" s="323"/>
      <c r="X66" s="323"/>
      <c r="Y66" s="323"/>
      <c r="Z66" s="324"/>
    </row>
    <row r="67" spans="1:26" ht="18" customHeight="1">
      <c r="A67" s="326"/>
      <c r="K67" s="171" t="s">
        <v>14</v>
      </c>
      <c r="L67" s="171"/>
      <c r="M67" s="171"/>
      <c r="N67" s="139" t="s">
        <v>17</v>
      </c>
      <c r="O67" s="68"/>
      <c r="P67" s="69"/>
      <c r="Q67" s="70"/>
      <c r="R67" s="71"/>
      <c r="S67" s="71">
        <f ca="1">SUBTOTAL(9,S61:S66)</f>
        <v>824225</v>
      </c>
      <c r="T67" s="71"/>
      <c r="U67" s="71">
        <f ca="1">SUBTOTAL(9,U61:U66)</f>
        <v>824225</v>
      </c>
      <c r="V67" s="71"/>
      <c r="W67" s="71"/>
      <c r="X67" s="71"/>
      <c r="Y67" s="71"/>
      <c r="Z67" s="68"/>
    </row>
    <row r="68" spans="1:26" ht="18" customHeight="1">
      <c r="K68" s="171" t="s">
        <v>14</v>
      </c>
      <c r="L68" s="171"/>
      <c r="M68" s="171"/>
      <c r="N68" s="318" t="str">
        <f ca="1">"제 " &amp; Z68 &amp; " 호표  "&amp; OFFSET($A$1,MATCH(Z68,$A:$A,0)-1,2)</f>
        <v>제 2 호표  1.2. 관련계획 검토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f>Z60+1</f>
        <v>2</v>
      </c>
    </row>
    <row r="69" spans="1:26" ht="18" customHeight="1"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0.1</v>
      </c>
      <c r="Q69" s="141" t="s">
        <v>29</v>
      </c>
      <c r="R69" s="142">
        <f t="shared" ref="R69:S74" ca="1" si="9">T69</f>
        <v>467217</v>
      </c>
      <c r="S69" s="142">
        <f t="shared" ca="1" si="9"/>
        <v>46721</v>
      </c>
      <c r="T69" s="142">
        <f ca="1">기술사</f>
        <v>467217</v>
      </c>
      <c r="U69" s="142">
        <f t="shared" ref="U69:U74" ca="1" si="10">ROUNDDOWN(P69*R69,0)</f>
        <v>46721</v>
      </c>
      <c r="V69" s="142"/>
      <c r="W69" s="142"/>
      <c r="X69" s="142"/>
      <c r="Y69" s="142"/>
      <c r="Z69" s="114"/>
    </row>
    <row r="70" spans="1:26" ht="18" customHeight="1"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0.2</v>
      </c>
      <c r="Q70" s="144" t="s">
        <v>29</v>
      </c>
      <c r="R70" s="118">
        <f t="shared" ca="1" si="9"/>
        <v>373353</v>
      </c>
      <c r="S70" s="118">
        <f t="shared" ca="1" si="9"/>
        <v>74670</v>
      </c>
      <c r="T70" s="118">
        <f ca="1">특급</f>
        <v>373353</v>
      </c>
      <c r="U70" s="118">
        <f t="shared" ca="1" si="10"/>
        <v>74670</v>
      </c>
      <c r="V70" s="118"/>
      <c r="W70" s="118"/>
      <c r="X70" s="118"/>
      <c r="Y70" s="118"/>
      <c r="Z70" s="115"/>
    </row>
    <row r="71" spans="1:26" ht="18" customHeight="1"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0.3</v>
      </c>
      <c r="Q71" s="144" t="s">
        <v>29</v>
      </c>
      <c r="R71" s="118">
        <f t="shared" ca="1" si="9"/>
        <v>310884</v>
      </c>
      <c r="S71" s="118">
        <f t="shared" ca="1" si="9"/>
        <v>93265</v>
      </c>
      <c r="T71" s="118">
        <f ca="1">고급</f>
        <v>310884</v>
      </c>
      <c r="U71" s="118">
        <f t="shared" ca="1" si="10"/>
        <v>93265</v>
      </c>
      <c r="V71" s="118"/>
      <c r="W71" s="118"/>
      <c r="X71" s="118"/>
      <c r="Y71" s="118"/>
      <c r="Z71" s="115"/>
    </row>
    <row r="72" spans="1:26" ht="18" customHeight="1"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0.5</v>
      </c>
      <c r="Q72" s="144" t="s">
        <v>29</v>
      </c>
      <c r="R72" s="118">
        <f t="shared" ca="1" si="9"/>
        <v>295138</v>
      </c>
      <c r="S72" s="118">
        <f t="shared" ca="1" si="9"/>
        <v>147569</v>
      </c>
      <c r="T72" s="118">
        <f ca="1">중급</f>
        <v>295138</v>
      </c>
      <c r="U72" s="118">
        <f t="shared" ca="1" si="10"/>
        <v>147569</v>
      </c>
      <c r="V72" s="118"/>
      <c r="W72" s="118"/>
      <c r="X72" s="118"/>
      <c r="Y72" s="118"/>
      <c r="Z72" s="115"/>
    </row>
    <row r="73" spans="1:26" ht="18" customHeight="1"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0.9</v>
      </c>
      <c r="Q73" s="144" t="s">
        <v>29</v>
      </c>
      <c r="R73" s="118">
        <f t="shared" ca="1" si="9"/>
        <v>235459</v>
      </c>
      <c r="S73" s="118">
        <f t="shared" ca="1" si="9"/>
        <v>211913</v>
      </c>
      <c r="T73" s="118">
        <f ca="1">초급</f>
        <v>235459</v>
      </c>
      <c r="U73" s="118">
        <f t="shared" ca="1" si="10"/>
        <v>211913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1</v>
      </c>
      <c r="Q74" s="322" t="s">
        <v>29</v>
      </c>
      <c r="R74" s="323">
        <f t="shared" ca="1" si="9"/>
        <v>250087</v>
      </c>
      <c r="S74" s="323">
        <f t="shared" ca="1" si="9"/>
        <v>250087</v>
      </c>
      <c r="T74" s="323">
        <f ca="1">보조원</f>
        <v>250087</v>
      </c>
      <c r="U74" s="323">
        <f t="shared" ca="1" si="10"/>
        <v>250087</v>
      </c>
      <c r="V74" s="323"/>
      <c r="W74" s="323"/>
      <c r="X74" s="323"/>
      <c r="Y74" s="323"/>
      <c r="Z74" s="324"/>
    </row>
    <row r="75" spans="1:26" ht="18" customHeight="1"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824225</v>
      </c>
      <c r="T75" s="71"/>
      <c r="U75" s="71">
        <f ca="1">SUBTOTAL(9,U69:U74)</f>
        <v>824225</v>
      </c>
      <c r="V75" s="71"/>
      <c r="W75" s="71"/>
      <c r="X75" s="71"/>
      <c r="Y75" s="71"/>
      <c r="Z75" s="68"/>
    </row>
    <row r="76" spans="1:26" ht="18" customHeight="1">
      <c r="K76" s="171" t="s">
        <v>14</v>
      </c>
      <c r="L76" s="171"/>
      <c r="M76" s="171"/>
      <c r="N76" s="318" t="str">
        <f ca="1">"제 " &amp; Z76 &amp; " 호표  "&amp; OFFSET($A$1,MATCH(Z76,$A:$A,0)-1,2)</f>
        <v>제 3 호표  2.1. 주변지역과의 상관성 검토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3</v>
      </c>
    </row>
    <row r="77" spans="1:26" ht="18" customHeight="1"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0.1</v>
      </c>
      <c r="Q77" s="141" t="s">
        <v>29</v>
      </c>
      <c r="R77" s="142">
        <f t="shared" ref="R77:S82" ca="1" si="11">T77</f>
        <v>467217</v>
      </c>
      <c r="S77" s="142">
        <f t="shared" ca="1" si="11"/>
        <v>46721</v>
      </c>
      <c r="T77" s="142">
        <f ca="1">기술사</f>
        <v>467217</v>
      </c>
      <c r="U77" s="142">
        <f t="shared" ref="U77:U82" ca="1" si="12">ROUNDDOWN(P77*R77,0)</f>
        <v>46721</v>
      </c>
      <c r="V77" s="142"/>
      <c r="W77" s="142"/>
      <c r="X77" s="142"/>
      <c r="Y77" s="142"/>
      <c r="Z77" s="114"/>
    </row>
    <row r="78" spans="1:26" ht="18" customHeight="1"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0.2</v>
      </c>
      <c r="Q78" s="144" t="s">
        <v>29</v>
      </c>
      <c r="R78" s="118">
        <f t="shared" ca="1" si="11"/>
        <v>373353</v>
      </c>
      <c r="S78" s="118">
        <f t="shared" ca="1" si="11"/>
        <v>74670</v>
      </c>
      <c r="T78" s="118">
        <f ca="1">특급</f>
        <v>373353</v>
      </c>
      <c r="U78" s="118">
        <f t="shared" ca="1" si="12"/>
        <v>74670</v>
      </c>
      <c r="V78" s="118"/>
      <c r="W78" s="118"/>
      <c r="X78" s="118"/>
      <c r="Y78" s="118"/>
      <c r="Z78" s="115"/>
    </row>
    <row r="79" spans="1:26" ht="18" customHeight="1"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0.5</v>
      </c>
      <c r="Q79" s="144" t="s">
        <v>29</v>
      </c>
      <c r="R79" s="118">
        <f t="shared" ca="1" si="11"/>
        <v>310884</v>
      </c>
      <c r="S79" s="118">
        <f t="shared" ca="1" si="11"/>
        <v>155442</v>
      </c>
      <c r="T79" s="118">
        <f ca="1">고급</f>
        <v>310884</v>
      </c>
      <c r="U79" s="118">
        <f t="shared" ca="1" si="12"/>
        <v>155442</v>
      </c>
      <c r="V79" s="118"/>
      <c r="W79" s="118"/>
      <c r="X79" s="118"/>
      <c r="Y79" s="118"/>
      <c r="Z79" s="115"/>
    </row>
    <row r="80" spans="1:26" ht="18" customHeight="1"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0.7</v>
      </c>
      <c r="Q80" s="144" t="s">
        <v>29</v>
      </c>
      <c r="R80" s="118">
        <f t="shared" ca="1" si="11"/>
        <v>295138</v>
      </c>
      <c r="S80" s="118">
        <f t="shared" ca="1" si="11"/>
        <v>206596</v>
      </c>
      <c r="T80" s="118">
        <f ca="1">중급</f>
        <v>295138</v>
      </c>
      <c r="U80" s="118">
        <f t="shared" ca="1" si="12"/>
        <v>206596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1.2</v>
      </c>
      <c r="Q81" s="144" t="s">
        <v>29</v>
      </c>
      <c r="R81" s="118">
        <f t="shared" ca="1" si="11"/>
        <v>235459</v>
      </c>
      <c r="S81" s="118">
        <f t="shared" ca="1" si="11"/>
        <v>282550</v>
      </c>
      <c r="T81" s="118">
        <f ca="1">초급</f>
        <v>235459</v>
      </c>
      <c r="U81" s="118">
        <f t="shared" ca="1" si="12"/>
        <v>282550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1.5</v>
      </c>
      <c r="Q82" s="322" t="s">
        <v>29</v>
      </c>
      <c r="R82" s="323">
        <f t="shared" ca="1" si="11"/>
        <v>250087</v>
      </c>
      <c r="S82" s="323">
        <f t="shared" ca="1" si="11"/>
        <v>375130</v>
      </c>
      <c r="T82" s="323">
        <f ca="1">보조원</f>
        <v>250087</v>
      </c>
      <c r="U82" s="323">
        <f t="shared" ca="1" si="12"/>
        <v>375130</v>
      </c>
      <c r="V82" s="323"/>
      <c r="W82" s="323"/>
      <c r="X82" s="323"/>
      <c r="Y82" s="323"/>
      <c r="Z82" s="324"/>
    </row>
    <row r="83" spans="11:26" ht="18" customHeight="1"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1141109</v>
      </c>
      <c r="T83" s="71"/>
      <c r="U83" s="71">
        <f ca="1">SUBTOTAL(9,U77:U82)</f>
        <v>1141109</v>
      </c>
      <c r="V83" s="71"/>
      <c r="W83" s="71"/>
      <c r="X83" s="71"/>
      <c r="Y83" s="71"/>
      <c r="Z83" s="68"/>
    </row>
    <row r="84" spans="11:26" ht="18" customHeight="1">
      <c r="K84" s="171" t="s">
        <v>14</v>
      </c>
      <c r="L84" s="171"/>
      <c r="M84" s="171"/>
      <c r="N84" s="318" t="str">
        <f ca="1">"제 " &amp; Z84 &amp; " 호표  "&amp; OFFSET($A$1,MATCH(Z84,$A:$A,0)-1,2)</f>
        <v>제 4 호표  2.2. 시행목적의 공공성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4</v>
      </c>
    </row>
    <row r="85" spans="11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0.1</v>
      </c>
      <c r="Q85" s="141" t="s">
        <v>29</v>
      </c>
      <c r="R85" s="142">
        <f t="shared" ref="R85:S90" ca="1" si="13">T85</f>
        <v>467217</v>
      </c>
      <c r="S85" s="142">
        <f t="shared" ca="1" si="13"/>
        <v>46721</v>
      </c>
      <c r="T85" s="142">
        <f ca="1">기술사</f>
        <v>467217</v>
      </c>
      <c r="U85" s="142">
        <f t="shared" ref="U85:U90" ca="1" si="14">ROUNDDOWN(P85*R85,0)</f>
        <v>46721</v>
      </c>
      <c r="V85" s="142"/>
      <c r="W85" s="142"/>
      <c r="X85" s="142"/>
      <c r="Y85" s="142"/>
      <c r="Z85" s="114"/>
    </row>
    <row r="86" spans="11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0.2</v>
      </c>
      <c r="Q86" s="144" t="s">
        <v>29</v>
      </c>
      <c r="R86" s="118">
        <f t="shared" ca="1" si="13"/>
        <v>373353</v>
      </c>
      <c r="S86" s="118">
        <f t="shared" ca="1" si="13"/>
        <v>74670</v>
      </c>
      <c r="T86" s="118">
        <f ca="1">특급</f>
        <v>373353</v>
      </c>
      <c r="U86" s="118">
        <f t="shared" ca="1" si="14"/>
        <v>74670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0.5</v>
      </c>
      <c r="Q87" s="144" t="s">
        <v>29</v>
      </c>
      <c r="R87" s="118">
        <f t="shared" ca="1" si="13"/>
        <v>310884</v>
      </c>
      <c r="S87" s="118">
        <f t="shared" ca="1" si="13"/>
        <v>155442</v>
      </c>
      <c r="T87" s="118">
        <f ca="1">고급</f>
        <v>310884</v>
      </c>
      <c r="U87" s="118">
        <f t="shared" ca="1" si="14"/>
        <v>155442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0.7</v>
      </c>
      <c r="Q88" s="144" t="s">
        <v>29</v>
      </c>
      <c r="R88" s="118">
        <f t="shared" ca="1" si="13"/>
        <v>295138</v>
      </c>
      <c r="S88" s="118">
        <f t="shared" ca="1" si="13"/>
        <v>206596</v>
      </c>
      <c r="T88" s="118">
        <f ca="1">중급</f>
        <v>295138</v>
      </c>
      <c r="U88" s="118">
        <f t="shared" ca="1" si="14"/>
        <v>206596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1.2</v>
      </c>
      <c r="Q89" s="144" t="s">
        <v>29</v>
      </c>
      <c r="R89" s="118">
        <f t="shared" ca="1" si="13"/>
        <v>235459</v>
      </c>
      <c r="S89" s="118">
        <f t="shared" ca="1" si="13"/>
        <v>282550</v>
      </c>
      <c r="T89" s="118">
        <f ca="1">초급</f>
        <v>235459</v>
      </c>
      <c r="U89" s="118">
        <f t="shared" ca="1" si="14"/>
        <v>282550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0</v>
      </c>
      <c r="Q90" s="322" t="s">
        <v>29</v>
      </c>
      <c r="R90" s="323">
        <f t="shared" ca="1" si="13"/>
        <v>250087</v>
      </c>
      <c r="S90" s="323">
        <f t="shared" ca="1" si="13"/>
        <v>0</v>
      </c>
      <c r="T90" s="323">
        <f ca="1">보조원</f>
        <v>250087</v>
      </c>
      <c r="U90" s="323">
        <f t="shared" ca="1" si="14"/>
        <v>0</v>
      </c>
      <c r="V90" s="323"/>
      <c r="W90" s="323"/>
      <c r="X90" s="323"/>
      <c r="Y90" s="323"/>
      <c r="Z90" s="324"/>
    </row>
    <row r="91" spans="11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765979</v>
      </c>
      <c r="T91" s="71"/>
      <c r="U91" s="71">
        <f ca="1">SUBTOTAL(9,U85:U90)</f>
        <v>765979</v>
      </c>
      <c r="V91" s="71"/>
      <c r="W91" s="71"/>
      <c r="X91" s="71"/>
      <c r="Y91" s="71"/>
      <c r="Z91" s="68"/>
    </row>
    <row r="92" spans="11:26" ht="18" customHeight="1">
      <c r="K92" s="171" t="s">
        <v>14</v>
      </c>
      <c r="L92" s="171"/>
      <c r="M92" s="171"/>
      <c r="N92" s="318" t="str">
        <f ca="1">"제 " &amp; Z92 &amp; " 호표  "&amp; OFFSET($A$1,MATCH(Z92,$A:$A,0)-1,2)</f>
        <v>제 5 호표  2.3. 사업의 공공기여도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5</v>
      </c>
    </row>
    <row r="93" spans="11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0.1</v>
      </c>
      <c r="Q93" s="141" t="s">
        <v>29</v>
      </c>
      <c r="R93" s="142">
        <f t="shared" ref="R93:S98" ca="1" si="15">T93</f>
        <v>467217</v>
      </c>
      <c r="S93" s="142">
        <f t="shared" ca="1" si="15"/>
        <v>46721</v>
      </c>
      <c r="T93" s="142">
        <f ca="1">기술사</f>
        <v>467217</v>
      </c>
      <c r="U93" s="142">
        <f t="shared" ref="U93:U98" ca="1" si="16">ROUNDDOWN(P93*R93,0)</f>
        <v>46721</v>
      </c>
      <c r="V93" s="142"/>
      <c r="W93" s="142"/>
      <c r="X93" s="142"/>
      <c r="Y93" s="142"/>
      <c r="Z93" s="114"/>
    </row>
    <row r="94" spans="11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0.2</v>
      </c>
      <c r="Q94" s="144" t="s">
        <v>29</v>
      </c>
      <c r="R94" s="118">
        <f t="shared" ca="1" si="15"/>
        <v>373353</v>
      </c>
      <c r="S94" s="118">
        <f t="shared" ca="1" si="15"/>
        <v>74670</v>
      </c>
      <c r="T94" s="118">
        <f ca="1">특급</f>
        <v>373353</v>
      </c>
      <c r="U94" s="118">
        <f t="shared" ca="1" si="16"/>
        <v>74670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0.5</v>
      </c>
      <c r="Q95" s="144" t="s">
        <v>29</v>
      </c>
      <c r="R95" s="118">
        <f t="shared" ca="1" si="15"/>
        <v>310884</v>
      </c>
      <c r="S95" s="118">
        <f t="shared" ca="1" si="15"/>
        <v>155442</v>
      </c>
      <c r="T95" s="118">
        <f ca="1">고급</f>
        <v>310884</v>
      </c>
      <c r="U95" s="118">
        <f t="shared" ca="1" si="16"/>
        <v>155442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0.7</v>
      </c>
      <c r="Q96" s="144" t="s">
        <v>29</v>
      </c>
      <c r="R96" s="118">
        <f t="shared" ca="1" si="15"/>
        <v>295138</v>
      </c>
      <c r="S96" s="118">
        <f t="shared" ca="1" si="15"/>
        <v>206596</v>
      </c>
      <c r="T96" s="118">
        <f ca="1">중급</f>
        <v>295138</v>
      </c>
      <c r="U96" s="118">
        <f t="shared" ca="1" si="16"/>
        <v>206596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1.2</v>
      </c>
      <c r="Q97" s="144" t="s">
        <v>29</v>
      </c>
      <c r="R97" s="118">
        <f t="shared" ca="1" si="15"/>
        <v>235459</v>
      </c>
      <c r="S97" s="118">
        <f t="shared" ca="1" si="15"/>
        <v>282550</v>
      </c>
      <c r="T97" s="118">
        <f ca="1">초급</f>
        <v>235459</v>
      </c>
      <c r="U97" s="118">
        <f t="shared" ca="1" si="16"/>
        <v>282550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1.5</v>
      </c>
      <c r="Q98" s="322" t="s">
        <v>29</v>
      </c>
      <c r="R98" s="323">
        <f t="shared" ca="1" si="15"/>
        <v>250087</v>
      </c>
      <c r="S98" s="323">
        <f t="shared" ca="1" si="15"/>
        <v>375130</v>
      </c>
      <c r="T98" s="323">
        <f ca="1">보조원</f>
        <v>250087</v>
      </c>
      <c r="U98" s="323">
        <f t="shared" ca="1" si="16"/>
        <v>375130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1141109</v>
      </c>
      <c r="T99" s="71"/>
      <c r="U99" s="71">
        <f ca="1">SUBTOTAL(9,U93:U98)</f>
        <v>1141109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OFFSET($A$1,MATCH(Z100,$A:$A,0)-1,2)</f>
        <v>제 6 호표  2.4. 사업시행자 유형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6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0</v>
      </c>
      <c r="Q101" s="141" t="s">
        <v>29</v>
      </c>
      <c r="R101" s="142">
        <f t="shared" ref="R101:S106" ca="1" si="17">T101</f>
        <v>467217</v>
      </c>
      <c r="S101" s="142">
        <f t="shared" ca="1" si="17"/>
        <v>0</v>
      </c>
      <c r="T101" s="142">
        <f ca="1">기술사</f>
        <v>467217</v>
      </c>
      <c r="U101" s="142">
        <f t="shared" ref="U101:U106" ca="1" si="18">ROUNDDOWN(P101*R101,0)</f>
        <v>0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0.2</v>
      </c>
      <c r="Q102" s="144" t="s">
        <v>29</v>
      </c>
      <c r="R102" s="118">
        <f t="shared" ca="1" si="17"/>
        <v>373353</v>
      </c>
      <c r="S102" s="118">
        <f t="shared" ca="1" si="17"/>
        <v>74670</v>
      </c>
      <c r="T102" s="118">
        <f ca="1">특급</f>
        <v>373353</v>
      </c>
      <c r="U102" s="118">
        <f t="shared" ca="1" si="18"/>
        <v>74670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0.5</v>
      </c>
      <c r="Q103" s="144" t="s">
        <v>29</v>
      </c>
      <c r="R103" s="118">
        <f t="shared" ca="1" si="17"/>
        <v>310884</v>
      </c>
      <c r="S103" s="118">
        <f t="shared" ca="1" si="17"/>
        <v>155442</v>
      </c>
      <c r="T103" s="118">
        <f ca="1">고급</f>
        <v>310884</v>
      </c>
      <c r="U103" s="118">
        <f t="shared" ca="1" si="18"/>
        <v>155442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0.7</v>
      </c>
      <c r="Q104" s="144" t="s">
        <v>29</v>
      </c>
      <c r="R104" s="118">
        <f t="shared" ca="1" si="17"/>
        <v>295138</v>
      </c>
      <c r="S104" s="118">
        <f t="shared" ca="1" si="17"/>
        <v>206596</v>
      </c>
      <c r="T104" s="118">
        <f ca="1">중급</f>
        <v>295138</v>
      </c>
      <c r="U104" s="118">
        <f t="shared" ca="1" si="18"/>
        <v>206596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1.2</v>
      </c>
      <c r="Q105" s="144" t="s">
        <v>29</v>
      </c>
      <c r="R105" s="118">
        <f t="shared" ca="1" si="17"/>
        <v>235459</v>
      </c>
      <c r="S105" s="118">
        <f t="shared" ca="1" si="17"/>
        <v>282550</v>
      </c>
      <c r="T105" s="118">
        <f ca="1">초급</f>
        <v>235459</v>
      </c>
      <c r="U105" s="118">
        <f t="shared" ca="1" si="18"/>
        <v>282550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0</v>
      </c>
      <c r="Q106" s="322" t="s">
        <v>29</v>
      </c>
      <c r="R106" s="323">
        <f t="shared" ca="1" si="17"/>
        <v>250087</v>
      </c>
      <c r="S106" s="323">
        <f t="shared" ca="1" si="17"/>
        <v>0</v>
      </c>
      <c r="T106" s="323">
        <f ca="1">보조원</f>
        <v>250087</v>
      </c>
      <c r="U106" s="323">
        <f t="shared" ca="1" si="18"/>
        <v>0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719258</v>
      </c>
      <c r="T107" s="71"/>
      <c r="U107" s="71">
        <f ca="1">SUBTOTAL(9,U101:U106)</f>
        <v>719258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OFFSET($A$1,MATCH(Z108,$A:$A,0)-1,2)</f>
        <v>제 7 호표  2.5. 사업재원의 공공성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7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0</v>
      </c>
      <c r="Q109" s="141" t="s">
        <v>29</v>
      </c>
      <c r="R109" s="142">
        <f t="shared" ref="R109:S114" ca="1" si="19">T109</f>
        <v>467217</v>
      </c>
      <c r="S109" s="142">
        <f t="shared" ca="1" si="19"/>
        <v>0</v>
      </c>
      <c r="T109" s="142">
        <f ca="1">기술사</f>
        <v>467217</v>
      </c>
      <c r="U109" s="142">
        <f t="shared" ref="U109:U114" ca="1" si="20">ROUNDDOWN(P109*R109,0)</f>
        <v>0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0.2</v>
      </c>
      <c r="Q110" s="144" t="s">
        <v>29</v>
      </c>
      <c r="R110" s="118">
        <f t="shared" ca="1" si="19"/>
        <v>373353</v>
      </c>
      <c r="S110" s="118">
        <f t="shared" ca="1" si="19"/>
        <v>74670</v>
      </c>
      <c r="T110" s="118">
        <f ca="1">특급</f>
        <v>373353</v>
      </c>
      <c r="U110" s="118">
        <f t="shared" ca="1" si="20"/>
        <v>74670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0.5</v>
      </c>
      <c r="Q111" s="144" t="s">
        <v>29</v>
      </c>
      <c r="R111" s="118">
        <f t="shared" ca="1" si="19"/>
        <v>310884</v>
      </c>
      <c r="S111" s="118">
        <f t="shared" ca="1" si="19"/>
        <v>155442</v>
      </c>
      <c r="T111" s="118">
        <f ca="1">고급</f>
        <v>310884</v>
      </c>
      <c r="U111" s="118">
        <f t="shared" ca="1" si="20"/>
        <v>155442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0.7</v>
      </c>
      <c r="Q112" s="144" t="s">
        <v>29</v>
      </c>
      <c r="R112" s="118">
        <f t="shared" ca="1" si="19"/>
        <v>295138</v>
      </c>
      <c r="S112" s="118">
        <f t="shared" ca="1" si="19"/>
        <v>206596</v>
      </c>
      <c r="T112" s="118">
        <f ca="1">중급</f>
        <v>295138</v>
      </c>
      <c r="U112" s="118">
        <f t="shared" ca="1" si="20"/>
        <v>206596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1.2</v>
      </c>
      <c r="Q113" s="144" t="s">
        <v>29</v>
      </c>
      <c r="R113" s="118">
        <f t="shared" ca="1" si="19"/>
        <v>235459</v>
      </c>
      <c r="S113" s="118">
        <f t="shared" ca="1" si="19"/>
        <v>282550</v>
      </c>
      <c r="T113" s="118">
        <f ca="1">초급</f>
        <v>235459</v>
      </c>
      <c r="U113" s="118">
        <f t="shared" ca="1" si="20"/>
        <v>282550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0</v>
      </c>
      <c r="Q114" s="322" t="s">
        <v>29</v>
      </c>
      <c r="R114" s="323">
        <f t="shared" ca="1" si="19"/>
        <v>250087</v>
      </c>
      <c r="S114" s="323">
        <f t="shared" ca="1" si="19"/>
        <v>0</v>
      </c>
      <c r="T114" s="323">
        <f ca="1">보조원</f>
        <v>250087</v>
      </c>
      <c r="U114" s="323">
        <f t="shared" ca="1" si="20"/>
        <v>0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719258</v>
      </c>
      <c r="T115" s="71"/>
      <c r="U115" s="71">
        <f ca="1">SUBTOTAL(9,U109:U114)</f>
        <v>719258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OFFSET($A$1,MATCH(Z116,$A:$A,0)-1,2)</f>
        <v>제 8 호표  2.6. 사업수행능력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8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0</v>
      </c>
      <c r="Q117" s="141" t="s">
        <v>29</v>
      </c>
      <c r="R117" s="142">
        <f t="shared" ref="R117:S122" ca="1" si="21">T117</f>
        <v>467217</v>
      </c>
      <c r="S117" s="142">
        <f t="shared" ca="1" si="21"/>
        <v>0</v>
      </c>
      <c r="T117" s="142">
        <f ca="1">기술사</f>
        <v>467217</v>
      </c>
      <c r="U117" s="142">
        <f t="shared" ref="U117:U122" ca="1" si="22">ROUNDDOWN(P117*R117,0)</f>
        <v>0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0.2</v>
      </c>
      <c r="Q118" s="144" t="s">
        <v>29</v>
      </c>
      <c r="R118" s="118">
        <f t="shared" ca="1" si="21"/>
        <v>373353</v>
      </c>
      <c r="S118" s="118">
        <f t="shared" ca="1" si="21"/>
        <v>74670</v>
      </c>
      <c r="T118" s="118">
        <f ca="1">특급</f>
        <v>373353</v>
      </c>
      <c r="U118" s="118">
        <f t="shared" ca="1" si="22"/>
        <v>74670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0.5</v>
      </c>
      <c r="Q119" s="144" t="s">
        <v>29</v>
      </c>
      <c r="R119" s="118">
        <f t="shared" ca="1" si="21"/>
        <v>310884</v>
      </c>
      <c r="S119" s="118">
        <f t="shared" ca="1" si="21"/>
        <v>155442</v>
      </c>
      <c r="T119" s="118">
        <f ca="1">고급</f>
        <v>310884</v>
      </c>
      <c r="U119" s="118">
        <f t="shared" ca="1" si="22"/>
        <v>155442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0.7</v>
      </c>
      <c r="Q120" s="144" t="s">
        <v>29</v>
      </c>
      <c r="R120" s="118">
        <f t="shared" ca="1" si="21"/>
        <v>295138</v>
      </c>
      <c r="S120" s="118">
        <f t="shared" ca="1" si="21"/>
        <v>206596</v>
      </c>
      <c r="T120" s="118">
        <f ca="1">중급</f>
        <v>295138</v>
      </c>
      <c r="U120" s="118">
        <f t="shared" ca="1" si="22"/>
        <v>206596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1.2</v>
      </c>
      <c r="Q121" s="144" t="s">
        <v>29</v>
      </c>
      <c r="R121" s="118">
        <f t="shared" ca="1" si="21"/>
        <v>235459</v>
      </c>
      <c r="S121" s="118">
        <f t="shared" ca="1" si="21"/>
        <v>282550</v>
      </c>
      <c r="T121" s="118">
        <f ca="1">초급</f>
        <v>235459</v>
      </c>
      <c r="U121" s="118">
        <f t="shared" ca="1" si="22"/>
        <v>282550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0</v>
      </c>
      <c r="Q122" s="322" t="s">
        <v>29</v>
      </c>
      <c r="R122" s="323">
        <f t="shared" ca="1" si="21"/>
        <v>250087</v>
      </c>
      <c r="S122" s="323">
        <f t="shared" ca="1" si="21"/>
        <v>0</v>
      </c>
      <c r="T122" s="323">
        <f ca="1">보조원</f>
        <v>250087</v>
      </c>
      <c r="U122" s="323">
        <f t="shared" ca="1" si="22"/>
        <v>0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719258</v>
      </c>
      <c r="T123" s="71"/>
      <c r="U123" s="71">
        <f ca="1">SUBTOTAL(9,U117:U122)</f>
        <v>719258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OFFSET($A$1,MATCH(Z124,$A:$A,0)-1,2)</f>
        <v>제 9 호표  2.7. 목적 및 상위계획 부합여부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9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0.1</v>
      </c>
      <c r="Q125" s="141" t="s">
        <v>29</v>
      </c>
      <c r="R125" s="142">
        <f t="shared" ref="R125:S130" ca="1" si="23">T125</f>
        <v>467217</v>
      </c>
      <c r="S125" s="142">
        <f t="shared" ca="1" si="23"/>
        <v>46721</v>
      </c>
      <c r="T125" s="142">
        <f ca="1">기술사</f>
        <v>467217</v>
      </c>
      <c r="U125" s="142">
        <f t="shared" ref="U125:U130" ca="1" si="24">ROUNDDOWN(P125*R125,0)</f>
        <v>46721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0.2</v>
      </c>
      <c r="Q126" s="144" t="s">
        <v>29</v>
      </c>
      <c r="R126" s="118">
        <f t="shared" ca="1" si="23"/>
        <v>373353</v>
      </c>
      <c r="S126" s="118">
        <f t="shared" ca="1" si="23"/>
        <v>74670</v>
      </c>
      <c r="T126" s="118">
        <f ca="1">특급</f>
        <v>373353</v>
      </c>
      <c r="U126" s="118">
        <f t="shared" ca="1" si="24"/>
        <v>74670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0.5</v>
      </c>
      <c r="Q127" s="144" t="s">
        <v>29</v>
      </c>
      <c r="R127" s="118">
        <f t="shared" ca="1" si="23"/>
        <v>310884</v>
      </c>
      <c r="S127" s="118">
        <f t="shared" ca="1" si="23"/>
        <v>155442</v>
      </c>
      <c r="T127" s="118">
        <f ca="1">고급</f>
        <v>310884</v>
      </c>
      <c r="U127" s="118">
        <f t="shared" ca="1" si="24"/>
        <v>155442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0.7</v>
      </c>
      <c r="Q128" s="144" t="s">
        <v>29</v>
      </c>
      <c r="R128" s="118">
        <f t="shared" ca="1" si="23"/>
        <v>295138</v>
      </c>
      <c r="S128" s="118">
        <f t="shared" ca="1" si="23"/>
        <v>206596</v>
      </c>
      <c r="T128" s="118">
        <f ca="1">중급</f>
        <v>295138</v>
      </c>
      <c r="U128" s="118">
        <f t="shared" ca="1" si="24"/>
        <v>206596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1.2</v>
      </c>
      <c r="Q129" s="144" t="s">
        <v>29</v>
      </c>
      <c r="R129" s="118">
        <f t="shared" ca="1" si="23"/>
        <v>235459</v>
      </c>
      <c r="S129" s="118">
        <f t="shared" ca="1" si="23"/>
        <v>282550</v>
      </c>
      <c r="T129" s="118">
        <f ca="1">초급</f>
        <v>235459</v>
      </c>
      <c r="U129" s="118">
        <f t="shared" ca="1" si="24"/>
        <v>282550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0</v>
      </c>
      <c r="Q130" s="322" t="s">
        <v>29</v>
      </c>
      <c r="R130" s="323">
        <f t="shared" ca="1" si="23"/>
        <v>250087</v>
      </c>
      <c r="S130" s="323">
        <f t="shared" ca="1" si="23"/>
        <v>0</v>
      </c>
      <c r="T130" s="323">
        <f ca="1">보조원</f>
        <v>250087</v>
      </c>
      <c r="U130" s="323">
        <f t="shared" ca="1" si="24"/>
        <v>0</v>
      </c>
      <c r="V130" s="323"/>
      <c r="W130" s="323"/>
      <c r="X130" s="323"/>
      <c r="Y130" s="323"/>
      <c r="Z130" s="324"/>
    </row>
    <row r="131" spans="11:26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765979</v>
      </c>
      <c r="T131" s="71"/>
      <c r="U131" s="71">
        <f ca="1">SUBTOTAL(9,U125:U130)</f>
        <v>765979</v>
      </c>
      <c r="V131" s="71"/>
      <c r="W131" s="71"/>
      <c r="X131" s="71"/>
      <c r="Y131" s="71"/>
      <c r="Z131" s="68"/>
    </row>
    <row r="132" spans="11:26" ht="18" customHeight="1">
      <c r="K132" s="171" t="s">
        <v>14</v>
      </c>
      <c r="L132" s="171"/>
      <c r="M132" s="171"/>
      <c r="N132" s="318" t="str">
        <f ca="1">"제 " &amp; Z132 &amp; " 호표  "&amp; OFFSET($A$1,MATCH(Z132,$A:$A,0)-1,2)</f>
        <v>제 10 호표  2.8. 공익의 지속성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10</v>
      </c>
    </row>
    <row r="133" spans="11:26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0.1</v>
      </c>
      <c r="Q133" s="141" t="s">
        <v>29</v>
      </c>
      <c r="R133" s="142">
        <f t="shared" ref="R133:S138" ca="1" si="25">T133</f>
        <v>467217</v>
      </c>
      <c r="S133" s="142">
        <f t="shared" ca="1" si="25"/>
        <v>46721</v>
      </c>
      <c r="T133" s="142">
        <f ca="1">기술사</f>
        <v>467217</v>
      </c>
      <c r="U133" s="142">
        <f t="shared" ref="U133:U138" ca="1" si="26">ROUNDDOWN(P133*R133,0)</f>
        <v>46721</v>
      </c>
      <c r="V133" s="142"/>
      <c r="W133" s="142"/>
      <c r="X133" s="142"/>
      <c r="Y133" s="142"/>
      <c r="Z133" s="114"/>
    </row>
    <row r="134" spans="11:26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0.2</v>
      </c>
      <c r="Q134" s="144" t="s">
        <v>29</v>
      </c>
      <c r="R134" s="118">
        <f t="shared" ca="1" si="25"/>
        <v>373353</v>
      </c>
      <c r="S134" s="118">
        <f t="shared" ca="1" si="25"/>
        <v>74670</v>
      </c>
      <c r="T134" s="118">
        <f ca="1">특급</f>
        <v>373353</v>
      </c>
      <c r="U134" s="118">
        <f t="shared" ca="1" si="26"/>
        <v>74670</v>
      </c>
      <c r="V134" s="118"/>
      <c r="W134" s="118"/>
      <c r="X134" s="118"/>
      <c r="Y134" s="118"/>
      <c r="Z134" s="115"/>
    </row>
    <row r="135" spans="11:26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0.5</v>
      </c>
      <c r="Q135" s="144" t="s">
        <v>29</v>
      </c>
      <c r="R135" s="118">
        <f t="shared" ca="1" si="25"/>
        <v>310884</v>
      </c>
      <c r="S135" s="118">
        <f t="shared" ca="1" si="25"/>
        <v>155442</v>
      </c>
      <c r="T135" s="118">
        <f ca="1">고급</f>
        <v>310884</v>
      </c>
      <c r="U135" s="118">
        <f t="shared" ca="1" si="26"/>
        <v>155442</v>
      </c>
      <c r="V135" s="118"/>
      <c r="W135" s="118"/>
      <c r="X135" s="118"/>
      <c r="Y135" s="118"/>
      <c r="Z135" s="115"/>
    </row>
    <row r="136" spans="11:26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0.7</v>
      </c>
      <c r="Q136" s="144" t="s">
        <v>29</v>
      </c>
      <c r="R136" s="118">
        <f t="shared" ca="1" si="25"/>
        <v>295138</v>
      </c>
      <c r="S136" s="118">
        <f t="shared" ca="1" si="25"/>
        <v>206596</v>
      </c>
      <c r="T136" s="118">
        <f ca="1">중급</f>
        <v>295138</v>
      </c>
      <c r="U136" s="118">
        <f t="shared" ca="1" si="26"/>
        <v>206596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1.2</v>
      </c>
      <c r="Q137" s="144" t="s">
        <v>29</v>
      </c>
      <c r="R137" s="118">
        <f t="shared" ca="1" si="25"/>
        <v>235459</v>
      </c>
      <c r="S137" s="118">
        <f t="shared" ca="1" si="25"/>
        <v>282550</v>
      </c>
      <c r="T137" s="118">
        <f ca="1">초급</f>
        <v>235459</v>
      </c>
      <c r="U137" s="118">
        <f t="shared" ca="1" si="26"/>
        <v>282550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0</v>
      </c>
      <c r="Q138" s="322" t="s">
        <v>29</v>
      </c>
      <c r="R138" s="323">
        <f t="shared" ca="1" si="25"/>
        <v>250087</v>
      </c>
      <c r="S138" s="323">
        <f t="shared" ca="1" si="25"/>
        <v>0</v>
      </c>
      <c r="T138" s="323">
        <f ca="1">보조원</f>
        <v>250087</v>
      </c>
      <c r="U138" s="323">
        <f t="shared" ca="1" si="26"/>
        <v>0</v>
      </c>
      <c r="V138" s="323"/>
      <c r="W138" s="323"/>
      <c r="X138" s="323"/>
      <c r="Y138" s="323"/>
      <c r="Z138" s="324"/>
    </row>
    <row r="139" spans="11:26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765979</v>
      </c>
      <c r="T139" s="71"/>
      <c r="U139" s="71">
        <f ca="1">SUBTOTAL(9,U133:U138)</f>
        <v>765979</v>
      </c>
      <c r="V139" s="71"/>
      <c r="W139" s="71"/>
      <c r="X139" s="71"/>
      <c r="Y139" s="71"/>
      <c r="Z139" s="68"/>
    </row>
    <row r="140" spans="11:26" ht="18" customHeight="1">
      <c r="K140" s="171" t="s">
        <v>14</v>
      </c>
      <c r="L140" s="171"/>
      <c r="M140" s="171"/>
      <c r="N140" s="318" t="str">
        <f ca="1">"제 " &amp; Z140 &amp; " 호표  "&amp; OFFSET($A$1,MATCH(Z140,$A:$A,0)-1,2)</f>
        <v>제 11 호표  2.9. 시설의 대중성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11</v>
      </c>
    </row>
    <row r="141" spans="11:26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0.1</v>
      </c>
      <c r="Q141" s="141" t="s">
        <v>29</v>
      </c>
      <c r="R141" s="142">
        <f t="shared" ref="R141:S146" ca="1" si="27">T141</f>
        <v>467217</v>
      </c>
      <c r="S141" s="142">
        <f t="shared" ca="1" si="27"/>
        <v>46721</v>
      </c>
      <c r="T141" s="142">
        <f ca="1">기술사</f>
        <v>467217</v>
      </c>
      <c r="U141" s="142">
        <f t="shared" ref="U141:U146" ca="1" si="28">ROUNDDOWN(P141*R141,0)</f>
        <v>46721</v>
      </c>
      <c r="V141" s="142"/>
      <c r="W141" s="142"/>
      <c r="X141" s="142"/>
      <c r="Y141" s="142"/>
      <c r="Z141" s="114"/>
    </row>
    <row r="142" spans="11:26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0.2</v>
      </c>
      <c r="Q142" s="144" t="s">
        <v>29</v>
      </c>
      <c r="R142" s="118">
        <f t="shared" ca="1" si="27"/>
        <v>373353</v>
      </c>
      <c r="S142" s="118">
        <f t="shared" ca="1" si="27"/>
        <v>74670</v>
      </c>
      <c r="T142" s="118">
        <f ca="1">특급</f>
        <v>373353</v>
      </c>
      <c r="U142" s="118">
        <f t="shared" ca="1" si="28"/>
        <v>74670</v>
      </c>
      <c r="V142" s="118"/>
      <c r="W142" s="118"/>
      <c r="X142" s="118"/>
      <c r="Y142" s="118"/>
      <c r="Z142" s="115"/>
    </row>
    <row r="143" spans="11:26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0.5</v>
      </c>
      <c r="Q143" s="144" t="s">
        <v>29</v>
      </c>
      <c r="R143" s="118">
        <f t="shared" ca="1" si="27"/>
        <v>310884</v>
      </c>
      <c r="S143" s="118">
        <f t="shared" ca="1" si="27"/>
        <v>155442</v>
      </c>
      <c r="T143" s="118">
        <f ca="1">고급</f>
        <v>310884</v>
      </c>
      <c r="U143" s="118">
        <f t="shared" ca="1" si="28"/>
        <v>155442</v>
      </c>
      <c r="V143" s="118"/>
      <c r="W143" s="118"/>
      <c r="X143" s="118"/>
      <c r="Y143" s="118"/>
      <c r="Z143" s="115"/>
    </row>
    <row r="144" spans="11:26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0.7</v>
      </c>
      <c r="Q144" s="144" t="s">
        <v>29</v>
      </c>
      <c r="R144" s="118">
        <f t="shared" ca="1" si="27"/>
        <v>295138</v>
      </c>
      <c r="S144" s="118">
        <f t="shared" ca="1" si="27"/>
        <v>206596</v>
      </c>
      <c r="T144" s="118">
        <f ca="1">중급</f>
        <v>295138</v>
      </c>
      <c r="U144" s="118">
        <f t="shared" ca="1" si="28"/>
        <v>206596</v>
      </c>
      <c r="V144" s="118"/>
      <c r="W144" s="118"/>
      <c r="X144" s="118"/>
      <c r="Y144" s="118"/>
      <c r="Z144" s="115"/>
    </row>
    <row r="145" spans="11:26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1.2</v>
      </c>
      <c r="Q145" s="144" t="s">
        <v>29</v>
      </c>
      <c r="R145" s="118">
        <f t="shared" ca="1" si="27"/>
        <v>235459</v>
      </c>
      <c r="S145" s="118">
        <f t="shared" ca="1" si="27"/>
        <v>282550</v>
      </c>
      <c r="T145" s="118">
        <f ca="1">초급</f>
        <v>235459</v>
      </c>
      <c r="U145" s="118">
        <f t="shared" ca="1" si="28"/>
        <v>282550</v>
      </c>
      <c r="V145" s="118"/>
      <c r="W145" s="118"/>
      <c r="X145" s="118"/>
      <c r="Y145" s="118"/>
      <c r="Z145" s="115"/>
    </row>
    <row r="146" spans="11:26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1.5</v>
      </c>
      <c r="Q146" s="322" t="s">
        <v>29</v>
      </c>
      <c r="R146" s="323">
        <f t="shared" ca="1" si="27"/>
        <v>250087</v>
      </c>
      <c r="S146" s="323">
        <f t="shared" ca="1" si="27"/>
        <v>375130</v>
      </c>
      <c r="T146" s="323">
        <f ca="1">보조원</f>
        <v>250087</v>
      </c>
      <c r="U146" s="323">
        <f t="shared" ca="1" si="28"/>
        <v>375130</v>
      </c>
      <c r="V146" s="323"/>
      <c r="W146" s="323"/>
      <c r="X146" s="323"/>
      <c r="Y146" s="323"/>
      <c r="Z146" s="324"/>
    </row>
    <row r="147" spans="11:26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1141109</v>
      </c>
      <c r="T147" s="71"/>
      <c r="U147" s="71">
        <f ca="1">SUBTOTAL(9,U141:U146)</f>
        <v>1141109</v>
      </c>
      <c r="V147" s="71"/>
      <c r="W147" s="71"/>
      <c r="X147" s="71"/>
      <c r="Y147" s="71"/>
      <c r="Z147" s="68"/>
    </row>
    <row r="148" spans="11:26" ht="18" customHeight="1">
      <c r="K148" s="171" t="s">
        <v>14</v>
      </c>
      <c r="L148" s="171"/>
      <c r="M148" s="171"/>
      <c r="N148" s="318" t="str">
        <f ca="1">"제 " &amp; Z148 &amp; " 호표  "&amp; OFFSET($A$1,MATCH(Z148,$A:$A,0)-1,2)</f>
        <v>제 12 호표  2.10. 피해의 최소성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12</v>
      </c>
    </row>
    <row r="149" spans="11:26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0.4</v>
      </c>
      <c r="Q149" s="141" t="s">
        <v>29</v>
      </c>
      <c r="R149" s="142">
        <f t="shared" ref="R149:S154" ca="1" si="29">T149</f>
        <v>467217</v>
      </c>
      <c r="S149" s="142">
        <f t="shared" ca="1" si="29"/>
        <v>186886</v>
      </c>
      <c r="T149" s="142">
        <f ca="1">기술사</f>
        <v>467217</v>
      </c>
      <c r="U149" s="142">
        <f t="shared" ref="U149:U154" ca="1" si="30">ROUNDDOWN(P149*R149,0)</f>
        <v>186886</v>
      </c>
      <c r="V149" s="142"/>
      <c r="W149" s="142"/>
      <c r="X149" s="142"/>
      <c r="Y149" s="142"/>
      <c r="Z149" s="114"/>
    </row>
    <row r="150" spans="11:26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0.7</v>
      </c>
      <c r="Q150" s="144" t="s">
        <v>29</v>
      </c>
      <c r="R150" s="118">
        <f t="shared" ca="1" si="29"/>
        <v>373353</v>
      </c>
      <c r="S150" s="118">
        <f t="shared" ca="1" si="29"/>
        <v>261347</v>
      </c>
      <c r="T150" s="118">
        <f ca="1">특급</f>
        <v>373353</v>
      </c>
      <c r="U150" s="118">
        <f t="shared" ca="1" si="30"/>
        <v>261347</v>
      </c>
      <c r="V150" s="118"/>
      <c r="W150" s="118"/>
      <c r="X150" s="118"/>
      <c r="Y150" s="118"/>
      <c r="Z150" s="115"/>
    </row>
    <row r="151" spans="11:26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1.4</v>
      </c>
      <c r="Q151" s="144" t="s">
        <v>29</v>
      </c>
      <c r="R151" s="118">
        <f t="shared" ca="1" si="29"/>
        <v>310884</v>
      </c>
      <c r="S151" s="118">
        <f t="shared" ca="1" si="29"/>
        <v>435237</v>
      </c>
      <c r="T151" s="118">
        <f ca="1">고급</f>
        <v>310884</v>
      </c>
      <c r="U151" s="118">
        <f t="shared" ca="1" si="30"/>
        <v>435237</v>
      </c>
      <c r="V151" s="118"/>
      <c r="W151" s="118"/>
      <c r="X151" s="118"/>
      <c r="Y151" s="118"/>
      <c r="Z151" s="115"/>
    </row>
    <row r="152" spans="11:26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2</v>
      </c>
      <c r="Q152" s="144" t="s">
        <v>29</v>
      </c>
      <c r="R152" s="118">
        <f t="shared" ca="1" si="29"/>
        <v>295138</v>
      </c>
      <c r="S152" s="118">
        <f t="shared" ca="1" si="29"/>
        <v>590276</v>
      </c>
      <c r="T152" s="118">
        <f ca="1">중급</f>
        <v>295138</v>
      </c>
      <c r="U152" s="118">
        <f t="shared" ca="1" si="30"/>
        <v>590276</v>
      </c>
      <c r="V152" s="118"/>
      <c r="W152" s="118"/>
      <c r="X152" s="118"/>
      <c r="Y152" s="118"/>
      <c r="Z152" s="115"/>
    </row>
    <row r="153" spans="11:26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3.8</v>
      </c>
      <c r="Q153" s="144" t="s">
        <v>29</v>
      </c>
      <c r="R153" s="118">
        <f t="shared" ca="1" si="29"/>
        <v>235459</v>
      </c>
      <c r="S153" s="118">
        <f t="shared" ca="1" si="29"/>
        <v>894744</v>
      </c>
      <c r="T153" s="118">
        <f ca="1">초급</f>
        <v>235459</v>
      </c>
      <c r="U153" s="118">
        <f t="shared" ca="1" si="30"/>
        <v>894744</v>
      </c>
      <c r="V153" s="118"/>
      <c r="W153" s="118"/>
      <c r="X153" s="118"/>
      <c r="Y153" s="118"/>
      <c r="Z153" s="115"/>
    </row>
    <row r="154" spans="11:26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4.3</v>
      </c>
      <c r="Q154" s="322" t="s">
        <v>29</v>
      </c>
      <c r="R154" s="323">
        <f t="shared" ca="1" si="29"/>
        <v>250087</v>
      </c>
      <c r="S154" s="323">
        <f t="shared" ca="1" si="29"/>
        <v>1075374</v>
      </c>
      <c r="T154" s="323">
        <f ca="1">보조원</f>
        <v>250087</v>
      </c>
      <c r="U154" s="323">
        <f t="shared" ca="1" si="30"/>
        <v>1075374</v>
      </c>
      <c r="V154" s="323"/>
      <c r="W154" s="323"/>
      <c r="X154" s="323"/>
      <c r="Y154" s="323"/>
      <c r="Z154" s="324"/>
    </row>
    <row r="155" spans="11:26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3443864</v>
      </c>
      <c r="T155" s="71"/>
      <c r="U155" s="71">
        <f ca="1">SUBTOTAL(9,U149:U154)</f>
        <v>3443864</v>
      </c>
      <c r="V155" s="71"/>
      <c r="W155" s="71"/>
      <c r="X155" s="71"/>
      <c r="Y155" s="71"/>
      <c r="Z155" s="68"/>
    </row>
    <row r="156" spans="11:26" ht="18" customHeight="1">
      <c r="K156" s="171" t="s">
        <v>14</v>
      </c>
      <c r="L156" s="171"/>
      <c r="M156" s="171"/>
      <c r="N156" s="318" t="str">
        <f ca="1">"제 " &amp; Z156 &amp; " 호표  "&amp; OFFSET($A$1,MATCH(Z156,$A:$A,0)-1,2)</f>
        <v>제 13 호표  2.11. 방법의 적절성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13</v>
      </c>
    </row>
    <row r="157" spans="11:26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0.4</v>
      </c>
      <c r="Q157" s="141" t="s">
        <v>29</v>
      </c>
      <c r="R157" s="142">
        <f t="shared" ref="R157:S162" ca="1" si="31">T157</f>
        <v>467217</v>
      </c>
      <c r="S157" s="142">
        <f t="shared" ca="1" si="31"/>
        <v>186886</v>
      </c>
      <c r="T157" s="142">
        <f ca="1">기술사</f>
        <v>467217</v>
      </c>
      <c r="U157" s="142">
        <f t="shared" ref="U157:U162" ca="1" si="32">ROUNDDOWN(P157*R157,0)</f>
        <v>186886</v>
      </c>
      <c r="V157" s="142"/>
      <c r="W157" s="142"/>
      <c r="X157" s="142"/>
      <c r="Y157" s="142"/>
      <c r="Z157" s="114"/>
    </row>
    <row r="158" spans="11:26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0.7</v>
      </c>
      <c r="Q158" s="144" t="s">
        <v>29</v>
      </c>
      <c r="R158" s="118">
        <f t="shared" ca="1" si="31"/>
        <v>373353</v>
      </c>
      <c r="S158" s="118">
        <f t="shared" ca="1" si="31"/>
        <v>261347</v>
      </c>
      <c r="T158" s="118">
        <f ca="1">특급</f>
        <v>373353</v>
      </c>
      <c r="U158" s="118">
        <f t="shared" ca="1" si="32"/>
        <v>261347</v>
      </c>
      <c r="V158" s="118"/>
      <c r="W158" s="118"/>
      <c r="X158" s="118"/>
      <c r="Y158" s="118"/>
      <c r="Z158" s="115"/>
    </row>
    <row r="159" spans="11:26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1.4</v>
      </c>
      <c r="Q159" s="144" t="s">
        <v>29</v>
      </c>
      <c r="R159" s="118">
        <f t="shared" ca="1" si="31"/>
        <v>310884</v>
      </c>
      <c r="S159" s="118">
        <f t="shared" ca="1" si="31"/>
        <v>435237</v>
      </c>
      <c r="T159" s="118">
        <f ca="1">고급</f>
        <v>310884</v>
      </c>
      <c r="U159" s="118">
        <f t="shared" ca="1" si="32"/>
        <v>435237</v>
      </c>
      <c r="V159" s="118"/>
      <c r="W159" s="118"/>
      <c r="X159" s="118"/>
      <c r="Y159" s="118"/>
      <c r="Z159" s="115"/>
    </row>
    <row r="160" spans="11:26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2</v>
      </c>
      <c r="Q160" s="144" t="s">
        <v>29</v>
      </c>
      <c r="R160" s="118">
        <f t="shared" ca="1" si="31"/>
        <v>295138</v>
      </c>
      <c r="S160" s="118">
        <f t="shared" ca="1" si="31"/>
        <v>590276</v>
      </c>
      <c r="T160" s="118">
        <f ca="1">중급</f>
        <v>295138</v>
      </c>
      <c r="U160" s="118">
        <f t="shared" ca="1" si="32"/>
        <v>590276</v>
      </c>
      <c r="V160" s="118"/>
      <c r="W160" s="118"/>
      <c r="X160" s="118"/>
      <c r="Y160" s="118"/>
      <c r="Z160" s="115"/>
    </row>
    <row r="161" spans="11:26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3.8</v>
      </c>
      <c r="Q161" s="144" t="s">
        <v>29</v>
      </c>
      <c r="R161" s="118">
        <f t="shared" ca="1" si="31"/>
        <v>235459</v>
      </c>
      <c r="S161" s="118">
        <f t="shared" ca="1" si="31"/>
        <v>894744</v>
      </c>
      <c r="T161" s="118">
        <f ca="1">초급</f>
        <v>235459</v>
      </c>
      <c r="U161" s="118">
        <f t="shared" ca="1" si="32"/>
        <v>894744</v>
      </c>
      <c r="V161" s="118"/>
      <c r="W161" s="118"/>
      <c r="X161" s="118"/>
      <c r="Y161" s="118"/>
      <c r="Z161" s="115"/>
    </row>
    <row r="162" spans="11:26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4.3</v>
      </c>
      <c r="Q162" s="322" t="s">
        <v>29</v>
      </c>
      <c r="R162" s="323">
        <f t="shared" ca="1" si="31"/>
        <v>250087</v>
      </c>
      <c r="S162" s="323">
        <f t="shared" ca="1" si="31"/>
        <v>1075374</v>
      </c>
      <c r="T162" s="323">
        <f ca="1">보조원</f>
        <v>250087</v>
      </c>
      <c r="U162" s="323">
        <f t="shared" ca="1" si="32"/>
        <v>1075374</v>
      </c>
      <c r="V162" s="323"/>
      <c r="W162" s="323"/>
      <c r="X162" s="323"/>
      <c r="Y162" s="323"/>
      <c r="Z162" s="324"/>
    </row>
    <row r="163" spans="11:26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3443864</v>
      </c>
      <c r="T163" s="71"/>
      <c r="U163" s="71">
        <f ca="1">SUBTOTAL(9,U157:U162)</f>
        <v>3443864</v>
      </c>
      <c r="V163" s="71"/>
      <c r="W163" s="71"/>
      <c r="X163" s="71"/>
      <c r="Y163" s="71"/>
      <c r="Z163" s="68"/>
    </row>
    <row r="164" spans="11:26" ht="18" customHeight="1">
      <c r="K164" s="171" t="s">
        <v>14</v>
      </c>
      <c r="L164" s="171"/>
      <c r="M164" s="171"/>
      <c r="N164" s="318" t="str">
        <f ca="1">"제 " &amp; Z164 &amp; " 호표  "&amp; OFFSET($A$1,MATCH(Z164,$A:$A,0)-1,2)</f>
        <v>제 14 호표  2.12. 사업의 시급성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14</v>
      </c>
    </row>
    <row r="165" spans="11:26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0.1</v>
      </c>
      <c r="Q165" s="141" t="s">
        <v>29</v>
      </c>
      <c r="R165" s="142">
        <f t="shared" ref="R165:S170" ca="1" si="33">T165</f>
        <v>467217</v>
      </c>
      <c r="S165" s="142">
        <f t="shared" ca="1" si="33"/>
        <v>46721</v>
      </c>
      <c r="T165" s="142">
        <f ca="1">기술사</f>
        <v>467217</v>
      </c>
      <c r="U165" s="142">
        <f t="shared" ref="U165:U170" ca="1" si="34">ROUNDDOWN(P165*R165,0)</f>
        <v>46721</v>
      </c>
      <c r="V165" s="142"/>
      <c r="W165" s="142"/>
      <c r="X165" s="142"/>
      <c r="Y165" s="142"/>
      <c r="Z165" s="114"/>
    </row>
    <row r="166" spans="11:26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0.2</v>
      </c>
      <c r="Q166" s="144" t="s">
        <v>29</v>
      </c>
      <c r="R166" s="118">
        <f t="shared" ca="1" si="33"/>
        <v>373353</v>
      </c>
      <c r="S166" s="118">
        <f t="shared" ca="1" si="33"/>
        <v>74670</v>
      </c>
      <c r="T166" s="118">
        <f ca="1">특급</f>
        <v>373353</v>
      </c>
      <c r="U166" s="118">
        <f t="shared" ca="1" si="34"/>
        <v>74670</v>
      </c>
      <c r="V166" s="118"/>
      <c r="W166" s="118"/>
      <c r="X166" s="118"/>
      <c r="Y166" s="118"/>
      <c r="Z166" s="115"/>
    </row>
    <row r="167" spans="11:26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0.5</v>
      </c>
      <c r="Q167" s="144" t="s">
        <v>29</v>
      </c>
      <c r="R167" s="118">
        <f t="shared" ca="1" si="33"/>
        <v>310884</v>
      </c>
      <c r="S167" s="118">
        <f t="shared" ca="1" si="33"/>
        <v>155442</v>
      </c>
      <c r="T167" s="118">
        <f ca="1">고급</f>
        <v>310884</v>
      </c>
      <c r="U167" s="118">
        <f t="shared" ca="1" si="34"/>
        <v>155442</v>
      </c>
      <c r="V167" s="118"/>
      <c r="W167" s="118"/>
      <c r="X167" s="118"/>
      <c r="Y167" s="118"/>
      <c r="Z167" s="115"/>
    </row>
    <row r="168" spans="11:26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0.7</v>
      </c>
      <c r="Q168" s="144" t="s">
        <v>29</v>
      </c>
      <c r="R168" s="118">
        <f t="shared" ca="1" si="33"/>
        <v>295138</v>
      </c>
      <c r="S168" s="118">
        <f t="shared" ca="1" si="33"/>
        <v>206596</v>
      </c>
      <c r="T168" s="118">
        <f ca="1">중급</f>
        <v>295138</v>
      </c>
      <c r="U168" s="118">
        <f t="shared" ca="1" si="34"/>
        <v>206596</v>
      </c>
      <c r="V168" s="118"/>
      <c r="W168" s="118"/>
      <c r="X168" s="118"/>
      <c r="Y168" s="118"/>
      <c r="Z168" s="115"/>
    </row>
    <row r="169" spans="11:26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1.2</v>
      </c>
      <c r="Q169" s="144" t="s">
        <v>29</v>
      </c>
      <c r="R169" s="118">
        <f t="shared" ca="1" si="33"/>
        <v>235459</v>
      </c>
      <c r="S169" s="118">
        <f t="shared" ca="1" si="33"/>
        <v>282550</v>
      </c>
      <c r="T169" s="118">
        <f ca="1">초급</f>
        <v>235459</v>
      </c>
      <c r="U169" s="118">
        <f t="shared" ca="1" si="34"/>
        <v>282550</v>
      </c>
      <c r="V169" s="118"/>
      <c r="W169" s="118"/>
      <c r="X169" s="118"/>
      <c r="Y169" s="118"/>
      <c r="Z169" s="115"/>
    </row>
    <row r="170" spans="11:26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0</v>
      </c>
      <c r="Q170" s="322" t="s">
        <v>29</v>
      </c>
      <c r="R170" s="323">
        <f t="shared" ca="1" si="33"/>
        <v>250087</v>
      </c>
      <c r="S170" s="323">
        <f t="shared" ca="1" si="33"/>
        <v>0</v>
      </c>
      <c r="T170" s="323">
        <f ca="1">보조원</f>
        <v>250087</v>
      </c>
      <c r="U170" s="323">
        <f t="shared" ca="1" si="34"/>
        <v>0</v>
      </c>
      <c r="V170" s="323"/>
      <c r="W170" s="323"/>
      <c r="X170" s="323"/>
      <c r="Y170" s="323"/>
      <c r="Z170" s="324"/>
    </row>
    <row r="171" spans="11:26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765979</v>
      </c>
      <c r="T171" s="71"/>
      <c r="U171" s="71">
        <f ca="1">SUBTOTAL(9,U165:U170)</f>
        <v>765979</v>
      </c>
      <c r="V171" s="71"/>
      <c r="W171" s="71"/>
      <c r="X171" s="71"/>
      <c r="Y171" s="71"/>
      <c r="Z171" s="68"/>
    </row>
    <row r="172" spans="11:26" ht="18" customHeight="1">
      <c r="K172" s="171" t="s">
        <v>14</v>
      </c>
      <c r="L172" s="171"/>
      <c r="M172" s="171"/>
      <c r="P172" s="236"/>
    </row>
    <row r="173" spans="11:26" ht="18" customHeight="1">
      <c r="K173" s="171" t="s">
        <v>14</v>
      </c>
      <c r="L173" s="171"/>
      <c r="M173" s="171"/>
      <c r="P173" s="236"/>
    </row>
    <row r="174" spans="11:26" ht="18" customHeight="1">
      <c r="K174" s="171" t="s">
        <v>14</v>
      </c>
      <c r="L174" s="171"/>
      <c r="M174" s="171"/>
      <c r="P174" s="236"/>
    </row>
    <row r="175" spans="11:26" ht="18" customHeight="1">
      <c r="K175" s="171" t="s">
        <v>14</v>
      </c>
      <c r="L175" s="171"/>
      <c r="M175" s="171"/>
      <c r="P175" s="236"/>
    </row>
    <row r="176" spans="11:26" ht="18" customHeight="1">
      <c r="K176" s="171" t="s">
        <v>14</v>
      </c>
      <c r="L176" s="171"/>
      <c r="M176" s="171"/>
      <c r="P176" s="236"/>
    </row>
    <row r="177" spans="11:20" ht="18" customHeight="1">
      <c r="K177" s="171" t="s">
        <v>14</v>
      </c>
      <c r="L177" s="171"/>
      <c r="M177" s="171"/>
      <c r="P177" s="236"/>
    </row>
    <row r="178" spans="11:20" ht="18" customHeight="1">
      <c r="K178" s="171" t="s">
        <v>14</v>
      </c>
      <c r="L178" s="171"/>
      <c r="M178" s="171"/>
      <c r="P178" s="236"/>
    </row>
    <row r="179" spans="11:20" ht="18" customHeight="1">
      <c r="K179" s="171" t="s">
        <v>14</v>
      </c>
      <c r="L179" s="171"/>
      <c r="M179" s="171"/>
      <c r="P179" s="236"/>
    </row>
    <row r="180" spans="11:20" ht="18" customHeight="1">
      <c r="K180" s="171" t="s">
        <v>14</v>
      </c>
      <c r="L180" s="171"/>
      <c r="M180" s="171"/>
      <c r="P180" s="236"/>
    </row>
    <row r="181" spans="11:20" ht="18" customHeight="1">
      <c r="K181" s="171" t="s">
        <v>14</v>
      </c>
      <c r="L181" s="171"/>
      <c r="M181" s="171"/>
      <c r="P181" s="236"/>
    </row>
    <row r="182" spans="11:20" ht="18" customHeight="1">
      <c r="K182" s="171" t="s">
        <v>14</v>
      </c>
      <c r="L182" s="171"/>
      <c r="M182" s="171"/>
      <c r="P182" s="236"/>
      <c r="T182" s="6">
        <v>0</v>
      </c>
    </row>
    <row r="183" spans="11:20" ht="18" customHeight="1">
      <c r="K183" s="171" t="s">
        <v>14</v>
      </c>
      <c r="L183" s="171"/>
      <c r="M183" s="171"/>
      <c r="P183" s="236"/>
    </row>
    <row r="184" spans="11:20" ht="18" customHeight="1">
      <c r="K184" s="171" t="s">
        <v>14</v>
      </c>
      <c r="L184" s="171"/>
      <c r="M184" s="171"/>
      <c r="P184" s="236"/>
    </row>
    <row r="185" spans="11:20" ht="18" customHeight="1">
      <c r="K185" s="171" t="s">
        <v>14</v>
      </c>
      <c r="L185" s="171"/>
      <c r="M185" s="171"/>
      <c r="P185" s="236"/>
    </row>
    <row r="186" spans="11:20" ht="18" customHeight="1">
      <c r="K186" s="171" t="s">
        <v>14</v>
      </c>
      <c r="L186" s="171"/>
      <c r="M186" s="171"/>
      <c r="P186" s="236"/>
    </row>
    <row r="187" spans="11:20" ht="18" customHeight="1">
      <c r="K187" s="171" t="s">
        <v>14</v>
      </c>
      <c r="L187" s="171"/>
      <c r="M187" s="171"/>
      <c r="P187" s="236"/>
    </row>
    <row r="188" spans="11:20" ht="18" customHeight="1">
      <c r="K188" s="171" t="s">
        <v>14</v>
      </c>
      <c r="L188" s="171"/>
      <c r="M188" s="171"/>
      <c r="P188" s="236"/>
    </row>
    <row r="189" spans="11:20" ht="18" customHeight="1">
      <c r="K189" s="171" t="s">
        <v>14</v>
      </c>
      <c r="L189" s="171"/>
      <c r="M189" s="171"/>
      <c r="P189" s="236"/>
    </row>
    <row r="190" spans="11:20" ht="18" customHeight="1">
      <c r="K190" s="171" t="s">
        <v>14</v>
      </c>
      <c r="L190" s="171"/>
      <c r="M190" s="171"/>
      <c r="P190" s="236"/>
    </row>
    <row r="191" spans="11:20" ht="18" customHeight="1">
      <c r="K191" s="171" t="s">
        <v>14</v>
      </c>
      <c r="L191" s="171"/>
      <c r="M191" s="171"/>
      <c r="P191" s="236"/>
    </row>
    <row r="192" spans="11:20" ht="18" customHeight="1">
      <c r="K192" s="171" t="s">
        <v>14</v>
      </c>
      <c r="L192" s="171"/>
      <c r="M192" s="171"/>
      <c r="P192" s="236"/>
    </row>
    <row r="193" spans="11:16" ht="18" customHeight="1">
      <c r="K193" s="171" t="s">
        <v>14</v>
      </c>
      <c r="L193" s="171"/>
      <c r="M193" s="171"/>
      <c r="P193" s="236"/>
    </row>
    <row r="194" spans="11:16" ht="18" customHeight="1">
      <c r="K194" s="171" t="s">
        <v>14</v>
      </c>
      <c r="L194" s="171"/>
      <c r="M194" s="171"/>
      <c r="P194" s="236"/>
    </row>
    <row r="195" spans="11:16" ht="18" customHeight="1">
      <c r="K195" s="171" t="s">
        <v>14</v>
      </c>
      <c r="L195" s="171"/>
      <c r="M195" s="171"/>
      <c r="P195" s="236"/>
    </row>
    <row r="196" spans="11:16" ht="18" customHeight="1">
      <c r="K196" s="171" t="s">
        <v>14</v>
      </c>
      <c r="L196" s="171"/>
      <c r="M196" s="171"/>
      <c r="P196" s="236"/>
    </row>
    <row r="197" spans="11:16" ht="18" customHeight="1">
      <c r="K197" s="171" t="s">
        <v>14</v>
      </c>
      <c r="L197" s="171"/>
      <c r="M197" s="171"/>
      <c r="P197" s="236"/>
    </row>
    <row r="198" spans="11:16" ht="18" customHeight="1">
      <c r="K198" s="171" t="s">
        <v>14</v>
      </c>
      <c r="L198" s="171"/>
      <c r="M198" s="171"/>
      <c r="P198" s="236"/>
    </row>
    <row r="199" spans="11:16" ht="18" customHeight="1">
      <c r="K199" s="171" t="s">
        <v>14</v>
      </c>
      <c r="L199" s="171"/>
      <c r="M199" s="171"/>
      <c r="P199" s="236"/>
    </row>
    <row r="200" spans="11:16" ht="18" customHeight="1">
      <c r="K200" s="171" t="s">
        <v>14</v>
      </c>
      <c r="L200" s="171"/>
      <c r="M200" s="171"/>
      <c r="P200" s="236"/>
    </row>
    <row r="201" spans="11:16" ht="18" customHeight="1">
      <c r="K201" s="171" t="s">
        <v>14</v>
      </c>
      <c r="L201" s="171"/>
      <c r="M201" s="171"/>
      <c r="P201" s="236"/>
    </row>
    <row r="202" spans="11:16" ht="18" customHeight="1">
      <c r="K202" s="171" t="s">
        <v>14</v>
      </c>
      <c r="L202" s="171"/>
      <c r="M202" s="171"/>
      <c r="P202" s="236"/>
    </row>
    <row r="203" spans="11:16" ht="18" customHeight="1">
      <c r="K203" s="171" t="s">
        <v>14</v>
      </c>
      <c r="L203" s="171"/>
      <c r="M203" s="171"/>
      <c r="P203" s="236"/>
    </row>
    <row r="204" spans="11:16" ht="18" customHeight="1">
      <c r="K204" s="171" t="s">
        <v>14</v>
      </c>
      <c r="L204" s="171"/>
      <c r="M204" s="171"/>
      <c r="P204" s="236"/>
    </row>
    <row r="205" spans="11:16" ht="18" customHeight="1">
      <c r="K205" s="171" t="s">
        <v>14</v>
      </c>
      <c r="L205" s="171"/>
      <c r="M205" s="171"/>
      <c r="P205" s="236"/>
    </row>
    <row r="206" spans="11:16" ht="18" customHeight="1">
      <c r="K206" s="171" t="s">
        <v>14</v>
      </c>
      <c r="L206" s="171"/>
      <c r="M206" s="171"/>
      <c r="P206" s="236"/>
    </row>
    <row r="207" spans="11:16" ht="18" customHeight="1">
      <c r="K207" s="171" t="s">
        <v>14</v>
      </c>
      <c r="L207" s="171"/>
      <c r="M207" s="171"/>
      <c r="P207" s="236"/>
    </row>
    <row r="208" spans="11:16" ht="18" customHeight="1">
      <c r="K208" s="171" t="s">
        <v>14</v>
      </c>
      <c r="L208" s="171"/>
      <c r="M208" s="171"/>
      <c r="P208" s="236"/>
    </row>
    <row r="209" spans="11:16" ht="18" customHeight="1">
      <c r="K209" s="171" t="s">
        <v>14</v>
      </c>
      <c r="L209" s="171"/>
      <c r="M209" s="171"/>
      <c r="P209" s="236"/>
    </row>
    <row r="210" spans="11:16" ht="18" customHeight="1">
      <c r="K210" s="171" t="s">
        <v>14</v>
      </c>
      <c r="L210" s="171"/>
      <c r="M210" s="171"/>
      <c r="P210" s="236"/>
    </row>
    <row r="211" spans="11:16" ht="18" customHeight="1">
      <c r="K211" s="171" t="s">
        <v>14</v>
      </c>
      <c r="L211" s="171"/>
      <c r="M211" s="171"/>
      <c r="P211" s="236"/>
    </row>
    <row r="212" spans="11:16" ht="18" customHeight="1">
      <c r="K212" s="171" t="s">
        <v>14</v>
      </c>
      <c r="L212" s="171"/>
      <c r="M212" s="171"/>
      <c r="P212" s="236"/>
    </row>
    <row r="213" spans="11:16" ht="18" customHeight="1">
      <c r="K213" s="171" t="s">
        <v>14</v>
      </c>
      <c r="L213" s="171"/>
      <c r="M213" s="171"/>
      <c r="P213" s="236"/>
    </row>
    <row r="214" spans="11:16" ht="18" customHeight="1">
      <c r="K214" s="171" t="s">
        <v>14</v>
      </c>
      <c r="L214" s="171"/>
      <c r="M214" s="171"/>
      <c r="P214" s="236"/>
    </row>
    <row r="215" spans="11:16" ht="18" customHeight="1">
      <c r="K215" s="171" t="s">
        <v>14</v>
      </c>
      <c r="L215" s="171"/>
      <c r="M215" s="171"/>
      <c r="P215" s="236"/>
    </row>
    <row r="216" spans="11:16" ht="18" customHeight="1">
      <c r="K216" s="171" t="s">
        <v>14</v>
      </c>
      <c r="L216" s="171"/>
      <c r="M216" s="171"/>
      <c r="P216" s="236"/>
    </row>
    <row r="217" spans="11:16" ht="18" customHeight="1">
      <c r="K217" s="171" t="s">
        <v>14</v>
      </c>
      <c r="L217" s="171"/>
      <c r="M217" s="171"/>
      <c r="P217" s="236"/>
    </row>
    <row r="218" spans="11:16" ht="18" customHeight="1">
      <c r="K218" s="171" t="s">
        <v>14</v>
      </c>
      <c r="L218" s="171"/>
      <c r="M218" s="171"/>
      <c r="P218" s="236"/>
    </row>
    <row r="219" spans="11:16" ht="18" customHeight="1">
      <c r="K219" s="171" t="s">
        <v>14</v>
      </c>
      <c r="L219" s="171"/>
      <c r="M219" s="171"/>
      <c r="P219" s="236"/>
    </row>
    <row r="220" spans="11:16" ht="18" customHeight="1">
      <c r="K220" s="171" t="s">
        <v>14</v>
      </c>
      <c r="L220" s="171"/>
      <c r="M220" s="171"/>
      <c r="P220" s="236"/>
    </row>
    <row r="221" spans="11:16" ht="18" customHeight="1">
      <c r="K221" s="171" t="s">
        <v>14</v>
      </c>
      <c r="L221" s="171"/>
      <c r="M221" s="171"/>
      <c r="P221" s="236"/>
    </row>
    <row r="222" spans="11:16" ht="18" customHeight="1">
      <c r="K222" s="171" t="s">
        <v>14</v>
      </c>
      <c r="L222" s="171"/>
      <c r="M222" s="171"/>
      <c r="P222" s="236"/>
    </row>
    <row r="223" spans="11:16" ht="18" customHeight="1">
      <c r="K223" s="171" t="s">
        <v>14</v>
      </c>
      <c r="L223" s="171"/>
      <c r="M223" s="171"/>
      <c r="P223" s="236"/>
    </row>
    <row r="224" spans="11:16" ht="18" customHeight="1">
      <c r="K224" s="171" t="s">
        <v>14</v>
      </c>
      <c r="L224" s="171"/>
      <c r="M224" s="171"/>
      <c r="P224" s="236"/>
    </row>
    <row r="225" spans="11:28" ht="18" customHeight="1">
      <c r="K225" s="171" t="s">
        <v>14</v>
      </c>
      <c r="L225" s="171"/>
      <c r="M225" s="171"/>
      <c r="P225" s="236"/>
    </row>
    <row r="226" spans="11:28" ht="18" customHeight="1">
      <c r="K226" s="171" t="s">
        <v>14</v>
      </c>
      <c r="L226" s="171"/>
      <c r="M226" s="171"/>
      <c r="P226" s="236"/>
      <c r="AA226" s="171"/>
      <c r="AB226" s="171"/>
    </row>
    <row r="227" spans="11:28" ht="18" customHeight="1">
      <c r="K227" s="171" t="s">
        <v>14</v>
      </c>
      <c r="L227" s="171"/>
      <c r="M227" s="171"/>
      <c r="P227" s="236"/>
      <c r="AA227" s="171"/>
      <c r="AB227" s="171"/>
    </row>
    <row r="228" spans="11:28" ht="18" customHeight="1">
      <c r="K228" s="171" t="s">
        <v>14</v>
      </c>
      <c r="L228" s="171"/>
      <c r="M228" s="171"/>
      <c r="P228" s="236"/>
      <c r="AA228" s="171"/>
      <c r="AB228" s="171"/>
    </row>
    <row r="229" spans="11:28" ht="18" customHeight="1">
      <c r="K229" s="171" t="s">
        <v>14</v>
      </c>
      <c r="L229" s="171"/>
      <c r="M229" s="171"/>
      <c r="P229" s="236"/>
      <c r="AA229" s="171"/>
      <c r="AB229" s="171"/>
    </row>
    <row r="230" spans="11:28" ht="18" customHeight="1">
      <c r="K230" s="171" t="s">
        <v>14</v>
      </c>
      <c r="L230" s="171"/>
      <c r="M230" s="171"/>
      <c r="P230" s="236"/>
    </row>
    <row r="231" spans="11:28" ht="18" customHeight="1">
      <c r="K231" s="171" t="s">
        <v>14</v>
      </c>
      <c r="L231" s="171"/>
      <c r="M231" s="171"/>
      <c r="P231" s="236"/>
    </row>
    <row r="232" spans="11:28" ht="18" customHeight="1">
      <c r="K232" s="171" t="s">
        <v>14</v>
      </c>
      <c r="L232" s="171"/>
      <c r="M232" s="171"/>
      <c r="P232" s="236"/>
    </row>
    <row r="233" spans="11:28" ht="18" customHeight="1">
      <c r="K233" s="171" t="s">
        <v>14</v>
      </c>
      <c r="L233" s="171"/>
      <c r="M233" s="171"/>
      <c r="P233" s="236"/>
    </row>
    <row r="234" spans="11:28" ht="18" customHeight="1">
      <c r="K234" s="171" t="s">
        <v>14</v>
      </c>
      <c r="L234" s="171"/>
      <c r="M234" s="171"/>
      <c r="P234" s="236"/>
    </row>
    <row r="235" spans="11:28" ht="18" customHeight="1">
      <c r="K235" s="171" t="s">
        <v>14</v>
      </c>
      <c r="L235" s="171"/>
      <c r="M235" s="171"/>
      <c r="P235" s="236"/>
    </row>
    <row r="236" spans="11:28" ht="18" customHeight="1">
      <c r="K236" s="171" t="s">
        <v>14</v>
      </c>
      <c r="L236" s="171"/>
      <c r="M236" s="171"/>
      <c r="P236" s="236"/>
    </row>
    <row r="237" spans="11:28" ht="18" customHeight="1">
      <c r="K237" s="171" t="s">
        <v>14</v>
      </c>
      <c r="L237" s="171"/>
      <c r="M237" s="171"/>
      <c r="P237" s="236"/>
    </row>
    <row r="238" spans="11:28" ht="18" customHeight="1">
      <c r="K238" s="171" t="s">
        <v>14</v>
      </c>
      <c r="L238" s="171"/>
      <c r="M238" s="171"/>
      <c r="P238" s="236"/>
    </row>
    <row r="239" spans="11:28" ht="18" customHeight="1">
      <c r="K239" s="171" t="s">
        <v>14</v>
      </c>
      <c r="L239" s="171"/>
      <c r="M239" s="171"/>
      <c r="P239" s="236"/>
    </row>
    <row r="240" spans="11:28" ht="18" customHeight="1">
      <c r="K240" s="171" t="s">
        <v>14</v>
      </c>
      <c r="L240" s="171"/>
      <c r="M240" s="171"/>
      <c r="P240" s="236"/>
    </row>
    <row r="241" spans="11:28" ht="18" customHeight="1">
      <c r="K241" s="171" t="s">
        <v>14</v>
      </c>
      <c r="L241" s="171"/>
      <c r="M241" s="171"/>
      <c r="P241" s="236"/>
    </row>
    <row r="242" spans="11:28" ht="18" customHeight="1">
      <c r="K242" s="171" t="s">
        <v>14</v>
      </c>
      <c r="L242" s="171"/>
      <c r="M242" s="171"/>
      <c r="P242" s="236"/>
      <c r="AA242" s="171"/>
      <c r="AB242" s="171"/>
    </row>
    <row r="243" spans="11:28" ht="18" customHeight="1">
      <c r="K243" s="171" t="s">
        <v>14</v>
      </c>
      <c r="L243" s="171"/>
      <c r="M243" s="171"/>
      <c r="P243" s="236"/>
      <c r="AA243" s="171"/>
      <c r="AB243" s="171"/>
    </row>
    <row r="244" spans="11:28" ht="18" customHeight="1">
      <c r="K244" s="171" t="s">
        <v>14</v>
      </c>
      <c r="L244" s="171"/>
      <c r="M244" s="171"/>
      <c r="P244" s="236"/>
      <c r="AA244" s="171"/>
      <c r="AB244" s="171"/>
    </row>
    <row r="245" spans="11:28" ht="18" customHeight="1">
      <c r="K245" s="171" t="s">
        <v>14</v>
      </c>
      <c r="L245" s="171"/>
      <c r="M245" s="171"/>
      <c r="P245" s="236"/>
      <c r="AA245" s="171"/>
      <c r="AB245" s="171"/>
    </row>
    <row r="246" spans="11:28" ht="18" customHeight="1">
      <c r="K246" s="171" t="s">
        <v>14</v>
      </c>
      <c r="L246" s="171"/>
      <c r="M246" s="171"/>
      <c r="P246" s="236"/>
      <c r="AA246" s="171"/>
      <c r="AB246" s="171"/>
    </row>
    <row r="247" spans="11:28" ht="18" customHeight="1">
      <c r="K247" s="171" t="s">
        <v>14</v>
      </c>
      <c r="L247" s="171"/>
      <c r="M247" s="171"/>
      <c r="P247" s="236"/>
      <c r="AA247" s="171"/>
      <c r="AB247" s="171"/>
    </row>
    <row r="248" spans="11:28" ht="18" customHeight="1">
      <c r="K248" s="171" t="s">
        <v>14</v>
      </c>
      <c r="L248" s="171"/>
      <c r="M248" s="171"/>
      <c r="P248" s="236"/>
      <c r="AA248" s="171"/>
      <c r="AB248" s="171"/>
    </row>
    <row r="249" spans="11:28" ht="18" customHeight="1">
      <c r="K249" s="171" t="s">
        <v>14</v>
      </c>
      <c r="L249" s="171"/>
      <c r="M249" s="171"/>
      <c r="P249" s="236"/>
      <c r="AA249" s="171"/>
      <c r="AB249" s="171"/>
    </row>
    <row r="250" spans="11:28" ht="18" customHeight="1">
      <c r="K250" s="171" t="s">
        <v>14</v>
      </c>
      <c r="L250" s="171"/>
      <c r="M250" s="171"/>
      <c r="P250" s="236"/>
      <c r="AA250" s="171"/>
      <c r="AB250" s="171"/>
    </row>
    <row r="251" spans="11:28" ht="18" customHeight="1">
      <c r="K251" s="171" t="s">
        <v>14</v>
      </c>
      <c r="L251" s="171"/>
      <c r="M251" s="171"/>
      <c r="P251" s="236"/>
      <c r="AA251" s="171"/>
      <c r="AB251" s="171"/>
    </row>
    <row r="252" spans="11:28" ht="18" customHeight="1">
      <c r="K252" s="171" t="s">
        <v>14</v>
      </c>
      <c r="L252" s="171"/>
      <c r="M252" s="171"/>
      <c r="P252" s="236"/>
      <c r="AA252" s="171"/>
      <c r="AB252" s="171"/>
    </row>
    <row r="253" spans="11:28" ht="18" customHeight="1">
      <c r="K253" s="171" t="s">
        <v>14</v>
      </c>
      <c r="L253" s="171"/>
      <c r="M253" s="171"/>
      <c r="P253" s="236"/>
      <c r="AA253" s="171"/>
      <c r="AB253" s="171"/>
    </row>
    <row r="254" spans="11:28" ht="18" customHeight="1">
      <c r="K254" s="171" t="s">
        <v>14</v>
      </c>
      <c r="L254" s="171"/>
      <c r="M254" s="171"/>
      <c r="P254" s="236"/>
      <c r="AA254" s="171"/>
      <c r="AB254" s="171"/>
    </row>
    <row r="255" spans="11:28" ht="18" customHeight="1">
      <c r="K255" s="171" t="s">
        <v>14</v>
      </c>
      <c r="L255" s="171"/>
      <c r="M255" s="171"/>
      <c r="P255" s="236"/>
      <c r="AA255" s="171"/>
      <c r="AB255" s="171"/>
    </row>
    <row r="256" spans="11:28" ht="18" customHeight="1">
      <c r="K256" s="171" t="s">
        <v>14</v>
      </c>
      <c r="L256" s="171"/>
      <c r="M256" s="171"/>
      <c r="P256" s="236"/>
      <c r="AA256" s="171"/>
      <c r="AB256" s="171"/>
    </row>
    <row r="257" spans="11:16" ht="18" customHeight="1">
      <c r="K257" s="171" t="s">
        <v>14</v>
      </c>
      <c r="L257" s="171"/>
      <c r="M257" s="171"/>
      <c r="P257" s="236"/>
    </row>
    <row r="258" spans="11:16" ht="18" customHeight="1">
      <c r="K258" s="171" t="s">
        <v>14</v>
      </c>
      <c r="L258" s="171"/>
      <c r="M258" s="171"/>
      <c r="P258" s="236"/>
    </row>
    <row r="259" spans="11:16" ht="18" customHeight="1">
      <c r="K259" s="171" t="s">
        <v>14</v>
      </c>
      <c r="L259" s="171"/>
      <c r="M259" s="171"/>
      <c r="P259" s="236"/>
    </row>
    <row r="260" spans="11:16" ht="18" customHeight="1">
      <c r="K260" s="171" t="s">
        <v>14</v>
      </c>
      <c r="L260" s="171"/>
      <c r="M260" s="171"/>
      <c r="P260" s="236"/>
    </row>
    <row r="261" spans="11:16" ht="18" customHeight="1">
      <c r="K261" s="171" t="s">
        <v>14</v>
      </c>
      <c r="L261" s="171"/>
      <c r="M261" s="171"/>
      <c r="P261" s="236"/>
    </row>
    <row r="262" spans="11:16" ht="18" customHeight="1">
      <c r="K262" s="171" t="s">
        <v>14</v>
      </c>
      <c r="L262" s="171"/>
      <c r="M262" s="171"/>
      <c r="P262" s="236"/>
    </row>
    <row r="263" spans="11:16" ht="18" customHeight="1">
      <c r="K263" s="171" t="s">
        <v>14</v>
      </c>
      <c r="L263" s="171"/>
      <c r="M263" s="171"/>
      <c r="P263" s="236"/>
    </row>
    <row r="264" spans="11:16" ht="18" customHeight="1">
      <c r="K264" s="171" t="s">
        <v>14</v>
      </c>
      <c r="L264" s="171"/>
      <c r="M264" s="171"/>
      <c r="P264" s="236"/>
    </row>
    <row r="265" spans="11:16" ht="18" customHeight="1">
      <c r="K265" s="171" t="s">
        <v>14</v>
      </c>
      <c r="L265" s="171"/>
      <c r="M265" s="171"/>
      <c r="P265" s="236"/>
    </row>
    <row r="266" spans="11:16" ht="18" customHeight="1">
      <c r="K266" s="171" t="s">
        <v>14</v>
      </c>
      <c r="L266" s="171"/>
      <c r="M266" s="171"/>
      <c r="P266" s="236"/>
    </row>
    <row r="267" spans="11:16" ht="18" customHeight="1">
      <c r="K267" s="171" t="s">
        <v>14</v>
      </c>
      <c r="L267" s="171"/>
      <c r="M267" s="171"/>
      <c r="P267" s="236"/>
    </row>
    <row r="268" spans="11:16" ht="18" customHeight="1">
      <c r="K268" s="171" t="s">
        <v>14</v>
      </c>
      <c r="L268" s="171"/>
      <c r="M268" s="171"/>
      <c r="P268" s="236"/>
    </row>
    <row r="269" spans="11:16" ht="18" customHeight="1">
      <c r="K269" s="171" t="s">
        <v>14</v>
      </c>
      <c r="L269" s="171"/>
      <c r="M269" s="171"/>
      <c r="P269" s="236"/>
    </row>
    <row r="270" spans="11:16" ht="18" customHeight="1">
      <c r="K270" s="171" t="s">
        <v>14</v>
      </c>
      <c r="L270" s="171"/>
      <c r="M270" s="171"/>
      <c r="P270" s="236"/>
    </row>
    <row r="271" spans="11:16" ht="18" customHeight="1">
      <c r="K271" s="171" t="s">
        <v>14</v>
      </c>
      <c r="L271" s="171"/>
      <c r="M271" s="171"/>
      <c r="P271" s="236"/>
    </row>
    <row r="272" spans="11:16" ht="18" customHeight="1">
      <c r="K272" s="171" t="s">
        <v>14</v>
      </c>
      <c r="L272" s="171"/>
      <c r="M272" s="171"/>
      <c r="P272" s="236"/>
    </row>
    <row r="273" spans="11:16" ht="18" customHeight="1">
      <c r="K273" s="171" t="s">
        <v>14</v>
      </c>
      <c r="L273" s="171"/>
      <c r="M273" s="171"/>
      <c r="P273" s="236"/>
    </row>
    <row r="274" spans="11:16" ht="18" customHeight="1">
      <c r="K274" s="171" t="s">
        <v>14</v>
      </c>
      <c r="L274" s="171"/>
      <c r="M274" s="171"/>
      <c r="P274" s="236"/>
    </row>
    <row r="275" spans="11:16" ht="18" customHeight="1">
      <c r="K275" s="171" t="s">
        <v>14</v>
      </c>
      <c r="L275" s="171"/>
      <c r="M275" s="171"/>
      <c r="P275" s="236"/>
    </row>
    <row r="276" spans="11:16" ht="18" customHeight="1">
      <c r="K276" s="171" t="s">
        <v>14</v>
      </c>
      <c r="L276" s="171"/>
      <c r="M276" s="171"/>
      <c r="P276" s="236"/>
    </row>
    <row r="277" spans="11:16" ht="18" customHeight="1">
      <c r="K277" s="171" t="s">
        <v>14</v>
      </c>
      <c r="L277" s="171"/>
      <c r="M277" s="171"/>
      <c r="P277" s="236"/>
    </row>
    <row r="278" spans="11:16" ht="18" customHeight="1">
      <c r="K278" s="171" t="s">
        <v>14</v>
      </c>
      <c r="L278" s="171"/>
      <c r="M278" s="171"/>
      <c r="P278" s="236"/>
    </row>
    <row r="279" spans="11:16" ht="18" customHeight="1">
      <c r="K279" s="171" t="s">
        <v>14</v>
      </c>
      <c r="L279" s="171"/>
      <c r="M279" s="171"/>
      <c r="P279" s="236"/>
    </row>
    <row r="280" spans="11:16" ht="18" customHeight="1">
      <c r="K280" s="171" t="s">
        <v>14</v>
      </c>
      <c r="L280" s="171"/>
      <c r="M280" s="171"/>
      <c r="P280" s="236"/>
    </row>
    <row r="281" spans="11:16" ht="18" customHeight="1">
      <c r="K281" s="171" t="s">
        <v>14</v>
      </c>
      <c r="L281" s="171"/>
      <c r="M281" s="171"/>
      <c r="P281" s="236"/>
    </row>
    <row r="282" spans="11:16" ht="18" customHeight="1">
      <c r="K282" s="171" t="s">
        <v>14</v>
      </c>
      <c r="L282" s="171"/>
      <c r="M282" s="171"/>
      <c r="P282" s="236"/>
    </row>
    <row r="283" spans="11:16" ht="18" customHeight="1">
      <c r="K283" s="171" t="s">
        <v>14</v>
      </c>
      <c r="L283" s="171"/>
      <c r="M283" s="171"/>
      <c r="P283" s="236"/>
    </row>
    <row r="284" spans="11:16" ht="18" customHeight="1">
      <c r="K284" s="171" t="s">
        <v>14</v>
      </c>
      <c r="L284" s="171"/>
      <c r="M284" s="171"/>
      <c r="P284" s="236"/>
    </row>
    <row r="285" spans="11:16" ht="18" customHeight="1">
      <c r="K285" s="171" t="s">
        <v>14</v>
      </c>
      <c r="L285" s="171"/>
      <c r="M285" s="171"/>
      <c r="P285" s="236"/>
    </row>
    <row r="286" spans="11:16" ht="18" customHeight="1">
      <c r="K286" s="171" t="s">
        <v>14</v>
      </c>
      <c r="L286" s="171"/>
      <c r="M286" s="171"/>
      <c r="P286" s="236"/>
    </row>
    <row r="287" spans="11:16" ht="18" customHeight="1">
      <c r="K287" s="171" t="s">
        <v>14</v>
      </c>
      <c r="L287" s="171"/>
      <c r="M287" s="171"/>
      <c r="P287" s="236"/>
    </row>
    <row r="288" spans="11:16" ht="18" customHeight="1">
      <c r="K288" s="171" t="s">
        <v>14</v>
      </c>
      <c r="L288" s="171"/>
      <c r="M288" s="171"/>
      <c r="P288" s="236"/>
    </row>
    <row r="289" spans="11:16" ht="18" customHeight="1">
      <c r="K289" s="171" t="s">
        <v>14</v>
      </c>
      <c r="L289" s="171"/>
      <c r="M289" s="171"/>
      <c r="P289" s="236"/>
    </row>
    <row r="290" spans="11:16" ht="18" customHeight="1">
      <c r="K290" s="171" t="s">
        <v>14</v>
      </c>
      <c r="L290" s="171"/>
      <c r="M290" s="171"/>
      <c r="P290" s="236"/>
    </row>
    <row r="291" spans="11:16" ht="18" customHeight="1">
      <c r="K291" s="171" t="s">
        <v>14</v>
      </c>
      <c r="L291" s="171"/>
      <c r="M291" s="171"/>
      <c r="P291" s="236"/>
    </row>
    <row r="292" spans="11:16" ht="18" customHeight="1">
      <c r="K292" s="171" t="s">
        <v>14</v>
      </c>
      <c r="L292" s="171"/>
      <c r="M292" s="171"/>
      <c r="P292" s="236"/>
    </row>
    <row r="293" spans="11:16" ht="18" customHeight="1">
      <c r="K293" s="171" t="s">
        <v>14</v>
      </c>
      <c r="L293" s="171"/>
      <c r="M293" s="171"/>
      <c r="P293" s="236"/>
    </row>
    <row r="294" spans="11:16" ht="18" customHeight="1">
      <c r="K294" s="171" t="s">
        <v>14</v>
      </c>
      <c r="L294" s="171"/>
      <c r="M294" s="171"/>
      <c r="P294" s="236"/>
    </row>
    <row r="295" spans="11:16" ht="18" customHeight="1">
      <c r="K295" s="171" t="s">
        <v>14</v>
      </c>
      <c r="L295" s="171"/>
      <c r="M295" s="171"/>
      <c r="P295" s="236"/>
    </row>
    <row r="296" spans="11:16" ht="18" customHeight="1">
      <c r="K296" s="171" t="s">
        <v>14</v>
      </c>
      <c r="L296" s="171"/>
      <c r="M296" s="171"/>
      <c r="P296" s="236"/>
    </row>
    <row r="297" spans="11:16" ht="18" customHeight="1">
      <c r="K297" s="171" t="s">
        <v>14</v>
      </c>
      <c r="L297" s="171"/>
      <c r="M297" s="171"/>
      <c r="P297" s="236"/>
    </row>
    <row r="298" spans="11:16" ht="18" customHeight="1">
      <c r="K298" s="171" t="s">
        <v>14</v>
      </c>
      <c r="L298" s="171"/>
      <c r="M298" s="171"/>
      <c r="P298" s="236"/>
    </row>
    <row r="299" spans="11:16" ht="18" customHeight="1">
      <c r="K299" s="171" t="s">
        <v>14</v>
      </c>
      <c r="L299" s="171"/>
      <c r="M299" s="171"/>
      <c r="P299" s="236"/>
    </row>
    <row r="300" spans="11:16" ht="18" customHeight="1">
      <c r="K300" s="171" t="s">
        <v>14</v>
      </c>
      <c r="L300" s="171"/>
      <c r="M300" s="171"/>
      <c r="P300" s="236"/>
    </row>
    <row r="301" spans="11:16" ht="18" customHeight="1">
      <c r="K301" s="171" t="s">
        <v>14</v>
      </c>
      <c r="L301" s="171"/>
      <c r="M301" s="171"/>
      <c r="P301" s="236"/>
    </row>
    <row r="302" spans="11:16" ht="18" customHeight="1">
      <c r="K302" s="171" t="s">
        <v>14</v>
      </c>
      <c r="L302" s="171"/>
      <c r="M302" s="171"/>
      <c r="P302" s="236"/>
    </row>
    <row r="303" spans="11:16" ht="18" customHeight="1">
      <c r="K303" s="171" t="s">
        <v>14</v>
      </c>
      <c r="L303" s="171"/>
      <c r="M303" s="171"/>
      <c r="P303" s="236"/>
    </row>
    <row r="304" spans="11:16" ht="18" customHeight="1">
      <c r="K304" s="171" t="s">
        <v>14</v>
      </c>
      <c r="L304" s="171"/>
      <c r="M304" s="171"/>
      <c r="P304" s="236"/>
    </row>
    <row r="305" spans="11:16" ht="18" customHeight="1">
      <c r="K305" s="171" t="s">
        <v>14</v>
      </c>
      <c r="L305" s="171"/>
      <c r="M305" s="171"/>
      <c r="P305" s="236"/>
    </row>
    <row r="306" spans="11:16" ht="18" customHeight="1">
      <c r="K306" s="171" t="s">
        <v>14</v>
      </c>
      <c r="L306" s="171"/>
      <c r="M306" s="171"/>
      <c r="P306" s="236"/>
    </row>
    <row r="307" spans="11:16" ht="18" customHeight="1">
      <c r="K307" s="171" t="s">
        <v>14</v>
      </c>
      <c r="L307" s="171"/>
      <c r="M307" s="171"/>
      <c r="P307" s="236"/>
    </row>
    <row r="308" spans="11:16" ht="18" customHeight="1">
      <c r="K308" s="171" t="s">
        <v>14</v>
      </c>
      <c r="L308" s="171"/>
      <c r="M308" s="171"/>
      <c r="P308" s="236"/>
    </row>
    <row r="309" spans="11:16" ht="18" customHeight="1">
      <c r="K309" s="171" t="s">
        <v>14</v>
      </c>
      <c r="L309" s="171"/>
      <c r="M309" s="171"/>
      <c r="P309" s="236"/>
    </row>
    <row r="310" spans="11:16" ht="18" customHeight="1">
      <c r="K310" s="171" t="s">
        <v>14</v>
      </c>
      <c r="L310" s="171"/>
      <c r="M310" s="171"/>
      <c r="P310" s="236"/>
    </row>
    <row r="311" spans="11:16" ht="18" customHeight="1">
      <c r="K311" s="171" t="s">
        <v>14</v>
      </c>
      <c r="L311" s="171"/>
      <c r="M311" s="171"/>
      <c r="P311" s="236"/>
    </row>
    <row r="312" spans="11:16" ht="18" customHeight="1">
      <c r="K312" s="171" t="s">
        <v>14</v>
      </c>
      <c r="L312" s="171"/>
      <c r="M312" s="171"/>
      <c r="P312" s="236"/>
    </row>
    <row r="313" spans="11:16" ht="18" customHeight="1">
      <c r="K313" s="171" t="s">
        <v>14</v>
      </c>
      <c r="L313" s="171"/>
      <c r="M313" s="171"/>
      <c r="P313" s="236"/>
    </row>
    <row r="314" spans="11:16" ht="18" customHeight="1">
      <c r="K314" s="171" t="s">
        <v>14</v>
      </c>
      <c r="L314" s="171"/>
      <c r="M314" s="171"/>
      <c r="P314" s="236"/>
    </row>
    <row r="315" spans="11:16" ht="18" customHeight="1">
      <c r="K315" s="171" t="s">
        <v>14</v>
      </c>
      <c r="L315" s="171"/>
      <c r="M315" s="171"/>
      <c r="P315" s="236"/>
    </row>
    <row r="316" spans="11:16" ht="18" customHeight="1">
      <c r="K316" s="171" t="s">
        <v>14</v>
      </c>
      <c r="L316" s="171"/>
      <c r="M316" s="171"/>
      <c r="P316" s="236"/>
    </row>
    <row r="317" spans="11:16" ht="18" customHeight="1">
      <c r="K317" s="171" t="s">
        <v>14</v>
      </c>
      <c r="L317" s="171"/>
      <c r="M317" s="171"/>
      <c r="P317" s="236"/>
    </row>
    <row r="318" spans="11:16" ht="18" customHeight="1">
      <c r="K318" s="171" t="s">
        <v>14</v>
      </c>
      <c r="L318" s="171"/>
      <c r="M318" s="171"/>
      <c r="P318" s="236"/>
    </row>
    <row r="319" spans="11:16" ht="18" customHeight="1">
      <c r="K319" s="171" t="s">
        <v>14</v>
      </c>
      <c r="L319" s="171"/>
      <c r="M319" s="171"/>
      <c r="P319" s="236"/>
    </row>
    <row r="320" spans="11:16" ht="18" customHeight="1">
      <c r="K320" s="171" t="s">
        <v>14</v>
      </c>
      <c r="L320" s="171"/>
      <c r="M320" s="171"/>
      <c r="P320" s="236"/>
    </row>
    <row r="321" spans="11:16" ht="18" customHeight="1">
      <c r="K321" s="171" t="s">
        <v>14</v>
      </c>
      <c r="L321" s="171"/>
      <c r="M321" s="171"/>
      <c r="P321" s="236"/>
    </row>
    <row r="322" spans="11:16" ht="18" customHeight="1">
      <c r="K322" s="171" t="s">
        <v>14</v>
      </c>
      <c r="L322" s="171"/>
      <c r="M322" s="171"/>
      <c r="P322" s="236"/>
    </row>
    <row r="323" spans="11:16" ht="18" customHeight="1">
      <c r="K323" s="171" t="s">
        <v>14</v>
      </c>
      <c r="L323" s="171"/>
      <c r="M323" s="171"/>
      <c r="P323" s="236"/>
    </row>
    <row r="324" spans="11:16" ht="18" customHeight="1">
      <c r="K324" s="171" t="s">
        <v>14</v>
      </c>
      <c r="L324" s="171"/>
      <c r="M324" s="171"/>
      <c r="P324" s="236"/>
    </row>
    <row r="325" spans="11:16" ht="18" customHeight="1">
      <c r="K325" s="171" t="s">
        <v>14</v>
      </c>
      <c r="L325" s="171"/>
      <c r="M325" s="171"/>
      <c r="P325" s="236"/>
    </row>
    <row r="326" spans="11:16" ht="18" customHeight="1">
      <c r="K326" s="171" t="s">
        <v>14</v>
      </c>
      <c r="L326" s="171"/>
      <c r="M326" s="171"/>
      <c r="P326" s="236"/>
    </row>
    <row r="327" spans="11:16" ht="18" customHeight="1">
      <c r="K327" s="171" t="s">
        <v>14</v>
      </c>
      <c r="L327" s="171"/>
      <c r="M327" s="171"/>
      <c r="P327" s="236"/>
    </row>
    <row r="328" spans="11:16" ht="18" customHeight="1">
      <c r="K328" s="171" t="s">
        <v>14</v>
      </c>
      <c r="L328" s="171"/>
      <c r="M328" s="171"/>
      <c r="P328" s="236"/>
    </row>
    <row r="329" spans="11:16" ht="18" customHeight="1">
      <c r="K329" s="171" t="s">
        <v>14</v>
      </c>
      <c r="L329" s="171"/>
      <c r="M329" s="171"/>
      <c r="P329" s="236"/>
    </row>
    <row r="330" spans="11:16" ht="18" customHeight="1">
      <c r="K330" s="171" t="s">
        <v>14</v>
      </c>
      <c r="L330" s="171"/>
      <c r="M330" s="171"/>
      <c r="P330" s="236"/>
    </row>
    <row r="331" spans="11:16" ht="18" customHeight="1">
      <c r="K331" s="171" t="s">
        <v>14</v>
      </c>
      <c r="L331" s="171"/>
      <c r="M331" s="171"/>
      <c r="P331" s="236"/>
    </row>
    <row r="332" spans="11:16" ht="18" customHeight="1">
      <c r="K332" s="171" t="s">
        <v>14</v>
      </c>
      <c r="L332" s="171"/>
      <c r="M332" s="171"/>
      <c r="P332" s="236"/>
    </row>
    <row r="333" spans="11:16" ht="18" customHeight="1">
      <c r="K333" s="171" t="s">
        <v>14</v>
      </c>
      <c r="L333" s="171"/>
      <c r="M333" s="171"/>
      <c r="P333" s="236"/>
    </row>
    <row r="334" spans="11:16" ht="18" customHeight="1">
      <c r="K334" s="171" t="s">
        <v>14</v>
      </c>
      <c r="L334" s="171"/>
      <c r="M334" s="171"/>
      <c r="P334" s="236"/>
    </row>
    <row r="335" spans="11:16" ht="18" customHeight="1">
      <c r="K335" s="171" t="s">
        <v>14</v>
      </c>
      <c r="L335" s="171"/>
      <c r="M335" s="171"/>
      <c r="P335" s="236"/>
    </row>
    <row r="336" spans="11:16" ht="18" customHeight="1">
      <c r="K336" s="171" t="s">
        <v>14</v>
      </c>
      <c r="L336" s="171"/>
      <c r="M336" s="171"/>
      <c r="P336" s="236"/>
    </row>
    <row r="337" spans="11:16" ht="18" customHeight="1">
      <c r="K337" s="171" t="s">
        <v>14</v>
      </c>
      <c r="L337" s="171"/>
      <c r="M337" s="171"/>
      <c r="P337" s="236"/>
    </row>
    <row r="338" spans="11:16" ht="18" customHeight="1">
      <c r="K338" s="171" t="s">
        <v>14</v>
      </c>
      <c r="L338" s="171"/>
      <c r="M338" s="171"/>
      <c r="P338" s="236"/>
    </row>
    <row r="339" spans="11:16" ht="18" customHeight="1">
      <c r="K339" s="171" t="s">
        <v>14</v>
      </c>
      <c r="L339" s="171"/>
      <c r="M339" s="171"/>
      <c r="P339" s="236"/>
    </row>
    <row r="340" spans="11:16" ht="18" customHeight="1">
      <c r="K340" s="171" t="s">
        <v>14</v>
      </c>
      <c r="L340" s="171"/>
      <c r="M340" s="171"/>
      <c r="P340" s="236"/>
    </row>
    <row r="341" spans="11:16" ht="18" customHeight="1">
      <c r="K341" s="171" t="s">
        <v>14</v>
      </c>
      <c r="L341" s="171"/>
      <c r="M341" s="171"/>
      <c r="P341" s="236"/>
    </row>
    <row r="342" spans="11:16" ht="18" customHeight="1">
      <c r="K342" s="171" t="s">
        <v>14</v>
      </c>
      <c r="L342" s="171"/>
      <c r="M342" s="171"/>
      <c r="P342" s="236"/>
    </row>
    <row r="343" spans="11:16" ht="18" customHeight="1">
      <c r="K343" s="171" t="s">
        <v>14</v>
      </c>
      <c r="L343" s="171"/>
      <c r="M343" s="171"/>
      <c r="P343" s="236"/>
    </row>
    <row r="344" spans="11:16" ht="18" customHeight="1">
      <c r="K344" s="171" t="s">
        <v>14</v>
      </c>
      <c r="L344" s="171"/>
      <c r="M344" s="171"/>
      <c r="P344" s="236"/>
    </row>
    <row r="345" spans="11:16" ht="18" customHeight="1">
      <c r="K345" s="171" t="s">
        <v>14</v>
      </c>
      <c r="L345" s="171"/>
      <c r="M345" s="171"/>
      <c r="P345" s="236"/>
    </row>
    <row r="346" spans="11:16" ht="18" customHeight="1">
      <c r="K346" s="171" t="s">
        <v>14</v>
      </c>
      <c r="L346" s="171"/>
      <c r="M346" s="171"/>
      <c r="P346" s="236"/>
    </row>
    <row r="347" spans="11:16" ht="18" customHeight="1">
      <c r="K347" s="171" t="s">
        <v>14</v>
      </c>
      <c r="L347" s="171"/>
      <c r="M347" s="171"/>
      <c r="P347" s="236"/>
    </row>
    <row r="348" spans="11:16" ht="18" customHeight="1">
      <c r="K348" s="171" t="s">
        <v>14</v>
      </c>
      <c r="L348" s="171"/>
      <c r="M348" s="171"/>
      <c r="P348" s="236"/>
    </row>
    <row r="349" spans="11:16" ht="18" customHeight="1">
      <c r="K349" s="171" t="s">
        <v>14</v>
      </c>
      <c r="L349" s="171"/>
      <c r="M349" s="171"/>
      <c r="P349" s="236"/>
    </row>
    <row r="350" spans="11:16" ht="18" customHeight="1">
      <c r="K350" s="171" t="s">
        <v>14</v>
      </c>
      <c r="L350" s="171"/>
      <c r="M350" s="171"/>
      <c r="P350" s="236"/>
    </row>
    <row r="351" spans="11:16" ht="18" customHeight="1">
      <c r="K351" s="171" t="s">
        <v>14</v>
      </c>
      <c r="L351" s="171"/>
      <c r="M351" s="171"/>
      <c r="P351" s="236"/>
    </row>
    <row r="352" spans="11:16" ht="18" customHeight="1">
      <c r="K352" s="171" t="s">
        <v>14</v>
      </c>
      <c r="L352" s="171"/>
      <c r="M352" s="171"/>
      <c r="P352" s="236"/>
    </row>
    <row r="353" spans="11:16" ht="18" customHeight="1">
      <c r="K353" s="171" t="s">
        <v>14</v>
      </c>
      <c r="L353" s="171"/>
      <c r="M353" s="171"/>
      <c r="P353" s="236"/>
    </row>
    <row r="354" spans="11:16" ht="18" customHeight="1">
      <c r="K354" s="171" t="s">
        <v>14</v>
      </c>
      <c r="L354" s="171"/>
      <c r="M354" s="171"/>
      <c r="P354" s="236"/>
    </row>
    <row r="355" spans="11:16" ht="18" customHeight="1">
      <c r="K355" s="171" t="s">
        <v>14</v>
      </c>
      <c r="L355" s="171"/>
      <c r="M355" s="171"/>
      <c r="P355" s="236"/>
    </row>
    <row r="356" spans="11:16" ht="18" customHeight="1">
      <c r="K356" s="171" t="s">
        <v>14</v>
      </c>
      <c r="L356" s="171"/>
      <c r="M356" s="171"/>
      <c r="P356" s="236"/>
    </row>
    <row r="357" spans="11:16" ht="18" customHeight="1">
      <c r="K357" s="171" t="s">
        <v>14</v>
      </c>
      <c r="L357" s="171"/>
      <c r="M357" s="171"/>
      <c r="P357" s="236"/>
    </row>
    <row r="358" spans="11:16" ht="18" customHeight="1">
      <c r="K358" s="171" t="s">
        <v>14</v>
      </c>
      <c r="L358" s="171"/>
      <c r="M358" s="171"/>
      <c r="P358" s="236"/>
    </row>
    <row r="359" spans="11:16" ht="18" customHeight="1">
      <c r="K359" s="171" t="s">
        <v>14</v>
      </c>
      <c r="L359" s="171"/>
      <c r="M359" s="171"/>
      <c r="P359" s="236"/>
    </row>
    <row r="360" spans="11:16" ht="18" customHeight="1">
      <c r="K360" s="171" t="s">
        <v>14</v>
      </c>
      <c r="L360" s="171"/>
      <c r="M360" s="171"/>
      <c r="P360" s="236"/>
    </row>
    <row r="361" spans="11:16" ht="18" customHeight="1">
      <c r="K361" s="171" t="s">
        <v>14</v>
      </c>
      <c r="L361" s="171"/>
      <c r="M361" s="171"/>
      <c r="P361" s="236"/>
    </row>
    <row r="362" spans="11:16" ht="18" customHeight="1">
      <c r="K362" s="171" t="s">
        <v>14</v>
      </c>
      <c r="L362" s="171"/>
      <c r="M362" s="171"/>
      <c r="P362" s="236"/>
    </row>
    <row r="363" spans="11:16" ht="18" customHeight="1">
      <c r="K363" s="171" t="s">
        <v>14</v>
      </c>
      <c r="L363" s="171"/>
      <c r="M363" s="171"/>
      <c r="P363" s="236"/>
    </row>
    <row r="364" spans="11:16" ht="18" customHeight="1">
      <c r="K364" s="171" t="s">
        <v>14</v>
      </c>
      <c r="L364" s="171"/>
      <c r="M364" s="171"/>
      <c r="P364" s="236"/>
    </row>
    <row r="365" spans="11:16" ht="18" customHeight="1">
      <c r="K365" s="171" t="s">
        <v>14</v>
      </c>
      <c r="L365" s="171"/>
      <c r="M365" s="171"/>
      <c r="P365" s="236"/>
    </row>
    <row r="366" spans="11:16" ht="18" customHeight="1">
      <c r="K366" s="171" t="s">
        <v>14</v>
      </c>
      <c r="L366" s="171"/>
      <c r="M366" s="171"/>
      <c r="P366" s="236"/>
    </row>
    <row r="367" spans="11:16" ht="18" customHeight="1">
      <c r="K367" s="171" t="s">
        <v>14</v>
      </c>
      <c r="L367" s="171"/>
      <c r="M367" s="171"/>
      <c r="P367" s="236"/>
    </row>
    <row r="368" spans="11:16" ht="18" customHeight="1">
      <c r="K368" s="171" t="s">
        <v>14</v>
      </c>
      <c r="L368" s="171"/>
      <c r="M368" s="171"/>
      <c r="P368" s="236"/>
    </row>
    <row r="369" spans="11:16" ht="18" customHeight="1">
      <c r="K369" s="171" t="s">
        <v>14</v>
      </c>
      <c r="L369" s="171"/>
      <c r="M369" s="171"/>
      <c r="P369" s="236"/>
    </row>
    <row r="370" spans="11:16" ht="18" customHeight="1">
      <c r="K370" s="171" t="s">
        <v>14</v>
      </c>
      <c r="L370" s="171"/>
      <c r="M370" s="171"/>
      <c r="P370" s="236"/>
    </row>
    <row r="371" spans="11:16" ht="18" customHeight="1">
      <c r="K371" s="171" t="s">
        <v>14</v>
      </c>
      <c r="L371" s="171"/>
      <c r="M371" s="171"/>
      <c r="P371" s="236"/>
    </row>
    <row r="372" spans="11:16" ht="18" customHeight="1">
      <c r="K372" s="171" t="s">
        <v>14</v>
      </c>
      <c r="L372" s="171"/>
      <c r="M372" s="171"/>
      <c r="P372" s="236"/>
    </row>
    <row r="373" spans="11:16" ht="18" customHeight="1">
      <c r="K373" s="171" t="s">
        <v>14</v>
      </c>
      <c r="L373" s="171"/>
      <c r="M373" s="171"/>
      <c r="P373" s="236"/>
    </row>
    <row r="374" spans="11:16" ht="18" customHeight="1">
      <c r="K374" s="171" t="s">
        <v>14</v>
      </c>
      <c r="L374" s="171"/>
      <c r="M374" s="171"/>
      <c r="P374" s="236"/>
    </row>
    <row r="375" spans="11:16" ht="18" customHeight="1">
      <c r="K375" s="171" t="s">
        <v>14</v>
      </c>
      <c r="L375" s="171"/>
      <c r="M375" s="171"/>
      <c r="P375" s="236"/>
    </row>
    <row r="376" spans="11:16" ht="18" customHeight="1">
      <c r="K376" s="171" t="s">
        <v>14</v>
      </c>
      <c r="L376" s="171"/>
      <c r="M376" s="171"/>
      <c r="P376" s="236"/>
    </row>
    <row r="377" spans="11:16" ht="18" customHeight="1">
      <c r="K377" s="171" t="s">
        <v>14</v>
      </c>
      <c r="L377" s="171"/>
      <c r="M377" s="171"/>
      <c r="P377" s="236"/>
    </row>
    <row r="378" spans="11:16" ht="18" customHeight="1">
      <c r="K378" s="171" t="s">
        <v>14</v>
      </c>
      <c r="L378" s="171"/>
      <c r="M378" s="171"/>
      <c r="P378" s="236"/>
    </row>
    <row r="379" spans="11:16" ht="18" customHeight="1">
      <c r="K379" s="171" t="s">
        <v>14</v>
      </c>
      <c r="L379" s="171"/>
      <c r="M379" s="171"/>
      <c r="P379" s="236"/>
    </row>
    <row r="380" spans="11:16" ht="18" customHeight="1">
      <c r="K380" s="171" t="s">
        <v>14</v>
      </c>
      <c r="L380" s="171"/>
      <c r="M380" s="171"/>
      <c r="P380" s="236"/>
    </row>
    <row r="381" spans="11:16" ht="18" customHeight="1">
      <c r="K381" s="171" t="s">
        <v>14</v>
      </c>
      <c r="L381" s="171"/>
      <c r="M381" s="171"/>
      <c r="P381" s="236"/>
    </row>
    <row r="382" spans="11:16" ht="18" customHeight="1">
      <c r="K382" s="171" t="s">
        <v>14</v>
      </c>
      <c r="L382" s="171"/>
      <c r="M382" s="171"/>
      <c r="P382" s="236"/>
    </row>
    <row r="383" spans="11:16" ht="18" customHeight="1">
      <c r="K383" s="171" t="s">
        <v>14</v>
      </c>
      <c r="L383" s="171"/>
      <c r="M383" s="171"/>
      <c r="P383" s="236"/>
    </row>
    <row r="384" spans="11:16" ht="18" customHeight="1">
      <c r="K384" s="171" t="s">
        <v>14</v>
      </c>
      <c r="L384" s="171"/>
      <c r="M384" s="171"/>
      <c r="P384" s="236"/>
    </row>
    <row r="385" spans="11:16" ht="18" customHeight="1">
      <c r="K385" s="171" t="s">
        <v>14</v>
      </c>
      <c r="L385" s="171"/>
      <c r="M385" s="171"/>
      <c r="P385" s="236"/>
    </row>
    <row r="386" spans="11:16" ht="18" customHeight="1">
      <c r="K386" s="171" t="s">
        <v>14</v>
      </c>
      <c r="L386" s="171"/>
      <c r="M386" s="171"/>
      <c r="P386" s="236"/>
    </row>
    <row r="387" spans="11:16" ht="18" customHeight="1">
      <c r="K387" s="171" t="s">
        <v>14</v>
      </c>
      <c r="L387" s="171"/>
      <c r="M387" s="171"/>
      <c r="P387" s="236"/>
    </row>
    <row r="388" spans="11:16" ht="18" customHeight="1">
      <c r="K388" s="171" t="s">
        <v>14</v>
      </c>
      <c r="L388" s="171"/>
      <c r="M388" s="171"/>
      <c r="P388" s="236"/>
    </row>
    <row r="389" spans="11:16" ht="18" customHeight="1">
      <c r="K389" s="171" t="s">
        <v>14</v>
      </c>
      <c r="L389" s="171"/>
      <c r="M389" s="171"/>
      <c r="P389" s="236"/>
    </row>
    <row r="390" spans="11:16" ht="18" customHeight="1">
      <c r="K390" s="171" t="s">
        <v>14</v>
      </c>
      <c r="L390" s="171"/>
      <c r="M390" s="171"/>
      <c r="P390" s="236"/>
    </row>
    <row r="391" spans="11:16" ht="18" customHeight="1">
      <c r="K391" s="171" t="s">
        <v>14</v>
      </c>
      <c r="L391" s="171"/>
      <c r="M391" s="171"/>
      <c r="P391" s="236"/>
    </row>
    <row r="392" spans="11:16" ht="18" customHeight="1">
      <c r="K392" s="171" t="s">
        <v>14</v>
      </c>
      <c r="L392" s="171"/>
      <c r="M392" s="171"/>
      <c r="P392" s="236"/>
    </row>
    <row r="393" spans="11:16" ht="18" customHeight="1">
      <c r="K393" s="171" t="s">
        <v>14</v>
      </c>
      <c r="L393" s="171"/>
      <c r="M393" s="171"/>
      <c r="P393" s="236"/>
    </row>
    <row r="394" spans="11:16" ht="18" customHeight="1">
      <c r="K394" s="171" t="s">
        <v>14</v>
      </c>
      <c r="L394" s="171"/>
      <c r="M394" s="171"/>
      <c r="P394" s="236"/>
    </row>
    <row r="395" spans="11:16" ht="18" customHeight="1">
      <c r="K395" s="171" t="s">
        <v>14</v>
      </c>
      <c r="L395" s="171"/>
      <c r="M395" s="171"/>
      <c r="P395" s="236"/>
    </row>
    <row r="396" spans="11:16" ht="18" customHeight="1">
      <c r="K396" s="171" t="s">
        <v>14</v>
      </c>
      <c r="L396" s="171"/>
      <c r="M396" s="171"/>
      <c r="P396" s="236"/>
    </row>
    <row r="397" spans="11:16" ht="18" customHeight="1">
      <c r="K397" s="171" t="s">
        <v>14</v>
      </c>
      <c r="L397" s="171"/>
      <c r="M397" s="171"/>
      <c r="P397" s="236"/>
    </row>
    <row r="398" spans="11:16" ht="18" customHeight="1">
      <c r="K398" s="171" t="s">
        <v>14</v>
      </c>
      <c r="L398" s="171"/>
      <c r="M398" s="171"/>
      <c r="P398" s="236"/>
    </row>
    <row r="399" spans="11:16" ht="18" customHeight="1">
      <c r="K399" s="171" t="s">
        <v>14</v>
      </c>
      <c r="L399" s="171"/>
      <c r="M399" s="171"/>
      <c r="P399" s="236"/>
    </row>
    <row r="400" spans="11:16" ht="18" customHeight="1">
      <c r="K400" s="171" t="s">
        <v>14</v>
      </c>
      <c r="L400" s="171"/>
      <c r="M400" s="171"/>
      <c r="P400" s="236"/>
    </row>
    <row r="401" spans="11:16" ht="18" customHeight="1">
      <c r="K401" s="171" t="s">
        <v>14</v>
      </c>
      <c r="L401" s="171"/>
      <c r="M401" s="171"/>
      <c r="P401" s="236"/>
    </row>
    <row r="402" spans="11:16" ht="18" customHeight="1">
      <c r="K402" s="171" t="s">
        <v>14</v>
      </c>
      <c r="L402" s="171"/>
      <c r="M402" s="171"/>
      <c r="P402" s="236"/>
    </row>
    <row r="403" spans="11:16" ht="18" customHeight="1">
      <c r="K403" s="171" t="s">
        <v>14</v>
      </c>
      <c r="L403" s="171"/>
      <c r="M403" s="171"/>
      <c r="P403" s="236"/>
    </row>
    <row r="404" spans="11:16" ht="18" customHeight="1">
      <c r="K404" s="171" t="s">
        <v>14</v>
      </c>
      <c r="L404" s="171"/>
      <c r="M404" s="171"/>
      <c r="P404" s="236"/>
    </row>
    <row r="405" spans="11:16" ht="18" customHeight="1">
      <c r="K405" s="171" t="s">
        <v>14</v>
      </c>
      <c r="L405" s="171"/>
      <c r="M405" s="171"/>
      <c r="P405" s="236"/>
    </row>
    <row r="406" spans="11:16" ht="18" customHeight="1">
      <c r="K406" s="171" t="s">
        <v>14</v>
      </c>
      <c r="L406" s="171"/>
      <c r="M406" s="171"/>
      <c r="P406" s="236"/>
    </row>
    <row r="407" spans="11:16" ht="18" customHeight="1">
      <c r="K407" s="171" t="s">
        <v>14</v>
      </c>
      <c r="L407" s="171"/>
      <c r="M407" s="171"/>
      <c r="P407" s="236"/>
    </row>
    <row r="408" spans="11:16" ht="18" customHeight="1">
      <c r="K408" s="171" t="s">
        <v>14</v>
      </c>
      <c r="L408" s="171"/>
      <c r="M408" s="171"/>
      <c r="P408" s="236"/>
    </row>
    <row r="409" spans="11:16" ht="18" customHeight="1">
      <c r="K409" s="171" t="s">
        <v>14</v>
      </c>
      <c r="L409" s="171"/>
      <c r="M409" s="171"/>
      <c r="P409" s="236"/>
    </row>
    <row r="410" spans="11:16" ht="18" customHeight="1">
      <c r="K410" s="171" t="s">
        <v>14</v>
      </c>
      <c r="L410" s="171"/>
      <c r="M410" s="171"/>
      <c r="P410" s="236"/>
    </row>
    <row r="411" spans="11:16" ht="18" customHeight="1">
      <c r="K411" s="171" t="s">
        <v>14</v>
      </c>
      <c r="L411" s="171"/>
      <c r="M411" s="171"/>
      <c r="P411" s="236"/>
    </row>
    <row r="412" spans="11:16" ht="18" customHeight="1">
      <c r="K412" s="171" t="s">
        <v>14</v>
      </c>
      <c r="L412" s="171"/>
      <c r="M412" s="171"/>
      <c r="P412" s="236"/>
    </row>
    <row r="413" spans="11:16" ht="18" customHeight="1">
      <c r="K413" s="171" t="s">
        <v>14</v>
      </c>
      <c r="L413" s="171"/>
      <c r="M413" s="171"/>
      <c r="P413" s="236"/>
    </row>
    <row r="414" spans="11:16" ht="18" customHeight="1">
      <c r="K414" s="171" t="s">
        <v>14</v>
      </c>
      <c r="L414" s="171"/>
      <c r="M414" s="171"/>
      <c r="P414" s="236"/>
    </row>
    <row r="415" spans="11:16" ht="18" customHeight="1">
      <c r="K415" s="171" t="s">
        <v>14</v>
      </c>
      <c r="L415" s="171"/>
      <c r="M415" s="171"/>
      <c r="P415" s="236"/>
    </row>
    <row r="416" spans="11:16" ht="18" customHeight="1">
      <c r="K416" s="171" t="s">
        <v>14</v>
      </c>
      <c r="L416" s="171"/>
      <c r="M416" s="171"/>
      <c r="P416" s="236"/>
    </row>
    <row r="417" spans="11:16" ht="18" customHeight="1">
      <c r="K417" s="171" t="s">
        <v>14</v>
      </c>
      <c r="L417" s="171"/>
      <c r="M417" s="171"/>
      <c r="P417" s="236"/>
    </row>
    <row r="418" spans="11:16" ht="18" customHeight="1">
      <c r="K418" s="171" t="s">
        <v>14</v>
      </c>
      <c r="L418" s="171"/>
      <c r="M418" s="171"/>
      <c r="P418" s="236"/>
    </row>
    <row r="419" spans="11:16" ht="18" customHeight="1">
      <c r="K419" s="171" t="s">
        <v>14</v>
      </c>
      <c r="L419" s="171"/>
      <c r="M419" s="171"/>
      <c r="P419" s="236"/>
    </row>
    <row r="420" spans="11:16" ht="18" customHeight="1">
      <c r="K420" s="171" t="s">
        <v>14</v>
      </c>
      <c r="L420" s="171"/>
      <c r="M420" s="171"/>
      <c r="P420" s="236"/>
    </row>
    <row r="421" spans="11:16" ht="18" customHeight="1">
      <c r="K421" s="171" t="s">
        <v>14</v>
      </c>
      <c r="L421" s="171"/>
      <c r="M421" s="171"/>
      <c r="P421" s="236"/>
    </row>
    <row r="422" spans="11:16" ht="18" customHeight="1">
      <c r="K422" s="171" t="s">
        <v>14</v>
      </c>
      <c r="L422" s="171"/>
      <c r="M422" s="171"/>
      <c r="P422" s="236"/>
    </row>
    <row r="423" spans="11:16" ht="18" customHeight="1">
      <c r="K423" s="171" t="s">
        <v>14</v>
      </c>
      <c r="L423" s="171"/>
      <c r="M423" s="171"/>
      <c r="P423" s="236"/>
    </row>
    <row r="424" spans="11:16" ht="18" customHeight="1">
      <c r="K424" s="171" t="s">
        <v>14</v>
      </c>
      <c r="L424" s="171"/>
      <c r="M424" s="171"/>
      <c r="P424" s="236"/>
    </row>
    <row r="425" spans="11:16" ht="18" customHeight="1">
      <c r="K425" s="171" t="s">
        <v>14</v>
      </c>
      <c r="L425" s="171"/>
      <c r="M425" s="171"/>
      <c r="P425" s="236"/>
    </row>
    <row r="426" spans="11:16" ht="18" customHeight="1">
      <c r="K426" s="171" t="s">
        <v>14</v>
      </c>
      <c r="L426" s="171"/>
      <c r="M426" s="171"/>
      <c r="P426" s="236"/>
    </row>
    <row r="427" spans="11:16" ht="18" customHeight="1">
      <c r="K427" s="171" t="s">
        <v>14</v>
      </c>
      <c r="L427" s="171"/>
      <c r="M427" s="171"/>
      <c r="P427" s="236"/>
    </row>
    <row r="428" spans="11:16" ht="18" customHeight="1">
      <c r="K428" s="171" t="s">
        <v>14</v>
      </c>
      <c r="L428" s="171"/>
      <c r="M428" s="171"/>
      <c r="P428" s="236"/>
    </row>
    <row r="429" spans="11:16" ht="18" customHeight="1">
      <c r="K429" s="171" t="s">
        <v>14</v>
      </c>
      <c r="L429" s="171"/>
      <c r="M429" s="171"/>
      <c r="P429" s="236"/>
    </row>
    <row r="430" spans="11:16" ht="18" customHeight="1">
      <c r="K430" s="171" t="s">
        <v>14</v>
      </c>
      <c r="L430" s="171"/>
      <c r="M430" s="171"/>
      <c r="P430" s="236"/>
    </row>
    <row r="431" spans="11:16" ht="18" customHeight="1">
      <c r="K431" s="171" t="s">
        <v>14</v>
      </c>
      <c r="L431" s="171"/>
      <c r="M431" s="171"/>
      <c r="P431" s="236"/>
    </row>
    <row r="432" spans="11:16" ht="18" customHeight="1">
      <c r="K432" s="171" t="s">
        <v>14</v>
      </c>
      <c r="L432" s="171"/>
      <c r="M432" s="171"/>
      <c r="P432" s="236"/>
    </row>
    <row r="433" spans="11:16" ht="18" customHeight="1">
      <c r="K433" s="171" t="s">
        <v>14</v>
      </c>
      <c r="L433" s="171"/>
      <c r="M433" s="171"/>
      <c r="P433" s="236"/>
    </row>
    <row r="434" spans="11:16" ht="18" customHeight="1">
      <c r="K434" s="171" t="s">
        <v>14</v>
      </c>
      <c r="L434" s="171"/>
      <c r="M434" s="171"/>
      <c r="P434" s="236"/>
    </row>
    <row r="435" spans="11:16" ht="18" customHeight="1">
      <c r="K435" s="171" t="s">
        <v>14</v>
      </c>
      <c r="L435" s="171"/>
      <c r="M435" s="171"/>
      <c r="P435" s="236"/>
    </row>
    <row r="436" spans="11:16" ht="18" customHeight="1">
      <c r="K436" s="171" t="s">
        <v>14</v>
      </c>
      <c r="L436" s="171"/>
      <c r="M436" s="171"/>
      <c r="P436" s="236"/>
    </row>
    <row r="437" spans="11:16" ht="18" customHeight="1">
      <c r="K437" s="171" t="s">
        <v>14</v>
      </c>
      <c r="L437" s="171"/>
      <c r="M437" s="171"/>
      <c r="P437" s="236"/>
    </row>
    <row r="438" spans="11:16" ht="18" customHeight="1">
      <c r="K438" s="171" t="s">
        <v>14</v>
      </c>
      <c r="L438" s="171"/>
      <c r="M438" s="171"/>
      <c r="P438" s="236"/>
    </row>
    <row r="439" spans="11:16" ht="18" customHeight="1">
      <c r="K439" s="171" t="s">
        <v>14</v>
      </c>
      <c r="L439" s="171"/>
      <c r="M439" s="171"/>
      <c r="P439" s="236"/>
    </row>
    <row r="440" spans="11:16" ht="18" customHeight="1">
      <c r="K440" s="171" t="s">
        <v>14</v>
      </c>
      <c r="L440" s="171"/>
      <c r="M440" s="171"/>
      <c r="P440" s="236"/>
    </row>
    <row r="441" spans="11:16" ht="18" customHeight="1">
      <c r="K441" s="171" t="s">
        <v>14</v>
      </c>
      <c r="L441" s="171"/>
      <c r="M441" s="171"/>
      <c r="P441" s="236"/>
    </row>
    <row r="442" spans="11:16" ht="18" customHeight="1">
      <c r="K442" s="171" t="s">
        <v>14</v>
      </c>
      <c r="L442" s="171"/>
      <c r="M442" s="171"/>
      <c r="P442" s="236"/>
    </row>
    <row r="443" spans="11:16" ht="18" customHeight="1">
      <c r="K443" s="171" t="s">
        <v>14</v>
      </c>
      <c r="L443" s="171"/>
      <c r="M443" s="171"/>
      <c r="P443" s="236"/>
    </row>
    <row r="444" spans="11:16" ht="18" customHeight="1">
      <c r="K444" s="171" t="s">
        <v>14</v>
      </c>
      <c r="L444" s="171"/>
      <c r="M444" s="171"/>
      <c r="P444" s="236"/>
    </row>
    <row r="445" spans="11:16" ht="18" customHeight="1">
      <c r="K445" s="171" t="s">
        <v>14</v>
      </c>
      <c r="L445" s="171"/>
      <c r="M445" s="171"/>
      <c r="P445" s="236"/>
    </row>
    <row r="446" spans="11:16" ht="18" customHeight="1">
      <c r="K446" s="171" t="s">
        <v>14</v>
      </c>
      <c r="L446" s="171"/>
      <c r="M446" s="171"/>
      <c r="P446" s="236"/>
    </row>
    <row r="447" spans="11:16" ht="18" customHeight="1">
      <c r="K447" s="171" t="s">
        <v>14</v>
      </c>
      <c r="L447" s="171"/>
      <c r="M447" s="171"/>
      <c r="P447" s="236"/>
    </row>
    <row r="448" spans="11:16" ht="18" customHeight="1">
      <c r="K448" s="171" t="s">
        <v>14</v>
      </c>
      <c r="L448" s="171"/>
      <c r="M448" s="171"/>
      <c r="P448" s="236"/>
    </row>
    <row r="449" spans="11:16" ht="18" customHeight="1">
      <c r="K449" s="171" t="s">
        <v>14</v>
      </c>
      <c r="L449" s="171"/>
      <c r="M449" s="171"/>
      <c r="P449" s="236"/>
    </row>
    <row r="450" spans="11:16" ht="18" customHeight="1">
      <c r="K450" s="171" t="s">
        <v>14</v>
      </c>
      <c r="L450" s="171"/>
      <c r="M450" s="171"/>
      <c r="P450" s="236"/>
    </row>
    <row r="451" spans="11:16" ht="18" customHeight="1">
      <c r="K451" s="171" t="s">
        <v>14</v>
      </c>
      <c r="L451" s="171"/>
      <c r="M451" s="171"/>
      <c r="P451" s="236"/>
    </row>
    <row r="452" spans="11:16" ht="18" customHeight="1">
      <c r="K452" s="171" t="s">
        <v>14</v>
      </c>
      <c r="L452" s="171"/>
      <c r="M452" s="171"/>
      <c r="P452" s="236"/>
    </row>
    <row r="453" spans="11:16" ht="18" customHeight="1">
      <c r="K453" s="171" t="s">
        <v>14</v>
      </c>
      <c r="L453" s="171"/>
      <c r="M453" s="171"/>
      <c r="P453" s="236"/>
    </row>
    <row r="454" spans="11:16" ht="18" customHeight="1">
      <c r="K454" s="171" t="s">
        <v>14</v>
      </c>
      <c r="L454" s="171"/>
      <c r="M454" s="171"/>
      <c r="P454" s="236"/>
    </row>
    <row r="455" spans="11:16" ht="18" customHeight="1">
      <c r="K455" s="171" t="s">
        <v>14</v>
      </c>
      <c r="L455" s="171"/>
      <c r="M455" s="171"/>
      <c r="P455" s="236"/>
    </row>
    <row r="456" spans="11:16" ht="18" customHeight="1">
      <c r="K456" s="171" t="s">
        <v>14</v>
      </c>
      <c r="L456" s="171"/>
      <c r="M456" s="171"/>
      <c r="P456" s="236"/>
    </row>
    <row r="457" spans="11:16" ht="18" customHeight="1">
      <c r="K457" s="171" t="s">
        <v>14</v>
      </c>
      <c r="L457" s="171"/>
      <c r="M457" s="171"/>
      <c r="P457" s="236"/>
    </row>
    <row r="458" spans="11:16" ht="18" customHeight="1">
      <c r="K458" s="171" t="s">
        <v>14</v>
      </c>
      <c r="L458" s="171"/>
      <c r="M458" s="171"/>
      <c r="P458" s="236"/>
    </row>
    <row r="459" spans="11:16" ht="18" customHeight="1">
      <c r="K459" s="171" t="s">
        <v>14</v>
      </c>
      <c r="L459" s="171"/>
      <c r="M459" s="171"/>
      <c r="P459" s="236"/>
    </row>
    <row r="460" spans="11:16" ht="18" customHeight="1">
      <c r="K460" s="171" t="s">
        <v>14</v>
      </c>
      <c r="L460" s="171"/>
      <c r="M460" s="171"/>
      <c r="P460" s="236"/>
    </row>
    <row r="461" spans="11:16" ht="18" customHeight="1">
      <c r="K461" s="171" t="s">
        <v>14</v>
      </c>
      <c r="L461" s="171"/>
      <c r="M461" s="171"/>
      <c r="P461" s="236"/>
    </row>
    <row r="462" spans="11:16" ht="18" customHeight="1">
      <c r="K462" s="171" t="s">
        <v>14</v>
      </c>
      <c r="L462" s="171"/>
      <c r="M462" s="171"/>
      <c r="P462" s="236"/>
    </row>
    <row r="463" spans="11:16" ht="18" customHeight="1">
      <c r="K463" s="171" t="s">
        <v>14</v>
      </c>
      <c r="L463" s="171"/>
      <c r="M463" s="171"/>
      <c r="P463" s="236"/>
    </row>
    <row r="464" spans="11:16" ht="18" customHeight="1">
      <c r="K464" s="171" t="s">
        <v>14</v>
      </c>
      <c r="L464" s="171"/>
      <c r="M464" s="171"/>
      <c r="P464" s="236"/>
    </row>
    <row r="465" spans="11:16" ht="18" customHeight="1">
      <c r="K465" s="171" t="s">
        <v>14</v>
      </c>
      <c r="L465" s="171"/>
      <c r="M465" s="171"/>
      <c r="P465" s="236"/>
    </row>
    <row r="466" spans="11:16" ht="18" customHeight="1">
      <c r="K466" s="171" t="s">
        <v>14</v>
      </c>
      <c r="L466" s="171"/>
      <c r="M466" s="171"/>
      <c r="P466" s="236"/>
    </row>
    <row r="467" spans="11:16" ht="18" customHeight="1">
      <c r="K467" s="171" t="s">
        <v>14</v>
      </c>
      <c r="L467" s="171"/>
      <c r="M467" s="171"/>
      <c r="P467" s="236"/>
    </row>
    <row r="468" spans="11:16" ht="18" customHeight="1">
      <c r="K468" s="171" t="s">
        <v>14</v>
      </c>
      <c r="L468" s="171"/>
      <c r="M468" s="171"/>
      <c r="P468" s="236"/>
    </row>
    <row r="469" spans="11:16" ht="18" customHeight="1">
      <c r="K469" s="171" t="s">
        <v>14</v>
      </c>
      <c r="L469" s="171"/>
      <c r="M469" s="171"/>
      <c r="P469" s="236"/>
    </row>
    <row r="470" spans="11:16" ht="18" customHeight="1">
      <c r="K470" s="171" t="s">
        <v>14</v>
      </c>
      <c r="L470" s="171"/>
      <c r="M470" s="171"/>
      <c r="P470" s="236"/>
    </row>
    <row r="471" spans="11:16" ht="18" customHeight="1">
      <c r="K471" s="171" t="s">
        <v>14</v>
      </c>
      <c r="L471" s="171"/>
      <c r="M471" s="171"/>
      <c r="P471" s="236"/>
    </row>
    <row r="472" spans="11:16" ht="18" customHeight="1">
      <c r="K472" s="171" t="s">
        <v>14</v>
      </c>
      <c r="L472" s="171"/>
      <c r="M472" s="171"/>
      <c r="P472" s="236"/>
    </row>
    <row r="473" spans="11:16" ht="18" customHeight="1">
      <c r="K473" s="171" t="s">
        <v>14</v>
      </c>
      <c r="L473" s="171"/>
      <c r="M473" s="171"/>
      <c r="P473" s="236"/>
    </row>
    <row r="474" spans="11:16" ht="18" customHeight="1">
      <c r="K474" s="171" t="s">
        <v>14</v>
      </c>
      <c r="L474" s="171"/>
      <c r="M474" s="171"/>
      <c r="P474" s="236"/>
    </row>
    <row r="475" spans="11:16" ht="18" customHeight="1">
      <c r="K475" s="171" t="s">
        <v>14</v>
      </c>
      <c r="L475" s="171"/>
      <c r="M475" s="171"/>
      <c r="P475" s="236"/>
    </row>
    <row r="476" spans="11:16" ht="18" customHeight="1">
      <c r="K476" s="171" t="s">
        <v>14</v>
      </c>
      <c r="L476" s="171"/>
      <c r="M476" s="171"/>
      <c r="P476" s="236"/>
    </row>
    <row r="477" spans="11:16" ht="18" customHeight="1">
      <c r="K477" s="171" t="s">
        <v>14</v>
      </c>
      <c r="L477" s="171"/>
      <c r="M477" s="171"/>
      <c r="P477" s="236"/>
    </row>
    <row r="478" spans="11:16" ht="18" customHeight="1">
      <c r="K478" s="171" t="s">
        <v>14</v>
      </c>
      <c r="L478" s="171"/>
      <c r="M478" s="171"/>
      <c r="P478" s="236"/>
    </row>
    <row r="479" spans="11:16" ht="18" customHeight="1">
      <c r="K479" s="171" t="s">
        <v>14</v>
      </c>
      <c r="L479" s="171"/>
      <c r="M479" s="171"/>
      <c r="P479" s="236"/>
    </row>
    <row r="480" spans="11:16" ht="18" customHeight="1">
      <c r="K480" s="171" t="s">
        <v>14</v>
      </c>
      <c r="L480" s="171"/>
      <c r="M480" s="171"/>
      <c r="P480" s="236"/>
    </row>
    <row r="481" spans="11:16" ht="18" customHeight="1">
      <c r="K481" s="171" t="s">
        <v>14</v>
      </c>
      <c r="L481" s="171"/>
      <c r="M481" s="171"/>
      <c r="P481" s="236"/>
    </row>
    <row r="482" spans="11:16" ht="18" customHeight="1">
      <c r="K482" s="171" t="s">
        <v>14</v>
      </c>
      <c r="L482" s="171"/>
      <c r="M482" s="171"/>
      <c r="P482" s="236"/>
    </row>
    <row r="483" spans="11:16" ht="18" customHeight="1">
      <c r="K483" s="171" t="s">
        <v>14</v>
      </c>
      <c r="L483" s="171"/>
      <c r="M483" s="171"/>
      <c r="P483" s="236"/>
    </row>
    <row r="484" spans="11:16" ht="18" customHeight="1">
      <c r="K484" s="171" t="s">
        <v>14</v>
      </c>
      <c r="L484" s="171"/>
      <c r="M484" s="171"/>
      <c r="P484" s="236"/>
    </row>
    <row r="485" spans="11:16" ht="18" customHeight="1">
      <c r="K485" s="171" t="s">
        <v>14</v>
      </c>
      <c r="L485" s="171"/>
      <c r="M485" s="171"/>
      <c r="P485" s="236"/>
    </row>
    <row r="486" spans="11:16" ht="18" customHeight="1">
      <c r="K486" s="171" t="s">
        <v>14</v>
      </c>
      <c r="L486" s="171"/>
      <c r="M486" s="171"/>
      <c r="P486" s="236"/>
    </row>
    <row r="487" spans="11:16" ht="18" customHeight="1">
      <c r="K487" s="171" t="s">
        <v>14</v>
      </c>
      <c r="L487" s="171"/>
      <c r="M487" s="171"/>
      <c r="P487" s="236"/>
    </row>
    <row r="488" spans="11:16" ht="18" customHeight="1">
      <c r="K488" s="171" t="s">
        <v>14</v>
      </c>
      <c r="L488" s="171"/>
      <c r="M488" s="171"/>
      <c r="P488" s="236"/>
    </row>
    <row r="489" spans="11:16" ht="18" customHeight="1">
      <c r="K489" s="171" t="s">
        <v>14</v>
      </c>
      <c r="L489" s="171"/>
      <c r="M489" s="171"/>
      <c r="P489" s="236"/>
    </row>
    <row r="490" spans="11:16" ht="18" customHeight="1">
      <c r="K490" s="171" t="s">
        <v>14</v>
      </c>
      <c r="L490" s="171"/>
      <c r="M490" s="171"/>
      <c r="P490" s="236"/>
    </row>
    <row r="491" spans="11:16" ht="18" customHeight="1">
      <c r="K491" s="171" t="s">
        <v>14</v>
      </c>
      <c r="L491" s="171"/>
      <c r="M491" s="171"/>
      <c r="P491" s="236"/>
    </row>
    <row r="492" spans="11:16" ht="18" customHeight="1">
      <c r="K492" s="171" t="s">
        <v>14</v>
      </c>
      <c r="L492" s="171"/>
      <c r="M492" s="171"/>
      <c r="P492" s="236"/>
    </row>
    <row r="493" spans="11:16" ht="18" customHeight="1">
      <c r="K493" s="171" t="s">
        <v>14</v>
      </c>
      <c r="L493" s="171"/>
      <c r="M493" s="171"/>
      <c r="P493" s="236"/>
    </row>
    <row r="494" spans="11:16" ht="18" customHeight="1">
      <c r="K494" s="171" t="s">
        <v>14</v>
      </c>
      <c r="L494" s="171"/>
      <c r="M494" s="171"/>
      <c r="P494" s="236"/>
    </row>
    <row r="495" spans="11:16" ht="18" customHeight="1">
      <c r="K495" s="171" t="s">
        <v>14</v>
      </c>
      <c r="L495" s="171"/>
      <c r="M495" s="171"/>
      <c r="P495" s="236"/>
    </row>
    <row r="496" spans="11:16" ht="18" customHeight="1">
      <c r="K496" s="171" t="s">
        <v>14</v>
      </c>
      <c r="L496" s="171"/>
      <c r="M496" s="171"/>
      <c r="P496" s="236"/>
    </row>
    <row r="497" spans="11:16" ht="18" customHeight="1">
      <c r="K497" s="171" t="s">
        <v>14</v>
      </c>
      <c r="L497" s="171"/>
      <c r="M497" s="171"/>
      <c r="P497" s="236"/>
    </row>
    <row r="498" spans="11:16" ht="18" customHeight="1">
      <c r="K498" s="171" t="s">
        <v>14</v>
      </c>
      <c r="L498" s="171"/>
      <c r="M498" s="171"/>
      <c r="P498" s="236"/>
    </row>
    <row r="499" spans="11:16" ht="18" customHeight="1">
      <c r="K499" s="171" t="s">
        <v>14</v>
      </c>
      <c r="L499" s="171"/>
      <c r="M499" s="171"/>
      <c r="P499" s="236"/>
    </row>
    <row r="500" spans="11:16" ht="18" customHeight="1">
      <c r="K500" s="171" t="s">
        <v>14</v>
      </c>
      <c r="L500" s="171"/>
      <c r="M500" s="171"/>
      <c r="P500" s="236"/>
    </row>
    <row r="501" spans="11:16" ht="18" customHeight="1">
      <c r="K501" s="171" t="s">
        <v>14</v>
      </c>
      <c r="L501" s="171"/>
      <c r="M501" s="171"/>
      <c r="P501" s="236"/>
    </row>
    <row r="502" spans="11:16" ht="18" customHeight="1">
      <c r="K502" s="171" t="s">
        <v>14</v>
      </c>
      <c r="L502" s="171"/>
      <c r="M502" s="171"/>
      <c r="P502" s="236"/>
    </row>
    <row r="503" spans="11:16" ht="18" customHeight="1">
      <c r="K503" s="171" t="s">
        <v>14</v>
      </c>
      <c r="L503" s="171"/>
      <c r="M503" s="171"/>
      <c r="P503" s="236"/>
    </row>
    <row r="504" spans="11:16" ht="18" customHeight="1">
      <c r="K504" s="171" t="s">
        <v>14</v>
      </c>
      <c r="L504" s="171"/>
      <c r="M504" s="171"/>
      <c r="P504" s="236"/>
    </row>
    <row r="505" spans="11:16" ht="18" customHeight="1">
      <c r="K505" s="171" t="s">
        <v>14</v>
      </c>
      <c r="L505" s="171"/>
      <c r="M505" s="171"/>
      <c r="P505" s="236"/>
    </row>
    <row r="506" spans="11:16" ht="18" customHeight="1">
      <c r="K506" s="171" t="s">
        <v>14</v>
      </c>
      <c r="L506" s="171"/>
      <c r="M506" s="171"/>
      <c r="P506" s="236"/>
    </row>
    <row r="507" spans="11:16" ht="18" customHeight="1">
      <c r="K507" s="171" t="s">
        <v>14</v>
      </c>
      <c r="L507" s="171"/>
      <c r="M507" s="171"/>
      <c r="P507" s="236"/>
    </row>
    <row r="508" spans="11:16" ht="18" customHeight="1">
      <c r="K508" s="171" t="s">
        <v>14</v>
      </c>
      <c r="L508" s="171"/>
      <c r="M508" s="171"/>
      <c r="P508" s="236"/>
    </row>
    <row r="509" spans="11:16" ht="18" customHeight="1">
      <c r="K509" s="171" t="s">
        <v>14</v>
      </c>
      <c r="L509" s="171"/>
      <c r="M509" s="171"/>
      <c r="P509" s="236"/>
    </row>
    <row r="510" spans="11:16" ht="18" customHeight="1">
      <c r="K510" s="171" t="s">
        <v>14</v>
      </c>
      <c r="L510" s="171"/>
      <c r="M510" s="171"/>
      <c r="P510" s="236"/>
    </row>
    <row r="511" spans="11:16" ht="18" customHeight="1">
      <c r="K511" s="171" t="s">
        <v>14</v>
      </c>
      <c r="L511" s="171"/>
      <c r="M511" s="171"/>
      <c r="P511" s="236"/>
    </row>
    <row r="512" spans="11:16" ht="18" customHeight="1">
      <c r="K512" s="171" t="s">
        <v>14</v>
      </c>
      <c r="L512" s="171"/>
      <c r="M512" s="171"/>
      <c r="P512" s="236"/>
    </row>
    <row r="513" spans="11:16" ht="18" customHeight="1">
      <c r="K513" s="171" t="s">
        <v>14</v>
      </c>
      <c r="L513" s="171"/>
      <c r="M513" s="171"/>
      <c r="P513" s="236"/>
    </row>
    <row r="514" spans="11:16" ht="18" customHeight="1">
      <c r="K514" s="171" t="s">
        <v>14</v>
      </c>
      <c r="L514" s="171"/>
      <c r="M514" s="171"/>
      <c r="P514" s="236"/>
    </row>
    <row r="515" spans="11:16" ht="18" customHeight="1">
      <c r="K515" s="171" t="s">
        <v>14</v>
      </c>
      <c r="L515" s="171"/>
      <c r="M515" s="171"/>
      <c r="P515" s="236"/>
    </row>
    <row r="516" spans="11:16" ht="18" customHeight="1">
      <c r="K516" s="171" t="s">
        <v>14</v>
      </c>
      <c r="L516" s="171"/>
      <c r="M516" s="171"/>
      <c r="P516" s="236"/>
    </row>
    <row r="517" spans="11:16" ht="18" customHeight="1">
      <c r="K517" s="171" t="s">
        <v>14</v>
      </c>
      <c r="L517" s="171"/>
      <c r="M517" s="171"/>
      <c r="P517" s="236"/>
    </row>
    <row r="518" spans="11:16" ht="18" customHeight="1">
      <c r="K518" s="171" t="s">
        <v>14</v>
      </c>
      <c r="L518" s="171"/>
      <c r="M518" s="171"/>
      <c r="P518" s="236"/>
    </row>
    <row r="519" spans="11:16" ht="18" customHeight="1">
      <c r="K519" s="171" t="s">
        <v>14</v>
      </c>
      <c r="L519" s="171"/>
      <c r="M519" s="171"/>
      <c r="P519" s="236"/>
    </row>
    <row r="520" spans="11:16" ht="18" customHeight="1">
      <c r="K520" s="171" t="s">
        <v>14</v>
      </c>
      <c r="L520" s="171"/>
      <c r="M520" s="171"/>
      <c r="P520" s="236"/>
    </row>
    <row r="521" spans="11:16" ht="18" customHeight="1">
      <c r="K521" s="171" t="s">
        <v>14</v>
      </c>
      <c r="L521" s="171"/>
      <c r="M521" s="171"/>
      <c r="P521" s="236"/>
    </row>
    <row r="522" spans="11:16" ht="18" customHeight="1">
      <c r="K522" s="171" t="s">
        <v>14</v>
      </c>
      <c r="L522" s="171"/>
      <c r="M522" s="171"/>
      <c r="P522" s="236"/>
    </row>
    <row r="523" spans="11:16" ht="18" customHeight="1">
      <c r="K523" s="171" t="s">
        <v>14</v>
      </c>
      <c r="L523" s="171"/>
      <c r="M523" s="171"/>
      <c r="P523" s="236"/>
    </row>
    <row r="524" spans="11:16" ht="18" customHeight="1">
      <c r="K524" s="171" t="s">
        <v>14</v>
      </c>
      <c r="L524" s="171"/>
      <c r="M524" s="171"/>
      <c r="P524" s="236"/>
    </row>
    <row r="525" spans="11:16" ht="18" customHeight="1">
      <c r="K525" s="171" t="s">
        <v>14</v>
      </c>
      <c r="L525" s="171"/>
      <c r="M525" s="171"/>
      <c r="P525" s="236"/>
    </row>
    <row r="526" spans="11:16" ht="18" customHeight="1">
      <c r="K526" s="171" t="s">
        <v>14</v>
      </c>
      <c r="L526" s="171"/>
      <c r="M526" s="171"/>
      <c r="P526" s="236"/>
    </row>
    <row r="527" spans="11:16" ht="18" customHeight="1">
      <c r="K527" s="171" t="s">
        <v>14</v>
      </c>
      <c r="L527" s="171"/>
      <c r="M527" s="171"/>
      <c r="P527" s="236"/>
    </row>
    <row r="528" spans="11:16" ht="18" customHeight="1">
      <c r="K528" s="171" t="s">
        <v>14</v>
      </c>
      <c r="L528" s="171"/>
      <c r="M528" s="171"/>
      <c r="P528" s="236"/>
    </row>
    <row r="529" spans="11:16" ht="18" customHeight="1">
      <c r="K529" s="171" t="s">
        <v>14</v>
      </c>
      <c r="L529" s="171"/>
      <c r="M529" s="171"/>
      <c r="P529" s="236"/>
    </row>
    <row r="530" spans="11:16" ht="18" customHeight="1">
      <c r="K530" s="171" t="s">
        <v>14</v>
      </c>
      <c r="L530" s="171"/>
      <c r="M530" s="171"/>
      <c r="P530" s="236"/>
    </row>
    <row r="531" spans="11:16" ht="18" customHeight="1">
      <c r="K531" s="171" t="s">
        <v>14</v>
      </c>
      <c r="L531" s="171"/>
      <c r="M531" s="171"/>
      <c r="P531" s="236"/>
    </row>
    <row r="532" spans="11:16" ht="18" customHeight="1">
      <c r="K532" s="171" t="s">
        <v>14</v>
      </c>
      <c r="L532" s="171"/>
      <c r="M532" s="171"/>
      <c r="P532" s="236"/>
    </row>
    <row r="533" spans="11:16" ht="18" customHeight="1">
      <c r="K533" s="171" t="s">
        <v>14</v>
      </c>
      <c r="L533" s="171"/>
      <c r="M533" s="171"/>
      <c r="P533" s="236"/>
    </row>
    <row r="534" spans="11:16" ht="18" customHeight="1">
      <c r="K534" s="171" t="s">
        <v>14</v>
      </c>
      <c r="L534" s="171"/>
      <c r="M534" s="171"/>
      <c r="P534" s="236"/>
    </row>
    <row r="535" spans="11:16" ht="18" customHeight="1">
      <c r="K535" s="171" t="s">
        <v>14</v>
      </c>
      <c r="L535" s="171"/>
      <c r="M535" s="171"/>
      <c r="P535" s="236"/>
    </row>
    <row r="536" spans="11:16" ht="18" customHeight="1">
      <c r="K536" s="171" t="s">
        <v>14</v>
      </c>
      <c r="L536" s="171"/>
      <c r="M536" s="171"/>
      <c r="P536" s="236"/>
    </row>
    <row r="537" spans="11:16" ht="18" customHeight="1">
      <c r="K537" s="171" t="s">
        <v>14</v>
      </c>
      <c r="L537" s="171"/>
      <c r="M537" s="171"/>
      <c r="P537" s="236"/>
    </row>
    <row r="538" spans="11:16" ht="18" customHeight="1">
      <c r="K538" s="171" t="s">
        <v>14</v>
      </c>
      <c r="L538" s="171"/>
      <c r="M538" s="171"/>
      <c r="P538" s="236"/>
    </row>
    <row r="539" spans="11:16" ht="18" customHeight="1">
      <c r="K539" s="171" t="s">
        <v>14</v>
      </c>
      <c r="L539" s="171"/>
      <c r="M539" s="171"/>
      <c r="P539" s="236"/>
    </row>
    <row r="540" spans="11:16" ht="18" customHeight="1">
      <c r="K540" s="171" t="s">
        <v>14</v>
      </c>
      <c r="L540" s="171"/>
      <c r="M540" s="171"/>
      <c r="P540" s="236"/>
    </row>
    <row r="541" spans="11:16" ht="18" customHeight="1">
      <c r="K541" s="171" t="s">
        <v>14</v>
      </c>
      <c r="L541" s="171"/>
      <c r="M541" s="171"/>
      <c r="P541" s="236"/>
    </row>
    <row r="542" spans="11:16" ht="18" customHeight="1">
      <c r="K542" s="171" t="s">
        <v>14</v>
      </c>
      <c r="L542" s="171"/>
      <c r="M542" s="171"/>
      <c r="P542" s="236"/>
    </row>
    <row r="543" spans="11:16" ht="18" customHeight="1">
      <c r="K543" s="171" t="s">
        <v>14</v>
      </c>
      <c r="L543" s="171"/>
      <c r="M543" s="171"/>
      <c r="P543" s="236"/>
    </row>
    <row r="544" spans="11:16" ht="18" customHeight="1">
      <c r="K544" s="171" t="s">
        <v>14</v>
      </c>
      <c r="L544" s="171"/>
      <c r="M544" s="171"/>
      <c r="P544" s="236"/>
    </row>
    <row r="545" spans="11:16" ht="18" customHeight="1">
      <c r="K545" s="171" t="s">
        <v>14</v>
      </c>
      <c r="L545" s="171"/>
      <c r="M545" s="171"/>
      <c r="P545" s="236"/>
    </row>
    <row r="546" spans="11:16" ht="18" customHeight="1">
      <c r="K546" s="171" t="s">
        <v>14</v>
      </c>
      <c r="L546" s="171"/>
      <c r="M546" s="171"/>
      <c r="P546" s="236"/>
    </row>
    <row r="547" spans="11:16" ht="18" customHeight="1">
      <c r="K547" s="171" t="s">
        <v>14</v>
      </c>
      <c r="L547" s="171"/>
      <c r="M547" s="171"/>
      <c r="P547" s="236"/>
    </row>
    <row r="548" spans="11:16" ht="18" customHeight="1">
      <c r="K548" s="171" t="s">
        <v>14</v>
      </c>
      <c r="L548" s="171"/>
      <c r="M548" s="171"/>
      <c r="P548" s="236"/>
    </row>
    <row r="549" spans="11:16" ht="18" customHeight="1">
      <c r="K549" s="171" t="s">
        <v>14</v>
      </c>
      <c r="L549" s="171"/>
      <c r="M549" s="171"/>
      <c r="P549" s="236"/>
    </row>
    <row r="550" spans="11:16" ht="18" customHeight="1">
      <c r="K550" s="171" t="s">
        <v>14</v>
      </c>
      <c r="L550" s="171"/>
      <c r="M550" s="171"/>
      <c r="P550" s="236"/>
    </row>
    <row r="551" spans="11:16" ht="18" customHeight="1">
      <c r="K551" s="171" t="s">
        <v>14</v>
      </c>
      <c r="L551" s="171"/>
      <c r="M551" s="171"/>
      <c r="P551" s="236"/>
    </row>
    <row r="552" spans="11:16" ht="18" customHeight="1">
      <c r="K552" s="171" t="s">
        <v>14</v>
      </c>
      <c r="L552" s="171"/>
      <c r="M552" s="171"/>
      <c r="P552" s="236"/>
    </row>
    <row r="553" spans="11:16" ht="18" customHeight="1">
      <c r="K553" s="171" t="s">
        <v>14</v>
      </c>
      <c r="L553" s="171"/>
      <c r="M553" s="171"/>
      <c r="P553" s="236"/>
    </row>
    <row r="554" spans="11:16" ht="18" customHeight="1">
      <c r="K554" s="171" t="s">
        <v>14</v>
      </c>
      <c r="L554" s="171"/>
      <c r="M554" s="171"/>
      <c r="P554" s="236"/>
    </row>
    <row r="555" spans="11:16" ht="18" customHeight="1">
      <c r="K555" s="171" t="s">
        <v>14</v>
      </c>
      <c r="L555" s="171"/>
      <c r="M555" s="171"/>
      <c r="P555" s="236"/>
    </row>
    <row r="556" spans="11:16" ht="18" customHeight="1">
      <c r="K556" s="171" t="s">
        <v>14</v>
      </c>
      <c r="L556" s="171"/>
      <c r="M556" s="171"/>
      <c r="P556" s="236"/>
    </row>
    <row r="557" spans="11:16" ht="18" customHeight="1">
      <c r="K557" s="171" t="s">
        <v>14</v>
      </c>
      <c r="L557" s="171"/>
      <c r="M557" s="171"/>
      <c r="P557" s="236"/>
    </row>
    <row r="558" spans="11:16" ht="18" customHeight="1">
      <c r="K558" s="171" t="s">
        <v>14</v>
      </c>
      <c r="L558" s="171"/>
      <c r="M558" s="171"/>
      <c r="P558" s="236"/>
    </row>
    <row r="559" spans="11:16" ht="18" customHeight="1">
      <c r="K559" s="171" t="s">
        <v>14</v>
      </c>
      <c r="L559" s="171"/>
      <c r="M559" s="171"/>
      <c r="P559" s="236"/>
    </row>
    <row r="560" spans="11:16" ht="18" customHeight="1">
      <c r="K560" s="171" t="s">
        <v>14</v>
      </c>
      <c r="L560" s="171"/>
      <c r="M560" s="171"/>
      <c r="P560" s="236"/>
    </row>
    <row r="561" spans="11:16" ht="18" customHeight="1">
      <c r="K561" s="171" t="s">
        <v>14</v>
      </c>
      <c r="L561" s="171"/>
      <c r="M561" s="171"/>
      <c r="P561" s="236"/>
    </row>
    <row r="562" spans="11:16" ht="18" customHeight="1">
      <c r="K562" s="171" t="s">
        <v>14</v>
      </c>
      <c r="L562" s="171"/>
      <c r="M562" s="171"/>
      <c r="P562" s="236"/>
    </row>
    <row r="563" spans="11:16" ht="18" customHeight="1">
      <c r="K563" s="171" t="s">
        <v>14</v>
      </c>
      <c r="L563" s="171"/>
      <c r="M563" s="171"/>
      <c r="P563" s="236"/>
    </row>
    <row r="564" spans="11:16" ht="18" customHeight="1">
      <c r="K564" s="171" t="s">
        <v>14</v>
      </c>
      <c r="L564" s="171"/>
      <c r="M564" s="171"/>
      <c r="P564" s="236"/>
    </row>
    <row r="565" spans="11:16" ht="18" customHeight="1">
      <c r="K565" s="171" t="s">
        <v>14</v>
      </c>
      <c r="L565" s="171"/>
      <c r="M565" s="171"/>
      <c r="P565" s="236"/>
    </row>
    <row r="566" spans="11:16" ht="18" customHeight="1">
      <c r="K566" s="171" t="s">
        <v>14</v>
      </c>
      <c r="L566" s="171"/>
      <c r="M566" s="171"/>
      <c r="P566" s="236"/>
    </row>
    <row r="567" spans="11:16" ht="18" customHeight="1">
      <c r="K567" s="171" t="s">
        <v>14</v>
      </c>
      <c r="L567" s="171"/>
      <c r="M567" s="171"/>
      <c r="P567" s="236"/>
    </row>
    <row r="568" spans="11:16" ht="18" customHeight="1">
      <c r="K568" s="171" t="s">
        <v>14</v>
      </c>
      <c r="L568" s="171"/>
      <c r="M568" s="171"/>
      <c r="P568" s="236"/>
    </row>
    <row r="569" spans="11:16" ht="18" customHeight="1">
      <c r="K569" s="171" t="s">
        <v>14</v>
      </c>
      <c r="L569" s="171"/>
      <c r="M569" s="171"/>
      <c r="P569" s="236"/>
    </row>
    <row r="570" spans="11:16" ht="18" customHeight="1">
      <c r="K570" s="171" t="s">
        <v>14</v>
      </c>
      <c r="L570" s="171"/>
      <c r="M570" s="171"/>
      <c r="P570" s="236"/>
    </row>
    <row r="571" spans="11:16" ht="18" customHeight="1">
      <c r="K571" s="171" t="s">
        <v>14</v>
      </c>
      <c r="L571" s="171"/>
      <c r="M571" s="171"/>
      <c r="P571" s="236"/>
    </row>
    <row r="572" spans="11:16" ht="18" customHeight="1">
      <c r="K572" s="171" t="s">
        <v>14</v>
      </c>
      <c r="L572" s="171"/>
      <c r="M572" s="171"/>
      <c r="P572" s="236"/>
    </row>
    <row r="573" spans="11:16" ht="18" customHeight="1">
      <c r="K573" s="171" t="s">
        <v>14</v>
      </c>
      <c r="L573" s="171"/>
      <c r="M573" s="171"/>
      <c r="P573" s="236"/>
    </row>
    <row r="574" spans="11:16" ht="18" customHeight="1">
      <c r="K574" s="171" t="s">
        <v>14</v>
      </c>
      <c r="L574" s="171"/>
      <c r="M574" s="171"/>
      <c r="P574" s="236"/>
    </row>
    <row r="575" spans="11:16" ht="18" customHeight="1">
      <c r="K575" s="171" t="s">
        <v>14</v>
      </c>
      <c r="L575" s="171"/>
      <c r="M575" s="171"/>
      <c r="P575" s="236"/>
    </row>
    <row r="576" spans="11:16" ht="18" customHeight="1">
      <c r="K576" s="171" t="s">
        <v>14</v>
      </c>
      <c r="L576" s="171"/>
      <c r="M576" s="171"/>
      <c r="P576" s="236"/>
    </row>
    <row r="577" spans="11:16" ht="18" customHeight="1">
      <c r="K577" s="171" t="s">
        <v>14</v>
      </c>
      <c r="L577" s="171"/>
      <c r="M577" s="171"/>
      <c r="P577" s="236"/>
    </row>
    <row r="578" spans="11:16" ht="18" customHeight="1">
      <c r="K578" s="171" t="s">
        <v>14</v>
      </c>
      <c r="L578" s="171"/>
      <c r="M578" s="171"/>
      <c r="P578" s="236"/>
    </row>
    <row r="579" spans="11:16" ht="18" customHeight="1">
      <c r="K579" s="171" t="s">
        <v>14</v>
      </c>
      <c r="L579" s="171"/>
      <c r="M579" s="171"/>
      <c r="P579" s="236"/>
    </row>
    <row r="580" spans="11:16" ht="18" customHeight="1">
      <c r="K580" s="171" t="s">
        <v>14</v>
      </c>
      <c r="L580" s="171"/>
      <c r="M580" s="171"/>
      <c r="P580" s="236"/>
    </row>
    <row r="581" spans="11:16" ht="18" customHeight="1">
      <c r="K581" s="171" t="s">
        <v>14</v>
      </c>
      <c r="L581" s="171"/>
      <c r="M581" s="171"/>
      <c r="P581" s="236"/>
    </row>
    <row r="582" spans="11:16" ht="18" customHeight="1">
      <c r="K582" s="171" t="s">
        <v>14</v>
      </c>
      <c r="L582" s="171"/>
      <c r="M582" s="171"/>
      <c r="P582" s="236"/>
    </row>
    <row r="583" spans="11:16" ht="18" customHeight="1">
      <c r="K583" s="171" t="s">
        <v>14</v>
      </c>
      <c r="L583" s="171"/>
      <c r="M583" s="171"/>
      <c r="P583" s="236"/>
    </row>
    <row r="584" spans="11:16" ht="18" customHeight="1">
      <c r="K584" s="171" t="s">
        <v>14</v>
      </c>
      <c r="L584" s="171"/>
      <c r="M584" s="171"/>
      <c r="P584" s="236"/>
    </row>
    <row r="585" spans="11:16" ht="18" customHeight="1">
      <c r="K585" s="171" t="s">
        <v>14</v>
      </c>
      <c r="L585" s="171"/>
      <c r="M585" s="171"/>
      <c r="P585" s="236"/>
    </row>
    <row r="586" spans="11:16" ht="18" customHeight="1">
      <c r="K586" s="171" t="s">
        <v>14</v>
      </c>
      <c r="L586" s="171"/>
      <c r="M586" s="171"/>
      <c r="P586" s="236"/>
    </row>
    <row r="587" spans="11:16" ht="18" customHeight="1">
      <c r="K587" s="171" t="s">
        <v>14</v>
      </c>
      <c r="L587" s="171"/>
      <c r="M587" s="171"/>
      <c r="P587" s="236"/>
    </row>
    <row r="588" spans="11:16" ht="18" customHeight="1">
      <c r="K588" s="171" t="s">
        <v>14</v>
      </c>
      <c r="L588" s="171"/>
      <c r="M588" s="171"/>
      <c r="P588" s="236"/>
    </row>
    <row r="589" spans="11:16" ht="18" customHeight="1">
      <c r="K589" s="171" t="s">
        <v>14</v>
      </c>
      <c r="L589" s="171"/>
      <c r="M589" s="171"/>
      <c r="P589" s="236"/>
    </row>
    <row r="590" spans="11:16" ht="18" customHeight="1">
      <c r="K590" s="171" t="s">
        <v>14</v>
      </c>
      <c r="L590" s="171"/>
      <c r="M590" s="171"/>
      <c r="P590" s="236"/>
    </row>
    <row r="591" spans="11:16" ht="18" customHeight="1">
      <c r="K591" s="171" t="s">
        <v>14</v>
      </c>
      <c r="L591" s="171"/>
      <c r="M591" s="171"/>
      <c r="P591" s="236"/>
    </row>
    <row r="592" spans="11:16" ht="18" customHeight="1">
      <c r="K592" s="171" t="s">
        <v>14</v>
      </c>
      <c r="L592" s="171"/>
      <c r="M592" s="171"/>
      <c r="P592" s="236"/>
    </row>
    <row r="593" spans="11:16" ht="18" customHeight="1">
      <c r="K593" s="171" t="s">
        <v>14</v>
      </c>
      <c r="L593" s="171"/>
      <c r="M593" s="171"/>
      <c r="P593" s="236"/>
    </row>
    <row r="594" spans="11:16" ht="18" customHeight="1">
      <c r="K594" s="171" t="s">
        <v>14</v>
      </c>
      <c r="L594" s="171"/>
      <c r="M594" s="171"/>
      <c r="P594" s="236"/>
    </row>
    <row r="595" spans="11:16" ht="18" customHeight="1">
      <c r="K595" s="171" t="s">
        <v>14</v>
      </c>
      <c r="L595" s="171"/>
      <c r="M595" s="171"/>
      <c r="P595" s="236"/>
    </row>
    <row r="596" spans="11:16" ht="18" customHeight="1">
      <c r="K596" s="171" t="s">
        <v>14</v>
      </c>
      <c r="L596" s="171"/>
      <c r="M596" s="171"/>
      <c r="P596" s="236"/>
    </row>
    <row r="597" spans="11:16" ht="18" customHeight="1">
      <c r="K597" s="171" t="s">
        <v>14</v>
      </c>
      <c r="L597" s="171"/>
      <c r="M597" s="171"/>
      <c r="P597" s="236"/>
    </row>
    <row r="598" spans="11:16" ht="18" customHeight="1">
      <c r="K598" s="171" t="s">
        <v>14</v>
      </c>
      <c r="L598" s="171"/>
      <c r="M598" s="171"/>
      <c r="P598" s="236"/>
    </row>
    <row r="599" spans="11:16" ht="18" customHeight="1">
      <c r="K599" s="171" t="s">
        <v>14</v>
      </c>
      <c r="L599" s="171"/>
      <c r="M599" s="171"/>
      <c r="P599" s="236"/>
    </row>
    <row r="600" spans="11:16" ht="18" customHeight="1">
      <c r="K600" s="171" t="s">
        <v>14</v>
      </c>
      <c r="L600" s="171"/>
      <c r="M600" s="171"/>
      <c r="P600" s="236"/>
    </row>
    <row r="601" spans="11:16" ht="18" customHeight="1">
      <c r="K601" s="171" t="s">
        <v>14</v>
      </c>
      <c r="L601" s="171"/>
      <c r="M601" s="171"/>
      <c r="P601" s="236"/>
    </row>
    <row r="602" spans="11:16" ht="18" customHeight="1">
      <c r="K602" s="171" t="s">
        <v>14</v>
      </c>
      <c r="L602" s="171"/>
      <c r="M602" s="171"/>
      <c r="P602" s="236"/>
    </row>
    <row r="603" spans="11:16" ht="18" customHeight="1">
      <c r="K603" s="171" t="s">
        <v>14</v>
      </c>
      <c r="L603" s="171"/>
      <c r="M603" s="171"/>
      <c r="P603" s="236"/>
    </row>
    <row r="604" spans="11:16" ht="18" customHeight="1">
      <c r="K604" s="171" t="s">
        <v>14</v>
      </c>
      <c r="L604" s="171"/>
      <c r="M604" s="171"/>
      <c r="P604" s="236"/>
    </row>
    <row r="605" spans="11:16" ht="18" customHeight="1">
      <c r="K605" s="171" t="s">
        <v>14</v>
      </c>
      <c r="L605" s="171"/>
      <c r="M605" s="171"/>
      <c r="P605" s="236"/>
    </row>
    <row r="606" spans="11:16" ht="18" customHeight="1">
      <c r="K606" s="171" t="s">
        <v>14</v>
      </c>
      <c r="L606" s="171"/>
      <c r="M606" s="171"/>
      <c r="P606" s="236"/>
    </row>
    <row r="607" spans="11:16" ht="18" customHeight="1">
      <c r="K607" s="171" t="s">
        <v>14</v>
      </c>
      <c r="L607" s="171"/>
      <c r="M607" s="171"/>
      <c r="P607" s="236"/>
    </row>
    <row r="608" spans="11:16" ht="18" customHeight="1">
      <c r="K608" s="171" t="s">
        <v>14</v>
      </c>
      <c r="L608" s="171"/>
      <c r="M608" s="171"/>
      <c r="P608" s="236"/>
    </row>
    <row r="609" spans="11:16" ht="18" customHeight="1">
      <c r="K609" s="171" t="s">
        <v>14</v>
      </c>
      <c r="L609" s="171"/>
      <c r="M609" s="171"/>
      <c r="P609" s="236"/>
    </row>
    <row r="610" spans="11:16" ht="18" customHeight="1">
      <c r="K610" s="171" t="s">
        <v>14</v>
      </c>
      <c r="L610" s="171"/>
      <c r="M610" s="171"/>
      <c r="P610" s="236"/>
    </row>
    <row r="611" spans="11:16" ht="18" customHeight="1">
      <c r="K611" s="171" t="s">
        <v>14</v>
      </c>
      <c r="L611" s="171"/>
      <c r="M611" s="171"/>
      <c r="P611" s="236"/>
    </row>
    <row r="612" spans="11:16" ht="18" customHeight="1">
      <c r="K612" s="171" t="s">
        <v>14</v>
      </c>
      <c r="L612" s="171"/>
      <c r="M612" s="171"/>
      <c r="P612" s="236"/>
    </row>
    <row r="613" spans="11:16" ht="18" customHeight="1">
      <c r="K613" s="171" t="s">
        <v>14</v>
      </c>
      <c r="L613" s="171"/>
      <c r="M613" s="171"/>
      <c r="P613" s="236"/>
    </row>
    <row r="614" spans="11:16" ht="18" customHeight="1">
      <c r="K614" s="171" t="s">
        <v>14</v>
      </c>
      <c r="L614" s="171"/>
      <c r="M614" s="171"/>
      <c r="P614" s="236"/>
    </row>
    <row r="615" spans="11:16" ht="18" customHeight="1">
      <c r="K615" s="171" t="s">
        <v>14</v>
      </c>
      <c r="L615" s="171"/>
      <c r="M615" s="171"/>
      <c r="P615" s="236"/>
    </row>
    <row r="616" spans="11:16" ht="18" customHeight="1">
      <c r="K616" s="171" t="s">
        <v>14</v>
      </c>
      <c r="L616" s="171"/>
      <c r="M616" s="171"/>
      <c r="P616" s="236"/>
    </row>
    <row r="617" spans="11:16" ht="18" customHeight="1">
      <c r="K617" s="171" t="s">
        <v>14</v>
      </c>
      <c r="L617" s="171"/>
      <c r="M617" s="171"/>
      <c r="P617" s="236"/>
    </row>
    <row r="618" spans="11:16" ht="18" customHeight="1">
      <c r="K618" s="171" t="s">
        <v>14</v>
      </c>
      <c r="L618" s="171"/>
      <c r="M618" s="171"/>
      <c r="P618" s="236"/>
    </row>
    <row r="619" spans="11:16" ht="18" customHeight="1">
      <c r="K619" s="171" t="s">
        <v>14</v>
      </c>
      <c r="L619" s="171"/>
      <c r="M619" s="171"/>
      <c r="P619" s="236"/>
    </row>
    <row r="620" spans="11:16" ht="18" customHeight="1">
      <c r="K620" s="171" t="s">
        <v>14</v>
      </c>
      <c r="L620" s="171"/>
      <c r="M620" s="171"/>
      <c r="P620" s="236"/>
    </row>
    <row r="621" spans="11:16" ht="18" customHeight="1">
      <c r="K621" s="171" t="s">
        <v>14</v>
      </c>
      <c r="L621" s="171"/>
      <c r="M621" s="171"/>
      <c r="P621" s="236"/>
    </row>
    <row r="622" spans="11:16" ht="18" customHeight="1">
      <c r="K622" s="171" t="s">
        <v>14</v>
      </c>
      <c r="L622" s="171"/>
      <c r="M622" s="171"/>
      <c r="P622" s="236"/>
    </row>
    <row r="623" spans="11:16" ht="18" customHeight="1">
      <c r="K623" s="171" t="s">
        <v>14</v>
      </c>
      <c r="L623" s="171"/>
      <c r="M623" s="171"/>
      <c r="P623" s="236"/>
    </row>
    <row r="624" spans="11:16" ht="18" customHeight="1">
      <c r="K624" s="171" t="s">
        <v>14</v>
      </c>
      <c r="L624" s="171"/>
      <c r="M624" s="171"/>
      <c r="P624" s="236"/>
    </row>
    <row r="625" spans="11:16" ht="18" customHeight="1">
      <c r="K625" s="171" t="s">
        <v>14</v>
      </c>
      <c r="L625" s="171"/>
      <c r="M625" s="171"/>
      <c r="P625" s="236"/>
    </row>
    <row r="626" spans="11:16" ht="18" customHeight="1">
      <c r="K626" s="171" t="s">
        <v>14</v>
      </c>
      <c r="L626" s="171"/>
      <c r="M626" s="171"/>
      <c r="P626" s="236"/>
    </row>
    <row r="627" spans="11:16" ht="18" customHeight="1">
      <c r="K627" s="171" t="s">
        <v>14</v>
      </c>
      <c r="L627" s="171"/>
      <c r="M627" s="171"/>
      <c r="P627" s="236"/>
    </row>
    <row r="628" spans="11:16" ht="18" customHeight="1">
      <c r="K628" s="171" t="s">
        <v>14</v>
      </c>
      <c r="L628" s="171"/>
      <c r="M628" s="171"/>
      <c r="P628" s="236"/>
    </row>
    <row r="629" spans="11:16" ht="18" customHeight="1">
      <c r="K629" s="171" t="s">
        <v>14</v>
      </c>
      <c r="L629" s="171"/>
      <c r="M629" s="171"/>
      <c r="P629" s="236"/>
    </row>
    <row r="630" spans="11:16" ht="18" customHeight="1">
      <c r="K630" s="171" t="s">
        <v>14</v>
      </c>
      <c r="L630" s="171"/>
      <c r="M630" s="171"/>
      <c r="P630" s="236"/>
    </row>
    <row r="631" spans="11:16" ht="18" customHeight="1">
      <c r="K631" s="171" t="s">
        <v>14</v>
      </c>
      <c r="L631" s="171"/>
      <c r="M631" s="171"/>
      <c r="P631" s="236"/>
    </row>
    <row r="632" spans="11:16" ht="18" customHeight="1">
      <c r="K632" s="171" t="s">
        <v>14</v>
      </c>
      <c r="L632" s="171"/>
      <c r="M632" s="171"/>
      <c r="P632" s="236"/>
    </row>
    <row r="633" spans="11:16" ht="18" customHeight="1">
      <c r="K633" s="171" t="s">
        <v>14</v>
      </c>
      <c r="L633" s="171"/>
      <c r="M633" s="171"/>
      <c r="P633" s="236"/>
    </row>
    <row r="634" spans="11:16" ht="18" customHeight="1">
      <c r="K634" s="171" t="s">
        <v>14</v>
      </c>
      <c r="L634" s="171"/>
      <c r="M634" s="171"/>
      <c r="P634" s="236"/>
    </row>
    <row r="635" spans="11:16" ht="18" customHeight="1">
      <c r="K635" s="171" t="s">
        <v>14</v>
      </c>
      <c r="L635" s="171"/>
      <c r="M635" s="171"/>
      <c r="P635" s="236"/>
    </row>
    <row r="636" spans="11:16" ht="18" customHeight="1">
      <c r="K636" s="171" t="s">
        <v>14</v>
      </c>
      <c r="L636" s="171"/>
      <c r="M636" s="171"/>
      <c r="P636" s="236"/>
    </row>
    <row r="637" spans="11:16" ht="18" customHeight="1">
      <c r="K637" s="171" t="s">
        <v>14</v>
      </c>
      <c r="L637" s="171"/>
      <c r="M637" s="171"/>
      <c r="P637" s="236"/>
    </row>
    <row r="638" spans="11:16" ht="18" customHeight="1">
      <c r="K638" s="171" t="s">
        <v>14</v>
      </c>
      <c r="L638" s="171"/>
      <c r="M638" s="171"/>
      <c r="P638" s="236"/>
    </row>
    <row r="639" spans="11:16" ht="18" customHeight="1">
      <c r="K639" s="171" t="s">
        <v>14</v>
      </c>
      <c r="L639" s="171"/>
      <c r="M639" s="171"/>
      <c r="P639" s="236"/>
    </row>
    <row r="640" spans="11:16" ht="18" customHeight="1">
      <c r="K640" s="171" t="s">
        <v>14</v>
      </c>
      <c r="L640" s="171"/>
      <c r="M640" s="171"/>
      <c r="P640" s="236"/>
    </row>
    <row r="641" spans="11:16" ht="18" customHeight="1">
      <c r="K641" s="171" t="s">
        <v>14</v>
      </c>
      <c r="L641" s="171"/>
      <c r="M641" s="171"/>
      <c r="P641" s="236"/>
    </row>
    <row r="642" spans="11:16" ht="18" customHeight="1">
      <c r="K642" s="171" t="s">
        <v>14</v>
      </c>
      <c r="L642" s="171"/>
      <c r="M642" s="171"/>
      <c r="P642" s="236"/>
    </row>
    <row r="643" spans="11:16" ht="18" customHeight="1">
      <c r="K643" s="171" t="s">
        <v>14</v>
      </c>
      <c r="L643" s="171"/>
      <c r="M643" s="171"/>
      <c r="P643" s="236"/>
    </row>
    <row r="644" spans="11:16" ht="18" customHeight="1">
      <c r="K644" s="171" t="s">
        <v>14</v>
      </c>
      <c r="L644" s="171"/>
      <c r="M644" s="171"/>
      <c r="P644" s="236"/>
    </row>
    <row r="645" spans="11:16" ht="18" customHeight="1">
      <c r="K645" s="171" t="s">
        <v>14</v>
      </c>
      <c r="L645" s="171"/>
      <c r="M645" s="171"/>
      <c r="P645" s="236"/>
    </row>
    <row r="646" spans="11:16" ht="18" customHeight="1">
      <c r="K646" s="171" t="s">
        <v>14</v>
      </c>
      <c r="L646" s="171"/>
      <c r="M646" s="171"/>
      <c r="P646" s="236"/>
    </row>
    <row r="647" spans="11:16" ht="18" customHeight="1">
      <c r="K647" s="171" t="s">
        <v>14</v>
      </c>
      <c r="L647" s="171"/>
      <c r="M647" s="171"/>
      <c r="P647" s="236"/>
    </row>
    <row r="648" spans="11:16" ht="18" customHeight="1">
      <c r="K648" s="171" t="s">
        <v>14</v>
      </c>
      <c r="L648" s="171"/>
      <c r="M648" s="171"/>
      <c r="P648" s="236"/>
    </row>
    <row r="649" spans="11:16" ht="18" customHeight="1">
      <c r="K649" s="171" t="s">
        <v>14</v>
      </c>
      <c r="L649" s="171"/>
      <c r="M649" s="171"/>
      <c r="P649" s="236"/>
    </row>
    <row r="650" spans="11:16" ht="18" customHeight="1">
      <c r="K650" s="171" t="s">
        <v>14</v>
      </c>
      <c r="L650" s="171"/>
      <c r="M650" s="171"/>
      <c r="P650" s="236"/>
    </row>
    <row r="651" spans="11:16" ht="18" customHeight="1">
      <c r="K651" s="171" t="s">
        <v>14</v>
      </c>
      <c r="L651" s="171"/>
      <c r="M651" s="171"/>
      <c r="P651" s="236"/>
    </row>
    <row r="652" spans="11:16" ht="18" customHeight="1">
      <c r="K652" s="171" t="s">
        <v>14</v>
      </c>
      <c r="L652" s="171"/>
      <c r="M652" s="171"/>
      <c r="P652" s="236"/>
    </row>
    <row r="653" spans="11:16" ht="18" customHeight="1">
      <c r="K653" s="171" t="s">
        <v>14</v>
      </c>
      <c r="L653" s="171"/>
      <c r="M653" s="171"/>
      <c r="P653" s="236"/>
    </row>
    <row r="654" spans="11:16" ht="18" customHeight="1">
      <c r="K654" s="171" t="s">
        <v>14</v>
      </c>
      <c r="L654" s="171"/>
      <c r="M654" s="171"/>
      <c r="P654" s="236"/>
    </row>
    <row r="655" spans="11:16" ht="18" customHeight="1">
      <c r="K655" s="171" t="s">
        <v>14</v>
      </c>
      <c r="L655" s="171"/>
      <c r="M655" s="171"/>
      <c r="P655" s="236"/>
    </row>
    <row r="656" spans="11:16" ht="18" customHeight="1">
      <c r="K656" s="171" t="s">
        <v>14</v>
      </c>
      <c r="L656" s="171"/>
      <c r="M656" s="171"/>
      <c r="P656" s="236"/>
    </row>
    <row r="657" spans="11:16" ht="18" customHeight="1">
      <c r="K657" s="171" t="s">
        <v>14</v>
      </c>
      <c r="L657" s="171"/>
      <c r="M657" s="171"/>
      <c r="P657" s="236"/>
    </row>
    <row r="658" spans="11:16" ht="18" customHeight="1">
      <c r="K658" s="171" t="s">
        <v>14</v>
      </c>
      <c r="L658" s="171"/>
      <c r="M658" s="171"/>
      <c r="P658" s="236"/>
    </row>
    <row r="659" spans="11:16" ht="18" customHeight="1">
      <c r="K659" s="171" t="s">
        <v>14</v>
      </c>
      <c r="L659" s="171"/>
      <c r="M659" s="171"/>
      <c r="P659" s="236"/>
    </row>
    <row r="660" spans="11:16" ht="18" customHeight="1">
      <c r="K660" s="171" t="s">
        <v>14</v>
      </c>
      <c r="L660" s="171"/>
      <c r="M660" s="171"/>
      <c r="P660" s="236"/>
    </row>
    <row r="661" spans="11:16" ht="18" customHeight="1">
      <c r="K661" s="171" t="s">
        <v>14</v>
      </c>
      <c r="L661" s="171"/>
      <c r="M661" s="171"/>
      <c r="P661" s="236"/>
    </row>
    <row r="662" spans="11:16" ht="18" customHeight="1">
      <c r="K662" s="171" t="s">
        <v>14</v>
      </c>
      <c r="L662" s="171"/>
      <c r="M662" s="171"/>
      <c r="P662" s="236"/>
    </row>
    <row r="663" spans="11:16" ht="18" customHeight="1">
      <c r="K663" s="171" t="s">
        <v>14</v>
      </c>
      <c r="L663" s="171"/>
      <c r="M663" s="171"/>
      <c r="P663" s="236"/>
    </row>
    <row r="664" spans="11:16" ht="18" customHeight="1">
      <c r="K664" s="171" t="s">
        <v>14</v>
      </c>
      <c r="L664" s="171"/>
      <c r="M664" s="171"/>
      <c r="P664" s="236"/>
    </row>
    <row r="665" spans="11:16" ht="18" customHeight="1">
      <c r="K665" s="171" t="s">
        <v>14</v>
      </c>
      <c r="L665" s="171"/>
      <c r="M665" s="171"/>
      <c r="P665" s="236"/>
    </row>
    <row r="666" spans="11:16" ht="18" customHeight="1">
      <c r="K666" s="171" t="s">
        <v>14</v>
      </c>
      <c r="L666" s="171"/>
      <c r="M666" s="171"/>
      <c r="P666" s="236"/>
    </row>
    <row r="667" spans="11:16" ht="18" customHeight="1">
      <c r="K667" s="171" t="s">
        <v>14</v>
      </c>
      <c r="L667" s="171"/>
      <c r="M667" s="171"/>
      <c r="P667" s="236"/>
    </row>
    <row r="668" spans="11:16" ht="18" customHeight="1">
      <c r="K668" s="171" t="s">
        <v>14</v>
      </c>
      <c r="L668" s="171"/>
      <c r="M668" s="171"/>
      <c r="P668" s="236"/>
    </row>
    <row r="669" spans="11:16" ht="18" customHeight="1">
      <c r="K669" s="171" t="s">
        <v>14</v>
      </c>
      <c r="L669" s="171"/>
      <c r="M669" s="171"/>
      <c r="P669" s="236"/>
    </row>
    <row r="670" spans="11:16" ht="18" customHeight="1">
      <c r="K670" s="171" t="s">
        <v>14</v>
      </c>
      <c r="L670" s="171"/>
      <c r="M670" s="171"/>
      <c r="P670" s="236"/>
    </row>
    <row r="671" spans="11:16" ht="18" customHeight="1">
      <c r="K671" s="171" t="s">
        <v>14</v>
      </c>
      <c r="L671" s="171"/>
      <c r="M671" s="171"/>
      <c r="P671" s="236"/>
    </row>
    <row r="672" spans="11:16" ht="18" customHeight="1">
      <c r="K672" s="171" t="s">
        <v>14</v>
      </c>
      <c r="L672" s="171"/>
      <c r="M672" s="171"/>
      <c r="P672" s="236"/>
    </row>
    <row r="673" spans="11:16" ht="18" customHeight="1">
      <c r="K673" s="171" t="s">
        <v>14</v>
      </c>
      <c r="L673" s="171"/>
      <c r="M673" s="171"/>
      <c r="P673" s="236"/>
    </row>
    <row r="674" spans="11:16" ht="18" customHeight="1">
      <c r="K674" s="171" t="s">
        <v>14</v>
      </c>
      <c r="L674" s="171"/>
      <c r="M674" s="171"/>
      <c r="P674" s="236"/>
    </row>
    <row r="675" spans="11:16" ht="18" customHeight="1">
      <c r="K675" s="171" t="s">
        <v>14</v>
      </c>
      <c r="L675" s="171"/>
      <c r="M675" s="171"/>
      <c r="P675" s="236"/>
    </row>
    <row r="676" spans="11:16" ht="18" customHeight="1">
      <c r="K676" s="171" t="s">
        <v>14</v>
      </c>
      <c r="L676" s="171"/>
      <c r="M676" s="171"/>
      <c r="P676" s="236"/>
    </row>
    <row r="677" spans="11:16" ht="18" customHeight="1">
      <c r="K677" s="171" t="s">
        <v>14</v>
      </c>
      <c r="L677" s="171"/>
      <c r="M677" s="171"/>
      <c r="P677" s="236"/>
    </row>
    <row r="678" spans="11:16" ht="18" customHeight="1">
      <c r="K678" s="171" t="s">
        <v>14</v>
      </c>
      <c r="L678" s="171"/>
      <c r="M678" s="171"/>
      <c r="P678" s="236"/>
    </row>
    <row r="679" spans="11:16" ht="18" customHeight="1">
      <c r="K679" s="171" t="s">
        <v>14</v>
      </c>
      <c r="L679" s="171"/>
      <c r="M679" s="171"/>
      <c r="P679" s="236"/>
    </row>
    <row r="680" spans="11:16" ht="18" customHeight="1">
      <c r="K680" s="171" t="s">
        <v>14</v>
      </c>
      <c r="L680" s="171"/>
      <c r="M680" s="171"/>
      <c r="P680" s="236"/>
    </row>
    <row r="681" spans="11:16" ht="18" customHeight="1">
      <c r="K681" s="171" t="s">
        <v>14</v>
      </c>
      <c r="L681" s="171"/>
      <c r="M681" s="171"/>
      <c r="P681" s="236"/>
    </row>
    <row r="682" spans="11:16" ht="18" customHeight="1">
      <c r="K682" s="171" t="s">
        <v>14</v>
      </c>
      <c r="L682" s="171"/>
      <c r="M682" s="171"/>
      <c r="P682" s="236"/>
    </row>
    <row r="683" spans="11:16" ht="18" customHeight="1">
      <c r="K683" s="171" t="s">
        <v>14</v>
      </c>
      <c r="L683" s="171"/>
      <c r="M683" s="171"/>
      <c r="P683" s="236"/>
    </row>
    <row r="684" spans="11:16" ht="18" customHeight="1">
      <c r="K684" s="171" t="s">
        <v>14</v>
      </c>
      <c r="L684" s="171"/>
      <c r="M684" s="171"/>
      <c r="P684" s="236"/>
    </row>
    <row r="685" spans="11:16" ht="18" customHeight="1">
      <c r="K685" s="171" t="s">
        <v>14</v>
      </c>
      <c r="L685" s="171"/>
      <c r="M685" s="171"/>
      <c r="P685" s="236"/>
    </row>
    <row r="686" spans="11:16" ht="18" customHeight="1">
      <c r="K686" s="171" t="s">
        <v>14</v>
      </c>
      <c r="L686" s="171"/>
      <c r="M686" s="171"/>
      <c r="P686" s="236"/>
    </row>
    <row r="687" spans="11:16" ht="18" customHeight="1">
      <c r="K687" s="171" t="s">
        <v>14</v>
      </c>
      <c r="L687" s="171"/>
      <c r="M687" s="171"/>
      <c r="P687" s="236"/>
    </row>
    <row r="688" spans="11:16" ht="18" customHeight="1">
      <c r="K688" s="171" t="s">
        <v>14</v>
      </c>
      <c r="L688" s="171"/>
      <c r="M688" s="171"/>
      <c r="P688" s="236"/>
    </row>
    <row r="689" spans="11:16" ht="18" customHeight="1">
      <c r="K689" s="171" t="s">
        <v>14</v>
      </c>
      <c r="L689" s="171"/>
      <c r="M689" s="171"/>
      <c r="P689" s="236"/>
    </row>
    <row r="690" spans="11:16" ht="18" customHeight="1">
      <c r="K690" s="171" t="s">
        <v>14</v>
      </c>
      <c r="L690" s="171"/>
      <c r="M690" s="171"/>
      <c r="P690" s="236"/>
    </row>
    <row r="691" spans="11:16" ht="18" customHeight="1">
      <c r="K691" s="171" t="s">
        <v>14</v>
      </c>
      <c r="L691" s="171"/>
      <c r="M691" s="171"/>
      <c r="P691" s="236"/>
    </row>
    <row r="692" spans="11:16" ht="18" customHeight="1">
      <c r="K692" s="171" t="s">
        <v>14</v>
      </c>
      <c r="L692" s="171"/>
      <c r="M692" s="171"/>
      <c r="P692" s="236"/>
    </row>
    <row r="693" spans="11:16" ht="18" customHeight="1">
      <c r="K693" s="171" t="s">
        <v>14</v>
      </c>
      <c r="L693" s="171"/>
      <c r="M693" s="171"/>
      <c r="P693" s="236"/>
    </row>
    <row r="694" spans="11:16" ht="18" customHeight="1">
      <c r="K694" s="171" t="s">
        <v>14</v>
      </c>
      <c r="L694" s="171"/>
      <c r="M694" s="171"/>
      <c r="P694" s="236"/>
    </row>
    <row r="695" spans="11:16" ht="18" customHeight="1">
      <c r="K695" s="171" t="s">
        <v>14</v>
      </c>
      <c r="L695" s="171"/>
      <c r="M695" s="171"/>
      <c r="P695" s="236"/>
    </row>
    <row r="696" spans="11:16" ht="18" customHeight="1">
      <c r="K696" s="171" t="s">
        <v>14</v>
      </c>
      <c r="L696" s="171"/>
      <c r="M696" s="171"/>
      <c r="P696" s="236"/>
    </row>
    <row r="697" spans="11:16" ht="18" customHeight="1">
      <c r="K697" s="171" t="s">
        <v>14</v>
      </c>
      <c r="L697" s="171"/>
      <c r="M697" s="171"/>
      <c r="P697" s="236"/>
    </row>
    <row r="698" spans="11:16" ht="18" customHeight="1">
      <c r="K698" s="171" t="s">
        <v>14</v>
      </c>
      <c r="L698" s="171"/>
      <c r="M698" s="171"/>
      <c r="P698" s="236"/>
    </row>
    <row r="699" spans="11:16" ht="18" customHeight="1">
      <c r="K699" s="171" t="s">
        <v>14</v>
      </c>
      <c r="L699" s="171"/>
      <c r="M699" s="171"/>
      <c r="P699" s="236"/>
    </row>
    <row r="700" spans="11:16" ht="18" customHeight="1">
      <c r="K700" s="171" t="s">
        <v>14</v>
      </c>
      <c r="L700" s="171"/>
      <c r="M700" s="171"/>
      <c r="P700" s="236"/>
    </row>
    <row r="701" spans="11:16" ht="18" customHeight="1">
      <c r="K701" s="171" t="s">
        <v>14</v>
      </c>
      <c r="L701" s="171"/>
      <c r="M701" s="171"/>
      <c r="P701" s="236"/>
    </row>
    <row r="702" spans="11:16" ht="18" customHeight="1">
      <c r="K702" s="171" t="s">
        <v>14</v>
      </c>
      <c r="L702" s="171"/>
      <c r="M702" s="171"/>
      <c r="P702" s="236"/>
    </row>
    <row r="703" spans="11:16" ht="18" customHeight="1">
      <c r="K703" s="171" t="s">
        <v>14</v>
      </c>
      <c r="L703" s="171"/>
      <c r="M703" s="171"/>
      <c r="P703" s="236"/>
    </row>
    <row r="704" spans="11:16" ht="18" customHeight="1">
      <c r="K704" s="171" t="s">
        <v>14</v>
      </c>
      <c r="L704" s="171"/>
      <c r="M704" s="171"/>
      <c r="P704" s="236"/>
    </row>
    <row r="705" spans="11:16" ht="18" customHeight="1">
      <c r="K705" s="171" t="s">
        <v>14</v>
      </c>
      <c r="L705" s="171"/>
      <c r="M705" s="171"/>
      <c r="P705" s="236"/>
    </row>
    <row r="706" spans="11:16" ht="18" customHeight="1">
      <c r="K706" s="171" t="s">
        <v>14</v>
      </c>
      <c r="L706" s="171"/>
      <c r="M706" s="171"/>
      <c r="P706" s="236"/>
    </row>
    <row r="707" spans="11:16" ht="18" customHeight="1">
      <c r="K707" s="171" t="s">
        <v>14</v>
      </c>
      <c r="L707" s="171"/>
      <c r="M707" s="171"/>
      <c r="P707" s="236"/>
    </row>
    <row r="708" spans="11:16" ht="18" customHeight="1">
      <c r="K708" s="171" t="s">
        <v>14</v>
      </c>
      <c r="L708" s="171"/>
      <c r="M708" s="171"/>
      <c r="P708" s="236"/>
    </row>
    <row r="709" spans="11:16" ht="18" customHeight="1">
      <c r="K709" s="171" t="s">
        <v>14</v>
      </c>
      <c r="L709" s="171"/>
      <c r="M709" s="171"/>
      <c r="P709" s="236"/>
    </row>
    <row r="710" spans="11:16" ht="18" customHeight="1">
      <c r="K710" s="171" t="s">
        <v>14</v>
      </c>
      <c r="L710" s="171"/>
      <c r="M710" s="171"/>
      <c r="P710" s="236"/>
    </row>
    <row r="711" spans="11:16" ht="18" customHeight="1">
      <c r="K711" s="171" t="s">
        <v>14</v>
      </c>
      <c r="L711" s="171"/>
      <c r="M711" s="171"/>
      <c r="P711" s="236"/>
    </row>
    <row r="712" spans="11:16" ht="18" customHeight="1">
      <c r="K712" s="171" t="s">
        <v>14</v>
      </c>
      <c r="L712" s="171"/>
      <c r="M712" s="171"/>
      <c r="P712" s="236"/>
    </row>
    <row r="713" spans="11:16" ht="18" customHeight="1">
      <c r="K713" s="171" t="s">
        <v>14</v>
      </c>
      <c r="L713" s="171"/>
      <c r="M713" s="171"/>
    </row>
    <row r="714" spans="11:16" ht="18" customHeight="1">
      <c r="K714" s="171" t="s">
        <v>14</v>
      </c>
      <c r="L714" s="171"/>
      <c r="M714" s="171"/>
    </row>
    <row r="715" spans="11:16" ht="18" customHeight="1">
      <c r="K715" s="171" t="s">
        <v>14</v>
      </c>
      <c r="L715" s="171"/>
      <c r="M715" s="171"/>
    </row>
    <row r="716" spans="11:16" ht="18" customHeight="1">
      <c r="K716" s="171" t="s">
        <v>14</v>
      </c>
      <c r="L716" s="171"/>
      <c r="M716" s="171"/>
    </row>
    <row r="717" spans="11:16" ht="18" customHeight="1">
      <c r="K717" s="171" t="s">
        <v>14</v>
      </c>
      <c r="L717" s="171"/>
      <c r="M717" s="171"/>
    </row>
    <row r="718" spans="11:16" ht="18" customHeight="1">
      <c r="K718" s="171" t="s">
        <v>14</v>
      </c>
      <c r="L718" s="171"/>
      <c r="M718" s="171"/>
    </row>
    <row r="719" spans="11:16" ht="18" customHeight="1">
      <c r="K719" s="171" t="s">
        <v>14</v>
      </c>
      <c r="L719" s="171"/>
      <c r="M719" s="171"/>
    </row>
    <row r="720" spans="11:16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3" ht="18" customHeight="1">
      <c r="K753" s="171" t="s">
        <v>14</v>
      </c>
      <c r="L753" s="171"/>
      <c r="M753" s="171"/>
    </row>
    <row r="754" spans="11:13" ht="18" customHeight="1">
      <c r="K754" s="171" t="s">
        <v>14</v>
      </c>
      <c r="L754" s="171"/>
      <c r="M754" s="171"/>
    </row>
    <row r="755" spans="11:13" ht="18" customHeight="1">
      <c r="K755" s="171" t="s">
        <v>14</v>
      </c>
      <c r="L755" s="171"/>
      <c r="M755" s="171"/>
    </row>
    <row r="756" spans="11:13" ht="18" customHeight="1">
      <c r="K756" s="171" t="s">
        <v>14</v>
      </c>
      <c r="L756" s="171"/>
      <c r="M756" s="171"/>
    </row>
    <row r="757" spans="11:13" ht="18" customHeight="1">
      <c r="K757" s="171" t="s">
        <v>14</v>
      </c>
      <c r="L757" s="171"/>
      <c r="M757" s="171"/>
    </row>
    <row r="758" spans="11:13" ht="18" customHeight="1">
      <c r="K758" s="171" t="s">
        <v>14</v>
      </c>
      <c r="L758" s="171"/>
      <c r="M758" s="171"/>
    </row>
    <row r="759" spans="11:13" ht="18" customHeight="1">
      <c r="K759" s="171" t="s">
        <v>14</v>
      </c>
      <c r="L759" s="171"/>
      <c r="M759" s="171"/>
    </row>
    <row r="760" spans="11:13" ht="18" customHeight="1">
      <c r="K760" s="171" t="s">
        <v>14</v>
      </c>
      <c r="L760" s="171"/>
      <c r="M760" s="171"/>
    </row>
    <row r="761" spans="11:13" ht="18" customHeight="1">
      <c r="K761" s="171" t="s">
        <v>14</v>
      </c>
      <c r="L761" s="171"/>
      <c r="M761" s="171"/>
    </row>
    <row r="762" spans="11:13" ht="18" customHeight="1">
      <c r="K762" s="171" t="s">
        <v>14</v>
      </c>
      <c r="L762" s="171"/>
      <c r="M762" s="171"/>
    </row>
    <row r="763" spans="11:13" ht="18" customHeight="1">
      <c r="K763" s="171" t="s">
        <v>14</v>
      </c>
      <c r="L763" s="171"/>
      <c r="M763" s="171"/>
    </row>
    <row r="764" spans="11:13" ht="18" customHeight="1">
      <c r="K764" s="171" t="s">
        <v>14</v>
      </c>
      <c r="L764" s="171"/>
      <c r="M764" s="171"/>
    </row>
    <row r="765" spans="11:13" ht="18" customHeight="1">
      <c r="K765" s="171" t="s">
        <v>14</v>
      </c>
      <c r="L765" s="171"/>
      <c r="M765" s="171"/>
    </row>
    <row r="766" spans="11:13" ht="18" customHeight="1">
      <c r="K766" s="171" t="s">
        <v>14</v>
      </c>
      <c r="L766" s="171"/>
      <c r="M766" s="171"/>
    </row>
    <row r="767" spans="11:13" ht="18" customHeight="1">
      <c r="K767" s="171" t="s">
        <v>14</v>
      </c>
      <c r="L767" s="171"/>
      <c r="M767" s="171"/>
    </row>
    <row r="768" spans="11:13" ht="18" customHeight="1">
      <c r="K768" s="171" t="s">
        <v>14</v>
      </c>
      <c r="L768" s="171"/>
      <c r="M768" s="171"/>
    </row>
    <row r="769" spans="11:13" ht="18" customHeight="1">
      <c r="K769" s="171" t="s">
        <v>14</v>
      </c>
      <c r="L769" s="171"/>
      <c r="M769" s="171"/>
    </row>
    <row r="770" spans="11:13" ht="18" customHeight="1">
      <c r="K770" s="171" t="s">
        <v>14</v>
      </c>
      <c r="L770" s="171"/>
      <c r="M770" s="171"/>
    </row>
    <row r="771" spans="11:13" ht="18" customHeight="1">
      <c r="K771" s="171" t="s">
        <v>14</v>
      </c>
      <c r="L771" s="171"/>
      <c r="M771" s="171"/>
    </row>
    <row r="772" spans="11:13" ht="18" customHeight="1">
      <c r="K772" s="171" t="s">
        <v>14</v>
      </c>
      <c r="L772" s="171"/>
      <c r="M772" s="171"/>
    </row>
    <row r="773" spans="11:13" ht="18" customHeight="1">
      <c r="K773" s="171" t="s">
        <v>14</v>
      </c>
      <c r="L773" s="171"/>
      <c r="M773" s="171"/>
    </row>
    <row r="774" spans="11:13" ht="18" customHeight="1">
      <c r="K774" s="171" t="s">
        <v>14</v>
      </c>
      <c r="L774" s="171"/>
      <c r="M774" s="171"/>
    </row>
    <row r="775" spans="11:13" ht="18" customHeight="1">
      <c r="K775" s="171" t="s">
        <v>14</v>
      </c>
      <c r="L775" s="171"/>
      <c r="M775" s="171"/>
    </row>
    <row r="776" spans="11:13" ht="18" customHeight="1">
      <c r="K776" s="171" t="s">
        <v>14</v>
      </c>
      <c r="L776" s="171"/>
      <c r="M776" s="171"/>
    </row>
    <row r="777" spans="11:13" ht="18" customHeight="1">
      <c r="K777" s="171" t="s">
        <v>14</v>
      </c>
      <c r="L777" s="171"/>
      <c r="M777" s="171"/>
    </row>
    <row r="778" spans="11:13" ht="18" customHeight="1">
      <c r="K778" s="171" t="s">
        <v>14</v>
      </c>
      <c r="L778" s="171"/>
      <c r="M778" s="171"/>
    </row>
    <row r="779" spans="11:13" ht="18" customHeight="1">
      <c r="K779" s="171" t="s">
        <v>14</v>
      </c>
      <c r="L779" s="171"/>
      <c r="M779" s="171"/>
    </row>
    <row r="780" spans="11:13" ht="18" customHeight="1">
      <c r="K780" s="171" t="s">
        <v>14</v>
      </c>
      <c r="L780" s="171"/>
      <c r="M780" s="171"/>
    </row>
    <row r="781" spans="11:13" ht="18" customHeight="1">
      <c r="K781" s="171" t="s">
        <v>14</v>
      </c>
      <c r="L781" s="171"/>
      <c r="M781" s="171"/>
    </row>
    <row r="782" spans="11:13" ht="18" customHeight="1">
      <c r="K782" s="171" t="s">
        <v>14</v>
      </c>
      <c r="L782" s="171"/>
      <c r="M782" s="171"/>
    </row>
    <row r="783" spans="11:13" ht="18" customHeight="1">
      <c r="K783" s="171" t="s">
        <v>14</v>
      </c>
      <c r="L783" s="171"/>
      <c r="M783" s="171"/>
    </row>
    <row r="784" spans="11:13" ht="18" customHeight="1">
      <c r="K784" s="171" t="s">
        <v>14</v>
      </c>
      <c r="L784" s="171"/>
      <c r="M784" s="171"/>
    </row>
    <row r="785" spans="11:13" ht="18" customHeight="1">
      <c r="K785" s="171" t="s">
        <v>14</v>
      </c>
      <c r="L785" s="171"/>
      <c r="M785" s="171"/>
    </row>
    <row r="786" spans="11:13" ht="18" customHeight="1">
      <c r="K786" s="171" t="s">
        <v>14</v>
      </c>
      <c r="L786" s="171"/>
      <c r="M786" s="171"/>
    </row>
    <row r="787" spans="11:13" ht="18" customHeight="1">
      <c r="K787" s="171" t="s">
        <v>14</v>
      </c>
      <c r="M787" s="171"/>
    </row>
    <row r="788" spans="11:13" ht="18" customHeight="1">
      <c r="K788" s="171" t="s">
        <v>14</v>
      </c>
      <c r="M788" s="171"/>
    </row>
    <row r="789" spans="11:13" ht="18" customHeight="1">
      <c r="K789" s="171" t="s">
        <v>14</v>
      </c>
      <c r="M789" s="171"/>
    </row>
    <row r="790" spans="11:13" ht="18" customHeight="1">
      <c r="K790" s="171" t="s">
        <v>14</v>
      </c>
      <c r="M790" s="171"/>
    </row>
    <row r="791" spans="11:13" ht="18" customHeight="1">
      <c r="K791" s="171" t="s">
        <v>14</v>
      </c>
      <c r="M791" s="171"/>
    </row>
    <row r="792" spans="11:13" ht="18" customHeight="1">
      <c r="K792" s="171" t="s">
        <v>14</v>
      </c>
      <c r="M792" s="171"/>
    </row>
    <row r="793" spans="11:13" ht="18" customHeight="1">
      <c r="M793" s="171"/>
    </row>
    <row r="794" spans="11:13" ht="18" customHeight="1">
      <c r="M794" s="171"/>
    </row>
    <row r="795" spans="11:13" ht="18" customHeight="1">
      <c r="M795" s="171"/>
    </row>
    <row r="796" spans="11:13" ht="18" customHeight="1">
      <c r="M796" s="171"/>
    </row>
    <row r="797" spans="11:13" ht="18" customHeight="1">
      <c r="M797" s="171"/>
    </row>
    <row r="798" spans="11:13" ht="18" customHeight="1">
      <c r="M798" s="171"/>
    </row>
    <row r="799" spans="11:13" ht="18" customHeight="1">
      <c r="M799" s="171"/>
    </row>
    <row r="800" spans="11:13" ht="18" customHeight="1">
      <c r="M800" s="171"/>
    </row>
    <row r="801" spans="13:13" ht="18" customHeight="1">
      <c r="M801" s="171"/>
    </row>
    <row r="802" spans="13:13" ht="18" customHeight="1">
      <c r="M802" s="171"/>
    </row>
    <row r="803" spans="13:13" ht="18" customHeight="1">
      <c r="M803" s="171"/>
    </row>
  </sheetData>
  <mergeCells count="14">
    <mergeCell ref="N58:N59"/>
    <mergeCell ref="O58:O59"/>
    <mergeCell ref="P58:P59"/>
    <mergeCell ref="Q58:Q59"/>
    <mergeCell ref="Z58:Z59"/>
    <mergeCell ref="B10:C11"/>
    <mergeCell ref="J10:J11"/>
    <mergeCell ref="L10:L11"/>
    <mergeCell ref="B3:C3"/>
    <mergeCell ref="D3:G3"/>
    <mergeCell ref="B4:C4"/>
    <mergeCell ref="D4:G4"/>
    <mergeCell ref="B5:C5"/>
    <mergeCell ref="D5:G5"/>
  </mergeCells>
  <phoneticPr fontId="14" type="noConversion"/>
  <conditionalFormatting sqref="V12:V27">
    <cfRule type="cellIs" dxfId="11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3" manualBreakCount="3">
    <brk id="42" min="13" max="28" man="1"/>
    <brk id="69" min="13" max="28" man="1"/>
    <brk id="90" min="13" max="28" man="1"/>
  </row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 codeName="Sheet34">
    <tabColor theme="5" tint="0.39997558519241921"/>
    <pageSetUpPr fitToPage="1"/>
  </sheetPr>
  <dimension ref="A1:Z756"/>
  <sheetViews>
    <sheetView showGridLines="0" topLeftCell="A22" zoomScale="85" zoomScaleNormal="85" zoomScaleSheetLayoutView="75" workbookViewId="0">
      <selection activeCell="C53" sqref="C53"/>
    </sheetView>
  </sheetViews>
  <sheetFormatPr defaultColWidth="12" defaultRowHeight="18" customHeight="1"/>
  <cols>
    <col min="1" max="1" width="4.33203125" style="315" customWidth="1"/>
    <col min="2" max="2" width="3.6640625" style="1" customWidth="1"/>
    <col min="3" max="3" width="48.1640625" style="1" customWidth="1"/>
    <col min="4" max="9" width="10.5" style="1" customWidth="1"/>
    <col min="10" max="10" width="10.6640625" style="1" customWidth="1"/>
    <col min="11" max="11" width="2.6640625" style="1" customWidth="1"/>
    <col min="12" max="12" width="9" style="1" customWidth="1"/>
    <col min="13" max="13" width="2.6640625" style="1" customWidth="1"/>
    <col min="14" max="14" width="20.832031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5" style="6" bestFit="1" customWidth="1"/>
    <col min="20" max="20" width="14.6640625" style="6" bestFit="1" customWidth="1"/>
    <col min="21" max="21" width="17.5" style="6" bestFit="1" customWidth="1"/>
    <col min="22" max="22" width="13.3320312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7" t="s">
        <v>2799</v>
      </c>
    </row>
    <row r="2" spans="1:26" ht="19.5" thickBot="1">
      <c r="B2" s="66" t="s">
        <v>1</v>
      </c>
    </row>
    <row r="3" spans="1:26" ht="18" customHeight="1">
      <c r="B3" s="773" t="s">
        <v>48</v>
      </c>
      <c r="C3" s="774"/>
      <c r="D3" s="845">
        <v>50</v>
      </c>
      <c r="E3" s="845"/>
      <c r="F3" s="44" t="s">
        <v>53</v>
      </c>
      <c r="G3" s="838" t="s">
        <v>1104</v>
      </c>
      <c r="H3" s="839"/>
      <c r="I3" s="656">
        <v>2</v>
      </c>
      <c r="J3" s="669" t="s">
        <v>794</v>
      </c>
    </row>
    <row r="4" spans="1:26" ht="18" customHeight="1">
      <c r="B4" s="777" t="s">
        <v>54</v>
      </c>
      <c r="C4" s="778"/>
      <c r="D4" s="846">
        <v>50</v>
      </c>
      <c r="E4" s="846"/>
      <c r="F4" s="65" t="s">
        <v>53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A5" s="326"/>
      <c r="B5" s="781" t="s">
        <v>2815</v>
      </c>
      <c r="C5" s="782"/>
      <c r="D5" s="784">
        <f>ROUND((IF(D4&lt;=10,10,D4)/D3)^0.5,3)</f>
        <v>1</v>
      </c>
      <c r="E5" s="784"/>
      <c r="F5" s="45"/>
      <c r="G5" s="817" t="s">
        <v>1102</v>
      </c>
      <c r="H5" s="818"/>
      <c r="I5" s="746">
        <f>ROUND(I4/I3,3)</f>
        <v>1</v>
      </c>
      <c r="J5" s="671"/>
    </row>
    <row r="6" spans="1:26" ht="18" customHeight="1">
      <c r="A6" s="326"/>
      <c r="B6" s="9" t="s">
        <v>2814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6" ht="18" customHeight="1">
      <c r="A7" s="326"/>
      <c r="G7" s="36"/>
      <c r="W7" s="188" t="s">
        <v>3</v>
      </c>
      <c r="X7" s="189"/>
    </row>
    <row r="8" spans="1:26" ht="18" customHeight="1" thickBot="1">
      <c r="A8" s="326"/>
      <c r="B8" s="66" t="s">
        <v>4</v>
      </c>
      <c r="C8" s="9"/>
      <c r="D8" s="64"/>
      <c r="E8" s="64"/>
      <c r="G8" s="36"/>
      <c r="N8" s="66" t="s">
        <v>5</v>
      </c>
    </row>
    <row r="9" spans="1:26" ht="18" customHeight="1" thickBot="1">
      <c r="A9" s="326"/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SUBTOTAL(9,W10:W35)</f>
        <v>188300277</v>
      </c>
      <c r="X9" s="187"/>
      <c r="Y9" s="177"/>
      <c r="Z9" s="167"/>
    </row>
    <row r="10" spans="1:26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SUBTOTAL(9,W11:W32)</f>
        <v>68333731</v>
      </c>
      <c r="X10" s="164"/>
      <c r="Y10" s="178" t="s">
        <v>9</v>
      </c>
      <c r="Z10" s="179"/>
    </row>
    <row r="11" spans="1:26" ht="18" customHeight="1" thickBot="1">
      <c r="A11" s="326"/>
      <c r="B11" s="820"/>
      <c r="C11" s="821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181"/>
      <c r="W11" s="159">
        <f ca="1">SUBTOTAL(9,W12:W28)</f>
        <v>66833731</v>
      </c>
      <c r="X11" s="160"/>
      <c r="Y11" s="220"/>
      <c r="Z11" s="168"/>
    </row>
    <row r="12" spans="1:26" ht="18" customHeight="1">
      <c r="A12" s="326"/>
      <c r="B12" s="225" t="s">
        <v>655</v>
      </c>
      <c r="C12" s="72"/>
      <c r="D12" s="30">
        <f t="shared" ref="D12:I12" si="0">SUBTOTAL(9,D13:D15)</f>
        <v>0.30000000000000004</v>
      </c>
      <c r="E12" s="31">
        <f t="shared" si="0"/>
        <v>0.60000000000000009</v>
      </c>
      <c r="F12" s="31">
        <f t="shared" si="0"/>
        <v>1.1000000000000001</v>
      </c>
      <c r="G12" s="31">
        <f t="shared" si="0"/>
        <v>1.7</v>
      </c>
      <c r="H12" s="31">
        <f t="shared" si="0"/>
        <v>3</v>
      </c>
      <c r="I12" s="32">
        <f t="shared" si="0"/>
        <v>3.5</v>
      </c>
      <c r="J12" s="73"/>
      <c r="L12" s="232"/>
      <c r="N12" s="354" t="str">
        <f>B12</f>
        <v>1. 계획안검토</v>
      </c>
      <c r="O12" s="169"/>
      <c r="P12" s="169"/>
      <c r="Q12" s="169"/>
      <c r="R12" s="169"/>
      <c r="S12" s="169"/>
      <c r="T12" s="169"/>
      <c r="U12" s="265"/>
      <c r="V12" s="248"/>
      <c r="W12" s="193">
        <f ca="1">SUBTOTAL(9,W13:W15)</f>
        <v>2789559</v>
      </c>
      <c r="X12" s="194"/>
      <c r="Y12" s="170" t="str">
        <f t="shared" ref="Y12:Y27" si="1">IF(A29&gt;0, "제 " &amp;A29&amp; " 호표","")</f>
        <v/>
      </c>
      <c r="Z12" s="170"/>
    </row>
    <row r="13" spans="1:26" ht="18" customHeight="1">
      <c r="A13" s="326"/>
      <c r="B13" s="223" t="s">
        <v>2800</v>
      </c>
      <c r="C13" s="23"/>
      <c r="D13" s="20">
        <v>0.1</v>
      </c>
      <c r="E13" s="21">
        <v>0.2</v>
      </c>
      <c r="F13" s="21">
        <v>0.3</v>
      </c>
      <c r="G13" s="21">
        <v>0.5</v>
      </c>
      <c r="H13" s="21">
        <v>0.9</v>
      </c>
      <c r="I13" s="22">
        <v>1</v>
      </c>
      <c r="J13" s="74"/>
      <c r="L13" s="233">
        <v>1</v>
      </c>
      <c r="N13" s="292" t="str">
        <f t="shared" ref="N13:N27" si="2">B13</f>
        <v>1.1. 관련법규 검토</v>
      </c>
      <c r="O13" s="37"/>
      <c r="P13" s="37"/>
      <c r="Q13" s="37"/>
      <c r="R13" s="37"/>
      <c r="S13" s="37"/>
      <c r="T13" s="37"/>
      <c r="U13" s="265"/>
      <c r="V13" s="248"/>
      <c r="W13" s="153">
        <f t="array" aca="1" ref="W13" ca="1">SUM((ROUNDDOWN((D30:I30)*단가,0)))</f>
        <v>824225</v>
      </c>
      <c r="X13" s="113"/>
      <c r="Y13" s="263" t="str">
        <f t="shared" si="1"/>
        <v>제 1 호표</v>
      </c>
      <c r="Z13" s="37"/>
    </row>
    <row r="14" spans="1:26" ht="18" customHeight="1">
      <c r="A14" s="326"/>
      <c r="B14" s="223" t="s">
        <v>2801</v>
      </c>
      <c r="C14" s="23"/>
      <c r="D14" s="20">
        <v>0.1</v>
      </c>
      <c r="E14" s="21">
        <v>0.2</v>
      </c>
      <c r="F14" s="21">
        <v>0.3</v>
      </c>
      <c r="G14" s="21">
        <v>0.5</v>
      </c>
      <c r="H14" s="21">
        <v>0.9</v>
      </c>
      <c r="I14" s="22">
        <v>1</v>
      </c>
      <c r="J14" s="74"/>
      <c r="L14" s="233">
        <v>1</v>
      </c>
      <c r="N14" s="292" t="str">
        <f t="shared" si="2"/>
        <v>1.2. 관련계획 검토</v>
      </c>
      <c r="O14" s="37"/>
      <c r="P14" s="37"/>
      <c r="Q14" s="37"/>
      <c r="R14" s="37"/>
      <c r="S14" s="37"/>
      <c r="T14" s="37"/>
      <c r="U14" s="265"/>
      <c r="V14" s="248"/>
      <c r="W14" s="153">
        <f t="array" aca="1" ref="W14" ca="1">SUM((ROUNDDOWN((D31:I31)*단가,0)))</f>
        <v>824225</v>
      </c>
      <c r="X14" s="154"/>
      <c r="Y14" s="263" t="str">
        <f t="shared" si="1"/>
        <v>제 2 호표</v>
      </c>
      <c r="Z14" s="150"/>
    </row>
    <row r="15" spans="1:26" ht="18" customHeight="1">
      <c r="A15" s="326"/>
      <c r="B15" s="223" t="s">
        <v>2802</v>
      </c>
      <c r="C15" s="23"/>
      <c r="D15" s="40">
        <v>0.1</v>
      </c>
      <c r="E15" s="21">
        <v>0.2</v>
      </c>
      <c r="F15" s="21">
        <v>0.5</v>
      </c>
      <c r="G15" s="21">
        <v>0.7</v>
      </c>
      <c r="H15" s="21">
        <v>1.2</v>
      </c>
      <c r="I15" s="22">
        <v>1.5</v>
      </c>
      <c r="J15" s="74"/>
      <c r="L15" s="233">
        <v>1</v>
      </c>
      <c r="N15" s="292" t="str">
        <f t="shared" si="2"/>
        <v>1.3. 주변지역과의 상관성 검토</v>
      </c>
      <c r="O15" s="37"/>
      <c r="P15" s="37"/>
      <c r="Q15" s="37"/>
      <c r="R15" s="37"/>
      <c r="S15" s="37"/>
      <c r="T15" s="37"/>
      <c r="U15" s="265"/>
      <c r="V15" s="248"/>
      <c r="W15" s="153">
        <f t="array" aca="1" ref="W15" ca="1">SUM((ROUNDDOWN((D32:I32)*단가,0)))</f>
        <v>1141109</v>
      </c>
      <c r="X15" s="154"/>
      <c r="Y15" s="263" t="str">
        <f t="shared" si="1"/>
        <v>제 3 호표</v>
      </c>
      <c r="Z15" s="150"/>
    </row>
    <row r="16" spans="1:26" ht="18" customHeight="1">
      <c r="A16" s="326"/>
      <c r="B16" s="222" t="s">
        <v>2803</v>
      </c>
      <c r="C16" s="47"/>
      <c r="D16" s="33">
        <f t="shared" ref="D16:I16" si="3">SUBTOTAL(9,D17:D22)</f>
        <v>0.8</v>
      </c>
      <c r="E16" s="34">
        <f t="shared" si="3"/>
        <v>4.3000000000000007</v>
      </c>
      <c r="F16" s="34">
        <f t="shared" si="3"/>
        <v>11.100000000000001</v>
      </c>
      <c r="G16" s="34">
        <f t="shared" si="3"/>
        <v>16</v>
      </c>
      <c r="H16" s="34">
        <f t="shared" si="3"/>
        <v>30.300000000000004</v>
      </c>
      <c r="I16" s="35">
        <f t="shared" si="3"/>
        <v>35.1</v>
      </c>
      <c r="J16" s="74"/>
      <c r="L16" s="233"/>
      <c r="N16" s="79" t="str">
        <f t="shared" si="2"/>
        <v>2. 농지·산지전용 도서작성</v>
      </c>
      <c r="O16" s="37"/>
      <c r="P16" s="39"/>
      <c r="Q16" s="37"/>
      <c r="R16" s="117"/>
      <c r="S16" s="37"/>
      <c r="T16" s="37"/>
      <c r="U16" s="265"/>
      <c r="V16" s="248"/>
      <c r="W16" s="195">
        <f ca="1">SUBTOTAL(9,W17:W22)</f>
        <v>26064664</v>
      </c>
      <c r="X16" s="196"/>
      <c r="Y16" s="263" t="str">
        <f t="shared" si="1"/>
        <v/>
      </c>
      <c r="Z16" s="150"/>
    </row>
    <row r="17" spans="1:26" ht="18" customHeight="1">
      <c r="A17" s="326"/>
      <c r="B17" s="223" t="s">
        <v>2804</v>
      </c>
      <c r="C17" s="23"/>
      <c r="D17" s="20">
        <v>0.4</v>
      </c>
      <c r="E17" s="21">
        <v>0.7</v>
      </c>
      <c r="F17" s="21">
        <v>1.4</v>
      </c>
      <c r="G17" s="21">
        <v>2</v>
      </c>
      <c r="H17" s="21">
        <v>3.8</v>
      </c>
      <c r="I17" s="22">
        <v>4.3</v>
      </c>
      <c r="J17" s="74"/>
      <c r="L17" s="233">
        <v>1</v>
      </c>
      <c r="N17" s="292" t="str">
        <f t="shared" si="2"/>
        <v>2.1. 농지·산지 전용협의 요청서 작성</v>
      </c>
      <c r="O17" s="37"/>
      <c r="P17" s="39"/>
      <c r="Q17" s="37"/>
      <c r="R17" s="117"/>
      <c r="S17" s="37"/>
      <c r="T17" s="37"/>
      <c r="U17" s="265"/>
      <c r="V17" s="248"/>
      <c r="W17" s="153">
        <f t="array" aca="1" ref="W17" ca="1">SUM((ROUNDDOWN((D34:I34)*단가,0)))</f>
        <v>3443864</v>
      </c>
      <c r="X17" s="154"/>
      <c r="Y17" s="263" t="str">
        <f t="shared" si="1"/>
        <v>제 4 호표</v>
      </c>
      <c r="Z17" s="150"/>
    </row>
    <row r="18" spans="1:26" ht="18" customHeight="1">
      <c r="A18" s="326"/>
      <c r="B18" s="223" t="s">
        <v>2805</v>
      </c>
      <c r="C18" s="23"/>
      <c r="D18" s="20">
        <v>0</v>
      </c>
      <c r="E18" s="21">
        <v>0.8</v>
      </c>
      <c r="F18" s="21">
        <v>4.0999999999999996</v>
      </c>
      <c r="G18" s="21">
        <v>6</v>
      </c>
      <c r="H18" s="21">
        <v>11.3</v>
      </c>
      <c r="I18" s="22">
        <v>13</v>
      </c>
      <c r="J18" s="74"/>
      <c r="L18" s="233">
        <v>1</v>
      </c>
      <c r="N18" s="292" t="str">
        <f t="shared" si="2"/>
        <v>2.2. 농지·산지 편입현황조서 작성</v>
      </c>
      <c r="O18" s="37"/>
      <c r="P18" s="39"/>
      <c r="Q18" s="37"/>
      <c r="R18" s="117"/>
      <c r="S18" s="37"/>
      <c r="T18" s="37"/>
      <c r="U18" s="226"/>
      <c r="V18" s="248"/>
      <c r="W18" s="153">
        <f t="array" aca="1" ref="W18" ca="1">SUM((ROUNDDOWN((D35:I35)*단가,0)))</f>
        <v>9255951</v>
      </c>
      <c r="X18" s="154"/>
      <c r="Y18" s="263" t="str">
        <f t="shared" si="1"/>
        <v>제 5 호표</v>
      </c>
      <c r="Z18" s="150"/>
    </row>
    <row r="19" spans="1:26" ht="18" customHeight="1">
      <c r="A19" s="326"/>
      <c r="B19" s="223" t="s">
        <v>2806</v>
      </c>
      <c r="C19" s="23"/>
      <c r="D19" s="20">
        <v>0.4</v>
      </c>
      <c r="E19" s="21">
        <v>0.7</v>
      </c>
      <c r="F19" s="21">
        <v>1.4</v>
      </c>
      <c r="G19" s="21">
        <v>2</v>
      </c>
      <c r="H19" s="21">
        <v>3.8</v>
      </c>
      <c r="I19" s="22">
        <v>4.3</v>
      </c>
      <c r="J19" s="74"/>
      <c r="L19" s="233">
        <v>1</v>
      </c>
      <c r="N19" s="292" t="str">
        <f t="shared" si="2"/>
        <v>2.3. 피해방지계획서 작성</v>
      </c>
      <c r="O19" s="37"/>
      <c r="P19" s="39"/>
      <c r="Q19" s="37"/>
      <c r="R19" s="117"/>
      <c r="S19" s="37"/>
      <c r="T19" s="37"/>
      <c r="U19" s="226"/>
      <c r="V19" s="248"/>
      <c r="W19" s="153">
        <f t="array" aca="1" ref="W19" ca="1">SUM((ROUNDDOWN((D36:I36)*단가,0)))</f>
        <v>3443864</v>
      </c>
      <c r="X19" s="154"/>
      <c r="Y19" s="263" t="str">
        <f t="shared" si="1"/>
        <v>제 6 호표</v>
      </c>
      <c r="Z19" s="150"/>
    </row>
    <row r="20" spans="1:26" ht="18" customHeight="1">
      <c r="A20" s="326"/>
      <c r="B20" s="223" t="s">
        <v>2807</v>
      </c>
      <c r="C20" s="23"/>
      <c r="D20" s="20">
        <v>0</v>
      </c>
      <c r="E20" s="21">
        <v>0.7</v>
      </c>
      <c r="F20" s="21">
        <v>1.4</v>
      </c>
      <c r="G20" s="21">
        <v>2</v>
      </c>
      <c r="H20" s="21">
        <v>3.8</v>
      </c>
      <c r="I20" s="22">
        <v>4.5</v>
      </c>
      <c r="J20" s="74"/>
      <c r="L20" s="233">
        <v>1</v>
      </c>
      <c r="N20" s="292" t="str">
        <f t="shared" si="2"/>
        <v>2.4. 계획 관련도서 작성</v>
      </c>
      <c r="O20" s="37"/>
      <c r="P20" s="39"/>
      <c r="Q20" s="37"/>
      <c r="R20" s="117"/>
      <c r="S20" s="37"/>
      <c r="T20" s="37"/>
      <c r="U20" s="226"/>
      <c r="V20" s="248"/>
      <c r="W20" s="153">
        <f t="array" aca="1" ref="W20" ca="1">SUM((ROUNDDOWN((D37:I37)*단가,0)))</f>
        <v>3306995</v>
      </c>
      <c r="X20" s="196"/>
      <c r="Y20" s="263" t="str">
        <f t="shared" si="1"/>
        <v>제 7 호표</v>
      </c>
      <c r="Z20" s="150"/>
    </row>
    <row r="21" spans="1:26" ht="18" customHeight="1">
      <c r="A21" s="326"/>
      <c r="B21" s="223" t="s">
        <v>2808</v>
      </c>
      <c r="C21" s="23"/>
      <c r="D21" s="20">
        <v>0</v>
      </c>
      <c r="E21" s="21">
        <v>0.7</v>
      </c>
      <c r="F21" s="21">
        <v>1.4</v>
      </c>
      <c r="G21" s="21">
        <v>2</v>
      </c>
      <c r="H21" s="21">
        <v>3.8</v>
      </c>
      <c r="I21" s="22">
        <v>4.5</v>
      </c>
      <c r="J21" s="74"/>
      <c r="L21" s="233">
        <v>1</v>
      </c>
      <c r="N21" s="292" t="str">
        <f t="shared" si="2"/>
        <v>2.5. 농지·산지 관련도서 작성</v>
      </c>
      <c r="O21" s="37"/>
      <c r="P21" s="39"/>
      <c r="Q21" s="37"/>
      <c r="R21" s="117"/>
      <c r="S21" s="37"/>
      <c r="T21" s="37"/>
      <c r="U21" s="226"/>
      <c r="V21" s="248"/>
      <c r="W21" s="153">
        <f t="array" aca="1" ref="W21" ca="1">SUM((ROUNDDOWN((D38:I38)*단가,0)))</f>
        <v>3306995</v>
      </c>
      <c r="X21" s="154"/>
      <c r="Y21" s="263" t="str">
        <f t="shared" si="1"/>
        <v>제 8 호표</v>
      </c>
      <c r="Z21" s="150"/>
    </row>
    <row r="22" spans="1:26" ht="18" customHeight="1">
      <c r="A22" s="326"/>
      <c r="B22" s="224" t="s">
        <v>2809</v>
      </c>
      <c r="C22" s="27"/>
      <c r="D22" s="20">
        <v>0</v>
      </c>
      <c r="E22" s="21">
        <v>0.7</v>
      </c>
      <c r="F22" s="21">
        <v>1.4</v>
      </c>
      <c r="G22" s="21">
        <v>2</v>
      </c>
      <c r="H22" s="21">
        <v>3.8</v>
      </c>
      <c r="I22" s="22">
        <v>4.5</v>
      </c>
      <c r="J22" s="74"/>
      <c r="L22" s="233">
        <v>1</v>
      </c>
      <c r="N22" s="292" t="str">
        <f t="shared" si="2"/>
        <v>2.6. 초지 관련도서 작성(농지)</v>
      </c>
      <c r="O22" s="37"/>
      <c r="P22" s="39"/>
      <c r="Q22" s="37"/>
      <c r="R22" s="117"/>
      <c r="S22" s="37"/>
      <c r="T22" s="37"/>
      <c r="U22" s="226"/>
      <c r="V22" s="248"/>
      <c r="W22" s="153">
        <f t="array" aca="1" ref="W22" ca="1">SUM((ROUNDDOWN((D39:I39)*단가,0)))</f>
        <v>3306995</v>
      </c>
      <c r="X22" s="154"/>
      <c r="Y22" s="263" t="str">
        <f t="shared" si="1"/>
        <v>제 9 호표</v>
      </c>
      <c r="Z22" s="150"/>
    </row>
    <row r="23" spans="1:26" ht="18" customHeight="1">
      <c r="A23" s="355"/>
      <c r="B23" s="222" t="s">
        <v>454</v>
      </c>
      <c r="C23" s="222"/>
      <c r="D23" s="33">
        <f t="shared" ref="D23:I23" si="4">SUBTOTAL(9,D24:D27)</f>
        <v>8</v>
      </c>
      <c r="E23" s="34">
        <f t="shared" si="4"/>
        <v>8</v>
      </c>
      <c r="F23" s="34">
        <f t="shared" si="4"/>
        <v>8</v>
      </c>
      <c r="G23" s="34">
        <f t="shared" si="4"/>
        <v>16</v>
      </c>
      <c r="H23" s="34">
        <f t="shared" si="4"/>
        <v>16</v>
      </c>
      <c r="I23" s="35">
        <f t="shared" si="4"/>
        <v>16</v>
      </c>
      <c r="J23" s="74"/>
      <c r="L23" s="233"/>
      <c r="N23" s="79" t="str">
        <f t="shared" si="2"/>
        <v>3. 기술협의</v>
      </c>
      <c r="O23" s="37"/>
      <c r="P23" s="39"/>
      <c r="Q23" s="37"/>
      <c r="R23" s="117"/>
      <c r="S23" s="37"/>
      <c r="T23" s="37"/>
      <c r="U23" s="265"/>
      <c r="V23" s="248"/>
      <c r="W23" s="195">
        <f ca="1">SUBTOTAL(9,W24:W27)</f>
        <v>37979508</v>
      </c>
      <c r="X23" s="196"/>
      <c r="Y23" s="263" t="str">
        <f t="shared" si="1"/>
        <v/>
      </c>
      <c r="Z23" s="150"/>
    </row>
    <row r="24" spans="1:26" ht="18" customHeight="1">
      <c r="A24" s="355"/>
      <c r="B24" s="223" t="s">
        <v>2810</v>
      </c>
      <c r="C24" s="237"/>
      <c r="D24" s="20">
        <v>2</v>
      </c>
      <c r="E24" s="21">
        <v>2</v>
      </c>
      <c r="F24" s="21">
        <v>2</v>
      </c>
      <c r="G24" s="21">
        <v>4</v>
      </c>
      <c r="H24" s="21">
        <v>4</v>
      </c>
      <c r="I24" s="22">
        <v>4</v>
      </c>
      <c r="J24" s="74"/>
      <c r="L24" s="233">
        <v>1</v>
      </c>
      <c r="N24" s="292" t="str">
        <f t="shared" si="2"/>
        <v>3.1. 공청회/주민설명회</v>
      </c>
      <c r="O24" s="37"/>
      <c r="P24" s="39"/>
      <c r="Q24" s="37"/>
      <c r="R24" s="117"/>
      <c r="S24" s="37"/>
      <c r="T24" s="37"/>
      <c r="U24" s="265"/>
      <c r="V24" s="248"/>
      <c r="W24" s="153">
        <f t="array" aca="1" ref="W24" ca="1">SUM((ROUNDDOWN((D40:I40)*단가,0)))</f>
        <v>21702576</v>
      </c>
      <c r="X24" s="154"/>
      <c r="Y24" s="263" t="str">
        <f t="shared" si="1"/>
        <v>제 10 호표</v>
      </c>
      <c r="Z24" s="150"/>
    </row>
    <row r="25" spans="1:26" ht="18" customHeight="1">
      <c r="A25" s="355"/>
      <c r="B25" s="223" t="s">
        <v>2811</v>
      </c>
      <c r="C25" s="237"/>
      <c r="D25" s="20">
        <v>2</v>
      </c>
      <c r="E25" s="21">
        <v>2</v>
      </c>
      <c r="F25" s="21">
        <v>2</v>
      </c>
      <c r="G25" s="21">
        <v>4</v>
      </c>
      <c r="H25" s="21">
        <v>4</v>
      </c>
      <c r="I25" s="22">
        <v>4</v>
      </c>
      <c r="J25" s="74"/>
      <c r="L25" s="233">
        <v>1</v>
      </c>
      <c r="N25" s="292" t="str">
        <f t="shared" si="2"/>
        <v>3.2. 주민간담회/시민계획단</v>
      </c>
      <c r="O25" s="37"/>
      <c r="P25" s="39"/>
      <c r="Q25" s="37"/>
      <c r="R25" s="117"/>
      <c r="S25" s="37"/>
      <c r="T25" s="37"/>
      <c r="U25" s="226"/>
      <c r="V25" s="248"/>
      <c r="W25" s="153">
        <f t="array" aca="1" ref="W25" ca="1">SUM((ROUNDDOWN((D41:I41)*단가,0)))</f>
        <v>5425644</v>
      </c>
      <c r="X25" s="154"/>
      <c r="Y25" s="263" t="str">
        <f t="shared" si="1"/>
        <v>제 11 호표</v>
      </c>
      <c r="Z25" s="150"/>
    </row>
    <row r="26" spans="1:26" ht="18" customHeight="1">
      <c r="A26" s="355"/>
      <c r="B26" s="223" t="s">
        <v>2812</v>
      </c>
      <c r="C26" s="237"/>
      <c r="D26" s="20">
        <v>2</v>
      </c>
      <c r="E26" s="21">
        <v>2</v>
      </c>
      <c r="F26" s="21">
        <v>2</v>
      </c>
      <c r="G26" s="21">
        <v>4</v>
      </c>
      <c r="H26" s="21">
        <v>4</v>
      </c>
      <c r="I26" s="22">
        <v>4</v>
      </c>
      <c r="J26" s="74"/>
      <c r="L26" s="233">
        <v>1</v>
      </c>
      <c r="N26" s="292" t="str">
        <f t="shared" si="2"/>
        <v>3.3. 위원회심의 지원</v>
      </c>
      <c r="O26" s="37"/>
      <c r="P26" s="39"/>
      <c r="Q26" s="37"/>
      <c r="R26" s="117"/>
      <c r="S26" s="37"/>
      <c r="T26" s="37"/>
      <c r="U26" s="226"/>
      <c r="V26" s="248"/>
      <c r="W26" s="153">
        <f t="array" aca="1" ref="W26" ca="1">SUM((ROUNDDOWN((D42:I42)*단가,0)))</f>
        <v>5425644</v>
      </c>
      <c r="X26" s="154"/>
      <c r="Y26" s="263" t="str">
        <f t="shared" si="1"/>
        <v>제 12 호표</v>
      </c>
      <c r="Z26" s="150"/>
    </row>
    <row r="27" spans="1:26" ht="18" customHeight="1" thickBot="1">
      <c r="A27" s="326"/>
      <c r="B27" s="259" t="s">
        <v>2813</v>
      </c>
      <c r="C27" s="264"/>
      <c r="D27" s="40">
        <v>2</v>
      </c>
      <c r="E27" s="41">
        <v>2</v>
      </c>
      <c r="F27" s="41">
        <v>2</v>
      </c>
      <c r="G27" s="41">
        <v>4</v>
      </c>
      <c r="H27" s="41">
        <v>4</v>
      </c>
      <c r="I27" s="42">
        <v>4</v>
      </c>
      <c r="J27" s="176"/>
      <c r="L27" s="233">
        <v>1</v>
      </c>
      <c r="N27" s="292" t="str">
        <f t="shared" si="2"/>
        <v>3.4. 관계기관 협의</v>
      </c>
      <c r="O27" s="37"/>
      <c r="P27" s="39"/>
      <c r="Q27" s="37"/>
      <c r="R27" s="117"/>
      <c r="S27" s="37"/>
      <c r="T27" s="37"/>
      <c r="U27" s="226"/>
      <c r="V27" s="248"/>
      <c r="W27" s="153">
        <f t="array" aca="1" ref="W27" ca="1">SUM((ROUNDDOWN((D43:I43)*단가,0)))</f>
        <v>5425644</v>
      </c>
      <c r="X27" s="196"/>
      <c r="Y27" s="263" t="str">
        <f t="shared" si="1"/>
        <v>제 13 호표</v>
      </c>
      <c r="Z27" s="150"/>
    </row>
    <row r="28" spans="1:26" ht="18" customHeight="1" thickBot="1">
      <c r="A28" s="326"/>
      <c r="B28" s="249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376"/>
      <c r="O28" s="37"/>
      <c r="P28" s="39"/>
      <c r="Q28" s="37"/>
      <c r="R28" s="117"/>
      <c r="S28" s="37"/>
      <c r="T28" s="37"/>
      <c r="U28" s="180"/>
      <c r="V28" s="192"/>
      <c r="W28" s="153"/>
      <c r="X28" s="196"/>
      <c r="Y28" s="150"/>
      <c r="Z28" s="150"/>
    </row>
    <row r="29" spans="1:26" ht="18" customHeight="1">
      <c r="A29" s="326"/>
      <c r="B29" s="252" t="str">
        <f>B12</f>
        <v>1. 계획안검토</v>
      </c>
      <c r="C29" s="253"/>
      <c r="D29" s="453">
        <f t="shared" ref="D29:I29" si="5">SUBTOTAL(9,D30:D32)</f>
        <v>0.30000000000000004</v>
      </c>
      <c r="E29" s="454">
        <f t="shared" si="5"/>
        <v>0.60000000000000009</v>
      </c>
      <c r="F29" s="454">
        <f t="shared" si="5"/>
        <v>1.1000000000000001</v>
      </c>
      <c r="G29" s="454">
        <f t="shared" si="5"/>
        <v>1.7</v>
      </c>
      <c r="H29" s="454">
        <f t="shared" si="5"/>
        <v>3</v>
      </c>
      <c r="I29" s="455">
        <f t="shared" si="5"/>
        <v>3.5</v>
      </c>
      <c r="J29" s="73"/>
      <c r="N29" s="290" t="s">
        <v>10</v>
      </c>
      <c r="O29" s="129"/>
      <c r="P29" s="130"/>
      <c r="Q29" s="124"/>
      <c r="R29" s="131"/>
      <c r="S29" s="124"/>
      <c r="T29" s="124"/>
      <c r="U29" s="181"/>
      <c r="V29" s="181"/>
      <c r="W29" s="159">
        <f>SUBTOTAL(9,W30:W32)</f>
        <v>1500000</v>
      </c>
      <c r="X29" s="160"/>
      <c r="Y29" s="124"/>
      <c r="Z29" s="124"/>
    </row>
    <row r="30" spans="1:26" ht="18" customHeight="1">
      <c r="A30" s="326">
        <v>1</v>
      </c>
      <c r="B30" s="223" t="str">
        <f t="shared" ref="B30:B44" si="6">B13</f>
        <v>1.1. 관련법규 검토</v>
      </c>
      <c r="C30" s="23"/>
      <c r="D30" s="20">
        <f t="array" ref="D30:I32">ROUNDDOWN(D13:I15*$D$5*$L13:$L15,3)</f>
        <v>0.1</v>
      </c>
      <c r="E30" s="21">
        <v>0.2</v>
      </c>
      <c r="F30" s="21">
        <v>0.3</v>
      </c>
      <c r="G30" s="21">
        <v>0.5</v>
      </c>
      <c r="H30" s="21">
        <v>0.9</v>
      </c>
      <c r="I30" s="22">
        <v>1</v>
      </c>
      <c r="J30" s="74"/>
      <c r="N30" s="128" t="str">
        <f>"여비("&amp;TEXT(R30,"#인 ×")&amp;TEXT(S30,"#일 ×")&amp;TEXT(T30,"###,###원)")</f>
        <v>여비(3인 ×5일 ×100,000원)</v>
      </c>
      <c r="O30" s="78"/>
      <c r="P30" s="52"/>
      <c r="Q30" s="51"/>
      <c r="R30" s="146">
        <v>3</v>
      </c>
      <c r="S30" s="146">
        <v>5</v>
      </c>
      <c r="T30" s="147">
        <v>100000</v>
      </c>
      <c r="U30" s="182"/>
      <c r="V30" s="182"/>
      <c r="W30" s="161">
        <f>R30*S30*T30</f>
        <v>1500000</v>
      </c>
      <c r="X30" s="162"/>
      <c r="Y30" s="51"/>
      <c r="Z30" s="51"/>
    </row>
    <row r="31" spans="1:26" ht="18" customHeight="1">
      <c r="A31" s="326">
        <v>2</v>
      </c>
      <c r="B31" s="223" t="str">
        <f t="shared" si="6"/>
        <v>1.2. 관련계획 검토</v>
      </c>
      <c r="C31" s="23"/>
      <c r="D31" s="20">
        <v>0.1</v>
      </c>
      <c r="E31" s="21">
        <v>0.2</v>
      </c>
      <c r="F31" s="21">
        <v>0.3</v>
      </c>
      <c r="G31" s="21">
        <v>0.5</v>
      </c>
      <c r="H31" s="21">
        <v>0.9</v>
      </c>
      <c r="I31" s="22">
        <v>1</v>
      </c>
      <c r="J31" s="74"/>
      <c r="N31" s="79" t="s">
        <v>46</v>
      </c>
      <c r="O31" s="79"/>
      <c r="P31" s="39"/>
      <c r="Q31" s="37"/>
      <c r="R31" s="117"/>
      <c r="S31" s="37"/>
      <c r="T31" s="37"/>
      <c r="U31" s="180"/>
      <c r="V31" s="180"/>
      <c r="W31" s="157">
        <v>0</v>
      </c>
      <c r="X31" s="158"/>
      <c r="Y31" s="37"/>
      <c r="Z31" s="37"/>
    </row>
    <row r="32" spans="1:26" ht="18" customHeight="1">
      <c r="A32" s="326">
        <v>3</v>
      </c>
      <c r="B32" s="223" t="str">
        <f t="shared" si="6"/>
        <v>1.3. 주변지역과의 상관성 검토</v>
      </c>
      <c r="C32" s="23"/>
      <c r="D32" s="40">
        <v>0.1</v>
      </c>
      <c r="E32" s="21">
        <v>0.2</v>
      </c>
      <c r="F32" s="21">
        <v>0.5</v>
      </c>
      <c r="G32" s="21">
        <v>0.7</v>
      </c>
      <c r="H32" s="21">
        <v>1.2</v>
      </c>
      <c r="I32" s="22">
        <v>1.5</v>
      </c>
      <c r="J32" s="74"/>
      <c r="N32" s="132" t="s">
        <v>13</v>
      </c>
      <c r="O32" s="132"/>
      <c r="P32" s="38"/>
      <c r="Q32" s="38"/>
      <c r="R32" s="116"/>
      <c r="S32" s="38"/>
      <c r="T32" s="38"/>
      <c r="U32" s="183"/>
      <c r="V32" s="183"/>
      <c r="W32" s="155">
        <v>0</v>
      </c>
      <c r="X32" s="156"/>
      <c r="Y32" s="38"/>
      <c r="Z32" s="38"/>
    </row>
    <row r="33" spans="1:26" ht="18" customHeight="1">
      <c r="A33" s="326"/>
      <c r="B33" s="222" t="str">
        <f t="shared" si="6"/>
        <v>2. 농지·산지전용 도서작성</v>
      </c>
      <c r="C33" s="47"/>
      <c r="D33" s="33">
        <f t="shared" ref="D33:I33" si="7">SUBTOTAL(9,D34:D39)</f>
        <v>0.8</v>
      </c>
      <c r="E33" s="34">
        <f t="shared" si="7"/>
        <v>4.3000000000000007</v>
      </c>
      <c r="F33" s="34">
        <f t="shared" si="7"/>
        <v>11.100000000000001</v>
      </c>
      <c r="G33" s="34">
        <f t="shared" si="7"/>
        <v>16</v>
      </c>
      <c r="H33" s="34">
        <f t="shared" si="7"/>
        <v>30.300000000000004</v>
      </c>
      <c r="I33" s="35">
        <f t="shared" si="7"/>
        <v>35.1</v>
      </c>
      <c r="J33" s="74"/>
      <c r="N33" s="127" t="s">
        <v>47</v>
      </c>
      <c r="O33" s="123"/>
      <c r="P33" s="123"/>
      <c r="Q33" s="123"/>
      <c r="R33" s="123"/>
      <c r="S33" s="123"/>
      <c r="T33" s="123"/>
      <c r="U33" s="184"/>
      <c r="V33" s="184"/>
      <c r="W33" s="163">
        <f ca="1">SUBTOTAL(9,W34:W35)</f>
        <v>119966546</v>
      </c>
      <c r="X33" s="164"/>
      <c r="Y33" s="123"/>
      <c r="Z33" s="123"/>
    </row>
    <row r="34" spans="1:26" ht="18" customHeight="1">
      <c r="A34" s="326">
        <v>4</v>
      </c>
      <c r="B34" s="223" t="str">
        <f t="shared" si="6"/>
        <v>2.1. 농지·산지 전용협의 요청서 작성</v>
      </c>
      <c r="C34" s="23"/>
      <c r="D34" s="20">
        <f t="array" ref="D34:I39">ROUNDDOWN(D17:I22*$D$5*$L17:$L22,3)</f>
        <v>0.4</v>
      </c>
      <c r="E34" s="21">
        <v>0.7</v>
      </c>
      <c r="F34" s="21">
        <v>1.4</v>
      </c>
      <c r="G34" s="21">
        <v>2</v>
      </c>
      <c r="H34" s="21">
        <v>3.8</v>
      </c>
      <c r="I34" s="22">
        <v>4.3</v>
      </c>
      <c r="J34" s="74"/>
      <c r="N34" s="133" t="s">
        <v>861</v>
      </c>
      <c r="O34" s="124"/>
      <c r="P34" s="134"/>
      <c r="Q34" s="124"/>
      <c r="R34" s="131"/>
      <c r="S34" s="124"/>
      <c r="T34" s="181"/>
      <c r="U34" s="181"/>
      <c r="V34" s="190">
        <v>1.1499999999999999</v>
      </c>
      <c r="W34" s="159">
        <f ca="1">ROUNDDOWN(W11*V34,0)</f>
        <v>76858790</v>
      </c>
      <c r="X34" s="160"/>
      <c r="Y34" s="124"/>
      <c r="Z34" s="124"/>
    </row>
    <row r="35" spans="1:26" ht="18" customHeight="1" thickBot="1">
      <c r="A35" s="326">
        <v>5</v>
      </c>
      <c r="B35" s="223" t="str">
        <f t="shared" si="6"/>
        <v>2.2. 농지·산지 편입현황조서 작성</v>
      </c>
      <c r="C35" s="23"/>
      <c r="D35" s="20">
        <v>0</v>
      </c>
      <c r="E35" s="21">
        <v>0.8</v>
      </c>
      <c r="F35" s="21">
        <v>4.0999999999999996</v>
      </c>
      <c r="G35" s="21">
        <v>6</v>
      </c>
      <c r="H35" s="21">
        <v>11.3</v>
      </c>
      <c r="I35" s="22">
        <v>13</v>
      </c>
      <c r="J35" s="74"/>
      <c r="N35" s="135" t="s">
        <v>862</v>
      </c>
      <c r="O35" s="136"/>
      <c r="P35" s="137"/>
      <c r="Q35" s="136"/>
      <c r="R35" s="138"/>
      <c r="S35" s="136"/>
      <c r="T35" s="185"/>
      <c r="U35" s="185"/>
      <c r="V35" s="191">
        <v>0.3</v>
      </c>
      <c r="W35" s="165">
        <f ca="1">ROUNDDOWN((W11+W34)*V35,0)</f>
        <v>43107756</v>
      </c>
      <c r="X35" s="166"/>
      <c r="Y35" s="136"/>
      <c r="Z35" s="136"/>
    </row>
    <row r="36" spans="1:26" ht="18" customHeight="1">
      <c r="A36" s="326">
        <v>6</v>
      </c>
      <c r="B36" s="223" t="str">
        <f t="shared" si="6"/>
        <v>2.3. 피해방지계획서 작성</v>
      </c>
      <c r="C36" s="23"/>
      <c r="D36" s="20">
        <v>0.4</v>
      </c>
      <c r="E36" s="21">
        <v>0.7</v>
      </c>
      <c r="F36" s="21">
        <v>1.4</v>
      </c>
      <c r="G36" s="21">
        <v>2</v>
      </c>
      <c r="H36" s="21">
        <v>3.8</v>
      </c>
      <c r="I36" s="22">
        <v>4.3</v>
      </c>
      <c r="J36" s="74"/>
    </row>
    <row r="37" spans="1:26" ht="18" customHeight="1">
      <c r="A37" s="326">
        <v>7</v>
      </c>
      <c r="B37" s="223" t="str">
        <f t="shared" si="6"/>
        <v>2.4. 계획 관련도서 작성</v>
      </c>
      <c r="C37" s="23"/>
      <c r="D37" s="20">
        <v>0</v>
      </c>
      <c r="E37" s="21">
        <v>0.7</v>
      </c>
      <c r="F37" s="21">
        <v>1.4</v>
      </c>
      <c r="G37" s="21">
        <v>2</v>
      </c>
      <c r="H37" s="21">
        <v>3.8</v>
      </c>
      <c r="I37" s="22">
        <v>4.5</v>
      </c>
      <c r="J37" s="74"/>
    </row>
    <row r="38" spans="1:26" ht="18" customHeight="1">
      <c r="A38" s="326">
        <v>8</v>
      </c>
      <c r="B38" s="223" t="str">
        <f t="shared" si="6"/>
        <v>2.5. 농지·산지 관련도서 작성</v>
      </c>
      <c r="C38" s="23"/>
      <c r="D38" s="20">
        <v>0</v>
      </c>
      <c r="E38" s="21">
        <v>0.7</v>
      </c>
      <c r="F38" s="21">
        <v>1.4</v>
      </c>
      <c r="G38" s="21">
        <v>2</v>
      </c>
      <c r="H38" s="21">
        <v>3.8</v>
      </c>
      <c r="I38" s="22">
        <v>4.5</v>
      </c>
      <c r="J38" s="74"/>
    </row>
    <row r="39" spans="1:26" ht="18" customHeight="1">
      <c r="A39" s="326">
        <v>9</v>
      </c>
      <c r="B39" s="259" t="str">
        <f t="shared" si="6"/>
        <v>2.6. 초지 관련도서 작성(농지)</v>
      </c>
      <c r="C39" s="43"/>
      <c r="D39" s="40">
        <v>0</v>
      </c>
      <c r="E39" s="41">
        <v>0.7</v>
      </c>
      <c r="F39" s="41">
        <v>1.4</v>
      </c>
      <c r="G39" s="41">
        <v>2</v>
      </c>
      <c r="H39" s="41">
        <v>3.8</v>
      </c>
      <c r="I39" s="42">
        <v>4.5</v>
      </c>
      <c r="J39" s="74"/>
      <c r="M39" s="171" t="s">
        <v>14</v>
      </c>
    </row>
    <row r="40" spans="1:26" ht="18" customHeight="1">
      <c r="A40" s="355"/>
      <c r="B40" s="222" t="str">
        <f t="shared" si="6"/>
        <v>3. 기술협의</v>
      </c>
      <c r="C40" s="222"/>
      <c r="D40" s="48">
        <f t="shared" ref="D40:I40" si="8">SUBTOTAL(9,D41:D44)</f>
        <v>8</v>
      </c>
      <c r="E40" s="49">
        <f t="shared" si="8"/>
        <v>8</v>
      </c>
      <c r="F40" s="49">
        <f t="shared" si="8"/>
        <v>8</v>
      </c>
      <c r="G40" s="49">
        <f t="shared" si="8"/>
        <v>16</v>
      </c>
      <c r="H40" s="49">
        <f t="shared" si="8"/>
        <v>16</v>
      </c>
      <c r="I40" s="50">
        <f t="shared" si="8"/>
        <v>16</v>
      </c>
      <c r="J40" s="74"/>
      <c r="L40" s="456"/>
      <c r="M40" s="171" t="s">
        <v>14</v>
      </c>
    </row>
    <row r="41" spans="1:26" ht="18" customHeight="1">
      <c r="A41" s="326">
        <v>10</v>
      </c>
      <c r="B41" s="223" t="str">
        <f t="shared" si="6"/>
        <v>3.1. 공청회/주민설명회</v>
      </c>
      <c r="C41" s="237"/>
      <c r="D41" s="20">
        <f t="array" ref="D41:I44">ROUNDDOWN(D24:I27*$L24:$L27*I5,3)</f>
        <v>2</v>
      </c>
      <c r="E41" s="21">
        <v>2</v>
      </c>
      <c r="F41" s="21">
        <v>2</v>
      </c>
      <c r="G41" s="21">
        <v>4</v>
      </c>
      <c r="H41" s="21">
        <v>4</v>
      </c>
      <c r="I41" s="22">
        <v>4</v>
      </c>
      <c r="J41" s="74"/>
      <c r="L41" s="456"/>
      <c r="M41" s="171" t="s">
        <v>14</v>
      </c>
    </row>
    <row r="42" spans="1:26" ht="18" customHeight="1">
      <c r="A42" s="326">
        <v>11</v>
      </c>
      <c r="B42" s="223" t="str">
        <f t="shared" si="6"/>
        <v>3.2. 주민간담회/시민계획단</v>
      </c>
      <c r="C42" s="237"/>
      <c r="D42" s="20">
        <v>2</v>
      </c>
      <c r="E42" s="21">
        <v>2</v>
      </c>
      <c r="F42" s="21">
        <v>2</v>
      </c>
      <c r="G42" s="21">
        <v>4</v>
      </c>
      <c r="H42" s="21">
        <v>4</v>
      </c>
      <c r="I42" s="22">
        <v>4</v>
      </c>
      <c r="J42" s="74"/>
      <c r="L42" s="456"/>
      <c r="M42" s="171" t="s">
        <v>14</v>
      </c>
    </row>
    <row r="43" spans="1:26" ht="18" customHeight="1">
      <c r="A43" s="326">
        <v>12</v>
      </c>
      <c r="B43" s="223" t="str">
        <f t="shared" si="6"/>
        <v>3.3. 위원회심의 지원</v>
      </c>
      <c r="C43" s="237"/>
      <c r="D43" s="20">
        <v>2</v>
      </c>
      <c r="E43" s="21">
        <v>2</v>
      </c>
      <c r="F43" s="21">
        <v>2</v>
      </c>
      <c r="G43" s="21">
        <v>4</v>
      </c>
      <c r="H43" s="21">
        <v>4</v>
      </c>
      <c r="I43" s="22">
        <v>4</v>
      </c>
      <c r="J43" s="74"/>
      <c r="L43" s="456"/>
      <c r="M43" s="171" t="s">
        <v>14</v>
      </c>
    </row>
    <row r="44" spans="1:26" ht="18" customHeight="1" thickBot="1">
      <c r="A44" s="326">
        <v>13</v>
      </c>
      <c r="B44" s="388" t="str">
        <f t="shared" si="6"/>
        <v>3.4. 관계기관 협의</v>
      </c>
      <c r="C44" s="401"/>
      <c r="D44" s="397">
        <v>2</v>
      </c>
      <c r="E44" s="398">
        <v>2</v>
      </c>
      <c r="F44" s="398">
        <v>2</v>
      </c>
      <c r="G44" s="398">
        <v>4</v>
      </c>
      <c r="H44" s="398">
        <v>4</v>
      </c>
      <c r="I44" s="399">
        <v>4</v>
      </c>
      <c r="J44" s="176"/>
      <c r="L44" s="456"/>
      <c r="M44" s="171" t="s">
        <v>14</v>
      </c>
    </row>
    <row r="45" spans="1:26" ht="18" customHeight="1" thickBot="1">
      <c r="A45" s="326"/>
      <c r="B45" s="85" t="s">
        <v>15</v>
      </c>
      <c r="C45" s="1" t="s">
        <v>2816</v>
      </c>
      <c r="M45" s="171" t="s">
        <v>14</v>
      </c>
      <c r="N45" s="66" t="s">
        <v>18</v>
      </c>
      <c r="O45" s="2"/>
      <c r="P45" s="2"/>
      <c r="Q45" s="2"/>
      <c r="R45" s="3"/>
      <c r="S45" s="4"/>
      <c r="T45" s="3"/>
      <c r="U45" s="4"/>
      <c r="V45" s="3"/>
      <c r="W45" s="4"/>
      <c r="X45" s="3"/>
      <c r="Y45" s="4"/>
      <c r="Z45" s="2"/>
    </row>
    <row r="46" spans="1:26" ht="18" customHeight="1">
      <c r="A46" s="326"/>
      <c r="B46" s="8"/>
      <c r="C46" s="9" t="s">
        <v>2817</v>
      </c>
      <c r="M46" s="171" t="s">
        <v>14</v>
      </c>
      <c r="N46" s="765" t="s">
        <v>19</v>
      </c>
      <c r="O46" s="755" t="s">
        <v>20</v>
      </c>
      <c r="P46" s="755" t="s">
        <v>21</v>
      </c>
      <c r="Q46" s="755" t="s">
        <v>16</v>
      </c>
      <c r="R46" s="5" t="s">
        <v>22</v>
      </c>
      <c r="S46" s="5"/>
      <c r="T46" s="5" t="s">
        <v>23</v>
      </c>
      <c r="U46" s="5"/>
      <c r="V46" s="5" t="s">
        <v>24</v>
      </c>
      <c r="W46" s="5"/>
      <c r="X46" s="5" t="s">
        <v>25</v>
      </c>
      <c r="Y46" s="5"/>
      <c r="Z46" s="755" t="s">
        <v>26</v>
      </c>
    </row>
    <row r="47" spans="1:26" ht="18" customHeight="1" thickBot="1">
      <c r="A47" s="326"/>
      <c r="C47" s="1" t="s">
        <v>2818</v>
      </c>
      <c r="M47" s="171" t="s">
        <v>14</v>
      </c>
      <c r="N47" s="766"/>
      <c r="O47" s="756"/>
      <c r="P47" s="756"/>
      <c r="Q47" s="756"/>
      <c r="R47" s="67" t="s">
        <v>27</v>
      </c>
      <c r="S47" s="67" t="s">
        <v>28</v>
      </c>
      <c r="T47" s="67" t="s">
        <v>27</v>
      </c>
      <c r="U47" s="67" t="s">
        <v>28</v>
      </c>
      <c r="V47" s="67" t="s">
        <v>27</v>
      </c>
      <c r="W47" s="67" t="s">
        <v>28</v>
      </c>
      <c r="X47" s="67" t="s">
        <v>27</v>
      </c>
      <c r="Y47" s="67" t="s">
        <v>28</v>
      </c>
      <c r="Z47" s="756"/>
    </row>
    <row r="48" spans="1:26" ht="18" customHeight="1" thickTop="1">
      <c r="A48" s="326"/>
      <c r="C48" s="1" t="s">
        <v>2819</v>
      </c>
      <c r="M48" s="171" t="s">
        <v>14</v>
      </c>
      <c r="N48" s="318" t="str">
        <f ca="1">"제 " &amp; Z48 &amp; " 호표  "&amp; OFFSET($A$1,MATCH(Z48,$A:$A,0)-1,1)</f>
        <v>제 1 호표  1.1. 관련법규 검토</v>
      </c>
      <c r="O48" s="221"/>
      <c r="P48" s="148"/>
      <c r="Q48" s="148"/>
      <c r="R48" s="149"/>
      <c r="S48" s="149"/>
      <c r="T48" s="149"/>
      <c r="U48" s="149"/>
      <c r="V48" s="149"/>
      <c r="W48" s="149"/>
      <c r="X48" s="149"/>
      <c r="Y48" s="149"/>
      <c r="Z48" s="325">
        <v>1</v>
      </c>
    </row>
    <row r="49" spans="1:26" ht="18" customHeight="1">
      <c r="A49" s="326"/>
      <c r="C49" s="1" t="s">
        <v>2820</v>
      </c>
      <c r="M49" s="171" t="s">
        <v>14</v>
      </c>
      <c r="N49" s="140" t="s">
        <v>43</v>
      </c>
      <c r="O49" s="172">
        <v>3</v>
      </c>
      <c r="P49" s="219">
        <f ca="1">OFFSET($A$1,MATCH(Z48,$A:$A,0)-1,O49)</f>
        <v>0.1</v>
      </c>
      <c r="Q49" s="141" t="s">
        <v>29</v>
      </c>
      <c r="R49" s="142">
        <f t="shared" ref="R49:S54" ca="1" si="9">T49</f>
        <v>467217</v>
      </c>
      <c r="S49" s="142">
        <f t="shared" ca="1" si="9"/>
        <v>46721</v>
      </c>
      <c r="T49" s="142">
        <f ca="1">기술사</f>
        <v>467217</v>
      </c>
      <c r="U49" s="142">
        <f t="shared" ref="U49:U54" ca="1" si="10">ROUNDDOWN(P49*R49,0)</f>
        <v>46721</v>
      </c>
      <c r="V49" s="142"/>
      <c r="W49" s="142"/>
      <c r="X49" s="142"/>
      <c r="Y49" s="142"/>
      <c r="Z49" s="114"/>
    </row>
    <row r="50" spans="1:26" ht="18" customHeight="1">
      <c r="A50" s="326"/>
      <c r="C50" s="1" t="s">
        <v>2821</v>
      </c>
      <c r="M50" s="171" t="s">
        <v>14</v>
      </c>
      <c r="N50" s="143" t="s">
        <v>32</v>
      </c>
      <c r="O50" s="173">
        <v>4</v>
      </c>
      <c r="P50" s="234">
        <f ca="1">OFFSET($A$1,MATCH(Z48,$A:$A,0)-1,O50)</f>
        <v>0.2</v>
      </c>
      <c r="Q50" s="144" t="s">
        <v>29</v>
      </c>
      <c r="R50" s="118">
        <f t="shared" ca="1" si="9"/>
        <v>373353</v>
      </c>
      <c r="S50" s="118">
        <f t="shared" ca="1" si="9"/>
        <v>74670</v>
      </c>
      <c r="T50" s="118">
        <f ca="1">특급</f>
        <v>373353</v>
      </c>
      <c r="U50" s="118">
        <f t="shared" ca="1" si="10"/>
        <v>74670</v>
      </c>
      <c r="V50" s="118"/>
      <c r="W50" s="118"/>
      <c r="X50" s="118"/>
      <c r="Y50" s="118"/>
      <c r="Z50" s="115"/>
    </row>
    <row r="51" spans="1:26" ht="18" customHeight="1">
      <c r="C51" s="1" t="s">
        <v>2822</v>
      </c>
      <c r="K51" s="171" t="s">
        <v>14</v>
      </c>
      <c r="L51" s="171"/>
      <c r="M51" s="171"/>
      <c r="N51" s="145" t="s">
        <v>39</v>
      </c>
      <c r="O51" s="173">
        <v>5</v>
      </c>
      <c r="P51" s="234">
        <f ca="1">OFFSET($A$1,MATCH(Z48,$A:$A,0)-1,O51)</f>
        <v>0.3</v>
      </c>
      <c r="Q51" s="144" t="s">
        <v>29</v>
      </c>
      <c r="R51" s="118">
        <f t="shared" ca="1" si="9"/>
        <v>310884</v>
      </c>
      <c r="S51" s="118">
        <f t="shared" ca="1" si="9"/>
        <v>93265</v>
      </c>
      <c r="T51" s="118">
        <f ca="1">고급</f>
        <v>310884</v>
      </c>
      <c r="U51" s="118">
        <f t="shared" ca="1" si="10"/>
        <v>93265</v>
      </c>
      <c r="V51" s="118"/>
      <c r="W51" s="118"/>
      <c r="X51" s="118"/>
      <c r="Y51" s="118"/>
      <c r="Z51" s="115"/>
    </row>
    <row r="52" spans="1:26" ht="18" customHeight="1">
      <c r="C52" s="1" t="s">
        <v>2823</v>
      </c>
      <c r="K52" s="171" t="s">
        <v>14</v>
      </c>
      <c r="L52" s="171"/>
      <c r="M52" s="171"/>
      <c r="N52" s="145" t="s">
        <v>40</v>
      </c>
      <c r="O52" s="173">
        <v>6</v>
      </c>
      <c r="P52" s="234">
        <f ca="1">OFFSET($A$1,MATCH(Z48,$A:$A,0)-1,O52)</f>
        <v>0.5</v>
      </c>
      <c r="Q52" s="144" t="s">
        <v>29</v>
      </c>
      <c r="R52" s="118">
        <f t="shared" ca="1" si="9"/>
        <v>295138</v>
      </c>
      <c r="S52" s="118">
        <f t="shared" ca="1" si="9"/>
        <v>147569</v>
      </c>
      <c r="T52" s="118">
        <f ca="1">중급</f>
        <v>295138</v>
      </c>
      <c r="U52" s="118">
        <f t="shared" ca="1" si="10"/>
        <v>147569</v>
      </c>
      <c r="V52" s="118"/>
      <c r="W52" s="118"/>
      <c r="X52" s="118"/>
      <c r="Y52" s="118"/>
      <c r="Z52" s="115"/>
    </row>
    <row r="53" spans="1:26" ht="18" customHeight="1">
      <c r="K53" s="171" t="s">
        <v>14</v>
      </c>
      <c r="L53" s="171"/>
      <c r="M53" s="171"/>
      <c r="N53" s="145" t="s">
        <v>41</v>
      </c>
      <c r="O53" s="173">
        <v>7</v>
      </c>
      <c r="P53" s="234">
        <f ca="1">OFFSET($A$1,MATCH(Z48,$A:$A,0)-1,O53)</f>
        <v>0.9</v>
      </c>
      <c r="Q53" s="144" t="s">
        <v>29</v>
      </c>
      <c r="R53" s="118">
        <f t="shared" ca="1" si="9"/>
        <v>235459</v>
      </c>
      <c r="S53" s="118">
        <f t="shared" ca="1" si="9"/>
        <v>211913</v>
      </c>
      <c r="T53" s="118">
        <f ca="1">초급</f>
        <v>235459</v>
      </c>
      <c r="U53" s="118">
        <f t="shared" ca="1" si="10"/>
        <v>211913</v>
      </c>
      <c r="V53" s="118"/>
      <c r="W53" s="118"/>
      <c r="X53" s="118"/>
      <c r="Y53" s="118"/>
      <c r="Z53" s="115"/>
    </row>
    <row r="54" spans="1:26" ht="18" customHeight="1">
      <c r="K54" s="171" t="s">
        <v>14</v>
      </c>
      <c r="L54" s="171"/>
      <c r="M54" s="171"/>
      <c r="N54" s="319" t="s">
        <v>42</v>
      </c>
      <c r="O54" s="174">
        <v>8</v>
      </c>
      <c r="P54" s="235">
        <f ca="1">OFFSET($A$1,MATCH(Z48,$A:$A,0)-1,O54)</f>
        <v>1</v>
      </c>
      <c r="Q54" s="322" t="s">
        <v>29</v>
      </c>
      <c r="R54" s="323">
        <f t="shared" ca="1" si="9"/>
        <v>250087</v>
      </c>
      <c r="S54" s="323">
        <f t="shared" ca="1" si="9"/>
        <v>250087</v>
      </c>
      <c r="T54" s="323">
        <f ca="1">보조원</f>
        <v>250087</v>
      </c>
      <c r="U54" s="323">
        <f t="shared" ca="1" si="10"/>
        <v>250087</v>
      </c>
      <c r="V54" s="323"/>
      <c r="W54" s="323"/>
      <c r="X54" s="323"/>
      <c r="Y54" s="323"/>
      <c r="Z54" s="324"/>
    </row>
    <row r="55" spans="1:26" ht="18" customHeight="1">
      <c r="K55" s="171" t="s">
        <v>14</v>
      </c>
      <c r="L55" s="171"/>
      <c r="M55" s="171"/>
      <c r="N55" s="139" t="s">
        <v>17</v>
      </c>
      <c r="O55" s="68"/>
      <c r="P55" s="69"/>
      <c r="Q55" s="70"/>
      <c r="R55" s="71"/>
      <c r="S55" s="71">
        <f ca="1">SUBTOTAL(9,S49:S54)</f>
        <v>824225</v>
      </c>
      <c r="T55" s="71"/>
      <c r="U55" s="71">
        <f ca="1">SUBTOTAL(9,U49:U54)</f>
        <v>824225</v>
      </c>
      <c r="V55" s="71"/>
      <c r="W55" s="71"/>
      <c r="X55" s="71"/>
      <c r="Y55" s="71"/>
      <c r="Z55" s="68"/>
    </row>
    <row r="56" spans="1:26" ht="18" customHeight="1">
      <c r="K56" s="171" t="s">
        <v>14</v>
      </c>
      <c r="L56" s="171"/>
      <c r="M56" s="171"/>
      <c r="N56" s="318" t="str">
        <f ca="1">"제 " &amp; Z56 &amp; " 호표  "&amp; OFFSET($A$1,MATCH(Z56,$A:$A,0)-1,1)</f>
        <v>제 2 호표  1.2. 관련계획 검토</v>
      </c>
      <c r="O56" s="221"/>
      <c r="P56" s="148"/>
      <c r="Q56" s="148"/>
      <c r="R56" s="149"/>
      <c r="S56" s="149"/>
      <c r="T56" s="149"/>
      <c r="U56" s="149"/>
      <c r="V56" s="149"/>
      <c r="W56" s="149"/>
      <c r="X56" s="149"/>
      <c r="Y56" s="149"/>
      <c r="Z56" s="325">
        <f>Z48+1</f>
        <v>2</v>
      </c>
    </row>
    <row r="57" spans="1:26" ht="18" customHeight="1">
      <c r="K57" s="171" t="s">
        <v>14</v>
      </c>
      <c r="L57" s="171"/>
      <c r="M57" s="171"/>
      <c r="N57" s="140" t="s">
        <v>43</v>
      </c>
      <c r="O57" s="172">
        <v>3</v>
      </c>
      <c r="P57" s="219">
        <f ca="1">OFFSET($A$1,MATCH(Z56,$A:$A,0)-1,O57)</f>
        <v>0.1</v>
      </c>
      <c r="Q57" s="141" t="s">
        <v>29</v>
      </c>
      <c r="R57" s="142">
        <f t="shared" ref="R57:S62" ca="1" si="11">T57</f>
        <v>467217</v>
      </c>
      <c r="S57" s="142">
        <f t="shared" ca="1" si="11"/>
        <v>46721</v>
      </c>
      <c r="T57" s="142">
        <f ca="1">기술사</f>
        <v>467217</v>
      </c>
      <c r="U57" s="142">
        <f t="shared" ref="U57:U62" ca="1" si="12">ROUNDDOWN(P57*R57,0)</f>
        <v>46721</v>
      </c>
      <c r="V57" s="142"/>
      <c r="W57" s="142"/>
      <c r="X57" s="142"/>
      <c r="Y57" s="142"/>
      <c r="Z57" s="114"/>
    </row>
    <row r="58" spans="1:26" ht="18" customHeight="1">
      <c r="K58" s="171" t="s">
        <v>14</v>
      </c>
      <c r="L58" s="171"/>
      <c r="M58" s="171"/>
      <c r="N58" s="143" t="s">
        <v>32</v>
      </c>
      <c r="O58" s="173">
        <v>4</v>
      </c>
      <c r="P58" s="234">
        <f ca="1">OFFSET($A$1,MATCH(Z56,$A:$A,0)-1,O58)</f>
        <v>0.2</v>
      </c>
      <c r="Q58" s="144" t="s">
        <v>29</v>
      </c>
      <c r="R58" s="118">
        <f t="shared" ca="1" si="11"/>
        <v>373353</v>
      </c>
      <c r="S58" s="118">
        <f t="shared" ca="1" si="11"/>
        <v>74670</v>
      </c>
      <c r="T58" s="118">
        <f ca="1">특급</f>
        <v>373353</v>
      </c>
      <c r="U58" s="118">
        <f t="shared" ca="1" si="12"/>
        <v>74670</v>
      </c>
      <c r="V58" s="118"/>
      <c r="W58" s="118"/>
      <c r="X58" s="118"/>
      <c r="Y58" s="118"/>
      <c r="Z58" s="115"/>
    </row>
    <row r="59" spans="1:26" ht="18" customHeight="1">
      <c r="K59" s="171" t="s">
        <v>14</v>
      </c>
      <c r="L59" s="171"/>
      <c r="M59" s="171"/>
      <c r="N59" s="145" t="s">
        <v>39</v>
      </c>
      <c r="O59" s="173">
        <v>5</v>
      </c>
      <c r="P59" s="234">
        <f ca="1">OFFSET($A$1,MATCH(Z56,$A:$A,0)-1,O59)</f>
        <v>0.3</v>
      </c>
      <c r="Q59" s="144" t="s">
        <v>29</v>
      </c>
      <c r="R59" s="118">
        <f t="shared" ca="1" si="11"/>
        <v>310884</v>
      </c>
      <c r="S59" s="118">
        <f t="shared" ca="1" si="11"/>
        <v>93265</v>
      </c>
      <c r="T59" s="118">
        <f ca="1">고급</f>
        <v>310884</v>
      </c>
      <c r="U59" s="118">
        <f t="shared" ca="1" si="12"/>
        <v>93265</v>
      </c>
      <c r="V59" s="118"/>
      <c r="W59" s="118"/>
      <c r="X59" s="118"/>
      <c r="Y59" s="118"/>
      <c r="Z59" s="115"/>
    </row>
    <row r="60" spans="1:26" ht="18" customHeight="1">
      <c r="K60" s="171" t="s">
        <v>14</v>
      </c>
      <c r="L60" s="171"/>
      <c r="M60" s="171"/>
      <c r="N60" s="145" t="s">
        <v>40</v>
      </c>
      <c r="O60" s="173">
        <v>6</v>
      </c>
      <c r="P60" s="234">
        <f ca="1">OFFSET($A$1,MATCH(Z56,$A:$A,0)-1,O60)</f>
        <v>0.5</v>
      </c>
      <c r="Q60" s="144" t="s">
        <v>29</v>
      </c>
      <c r="R60" s="118">
        <f t="shared" ca="1" si="11"/>
        <v>295138</v>
      </c>
      <c r="S60" s="118">
        <f t="shared" ca="1" si="11"/>
        <v>147569</v>
      </c>
      <c r="T60" s="118">
        <f ca="1">중급</f>
        <v>295138</v>
      </c>
      <c r="U60" s="118">
        <f t="shared" ca="1" si="12"/>
        <v>147569</v>
      </c>
      <c r="V60" s="118"/>
      <c r="W60" s="118"/>
      <c r="X60" s="118"/>
      <c r="Y60" s="118"/>
      <c r="Z60" s="115"/>
    </row>
    <row r="61" spans="1:26" ht="18" customHeight="1">
      <c r="K61" s="171" t="s">
        <v>14</v>
      </c>
      <c r="L61" s="171"/>
      <c r="N61" s="145" t="s">
        <v>41</v>
      </c>
      <c r="O61" s="173">
        <v>7</v>
      </c>
      <c r="P61" s="234">
        <f ca="1">OFFSET($A$1,MATCH(Z56,$A:$A,0)-1,O61)</f>
        <v>0.9</v>
      </c>
      <c r="Q61" s="144" t="s">
        <v>29</v>
      </c>
      <c r="R61" s="118">
        <f t="shared" ca="1" si="11"/>
        <v>235459</v>
      </c>
      <c r="S61" s="118">
        <f t="shared" ca="1" si="11"/>
        <v>211913</v>
      </c>
      <c r="T61" s="118">
        <f ca="1">초급</f>
        <v>235459</v>
      </c>
      <c r="U61" s="118">
        <f t="shared" ca="1" si="12"/>
        <v>211913</v>
      </c>
      <c r="V61" s="118"/>
      <c r="W61" s="118"/>
      <c r="X61" s="118"/>
      <c r="Y61" s="118"/>
      <c r="Z61" s="115"/>
    </row>
    <row r="62" spans="1:26" ht="18" customHeight="1">
      <c r="K62" s="171" t="s">
        <v>14</v>
      </c>
      <c r="L62" s="171"/>
      <c r="N62" s="319" t="s">
        <v>42</v>
      </c>
      <c r="O62" s="174">
        <v>8</v>
      </c>
      <c r="P62" s="235">
        <f ca="1">OFFSET($A$1,MATCH(Z56,$A:$A,0)-1,O62)</f>
        <v>1</v>
      </c>
      <c r="Q62" s="322" t="s">
        <v>29</v>
      </c>
      <c r="R62" s="323">
        <f t="shared" ca="1" si="11"/>
        <v>250087</v>
      </c>
      <c r="S62" s="323">
        <f t="shared" ca="1" si="11"/>
        <v>250087</v>
      </c>
      <c r="T62" s="323">
        <f ca="1">보조원</f>
        <v>250087</v>
      </c>
      <c r="U62" s="323">
        <f t="shared" ca="1" si="12"/>
        <v>250087</v>
      </c>
      <c r="V62" s="323"/>
      <c r="W62" s="323"/>
      <c r="X62" s="323"/>
      <c r="Y62" s="323"/>
      <c r="Z62" s="324"/>
    </row>
    <row r="63" spans="1:26" ht="18" customHeight="1">
      <c r="K63" s="171" t="s">
        <v>14</v>
      </c>
      <c r="L63" s="171"/>
      <c r="N63" s="139" t="s">
        <v>17</v>
      </c>
      <c r="O63" s="68"/>
      <c r="P63" s="69"/>
      <c r="Q63" s="70"/>
      <c r="R63" s="71"/>
      <c r="S63" s="71">
        <f ca="1">SUBTOTAL(9,S57:S62)</f>
        <v>824225</v>
      </c>
      <c r="T63" s="71"/>
      <c r="U63" s="71">
        <f ca="1">SUBTOTAL(9,U57:U62)</f>
        <v>824225</v>
      </c>
      <c r="V63" s="71"/>
      <c r="W63" s="71"/>
      <c r="X63" s="71"/>
      <c r="Y63" s="71"/>
      <c r="Z63" s="68"/>
    </row>
    <row r="64" spans="1:26" ht="18" customHeight="1">
      <c r="K64" s="171" t="s">
        <v>14</v>
      </c>
      <c r="L64" s="171"/>
      <c r="N64" s="318" t="str">
        <f ca="1">"제 " &amp; Z64 &amp; " 호표  "&amp; OFFSET($A$1,MATCH(Z64,$A:$A,0)-1,1)</f>
        <v>제 3 호표  1.3. 주변지역과의 상관성 검토</v>
      </c>
      <c r="O64" s="221"/>
      <c r="P64" s="148"/>
      <c r="Q64" s="148"/>
      <c r="R64" s="149"/>
      <c r="S64" s="149"/>
      <c r="T64" s="149"/>
      <c r="U64" s="149"/>
      <c r="V64" s="149"/>
      <c r="W64" s="149"/>
      <c r="X64" s="149"/>
      <c r="Y64" s="149"/>
      <c r="Z64" s="325">
        <f>Z56+1</f>
        <v>3</v>
      </c>
    </row>
    <row r="65" spans="14:26" ht="18" customHeight="1">
      <c r="N65" s="140" t="s">
        <v>43</v>
      </c>
      <c r="O65" s="172">
        <v>3</v>
      </c>
      <c r="P65" s="219">
        <f ca="1">OFFSET($A$1,MATCH(Z64,$A:$A,0)-1,O65)</f>
        <v>0.1</v>
      </c>
      <c r="Q65" s="141" t="s">
        <v>29</v>
      </c>
      <c r="R65" s="142">
        <f t="shared" ref="R65:S70" ca="1" si="13">T65</f>
        <v>467217</v>
      </c>
      <c r="S65" s="142">
        <f t="shared" ca="1" si="13"/>
        <v>46721</v>
      </c>
      <c r="T65" s="142">
        <f ca="1">기술사</f>
        <v>467217</v>
      </c>
      <c r="U65" s="142">
        <f t="shared" ref="U65:U70" ca="1" si="14">ROUNDDOWN(P65*R65,0)</f>
        <v>46721</v>
      </c>
      <c r="V65" s="142"/>
      <c r="W65" s="142"/>
      <c r="X65" s="142"/>
      <c r="Y65" s="142"/>
      <c r="Z65" s="114"/>
    </row>
    <row r="66" spans="14:26" ht="18" customHeight="1">
      <c r="N66" s="143" t="s">
        <v>32</v>
      </c>
      <c r="O66" s="173">
        <v>4</v>
      </c>
      <c r="P66" s="234">
        <f ca="1">OFFSET($A$1,MATCH(Z64,$A:$A,0)-1,O66)</f>
        <v>0.2</v>
      </c>
      <c r="Q66" s="144" t="s">
        <v>29</v>
      </c>
      <c r="R66" s="118">
        <f t="shared" ca="1" si="13"/>
        <v>373353</v>
      </c>
      <c r="S66" s="118">
        <f t="shared" ca="1" si="13"/>
        <v>74670</v>
      </c>
      <c r="T66" s="118">
        <f ca="1">특급</f>
        <v>373353</v>
      </c>
      <c r="U66" s="118">
        <f t="shared" ca="1" si="14"/>
        <v>74670</v>
      </c>
      <c r="V66" s="118"/>
      <c r="W66" s="118"/>
      <c r="X66" s="118"/>
      <c r="Y66" s="118"/>
      <c r="Z66" s="115"/>
    </row>
    <row r="67" spans="14:26" ht="18" customHeight="1">
      <c r="N67" s="145" t="s">
        <v>39</v>
      </c>
      <c r="O67" s="173">
        <v>5</v>
      </c>
      <c r="P67" s="234">
        <f ca="1">OFFSET($A$1,MATCH(Z64,$A:$A,0)-1,O67)</f>
        <v>0.5</v>
      </c>
      <c r="Q67" s="144" t="s">
        <v>29</v>
      </c>
      <c r="R67" s="118">
        <f t="shared" ca="1" si="13"/>
        <v>310884</v>
      </c>
      <c r="S67" s="118">
        <f t="shared" ca="1" si="13"/>
        <v>155442</v>
      </c>
      <c r="T67" s="118">
        <f ca="1">고급</f>
        <v>310884</v>
      </c>
      <c r="U67" s="118">
        <f t="shared" ca="1" si="14"/>
        <v>155442</v>
      </c>
      <c r="V67" s="118"/>
      <c r="W67" s="118"/>
      <c r="X67" s="118"/>
      <c r="Y67" s="118"/>
      <c r="Z67" s="115"/>
    </row>
    <row r="68" spans="14:26" ht="18" customHeight="1">
      <c r="N68" s="145" t="s">
        <v>40</v>
      </c>
      <c r="O68" s="173">
        <v>6</v>
      </c>
      <c r="P68" s="234">
        <f ca="1">OFFSET($A$1,MATCH(Z64,$A:$A,0)-1,O68)</f>
        <v>0.7</v>
      </c>
      <c r="Q68" s="144" t="s">
        <v>29</v>
      </c>
      <c r="R68" s="118">
        <f t="shared" ca="1" si="13"/>
        <v>295138</v>
      </c>
      <c r="S68" s="118">
        <f t="shared" ca="1" si="13"/>
        <v>206596</v>
      </c>
      <c r="T68" s="118">
        <f ca="1">중급</f>
        <v>295138</v>
      </c>
      <c r="U68" s="118">
        <f t="shared" ca="1" si="14"/>
        <v>206596</v>
      </c>
      <c r="V68" s="118"/>
      <c r="W68" s="118"/>
      <c r="X68" s="118"/>
      <c r="Y68" s="118"/>
      <c r="Z68" s="115"/>
    </row>
    <row r="69" spans="14:26" ht="18" customHeight="1">
      <c r="N69" s="145" t="s">
        <v>41</v>
      </c>
      <c r="O69" s="173">
        <v>7</v>
      </c>
      <c r="P69" s="234">
        <f ca="1">OFFSET($A$1,MATCH(Z64,$A:$A,0)-1,O69)</f>
        <v>1.2</v>
      </c>
      <c r="Q69" s="144" t="s">
        <v>29</v>
      </c>
      <c r="R69" s="118">
        <f t="shared" ca="1" si="13"/>
        <v>235459</v>
      </c>
      <c r="S69" s="118">
        <f t="shared" ca="1" si="13"/>
        <v>282550</v>
      </c>
      <c r="T69" s="118">
        <f ca="1">초급</f>
        <v>235459</v>
      </c>
      <c r="U69" s="118">
        <f t="shared" ca="1" si="14"/>
        <v>282550</v>
      </c>
      <c r="V69" s="118"/>
      <c r="W69" s="118"/>
      <c r="X69" s="118"/>
      <c r="Y69" s="118"/>
      <c r="Z69" s="115"/>
    </row>
    <row r="70" spans="14:26" ht="18" customHeight="1">
      <c r="N70" s="319" t="s">
        <v>42</v>
      </c>
      <c r="O70" s="174">
        <v>8</v>
      </c>
      <c r="P70" s="235">
        <f ca="1">OFFSET($A$1,MATCH(Z64,$A:$A,0)-1,O70)</f>
        <v>1.5</v>
      </c>
      <c r="Q70" s="322" t="s">
        <v>29</v>
      </c>
      <c r="R70" s="323">
        <f t="shared" ca="1" si="13"/>
        <v>250087</v>
      </c>
      <c r="S70" s="323">
        <f t="shared" ca="1" si="13"/>
        <v>375130</v>
      </c>
      <c r="T70" s="323">
        <f ca="1">보조원</f>
        <v>250087</v>
      </c>
      <c r="U70" s="323">
        <f t="shared" ca="1" si="14"/>
        <v>375130</v>
      </c>
      <c r="V70" s="323"/>
      <c r="W70" s="323"/>
      <c r="X70" s="323"/>
      <c r="Y70" s="323"/>
      <c r="Z70" s="324"/>
    </row>
    <row r="71" spans="14:26" ht="18" customHeight="1">
      <c r="N71" s="139" t="s">
        <v>17</v>
      </c>
      <c r="O71" s="68"/>
      <c r="P71" s="69"/>
      <c r="Q71" s="70"/>
      <c r="R71" s="71"/>
      <c r="S71" s="71">
        <f ca="1">SUBTOTAL(9,S65:S70)</f>
        <v>1141109</v>
      </c>
      <c r="T71" s="71"/>
      <c r="U71" s="71">
        <f ca="1">SUBTOTAL(9,U65:U70)</f>
        <v>1141109</v>
      </c>
      <c r="V71" s="71"/>
      <c r="W71" s="71"/>
      <c r="X71" s="71"/>
      <c r="Y71" s="71"/>
      <c r="Z71" s="68"/>
    </row>
    <row r="72" spans="14:26" ht="18" customHeight="1">
      <c r="N72" s="318" t="str">
        <f ca="1">"제 " &amp; Z72 &amp; " 호표  "&amp; OFFSET($A$1,MATCH(Z72,$A:$A,0)-1,1)</f>
        <v>제 4 호표  2.1. 농지·산지 전용협의 요청서 작성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f>Z64+1</f>
        <v>4</v>
      </c>
    </row>
    <row r="73" spans="14:26" ht="18" customHeight="1">
      <c r="N73" s="140" t="s">
        <v>43</v>
      </c>
      <c r="O73" s="172">
        <v>3</v>
      </c>
      <c r="P73" s="219">
        <f ca="1">OFFSET($A$1,MATCH(Z72,$A:$A,0)-1,O73)</f>
        <v>0.4</v>
      </c>
      <c r="Q73" s="141" t="s">
        <v>29</v>
      </c>
      <c r="R73" s="142">
        <f t="shared" ref="R73:S78" ca="1" si="15">T73</f>
        <v>467217</v>
      </c>
      <c r="S73" s="142">
        <f t="shared" ca="1" si="15"/>
        <v>186886</v>
      </c>
      <c r="T73" s="142">
        <f ca="1">기술사</f>
        <v>467217</v>
      </c>
      <c r="U73" s="142">
        <f t="shared" ref="U73:U78" ca="1" si="16">ROUNDDOWN(P73*R73,0)</f>
        <v>186886</v>
      </c>
      <c r="V73" s="142"/>
      <c r="W73" s="142"/>
      <c r="X73" s="142"/>
      <c r="Y73" s="142"/>
      <c r="Z73" s="114"/>
    </row>
    <row r="74" spans="14:26" ht="18" customHeight="1">
      <c r="N74" s="143" t="s">
        <v>32</v>
      </c>
      <c r="O74" s="173">
        <v>4</v>
      </c>
      <c r="P74" s="234">
        <f ca="1">OFFSET($A$1,MATCH(Z72,$A:$A,0)-1,O74)</f>
        <v>0.7</v>
      </c>
      <c r="Q74" s="144" t="s">
        <v>29</v>
      </c>
      <c r="R74" s="118">
        <f t="shared" ca="1" si="15"/>
        <v>373353</v>
      </c>
      <c r="S74" s="118">
        <f t="shared" ca="1" si="15"/>
        <v>261347</v>
      </c>
      <c r="T74" s="118">
        <f ca="1">특급</f>
        <v>373353</v>
      </c>
      <c r="U74" s="118">
        <f t="shared" ca="1" si="16"/>
        <v>261347</v>
      </c>
      <c r="V74" s="118"/>
      <c r="W74" s="118"/>
      <c r="X74" s="118"/>
      <c r="Y74" s="118"/>
      <c r="Z74" s="115"/>
    </row>
    <row r="75" spans="14:26" ht="18" customHeight="1">
      <c r="N75" s="145" t="s">
        <v>39</v>
      </c>
      <c r="O75" s="173">
        <v>5</v>
      </c>
      <c r="P75" s="234">
        <f ca="1">OFFSET($A$1,MATCH(Z72,$A:$A,0)-1,O75)</f>
        <v>1.4</v>
      </c>
      <c r="Q75" s="144" t="s">
        <v>29</v>
      </c>
      <c r="R75" s="118">
        <f t="shared" ca="1" si="15"/>
        <v>310884</v>
      </c>
      <c r="S75" s="118">
        <f t="shared" ca="1" si="15"/>
        <v>435237</v>
      </c>
      <c r="T75" s="118">
        <f ca="1">고급</f>
        <v>310884</v>
      </c>
      <c r="U75" s="118">
        <f t="shared" ca="1" si="16"/>
        <v>435237</v>
      </c>
      <c r="V75" s="118"/>
      <c r="W75" s="118"/>
      <c r="X75" s="118"/>
      <c r="Y75" s="118"/>
      <c r="Z75" s="115"/>
    </row>
    <row r="76" spans="14:26" ht="18" customHeight="1">
      <c r="N76" s="145" t="s">
        <v>40</v>
      </c>
      <c r="O76" s="173">
        <v>6</v>
      </c>
      <c r="P76" s="234">
        <f ca="1">OFFSET($A$1,MATCH(Z72,$A:$A,0)-1,O76)</f>
        <v>2</v>
      </c>
      <c r="Q76" s="144" t="s">
        <v>29</v>
      </c>
      <c r="R76" s="118">
        <f t="shared" ca="1" si="15"/>
        <v>295138</v>
      </c>
      <c r="S76" s="118">
        <f t="shared" ca="1" si="15"/>
        <v>590276</v>
      </c>
      <c r="T76" s="118">
        <f ca="1">중급</f>
        <v>295138</v>
      </c>
      <c r="U76" s="118">
        <f t="shared" ca="1" si="16"/>
        <v>590276</v>
      </c>
      <c r="V76" s="118"/>
      <c r="W76" s="118"/>
      <c r="X76" s="118"/>
      <c r="Y76" s="118"/>
      <c r="Z76" s="115"/>
    </row>
    <row r="77" spans="14:26" ht="18" customHeight="1">
      <c r="N77" s="145" t="s">
        <v>41</v>
      </c>
      <c r="O77" s="173">
        <v>7</v>
      </c>
      <c r="P77" s="234">
        <f ca="1">OFFSET($A$1,MATCH(Z72,$A:$A,0)-1,O77)</f>
        <v>3.8</v>
      </c>
      <c r="Q77" s="144" t="s">
        <v>29</v>
      </c>
      <c r="R77" s="118">
        <f t="shared" ca="1" si="15"/>
        <v>235459</v>
      </c>
      <c r="S77" s="118">
        <f t="shared" ca="1" si="15"/>
        <v>894744</v>
      </c>
      <c r="T77" s="118">
        <f ca="1">초급</f>
        <v>235459</v>
      </c>
      <c r="U77" s="118">
        <f t="shared" ca="1" si="16"/>
        <v>894744</v>
      </c>
      <c r="V77" s="118"/>
      <c r="W77" s="118"/>
      <c r="X77" s="118"/>
      <c r="Y77" s="118"/>
      <c r="Z77" s="115"/>
    </row>
    <row r="78" spans="14:26" ht="18" customHeight="1">
      <c r="N78" s="319" t="s">
        <v>42</v>
      </c>
      <c r="O78" s="174">
        <v>8</v>
      </c>
      <c r="P78" s="235">
        <f ca="1">OFFSET($A$1,MATCH(Z72,$A:$A,0)-1,O78)</f>
        <v>4.3</v>
      </c>
      <c r="Q78" s="322" t="s">
        <v>29</v>
      </c>
      <c r="R78" s="323">
        <f t="shared" ca="1" si="15"/>
        <v>250087</v>
      </c>
      <c r="S78" s="323">
        <f t="shared" ca="1" si="15"/>
        <v>1075374</v>
      </c>
      <c r="T78" s="323">
        <f ca="1">보조원</f>
        <v>250087</v>
      </c>
      <c r="U78" s="323">
        <f t="shared" ca="1" si="16"/>
        <v>1075374</v>
      </c>
      <c r="V78" s="323"/>
      <c r="W78" s="323"/>
      <c r="X78" s="323"/>
      <c r="Y78" s="323"/>
      <c r="Z78" s="324"/>
    </row>
    <row r="79" spans="14:26" ht="18" customHeight="1">
      <c r="N79" s="139" t="s">
        <v>17</v>
      </c>
      <c r="O79" s="68"/>
      <c r="P79" s="69"/>
      <c r="Q79" s="70"/>
      <c r="R79" s="71"/>
      <c r="S79" s="71">
        <f ca="1">SUBTOTAL(9,S73:S78)</f>
        <v>3443864</v>
      </c>
      <c r="T79" s="71"/>
      <c r="U79" s="71">
        <f ca="1">SUBTOTAL(9,U73:U78)</f>
        <v>3443864</v>
      </c>
      <c r="V79" s="71"/>
      <c r="W79" s="71"/>
      <c r="X79" s="71"/>
      <c r="Y79" s="71"/>
      <c r="Z79" s="68"/>
    </row>
    <row r="80" spans="14:26" ht="18" customHeight="1">
      <c r="N80" s="318" t="str">
        <f ca="1">"제 " &amp; Z80 &amp; " 호표  "&amp; OFFSET($A$1,MATCH(Z80,$A:$A,0)-1,1)</f>
        <v>제 5 호표  2.2. 농지·산지 편입현황조서 작성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5</v>
      </c>
    </row>
    <row r="81" spans="14:26" ht="18" customHeight="1">
      <c r="N81" s="140" t="s">
        <v>43</v>
      </c>
      <c r="O81" s="172">
        <v>3</v>
      </c>
      <c r="P81" s="219">
        <f ca="1">OFFSET($A$1,MATCH(Z80,$A:$A,0)-1,O81)</f>
        <v>0</v>
      </c>
      <c r="Q81" s="141" t="s">
        <v>29</v>
      </c>
      <c r="R81" s="142">
        <f t="shared" ref="R81:S86" ca="1" si="17">T81</f>
        <v>467217</v>
      </c>
      <c r="S81" s="142">
        <f t="shared" ca="1" si="17"/>
        <v>0</v>
      </c>
      <c r="T81" s="142">
        <f ca="1">기술사</f>
        <v>467217</v>
      </c>
      <c r="U81" s="142">
        <f t="shared" ref="U81:U86" ca="1" si="18">ROUNDDOWN(P81*R81,0)</f>
        <v>0</v>
      </c>
      <c r="V81" s="142"/>
      <c r="W81" s="142"/>
      <c r="X81" s="142"/>
      <c r="Y81" s="142"/>
      <c r="Z81" s="114"/>
    </row>
    <row r="82" spans="14:26" ht="18" customHeight="1">
      <c r="N82" s="143" t="s">
        <v>32</v>
      </c>
      <c r="O82" s="173">
        <v>4</v>
      </c>
      <c r="P82" s="234">
        <f ca="1">OFFSET($A$1,MATCH(Z80,$A:$A,0)-1,O82)</f>
        <v>0.8</v>
      </c>
      <c r="Q82" s="144" t="s">
        <v>29</v>
      </c>
      <c r="R82" s="118">
        <f t="shared" ca="1" si="17"/>
        <v>373353</v>
      </c>
      <c r="S82" s="118">
        <f t="shared" ca="1" si="17"/>
        <v>298682</v>
      </c>
      <c r="T82" s="118">
        <f ca="1">특급</f>
        <v>373353</v>
      </c>
      <c r="U82" s="118">
        <f t="shared" ca="1" si="18"/>
        <v>298682</v>
      </c>
      <c r="V82" s="118"/>
      <c r="W82" s="118"/>
      <c r="X82" s="118"/>
      <c r="Y82" s="118"/>
      <c r="Z82" s="115"/>
    </row>
    <row r="83" spans="14:26" ht="18" customHeight="1">
      <c r="N83" s="145" t="s">
        <v>39</v>
      </c>
      <c r="O83" s="173">
        <v>5</v>
      </c>
      <c r="P83" s="234">
        <f ca="1">OFFSET($A$1,MATCH(Z80,$A:$A,0)-1,O83)</f>
        <v>4.0999999999999996</v>
      </c>
      <c r="Q83" s="144" t="s">
        <v>29</v>
      </c>
      <c r="R83" s="118">
        <f t="shared" ca="1" si="17"/>
        <v>310884</v>
      </c>
      <c r="S83" s="118">
        <f t="shared" ca="1" si="17"/>
        <v>1274624</v>
      </c>
      <c r="T83" s="118">
        <f ca="1">고급</f>
        <v>310884</v>
      </c>
      <c r="U83" s="118">
        <f t="shared" ca="1" si="18"/>
        <v>1274624</v>
      </c>
      <c r="V83" s="118"/>
      <c r="W83" s="118"/>
      <c r="X83" s="118"/>
      <c r="Y83" s="118"/>
      <c r="Z83" s="115"/>
    </row>
    <row r="84" spans="14:26" ht="18" customHeight="1">
      <c r="N84" s="145" t="s">
        <v>40</v>
      </c>
      <c r="O84" s="173">
        <v>6</v>
      </c>
      <c r="P84" s="234">
        <f ca="1">OFFSET($A$1,MATCH(Z80,$A:$A,0)-1,O84)</f>
        <v>6</v>
      </c>
      <c r="Q84" s="144" t="s">
        <v>29</v>
      </c>
      <c r="R84" s="118">
        <f t="shared" ca="1" si="17"/>
        <v>295138</v>
      </c>
      <c r="S84" s="118">
        <f t="shared" ca="1" si="17"/>
        <v>1770828</v>
      </c>
      <c r="T84" s="118">
        <f ca="1">중급</f>
        <v>295138</v>
      </c>
      <c r="U84" s="118">
        <f t="shared" ca="1" si="18"/>
        <v>1770828</v>
      </c>
      <c r="V84" s="118"/>
      <c r="W84" s="118"/>
      <c r="X84" s="118"/>
      <c r="Y84" s="118"/>
      <c r="Z84" s="115"/>
    </row>
    <row r="85" spans="14:26" ht="18" customHeight="1">
      <c r="N85" s="145" t="s">
        <v>41</v>
      </c>
      <c r="O85" s="173">
        <v>7</v>
      </c>
      <c r="P85" s="234">
        <f ca="1">OFFSET($A$1,MATCH(Z80,$A:$A,0)-1,O85)</f>
        <v>11.3</v>
      </c>
      <c r="Q85" s="144" t="s">
        <v>29</v>
      </c>
      <c r="R85" s="118">
        <f t="shared" ca="1" si="17"/>
        <v>235459</v>
      </c>
      <c r="S85" s="118">
        <f t="shared" ca="1" si="17"/>
        <v>2660686</v>
      </c>
      <c r="T85" s="118">
        <f ca="1">초급</f>
        <v>235459</v>
      </c>
      <c r="U85" s="118">
        <f t="shared" ca="1" si="18"/>
        <v>2660686</v>
      </c>
      <c r="V85" s="118"/>
      <c r="W85" s="118"/>
      <c r="X85" s="118"/>
      <c r="Y85" s="118"/>
      <c r="Z85" s="115"/>
    </row>
    <row r="86" spans="14:26" ht="18" customHeight="1">
      <c r="N86" s="319" t="s">
        <v>42</v>
      </c>
      <c r="O86" s="174">
        <v>8</v>
      </c>
      <c r="P86" s="235">
        <f ca="1">OFFSET($A$1,MATCH(Z80,$A:$A,0)-1,O86)</f>
        <v>13</v>
      </c>
      <c r="Q86" s="322" t="s">
        <v>29</v>
      </c>
      <c r="R86" s="323">
        <f t="shared" ca="1" si="17"/>
        <v>250087</v>
      </c>
      <c r="S86" s="323">
        <f t="shared" ca="1" si="17"/>
        <v>3251131</v>
      </c>
      <c r="T86" s="323">
        <f ca="1">보조원</f>
        <v>250087</v>
      </c>
      <c r="U86" s="323">
        <f t="shared" ca="1" si="18"/>
        <v>3251131</v>
      </c>
      <c r="V86" s="323"/>
      <c r="W86" s="323"/>
      <c r="X86" s="323"/>
      <c r="Y86" s="323"/>
      <c r="Z86" s="324"/>
    </row>
    <row r="87" spans="14:26" ht="18" customHeight="1">
      <c r="N87" s="139" t="s">
        <v>17</v>
      </c>
      <c r="O87" s="68"/>
      <c r="P87" s="69"/>
      <c r="Q87" s="70"/>
      <c r="R87" s="71"/>
      <c r="S87" s="71">
        <f ca="1">SUBTOTAL(9,S81:S86)</f>
        <v>9255951</v>
      </c>
      <c r="T87" s="71"/>
      <c r="U87" s="71">
        <f ca="1">SUBTOTAL(9,U81:U86)</f>
        <v>9255951</v>
      </c>
      <c r="V87" s="71"/>
      <c r="W87" s="71"/>
      <c r="X87" s="71"/>
      <c r="Y87" s="71"/>
      <c r="Z87" s="68"/>
    </row>
    <row r="88" spans="14:26" ht="18" customHeight="1">
      <c r="N88" s="318" t="str">
        <f ca="1">"제 " &amp; Z88 &amp; " 호표  "&amp; OFFSET($A$1,MATCH(Z88,$A:$A,0)-1,1)</f>
        <v>제 6 호표  2.3. 피해방지계획서 작성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6</v>
      </c>
    </row>
    <row r="89" spans="14:26" ht="18" customHeight="1">
      <c r="N89" s="140" t="s">
        <v>43</v>
      </c>
      <c r="O89" s="172">
        <v>3</v>
      </c>
      <c r="P89" s="219">
        <f ca="1">OFFSET($A$1,MATCH(Z88,$A:$A,0)-1,O89)</f>
        <v>0.4</v>
      </c>
      <c r="Q89" s="141" t="s">
        <v>29</v>
      </c>
      <c r="R89" s="142">
        <f t="shared" ref="R89:S94" ca="1" si="19">T89</f>
        <v>467217</v>
      </c>
      <c r="S89" s="142">
        <f t="shared" ca="1" si="19"/>
        <v>186886</v>
      </c>
      <c r="T89" s="142">
        <f ca="1">기술사</f>
        <v>467217</v>
      </c>
      <c r="U89" s="142">
        <f t="shared" ref="U89:U94" ca="1" si="20">ROUNDDOWN(P89*R89,0)</f>
        <v>186886</v>
      </c>
      <c r="V89" s="142"/>
      <c r="W89" s="142"/>
      <c r="X89" s="142"/>
      <c r="Y89" s="142"/>
      <c r="Z89" s="114"/>
    </row>
    <row r="90" spans="14:26" ht="18" customHeight="1">
      <c r="N90" s="143" t="s">
        <v>32</v>
      </c>
      <c r="O90" s="173">
        <v>4</v>
      </c>
      <c r="P90" s="234">
        <f ca="1">OFFSET($A$1,MATCH(Z88,$A:$A,0)-1,O90)</f>
        <v>0.7</v>
      </c>
      <c r="Q90" s="144" t="s">
        <v>29</v>
      </c>
      <c r="R90" s="118">
        <f t="shared" ca="1" si="19"/>
        <v>373353</v>
      </c>
      <c r="S90" s="118">
        <f t="shared" ca="1" si="19"/>
        <v>261347</v>
      </c>
      <c r="T90" s="118">
        <f ca="1">특급</f>
        <v>373353</v>
      </c>
      <c r="U90" s="118">
        <f t="shared" ca="1" si="20"/>
        <v>261347</v>
      </c>
      <c r="V90" s="118"/>
      <c r="W90" s="118"/>
      <c r="X90" s="118"/>
      <c r="Y90" s="118"/>
      <c r="Z90" s="115"/>
    </row>
    <row r="91" spans="14:26" ht="18" customHeight="1">
      <c r="N91" s="145" t="s">
        <v>39</v>
      </c>
      <c r="O91" s="173">
        <v>5</v>
      </c>
      <c r="P91" s="234">
        <f ca="1">OFFSET($A$1,MATCH(Z88,$A:$A,0)-1,O91)</f>
        <v>1.4</v>
      </c>
      <c r="Q91" s="144" t="s">
        <v>29</v>
      </c>
      <c r="R91" s="118">
        <f t="shared" ca="1" si="19"/>
        <v>310884</v>
      </c>
      <c r="S91" s="118">
        <f t="shared" ca="1" si="19"/>
        <v>435237</v>
      </c>
      <c r="T91" s="118">
        <f ca="1">고급</f>
        <v>310884</v>
      </c>
      <c r="U91" s="118">
        <f t="shared" ca="1" si="20"/>
        <v>435237</v>
      </c>
      <c r="V91" s="118"/>
      <c r="W91" s="118"/>
      <c r="X91" s="118"/>
      <c r="Y91" s="118"/>
      <c r="Z91" s="115"/>
    </row>
    <row r="92" spans="14:26" ht="18" customHeight="1">
      <c r="N92" s="145" t="s">
        <v>40</v>
      </c>
      <c r="O92" s="173">
        <v>6</v>
      </c>
      <c r="P92" s="234">
        <f ca="1">OFFSET($A$1,MATCH(Z88,$A:$A,0)-1,O92)</f>
        <v>2</v>
      </c>
      <c r="Q92" s="144" t="s">
        <v>29</v>
      </c>
      <c r="R92" s="118">
        <f t="shared" ca="1" si="19"/>
        <v>295138</v>
      </c>
      <c r="S92" s="118">
        <f t="shared" ca="1" si="19"/>
        <v>590276</v>
      </c>
      <c r="T92" s="118">
        <f ca="1">중급</f>
        <v>295138</v>
      </c>
      <c r="U92" s="118">
        <f t="shared" ca="1" si="20"/>
        <v>590276</v>
      </c>
      <c r="V92" s="118"/>
      <c r="W92" s="118"/>
      <c r="X92" s="118"/>
      <c r="Y92" s="118"/>
      <c r="Z92" s="115"/>
    </row>
    <row r="93" spans="14:26" ht="18" customHeight="1">
      <c r="N93" s="145" t="s">
        <v>41</v>
      </c>
      <c r="O93" s="173">
        <v>7</v>
      </c>
      <c r="P93" s="234">
        <f ca="1">OFFSET($A$1,MATCH(Z88,$A:$A,0)-1,O93)</f>
        <v>3.8</v>
      </c>
      <c r="Q93" s="144" t="s">
        <v>29</v>
      </c>
      <c r="R93" s="118">
        <f t="shared" ca="1" si="19"/>
        <v>235459</v>
      </c>
      <c r="S93" s="118">
        <f t="shared" ca="1" si="19"/>
        <v>894744</v>
      </c>
      <c r="T93" s="118">
        <f ca="1">초급</f>
        <v>235459</v>
      </c>
      <c r="U93" s="118">
        <f t="shared" ca="1" si="20"/>
        <v>894744</v>
      </c>
      <c r="V93" s="118"/>
      <c r="W93" s="118"/>
      <c r="X93" s="118"/>
      <c r="Y93" s="118"/>
      <c r="Z93" s="115"/>
    </row>
    <row r="94" spans="14:26" ht="18" customHeight="1">
      <c r="N94" s="319" t="s">
        <v>42</v>
      </c>
      <c r="O94" s="174">
        <v>8</v>
      </c>
      <c r="P94" s="235">
        <f ca="1">OFFSET($A$1,MATCH(Z88,$A:$A,0)-1,O94)</f>
        <v>4.3</v>
      </c>
      <c r="Q94" s="322" t="s">
        <v>29</v>
      </c>
      <c r="R94" s="323">
        <f t="shared" ca="1" si="19"/>
        <v>250087</v>
      </c>
      <c r="S94" s="323">
        <f t="shared" ca="1" si="19"/>
        <v>1075374</v>
      </c>
      <c r="T94" s="323">
        <f ca="1">보조원</f>
        <v>250087</v>
      </c>
      <c r="U94" s="323">
        <f t="shared" ca="1" si="20"/>
        <v>1075374</v>
      </c>
      <c r="V94" s="323"/>
      <c r="W94" s="323"/>
      <c r="X94" s="323"/>
      <c r="Y94" s="323"/>
      <c r="Z94" s="324"/>
    </row>
    <row r="95" spans="14:26" ht="18" customHeight="1">
      <c r="N95" s="139" t="s">
        <v>17</v>
      </c>
      <c r="O95" s="68"/>
      <c r="P95" s="69"/>
      <c r="Q95" s="70"/>
      <c r="R95" s="71"/>
      <c r="S95" s="71">
        <f ca="1">SUBTOTAL(9,S89:S94)</f>
        <v>3443864</v>
      </c>
      <c r="T95" s="71"/>
      <c r="U95" s="71">
        <f ca="1">SUBTOTAL(9,U89:U94)</f>
        <v>3443864</v>
      </c>
      <c r="V95" s="71"/>
      <c r="W95" s="71"/>
      <c r="X95" s="71"/>
      <c r="Y95" s="71"/>
      <c r="Z95" s="68"/>
    </row>
    <row r="96" spans="14:26" ht="18" customHeight="1">
      <c r="N96" s="318" t="str">
        <f ca="1">"제 " &amp; Z96 &amp; " 호표  "&amp; OFFSET($A$1,MATCH(Z96,$A:$A,0)-1,1)</f>
        <v>제 7 호표  2.4. 계획 관련도서 작성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7</v>
      </c>
    </row>
    <row r="97" spans="14:26" ht="18" customHeight="1">
      <c r="N97" s="140" t="s">
        <v>43</v>
      </c>
      <c r="O97" s="172">
        <v>3</v>
      </c>
      <c r="P97" s="219">
        <f ca="1">OFFSET($A$1,MATCH(Z96,$A:$A,0)-1,O97)</f>
        <v>0</v>
      </c>
      <c r="Q97" s="141" t="s">
        <v>29</v>
      </c>
      <c r="R97" s="142">
        <f t="shared" ref="R97:S102" ca="1" si="21">T97</f>
        <v>467217</v>
      </c>
      <c r="S97" s="142">
        <f t="shared" ca="1" si="21"/>
        <v>0</v>
      </c>
      <c r="T97" s="142">
        <f ca="1">기술사</f>
        <v>467217</v>
      </c>
      <c r="U97" s="142">
        <f t="shared" ref="U97:U102" ca="1" si="22">ROUNDDOWN(P97*R97,0)</f>
        <v>0</v>
      </c>
      <c r="V97" s="142"/>
      <c r="W97" s="142"/>
      <c r="X97" s="142"/>
      <c r="Y97" s="142"/>
      <c r="Z97" s="114"/>
    </row>
    <row r="98" spans="14:26" ht="18" customHeight="1">
      <c r="N98" s="143" t="s">
        <v>32</v>
      </c>
      <c r="O98" s="173">
        <v>4</v>
      </c>
      <c r="P98" s="234">
        <f ca="1">OFFSET($A$1,MATCH(Z96,$A:$A,0)-1,O98)</f>
        <v>0.7</v>
      </c>
      <c r="Q98" s="144" t="s">
        <v>29</v>
      </c>
      <c r="R98" s="118">
        <f t="shared" ca="1" si="21"/>
        <v>373353</v>
      </c>
      <c r="S98" s="118">
        <f t="shared" ca="1" si="21"/>
        <v>261347</v>
      </c>
      <c r="T98" s="118">
        <f ca="1">특급</f>
        <v>373353</v>
      </c>
      <c r="U98" s="118">
        <f t="shared" ca="1" si="22"/>
        <v>261347</v>
      </c>
      <c r="V98" s="118"/>
      <c r="W98" s="118"/>
      <c r="X98" s="118"/>
      <c r="Y98" s="118"/>
      <c r="Z98" s="115"/>
    </row>
    <row r="99" spans="14:26" ht="18" customHeight="1">
      <c r="N99" s="145" t="s">
        <v>39</v>
      </c>
      <c r="O99" s="173">
        <v>5</v>
      </c>
      <c r="P99" s="234">
        <f ca="1">OFFSET($A$1,MATCH(Z96,$A:$A,0)-1,O99)</f>
        <v>1.4</v>
      </c>
      <c r="Q99" s="144" t="s">
        <v>29</v>
      </c>
      <c r="R99" s="118">
        <f t="shared" ca="1" si="21"/>
        <v>310884</v>
      </c>
      <c r="S99" s="118">
        <f t="shared" ca="1" si="21"/>
        <v>435237</v>
      </c>
      <c r="T99" s="118">
        <f ca="1">고급</f>
        <v>310884</v>
      </c>
      <c r="U99" s="118">
        <f t="shared" ca="1" si="22"/>
        <v>435237</v>
      </c>
      <c r="V99" s="118"/>
      <c r="W99" s="118"/>
      <c r="X99" s="118"/>
      <c r="Y99" s="118"/>
      <c r="Z99" s="115"/>
    </row>
    <row r="100" spans="14:26" ht="18" customHeight="1">
      <c r="N100" s="145" t="s">
        <v>40</v>
      </c>
      <c r="O100" s="173">
        <v>6</v>
      </c>
      <c r="P100" s="234">
        <f ca="1">OFFSET($A$1,MATCH(Z96,$A:$A,0)-1,O100)</f>
        <v>2</v>
      </c>
      <c r="Q100" s="144" t="s">
        <v>29</v>
      </c>
      <c r="R100" s="118">
        <f t="shared" ca="1" si="21"/>
        <v>295138</v>
      </c>
      <c r="S100" s="118">
        <f t="shared" ca="1" si="21"/>
        <v>590276</v>
      </c>
      <c r="T100" s="118">
        <f ca="1">중급</f>
        <v>295138</v>
      </c>
      <c r="U100" s="118">
        <f t="shared" ca="1" si="22"/>
        <v>590276</v>
      </c>
      <c r="V100" s="118"/>
      <c r="W100" s="118"/>
      <c r="X100" s="118"/>
      <c r="Y100" s="118"/>
      <c r="Z100" s="115"/>
    </row>
    <row r="101" spans="14:26" ht="18" customHeight="1">
      <c r="N101" s="145" t="s">
        <v>41</v>
      </c>
      <c r="O101" s="173">
        <v>7</v>
      </c>
      <c r="P101" s="234">
        <f ca="1">OFFSET($A$1,MATCH(Z96,$A:$A,0)-1,O101)</f>
        <v>3.8</v>
      </c>
      <c r="Q101" s="144" t="s">
        <v>29</v>
      </c>
      <c r="R101" s="118">
        <f t="shared" ca="1" si="21"/>
        <v>235459</v>
      </c>
      <c r="S101" s="118">
        <f t="shared" ca="1" si="21"/>
        <v>894744</v>
      </c>
      <c r="T101" s="118">
        <f ca="1">초급</f>
        <v>235459</v>
      </c>
      <c r="U101" s="118">
        <f t="shared" ca="1" si="22"/>
        <v>894744</v>
      </c>
      <c r="V101" s="118"/>
      <c r="W101" s="118"/>
      <c r="X101" s="118"/>
      <c r="Y101" s="118"/>
      <c r="Z101" s="115"/>
    </row>
    <row r="102" spans="14:26" ht="18" customHeight="1">
      <c r="N102" s="319" t="s">
        <v>42</v>
      </c>
      <c r="O102" s="174">
        <v>8</v>
      </c>
      <c r="P102" s="235">
        <f ca="1">OFFSET($A$1,MATCH(Z96,$A:$A,0)-1,O102)</f>
        <v>4.5</v>
      </c>
      <c r="Q102" s="322" t="s">
        <v>29</v>
      </c>
      <c r="R102" s="323">
        <f t="shared" ca="1" si="21"/>
        <v>250087</v>
      </c>
      <c r="S102" s="323">
        <f t="shared" ca="1" si="21"/>
        <v>1125391</v>
      </c>
      <c r="T102" s="323">
        <f ca="1">보조원</f>
        <v>250087</v>
      </c>
      <c r="U102" s="323">
        <f t="shared" ca="1" si="22"/>
        <v>1125391</v>
      </c>
      <c r="V102" s="323"/>
      <c r="W102" s="323"/>
      <c r="X102" s="323"/>
      <c r="Y102" s="323"/>
      <c r="Z102" s="324"/>
    </row>
    <row r="103" spans="14:26" ht="18" customHeight="1">
      <c r="N103" s="139" t="s">
        <v>17</v>
      </c>
      <c r="O103" s="68"/>
      <c r="P103" s="69"/>
      <c r="Q103" s="70"/>
      <c r="R103" s="71"/>
      <c r="S103" s="71">
        <f ca="1">SUBTOTAL(9,S97:S102)</f>
        <v>3306995</v>
      </c>
      <c r="T103" s="71"/>
      <c r="U103" s="71">
        <f ca="1">SUBTOTAL(9,U97:U102)</f>
        <v>3306995</v>
      </c>
      <c r="V103" s="71"/>
      <c r="W103" s="71"/>
      <c r="X103" s="71"/>
      <c r="Y103" s="71"/>
      <c r="Z103" s="68"/>
    </row>
    <row r="104" spans="14:26" ht="18" customHeight="1">
      <c r="N104" s="318" t="str">
        <f ca="1">"제 " &amp; Z104 &amp; " 호표  "&amp; OFFSET($A$1,MATCH(Z104,$A:$A,0)-1,1)</f>
        <v>제 8 호표  2.5. 농지·산지 관련도서 작성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8</v>
      </c>
    </row>
    <row r="105" spans="14:26" ht="18" customHeight="1">
      <c r="N105" s="140" t="s">
        <v>43</v>
      </c>
      <c r="O105" s="172">
        <v>3</v>
      </c>
      <c r="P105" s="219">
        <f ca="1">OFFSET($A$1,MATCH(Z104,$A:$A,0)-1,O105)</f>
        <v>0</v>
      </c>
      <c r="Q105" s="141" t="s">
        <v>29</v>
      </c>
      <c r="R105" s="142">
        <f t="shared" ref="R105:S110" ca="1" si="23">T105</f>
        <v>467217</v>
      </c>
      <c r="S105" s="142">
        <f t="shared" ca="1" si="23"/>
        <v>0</v>
      </c>
      <c r="T105" s="142">
        <f ca="1">기술사</f>
        <v>467217</v>
      </c>
      <c r="U105" s="142">
        <f t="shared" ref="U105:U110" ca="1" si="24">ROUNDDOWN(P105*R105,0)</f>
        <v>0</v>
      </c>
      <c r="V105" s="142"/>
      <c r="W105" s="142"/>
      <c r="X105" s="142"/>
      <c r="Y105" s="142"/>
      <c r="Z105" s="114"/>
    </row>
    <row r="106" spans="14:26" ht="18" customHeight="1">
      <c r="N106" s="143" t="s">
        <v>32</v>
      </c>
      <c r="O106" s="173">
        <v>4</v>
      </c>
      <c r="P106" s="234">
        <f ca="1">OFFSET($A$1,MATCH(Z104,$A:$A,0)-1,O106)</f>
        <v>0.7</v>
      </c>
      <c r="Q106" s="144" t="s">
        <v>29</v>
      </c>
      <c r="R106" s="118">
        <f t="shared" ca="1" si="23"/>
        <v>373353</v>
      </c>
      <c r="S106" s="118">
        <f t="shared" ca="1" si="23"/>
        <v>261347</v>
      </c>
      <c r="T106" s="118">
        <f ca="1">특급</f>
        <v>373353</v>
      </c>
      <c r="U106" s="118">
        <f t="shared" ca="1" si="24"/>
        <v>261347</v>
      </c>
      <c r="V106" s="118"/>
      <c r="W106" s="118"/>
      <c r="X106" s="118"/>
      <c r="Y106" s="118"/>
      <c r="Z106" s="115"/>
    </row>
    <row r="107" spans="14:26" ht="18" customHeight="1">
      <c r="N107" s="145" t="s">
        <v>39</v>
      </c>
      <c r="O107" s="173">
        <v>5</v>
      </c>
      <c r="P107" s="234">
        <f ca="1">OFFSET($A$1,MATCH(Z104,$A:$A,0)-1,O107)</f>
        <v>1.4</v>
      </c>
      <c r="Q107" s="144" t="s">
        <v>29</v>
      </c>
      <c r="R107" s="118">
        <f t="shared" ca="1" si="23"/>
        <v>310884</v>
      </c>
      <c r="S107" s="118">
        <f t="shared" ca="1" si="23"/>
        <v>435237</v>
      </c>
      <c r="T107" s="118">
        <f ca="1">고급</f>
        <v>310884</v>
      </c>
      <c r="U107" s="118">
        <f t="shared" ca="1" si="24"/>
        <v>435237</v>
      </c>
      <c r="V107" s="118"/>
      <c r="W107" s="118"/>
      <c r="X107" s="118"/>
      <c r="Y107" s="118"/>
      <c r="Z107" s="115"/>
    </row>
    <row r="108" spans="14:26" ht="18" customHeight="1">
      <c r="N108" s="145" t="s">
        <v>40</v>
      </c>
      <c r="O108" s="173">
        <v>6</v>
      </c>
      <c r="P108" s="234">
        <f ca="1">OFFSET($A$1,MATCH(Z104,$A:$A,0)-1,O108)</f>
        <v>2</v>
      </c>
      <c r="Q108" s="144" t="s">
        <v>29</v>
      </c>
      <c r="R108" s="118">
        <f t="shared" ca="1" si="23"/>
        <v>295138</v>
      </c>
      <c r="S108" s="118">
        <f t="shared" ca="1" si="23"/>
        <v>590276</v>
      </c>
      <c r="T108" s="118">
        <f ca="1">중급</f>
        <v>295138</v>
      </c>
      <c r="U108" s="118">
        <f t="shared" ca="1" si="24"/>
        <v>590276</v>
      </c>
      <c r="V108" s="118"/>
      <c r="W108" s="118"/>
      <c r="X108" s="118"/>
      <c r="Y108" s="118"/>
      <c r="Z108" s="115"/>
    </row>
    <row r="109" spans="14:26" ht="18" customHeight="1">
      <c r="N109" s="145" t="s">
        <v>41</v>
      </c>
      <c r="O109" s="173">
        <v>7</v>
      </c>
      <c r="P109" s="234">
        <f ca="1">OFFSET($A$1,MATCH(Z104,$A:$A,0)-1,O109)</f>
        <v>3.8</v>
      </c>
      <c r="Q109" s="144" t="s">
        <v>29</v>
      </c>
      <c r="R109" s="118">
        <f t="shared" ca="1" si="23"/>
        <v>235459</v>
      </c>
      <c r="S109" s="118">
        <f t="shared" ca="1" si="23"/>
        <v>894744</v>
      </c>
      <c r="T109" s="118">
        <f ca="1">초급</f>
        <v>235459</v>
      </c>
      <c r="U109" s="118">
        <f t="shared" ca="1" si="24"/>
        <v>894744</v>
      </c>
      <c r="V109" s="118"/>
      <c r="W109" s="118"/>
      <c r="X109" s="118"/>
      <c r="Y109" s="118"/>
      <c r="Z109" s="115"/>
    </row>
    <row r="110" spans="14:26" ht="18" customHeight="1">
      <c r="N110" s="319" t="s">
        <v>42</v>
      </c>
      <c r="O110" s="174">
        <v>8</v>
      </c>
      <c r="P110" s="235">
        <f ca="1">OFFSET($A$1,MATCH(Z104,$A:$A,0)-1,O110)</f>
        <v>4.5</v>
      </c>
      <c r="Q110" s="322" t="s">
        <v>29</v>
      </c>
      <c r="R110" s="323">
        <f t="shared" ca="1" si="23"/>
        <v>250087</v>
      </c>
      <c r="S110" s="323">
        <f t="shared" ca="1" si="23"/>
        <v>1125391</v>
      </c>
      <c r="T110" s="323">
        <f ca="1">보조원</f>
        <v>250087</v>
      </c>
      <c r="U110" s="323">
        <f t="shared" ca="1" si="24"/>
        <v>1125391</v>
      </c>
      <c r="V110" s="323"/>
      <c r="W110" s="323"/>
      <c r="X110" s="323"/>
      <c r="Y110" s="323"/>
      <c r="Z110" s="324"/>
    </row>
    <row r="111" spans="14:26" ht="18" customHeight="1">
      <c r="N111" s="139" t="s">
        <v>17</v>
      </c>
      <c r="O111" s="68"/>
      <c r="P111" s="69"/>
      <c r="Q111" s="70"/>
      <c r="R111" s="71"/>
      <c r="S111" s="71">
        <f ca="1">SUBTOTAL(9,S105:S110)</f>
        <v>3306995</v>
      </c>
      <c r="T111" s="71"/>
      <c r="U111" s="71">
        <f ca="1">SUBTOTAL(9,U105:U110)</f>
        <v>3306995</v>
      </c>
      <c r="V111" s="71"/>
      <c r="W111" s="71"/>
      <c r="X111" s="71"/>
      <c r="Y111" s="71"/>
      <c r="Z111" s="68"/>
    </row>
    <row r="112" spans="14:26" ht="18" customHeight="1">
      <c r="N112" s="318" t="str">
        <f ca="1">"제 " &amp; Z112 &amp; " 호표  "&amp; OFFSET($A$1,MATCH(Z112,$A:$A,0)-1,1)</f>
        <v>제 9 호표  2.6. 초지 관련도서 작성(농지)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9</v>
      </c>
    </row>
    <row r="113" spans="14:26" ht="18" customHeight="1">
      <c r="N113" s="140" t="s">
        <v>43</v>
      </c>
      <c r="O113" s="172">
        <v>3</v>
      </c>
      <c r="P113" s="219">
        <f ca="1">OFFSET($A$1,MATCH(Z112,$A:$A,0)-1,O113)</f>
        <v>0</v>
      </c>
      <c r="Q113" s="141" t="s">
        <v>29</v>
      </c>
      <c r="R113" s="142">
        <f t="shared" ref="R113:S118" ca="1" si="25">T113</f>
        <v>467217</v>
      </c>
      <c r="S113" s="142">
        <f t="shared" ca="1" si="25"/>
        <v>0</v>
      </c>
      <c r="T113" s="142">
        <f ca="1">기술사</f>
        <v>467217</v>
      </c>
      <c r="U113" s="142">
        <f t="shared" ref="U113:U118" ca="1" si="26">ROUNDDOWN(P113*R113,0)</f>
        <v>0</v>
      </c>
      <c r="V113" s="142"/>
      <c r="W113" s="142"/>
      <c r="X113" s="142"/>
      <c r="Y113" s="142"/>
      <c r="Z113" s="114"/>
    </row>
    <row r="114" spans="14:26" ht="18" customHeight="1">
      <c r="N114" s="143" t="s">
        <v>32</v>
      </c>
      <c r="O114" s="173">
        <v>4</v>
      </c>
      <c r="P114" s="234">
        <f ca="1">OFFSET($A$1,MATCH(Z112,$A:$A,0)-1,O114)</f>
        <v>0.7</v>
      </c>
      <c r="Q114" s="144" t="s">
        <v>29</v>
      </c>
      <c r="R114" s="118">
        <f t="shared" ca="1" si="25"/>
        <v>373353</v>
      </c>
      <c r="S114" s="118">
        <f t="shared" ca="1" si="25"/>
        <v>261347</v>
      </c>
      <c r="T114" s="118">
        <f ca="1">특급</f>
        <v>373353</v>
      </c>
      <c r="U114" s="118">
        <f t="shared" ca="1" si="26"/>
        <v>261347</v>
      </c>
      <c r="V114" s="118"/>
      <c r="W114" s="118"/>
      <c r="X114" s="118"/>
      <c r="Y114" s="118"/>
      <c r="Z114" s="115"/>
    </row>
    <row r="115" spans="14:26" ht="18" customHeight="1">
      <c r="N115" s="145" t="s">
        <v>39</v>
      </c>
      <c r="O115" s="173">
        <v>5</v>
      </c>
      <c r="P115" s="234">
        <f ca="1">OFFSET($A$1,MATCH(Z112,$A:$A,0)-1,O115)</f>
        <v>1.4</v>
      </c>
      <c r="Q115" s="144" t="s">
        <v>29</v>
      </c>
      <c r="R115" s="118">
        <f t="shared" ca="1" si="25"/>
        <v>310884</v>
      </c>
      <c r="S115" s="118">
        <f t="shared" ca="1" si="25"/>
        <v>435237</v>
      </c>
      <c r="T115" s="118">
        <f ca="1">고급</f>
        <v>310884</v>
      </c>
      <c r="U115" s="118">
        <f t="shared" ca="1" si="26"/>
        <v>435237</v>
      </c>
      <c r="V115" s="118"/>
      <c r="W115" s="118"/>
      <c r="X115" s="118"/>
      <c r="Y115" s="118"/>
      <c r="Z115" s="115"/>
    </row>
    <row r="116" spans="14:26" ht="18" customHeight="1">
      <c r="N116" s="145" t="s">
        <v>40</v>
      </c>
      <c r="O116" s="173">
        <v>6</v>
      </c>
      <c r="P116" s="234">
        <f ca="1">OFFSET($A$1,MATCH(Z112,$A:$A,0)-1,O116)</f>
        <v>2</v>
      </c>
      <c r="Q116" s="144" t="s">
        <v>29</v>
      </c>
      <c r="R116" s="118">
        <f t="shared" ca="1" si="25"/>
        <v>295138</v>
      </c>
      <c r="S116" s="118">
        <f t="shared" ca="1" si="25"/>
        <v>590276</v>
      </c>
      <c r="T116" s="118">
        <f ca="1">중급</f>
        <v>295138</v>
      </c>
      <c r="U116" s="118">
        <f t="shared" ca="1" si="26"/>
        <v>590276</v>
      </c>
      <c r="V116" s="118"/>
      <c r="W116" s="118"/>
      <c r="X116" s="118"/>
      <c r="Y116" s="118"/>
      <c r="Z116" s="115"/>
    </row>
    <row r="117" spans="14:26" ht="18" customHeight="1">
      <c r="N117" s="145" t="s">
        <v>41</v>
      </c>
      <c r="O117" s="173">
        <v>7</v>
      </c>
      <c r="P117" s="234">
        <f ca="1">OFFSET($A$1,MATCH(Z112,$A:$A,0)-1,O117)</f>
        <v>3.8</v>
      </c>
      <c r="Q117" s="144" t="s">
        <v>29</v>
      </c>
      <c r="R117" s="118">
        <f t="shared" ca="1" si="25"/>
        <v>235459</v>
      </c>
      <c r="S117" s="118">
        <f t="shared" ca="1" si="25"/>
        <v>894744</v>
      </c>
      <c r="T117" s="118">
        <f ca="1">초급</f>
        <v>235459</v>
      </c>
      <c r="U117" s="118">
        <f t="shared" ca="1" si="26"/>
        <v>894744</v>
      </c>
      <c r="V117" s="118"/>
      <c r="W117" s="118"/>
      <c r="X117" s="118"/>
      <c r="Y117" s="118"/>
      <c r="Z117" s="115"/>
    </row>
    <row r="118" spans="14:26" ht="18" customHeight="1">
      <c r="N118" s="319" t="s">
        <v>42</v>
      </c>
      <c r="O118" s="174">
        <v>8</v>
      </c>
      <c r="P118" s="235">
        <f ca="1">OFFSET($A$1,MATCH(Z112,$A:$A,0)-1,O118)</f>
        <v>4.5</v>
      </c>
      <c r="Q118" s="322" t="s">
        <v>29</v>
      </c>
      <c r="R118" s="323">
        <f t="shared" ca="1" si="25"/>
        <v>250087</v>
      </c>
      <c r="S118" s="323">
        <f t="shared" ca="1" si="25"/>
        <v>1125391</v>
      </c>
      <c r="T118" s="323">
        <f ca="1">보조원</f>
        <v>250087</v>
      </c>
      <c r="U118" s="323">
        <f t="shared" ca="1" si="26"/>
        <v>1125391</v>
      </c>
      <c r="V118" s="323"/>
      <c r="W118" s="323"/>
      <c r="X118" s="323"/>
      <c r="Y118" s="323"/>
      <c r="Z118" s="324"/>
    </row>
    <row r="119" spans="14:26" ht="18" customHeight="1">
      <c r="N119" s="139" t="s">
        <v>17</v>
      </c>
      <c r="O119" s="68"/>
      <c r="P119" s="69"/>
      <c r="Q119" s="70"/>
      <c r="R119" s="71"/>
      <c r="S119" s="71">
        <f ca="1">SUBTOTAL(9,S113:S118)</f>
        <v>3306995</v>
      </c>
      <c r="T119" s="71"/>
      <c r="U119" s="71">
        <f ca="1">SUBTOTAL(9,U113:U118)</f>
        <v>3306995</v>
      </c>
      <c r="V119" s="71"/>
      <c r="W119" s="71"/>
      <c r="X119" s="71"/>
      <c r="Y119" s="71"/>
      <c r="Z119" s="68"/>
    </row>
    <row r="120" spans="14:26" ht="18" customHeight="1">
      <c r="N120" s="318" t="str">
        <f ca="1">"제 " &amp; Z120 &amp; " 호표  "&amp; OFFSET($A$1,MATCH(Z120,$A:$A,0)-1,1)</f>
        <v>제 10 호표  3.1. 공청회/주민설명회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10</v>
      </c>
    </row>
    <row r="121" spans="14:26" ht="18" customHeight="1">
      <c r="N121" s="140" t="s">
        <v>43</v>
      </c>
      <c r="O121" s="172">
        <v>3</v>
      </c>
      <c r="P121" s="219">
        <f ca="1">OFFSET($A$1,MATCH(Z120,$A:$A,0)-1,O121)</f>
        <v>2</v>
      </c>
      <c r="Q121" s="141" t="s">
        <v>29</v>
      </c>
      <c r="R121" s="142">
        <f t="shared" ref="R121:S126" ca="1" si="27">T121</f>
        <v>467217</v>
      </c>
      <c r="S121" s="142">
        <f t="shared" ca="1" si="27"/>
        <v>934434</v>
      </c>
      <c r="T121" s="142">
        <f ca="1">기술사</f>
        <v>467217</v>
      </c>
      <c r="U121" s="142">
        <f t="shared" ref="U121:U126" ca="1" si="28">ROUNDDOWN(P121*R121,0)</f>
        <v>934434</v>
      </c>
      <c r="V121" s="142"/>
      <c r="W121" s="142"/>
      <c r="X121" s="142"/>
      <c r="Y121" s="142"/>
      <c r="Z121" s="114"/>
    </row>
    <row r="122" spans="14:26" ht="18" customHeight="1">
      <c r="N122" s="143" t="s">
        <v>32</v>
      </c>
      <c r="O122" s="173">
        <v>4</v>
      </c>
      <c r="P122" s="234">
        <f ca="1">OFFSET($A$1,MATCH(Z120,$A:$A,0)-1,O122)</f>
        <v>2</v>
      </c>
      <c r="Q122" s="144" t="s">
        <v>29</v>
      </c>
      <c r="R122" s="118">
        <f t="shared" ca="1" si="27"/>
        <v>373353</v>
      </c>
      <c r="S122" s="118">
        <f t="shared" ca="1" si="27"/>
        <v>746706</v>
      </c>
      <c r="T122" s="118">
        <f ca="1">특급</f>
        <v>373353</v>
      </c>
      <c r="U122" s="118">
        <f t="shared" ca="1" si="28"/>
        <v>746706</v>
      </c>
      <c r="V122" s="118"/>
      <c r="W122" s="118"/>
      <c r="X122" s="118"/>
      <c r="Y122" s="118"/>
      <c r="Z122" s="115"/>
    </row>
    <row r="123" spans="14:26" ht="18" customHeight="1">
      <c r="N123" s="145" t="s">
        <v>39</v>
      </c>
      <c r="O123" s="173">
        <v>5</v>
      </c>
      <c r="P123" s="234">
        <f ca="1">OFFSET($A$1,MATCH(Z120,$A:$A,0)-1,O123)</f>
        <v>2</v>
      </c>
      <c r="Q123" s="144" t="s">
        <v>29</v>
      </c>
      <c r="R123" s="118">
        <f t="shared" ca="1" si="27"/>
        <v>310884</v>
      </c>
      <c r="S123" s="118">
        <f t="shared" ca="1" si="27"/>
        <v>621768</v>
      </c>
      <c r="T123" s="118">
        <f ca="1">고급</f>
        <v>310884</v>
      </c>
      <c r="U123" s="118">
        <f t="shared" ca="1" si="28"/>
        <v>621768</v>
      </c>
      <c r="V123" s="118"/>
      <c r="W123" s="118"/>
      <c r="X123" s="118"/>
      <c r="Y123" s="118"/>
      <c r="Z123" s="115"/>
    </row>
    <row r="124" spans="14:26" ht="18" customHeight="1">
      <c r="N124" s="145" t="s">
        <v>40</v>
      </c>
      <c r="O124" s="173">
        <v>6</v>
      </c>
      <c r="P124" s="234">
        <f ca="1">OFFSET($A$1,MATCH(Z120,$A:$A,0)-1,O124)</f>
        <v>4</v>
      </c>
      <c r="Q124" s="144" t="s">
        <v>29</v>
      </c>
      <c r="R124" s="118">
        <f t="shared" ca="1" si="27"/>
        <v>295138</v>
      </c>
      <c r="S124" s="118">
        <f t="shared" ca="1" si="27"/>
        <v>1180552</v>
      </c>
      <c r="T124" s="118">
        <f ca="1">중급</f>
        <v>295138</v>
      </c>
      <c r="U124" s="118">
        <f t="shared" ca="1" si="28"/>
        <v>1180552</v>
      </c>
      <c r="V124" s="118"/>
      <c r="W124" s="118"/>
      <c r="X124" s="118"/>
      <c r="Y124" s="118"/>
      <c r="Z124" s="115"/>
    </row>
    <row r="125" spans="14:26" ht="18" customHeight="1">
      <c r="N125" s="145" t="s">
        <v>41</v>
      </c>
      <c r="O125" s="173">
        <v>7</v>
      </c>
      <c r="P125" s="234">
        <f ca="1">OFFSET($A$1,MATCH(Z120,$A:$A,0)-1,O125)</f>
        <v>4</v>
      </c>
      <c r="Q125" s="144" t="s">
        <v>29</v>
      </c>
      <c r="R125" s="118">
        <f t="shared" ca="1" si="27"/>
        <v>235459</v>
      </c>
      <c r="S125" s="118">
        <f t="shared" ca="1" si="27"/>
        <v>941836</v>
      </c>
      <c r="T125" s="118">
        <f ca="1">초급</f>
        <v>235459</v>
      </c>
      <c r="U125" s="118">
        <f t="shared" ca="1" si="28"/>
        <v>941836</v>
      </c>
      <c r="V125" s="118"/>
      <c r="W125" s="118"/>
      <c r="X125" s="118"/>
      <c r="Y125" s="118"/>
      <c r="Z125" s="115"/>
    </row>
    <row r="126" spans="14:26" ht="18" customHeight="1">
      <c r="N126" s="319" t="s">
        <v>42</v>
      </c>
      <c r="O126" s="174">
        <v>8</v>
      </c>
      <c r="P126" s="235">
        <f ca="1">OFFSET($A$1,MATCH(Z120,$A:$A,0)-1,O126)</f>
        <v>4</v>
      </c>
      <c r="Q126" s="322" t="s">
        <v>29</v>
      </c>
      <c r="R126" s="323">
        <f t="shared" ca="1" si="27"/>
        <v>250087</v>
      </c>
      <c r="S126" s="323">
        <f t="shared" ca="1" si="27"/>
        <v>1000348</v>
      </c>
      <c r="T126" s="323">
        <f ca="1">보조원</f>
        <v>250087</v>
      </c>
      <c r="U126" s="323">
        <f t="shared" ca="1" si="28"/>
        <v>1000348</v>
      </c>
      <c r="V126" s="323"/>
      <c r="W126" s="323"/>
      <c r="X126" s="323"/>
      <c r="Y126" s="323"/>
      <c r="Z126" s="324"/>
    </row>
    <row r="127" spans="14:26" ht="18" customHeight="1">
      <c r="N127" s="139" t="s">
        <v>17</v>
      </c>
      <c r="O127" s="68"/>
      <c r="P127" s="69"/>
      <c r="Q127" s="70"/>
      <c r="R127" s="71"/>
      <c r="S127" s="71">
        <f ca="1">SUBTOTAL(9,S121:S126)</f>
        <v>5425644</v>
      </c>
      <c r="T127" s="71"/>
      <c r="U127" s="71">
        <f ca="1">SUBTOTAL(9,U121:U126)</f>
        <v>5425644</v>
      </c>
      <c r="V127" s="71"/>
      <c r="W127" s="71"/>
      <c r="X127" s="71"/>
      <c r="Y127" s="71"/>
      <c r="Z127" s="68"/>
    </row>
    <row r="128" spans="14:26" ht="18" customHeight="1">
      <c r="N128" s="318" t="str">
        <f ca="1">"제 " &amp; Z128 &amp; " 호표  "&amp; OFFSET($A$1,MATCH(Z128,$A:$A,0)-1,1)</f>
        <v>제 11 호표  3.2. 주민간담회/시민계획단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11</v>
      </c>
    </row>
    <row r="129" spans="14:26" ht="18" customHeight="1">
      <c r="N129" s="140" t="s">
        <v>43</v>
      </c>
      <c r="O129" s="172">
        <v>3</v>
      </c>
      <c r="P129" s="219">
        <f ca="1">OFFSET($A$1,MATCH(Z128,$A:$A,0)-1,O129)</f>
        <v>2</v>
      </c>
      <c r="Q129" s="141" t="s">
        <v>29</v>
      </c>
      <c r="R129" s="142">
        <f t="shared" ref="R129:S134" ca="1" si="29">T129</f>
        <v>467217</v>
      </c>
      <c r="S129" s="142">
        <f t="shared" ca="1" si="29"/>
        <v>934434</v>
      </c>
      <c r="T129" s="142">
        <f ca="1">기술사</f>
        <v>467217</v>
      </c>
      <c r="U129" s="142">
        <f t="shared" ref="U129:U134" ca="1" si="30">ROUNDDOWN(P129*R129,0)</f>
        <v>934434</v>
      </c>
      <c r="V129" s="142"/>
      <c r="W129" s="142"/>
      <c r="X129" s="142"/>
      <c r="Y129" s="142"/>
      <c r="Z129" s="114"/>
    </row>
    <row r="130" spans="14:26" ht="18" customHeight="1">
      <c r="N130" s="143" t="s">
        <v>32</v>
      </c>
      <c r="O130" s="173">
        <v>4</v>
      </c>
      <c r="P130" s="234">
        <f ca="1">OFFSET($A$1,MATCH(Z128,$A:$A,0)-1,O130)</f>
        <v>2</v>
      </c>
      <c r="Q130" s="144" t="s">
        <v>29</v>
      </c>
      <c r="R130" s="118">
        <f t="shared" ca="1" si="29"/>
        <v>373353</v>
      </c>
      <c r="S130" s="118">
        <f t="shared" ca="1" si="29"/>
        <v>746706</v>
      </c>
      <c r="T130" s="118">
        <f ca="1">특급</f>
        <v>373353</v>
      </c>
      <c r="U130" s="118">
        <f t="shared" ca="1" si="30"/>
        <v>746706</v>
      </c>
      <c r="V130" s="118"/>
      <c r="W130" s="118"/>
      <c r="X130" s="118"/>
      <c r="Y130" s="118"/>
      <c r="Z130" s="115"/>
    </row>
    <row r="131" spans="14:26" ht="18" customHeight="1">
      <c r="N131" s="145" t="s">
        <v>39</v>
      </c>
      <c r="O131" s="173">
        <v>5</v>
      </c>
      <c r="P131" s="234">
        <f ca="1">OFFSET($A$1,MATCH(Z128,$A:$A,0)-1,O131)</f>
        <v>2</v>
      </c>
      <c r="Q131" s="144" t="s">
        <v>29</v>
      </c>
      <c r="R131" s="118">
        <f t="shared" ca="1" si="29"/>
        <v>310884</v>
      </c>
      <c r="S131" s="118">
        <f t="shared" ca="1" si="29"/>
        <v>621768</v>
      </c>
      <c r="T131" s="118">
        <f ca="1">고급</f>
        <v>310884</v>
      </c>
      <c r="U131" s="118">
        <f t="shared" ca="1" si="30"/>
        <v>621768</v>
      </c>
      <c r="V131" s="118"/>
      <c r="W131" s="118"/>
      <c r="X131" s="118"/>
      <c r="Y131" s="118"/>
      <c r="Z131" s="115"/>
    </row>
    <row r="132" spans="14:26" ht="18" customHeight="1">
      <c r="N132" s="145" t="s">
        <v>40</v>
      </c>
      <c r="O132" s="173">
        <v>6</v>
      </c>
      <c r="P132" s="234">
        <f ca="1">OFFSET($A$1,MATCH(Z128,$A:$A,0)-1,O132)</f>
        <v>4</v>
      </c>
      <c r="Q132" s="144" t="s">
        <v>29</v>
      </c>
      <c r="R132" s="118">
        <f t="shared" ca="1" si="29"/>
        <v>295138</v>
      </c>
      <c r="S132" s="118">
        <f t="shared" ca="1" si="29"/>
        <v>1180552</v>
      </c>
      <c r="T132" s="118">
        <f ca="1">중급</f>
        <v>295138</v>
      </c>
      <c r="U132" s="118">
        <f t="shared" ca="1" si="30"/>
        <v>1180552</v>
      </c>
      <c r="V132" s="118"/>
      <c r="W132" s="118"/>
      <c r="X132" s="118"/>
      <c r="Y132" s="118"/>
      <c r="Z132" s="115"/>
    </row>
    <row r="133" spans="14:26" ht="18" customHeight="1">
      <c r="N133" s="145" t="s">
        <v>41</v>
      </c>
      <c r="O133" s="173">
        <v>7</v>
      </c>
      <c r="P133" s="234">
        <f ca="1">OFFSET($A$1,MATCH(Z128,$A:$A,0)-1,O133)</f>
        <v>4</v>
      </c>
      <c r="Q133" s="144" t="s">
        <v>29</v>
      </c>
      <c r="R133" s="118">
        <f t="shared" ca="1" si="29"/>
        <v>235459</v>
      </c>
      <c r="S133" s="118">
        <f t="shared" ca="1" si="29"/>
        <v>941836</v>
      </c>
      <c r="T133" s="118">
        <f ca="1">초급</f>
        <v>235459</v>
      </c>
      <c r="U133" s="118">
        <f t="shared" ca="1" si="30"/>
        <v>941836</v>
      </c>
      <c r="V133" s="118"/>
      <c r="W133" s="118"/>
      <c r="X133" s="118"/>
      <c r="Y133" s="118"/>
      <c r="Z133" s="115"/>
    </row>
    <row r="134" spans="14:26" ht="18" customHeight="1">
      <c r="N134" s="319" t="s">
        <v>42</v>
      </c>
      <c r="O134" s="174">
        <v>8</v>
      </c>
      <c r="P134" s="235">
        <f ca="1">OFFSET($A$1,MATCH(Z128,$A:$A,0)-1,O134)</f>
        <v>4</v>
      </c>
      <c r="Q134" s="322" t="s">
        <v>29</v>
      </c>
      <c r="R134" s="323">
        <f t="shared" ca="1" si="29"/>
        <v>250087</v>
      </c>
      <c r="S134" s="323">
        <f t="shared" ca="1" si="29"/>
        <v>1000348</v>
      </c>
      <c r="T134" s="323">
        <f ca="1">보조원</f>
        <v>250087</v>
      </c>
      <c r="U134" s="323">
        <f t="shared" ca="1" si="30"/>
        <v>1000348</v>
      </c>
      <c r="V134" s="323"/>
      <c r="W134" s="323"/>
      <c r="X134" s="323"/>
      <c r="Y134" s="323"/>
      <c r="Z134" s="324"/>
    </row>
    <row r="135" spans="14:26" ht="18" customHeight="1">
      <c r="N135" s="139" t="s">
        <v>17</v>
      </c>
      <c r="O135" s="68"/>
      <c r="P135" s="69"/>
      <c r="Q135" s="70"/>
      <c r="R135" s="71"/>
      <c r="S135" s="71">
        <f ca="1">SUBTOTAL(9,S129:S134)</f>
        <v>5425644</v>
      </c>
      <c r="T135" s="71"/>
      <c r="U135" s="71">
        <f ca="1">SUBTOTAL(9,U129:U134)</f>
        <v>5425644</v>
      </c>
      <c r="V135" s="71"/>
      <c r="W135" s="71"/>
      <c r="X135" s="71"/>
      <c r="Y135" s="71"/>
      <c r="Z135" s="68"/>
    </row>
    <row r="136" spans="14:26" ht="18" customHeight="1">
      <c r="N136" s="318" t="str">
        <f ca="1">"제 " &amp; Z136 &amp; " 호표  "&amp; OFFSET($A$1,MATCH(Z136,$A:$A,0)-1,1)</f>
        <v>제 12 호표  3.3. 위원회심의 지원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12</v>
      </c>
    </row>
    <row r="137" spans="14:26" ht="18" customHeight="1">
      <c r="N137" s="140" t="s">
        <v>43</v>
      </c>
      <c r="O137" s="172">
        <v>3</v>
      </c>
      <c r="P137" s="219">
        <f ca="1">OFFSET($A$1,MATCH(Z136,$A:$A,0)-1,O137)</f>
        <v>2</v>
      </c>
      <c r="Q137" s="141" t="s">
        <v>29</v>
      </c>
      <c r="R137" s="142">
        <f t="shared" ref="R137:S142" ca="1" si="31">T137</f>
        <v>467217</v>
      </c>
      <c r="S137" s="142">
        <f t="shared" ca="1" si="31"/>
        <v>934434</v>
      </c>
      <c r="T137" s="142">
        <f ca="1">기술사</f>
        <v>467217</v>
      </c>
      <c r="U137" s="142">
        <f t="shared" ref="U137:U142" ca="1" si="32">ROUNDDOWN(P137*R137,0)</f>
        <v>934434</v>
      </c>
      <c r="V137" s="142"/>
      <c r="W137" s="142"/>
      <c r="X137" s="142"/>
      <c r="Y137" s="142"/>
      <c r="Z137" s="114"/>
    </row>
    <row r="138" spans="14:26" ht="18" customHeight="1">
      <c r="N138" s="143" t="s">
        <v>32</v>
      </c>
      <c r="O138" s="173">
        <v>4</v>
      </c>
      <c r="P138" s="234">
        <f ca="1">OFFSET($A$1,MATCH(Z136,$A:$A,0)-1,O138)</f>
        <v>2</v>
      </c>
      <c r="Q138" s="144" t="s">
        <v>29</v>
      </c>
      <c r="R138" s="118">
        <f t="shared" ca="1" si="31"/>
        <v>373353</v>
      </c>
      <c r="S138" s="118">
        <f t="shared" ca="1" si="31"/>
        <v>746706</v>
      </c>
      <c r="T138" s="118">
        <f ca="1">특급</f>
        <v>373353</v>
      </c>
      <c r="U138" s="118">
        <f t="shared" ca="1" si="32"/>
        <v>746706</v>
      </c>
      <c r="V138" s="118"/>
      <c r="W138" s="118"/>
      <c r="X138" s="118"/>
      <c r="Y138" s="118"/>
      <c r="Z138" s="115"/>
    </row>
    <row r="139" spans="14:26" ht="18" customHeight="1">
      <c r="N139" s="145" t="s">
        <v>39</v>
      </c>
      <c r="O139" s="173">
        <v>5</v>
      </c>
      <c r="P139" s="234">
        <f ca="1">OFFSET($A$1,MATCH(Z136,$A:$A,0)-1,O139)</f>
        <v>2</v>
      </c>
      <c r="Q139" s="144" t="s">
        <v>29</v>
      </c>
      <c r="R139" s="118">
        <f t="shared" ca="1" si="31"/>
        <v>310884</v>
      </c>
      <c r="S139" s="118">
        <f t="shared" ca="1" si="31"/>
        <v>621768</v>
      </c>
      <c r="T139" s="118">
        <f ca="1">고급</f>
        <v>310884</v>
      </c>
      <c r="U139" s="118">
        <f t="shared" ca="1" si="32"/>
        <v>621768</v>
      </c>
      <c r="V139" s="118"/>
      <c r="W139" s="118"/>
      <c r="X139" s="118"/>
      <c r="Y139" s="118"/>
      <c r="Z139" s="115"/>
    </row>
    <row r="140" spans="14:26" ht="18" customHeight="1">
      <c r="N140" s="145" t="s">
        <v>40</v>
      </c>
      <c r="O140" s="173">
        <v>6</v>
      </c>
      <c r="P140" s="234">
        <f ca="1">OFFSET($A$1,MATCH(Z136,$A:$A,0)-1,O140)</f>
        <v>4</v>
      </c>
      <c r="Q140" s="144" t="s">
        <v>29</v>
      </c>
      <c r="R140" s="118">
        <f t="shared" ca="1" si="31"/>
        <v>295138</v>
      </c>
      <c r="S140" s="118">
        <f t="shared" ca="1" si="31"/>
        <v>1180552</v>
      </c>
      <c r="T140" s="118">
        <f ca="1">중급</f>
        <v>295138</v>
      </c>
      <c r="U140" s="118">
        <f t="shared" ca="1" si="32"/>
        <v>1180552</v>
      </c>
      <c r="V140" s="118"/>
      <c r="W140" s="118"/>
      <c r="X140" s="118"/>
      <c r="Y140" s="118"/>
      <c r="Z140" s="115"/>
    </row>
    <row r="141" spans="14:26" ht="18" customHeight="1">
      <c r="N141" s="145" t="s">
        <v>41</v>
      </c>
      <c r="O141" s="173">
        <v>7</v>
      </c>
      <c r="P141" s="234">
        <f ca="1">OFFSET($A$1,MATCH(Z136,$A:$A,0)-1,O141)</f>
        <v>4</v>
      </c>
      <c r="Q141" s="144" t="s">
        <v>29</v>
      </c>
      <c r="R141" s="118">
        <f t="shared" ca="1" si="31"/>
        <v>235459</v>
      </c>
      <c r="S141" s="118">
        <f t="shared" ca="1" si="31"/>
        <v>941836</v>
      </c>
      <c r="T141" s="118">
        <f ca="1">초급</f>
        <v>235459</v>
      </c>
      <c r="U141" s="118">
        <f t="shared" ca="1" si="32"/>
        <v>941836</v>
      </c>
      <c r="V141" s="118"/>
      <c r="W141" s="118"/>
      <c r="X141" s="118"/>
      <c r="Y141" s="118"/>
      <c r="Z141" s="115"/>
    </row>
    <row r="142" spans="14:26" ht="18" customHeight="1">
      <c r="N142" s="319" t="s">
        <v>42</v>
      </c>
      <c r="O142" s="174">
        <v>8</v>
      </c>
      <c r="P142" s="235">
        <f ca="1">OFFSET($A$1,MATCH(Z136,$A:$A,0)-1,O142)</f>
        <v>4</v>
      </c>
      <c r="Q142" s="322" t="s">
        <v>29</v>
      </c>
      <c r="R142" s="323">
        <f t="shared" ca="1" si="31"/>
        <v>250087</v>
      </c>
      <c r="S142" s="323">
        <f t="shared" ca="1" si="31"/>
        <v>1000348</v>
      </c>
      <c r="T142" s="323">
        <f ca="1">보조원</f>
        <v>250087</v>
      </c>
      <c r="U142" s="323">
        <f t="shared" ca="1" si="32"/>
        <v>1000348</v>
      </c>
      <c r="V142" s="323"/>
      <c r="W142" s="323"/>
      <c r="X142" s="323"/>
      <c r="Y142" s="323"/>
      <c r="Z142" s="324"/>
    </row>
    <row r="143" spans="14:26" ht="18" customHeight="1">
      <c r="N143" s="139" t="s">
        <v>17</v>
      </c>
      <c r="O143" s="68"/>
      <c r="P143" s="69"/>
      <c r="Q143" s="70"/>
      <c r="R143" s="71"/>
      <c r="S143" s="71">
        <f ca="1">SUBTOTAL(9,S137:S142)</f>
        <v>5425644</v>
      </c>
      <c r="T143" s="71"/>
      <c r="U143" s="71">
        <f ca="1">SUBTOTAL(9,U137:U142)</f>
        <v>5425644</v>
      </c>
      <c r="V143" s="71"/>
      <c r="W143" s="71"/>
      <c r="X143" s="71"/>
      <c r="Y143" s="71"/>
      <c r="Z143" s="68"/>
    </row>
    <row r="144" spans="14:26" ht="18" customHeight="1">
      <c r="N144" s="318" t="str">
        <f ca="1">"제 " &amp; Z144 &amp; " 호표  "&amp; OFFSET($A$1,MATCH(Z144,$A:$A,0)-1,1)</f>
        <v>제 13 호표  3.4. 관계기관 협의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13</v>
      </c>
    </row>
    <row r="145" spans="14:26" ht="18" customHeight="1">
      <c r="N145" s="140" t="s">
        <v>43</v>
      </c>
      <c r="O145" s="172">
        <v>3</v>
      </c>
      <c r="P145" s="219">
        <f ca="1">OFFSET($A$1,MATCH(Z144,$A:$A,0)-1,O145)</f>
        <v>2</v>
      </c>
      <c r="Q145" s="141" t="s">
        <v>29</v>
      </c>
      <c r="R145" s="142">
        <f t="shared" ref="R145:S150" ca="1" si="33">T145</f>
        <v>467217</v>
      </c>
      <c r="S145" s="142">
        <f t="shared" ca="1" si="33"/>
        <v>934434</v>
      </c>
      <c r="T145" s="142">
        <f ca="1">기술사</f>
        <v>467217</v>
      </c>
      <c r="U145" s="142">
        <f t="shared" ref="U145:U150" ca="1" si="34">ROUNDDOWN(P145*R145,0)</f>
        <v>934434</v>
      </c>
      <c r="V145" s="142"/>
      <c r="W145" s="142"/>
      <c r="X145" s="142"/>
      <c r="Y145" s="142"/>
      <c r="Z145" s="114"/>
    </row>
    <row r="146" spans="14:26" ht="18" customHeight="1">
      <c r="N146" s="143" t="s">
        <v>32</v>
      </c>
      <c r="O146" s="173">
        <v>4</v>
      </c>
      <c r="P146" s="234">
        <f ca="1">OFFSET($A$1,MATCH(Z144,$A:$A,0)-1,O146)</f>
        <v>2</v>
      </c>
      <c r="Q146" s="144" t="s">
        <v>29</v>
      </c>
      <c r="R146" s="118">
        <f t="shared" ca="1" si="33"/>
        <v>373353</v>
      </c>
      <c r="S146" s="118">
        <f t="shared" ca="1" si="33"/>
        <v>746706</v>
      </c>
      <c r="T146" s="118">
        <f ca="1">특급</f>
        <v>373353</v>
      </c>
      <c r="U146" s="118">
        <f t="shared" ca="1" si="34"/>
        <v>746706</v>
      </c>
      <c r="V146" s="118"/>
      <c r="W146" s="118"/>
      <c r="X146" s="118"/>
      <c r="Y146" s="118"/>
      <c r="Z146" s="115"/>
    </row>
    <row r="147" spans="14:26" ht="18" customHeight="1">
      <c r="N147" s="145" t="s">
        <v>39</v>
      </c>
      <c r="O147" s="173">
        <v>5</v>
      </c>
      <c r="P147" s="234">
        <f ca="1">OFFSET($A$1,MATCH(Z144,$A:$A,0)-1,O147)</f>
        <v>2</v>
      </c>
      <c r="Q147" s="144" t="s">
        <v>29</v>
      </c>
      <c r="R147" s="118">
        <f t="shared" ca="1" si="33"/>
        <v>310884</v>
      </c>
      <c r="S147" s="118">
        <f t="shared" ca="1" si="33"/>
        <v>621768</v>
      </c>
      <c r="T147" s="118">
        <f ca="1">고급</f>
        <v>310884</v>
      </c>
      <c r="U147" s="118">
        <f t="shared" ca="1" si="34"/>
        <v>621768</v>
      </c>
      <c r="V147" s="118"/>
      <c r="W147" s="118"/>
      <c r="X147" s="118"/>
      <c r="Y147" s="118"/>
      <c r="Z147" s="115"/>
    </row>
    <row r="148" spans="14:26" ht="18" customHeight="1">
      <c r="N148" s="145" t="s">
        <v>40</v>
      </c>
      <c r="O148" s="173">
        <v>6</v>
      </c>
      <c r="P148" s="234">
        <f ca="1">OFFSET($A$1,MATCH(Z144,$A:$A,0)-1,O148)</f>
        <v>4</v>
      </c>
      <c r="Q148" s="144" t="s">
        <v>29</v>
      </c>
      <c r="R148" s="118">
        <f t="shared" ca="1" si="33"/>
        <v>295138</v>
      </c>
      <c r="S148" s="118">
        <f t="shared" ca="1" si="33"/>
        <v>1180552</v>
      </c>
      <c r="T148" s="118">
        <f ca="1">중급</f>
        <v>295138</v>
      </c>
      <c r="U148" s="118">
        <f t="shared" ca="1" si="34"/>
        <v>1180552</v>
      </c>
      <c r="V148" s="118"/>
      <c r="W148" s="118"/>
      <c r="X148" s="118"/>
      <c r="Y148" s="118"/>
      <c r="Z148" s="115"/>
    </row>
    <row r="149" spans="14:26" ht="18" customHeight="1">
      <c r="N149" s="145" t="s">
        <v>41</v>
      </c>
      <c r="O149" s="173">
        <v>7</v>
      </c>
      <c r="P149" s="234">
        <f ca="1">OFFSET($A$1,MATCH(Z144,$A:$A,0)-1,O149)</f>
        <v>4</v>
      </c>
      <c r="Q149" s="144" t="s">
        <v>29</v>
      </c>
      <c r="R149" s="118">
        <f t="shared" ca="1" si="33"/>
        <v>235459</v>
      </c>
      <c r="S149" s="118">
        <f t="shared" ca="1" si="33"/>
        <v>941836</v>
      </c>
      <c r="T149" s="118">
        <f ca="1">초급</f>
        <v>235459</v>
      </c>
      <c r="U149" s="118">
        <f t="shared" ca="1" si="34"/>
        <v>941836</v>
      </c>
      <c r="V149" s="118"/>
      <c r="W149" s="118"/>
      <c r="X149" s="118"/>
      <c r="Y149" s="118"/>
      <c r="Z149" s="115"/>
    </row>
    <row r="150" spans="14:26" ht="18" customHeight="1">
      <c r="N150" s="319" t="s">
        <v>42</v>
      </c>
      <c r="O150" s="174">
        <v>8</v>
      </c>
      <c r="P150" s="235">
        <f ca="1">OFFSET($A$1,MATCH(Z144,$A:$A,0)-1,O150)</f>
        <v>4</v>
      </c>
      <c r="Q150" s="322" t="s">
        <v>29</v>
      </c>
      <c r="R150" s="323">
        <f t="shared" ca="1" si="33"/>
        <v>250087</v>
      </c>
      <c r="S150" s="323">
        <f t="shared" ca="1" si="33"/>
        <v>1000348</v>
      </c>
      <c r="T150" s="323">
        <f ca="1">보조원</f>
        <v>250087</v>
      </c>
      <c r="U150" s="323">
        <f t="shared" ca="1" si="34"/>
        <v>1000348</v>
      </c>
      <c r="V150" s="323"/>
      <c r="W150" s="323"/>
      <c r="X150" s="323"/>
      <c r="Y150" s="323"/>
      <c r="Z150" s="324"/>
    </row>
    <row r="151" spans="14:26" ht="18" customHeight="1">
      <c r="N151" s="139" t="s">
        <v>17</v>
      </c>
      <c r="O151" s="68"/>
      <c r="P151" s="69"/>
      <c r="Q151" s="70"/>
      <c r="R151" s="71"/>
      <c r="S151" s="71">
        <f ca="1">SUBTOTAL(9,S145:S150)</f>
        <v>5425644</v>
      </c>
      <c r="T151" s="71"/>
      <c r="U151" s="71">
        <f ca="1">SUBTOTAL(9,U145:U150)</f>
        <v>5425644</v>
      </c>
      <c r="V151" s="71"/>
      <c r="W151" s="71"/>
      <c r="X151" s="71"/>
      <c r="Y151" s="71"/>
      <c r="Z151" s="68"/>
    </row>
    <row r="170" spans="11:13" ht="18" customHeight="1">
      <c r="M170" s="171"/>
    </row>
    <row r="171" spans="11:13" ht="18" customHeight="1">
      <c r="M171" s="171"/>
    </row>
    <row r="172" spans="11:13" ht="18" customHeight="1">
      <c r="M172" s="171"/>
    </row>
    <row r="173" spans="11:13" ht="18" customHeight="1"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2" ht="18" customHeight="1">
      <c r="K753" s="171" t="s">
        <v>14</v>
      </c>
      <c r="L753" s="171"/>
    </row>
    <row r="754" spans="11:12" ht="18" customHeight="1">
      <c r="K754" s="171" t="s">
        <v>14</v>
      </c>
      <c r="L754" s="171"/>
    </row>
    <row r="755" spans="11:12" ht="18" customHeight="1">
      <c r="K755" s="171" t="s">
        <v>14</v>
      </c>
      <c r="L755" s="171"/>
    </row>
    <row r="756" spans="11:12" ht="18" customHeight="1">
      <c r="K756" s="171" t="s">
        <v>14</v>
      </c>
      <c r="L756" s="171"/>
    </row>
  </sheetData>
  <mergeCells count="17">
    <mergeCell ref="G3:H3"/>
    <mergeCell ref="G4:H4"/>
    <mergeCell ref="G5:H5"/>
    <mergeCell ref="B3:C3"/>
    <mergeCell ref="D3:E3"/>
    <mergeCell ref="B4:C4"/>
    <mergeCell ref="D4:E4"/>
    <mergeCell ref="B5:C5"/>
    <mergeCell ref="D5:E5"/>
    <mergeCell ref="P46:P47"/>
    <mergeCell ref="Q46:Q47"/>
    <mergeCell ref="Z46:Z47"/>
    <mergeCell ref="B10:C11"/>
    <mergeCell ref="J10:J11"/>
    <mergeCell ref="L10:L11"/>
    <mergeCell ref="N46:N47"/>
    <mergeCell ref="O46:O47"/>
  </mergeCells>
  <phoneticPr fontId="14" type="noConversion"/>
  <conditionalFormatting sqref="V12:V27">
    <cfRule type="cellIs" dxfId="10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1" min="13" max="28" man="1"/>
    <brk id="68" min="13" max="28" man="1"/>
    <brk id="89" min="13" max="28" man="1"/>
  </row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5" tint="0.39997558519241921"/>
    <pageSetUpPr fitToPage="1"/>
  </sheetPr>
  <dimension ref="A1:Z747"/>
  <sheetViews>
    <sheetView showGridLines="0" zoomScale="85" zoomScaleNormal="85" zoomScaleSheetLayoutView="75" workbookViewId="0">
      <selection activeCell="Z50" sqref="Z50"/>
    </sheetView>
  </sheetViews>
  <sheetFormatPr defaultColWidth="12" defaultRowHeight="18" customHeight="1"/>
  <cols>
    <col min="1" max="1" width="4.33203125" style="315" customWidth="1"/>
    <col min="2" max="2" width="3.6640625" style="1" customWidth="1"/>
    <col min="3" max="3" width="48.1640625" style="1" customWidth="1"/>
    <col min="4" max="9" width="10.5" style="1" customWidth="1"/>
    <col min="10" max="10" width="10.6640625" style="1" customWidth="1"/>
    <col min="11" max="11" width="2.6640625" style="1" customWidth="1"/>
    <col min="12" max="12" width="9" style="1" customWidth="1"/>
    <col min="13" max="13" width="2.6640625" style="1" customWidth="1"/>
    <col min="14" max="14" width="20.832031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5" style="6" bestFit="1" customWidth="1"/>
    <col min="20" max="20" width="14.6640625" style="6" bestFit="1" customWidth="1"/>
    <col min="21" max="21" width="17.5" style="6" bestFit="1" customWidth="1"/>
    <col min="22" max="22" width="13.3320312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7" t="s">
        <v>2824</v>
      </c>
    </row>
    <row r="2" spans="1:26" ht="19.5" thickBot="1">
      <c r="B2" s="66" t="s">
        <v>1</v>
      </c>
    </row>
    <row r="3" spans="1:26" ht="18" customHeight="1">
      <c r="B3" s="773" t="s">
        <v>48</v>
      </c>
      <c r="C3" s="774"/>
      <c r="D3" s="845">
        <v>10</v>
      </c>
      <c r="E3" s="845"/>
      <c r="F3" s="44" t="s">
        <v>53</v>
      </c>
    </row>
    <row r="4" spans="1:26" ht="18" customHeight="1">
      <c r="B4" s="777" t="s">
        <v>54</v>
      </c>
      <c r="C4" s="778"/>
      <c r="D4" s="846">
        <v>10</v>
      </c>
      <c r="E4" s="846"/>
      <c r="F4" s="65" t="s">
        <v>53</v>
      </c>
    </row>
    <row r="5" spans="1:26" ht="18" customHeight="1" thickBot="1">
      <c r="A5" s="326"/>
      <c r="B5" s="781" t="s">
        <v>62</v>
      </c>
      <c r="C5" s="782"/>
      <c r="D5" s="784">
        <f>ROUND((D4/D3)^0.5,3)</f>
        <v>1</v>
      </c>
      <c r="E5" s="784"/>
      <c r="F5" s="45"/>
      <c r="G5" s="36"/>
    </row>
    <row r="6" spans="1:26" ht="18" customHeight="1">
      <c r="A6" s="326"/>
      <c r="B6" s="9" t="s">
        <v>2825</v>
      </c>
      <c r="C6" s="9"/>
      <c r="D6" s="64"/>
      <c r="E6" s="64"/>
      <c r="G6" s="36"/>
      <c r="R6" s="1"/>
      <c r="S6" s="1"/>
      <c r="T6" s="1"/>
    </row>
    <row r="7" spans="1:26" ht="18" customHeight="1">
      <c r="A7" s="326"/>
      <c r="G7" s="36"/>
      <c r="W7" s="188" t="s">
        <v>3</v>
      </c>
      <c r="X7" s="189"/>
    </row>
    <row r="8" spans="1:26" ht="18" customHeight="1" thickBot="1">
      <c r="A8" s="326"/>
      <c r="B8" s="66" t="s">
        <v>4</v>
      </c>
      <c r="C8" s="9"/>
      <c r="D8" s="64"/>
      <c r="E8" s="64"/>
      <c r="G8" s="36"/>
      <c r="N8" s="66" t="s">
        <v>5</v>
      </c>
    </row>
    <row r="9" spans="1:26" ht="18" customHeight="1" thickBot="1">
      <c r="A9" s="326"/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SUBTOTAL(9,W10:W29)</f>
        <v>47654611</v>
      </c>
      <c r="X9" s="187"/>
      <c r="Y9" s="177"/>
      <c r="Z9" s="167"/>
    </row>
    <row r="10" spans="1:26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SUBTOTAL(9,W11:W26)</f>
        <v>18013278</v>
      </c>
      <c r="X10" s="164"/>
      <c r="Y10" s="178" t="s">
        <v>9</v>
      </c>
      <c r="Z10" s="179"/>
    </row>
    <row r="11" spans="1:26" ht="18" customHeight="1" thickBot="1">
      <c r="A11" s="326"/>
      <c r="B11" s="820"/>
      <c r="C11" s="821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181"/>
      <c r="W11" s="159">
        <f ca="1">SUBTOTAL(9,W12:W22)</f>
        <v>16513278</v>
      </c>
      <c r="X11" s="160"/>
      <c r="Y11" s="220"/>
      <c r="Z11" s="168"/>
    </row>
    <row r="12" spans="1:26" ht="18" customHeight="1">
      <c r="A12" s="326"/>
      <c r="B12" s="225" t="s">
        <v>655</v>
      </c>
      <c r="C12" s="72"/>
      <c r="D12" s="30">
        <f t="shared" ref="D12:I12" si="0">SUBTOTAL(9,D13:D15)</f>
        <v>0.30000000000000004</v>
      </c>
      <c r="E12" s="31">
        <f t="shared" si="0"/>
        <v>0.60000000000000009</v>
      </c>
      <c r="F12" s="31">
        <f t="shared" si="0"/>
        <v>1.1000000000000001</v>
      </c>
      <c r="G12" s="31">
        <f t="shared" si="0"/>
        <v>1.7</v>
      </c>
      <c r="H12" s="31">
        <f t="shared" si="0"/>
        <v>3</v>
      </c>
      <c r="I12" s="32">
        <f t="shared" si="0"/>
        <v>0</v>
      </c>
      <c r="J12" s="73"/>
      <c r="L12" s="232"/>
      <c r="N12" s="354" t="str">
        <f>B12</f>
        <v>1. 계획안검토</v>
      </c>
      <c r="O12" s="169"/>
      <c r="P12" s="169"/>
      <c r="Q12" s="169"/>
      <c r="R12" s="169"/>
      <c r="S12" s="169"/>
      <c r="T12" s="169"/>
      <c r="U12" s="265"/>
      <c r="V12" s="248"/>
      <c r="W12" s="193">
        <f ca="1">SUBTOTAL(9,W13:W15)</f>
        <v>1914255</v>
      </c>
      <c r="X12" s="194"/>
      <c r="Y12" s="170" t="str">
        <f t="shared" ref="Y12:Y21" si="1">IF(A23&gt;0, "제 " &amp;A23&amp; " 호표","")</f>
        <v/>
      </c>
      <c r="Z12" s="170"/>
    </row>
    <row r="13" spans="1:26" ht="18" customHeight="1">
      <c r="A13" s="326"/>
      <c r="B13" s="223" t="s">
        <v>139</v>
      </c>
      <c r="C13" s="23"/>
      <c r="D13" s="20">
        <v>0.1</v>
      </c>
      <c r="E13" s="21">
        <v>0.2</v>
      </c>
      <c r="F13" s="21">
        <v>0.3</v>
      </c>
      <c r="G13" s="21">
        <v>0.5</v>
      </c>
      <c r="H13" s="21">
        <v>0.9</v>
      </c>
      <c r="I13" s="22"/>
      <c r="J13" s="74"/>
      <c r="L13" s="233">
        <v>1</v>
      </c>
      <c r="N13" s="292" t="str">
        <f t="shared" ref="N13:N21" si="2">B13</f>
        <v>1-1. 관련법규 검토</v>
      </c>
      <c r="O13" s="37"/>
      <c r="P13" s="37"/>
      <c r="Q13" s="37"/>
      <c r="R13" s="37"/>
      <c r="S13" s="37"/>
      <c r="T13" s="37"/>
      <c r="U13" s="265"/>
      <c r="V13" s="248"/>
      <c r="W13" s="153">
        <f t="array" aca="1" ref="W13" ca="1">SUM((ROUNDDOWN((D24:I24)*단가,0)))</f>
        <v>574138</v>
      </c>
      <c r="X13" s="113"/>
      <c r="Y13" s="263" t="str">
        <f t="shared" si="1"/>
        <v>제 1 호표</v>
      </c>
      <c r="Z13" s="37"/>
    </row>
    <row r="14" spans="1:26" ht="18" customHeight="1">
      <c r="A14" s="326"/>
      <c r="B14" s="223" t="s">
        <v>141</v>
      </c>
      <c r="C14" s="23"/>
      <c r="D14" s="20">
        <v>0.1</v>
      </c>
      <c r="E14" s="21">
        <v>0.2</v>
      </c>
      <c r="F14" s="21">
        <v>0.3</v>
      </c>
      <c r="G14" s="21">
        <v>0.5</v>
      </c>
      <c r="H14" s="21">
        <v>0.9</v>
      </c>
      <c r="I14" s="22"/>
      <c r="J14" s="74"/>
      <c r="L14" s="233">
        <v>1</v>
      </c>
      <c r="N14" s="292" t="str">
        <f t="shared" si="2"/>
        <v>1-2. 관련계획 검토</v>
      </c>
      <c r="O14" s="37"/>
      <c r="P14" s="37"/>
      <c r="Q14" s="37"/>
      <c r="R14" s="37"/>
      <c r="S14" s="37"/>
      <c r="T14" s="37"/>
      <c r="U14" s="265"/>
      <c r="V14" s="248"/>
      <c r="W14" s="153">
        <f t="array" aca="1" ref="W14" ca="1">SUM((ROUNDDOWN((D25:I25)*단가,0)))</f>
        <v>574138</v>
      </c>
      <c r="X14" s="154"/>
      <c r="Y14" s="263" t="str">
        <f t="shared" si="1"/>
        <v>제 2 호표</v>
      </c>
      <c r="Z14" s="150"/>
    </row>
    <row r="15" spans="1:26" ht="18" customHeight="1">
      <c r="A15" s="326"/>
      <c r="B15" s="223" t="s">
        <v>121</v>
      </c>
      <c r="C15" s="23"/>
      <c r="D15" s="40">
        <v>0.1</v>
      </c>
      <c r="E15" s="21">
        <v>0.2</v>
      </c>
      <c r="F15" s="21">
        <v>0.5</v>
      </c>
      <c r="G15" s="21">
        <v>0.7</v>
      </c>
      <c r="H15" s="21">
        <v>1.2</v>
      </c>
      <c r="I15" s="22"/>
      <c r="J15" s="74"/>
      <c r="L15" s="233">
        <v>1</v>
      </c>
      <c r="N15" s="292" t="str">
        <f t="shared" si="2"/>
        <v>1-3. 주변지역과의 상관성 검토</v>
      </c>
      <c r="O15" s="37"/>
      <c r="P15" s="37"/>
      <c r="Q15" s="37"/>
      <c r="R15" s="37"/>
      <c r="S15" s="37"/>
      <c r="T15" s="37"/>
      <c r="U15" s="265"/>
      <c r="V15" s="248"/>
      <c r="W15" s="153">
        <f t="array" aca="1" ref="W15" ca="1">SUM((ROUNDDOWN((D26:I26)*단가,0)))</f>
        <v>765979</v>
      </c>
      <c r="X15" s="154"/>
      <c r="Y15" s="263" t="str">
        <f t="shared" si="1"/>
        <v>제 3 호표</v>
      </c>
      <c r="Z15" s="150"/>
    </row>
    <row r="16" spans="1:26" ht="18" customHeight="1">
      <c r="A16" s="326"/>
      <c r="B16" s="222" t="s">
        <v>2826</v>
      </c>
      <c r="C16" s="47"/>
      <c r="D16" s="33">
        <f t="shared" ref="D16:I16" si="3">SUBTOTAL(9,D17:D21)</f>
        <v>0.4</v>
      </c>
      <c r="E16" s="34">
        <f t="shared" si="3"/>
        <v>3.2</v>
      </c>
      <c r="F16" s="34">
        <f t="shared" si="3"/>
        <v>8.6999999999999993</v>
      </c>
      <c r="G16" s="34">
        <f t="shared" si="3"/>
        <v>12.5</v>
      </c>
      <c r="H16" s="34">
        <f t="shared" si="3"/>
        <v>24.200000000000003</v>
      </c>
      <c r="I16" s="35">
        <f t="shared" si="3"/>
        <v>4.5</v>
      </c>
      <c r="J16" s="74"/>
      <c r="L16" s="233"/>
      <c r="N16" s="79" t="str">
        <f t="shared" si="2"/>
        <v>2. 국·공유지 무상귀속 도서작성</v>
      </c>
      <c r="O16" s="37"/>
      <c r="P16" s="39"/>
      <c r="Q16" s="37"/>
      <c r="R16" s="117"/>
      <c r="S16" s="37"/>
      <c r="T16" s="37"/>
      <c r="U16" s="265"/>
      <c r="V16" s="248"/>
      <c r="W16" s="195">
        <f ca="1">SUBTOTAL(9,W17:W21)</f>
        <v>14599023</v>
      </c>
      <c r="X16" s="196"/>
      <c r="Y16" s="263" t="str">
        <f t="shared" si="1"/>
        <v/>
      </c>
      <c r="Z16" s="150"/>
    </row>
    <row r="17" spans="1:26" ht="18" customHeight="1">
      <c r="A17" s="326"/>
      <c r="B17" s="223" t="s">
        <v>2827</v>
      </c>
      <c r="C17" s="23"/>
      <c r="D17" s="20">
        <v>0.1</v>
      </c>
      <c r="E17" s="21">
        <v>0.3</v>
      </c>
      <c r="F17" s="21">
        <v>0.4</v>
      </c>
      <c r="G17" s="21">
        <v>0.5</v>
      </c>
      <c r="H17" s="21">
        <v>1.5</v>
      </c>
      <c r="I17" s="22"/>
      <c r="J17" s="74"/>
      <c r="L17" s="233">
        <v>1</v>
      </c>
      <c r="N17" s="292" t="str">
        <f t="shared" si="2"/>
        <v>2.1. 국·공유지 무상귀속 사전협의 요청서 작성</v>
      </c>
      <c r="O17" s="37"/>
      <c r="P17" s="39"/>
      <c r="Q17" s="37"/>
      <c r="R17" s="117"/>
      <c r="S17" s="37"/>
      <c r="T17" s="37"/>
      <c r="U17" s="265"/>
      <c r="V17" s="248"/>
      <c r="W17" s="153">
        <f t="array" aca="1" ref="W17" ca="1">SUM((ROUNDDOWN((D28:I28)*단가,0)))</f>
        <v>783836</v>
      </c>
      <c r="X17" s="154"/>
      <c r="Y17" s="263" t="str">
        <f t="shared" si="1"/>
        <v>제 4 호표</v>
      </c>
      <c r="Z17" s="150"/>
    </row>
    <row r="18" spans="1:26" ht="18" customHeight="1">
      <c r="A18" s="326"/>
      <c r="B18" s="223" t="s">
        <v>2828</v>
      </c>
      <c r="C18" s="23"/>
      <c r="D18" s="20"/>
      <c r="E18" s="21">
        <v>0.4</v>
      </c>
      <c r="F18" s="21">
        <v>1</v>
      </c>
      <c r="G18" s="21">
        <v>1.5</v>
      </c>
      <c r="H18" s="21">
        <v>2</v>
      </c>
      <c r="I18" s="22"/>
      <c r="J18" s="74"/>
      <c r="L18" s="233">
        <v>1</v>
      </c>
      <c r="N18" s="292" t="str">
        <f t="shared" si="2"/>
        <v>2.2. 국·공유지 편입도서 작성</v>
      </c>
      <c r="O18" s="37"/>
      <c r="P18" s="39"/>
      <c r="Q18" s="37"/>
      <c r="R18" s="117"/>
      <c r="S18" s="37"/>
      <c r="T18" s="37"/>
      <c r="U18" s="226"/>
      <c r="V18" s="248"/>
      <c r="W18" s="153">
        <f t="array" aca="1" ref="W18" ca="1">SUM((ROUNDDOWN((D29:I29)*단가,0)))</f>
        <v>1373850</v>
      </c>
      <c r="X18" s="154"/>
      <c r="Y18" s="263" t="str">
        <f t="shared" si="1"/>
        <v>제 5 호표</v>
      </c>
      <c r="Z18" s="150"/>
    </row>
    <row r="19" spans="1:26" ht="18" customHeight="1">
      <c r="A19" s="326"/>
      <c r="B19" s="223" t="s">
        <v>2829</v>
      </c>
      <c r="C19" s="23"/>
      <c r="D19" s="20">
        <v>0.2</v>
      </c>
      <c r="E19" s="21">
        <v>1.3</v>
      </c>
      <c r="F19" s="21">
        <v>2.2000000000000002</v>
      </c>
      <c r="G19" s="21">
        <v>3</v>
      </c>
      <c r="H19" s="21">
        <v>7.4</v>
      </c>
      <c r="I19" s="22">
        <v>4.5</v>
      </c>
      <c r="J19" s="74"/>
      <c r="L19" s="233">
        <v>1</v>
      </c>
      <c r="N19" s="292" t="str">
        <f t="shared" si="2"/>
        <v>2.3. 현장조사</v>
      </c>
      <c r="O19" s="37"/>
      <c r="P19" s="39"/>
      <c r="Q19" s="37"/>
      <c r="R19" s="117"/>
      <c r="S19" s="37"/>
      <c r="T19" s="37"/>
      <c r="U19" s="226"/>
      <c r="V19" s="248"/>
      <c r="W19" s="153">
        <f t="array" aca="1" ref="W19" ca="1">SUM((ROUNDDOWN((D30:I30)*단가,0)))</f>
        <v>5015946</v>
      </c>
      <c r="X19" s="154"/>
      <c r="Y19" s="263" t="str">
        <f t="shared" si="1"/>
        <v>제 6 호표</v>
      </c>
      <c r="Z19" s="150"/>
    </row>
    <row r="20" spans="1:26" ht="18" customHeight="1">
      <c r="A20" s="326"/>
      <c r="B20" s="223" t="s">
        <v>2830</v>
      </c>
      <c r="C20" s="23"/>
      <c r="D20" s="20"/>
      <c r="E20" s="21">
        <v>0.4</v>
      </c>
      <c r="F20" s="21">
        <v>1</v>
      </c>
      <c r="G20" s="21">
        <v>1.5</v>
      </c>
      <c r="H20" s="21">
        <v>2</v>
      </c>
      <c r="I20" s="22"/>
      <c r="J20" s="74"/>
      <c r="L20" s="233">
        <v>1</v>
      </c>
      <c r="N20" s="292" t="str">
        <f t="shared" si="2"/>
        <v>2.4. 도시계획 관련도서 작성</v>
      </c>
      <c r="O20" s="37"/>
      <c r="P20" s="39"/>
      <c r="Q20" s="37"/>
      <c r="R20" s="117"/>
      <c r="S20" s="37"/>
      <c r="T20" s="37"/>
      <c r="U20" s="226"/>
      <c r="V20" s="248"/>
      <c r="W20" s="153">
        <f t="array" aca="1" ref="W20" ca="1">SUM((ROUNDDOWN((D31:I31)*단가,0)))</f>
        <v>1373850</v>
      </c>
      <c r="X20" s="196"/>
      <c r="Y20" s="263" t="str">
        <f t="shared" si="1"/>
        <v>제 7 호표</v>
      </c>
      <c r="Z20" s="150"/>
    </row>
    <row r="21" spans="1:26" ht="18" customHeight="1" thickBot="1">
      <c r="A21" s="326"/>
      <c r="B21" s="223" t="s">
        <v>2831</v>
      </c>
      <c r="C21" s="23"/>
      <c r="D21" s="20">
        <v>0.1</v>
      </c>
      <c r="E21" s="21">
        <v>0.8</v>
      </c>
      <c r="F21" s="21">
        <v>4.0999999999999996</v>
      </c>
      <c r="G21" s="21">
        <v>6</v>
      </c>
      <c r="H21" s="21">
        <v>11.3</v>
      </c>
      <c r="I21" s="22"/>
      <c r="J21" s="74"/>
      <c r="L21" s="233">
        <v>1</v>
      </c>
      <c r="N21" s="292" t="str">
        <f t="shared" si="2"/>
        <v>2.5. 국·공유지 무상귀속 관련도서 작성</v>
      </c>
      <c r="O21" s="37"/>
      <c r="P21" s="39"/>
      <c r="Q21" s="37"/>
      <c r="R21" s="117"/>
      <c r="S21" s="37"/>
      <c r="T21" s="37"/>
      <c r="U21" s="226"/>
      <c r="V21" s="248"/>
      <c r="W21" s="153">
        <f t="array" aca="1" ref="W21" ca="1">SUM((ROUNDDOWN((D32:I32)*단가,0)))</f>
        <v>6051541</v>
      </c>
      <c r="X21" s="154"/>
      <c r="Y21" s="263" t="str">
        <f t="shared" si="1"/>
        <v>제 8 호표</v>
      </c>
      <c r="Z21" s="150"/>
    </row>
    <row r="22" spans="1:26" ht="18" customHeight="1" thickBot="1">
      <c r="A22" s="326"/>
      <c r="B22" s="249" t="s">
        <v>30</v>
      </c>
      <c r="C22" s="250"/>
      <c r="D22" s="249" t="s">
        <v>12</v>
      </c>
      <c r="E22" s="251"/>
      <c r="F22" s="251"/>
      <c r="G22" s="251"/>
      <c r="H22" s="251"/>
      <c r="I22" s="250"/>
      <c r="J22" s="175" t="s">
        <v>31</v>
      </c>
      <c r="N22" s="376"/>
      <c r="O22" s="37"/>
      <c r="P22" s="39"/>
      <c r="Q22" s="37"/>
      <c r="R22" s="117"/>
      <c r="S22" s="37"/>
      <c r="T22" s="37"/>
      <c r="U22" s="180"/>
      <c r="V22" s="192"/>
      <c r="W22" s="153"/>
      <c r="X22" s="196"/>
      <c r="Y22" s="150"/>
      <c r="Z22" s="150"/>
    </row>
    <row r="23" spans="1:26" ht="18" customHeight="1">
      <c r="A23" s="326"/>
      <c r="B23" s="225" t="str">
        <f>B12</f>
        <v>1. 계획안검토</v>
      </c>
      <c r="C23" s="72"/>
      <c r="D23" s="450">
        <f t="shared" ref="D23:I23" si="4">SUBTOTAL(9,D24:D26)</f>
        <v>0.30000000000000004</v>
      </c>
      <c r="E23" s="451">
        <f t="shared" si="4"/>
        <v>0.60000000000000009</v>
      </c>
      <c r="F23" s="451">
        <f t="shared" si="4"/>
        <v>1.1000000000000001</v>
      </c>
      <c r="G23" s="451">
        <f t="shared" si="4"/>
        <v>1.7</v>
      </c>
      <c r="H23" s="451">
        <f t="shared" si="4"/>
        <v>3</v>
      </c>
      <c r="I23" s="452">
        <f t="shared" si="4"/>
        <v>0</v>
      </c>
      <c r="J23" s="73"/>
      <c r="N23" s="290" t="s">
        <v>2832</v>
      </c>
      <c r="O23" s="129"/>
      <c r="P23" s="130"/>
      <c r="Q23" s="124"/>
      <c r="R23" s="131"/>
      <c r="S23" s="124"/>
      <c r="T23" s="124"/>
      <c r="U23" s="181"/>
      <c r="V23" s="181"/>
      <c r="W23" s="159">
        <f>SUBTOTAL(9,W24:W26)</f>
        <v>1500000</v>
      </c>
      <c r="X23" s="160"/>
      <c r="Y23" s="124"/>
      <c r="Z23" s="124"/>
    </row>
    <row r="24" spans="1:26" ht="18" customHeight="1">
      <c r="A24" s="326">
        <v>1</v>
      </c>
      <c r="B24" s="223" t="str">
        <f t="shared" ref="B24:B32" si="5">B13</f>
        <v>1-1. 관련법규 검토</v>
      </c>
      <c r="C24" s="23"/>
      <c r="D24" s="20">
        <f t="array" ref="D24:I26">ROUNDDOWN(D13:I15*$D$5*$L13:$L15,3)</f>
        <v>0.1</v>
      </c>
      <c r="E24" s="21">
        <v>0.2</v>
      </c>
      <c r="F24" s="21">
        <v>0.3</v>
      </c>
      <c r="G24" s="21">
        <v>0.5</v>
      </c>
      <c r="H24" s="21">
        <v>0.9</v>
      </c>
      <c r="I24" s="22">
        <v>0</v>
      </c>
      <c r="J24" s="74"/>
      <c r="N24" s="128" t="str">
        <f>"여비("&amp;TEXT(R24,"#인 ×")&amp;TEXT(S24,"#일 ×")&amp;TEXT(T24,"###,###원)")</f>
        <v>여비(3인 ×5일 ×100,000원)</v>
      </c>
      <c r="O24" s="78"/>
      <c r="P24" s="52"/>
      <c r="Q24" s="51"/>
      <c r="R24" s="146">
        <v>3</v>
      </c>
      <c r="S24" s="146">
        <v>5</v>
      </c>
      <c r="T24" s="147">
        <v>100000</v>
      </c>
      <c r="U24" s="182"/>
      <c r="V24" s="182"/>
      <c r="W24" s="161">
        <f>R24*S24*T24</f>
        <v>1500000</v>
      </c>
      <c r="X24" s="162"/>
      <c r="Y24" s="51"/>
      <c r="Z24" s="51"/>
    </row>
    <row r="25" spans="1:26" ht="18" customHeight="1">
      <c r="A25" s="326">
        <v>2</v>
      </c>
      <c r="B25" s="223" t="str">
        <f t="shared" si="5"/>
        <v>1-2. 관련계획 검토</v>
      </c>
      <c r="C25" s="23"/>
      <c r="D25" s="20">
        <v>0.1</v>
      </c>
      <c r="E25" s="21">
        <v>0.2</v>
      </c>
      <c r="F25" s="21">
        <v>0.3</v>
      </c>
      <c r="G25" s="21">
        <v>0.5</v>
      </c>
      <c r="H25" s="21">
        <v>0.9</v>
      </c>
      <c r="I25" s="22">
        <v>0</v>
      </c>
      <c r="J25" s="74"/>
      <c r="N25" s="79" t="s">
        <v>46</v>
      </c>
      <c r="O25" s="79"/>
      <c r="P25" s="39"/>
      <c r="Q25" s="37"/>
      <c r="R25" s="117"/>
      <c r="S25" s="37"/>
      <c r="T25" s="37"/>
      <c r="U25" s="180"/>
      <c r="V25" s="180"/>
      <c r="W25" s="157">
        <v>0</v>
      </c>
      <c r="X25" s="158"/>
      <c r="Y25" s="37"/>
      <c r="Z25" s="37"/>
    </row>
    <row r="26" spans="1:26" ht="18" customHeight="1">
      <c r="A26" s="326">
        <v>3</v>
      </c>
      <c r="B26" s="223" t="str">
        <f t="shared" si="5"/>
        <v>1-3. 주변지역과의 상관성 검토</v>
      </c>
      <c r="C26" s="23"/>
      <c r="D26" s="40">
        <v>0.1</v>
      </c>
      <c r="E26" s="21">
        <v>0.2</v>
      </c>
      <c r="F26" s="21">
        <v>0.5</v>
      </c>
      <c r="G26" s="21">
        <v>0.7</v>
      </c>
      <c r="H26" s="21">
        <v>1.2</v>
      </c>
      <c r="I26" s="22">
        <v>0</v>
      </c>
      <c r="J26" s="74"/>
      <c r="N26" s="132" t="s">
        <v>13</v>
      </c>
      <c r="O26" s="132"/>
      <c r="P26" s="38"/>
      <c r="Q26" s="38"/>
      <c r="R26" s="116"/>
      <c r="S26" s="38"/>
      <c r="T26" s="38"/>
      <c r="U26" s="183"/>
      <c r="V26" s="183"/>
      <c r="W26" s="155">
        <v>0</v>
      </c>
      <c r="X26" s="156"/>
      <c r="Y26" s="38"/>
      <c r="Z26" s="38"/>
    </row>
    <row r="27" spans="1:26" ht="18" customHeight="1">
      <c r="A27" s="326"/>
      <c r="B27" s="222" t="str">
        <f t="shared" si="5"/>
        <v>2. 국·공유지 무상귀속 도서작성</v>
      </c>
      <c r="C27" s="47"/>
      <c r="D27" s="33">
        <f t="shared" ref="D27:I27" si="6">SUBTOTAL(9,D28:D32)</f>
        <v>0.4</v>
      </c>
      <c r="E27" s="34">
        <f t="shared" si="6"/>
        <v>3.2</v>
      </c>
      <c r="F27" s="34">
        <f t="shared" si="6"/>
        <v>8.6999999999999993</v>
      </c>
      <c r="G27" s="34">
        <f t="shared" si="6"/>
        <v>12.5</v>
      </c>
      <c r="H27" s="34">
        <f t="shared" si="6"/>
        <v>24.200000000000003</v>
      </c>
      <c r="I27" s="35">
        <f t="shared" si="6"/>
        <v>4.5</v>
      </c>
      <c r="J27" s="74"/>
      <c r="N27" s="127" t="s">
        <v>47</v>
      </c>
      <c r="O27" s="123"/>
      <c r="P27" s="123"/>
      <c r="Q27" s="123"/>
      <c r="R27" s="123"/>
      <c r="S27" s="123"/>
      <c r="T27" s="123"/>
      <c r="U27" s="184"/>
      <c r="V27" s="184"/>
      <c r="W27" s="163">
        <f ca="1">SUBTOTAL(9,W28:W29)</f>
        <v>29641333</v>
      </c>
      <c r="X27" s="164"/>
      <c r="Y27" s="123"/>
      <c r="Z27" s="123"/>
    </row>
    <row r="28" spans="1:26" ht="18" customHeight="1">
      <c r="A28" s="326">
        <v>4</v>
      </c>
      <c r="B28" s="223" t="str">
        <f t="shared" si="5"/>
        <v>2.1. 국·공유지 무상귀속 사전협의 요청서 작성</v>
      </c>
      <c r="C28" s="23"/>
      <c r="D28" s="20">
        <f t="array" ref="D28:I32">ROUNDDOWN(D17:I21*$D$5*$L17:$L21,3)</f>
        <v>0.1</v>
      </c>
      <c r="E28" s="21">
        <v>0.3</v>
      </c>
      <c r="F28" s="21">
        <v>0.4</v>
      </c>
      <c r="G28" s="21">
        <v>0.5</v>
      </c>
      <c r="H28" s="21">
        <v>1.5</v>
      </c>
      <c r="I28" s="22">
        <v>0</v>
      </c>
      <c r="J28" s="74"/>
      <c r="N28" s="133" t="s">
        <v>861</v>
      </c>
      <c r="O28" s="124"/>
      <c r="P28" s="134"/>
      <c r="Q28" s="124"/>
      <c r="R28" s="131"/>
      <c r="S28" s="124"/>
      <c r="T28" s="181"/>
      <c r="U28" s="181"/>
      <c r="V28" s="190">
        <v>1.1499999999999999</v>
      </c>
      <c r="W28" s="159">
        <f ca="1">ROUNDDOWN(W11*V28,0)</f>
        <v>18990269</v>
      </c>
      <c r="X28" s="160"/>
      <c r="Y28" s="124"/>
      <c r="Z28" s="124"/>
    </row>
    <row r="29" spans="1:26" ht="18" customHeight="1" thickBot="1">
      <c r="A29" s="326">
        <v>5</v>
      </c>
      <c r="B29" s="223" t="str">
        <f t="shared" si="5"/>
        <v>2.2. 국·공유지 편입도서 작성</v>
      </c>
      <c r="C29" s="23"/>
      <c r="D29" s="20">
        <v>0</v>
      </c>
      <c r="E29" s="21">
        <v>0.4</v>
      </c>
      <c r="F29" s="21">
        <v>1</v>
      </c>
      <c r="G29" s="21">
        <v>1.5</v>
      </c>
      <c r="H29" s="21">
        <v>2</v>
      </c>
      <c r="I29" s="22">
        <v>0</v>
      </c>
      <c r="J29" s="74"/>
      <c r="N29" s="135" t="s">
        <v>862</v>
      </c>
      <c r="O29" s="136"/>
      <c r="P29" s="137"/>
      <c r="Q29" s="136"/>
      <c r="R29" s="138"/>
      <c r="S29" s="136"/>
      <c r="T29" s="185"/>
      <c r="U29" s="185"/>
      <c r="V29" s="191">
        <v>0.3</v>
      </c>
      <c r="W29" s="165">
        <f ca="1">ROUNDDOWN((W11+W28)*V29,0)</f>
        <v>10651064</v>
      </c>
      <c r="X29" s="166"/>
      <c r="Y29" s="136"/>
      <c r="Z29" s="136"/>
    </row>
    <row r="30" spans="1:26" ht="18" customHeight="1">
      <c r="A30" s="326">
        <v>6</v>
      </c>
      <c r="B30" s="223" t="str">
        <f t="shared" si="5"/>
        <v>2.3. 현장조사</v>
      </c>
      <c r="C30" s="23"/>
      <c r="D30" s="20">
        <v>0.2</v>
      </c>
      <c r="E30" s="21">
        <v>1.3</v>
      </c>
      <c r="F30" s="21">
        <v>2.2000000000000002</v>
      </c>
      <c r="G30" s="21">
        <v>3</v>
      </c>
      <c r="H30" s="21">
        <v>7.4</v>
      </c>
      <c r="I30" s="22">
        <v>4.5</v>
      </c>
      <c r="J30" s="74"/>
    </row>
    <row r="31" spans="1:26" ht="18" customHeight="1">
      <c r="A31" s="326">
        <v>7</v>
      </c>
      <c r="B31" s="223" t="str">
        <f t="shared" si="5"/>
        <v>2.4. 도시계획 관련도서 작성</v>
      </c>
      <c r="C31" s="23"/>
      <c r="D31" s="20">
        <v>0</v>
      </c>
      <c r="E31" s="21">
        <v>0.4</v>
      </c>
      <c r="F31" s="21">
        <v>1</v>
      </c>
      <c r="G31" s="21">
        <v>1.5</v>
      </c>
      <c r="H31" s="21">
        <v>2</v>
      </c>
      <c r="I31" s="22">
        <v>0</v>
      </c>
      <c r="J31" s="74"/>
    </row>
    <row r="32" spans="1:26" ht="18" customHeight="1" thickBot="1">
      <c r="A32" s="326">
        <v>8</v>
      </c>
      <c r="B32" s="388" t="str">
        <f t="shared" si="5"/>
        <v>2.5. 국·공유지 무상귀속 관련도서 작성</v>
      </c>
      <c r="C32" s="342"/>
      <c r="D32" s="397">
        <v>0.1</v>
      </c>
      <c r="E32" s="398">
        <v>0.8</v>
      </c>
      <c r="F32" s="398">
        <v>4.0999999999999996</v>
      </c>
      <c r="G32" s="398">
        <v>6</v>
      </c>
      <c r="H32" s="398">
        <v>11.3</v>
      </c>
      <c r="I32" s="399">
        <v>0</v>
      </c>
      <c r="J32" s="176"/>
    </row>
    <row r="33" spans="1:26" ht="18" customHeight="1">
      <c r="A33" s="326"/>
      <c r="B33" s="85" t="s">
        <v>15</v>
      </c>
      <c r="C33" s="1" t="s">
        <v>473</v>
      </c>
    </row>
    <row r="34" spans="1:26" ht="18" customHeight="1">
      <c r="A34" s="326"/>
      <c r="B34" s="8"/>
      <c r="C34" s="9" t="s">
        <v>230</v>
      </c>
      <c r="M34" s="171" t="s">
        <v>14</v>
      </c>
    </row>
    <row r="35" spans="1:26" ht="18" customHeight="1">
      <c r="A35" s="326"/>
      <c r="M35" s="171" t="s">
        <v>14</v>
      </c>
    </row>
    <row r="36" spans="1:26" ht="18" customHeight="1">
      <c r="A36" s="326"/>
      <c r="M36" s="171" t="s">
        <v>14</v>
      </c>
    </row>
    <row r="37" spans="1:26" ht="18" customHeight="1">
      <c r="A37" s="326"/>
      <c r="M37" s="171" t="s">
        <v>14</v>
      </c>
    </row>
    <row r="38" spans="1:26" ht="18" customHeight="1">
      <c r="A38" s="326"/>
      <c r="M38" s="171" t="s">
        <v>14</v>
      </c>
    </row>
    <row r="39" spans="1:26" ht="18" customHeight="1" thickBot="1">
      <c r="K39" s="171" t="s">
        <v>14</v>
      </c>
      <c r="L39" s="171"/>
      <c r="M39" s="171" t="s">
        <v>14</v>
      </c>
      <c r="N39" s="66" t="s">
        <v>18</v>
      </c>
      <c r="O39" s="2"/>
      <c r="P39" s="2"/>
      <c r="Q39" s="2"/>
      <c r="R39" s="3"/>
      <c r="S39" s="4"/>
      <c r="T39" s="3"/>
      <c r="U39" s="4"/>
      <c r="V39" s="3"/>
      <c r="W39" s="4"/>
      <c r="X39" s="3"/>
      <c r="Y39" s="4"/>
      <c r="Z39" s="2"/>
    </row>
    <row r="40" spans="1:26" ht="18" customHeight="1">
      <c r="K40" s="171" t="s">
        <v>14</v>
      </c>
      <c r="L40" s="171"/>
      <c r="M40" s="171" t="s">
        <v>14</v>
      </c>
      <c r="N40" s="765" t="s">
        <v>19</v>
      </c>
      <c r="O40" s="755" t="s">
        <v>20</v>
      </c>
      <c r="P40" s="755" t="s">
        <v>21</v>
      </c>
      <c r="Q40" s="755" t="s">
        <v>16</v>
      </c>
      <c r="R40" s="5" t="s">
        <v>22</v>
      </c>
      <c r="S40" s="5"/>
      <c r="T40" s="5" t="s">
        <v>23</v>
      </c>
      <c r="U40" s="5"/>
      <c r="V40" s="5" t="s">
        <v>24</v>
      </c>
      <c r="W40" s="5"/>
      <c r="X40" s="5" t="s">
        <v>25</v>
      </c>
      <c r="Y40" s="5"/>
      <c r="Z40" s="755" t="s">
        <v>26</v>
      </c>
    </row>
    <row r="41" spans="1:26" ht="18" customHeight="1" thickBot="1">
      <c r="K41" s="171" t="s">
        <v>14</v>
      </c>
      <c r="L41" s="171"/>
      <c r="M41" s="171" t="s">
        <v>14</v>
      </c>
      <c r="N41" s="766"/>
      <c r="O41" s="756"/>
      <c r="P41" s="756"/>
      <c r="Q41" s="756"/>
      <c r="R41" s="67" t="s">
        <v>27</v>
      </c>
      <c r="S41" s="67" t="s">
        <v>28</v>
      </c>
      <c r="T41" s="67" t="s">
        <v>27</v>
      </c>
      <c r="U41" s="67" t="s">
        <v>28</v>
      </c>
      <c r="V41" s="67" t="s">
        <v>27</v>
      </c>
      <c r="W41" s="67" t="s">
        <v>28</v>
      </c>
      <c r="X41" s="67" t="s">
        <v>27</v>
      </c>
      <c r="Y41" s="67" t="s">
        <v>28</v>
      </c>
      <c r="Z41" s="756"/>
    </row>
    <row r="42" spans="1:26" ht="18" customHeight="1" thickTop="1">
      <c r="K42" s="171" t="s">
        <v>14</v>
      </c>
      <c r="L42" s="171"/>
      <c r="M42" s="171" t="s">
        <v>14</v>
      </c>
      <c r="N42" s="318" t="str">
        <f ca="1">"제 " &amp; Z42 &amp; " 호표  "&amp; OFFSET($A$1,MATCH(Z42,$A:$A,0)-1,1)</f>
        <v>제 1 호표  1-1. 관련법규 검토</v>
      </c>
      <c r="O42" s="221"/>
      <c r="P42" s="148"/>
      <c r="Q42" s="148"/>
      <c r="R42" s="149"/>
      <c r="S42" s="149"/>
      <c r="T42" s="149"/>
      <c r="U42" s="149"/>
      <c r="V42" s="149"/>
      <c r="W42" s="149"/>
      <c r="X42" s="149"/>
      <c r="Y42" s="149"/>
      <c r="Z42" s="325">
        <v>1</v>
      </c>
    </row>
    <row r="43" spans="1:26" ht="18" customHeight="1">
      <c r="K43" s="171" t="s">
        <v>14</v>
      </c>
      <c r="L43" s="171"/>
      <c r="M43" s="171" t="s">
        <v>14</v>
      </c>
      <c r="N43" s="140" t="s">
        <v>43</v>
      </c>
      <c r="O43" s="172">
        <v>3</v>
      </c>
      <c r="P43" s="219">
        <f ca="1">OFFSET($A$1,MATCH(Z42,$A:$A,0)-1,O43)</f>
        <v>0.1</v>
      </c>
      <c r="Q43" s="141" t="s">
        <v>29</v>
      </c>
      <c r="R43" s="142">
        <f t="shared" ref="R43:S48" ca="1" si="7">T43</f>
        <v>467217</v>
      </c>
      <c r="S43" s="142">
        <f t="shared" ca="1" si="7"/>
        <v>46721</v>
      </c>
      <c r="T43" s="142">
        <f ca="1">기술사</f>
        <v>467217</v>
      </c>
      <c r="U43" s="142">
        <f t="shared" ref="U43:U48" ca="1" si="8">ROUNDDOWN(P43*R43,0)</f>
        <v>46721</v>
      </c>
      <c r="V43" s="142"/>
      <c r="W43" s="142"/>
      <c r="X43" s="142"/>
      <c r="Y43" s="142"/>
      <c r="Z43" s="114"/>
    </row>
    <row r="44" spans="1:26" ht="18" customHeight="1">
      <c r="K44" s="171" t="s">
        <v>14</v>
      </c>
      <c r="L44" s="171"/>
      <c r="M44" s="171" t="s">
        <v>14</v>
      </c>
      <c r="N44" s="143" t="s">
        <v>32</v>
      </c>
      <c r="O44" s="173">
        <v>4</v>
      </c>
      <c r="P44" s="234">
        <f ca="1">OFFSET($A$1,MATCH(Z42,$A:$A,0)-1,O44)</f>
        <v>0.2</v>
      </c>
      <c r="Q44" s="144" t="s">
        <v>29</v>
      </c>
      <c r="R44" s="118">
        <f t="shared" ca="1" si="7"/>
        <v>373353</v>
      </c>
      <c r="S44" s="118">
        <f t="shared" ca="1" si="7"/>
        <v>74670</v>
      </c>
      <c r="T44" s="118">
        <f ca="1">특급</f>
        <v>373353</v>
      </c>
      <c r="U44" s="118">
        <f t="shared" ca="1" si="8"/>
        <v>74670</v>
      </c>
      <c r="V44" s="118"/>
      <c r="W44" s="118"/>
      <c r="X44" s="118"/>
      <c r="Y44" s="118"/>
      <c r="Z44" s="115"/>
    </row>
    <row r="45" spans="1:26" ht="18" customHeight="1">
      <c r="K45" s="171" t="s">
        <v>14</v>
      </c>
      <c r="L45" s="171"/>
      <c r="M45" s="171" t="s">
        <v>14</v>
      </c>
      <c r="N45" s="145" t="s">
        <v>39</v>
      </c>
      <c r="O45" s="173">
        <v>5</v>
      </c>
      <c r="P45" s="234">
        <f ca="1">OFFSET($A$1,MATCH(Z42,$A:$A,0)-1,O45)</f>
        <v>0.3</v>
      </c>
      <c r="Q45" s="144" t="s">
        <v>29</v>
      </c>
      <c r="R45" s="118">
        <f t="shared" ca="1" si="7"/>
        <v>310884</v>
      </c>
      <c r="S45" s="118">
        <f t="shared" ca="1" si="7"/>
        <v>93265</v>
      </c>
      <c r="T45" s="118">
        <f ca="1">고급</f>
        <v>310884</v>
      </c>
      <c r="U45" s="118">
        <f t="shared" ca="1" si="8"/>
        <v>93265</v>
      </c>
      <c r="V45" s="118"/>
      <c r="W45" s="118"/>
      <c r="X45" s="118"/>
      <c r="Y45" s="118"/>
      <c r="Z45" s="115"/>
    </row>
    <row r="46" spans="1:26" ht="18" customHeight="1">
      <c r="K46" s="171" t="s">
        <v>14</v>
      </c>
      <c r="L46" s="171"/>
      <c r="M46" s="171"/>
      <c r="N46" s="145" t="s">
        <v>40</v>
      </c>
      <c r="O46" s="173">
        <v>6</v>
      </c>
      <c r="P46" s="234">
        <f ca="1">OFFSET($A$1,MATCH(Z42,$A:$A,0)-1,O46)</f>
        <v>0.5</v>
      </c>
      <c r="Q46" s="144" t="s">
        <v>29</v>
      </c>
      <c r="R46" s="118">
        <f t="shared" ca="1" si="7"/>
        <v>295138</v>
      </c>
      <c r="S46" s="118">
        <f t="shared" ca="1" si="7"/>
        <v>147569</v>
      </c>
      <c r="T46" s="118">
        <f ca="1">중급</f>
        <v>295138</v>
      </c>
      <c r="U46" s="118">
        <f t="shared" ca="1" si="8"/>
        <v>147569</v>
      </c>
      <c r="V46" s="118"/>
      <c r="W46" s="118"/>
      <c r="X46" s="118"/>
      <c r="Y46" s="118"/>
      <c r="Z46" s="115"/>
    </row>
    <row r="47" spans="1:26" ht="18" customHeight="1">
      <c r="K47" s="171" t="s">
        <v>14</v>
      </c>
      <c r="L47" s="171"/>
      <c r="M47" s="171"/>
      <c r="N47" s="145" t="s">
        <v>41</v>
      </c>
      <c r="O47" s="173">
        <v>7</v>
      </c>
      <c r="P47" s="234">
        <f ca="1">OFFSET($A$1,MATCH(Z42,$A:$A,0)-1,O47)</f>
        <v>0.9</v>
      </c>
      <c r="Q47" s="144" t="s">
        <v>29</v>
      </c>
      <c r="R47" s="118">
        <f t="shared" ca="1" si="7"/>
        <v>235459</v>
      </c>
      <c r="S47" s="118">
        <f t="shared" ca="1" si="7"/>
        <v>211913</v>
      </c>
      <c r="T47" s="118">
        <f ca="1">초급</f>
        <v>235459</v>
      </c>
      <c r="U47" s="118">
        <f t="shared" ca="1" si="8"/>
        <v>211913</v>
      </c>
      <c r="V47" s="118"/>
      <c r="W47" s="118"/>
      <c r="X47" s="118"/>
      <c r="Y47" s="118"/>
      <c r="Z47" s="115"/>
    </row>
    <row r="48" spans="1:26" ht="18" customHeight="1">
      <c r="K48" s="171" t="s">
        <v>14</v>
      </c>
      <c r="L48" s="171"/>
      <c r="M48" s="171"/>
      <c r="N48" s="319" t="s">
        <v>42</v>
      </c>
      <c r="O48" s="174">
        <v>8</v>
      </c>
      <c r="P48" s="235">
        <f ca="1">OFFSET($A$1,MATCH(Z42,$A:$A,0)-1,O48)</f>
        <v>0</v>
      </c>
      <c r="Q48" s="322" t="s">
        <v>29</v>
      </c>
      <c r="R48" s="323">
        <f t="shared" ca="1" si="7"/>
        <v>250087</v>
      </c>
      <c r="S48" s="323">
        <f t="shared" ca="1" si="7"/>
        <v>0</v>
      </c>
      <c r="T48" s="323">
        <f ca="1">보조원</f>
        <v>250087</v>
      </c>
      <c r="U48" s="323">
        <f t="shared" ca="1" si="8"/>
        <v>0</v>
      </c>
      <c r="V48" s="323"/>
      <c r="W48" s="323"/>
      <c r="X48" s="323"/>
      <c r="Y48" s="323"/>
      <c r="Z48" s="324"/>
    </row>
    <row r="49" spans="11:26" ht="18" customHeight="1">
      <c r="K49" s="171" t="s">
        <v>14</v>
      </c>
      <c r="L49" s="171"/>
      <c r="M49" s="171"/>
      <c r="N49" s="139" t="s">
        <v>17</v>
      </c>
      <c r="O49" s="68"/>
      <c r="P49" s="69"/>
      <c r="Q49" s="70"/>
      <c r="R49" s="71"/>
      <c r="S49" s="71">
        <f ca="1">SUBTOTAL(9,S43:S48)</f>
        <v>574138</v>
      </c>
      <c r="T49" s="71"/>
      <c r="U49" s="71">
        <f ca="1">SUBTOTAL(9,U43:U48)</f>
        <v>574138</v>
      </c>
      <c r="V49" s="71"/>
      <c r="W49" s="71"/>
      <c r="X49" s="71"/>
      <c r="Y49" s="71"/>
      <c r="Z49" s="68"/>
    </row>
    <row r="50" spans="11:26" ht="18" customHeight="1">
      <c r="K50" s="171" t="s">
        <v>14</v>
      </c>
      <c r="L50" s="171"/>
      <c r="M50" s="171"/>
      <c r="N50" s="318" t="str">
        <f ca="1">"제 " &amp; Z50 &amp; " 호표  "&amp; OFFSET($A$1,MATCH(Z50,$A:$A,0)-1,1)</f>
        <v>제 2 호표  1-2. 관련계획 검토</v>
      </c>
      <c r="O50" s="221"/>
      <c r="P50" s="148"/>
      <c r="Q50" s="148"/>
      <c r="R50" s="149"/>
      <c r="S50" s="149"/>
      <c r="T50" s="149"/>
      <c r="U50" s="149"/>
      <c r="V50" s="149"/>
      <c r="W50" s="149"/>
      <c r="X50" s="149"/>
      <c r="Y50" s="149"/>
      <c r="Z50" s="325">
        <f>Z42+1</f>
        <v>2</v>
      </c>
    </row>
    <row r="51" spans="11:26" ht="18" customHeight="1">
      <c r="K51" s="171" t="s">
        <v>14</v>
      </c>
      <c r="L51" s="171"/>
      <c r="M51" s="171"/>
      <c r="N51" s="140" t="s">
        <v>43</v>
      </c>
      <c r="O51" s="172">
        <v>3</v>
      </c>
      <c r="P51" s="219">
        <f ca="1">OFFSET($A$1,MATCH(Z50,$A:$A,0)-1,O51)</f>
        <v>0.1</v>
      </c>
      <c r="Q51" s="141" t="s">
        <v>29</v>
      </c>
      <c r="R51" s="142">
        <f t="shared" ref="R51:S56" ca="1" si="9">T51</f>
        <v>467217</v>
      </c>
      <c r="S51" s="142">
        <f t="shared" ca="1" si="9"/>
        <v>46721</v>
      </c>
      <c r="T51" s="142">
        <f ca="1">기술사</f>
        <v>467217</v>
      </c>
      <c r="U51" s="142">
        <f t="shared" ref="U51:U56" ca="1" si="10">ROUNDDOWN(P51*R51,0)</f>
        <v>46721</v>
      </c>
      <c r="V51" s="142"/>
      <c r="W51" s="142"/>
      <c r="X51" s="142"/>
      <c r="Y51" s="142"/>
      <c r="Z51" s="114"/>
    </row>
    <row r="52" spans="11:26" ht="18" customHeight="1">
      <c r="K52" s="171" t="s">
        <v>14</v>
      </c>
      <c r="L52" s="171"/>
      <c r="M52" s="171"/>
      <c r="N52" s="143" t="s">
        <v>32</v>
      </c>
      <c r="O52" s="173">
        <v>4</v>
      </c>
      <c r="P52" s="234">
        <f ca="1">OFFSET($A$1,MATCH(Z50,$A:$A,0)-1,O52)</f>
        <v>0.2</v>
      </c>
      <c r="Q52" s="144" t="s">
        <v>29</v>
      </c>
      <c r="R52" s="118">
        <f t="shared" ca="1" si="9"/>
        <v>373353</v>
      </c>
      <c r="S52" s="118">
        <f t="shared" ca="1" si="9"/>
        <v>74670</v>
      </c>
      <c r="T52" s="118">
        <f ca="1">특급</f>
        <v>373353</v>
      </c>
      <c r="U52" s="118">
        <f t="shared" ca="1" si="10"/>
        <v>74670</v>
      </c>
      <c r="V52" s="118"/>
      <c r="W52" s="118"/>
      <c r="X52" s="118"/>
      <c r="Y52" s="118"/>
      <c r="Z52" s="115"/>
    </row>
    <row r="53" spans="11:26" ht="18" customHeight="1">
      <c r="M53" s="171"/>
      <c r="N53" s="145" t="s">
        <v>39</v>
      </c>
      <c r="O53" s="173">
        <v>5</v>
      </c>
      <c r="P53" s="234">
        <f ca="1">OFFSET($A$1,MATCH(Z50,$A:$A,0)-1,O53)</f>
        <v>0.3</v>
      </c>
      <c r="Q53" s="144" t="s">
        <v>29</v>
      </c>
      <c r="R53" s="118">
        <f t="shared" ca="1" si="9"/>
        <v>310884</v>
      </c>
      <c r="S53" s="118">
        <f t="shared" ca="1" si="9"/>
        <v>93265</v>
      </c>
      <c r="T53" s="118">
        <f ca="1">고급</f>
        <v>310884</v>
      </c>
      <c r="U53" s="118">
        <f t="shared" ca="1" si="10"/>
        <v>93265</v>
      </c>
      <c r="V53" s="118"/>
      <c r="W53" s="118"/>
      <c r="X53" s="118"/>
      <c r="Y53" s="118"/>
      <c r="Z53" s="115"/>
    </row>
    <row r="54" spans="11:26" ht="18" customHeight="1">
      <c r="M54" s="171"/>
      <c r="N54" s="145" t="s">
        <v>40</v>
      </c>
      <c r="O54" s="173">
        <v>6</v>
      </c>
      <c r="P54" s="234">
        <f ca="1">OFFSET($A$1,MATCH(Z50,$A:$A,0)-1,O54)</f>
        <v>0.5</v>
      </c>
      <c r="Q54" s="144" t="s">
        <v>29</v>
      </c>
      <c r="R54" s="118">
        <f t="shared" ca="1" si="9"/>
        <v>295138</v>
      </c>
      <c r="S54" s="118">
        <f t="shared" ca="1" si="9"/>
        <v>147569</v>
      </c>
      <c r="T54" s="118">
        <f ca="1">중급</f>
        <v>295138</v>
      </c>
      <c r="U54" s="118">
        <f t="shared" ca="1" si="10"/>
        <v>147569</v>
      </c>
      <c r="V54" s="118"/>
      <c r="W54" s="118"/>
      <c r="X54" s="118"/>
      <c r="Y54" s="118"/>
      <c r="Z54" s="115"/>
    </row>
    <row r="55" spans="11:26" ht="18" customHeight="1">
      <c r="M55" s="171"/>
      <c r="N55" s="145" t="s">
        <v>41</v>
      </c>
      <c r="O55" s="173">
        <v>7</v>
      </c>
      <c r="P55" s="234">
        <f ca="1">OFFSET($A$1,MATCH(Z50,$A:$A,0)-1,O55)</f>
        <v>0.9</v>
      </c>
      <c r="Q55" s="144" t="s">
        <v>29</v>
      </c>
      <c r="R55" s="118">
        <f t="shared" ca="1" si="9"/>
        <v>235459</v>
      </c>
      <c r="S55" s="118">
        <f t="shared" ca="1" si="9"/>
        <v>211913</v>
      </c>
      <c r="T55" s="118">
        <f ca="1">초급</f>
        <v>235459</v>
      </c>
      <c r="U55" s="118">
        <f t="shared" ca="1" si="10"/>
        <v>211913</v>
      </c>
      <c r="V55" s="118"/>
      <c r="W55" s="118"/>
      <c r="X55" s="118"/>
      <c r="Y55" s="118"/>
      <c r="Z55" s="115"/>
    </row>
    <row r="56" spans="11:26" ht="18" customHeight="1">
      <c r="N56" s="319" t="s">
        <v>42</v>
      </c>
      <c r="O56" s="174">
        <v>8</v>
      </c>
      <c r="P56" s="235">
        <f ca="1">OFFSET($A$1,MATCH(Z50,$A:$A,0)-1,O56)</f>
        <v>0</v>
      </c>
      <c r="Q56" s="322" t="s">
        <v>29</v>
      </c>
      <c r="R56" s="323">
        <f t="shared" ca="1" si="9"/>
        <v>250087</v>
      </c>
      <c r="S56" s="323">
        <f t="shared" ca="1" si="9"/>
        <v>0</v>
      </c>
      <c r="T56" s="323">
        <f ca="1">보조원</f>
        <v>250087</v>
      </c>
      <c r="U56" s="323">
        <f t="shared" ca="1" si="10"/>
        <v>0</v>
      </c>
      <c r="V56" s="323"/>
      <c r="W56" s="323"/>
      <c r="X56" s="323"/>
      <c r="Y56" s="323"/>
      <c r="Z56" s="324"/>
    </row>
    <row r="57" spans="11:26" ht="18" customHeight="1">
      <c r="N57" s="139" t="s">
        <v>17</v>
      </c>
      <c r="O57" s="68"/>
      <c r="P57" s="69"/>
      <c r="Q57" s="70"/>
      <c r="R57" s="71"/>
      <c r="S57" s="71">
        <f ca="1">SUBTOTAL(9,S51:S56)</f>
        <v>574138</v>
      </c>
      <c r="T57" s="71"/>
      <c r="U57" s="71">
        <f ca="1">SUBTOTAL(9,U51:U56)</f>
        <v>574138</v>
      </c>
      <c r="V57" s="71"/>
      <c r="W57" s="71"/>
      <c r="X57" s="71"/>
      <c r="Y57" s="71"/>
      <c r="Z57" s="68"/>
    </row>
    <row r="58" spans="11:26" ht="18" customHeight="1">
      <c r="N58" s="318" t="str">
        <f ca="1">"제 " &amp; Z58 &amp; " 호표  "&amp; OFFSET($A$1,MATCH(Z58,$A:$A,0)-1,1)</f>
        <v>제 3 호표  1-3. 주변지역과의 상관성 검토</v>
      </c>
      <c r="O58" s="221"/>
      <c r="P58" s="148"/>
      <c r="Q58" s="148"/>
      <c r="R58" s="149"/>
      <c r="S58" s="149"/>
      <c r="T58" s="149"/>
      <c r="U58" s="149"/>
      <c r="V58" s="149"/>
      <c r="W58" s="149"/>
      <c r="X58" s="149"/>
      <c r="Y58" s="149"/>
      <c r="Z58" s="325">
        <f>Z50+1</f>
        <v>3</v>
      </c>
    </row>
    <row r="59" spans="11:26" ht="18" customHeight="1">
      <c r="N59" s="140" t="s">
        <v>43</v>
      </c>
      <c r="O59" s="172">
        <v>3</v>
      </c>
      <c r="P59" s="219">
        <f ca="1">OFFSET($A$1,MATCH(Z58,$A:$A,0)-1,O59)</f>
        <v>0.1</v>
      </c>
      <c r="Q59" s="141" t="s">
        <v>29</v>
      </c>
      <c r="R59" s="142">
        <f t="shared" ref="R59:S64" ca="1" si="11">T59</f>
        <v>467217</v>
      </c>
      <c r="S59" s="142">
        <f t="shared" ca="1" si="11"/>
        <v>46721</v>
      </c>
      <c r="T59" s="142">
        <f ca="1">기술사</f>
        <v>467217</v>
      </c>
      <c r="U59" s="142">
        <f t="shared" ref="U59:U64" ca="1" si="12">ROUNDDOWN(P59*R59,0)</f>
        <v>46721</v>
      </c>
      <c r="V59" s="142"/>
      <c r="W59" s="142"/>
      <c r="X59" s="142"/>
      <c r="Y59" s="142"/>
      <c r="Z59" s="114"/>
    </row>
    <row r="60" spans="11:26" ht="18" customHeight="1">
      <c r="N60" s="143" t="s">
        <v>32</v>
      </c>
      <c r="O60" s="173">
        <v>4</v>
      </c>
      <c r="P60" s="234">
        <f ca="1">OFFSET($A$1,MATCH(Z58,$A:$A,0)-1,O60)</f>
        <v>0.2</v>
      </c>
      <c r="Q60" s="144" t="s">
        <v>29</v>
      </c>
      <c r="R60" s="118">
        <f t="shared" ca="1" si="11"/>
        <v>373353</v>
      </c>
      <c r="S60" s="118">
        <f t="shared" ca="1" si="11"/>
        <v>74670</v>
      </c>
      <c r="T60" s="118">
        <f ca="1">특급</f>
        <v>373353</v>
      </c>
      <c r="U60" s="118">
        <f t="shared" ca="1" si="12"/>
        <v>74670</v>
      </c>
      <c r="V60" s="118"/>
      <c r="W60" s="118"/>
      <c r="X60" s="118"/>
      <c r="Y60" s="118"/>
      <c r="Z60" s="115"/>
    </row>
    <row r="61" spans="11:26" ht="18" customHeight="1">
      <c r="N61" s="145" t="s">
        <v>39</v>
      </c>
      <c r="O61" s="173">
        <v>5</v>
      </c>
      <c r="P61" s="234">
        <f ca="1">OFFSET($A$1,MATCH(Z58,$A:$A,0)-1,O61)</f>
        <v>0.5</v>
      </c>
      <c r="Q61" s="144" t="s">
        <v>29</v>
      </c>
      <c r="R61" s="118">
        <f t="shared" ca="1" si="11"/>
        <v>310884</v>
      </c>
      <c r="S61" s="118">
        <f t="shared" ca="1" si="11"/>
        <v>155442</v>
      </c>
      <c r="T61" s="118">
        <f ca="1">고급</f>
        <v>310884</v>
      </c>
      <c r="U61" s="118">
        <f t="shared" ca="1" si="12"/>
        <v>155442</v>
      </c>
      <c r="V61" s="118"/>
      <c r="W61" s="118"/>
      <c r="X61" s="118"/>
      <c r="Y61" s="118"/>
      <c r="Z61" s="115"/>
    </row>
    <row r="62" spans="11:26" ht="18" customHeight="1">
      <c r="N62" s="145" t="s">
        <v>40</v>
      </c>
      <c r="O62" s="173">
        <v>6</v>
      </c>
      <c r="P62" s="234">
        <f ca="1">OFFSET($A$1,MATCH(Z58,$A:$A,0)-1,O62)</f>
        <v>0.7</v>
      </c>
      <c r="Q62" s="144" t="s">
        <v>29</v>
      </c>
      <c r="R62" s="118">
        <f t="shared" ca="1" si="11"/>
        <v>295138</v>
      </c>
      <c r="S62" s="118">
        <f t="shared" ca="1" si="11"/>
        <v>206596</v>
      </c>
      <c r="T62" s="118">
        <f ca="1">중급</f>
        <v>295138</v>
      </c>
      <c r="U62" s="118">
        <f t="shared" ca="1" si="12"/>
        <v>206596</v>
      </c>
      <c r="V62" s="118"/>
      <c r="W62" s="118"/>
      <c r="X62" s="118"/>
      <c r="Y62" s="118"/>
      <c r="Z62" s="115"/>
    </row>
    <row r="63" spans="11:26" ht="18" customHeight="1">
      <c r="N63" s="145" t="s">
        <v>41</v>
      </c>
      <c r="O63" s="173">
        <v>7</v>
      </c>
      <c r="P63" s="234">
        <f ca="1">OFFSET($A$1,MATCH(Z58,$A:$A,0)-1,O63)</f>
        <v>1.2</v>
      </c>
      <c r="Q63" s="144" t="s">
        <v>29</v>
      </c>
      <c r="R63" s="118">
        <f t="shared" ca="1" si="11"/>
        <v>235459</v>
      </c>
      <c r="S63" s="118">
        <f t="shared" ca="1" si="11"/>
        <v>282550</v>
      </c>
      <c r="T63" s="118">
        <f ca="1">초급</f>
        <v>235459</v>
      </c>
      <c r="U63" s="118">
        <f t="shared" ca="1" si="12"/>
        <v>282550</v>
      </c>
      <c r="V63" s="118"/>
      <c r="W63" s="118"/>
      <c r="X63" s="118"/>
      <c r="Y63" s="118"/>
      <c r="Z63" s="115"/>
    </row>
    <row r="64" spans="11:26" ht="18" customHeight="1">
      <c r="N64" s="319" t="s">
        <v>42</v>
      </c>
      <c r="O64" s="174">
        <v>8</v>
      </c>
      <c r="P64" s="235">
        <f ca="1">OFFSET($A$1,MATCH(Z58,$A:$A,0)-1,O64)</f>
        <v>0</v>
      </c>
      <c r="Q64" s="322" t="s">
        <v>29</v>
      </c>
      <c r="R64" s="323">
        <f t="shared" ca="1" si="11"/>
        <v>250087</v>
      </c>
      <c r="S64" s="323">
        <f t="shared" ca="1" si="11"/>
        <v>0</v>
      </c>
      <c r="T64" s="323">
        <f ca="1">보조원</f>
        <v>250087</v>
      </c>
      <c r="U64" s="323">
        <f t="shared" ca="1" si="12"/>
        <v>0</v>
      </c>
      <c r="V64" s="323"/>
      <c r="W64" s="323"/>
      <c r="X64" s="323"/>
      <c r="Y64" s="323"/>
      <c r="Z64" s="324"/>
    </row>
    <row r="65" spans="14:26" ht="18" customHeight="1">
      <c r="N65" s="139" t="s">
        <v>17</v>
      </c>
      <c r="O65" s="68"/>
      <c r="P65" s="69"/>
      <c r="Q65" s="70"/>
      <c r="R65" s="71"/>
      <c r="S65" s="71">
        <f ca="1">SUBTOTAL(9,S59:S64)</f>
        <v>765979</v>
      </c>
      <c r="T65" s="71"/>
      <c r="U65" s="71">
        <f ca="1">SUBTOTAL(9,U59:U64)</f>
        <v>765979</v>
      </c>
      <c r="V65" s="71"/>
      <c r="W65" s="71"/>
      <c r="X65" s="71"/>
      <c r="Y65" s="71"/>
      <c r="Z65" s="68"/>
    </row>
    <row r="66" spans="14:26" ht="18" customHeight="1">
      <c r="N66" s="318" t="str">
        <f ca="1">"제 " &amp; Z66 &amp; " 호표  "&amp; OFFSET($A$1,MATCH(Z66,$A:$A,0)-1,1)</f>
        <v>제 4 호표  2.1. 국·공유지 무상귀속 사전협의 요청서 작성</v>
      </c>
      <c r="O66" s="221"/>
      <c r="P66" s="148"/>
      <c r="Q66" s="148"/>
      <c r="R66" s="149"/>
      <c r="S66" s="149"/>
      <c r="T66" s="149"/>
      <c r="U66" s="149"/>
      <c r="V66" s="149"/>
      <c r="W66" s="149"/>
      <c r="X66" s="149"/>
      <c r="Y66" s="149"/>
      <c r="Z66" s="325">
        <f>Z58+1</f>
        <v>4</v>
      </c>
    </row>
    <row r="67" spans="14:26" ht="18" customHeight="1">
      <c r="N67" s="140" t="s">
        <v>43</v>
      </c>
      <c r="O67" s="172">
        <v>3</v>
      </c>
      <c r="P67" s="219">
        <f ca="1">OFFSET($A$1,MATCH(Z66,$A:$A,0)-1,O67)</f>
        <v>0.1</v>
      </c>
      <c r="Q67" s="141" t="s">
        <v>29</v>
      </c>
      <c r="R67" s="142">
        <f t="shared" ref="R67:S72" ca="1" si="13">T67</f>
        <v>467217</v>
      </c>
      <c r="S67" s="142">
        <f t="shared" ca="1" si="13"/>
        <v>46721</v>
      </c>
      <c r="T67" s="142">
        <f ca="1">기술사</f>
        <v>467217</v>
      </c>
      <c r="U67" s="142">
        <f t="shared" ref="U67:U72" ca="1" si="14">ROUNDDOWN(P67*R67,0)</f>
        <v>46721</v>
      </c>
      <c r="V67" s="142"/>
      <c r="W67" s="142"/>
      <c r="X67" s="142"/>
      <c r="Y67" s="142"/>
      <c r="Z67" s="114"/>
    </row>
    <row r="68" spans="14:26" ht="18" customHeight="1">
      <c r="N68" s="143" t="s">
        <v>32</v>
      </c>
      <c r="O68" s="173">
        <v>4</v>
      </c>
      <c r="P68" s="234">
        <f ca="1">OFFSET($A$1,MATCH(Z66,$A:$A,0)-1,O68)</f>
        <v>0.3</v>
      </c>
      <c r="Q68" s="144" t="s">
        <v>29</v>
      </c>
      <c r="R68" s="118">
        <f t="shared" ca="1" si="13"/>
        <v>373353</v>
      </c>
      <c r="S68" s="118">
        <f t="shared" ca="1" si="13"/>
        <v>112005</v>
      </c>
      <c r="T68" s="118">
        <f ca="1">특급</f>
        <v>373353</v>
      </c>
      <c r="U68" s="118">
        <f t="shared" ca="1" si="14"/>
        <v>112005</v>
      </c>
      <c r="V68" s="118"/>
      <c r="W68" s="118"/>
      <c r="X68" s="118"/>
      <c r="Y68" s="118"/>
      <c r="Z68" s="115"/>
    </row>
    <row r="69" spans="14:26" ht="18" customHeight="1">
      <c r="N69" s="145" t="s">
        <v>39</v>
      </c>
      <c r="O69" s="173">
        <v>5</v>
      </c>
      <c r="P69" s="234">
        <f ca="1">OFFSET($A$1,MATCH(Z66,$A:$A,0)-1,O69)</f>
        <v>0.4</v>
      </c>
      <c r="Q69" s="144" t="s">
        <v>29</v>
      </c>
      <c r="R69" s="118">
        <f t="shared" ca="1" si="13"/>
        <v>310884</v>
      </c>
      <c r="S69" s="118">
        <f t="shared" ca="1" si="13"/>
        <v>124353</v>
      </c>
      <c r="T69" s="118">
        <f ca="1">고급</f>
        <v>310884</v>
      </c>
      <c r="U69" s="118">
        <f t="shared" ca="1" si="14"/>
        <v>124353</v>
      </c>
      <c r="V69" s="118"/>
      <c r="W69" s="118"/>
      <c r="X69" s="118"/>
      <c r="Y69" s="118"/>
      <c r="Z69" s="115"/>
    </row>
    <row r="70" spans="14:26" ht="18" customHeight="1">
      <c r="N70" s="145" t="s">
        <v>40</v>
      </c>
      <c r="O70" s="173">
        <v>6</v>
      </c>
      <c r="P70" s="234">
        <f ca="1">OFFSET($A$1,MATCH(Z66,$A:$A,0)-1,O70)</f>
        <v>0.5</v>
      </c>
      <c r="Q70" s="144" t="s">
        <v>29</v>
      </c>
      <c r="R70" s="118">
        <f t="shared" ca="1" si="13"/>
        <v>295138</v>
      </c>
      <c r="S70" s="118">
        <f t="shared" ca="1" si="13"/>
        <v>147569</v>
      </c>
      <c r="T70" s="118">
        <f ca="1">중급</f>
        <v>295138</v>
      </c>
      <c r="U70" s="118">
        <f t="shared" ca="1" si="14"/>
        <v>147569</v>
      </c>
      <c r="V70" s="118"/>
      <c r="W70" s="118"/>
      <c r="X70" s="118"/>
      <c r="Y70" s="118"/>
      <c r="Z70" s="115"/>
    </row>
    <row r="71" spans="14:26" ht="18" customHeight="1">
      <c r="N71" s="145" t="s">
        <v>41</v>
      </c>
      <c r="O71" s="173">
        <v>7</v>
      </c>
      <c r="P71" s="234">
        <f ca="1">OFFSET($A$1,MATCH(Z66,$A:$A,0)-1,O71)</f>
        <v>1.5</v>
      </c>
      <c r="Q71" s="144" t="s">
        <v>29</v>
      </c>
      <c r="R71" s="118">
        <f t="shared" ca="1" si="13"/>
        <v>235459</v>
      </c>
      <c r="S71" s="118">
        <f t="shared" ca="1" si="13"/>
        <v>353188</v>
      </c>
      <c r="T71" s="118">
        <f ca="1">초급</f>
        <v>235459</v>
      </c>
      <c r="U71" s="118">
        <f t="shared" ca="1" si="14"/>
        <v>353188</v>
      </c>
      <c r="V71" s="118"/>
      <c r="W71" s="118"/>
      <c r="X71" s="118"/>
      <c r="Y71" s="118"/>
      <c r="Z71" s="115"/>
    </row>
    <row r="72" spans="14:26" ht="18" customHeight="1">
      <c r="N72" s="319" t="s">
        <v>42</v>
      </c>
      <c r="O72" s="174">
        <v>8</v>
      </c>
      <c r="P72" s="235">
        <f ca="1">OFFSET($A$1,MATCH(Z66,$A:$A,0)-1,O72)</f>
        <v>0</v>
      </c>
      <c r="Q72" s="322" t="s">
        <v>29</v>
      </c>
      <c r="R72" s="323">
        <f t="shared" ca="1" si="13"/>
        <v>250087</v>
      </c>
      <c r="S72" s="323">
        <f t="shared" ca="1" si="13"/>
        <v>0</v>
      </c>
      <c r="T72" s="323">
        <f ca="1">보조원</f>
        <v>250087</v>
      </c>
      <c r="U72" s="323">
        <f t="shared" ca="1" si="14"/>
        <v>0</v>
      </c>
      <c r="V72" s="323"/>
      <c r="W72" s="323"/>
      <c r="X72" s="323"/>
      <c r="Y72" s="323"/>
      <c r="Z72" s="324"/>
    </row>
    <row r="73" spans="14:26" ht="18" customHeight="1">
      <c r="N73" s="139" t="s">
        <v>17</v>
      </c>
      <c r="O73" s="68"/>
      <c r="P73" s="69"/>
      <c r="Q73" s="70"/>
      <c r="R73" s="71"/>
      <c r="S73" s="71">
        <f ca="1">SUBTOTAL(9,S67:S72)</f>
        <v>783836</v>
      </c>
      <c r="T73" s="71"/>
      <c r="U73" s="71">
        <f ca="1">SUBTOTAL(9,U67:U72)</f>
        <v>783836</v>
      </c>
      <c r="V73" s="71"/>
      <c r="W73" s="71"/>
      <c r="X73" s="71"/>
      <c r="Y73" s="71"/>
      <c r="Z73" s="68"/>
    </row>
    <row r="74" spans="14:26" ht="18" customHeight="1">
      <c r="N74" s="318" t="str">
        <f ca="1">"제 " &amp; Z74 &amp; " 호표  "&amp; OFFSET($A$1,MATCH(Z74,$A:$A,0)-1,1)</f>
        <v>제 5 호표  2.2. 국·공유지 편입도서 작성</v>
      </c>
      <c r="O74" s="221"/>
      <c r="P74" s="148"/>
      <c r="Q74" s="148"/>
      <c r="R74" s="149"/>
      <c r="S74" s="149"/>
      <c r="T74" s="149"/>
      <c r="U74" s="149"/>
      <c r="V74" s="149"/>
      <c r="W74" s="149"/>
      <c r="X74" s="149"/>
      <c r="Y74" s="149"/>
      <c r="Z74" s="325">
        <f>Z66+1</f>
        <v>5</v>
      </c>
    </row>
    <row r="75" spans="14:26" ht="18" customHeight="1">
      <c r="N75" s="140" t="s">
        <v>43</v>
      </c>
      <c r="O75" s="172">
        <v>3</v>
      </c>
      <c r="P75" s="219">
        <f ca="1">OFFSET($A$1,MATCH(Z74,$A:$A,0)-1,O75)</f>
        <v>0</v>
      </c>
      <c r="Q75" s="141" t="s">
        <v>29</v>
      </c>
      <c r="R75" s="142">
        <f t="shared" ref="R75:S80" ca="1" si="15">T75</f>
        <v>467217</v>
      </c>
      <c r="S75" s="142">
        <f t="shared" ca="1" si="15"/>
        <v>0</v>
      </c>
      <c r="T75" s="142">
        <f ca="1">기술사</f>
        <v>467217</v>
      </c>
      <c r="U75" s="142">
        <f t="shared" ref="U75:U80" ca="1" si="16">ROUNDDOWN(P75*R75,0)</f>
        <v>0</v>
      </c>
      <c r="V75" s="142"/>
      <c r="W75" s="142"/>
      <c r="X75" s="142"/>
      <c r="Y75" s="142"/>
      <c r="Z75" s="114"/>
    </row>
    <row r="76" spans="14:26" ht="18" customHeight="1">
      <c r="N76" s="143" t="s">
        <v>32</v>
      </c>
      <c r="O76" s="173">
        <v>4</v>
      </c>
      <c r="P76" s="234">
        <f ca="1">OFFSET($A$1,MATCH(Z74,$A:$A,0)-1,O76)</f>
        <v>0.4</v>
      </c>
      <c r="Q76" s="144" t="s">
        <v>29</v>
      </c>
      <c r="R76" s="118">
        <f t="shared" ca="1" si="15"/>
        <v>373353</v>
      </c>
      <c r="S76" s="118">
        <f t="shared" ca="1" si="15"/>
        <v>149341</v>
      </c>
      <c r="T76" s="118">
        <f ca="1">특급</f>
        <v>373353</v>
      </c>
      <c r="U76" s="118">
        <f t="shared" ca="1" si="16"/>
        <v>149341</v>
      </c>
      <c r="V76" s="118"/>
      <c r="W76" s="118"/>
      <c r="X76" s="118"/>
      <c r="Y76" s="118"/>
      <c r="Z76" s="115"/>
    </row>
    <row r="77" spans="14:26" ht="18" customHeight="1">
      <c r="N77" s="145" t="s">
        <v>39</v>
      </c>
      <c r="O77" s="173">
        <v>5</v>
      </c>
      <c r="P77" s="234">
        <f ca="1">OFFSET($A$1,MATCH(Z74,$A:$A,0)-1,O77)</f>
        <v>1</v>
      </c>
      <c r="Q77" s="144" t="s">
        <v>29</v>
      </c>
      <c r="R77" s="118">
        <f t="shared" ca="1" si="15"/>
        <v>310884</v>
      </c>
      <c r="S77" s="118">
        <f t="shared" ca="1" si="15"/>
        <v>310884</v>
      </c>
      <c r="T77" s="118">
        <f ca="1">고급</f>
        <v>310884</v>
      </c>
      <c r="U77" s="118">
        <f t="shared" ca="1" si="16"/>
        <v>310884</v>
      </c>
      <c r="V77" s="118"/>
      <c r="W77" s="118"/>
      <c r="X77" s="118"/>
      <c r="Y77" s="118"/>
      <c r="Z77" s="115"/>
    </row>
    <row r="78" spans="14:26" ht="18" customHeight="1">
      <c r="N78" s="145" t="s">
        <v>40</v>
      </c>
      <c r="O78" s="173">
        <v>6</v>
      </c>
      <c r="P78" s="234">
        <f ca="1">OFFSET($A$1,MATCH(Z74,$A:$A,0)-1,O78)</f>
        <v>1.5</v>
      </c>
      <c r="Q78" s="144" t="s">
        <v>29</v>
      </c>
      <c r="R78" s="118">
        <f t="shared" ca="1" si="15"/>
        <v>295138</v>
      </c>
      <c r="S78" s="118">
        <f t="shared" ca="1" si="15"/>
        <v>442707</v>
      </c>
      <c r="T78" s="118">
        <f ca="1">중급</f>
        <v>295138</v>
      </c>
      <c r="U78" s="118">
        <f t="shared" ca="1" si="16"/>
        <v>442707</v>
      </c>
      <c r="V78" s="118"/>
      <c r="W78" s="118"/>
      <c r="X78" s="118"/>
      <c r="Y78" s="118"/>
      <c r="Z78" s="115"/>
    </row>
    <row r="79" spans="14:26" ht="18" customHeight="1">
      <c r="N79" s="145" t="s">
        <v>41</v>
      </c>
      <c r="O79" s="173">
        <v>7</v>
      </c>
      <c r="P79" s="234">
        <f ca="1">OFFSET($A$1,MATCH(Z74,$A:$A,0)-1,O79)</f>
        <v>2</v>
      </c>
      <c r="Q79" s="144" t="s">
        <v>29</v>
      </c>
      <c r="R79" s="118">
        <f t="shared" ca="1" si="15"/>
        <v>235459</v>
      </c>
      <c r="S79" s="118">
        <f t="shared" ca="1" si="15"/>
        <v>470918</v>
      </c>
      <c r="T79" s="118">
        <f ca="1">초급</f>
        <v>235459</v>
      </c>
      <c r="U79" s="118">
        <f t="shared" ca="1" si="16"/>
        <v>470918</v>
      </c>
      <c r="V79" s="118"/>
      <c r="W79" s="118"/>
      <c r="X79" s="118"/>
      <c r="Y79" s="118"/>
      <c r="Z79" s="115"/>
    </row>
    <row r="80" spans="14:26" ht="18" customHeight="1">
      <c r="N80" s="319" t="s">
        <v>42</v>
      </c>
      <c r="O80" s="174">
        <v>8</v>
      </c>
      <c r="P80" s="235">
        <f ca="1">OFFSET($A$1,MATCH(Z74,$A:$A,0)-1,O80)</f>
        <v>0</v>
      </c>
      <c r="Q80" s="322" t="s">
        <v>29</v>
      </c>
      <c r="R80" s="323">
        <f t="shared" ca="1" si="15"/>
        <v>250087</v>
      </c>
      <c r="S80" s="323">
        <f t="shared" ca="1" si="15"/>
        <v>0</v>
      </c>
      <c r="T80" s="323">
        <f ca="1">보조원</f>
        <v>250087</v>
      </c>
      <c r="U80" s="323">
        <f t="shared" ca="1" si="16"/>
        <v>0</v>
      </c>
      <c r="V80" s="323"/>
      <c r="W80" s="323"/>
      <c r="X80" s="323"/>
      <c r="Y80" s="323"/>
      <c r="Z80" s="324"/>
    </row>
    <row r="81" spans="14:26" ht="18" customHeight="1">
      <c r="N81" s="139" t="s">
        <v>17</v>
      </c>
      <c r="O81" s="68"/>
      <c r="P81" s="69"/>
      <c r="Q81" s="70"/>
      <c r="R81" s="71"/>
      <c r="S81" s="71">
        <f ca="1">SUBTOTAL(9,S75:S80)</f>
        <v>1373850</v>
      </c>
      <c r="T81" s="71"/>
      <c r="U81" s="71">
        <f ca="1">SUBTOTAL(9,U75:U80)</f>
        <v>1373850</v>
      </c>
      <c r="V81" s="71"/>
      <c r="W81" s="71"/>
      <c r="X81" s="71"/>
      <c r="Y81" s="71"/>
      <c r="Z81" s="68"/>
    </row>
    <row r="82" spans="14:26" ht="18" customHeight="1">
      <c r="N82" s="318" t="str">
        <f ca="1">"제 " &amp; Z82 &amp; " 호표  "&amp; OFFSET($A$1,MATCH(Z82,$A:$A,0)-1,1)</f>
        <v>제 6 호표  2.3. 현장조사</v>
      </c>
      <c r="O82" s="221"/>
      <c r="P82" s="148"/>
      <c r="Q82" s="148"/>
      <c r="R82" s="149"/>
      <c r="S82" s="149"/>
      <c r="T82" s="149"/>
      <c r="U82" s="149"/>
      <c r="V82" s="149"/>
      <c r="W82" s="149"/>
      <c r="X82" s="149"/>
      <c r="Y82" s="149"/>
      <c r="Z82" s="325">
        <f>Z74+1</f>
        <v>6</v>
      </c>
    </row>
    <row r="83" spans="14:26" ht="18" customHeight="1">
      <c r="N83" s="140" t="s">
        <v>43</v>
      </c>
      <c r="O83" s="172">
        <v>3</v>
      </c>
      <c r="P83" s="219">
        <f ca="1">OFFSET($A$1,MATCH(Z82,$A:$A,0)-1,O83)</f>
        <v>0.2</v>
      </c>
      <c r="Q83" s="141" t="s">
        <v>29</v>
      </c>
      <c r="R83" s="142">
        <f t="shared" ref="R83:S88" ca="1" si="17">T83</f>
        <v>467217</v>
      </c>
      <c r="S83" s="142">
        <f t="shared" ca="1" si="17"/>
        <v>93443</v>
      </c>
      <c r="T83" s="142">
        <f ca="1">기술사</f>
        <v>467217</v>
      </c>
      <c r="U83" s="142">
        <f t="shared" ref="U83:U88" ca="1" si="18">ROUNDDOWN(P83*R83,0)</f>
        <v>93443</v>
      </c>
      <c r="V83" s="142"/>
      <c r="W83" s="142"/>
      <c r="X83" s="142"/>
      <c r="Y83" s="142"/>
      <c r="Z83" s="114"/>
    </row>
    <row r="84" spans="14:26" ht="18" customHeight="1">
      <c r="N84" s="143" t="s">
        <v>32</v>
      </c>
      <c r="O84" s="173">
        <v>4</v>
      </c>
      <c r="P84" s="234">
        <f ca="1">OFFSET($A$1,MATCH(Z82,$A:$A,0)-1,O84)</f>
        <v>1.3</v>
      </c>
      <c r="Q84" s="144" t="s">
        <v>29</v>
      </c>
      <c r="R84" s="118">
        <f t="shared" ca="1" si="17"/>
        <v>373353</v>
      </c>
      <c r="S84" s="118">
        <f t="shared" ca="1" si="17"/>
        <v>485358</v>
      </c>
      <c r="T84" s="118">
        <f ca="1">특급</f>
        <v>373353</v>
      </c>
      <c r="U84" s="118">
        <f t="shared" ca="1" si="18"/>
        <v>485358</v>
      </c>
      <c r="V84" s="118"/>
      <c r="W84" s="118"/>
      <c r="X84" s="118"/>
      <c r="Y84" s="118"/>
      <c r="Z84" s="115"/>
    </row>
    <row r="85" spans="14:26" ht="18" customHeight="1">
      <c r="N85" s="145" t="s">
        <v>39</v>
      </c>
      <c r="O85" s="173">
        <v>5</v>
      </c>
      <c r="P85" s="234">
        <f ca="1">OFFSET($A$1,MATCH(Z82,$A:$A,0)-1,O85)</f>
        <v>2.2000000000000002</v>
      </c>
      <c r="Q85" s="144" t="s">
        <v>29</v>
      </c>
      <c r="R85" s="118">
        <f t="shared" ca="1" si="17"/>
        <v>310884</v>
      </c>
      <c r="S85" s="118">
        <f t="shared" ca="1" si="17"/>
        <v>683944</v>
      </c>
      <c r="T85" s="118">
        <f ca="1">고급</f>
        <v>310884</v>
      </c>
      <c r="U85" s="118">
        <f t="shared" ca="1" si="18"/>
        <v>683944</v>
      </c>
      <c r="V85" s="118"/>
      <c r="W85" s="118"/>
      <c r="X85" s="118"/>
      <c r="Y85" s="118"/>
      <c r="Z85" s="115"/>
    </row>
    <row r="86" spans="14:26" ht="18" customHeight="1">
      <c r="N86" s="145" t="s">
        <v>40</v>
      </c>
      <c r="O86" s="173">
        <v>6</v>
      </c>
      <c r="P86" s="234">
        <f ca="1">OFFSET($A$1,MATCH(Z82,$A:$A,0)-1,O86)</f>
        <v>3</v>
      </c>
      <c r="Q86" s="144" t="s">
        <v>29</v>
      </c>
      <c r="R86" s="118">
        <f t="shared" ca="1" si="17"/>
        <v>295138</v>
      </c>
      <c r="S86" s="118">
        <f t="shared" ca="1" si="17"/>
        <v>885414</v>
      </c>
      <c r="T86" s="118">
        <f ca="1">중급</f>
        <v>295138</v>
      </c>
      <c r="U86" s="118">
        <f t="shared" ca="1" si="18"/>
        <v>885414</v>
      </c>
      <c r="V86" s="118"/>
      <c r="W86" s="118"/>
      <c r="X86" s="118"/>
      <c r="Y86" s="118"/>
      <c r="Z86" s="115"/>
    </row>
    <row r="87" spans="14:26" ht="18" customHeight="1">
      <c r="N87" s="145" t="s">
        <v>41</v>
      </c>
      <c r="O87" s="173">
        <v>7</v>
      </c>
      <c r="P87" s="234">
        <f ca="1">OFFSET($A$1,MATCH(Z82,$A:$A,0)-1,O87)</f>
        <v>7.4</v>
      </c>
      <c r="Q87" s="144" t="s">
        <v>29</v>
      </c>
      <c r="R87" s="118">
        <f t="shared" ca="1" si="17"/>
        <v>235459</v>
      </c>
      <c r="S87" s="118">
        <f t="shared" ca="1" si="17"/>
        <v>1742396</v>
      </c>
      <c r="T87" s="118">
        <f ca="1">초급</f>
        <v>235459</v>
      </c>
      <c r="U87" s="118">
        <f t="shared" ca="1" si="18"/>
        <v>1742396</v>
      </c>
      <c r="V87" s="118"/>
      <c r="W87" s="118"/>
      <c r="X87" s="118"/>
      <c r="Y87" s="118"/>
      <c r="Z87" s="115"/>
    </row>
    <row r="88" spans="14:26" ht="18" customHeight="1">
      <c r="N88" s="319" t="s">
        <v>42</v>
      </c>
      <c r="O88" s="174">
        <v>8</v>
      </c>
      <c r="P88" s="235">
        <f ca="1">OFFSET($A$1,MATCH(Z82,$A:$A,0)-1,O88)</f>
        <v>4.5</v>
      </c>
      <c r="Q88" s="322" t="s">
        <v>29</v>
      </c>
      <c r="R88" s="323">
        <f t="shared" ca="1" si="17"/>
        <v>250087</v>
      </c>
      <c r="S88" s="323">
        <f t="shared" ca="1" si="17"/>
        <v>1125391</v>
      </c>
      <c r="T88" s="323">
        <f ca="1">보조원</f>
        <v>250087</v>
      </c>
      <c r="U88" s="323">
        <f t="shared" ca="1" si="18"/>
        <v>1125391</v>
      </c>
      <c r="V88" s="323"/>
      <c r="W88" s="323"/>
      <c r="X88" s="323"/>
      <c r="Y88" s="323"/>
      <c r="Z88" s="324"/>
    </row>
    <row r="89" spans="14:26" ht="18" customHeight="1">
      <c r="N89" s="139" t="s">
        <v>17</v>
      </c>
      <c r="O89" s="68"/>
      <c r="P89" s="69"/>
      <c r="Q89" s="70"/>
      <c r="R89" s="71"/>
      <c r="S89" s="71">
        <f ca="1">SUBTOTAL(9,S83:S88)</f>
        <v>5015946</v>
      </c>
      <c r="T89" s="71"/>
      <c r="U89" s="71">
        <f ca="1">SUBTOTAL(9,U83:U88)</f>
        <v>5015946</v>
      </c>
      <c r="V89" s="71"/>
      <c r="W89" s="71"/>
      <c r="X89" s="71"/>
      <c r="Y89" s="71"/>
      <c r="Z89" s="68"/>
    </row>
    <row r="90" spans="14:26" ht="18" customHeight="1">
      <c r="N90" s="318" t="str">
        <f ca="1">"제 " &amp; Z90 &amp; " 호표  "&amp; OFFSET($A$1,MATCH(Z90,$A:$A,0)-1,1)</f>
        <v>제 7 호표  2.4. 도시계획 관련도서 작성</v>
      </c>
      <c r="O90" s="221"/>
      <c r="P90" s="148"/>
      <c r="Q90" s="148"/>
      <c r="R90" s="149"/>
      <c r="S90" s="149"/>
      <c r="T90" s="149"/>
      <c r="U90" s="149"/>
      <c r="V90" s="149"/>
      <c r="W90" s="149"/>
      <c r="X90" s="149"/>
      <c r="Y90" s="149"/>
      <c r="Z90" s="325">
        <f>Z82+1</f>
        <v>7</v>
      </c>
    </row>
    <row r="91" spans="14:26" ht="18" customHeight="1">
      <c r="N91" s="140" t="s">
        <v>43</v>
      </c>
      <c r="O91" s="172">
        <v>3</v>
      </c>
      <c r="P91" s="219">
        <f ca="1">OFFSET($A$1,MATCH(Z90,$A:$A,0)-1,O91)</f>
        <v>0</v>
      </c>
      <c r="Q91" s="141" t="s">
        <v>29</v>
      </c>
      <c r="R91" s="142">
        <f t="shared" ref="R91:S96" ca="1" si="19">T91</f>
        <v>467217</v>
      </c>
      <c r="S91" s="142">
        <f t="shared" ca="1" si="19"/>
        <v>0</v>
      </c>
      <c r="T91" s="142">
        <f ca="1">기술사</f>
        <v>467217</v>
      </c>
      <c r="U91" s="142">
        <f t="shared" ref="U91:U96" ca="1" si="20">ROUNDDOWN(P91*R91,0)</f>
        <v>0</v>
      </c>
      <c r="V91" s="142"/>
      <c r="W91" s="142"/>
      <c r="X91" s="142"/>
      <c r="Y91" s="142"/>
      <c r="Z91" s="114"/>
    </row>
    <row r="92" spans="14:26" ht="18" customHeight="1">
      <c r="N92" s="143" t="s">
        <v>32</v>
      </c>
      <c r="O92" s="173">
        <v>4</v>
      </c>
      <c r="P92" s="234">
        <f ca="1">OFFSET($A$1,MATCH(Z90,$A:$A,0)-1,O92)</f>
        <v>0.4</v>
      </c>
      <c r="Q92" s="144" t="s">
        <v>29</v>
      </c>
      <c r="R92" s="118">
        <f t="shared" ca="1" si="19"/>
        <v>373353</v>
      </c>
      <c r="S92" s="118">
        <f t="shared" ca="1" si="19"/>
        <v>149341</v>
      </c>
      <c r="T92" s="118">
        <f ca="1">특급</f>
        <v>373353</v>
      </c>
      <c r="U92" s="118">
        <f t="shared" ca="1" si="20"/>
        <v>149341</v>
      </c>
      <c r="V92" s="118"/>
      <c r="W92" s="118"/>
      <c r="X92" s="118"/>
      <c r="Y92" s="118"/>
      <c r="Z92" s="115"/>
    </row>
    <row r="93" spans="14:26" ht="18" customHeight="1">
      <c r="N93" s="145" t="s">
        <v>39</v>
      </c>
      <c r="O93" s="173">
        <v>5</v>
      </c>
      <c r="P93" s="234">
        <f ca="1">OFFSET($A$1,MATCH(Z90,$A:$A,0)-1,O93)</f>
        <v>1</v>
      </c>
      <c r="Q93" s="144" t="s">
        <v>29</v>
      </c>
      <c r="R93" s="118">
        <f t="shared" ca="1" si="19"/>
        <v>310884</v>
      </c>
      <c r="S93" s="118">
        <f t="shared" ca="1" si="19"/>
        <v>310884</v>
      </c>
      <c r="T93" s="118">
        <f ca="1">고급</f>
        <v>310884</v>
      </c>
      <c r="U93" s="118">
        <f t="shared" ca="1" si="20"/>
        <v>310884</v>
      </c>
      <c r="V93" s="118"/>
      <c r="W93" s="118"/>
      <c r="X93" s="118"/>
      <c r="Y93" s="118"/>
      <c r="Z93" s="115"/>
    </row>
    <row r="94" spans="14:26" ht="18" customHeight="1">
      <c r="N94" s="145" t="s">
        <v>40</v>
      </c>
      <c r="O94" s="173">
        <v>6</v>
      </c>
      <c r="P94" s="234">
        <f ca="1">OFFSET($A$1,MATCH(Z90,$A:$A,0)-1,O94)</f>
        <v>1.5</v>
      </c>
      <c r="Q94" s="144" t="s">
        <v>29</v>
      </c>
      <c r="R94" s="118">
        <f t="shared" ca="1" si="19"/>
        <v>295138</v>
      </c>
      <c r="S94" s="118">
        <f t="shared" ca="1" si="19"/>
        <v>442707</v>
      </c>
      <c r="T94" s="118">
        <f ca="1">중급</f>
        <v>295138</v>
      </c>
      <c r="U94" s="118">
        <f t="shared" ca="1" si="20"/>
        <v>442707</v>
      </c>
      <c r="V94" s="118"/>
      <c r="W94" s="118"/>
      <c r="X94" s="118"/>
      <c r="Y94" s="118"/>
      <c r="Z94" s="115"/>
    </row>
    <row r="95" spans="14:26" ht="18" customHeight="1">
      <c r="N95" s="145" t="s">
        <v>41</v>
      </c>
      <c r="O95" s="173">
        <v>7</v>
      </c>
      <c r="P95" s="234">
        <f ca="1">OFFSET($A$1,MATCH(Z90,$A:$A,0)-1,O95)</f>
        <v>2</v>
      </c>
      <c r="Q95" s="144" t="s">
        <v>29</v>
      </c>
      <c r="R95" s="118">
        <f t="shared" ca="1" si="19"/>
        <v>235459</v>
      </c>
      <c r="S95" s="118">
        <f t="shared" ca="1" si="19"/>
        <v>470918</v>
      </c>
      <c r="T95" s="118">
        <f ca="1">초급</f>
        <v>235459</v>
      </c>
      <c r="U95" s="118">
        <f t="shared" ca="1" si="20"/>
        <v>470918</v>
      </c>
      <c r="V95" s="118"/>
      <c r="W95" s="118"/>
      <c r="X95" s="118"/>
      <c r="Y95" s="118"/>
      <c r="Z95" s="115"/>
    </row>
    <row r="96" spans="14:26" ht="18" customHeight="1">
      <c r="N96" s="319" t="s">
        <v>42</v>
      </c>
      <c r="O96" s="174">
        <v>8</v>
      </c>
      <c r="P96" s="235">
        <f ca="1">OFFSET($A$1,MATCH(Z90,$A:$A,0)-1,O96)</f>
        <v>0</v>
      </c>
      <c r="Q96" s="322" t="s">
        <v>29</v>
      </c>
      <c r="R96" s="323">
        <f t="shared" ca="1" si="19"/>
        <v>250087</v>
      </c>
      <c r="S96" s="323">
        <f t="shared" ca="1" si="19"/>
        <v>0</v>
      </c>
      <c r="T96" s="323">
        <f ca="1">보조원</f>
        <v>250087</v>
      </c>
      <c r="U96" s="323">
        <f t="shared" ca="1" si="20"/>
        <v>0</v>
      </c>
      <c r="V96" s="323"/>
      <c r="W96" s="323"/>
      <c r="X96" s="323"/>
      <c r="Y96" s="323"/>
      <c r="Z96" s="324"/>
    </row>
    <row r="97" spans="14:26" ht="18" customHeight="1">
      <c r="N97" s="139" t="s">
        <v>17</v>
      </c>
      <c r="O97" s="68"/>
      <c r="P97" s="69"/>
      <c r="Q97" s="70"/>
      <c r="R97" s="71"/>
      <c r="S97" s="71">
        <f ca="1">SUBTOTAL(9,S91:S96)</f>
        <v>1373850</v>
      </c>
      <c r="T97" s="71"/>
      <c r="U97" s="71">
        <f ca="1">SUBTOTAL(9,U91:U96)</f>
        <v>1373850</v>
      </c>
      <c r="V97" s="71"/>
      <c r="W97" s="71"/>
      <c r="X97" s="71"/>
      <c r="Y97" s="71"/>
      <c r="Z97" s="68"/>
    </row>
    <row r="98" spans="14:26" ht="18" customHeight="1">
      <c r="N98" s="318" t="str">
        <f ca="1">"제 " &amp; Z98 &amp; " 호표  "&amp; OFFSET($A$1,MATCH(Z98,$A:$A,0)-1,1)</f>
        <v>제 8 호표  2.5. 국·공유지 무상귀속 관련도서 작성</v>
      </c>
      <c r="O98" s="221"/>
      <c r="P98" s="148"/>
      <c r="Q98" s="148"/>
      <c r="R98" s="149"/>
      <c r="S98" s="149"/>
      <c r="T98" s="149"/>
      <c r="U98" s="149"/>
      <c r="V98" s="149"/>
      <c r="W98" s="149"/>
      <c r="X98" s="149"/>
      <c r="Y98" s="149"/>
      <c r="Z98" s="325">
        <f>Z90+1</f>
        <v>8</v>
      </c>
    </row>
    <row r="99" spans="14:26" ht="18" customHeight="1">
      <c r="N99" s="140" t="s">
        <v>43</v>
      </c>
      <c r="O99" s="172">
        <v>3</v>
      </c>
      <c r="P99" s="219">
        <f ca="1">OFFSET($A$1,MATCH(Z98,$A:$A,0)-1,O99)</f>
        <v>0.1</v>
      </c>
      <c r="Q99" s="141" t="s">
        <v>29</v>
      </c>
      <c r="R99" s="142">
        <f t="shared" ref="R99:S104" ca="1" si="21">T99</f>
        <v>467217</v>
      </c>
      <c r="S99" s="142">
        <f t="shared" ca="1" si="21"/>
        <v>46721</v>
      </c>
      <c r="T99" s="142">
        <f ca="1">기술사</f>
        <v>467217</v>
      </c>
      <c r="U99" s="142">
        <f t="shared" ref="U99:U104" ca="1" si="22">ROUNDDOWN(P99*R99,0)</f>
        <v>46721</v>
      </c>
      <c r="V99" s="142"/>
      <c r="W99" s="142"/>
      <c r="X99" s="142"/>
      <c r="Y99" s="142"/>
      <c r="Z99" s="114"/>
    </row>
    <row r="100" spans="14:26" ht="18" customHeight="1">
      <c r="N100" s="143" t="s">
        <v>32</v>
      </c>
      <c r="O100" s="173">
        <v>4</v>
      </c>
      <c r="P100" s="234">
        <f ca="1">OFFSET($A$1,MATCH(Z98,$A:$A,0)-1,O100)</f>
        <v>0.8</v>
      </c>
      <c r="Q100" s="144" t="s">
        <v>29</v>
      </c>
      <c r="R100" s="118">
        <f t="shared" ca="1" si="21"/>
        <v>373353</v>
      </c>
      <c r="S100" s="118">
        <f t="shared" ca="1" si="21"/>
        <v>298682</v>
      </c>
      <c r="T100" s="118">
        <f ca="1">특급</f>
        <v>373353</v>
      </c>
      <c r="U100" s="118">
        <f t="shared" ca="1" si="22"/>
        <v>298682</v>
      </c>
      <c r="V100" s="118"/>
      <c r="W100" s="118"/>
      <c r="X100" s="118"/>
      <c r="Y100" s="118"/>
      <c r="Z100" s="115"/>
    </row>
    <row r="101" spans="14:26" ht="18" customHeight="1">
      <c r="N101" s="145" t="s">
        <v>39</v>
      </c>
      <c r="O101" s="173">
        <v>5</v>
      </c>
      <c r="P101" s="234">
        <f ca="1">OFFSET($A$1,MATCH(Z98,$A:$A,0)-1,O101)</f>
        <v>4.0999999999999996</v>
      </c>
      <c r="Q101" s="144" t="s">
        <v>29</v>
      </c>
      <c r="R101" s="118">
        <f t="shared" ca="1" si="21"/>
        <v>310884</v>
      </c>
      <c r="S101" s="118">
        <f t="shared" ca="1" si="21"/>
        <v>1274624</v>
      </c>
      <c r="T101" s="118">
        <f ca="1">고급</f>
        <v>310884</v>
      </c>
      <c r="U101" s="118">
        <f t="shared" ca="1" si="22"/>
        <v>1274624</v>
      </c>
      <c r="V101" s="118"/>
      <c r="W101" s="118"/>
      <c r="X101" s="118"/>
      <c r="Y101" s="118"/>
      <c r="Z101" s="115"/>
    </row>
    <row r="102" spans="14:26" ht="18" customHeight="1">
      <c r="N102" s="145" t="s">
        <v>40</v>
      </c>
      <c r="O102" s="173">
        <v>6</v>
      </c>
      <c r="P102" s="234">
        <f ca="1">OFFSET($A$1,MATCH(Z98,$A:$A,0)-1,O102)</f>
        <v>6</v>
      </c>
      <c r="Q102" s="144" t="s">
        <v>29</v>
      </c>
      <c r="R102" s="118">
        <f t="shared" ca="1" si="21"/>
        <v>295138</v>
      </c>
      <c r="S102" s="118">
        <f t="shared" ca="1" si="21"/>
        <v>1770828</v>
      </c>
      <c r="T102" s="118">
        <f ca="1">중급</f>
        <v>295138</v>
      </c>
      <c r="U102" s="118">
        <f t="shared" ca="1" si="22"/>
        <v>1770828</v>
      </c>
      <c r="V102" s="118"/>
      <c r="W102" s="118"/>
      <c r="X102" s="118"/>
      <c r="Y102" s="118"/>
      <c r="Z102" s="115"/>
    </row>
    <row r="103" spans="14:26" ht="18" customHeight="1">
      <c r="N103" s="145" t="s">
        <v>41</v>
      </c>
      <c r="O103" s="173">
        <v>7</v>
      </c>
      <c r="P103" s="234">
        <f ca="1">OFFSET($A$1,MATCH(Z98,$A:$A,0)-1,O103)</f>
        <v>11.3</v>
      </c>
      <c r="Q103" s="144" t="s">
        <v>29</v>
      </c>
      <c r="R103" s="118">
        <f t="shared" ca="1" si="21"/>
        <v>235459</v>
      </c>
      <c r="S103" s="118">
        <f t="shared" ca="1" si="21"/>
        <v>2660686</v>
      </c>
      <c r="T103" s="118">
        <f ca="1">초급</f>
        <v>235459</v>
      </c>
      <c r="U103" s="118">
        <f t="shared" ca="1" si="22"/>
        <v>2660686</v>
      </c>
      <c r="V103" s="118"/>
      <c r="W103" s="118"/>
      <c r="X103" s="118"/>
      <c r="Y103" s="118"/>
      <c r="Z103" s="115"/>
    </row>
    <row r="104" spans="14:26" ht="18" customHeight="1">
      <c r="N104" s="319" t="s">
        <v>42</v>
      </c>
      <c r="O104" s="174">
        <v>8</v>
      </c>
      <c r="P104" s="235">
        <f ca="1">OFFSET($A$1,MATCH(Z98,$A:$A,0)-1,O104)</f>
        <v>0</v>
      </c>
      <c r="Q104" s="322" t="s">
        <v>29</v>
      </c>
      <c r="R104" s="323">
        <f t="shared" ca="1" si="21"/>
        <v>250087</v>
      </c>
      <c r="S104" s="323">
        <f t="shared" ca="1" si="21"/>
        <v>0</v>
      </c>
      <c r="T104" s="323">
        <f ca="1">보조원</f>
        <v>250087</v>
      </c>
      <c r="U104" s="323">
        <f t="shared" ca="1" si="22"/>
        <v>0</v>
      </c>
      <c r="V104" s="323"/>
      <c r="W104" s="323"/>
      <c r="X104" s="323"/>
      <c r="Y104" s="323"/>
      <c r="Z104" s="324"/>
    </row>
    <row r="105" spans="14:26" ht="18" customHeight="1">
      <c r="N105" s="139" t="s">
        <v>17</v>
      </c>
      <c r="O105" s="68"/>
      <c r="P105" s="69"/>
      <c r="Q105" s="70"/>
      <c r="R105" s="71"/>
      <c r="S105" s="71">
        <f ca="1">SUBTOTAL(9,S99:S104)</f>
        <v>6051541</v>
      </c>
      <c r="T105" s="71"/>
      <c r="U105" s="71">
        <f ca="1">SUBTOTAL(9,U99:U104)</f>
        <v>6051541</v>
      </c>
      <c r="V105" s="71"/>
      <c r="W105" s="71"/>
      <c r="X105" s="71"/>
      <c r="Y105" s="71"/>
      <c r="Z105" s="68"/>
    </row>
    <row r="162" spans="11:13" ht="18" customHeight="1">
      <c r="K162" s="171" t="s">
        <v>14</v>
      </c>
      <c r="L162" s="171"/>
    </row>
    <row r="163" spans="11:13" ht="18" customHeight="1">
      <c r="K163" s="171" t="s">
        <v>14</v>
      </c>
      <c r="L163" s="171"/>
    </row>
    <row r="164" spans="11:13" ht="18" customHeight="1">
      <c r="K164" s="171" t="s">
        <v>14</v>
      </c>
      <c r="L164" s="171"/>
    </row>
    <row r="165" spans="11:13" ht="18" customHeight="1">
      <c r="K165" s="171" t="s">
        <v>14</v>
      </c>
      <c r="L165" s="171"/>
      <c r="M165" s="171"/>
    </row>
    <row r="166" spans="11:13" ht="18" customHeight="1">
      <c r="K166" s="171" t="s">
        <v>14</v>
      </c>
      <c r="L166" s="171"/>
      <c r="M166" s="171"/>
    </row>
    <row r="167" spans="11:13" ht="18" customHeight="1">
      <c r="K167" s="171" t="s">
        <v>14</v>
      </c>
      <c r="L167" s="171"/>
      <c r="M167" s="171"/>
    </row>
    <row r="168" spans="11:13" ht="18" customHeight="1">
      <c r="K168" s="171" t="s">
        <v>14</v>
      </c>
      <c r="L168" s="171"/>
      <c r="M168" s="171"/>
    </row>
    <row r="169" spans="11:13" ht="18" customHeight="1">
      <c r="K169" s="171" t="s">
        <v>14</v>
      </c>
      <c r="L169" s="171"/>
      <c r="M169" s="171"/>
    </row>
    <row r="170" spans="11:13" ht="18" customHeight="1">
      <c r="K170" s="171" t="s">
        <v>14</v>
      </c>
      <c r="L170" s="171"/>
      <c r="M170" s="171"/>
    </row>
    <row r="171" spans="11:13" ht="18" customHeight="1">
      <c r="K171" s="171" t="s">
        <v>14</v>
      </c>
      <c r="L171" s="171"/>
      <c r="M171" s="171"/>
    </row>
    <row r="172" spans="11:13" ht="18" customHeight="1">
      <c r="K172" s="171" t="s">
        <v>14</v>
      </c>
      <c r="L172" s="171"/>
      <c r="M172" s="171"/>
    </row>
    <row r="173" spans="11:13" ht="18" customHeight="1">
      <c r="K173" s="171" t="s">
        <v>14</v>
      </c>
      <c r="L173" s="171"/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M745" s="171"/>
    </row>
    <row r="746" spans="11:13" ht="18" customHeight="1">
      <c r="M746" s="171"/>
    </row>
    <row r="747" spans="11:13" ht="18" customHeight="1">
      <c r="M747" s="171"/>
    </row>
  </sheetData>
  <mergeCells count="14">
    <mergeCell ref="O40:O41"/>
    <mergeCell ref="P40:P41"/>
    <mergeCell ref="Q40:Q41"/>
    <mergeCell ref="Z40:Z41"/>
    <mergeCell ref="B10:C11"/>
    <mergeCell ref="J10:J11"/>
    <mergeCell ref="L10:L11"/>
    <mergeCell ref="N40:N41"/>
    <mergeCell ref="B3:C3"/>
    <mergeCell ref="D3:E3"/>
    <mergeCell ref="B4:C4"/>
    <mergeCell ref="D4:E4"/>
    <mergeCell ref="B5:C5"/>
    <mergeCell ref="D5:E5"/>
  </mergeCells>
  <phoneticPr fontId="14" type="noConversion"/>
  <conditionalFormatting sqref="V12:V21">
    <cfRule type="cellIs" dxfId="9" priority="2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6" min="13" max="28" man="1"/>
    <brk id="63" min="13" max="28" man="1"/>
    <brk id="84" min="13" max="28" man="1"/>
  </row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codeName="Sheet30">
    <tabColor theme="5" tint="0.39997558519241921"/>
  </sheetPr>
  <dimension ref="A1:Z763"/>
  <sheetViews>
    <sheetView showGridLines="0" zoomScale="85" zoomScaleNormal="85" zoomScaleSheetLayoutView="75" workbookViewId="0">
      <selection activeCell="J34" sqref="J34"/>
    </sheetView>
  </sheetViews>
  <sheetFormatPr defaultColWidth="12" defaultRowHeight="18" customHeight="1"/>
  <cols>
    <col min="1" max="1" width="4.83203125" style="1" customWidth="1"/>
    <col min="2" max="2" width="3.6640625" style="1" customWidth="1"/>
    <col min="3" max="3" width="48.1640625" style="1" customWidth="1"/>
    <col min="4" max="4" width="11.1640625" style="1" customWidth="1"/>
    <col min="5" max="5" width="11.33203125" style="1" customWidth="1"/>
    <col min="6" max="6" width="13.33203125" style="1" customWidth="1"/>
    <col min="7" max="7" width="12.6640625" style="1" customWidth="1"/>
    <col min="8" max="8" width="13" style="1" customWidth="1"/>
    <col min="9" max="9" width="13.5" style="1" customWidth="1"/>
    <col min="10" max="10" width="14.33203125" style="1" customWidth="1"/>
    <col min="11" max="11" width="5.33203125" style="1" customWidth="1"/>
    <col min="12" max="12" width="9.83203125" style="1" customWidth="1"/>
    <col min="13" max="13" width="5.33203125" style="1" customWidth="1"/>
    <col min="14" max="14" width="25.33203125" style="1" customWidth="1"/>
    <col min="15" max="15" width="8.6640625" style="1" customWidth="1"/>
    <col min="16" max="16" width="12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6640625" style="6" bestFit="1" customWidth="1"/>
    <col min="21" max="21" width="19.33203125" style="6" bestFit="1" customWidth="1"/>
    <col min="22" max="22" width="14.6640625" style="6" bestFit="1" customWidth="1"/>
    <col min="23" max="25" width="13.1640625" style="6" bestFit="1" customWidth="1"/>
    <col min="26" max="26" width="16.1640625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3.25" thickBot="1">
      <c r="B1" s="7" t="s">
        <v>348</v>
      </c>
    </row>
    <row r="2" spans="1:26" ht="19.5" thickBot="1">
      <c r="B2" s="270" t="s">
        <v>69</v>
      </c>
      <c r="C2" s="271"/>
      <c r="D2" s="271"/>
      <c r="E2" s="271"/>
      <c r="F2" s="272"/>
      <c r="P2" s="6"/>
      <c r="Q2" s="6"/>
      <c r="X2" s="1"/>
      <c r="Y2" s="1"/>
    </row>
    <row r="3" spans="1:26" ht="18" customHeight="1">
      <c r="B3" s="773" t="s">
        <v>70</v>
      </c>
      <c r="C3" s="863"/>
      <c r="D3" s="809">
        <v>10</v>
      </c>
      <c r="E3" s="845"/>
      <c r="F3" s="44" t="s">
        <v>87</v>
      </c>
      <c r="P3" s="6"/>
      <c r="Q3" s="6"/>
      <c r="X3" s="1"/>
      <c r="Y3" s="1"/>
    </row>
    <row r="4" spans="1:26" ht="18" customHeight="1">
      <c r="B4" s="864" t="s">
        <v>71</v>
      </c>
      <c r="C4" s="865"/>
      <c r="D4" s="811">
        <v>10</v>
      </c>
      <c r="E4" s="846"/>
      <c r="F4" s="65" t="str">
        <f>F3</f>
        <v>만㎡</v>
      </c>
      <c r="P4" s="6"/>
      <c r="Q4" s="6"/>
      <c r="X4" s="1"/>
      <c r="Y4" s="1"/>
    </row>
    <row r="5" spans="1:26" ht="18" customHeight="1" thickBot="1">
      <c r="B5" s="781" t="s">
        <v>108</v>
      </c>
      <c r="C5" s="862"/>
      <c r="D5" s="783">
        <f>ROUND((IF(D4&lt;=3,3,D4)/D3)^1,3)</f>
        <v>1</v>
      </c>
      <c r="E5" s="784"/>
      <c r="F5" s="45"/>
      <c r="P5" s="6"/>
      <c r="Q5" s="6"/>
      <c r="X5" s="1"/>
      <c r="Y5" s="1"/>
    </row>
    <row r="6" spans="1:26" ht="18" customHeight="1">
      <c r="B6" s="9" t="s">
        <v>2844</v>
      </c>
      <c r="R6" s="1"/>
      <c r="S6" s="1"/>
      <c r="T6" s="1"/>
    </row>
    <row r="7" spans="1:26" ht="18" customHeight="1">
      <c r="B7" s="1" t="s">
        <v>2845</v>
      </c>
      <c r="W7" s="188" t="s">
        <v>84</v>
      </c>
      <c r="X7" s="189"/>
    </row>
    <row r="8" spans="1:26" ht="18" customHeight="1">
      <c r="W8" s="676"/>
      <c r="X8" s="676"/>
    </row>
    <row r="9" spans="1:26" ht="18" customHeight="1">
      <c r="W9" s="676"/>
      <c r="X9" s="676"/>
    </row>
    <row r="10" spans="1:26" ht="18" customHeight="1">
      <c r="W10" s="676"/>
      <c r="X10" s="676"/>
    </row>
    <row r="11" spans="1:26" ht="18" customHeight="1" thickBot="1">
      <c r="B11" s="66" t="s">
        <v>72</v>
      </c>
      <c r="C11" s="9"/>
      <c r="D11" s="64"/>
      <c r="E11" s="64"/>
      <c r="G11" s="36"/>
      <c r="N11" s="66" t="s">
        <v>73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SUBTOTAL(9,W13:W32)</f>
        <v>39570325</v>
      </c>
      <c r="X12" s="187"/>
      <c r="Y12" s="177"/>
      <c r="Z12" s="167"/>
    </row>
    <row r="13" spans="1:26" ht="18" customHeight="1">
      <c r="A13" s="278"/>
      <c r="B13" s="757" t="s">
        <v>30</v>
      </c>
      <c r="C13" s="758"/>
      <c r="D13" s="14" t="s">
        <v>74</v>
      </c>
      <c r="E13" s="15"/>
      <c r="F13" s="15"/>
      <c r="G13" s="15"/>
      <c r="H13" s="15"/>
      <c r="I13" s="16"/>
      <c r="J13" s="761" t="s">
        <v>31</v>
      </c>
      <c r="L13" s="763" t="s">
        <v>97</v>
      </c>
      <c r="N13" s="127" t="s">
        <v>75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SUBTOTAL(9,W14:W29)</f>
        <v>20579723</v>
      </c>
      <c r="X13" s="164"/>
      <c r="Y13" s="178" t="s">
        <v>85</v>
      </c>
      <c r="Z13" s="179"/>
    </row>
    <row r="14" spans="1:26" ht="18" customHeight="1" thickBot="1">
      <c r="A14" s="278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218"/>
      <c r="V14" s="218"/>
      <c r="W14" s="255">
        <f ca="1">SUBTOTAL(9,W15:W22)</f>
        <v>10579723</v>
      </c>
      <c r="X14" s="256"/>
      <c r="Y14" s="220"/>
      <c r="Z14" s="220"/>
    </row>
    <row r="15" spans="1:26" ht="18" customHeight="1">
      <c r="A15" s="355"/>
      <c r="B15" s="46" t="s">
        <v>2833</v>
      </c>
      <c r="C15" s="13"/>
      <c r="D15" s="33">
        <f t="shared" ref="D15:I15" si="0">SUBTOTAL(9,D16)</f>
        <v>0.2</v>
      </c>
      <c r="E15" s="34">
        <f t="shared" si="0"/>
        <v>0.4</v>
      </c>
      <c r="F15" s="34">
        <f t="shared" si="0"/>
        <v>0.5</v>
      </c>
      <c r="G15" s="34">
        <f t="shared" si="0"/>
        <v>1</v>
      </c>
      <c r="H15" s="34">
        <f t="shared" si="0"/>
        <v>1</v>
      </c>
      <c r="I15" s="35">
        <f t="shared" si="0"/>
        <v>1</v>
      </c>
      <c r="J15" s="239"/>
      <c r="L15" s="392"/>
      <c r="N15" s="294" t="str">
        <f>B15</f>
        <v>1. 조사 및 분석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SUBTOTAL(9,W16)</f>
        <v>1178910</v>
      </c>
      <c r="X15" s="257"/>
      <c r="Y15" s="170"/>
      <c r="Z15" s="169"/>
    </row>
    <row r="16" spans="1:26" ht="18" customHeight="1">
      <c r="A16" s="355"/>
      <c r="B16" s="259" t="s">
        <v>2834</v>
      </c>
      <c r="C16" s="43"/>
      <c r="D16" s="394">
        <v>0.2</v>
      </c>
      <c r="E16" s="395">
        <v>0.4</v>
      </c>
      <c r="F16" s="395">
        <v>0.5</v>
      </c>
      <c r="G16" s="395">
        <v>1</v>
      </c>
      <c r="H16" s="395">
        <v>1</v>
      </c>
      <c r="I16" s="396">
        <v>1</v>
      </c>
      <c r="J16" s="74"/>
      <c r="L16" s="232">
        <v>1</v>
      </c>
      <c r="N16" s="296" t="str">
        <f t="shared" ref="N16:N22" si="1">B16</f>
        <v>1.1. 상위관련계획분석 및 이용상황검토</v>
      </c>
      <c r="O16" s="37"/>
      <c r="P16" s="37"/>
      <c r="Q16" s="37"/>
      <c r="R16" s="37"/>
      <c r="S16" s="37"/>
      <c r="T16" s="37"/>
      <c r="U16" s="227"/>
      <c r="V16" s="266"/>
      <c r="W16" s="153">
        <f t="array" aca="1" ref="W16" ca="1">SUM((ROUNDDOWN((D25:I25)*단가,0)))</f>
        <v>1178910</v>
      </c>
      <c r="X16" s="113"/>
      <c r="Y16" s="263" t="str">
        <f t="shared" ref="Y16:Y22" si="2">IF(A25&gt;0, "제 " &amp;A25&amp; " 호표","")</f>
        <v>제 1 호표</v>
      </c>
      <c r="Z16" s="37"/>
    </row>
    <row r="17" spans="1:26" ht="18" customHeight="1">
      <c r="A17" s="355"/>
      <c r="B17" s="393" t="s">
        <v>350</v>
      </c>
      <c r="C17" s="23"/>
      <c r="D17" s="385">
        <f t="shared" ref="D17:I17" si="3">SUBTOTAL(9,D18:D20)</f>
        <v>0.60000000000000009</v>
      </c>
      <c r="E17" s="386">
        <f t="shared" si="3"/>
        <v>1.2000000000000002</v>
      </c>
      <c r="F17" s="386">
        <f t="shared" si="3"/>
        <v>3</v>
      </c>
      <c r="G17" s="386">
        <f t="shared" si="3"/>
        <v>5</v>
      </c>
      <c r="H17" s="386">
        <f t="shared" si="3"/>
        <v>6</v>
      </c>
      <c r="I17" s="387">
        <f t="shared" si="3"/>
        <v>8</v>
      </c>
      <c r="J17" s="74"/>
      <c r="L17" s="233"/>
      <c r="N17" s="292" t="str">
        <f t="shared" si="1"/>
        <v>2. 지형도면고시계획</v>
      </c>
      <c r="O17" s="37"/>
      <c r="P17" s="37"/>
      <c r="Q17" s="37"/>
      <c r="R17" s="37"/>
      <c r="S17" s="37"/>
      <c r="T17" s="37"/>
      <c r="U17" s="226"/>
      <c r="V17" s="248"/>
      <c r="W17" s="193">
        <f ca="1">SUBTOTAL(9,W18:W20)</f>
        <v>6550144</v>
      </c>
      <c r="X17" s="113"/>
      <c r="Y17" s="263" t="str">
        <f t="shared" si="2"/>
        <v/>
      </c>
      <c r="Z17" s="37"/>
    </row>
    <row r="18" spans="1:26" ht="18" customHeight="1">
      <c r="A18" s="355"/>
      <c r="B18" s="223" t="s">
        <v>2835</v>
      </c>
      <c r="C18" s="23"/>
      <c r="D18" s="20">
        <v>0.4</v>
      </c>
      <c r="E18" s="21">
        <v>0.8</v>
      </c>
      <c r="F18" s="21">
        <v>1</v>
      </c>
      <c r="G18" s="21">
        <v>2</v>
      </c>
      <c r="H18" s="21">
        <v>3</v>
      </c>
      <c r="I18" s="22">
        <v>4</v>
      </c>
      <c r="J18" s="74"/>
      <c r="L18" s="233">
        <v>1</v>
      </c>
      <c r="N18" s="296" t="str">
        <f t="shared" si="1"/>
        <v>2.1. 위치, 면적, 선형확정 도시</v>
      </c>
      <c r="O18" s="37"/>
      <c r="P18" s="37"/>
      <c r="Q18" s="37"/>
      <c r="R18" s="37"/>
      <c r="S18" s="37"/>
      <c r="T18" s="37"/>
      <c r="U18" s="227"/>
      <c r="V18" s="266"/>
      <c r="W18" s="153">
        <f t="array" aca="1" ref="W18" ca="1">SUM((ROUNDDOWN((D27:I27)*단가,0)))</f>
        <v>3093453</v>
      </c>
      <c r="X18" s="113"/>
      <c r="Y18" s="263" t="str">
        <f t="shared" si="2"/>
        <v>제 2 호표</v>
      </c>
      <c r="Z18" s="37"/>
    </row>
    <row r="19" spans="1:26" ht="18" customHeight="1">
      <c r="A19" s="355"/>
      <c r="B19" s="223" t="s">
        <v>2836</v>
      </c>
      <c r="C19" s="23"/>
      <c r="D19" s="20">
        <v>0</v>
      </c>
      <c r="E19" s="21">
        <v>0</v>
      </c>
      <c r="F19" s="21">
        <v>1</v>
      </c>
      <c r="G19" s="21">
        <v>2</v>
      </c>
      <c r="H19" s="21">
        <v>3</v>
      </c>
      <c r="I19" s="22">
        <v>4</v>
      </c>
      <c r="J19" s="74"/>
      <c r="L19" s="233">
        <v>1</v>
      </c>
      <c r="N19" s="296" t="str">
        <f t="shared" si="1"/>
        <v>2.2. 조서,도면작성</v>
      </c>
      <c r="O19" s="37"/>
      <c r="P19" s="37"/>
      <c r="Q19" s="37"/>
      <c r="R19" s="37"/>
      <c r="S19" s="37"/>
      <c r="T19" s="37"/>
      <c r="U19" s="227"/>
      <c r="V19" s="266"/>
      <c r="W19" s="153">
        <f t="array" aca="1" ref="W19" ca="1">SUM((ROUNDDOWN((D28:I28)*단가,0)))</f>
        <v>2607885</v>
      </c>
      <c r="X19" s="113"/>
      <c r="Y19" s="263" t="str">
        <f t="shared" si="2"/>
        <v>제 3 호표</v>
      </c>
      <c r="Z19" s="37"/>
    </row>
    <row r="20" spans="1:26" ht="18" customHeight="1">
      <c r="A20" s="355"/>
      <c r="B20" s="223" t="s">
        <v>2837</v>
      </c>
      <c r="C20" s="23"/>
      <c r="D20" s="20">
        <v>0.2</v>
      </c>
      <c r="E20" s="21">
        <v>0.4</v>
      </c>
      <c r="F20" s="21">
        <v>1</v>
      </c>
      <c r="G20" s="21">
        <v>1</v>
      </c>
      <c r="H20" s="21">
        <v>0</v>
      </c>
      <c r="I20" s="22">
        <v>0</v>
      </c>
      <c r="J20" s="74"/>
      <c r="L20" s="233">
        <v>1</v>
      </c>
      <c r="N20" s="296" t="str">
        <f t="shared" si="1"/>
        <v>2.3. 검토정리</v>
      </c>
      <c r="O20" s="37"/>
      <c r="P20" s="37"/>
      <c r="Q20" s="37"/>
      <c r="R20" s="37"/>
      <c r="S20" s="37"/>
      <c r="T20" s="37"/>
      <c r="U20" s="227"/>
      <c r="V20" s="266"/>
      <c r="W20" s="153">
        <f t="array" aca="1" ref="W20" ca="1">SUM((ROUNDDOWN((D29:I29)*단가,0)))</f>
        <v>848806</v>
      </c>
      <c r="X20" s="113"/>
      <c r="Y20" s="263" t="str">
        <f t="shared" si="2"/>
        <v>제 4 호표</v>
      </c>
      <c r="Z20" s="37"/>
    </row>
    <row r="21" spans="1:26" ht="18" customHeight="1">
      <c r="A21" s="355"/>
      <c r="B21" s="393" t="s">
        <v>351</v>
      </c>
      <c r="C21" s="23"/>
      <c r="D21" s="385">
        <f t="shared" ref="D21:I21" si="4">SUBTOTAL(9,D22)</f>
        <v>0.2</v>
      </c>
      <c r="E21" s="386">
        <f t="shared" si="4"/>
        <v>0.4</v>
      </c>
      <c r="F21" s="386">
        <f t="shared" si="4"/>
        <v>1</v>
      </c>
      <c r="G21" s="386">
        <f t="shared" si="4"/>
        <v>2</v>
      </c>
      <c r="H21" s="386">
        <f t="shared" si="4"/>
        <v>3</v>
      </c>
      <c r="I21" s="387">
        <f t="shared" si="4"/>
        <v>4</v>
      </c>
      <c r="J21" s="74"/>
      <c r="L21" s="233"/>
      <c r="N21" s="292" t="str">
        <f t="shared" si="1"/>
        <v>3. 성과품 작성</v>
      </c>
      <c r="O21" s="37"/>
      <c r="P21" s="37"/>
      <c r="Q21" s="37"/>
      <c r="R21" s="37"/>
      <c r="S21" s="37"/>
      <c r="T21" s="37"/>
      <c r="U21" s="226"/>
      <c r="V21" s="248"/>
      <c r="W21" s="193">
        <f ca="1">SUBTOTAL(9,W22)</f>
        <v>2850669</v>
      </c>
      <c r="X21" s="113"/>
      <c r="Y21" s="263" t="str">
        <f t="shared" si="2"/>
        <v/>
      </c>
      <c r="Z21" s="37"/>
    </row>
    <row r="22" spans="1:26" ht="18" customHeight="1" thickBot="1">
      <c r="A22" s="355"/>
      <c r="B22" s="223" t="s">
        <v>2838</v>
      </c>
      <c r="C22" s="23"/>
      <c r="D22" s="20">
        <v>0.2</v>
      </c>
      <c r="E22" s="21">
        <v>0.4</v>
      </c>
      <c r="F22" s="21">
        <v>1</v>
      </c>
      <c r="G22" s="21">
        <v>2</v>
      </c>
      <c r="H22" s="21">
        <v>3</v>
      </c>
      <c r="I22" s="22">
        <v>4</v>
      </c>
      <c r="J22" s="74"/>
      <c r="L22" s="233">
        <v>1</v>
      </c>
      <c r="N22" s="296" t="str">
        <f t="shared" si="1"/>
        <v>3.1. 토지이용계획확인서 도면작성(KRAS등재)</v>
      </c>
      <c r="O22" s="37"/>
      <c r="P22" s="37"/>
      <c r="Q22" s="37"/>
      <c r="R22" s="37"/>
      <c r="S22" s="37"/>
      <c r="T22" s="37"/>
      <c r="U22" s="227"/>
      <c r="V22" s="266"/>
      <c r="W22" s="153">
        <f t="array" aca="1" ref="W22" ca="1">SUM((ROUNDDOWN((D31:I31)*단가,0)))</f>
        <v>2850669</v>
      </c>
      <c r="X22" s="113"/>
      <c r="Y22" s="263" t="str">
        <f t="shared" si="2"/>
        <v>제 5 호표</v>
      </c>
      <c r="Z22" s="37"/>
    </row>
    <row r="23" spans="1:26" ht="18" customHeight="1" thickBot="1">
      <c r="A23" s="278"/>
      <c r="B23" s="14" t="s">
        <v>30</v>
      </c>
      <c r="C23" s="16"/>
      <c r="D23" s="14" t="s">
        <v>86</v>
      </c>
      <c r="E23" s="15"/>
      <c r="F23" s="15"/>
      <c r="G23" s="15"/>
      <c r="H23" s="15"/>
      <c r="I23" s="16"/>
      <c r="J23" s="175" t="s">
        <v>31</v>
      </c>
      <c r="M23" s="171"/>
      <c r="N23" s="377"/>
      <c r="P23" s="371"/>
      <c r="R23" s="357"/>
      <c r="S23" s="1"/>
      <c r="T23" s="1"/>
      <c r="U23" s="258"/>
      <c r="V23" s="372"/>
      <c r="W23" s="373"/>
      <c r="X23" s="374"/>
      <c r="Y23" s="378"/>
    </row>
    <row r="24" spans="1:26" ht="18" customHeight="1">
      <c r="A24" s="278"/>
      <c r="B24" s="46" t="str">
        <f>B15</f>
        <v>1. 조사 및 분석</v>
      </c>
      <c r="C24" s="13"/>
      <c r="D24" s="48">
        <f t="shared" ref="D24:I24" si="5">SUBTOTAL(9,D25)</f>
        <v>0.2</v>
      </c>
      <c r="E24" s="49">
        <f t="shared" si="5"/>
        <v>0.4</v>
      </c>
      <c r="F24" s="49">
        <f t="shared" si="5"/>
        <v>0.5</v>
      </c>
      <c r="G24" s="49">
        <f t="shared" si="5"/>
        <v>1</v>
      </c>
      <c r="H24" s="49">
        <f t="shared" si="5"/>
        <v>1</v>
      </c>
      <c r="I24" s="50">
        <f t="shared" si="5"/>
        <v>1</v>
      </c>
      <c r="J24" s="74"/>
      <c r="M24" s="171"/>
      <c r="N24" s="290" t="s">
        <v>76</v>
      </c>
      <c r="O24" s="129"/>
      <c r="P24" s="130"/>
      <c r="Q24" s="124"/>
      <c r="R24" s="131"/>
      <c r="S24" s="124"/>
      <c r="T24" s="124"/>
      <c r="U24" s="181"/>
      <c r="V24" s="181"/>
      <c r="W24" s="159">
        <f>SUBTOTAL(9,W25:W29)</f>
        <v>10000000</v>
      </c>
      <c r="X24" s="160"/>
      <c r="Y24" s="124"/>
      <c r="Z24" s="124"/>
    </row>
    <row r="25" spans="1:26" ht="18" customHeight="1">
      <c r="A25" s="278">
        <v>1</v>
      </c>
      <c r="B25" s="259" t="str">
        <f t="shared" ref="B25:B31" si="6">B16</f>
        <v>1.1. 상위관련계획분석 및 이용상황검토</v>
      </c>
      <c r="C25" s="43"/>
      <c r="D25" s="281">
        <f t="array" ref="D25:I25">ROUNDDOWN(D16:I16*$D$5*L16,3)</f>
        <v>0.2</v>
      </c>
      <c r="E25" s="381">
        <v>0.4</v>
      </c>
      <c r="F25" s="381">
        <v>0.5</v>
      </c>
      <c r="G25" s="381">
        <v>1</v>
      </c>
      <c r="H25" s="381">
        <v>1</v>
      </c>
      <c r="I25" s="382">
        <v>1</v>
      </c>
      <c r="J25" s="302"/>
      <c r="M25" s="171"/>
      <c r="N25" s="291" t="str">
        <f>"여비("&amp;TEXT(T25,"#인 ×")&amp;TEXT(U25,"#일 ×")&amp;TEXT(V25,"###,###원)")</f>
        <v>여비(3인 ×10일 ×100,000원)</v>
      </c>
      <c r="O25" s="78"/>
      <c r="P25" s="52"/>
      <c r="Q25" s="51"/>
      <c r="T25" s="146">
        <v>3</v>
      </c>
      <c r="U25" s="146">
        <v>10</v>
      </c>
      <c r="V25" s="147">
        <v>100000</v>
      </c>
      <c r="W25" s="161">
        <f>T25*U25*V25</f>
        <v>3000000</v>
      </c>
      <c r="X25" s="162"/>
      <c r="Y25" s="51"/>
      <c r="Z25" s="51"/>
    </row>
    <row r="26" spans="1:26" ht="18" customHeight="1">
      <c r="A26" s="278"/>
      <c r="B26" s="393" t="str">
        <f t="shared" si="6"/>
        <v>2. 지형도면고시계획</v>
      </c>
      <c r="C26" s="23"/>
      <c r="D26" s="385">
        <f t="shared" ref="D26:I26" si="7">SUBTOTAL(9,D27:D29)</f>
        <v>0.60000000000000009</v>
      </c>
      <c r="E26" s="386">
        <f t="shared" si="7"/>
        <v>1.2000000000000002</v>
      </c>
      <c r="F26" s="386">
        <f t="shared" si="7"/>
        <v>3</v>
      </c>
      <c r="G26" s="386">
        <f t="shared" si="7"/>
        <v>5</v>
      </c>
      <c r="H26" s="386">
        <f t="shared" si="7"/>
        <v>6</v>
      </c>
      <c r="I26" s="387">
        <f t="shared" si="7"/>
        <v>8</v>
      </c>
      <c r="J26" s="74"/>
      <c r="K26" s="171" t="s">
        <v>78</v>
      </c>
      <c r="M26" s="171"/>
      <c r="N26" s="292" t="s">
        <v>46</v>
      </c>
      <c r="O26" s="79"/>
      <c r="P26" s="39"/>
      <c r="Q26" s="37"/>
      <c r="R26" s="117"/>
      <c r="S26" s="37"/>
      <c r="T26" s="37"/>
      <c r="U26" s="180"/>
      <c r="V26" s="180"/>
      <c r="W26" s="157">
        <v>2000000</v>
      </c>
      <c r="X26" s="158"/>
      <c r="Y26" s="37"/>
      <c r="Z26" s="37"/>
    </row>
    <row r="27" spans="1:26" ht="18" customHeight="1">
      <c r="A27" s="278">
        <v>2</v>
      </c>
      <c r="B27" s="223" t="str">
        <f t="shared" si="6"/>
        <v>2.1. 위치, 면적, 선형확정 도시</v>
      </c>
      <c r="C27" s="23"/>
      <c r="D27" s="20">
        <f t="array" ref="D27:I29">ROUNDDOWN(D18:I20*$D$5*L18:L20,3)</f>
        <v>0.4</v>
      </c>
      <c r="E27" s="21">
        <v>0.8</v>
      </c>
      <c r="F27" s="21">
        <v>1</v>
      </c>
      <c r="G27" s="21">
        <v>2</v>
      </c>
      <c r="H27" s="21">
        <v>3</v>
      </c>
      <c r="I27" s="22">
        <v>4</v>
      </c>
      <c r="J27" s="74"/>
      <c r="K27" s="171" t="s">
        <v>78</v>
      </c>
      <c r="L27" s="171"/>
      <c r="M27" s="171"/>
      <c r="N27" s="292" t="s">
        <v>345</v>
      </c>
      <c r="O27" s="79"/>
      <c r="P27" s="39"/>
      <c r="Q27" s="37"/>
      <c r="R27" s="117"/>
      <c r="S27" s="37"/>
      <c r="T27" s="37"/>
      <c r="U27" s="180"/>
      <c r="V27" s="180"/>
      <c r="W27" s="157">
        <v>2000000</v>
      </c>
      <c r="X27" s="158"/>
      <c r="Y27" s="37"/>
      <c r="Z27" s="37"/>
    </row>
    <row r="28" spans="1:26" ht="18" customHeight="1">
      <c r="A28" s="278">
        <v>3</v>
      </c>
      <c r="B28" s="223" t="str">
        <f t="shared" si="6"/>
        <v>2.2. 조서,도면작성</v>
      </c>
      <c r="C28" s="23"/>
      <c r="D28" s="20">
        <v>0</v>
      </c>
      <c r="E28" s="21">
        <v>0</v>
      </c>
      <c r="F28" s="21">
        <v>1</v>
      </c>
      <c r="G28" s="21">
        <v>2</v>
      </c>
      <c r="H28" s="21">
        <v>3</v>
      </c>
      <c r="I28" s="22">
        <v>4</v>
      </c>
      <c r="J28" s="74"/>
      <c r="K28" s="171" t="s">
        <v>78</v>
      </c>
      <c r="L28" s="171"/>
      <c r="M28" s="171"/>
      <c r="N28" s="292" t="s">
        <v>346</v>
      </c>
      <c r="O28" s="79"/>
      <c r="P28" s="39"/>
      <c r="Q28" s="37"/>
      <c r="R28" s="117"/>
      <c r="S28" s="37"/>
      <c r="T28" s="37"/>
      <c r="U28" s="180"/>
      <c r="V28" s="180"/>
      <c r="W28" s="157">
        <v>2000000</v>
      </c>
      <c r="X28" s="158"/>
      <c r="Y28" s="37"/>
      <c r="Z28" s="37"/>
    </row>
    <row r="29" spans="1:26" ht="18" customHeight="1">
      <c r="A29" s="278">
        <v>4</v>
      </c>
      <c r="B29" s="223" t="str">
        <f t="shared" si="6"/>
        <v>2.3. 검토정리</v>
      </c>
      <c r="C29" s="23"/>
      <c r="D29" s="20">
        <v>0.2</v>
      </c>
      <c r="E29" s="21">
        <v>0.4</v>
      </c>
      <c r="F29" s="21">
        <v>1</v>
      </c>
      <c r="G29" s="21">
        <v>1</v>
      </c>
      <c r="H29" s="21">
        <v>0</v>
      </c>
      <c r="I29" s="22">
        <v>0</v>
      </c>
      <c r="J29" s="74"/>
      <c r="K29" s="171" t="s">
        <v>78</v>
      </c>
      <c r="L29" s="171"/>
      <c r="M29" s="171"/>
      <c r="N29" s="293" t="s">
        <v>347</v>
      </c>
      <c r="O29" s="132"/>
      <c r="P29" s="38"/>
      <c r="Q29" s="38"/>
      <c r="R29" s="116"/>
      <c r="S29" s="38"/>
      <c r="T29" s="38"/>
      <c r="U29" s="183"/>
      <c r="V29" s="183"/>
      <c r="W29" s="155">
        <v>1000000</v>
      </c>
      <c r="X29" s="156"/>
      <c r="Y29" s="38"/>
      <c r="Z29" s="38"/>
    </row>
    <row r="30" spans="1:26" ht="18" customHeight="1">
      <c r="A30" s="278"/>
      <c r="B30" s="393" t="str">
        <f t="shared" si="6"/>
        <v>3. 성과품 작성</v>
      </c>
      <c r="C30" s="23"/>
      <c r="D30" s="385">
        <f t="shared" ref="D30:I30" si="8">SUBTOTAL(9,D31)</f>
        <v>0.2</v>
      </c>
      <c r="E30" s="386">
        <f t="shared" si="8"/>
        <v>0.4</v>
      </c>
      <c r="F30" s="386">
        <f t="shared" si="8"/>
        <v>1</v>
      </c>
      <c r="G30" s="386">
        <f t="shared" si="8"/>
        <v>2</v>
      </c>
      <c r="H30" s="386">
        <f t="shared" si="8"/>
        <v>3</v>
      </c>
      <c r="I30" s="387">
        <f t="shared" si="8"/>
        <v>4</v>
      </c>
      <c r="J30" s="74"/>
      <c r="K30" s="171" t="s">
        <v>78</v>
      </c>
      <c r="L30" s="171"/>
      <c r="M30" s="171"/>
      <c r="N30" s="127" t="s">
        <v>47</v>
      </c>
      <c r="O30" s="123"/>
      <c r="P30" s="123"/>
      <c r="Q30" s="123"/>
      <c r="R30" s="123"/>
      <c r="S30" s="123"/>
      <c r="T30" s="123"/>
      <c r="U30" s="184"/>
      <c r="V30" s="184"/>
      <c r="W30" s="163">
        <f ca="1">SUBTOTAL(9,W31:W32)</f>
        <v>18990602</v>
      </c>
      <c r="X30" s="164"/>
      <c r="Y30" s="123"/>
      <c r="Z30" s="123"/>
    </row>
    <row r="31" spans="1:26" ht="18" customHeight="1" thickBot="1">
      <c r="A31" s="278">
        <v>5</v>
      </c>
      <c r="B31" s="388" t="str">
        <f t="shared" si="6"/>
        <v>3.1. 토지이용계획확인서 도면작성(KRAS등재)</v>
      </c>
      <c r="C31" s="342"/>
      <c r="D31" s="397">
        <f t="array" ref="D31:I31">ROUNDDOWN(D22:I22*$D$5*L22,3)</f>
        <v>0.2</v>
      </c>
      <c r="E31" s="398">
        <v>0.4</v>
      </c>
      <c r="F31" s="398">
        <v>1</v>
      </c>
      <c r="G31" s="398">
        <v>2</v>
      </c>
      <c r="H31" s="398">
        <v>3</v>
      </c>
      <c r="I31" s="399">
        <v>4</v>
      </c>
      <c r="J31" s="176"/>
      <c r="K31" s="171" t="s">
        <v>78</v>
      </c>
      <c r="L31" s="171"/>
      <c r="M31" s="171"/>
      <c r="N31" s="133" t="s">
        <v>861</v>
      </c>
      <c r="O31" s="124"/>
      <c r="P31" s="134"/>
      <c r="Q31" s="124"/>
      <c r="R31" s="131"/>
      <c r="S31" s="124"/>
      <c r="T31" s="181"/>
      <c r="U31" s="181"/>
      <c r="V31" s="190">
        <v>1.1499999999999999</v>
      </c>
      <c r="W31" s="159">
        <f ca="1">ROUNDDOWN(W14*V31,0)</f>
        <v>12166681</v>
      </c>
      <c r="X31" s="160"/>
      <c r="Y31" s="124"/>
      <c r="Z31" s="124"/>
    </row>
    <row r="32" spans="1:26" ht="18" customHeight="1" thickBot="1">
      <c r="B32" s="80" t="s">
        <v>77</v>
      </c>
      <c r="C32" s="9" t="s">
        <v>2839</v>
      </c>
      <c r="K32" s="171" t="s">
        <v>78</v>
      </c>
      <c r="L32" s="171"/>
      <c r="M32" s="171"/>
      <c r="N32" s="135" t="s">
        <v>862</v>
      </c>
      <c r="O32" s="136"/>
      <c r="P32" s="137"/>
      <c r="Q32" s="136"/>
      <c r="R32" s="138"/>
      <c r="S32" s="136"/>
      <c r="T32" s="185"/>
      <c r="U32" s="185"/>
      <c r="V32" s="191">
        <v>0.3</v>
      </c>
      <c r="W32" s="165">
        <f ca="1">ROUNDDOWN((W14+W31)*V32,0)</f>
        <v>6823921</v>
      </c>
      <c r="X32" s="166"/>
      <c r="Y32" s="136"/>
      <c r="Z32" s="136"/>
    </row>
    <row r="33" spans="3:26" ht="18" customHeight="1">
      <c r="C33" s="9" t="s">
        <v>2840</v>
      </c>
      <c r="K33" s="171" t="s">
        <v>78</v>
      </c>
      <c r="L33" s="171"/>
      <c r="M33" s="171"/>
    </row>
    <row r="34" spans="3:26" ht="18" customHeight="1" thickBot="1">
      <c r="C34" s="1" t="s">
        <v>2841</v>
      </c>
      <c r="K34" s="171" t="s">
        <v>78</v>
      </c>
      <c r="L34" s="171"/>
      <c r="M34" s="171"/>
      <c r="N34" s="66" t="s">
        <v>18</v>
      </c>
      <c r="O34" s="2"/>
      <c r="P34" s="2"/>
      <c r="Q34" s="2"/>
      <c r="R34" s="3"/>
      <c r="S34" s="4"/>
      <c r="T34" s="3"/>
      <c r="U34" s="4"/>
      <c r="V34" s="3"/>
      <c r="W34" s="4"/>
      <c r="X34" s="3"/>
      <c r="Y34" s="4"/>
      <c r="Z34" s="2"/>
    </row>
    <row r="35" spans="3:26" ht="18" customHeight="1">
      <c r="C35" s="1" t="s">
        <v>2842</v>
      </c>
      <c r="K35" s="171" t="s">
        <v>78</v>
      </c>
      <c r="L35" s="171"/>
      <c r="M35" s="171"/>
      <c r="N35" s="765" t="s">
        <v>19</v>
      </c>
      <c r="O35" s="755" t="s">
        <v>20</v>
      </c>
      <c r="P35" s="755" t="s">
        <v>21</v>
      </c>
      <c r="Q35" s="755" t="s">
        <v>80</v>
      </c>
      <c r="R35" s="5" t="s">
        <v>22</v>
      </c>
      <c r="S35" s="5"/>
      <c r="T35" s="5" t="s">
        <v>23</v>
      </c>
      <c r="U35" s="5"/>
      <c r="V35" s="5" t="s">
        <v>24</v>
      </c>
      <c r="W35" s="5"/>
      <c r="X35" s="5" t="s">
        <v>25</v>
      </c>
      <c r="Y35" s="5"/>
      <c r="Z35" s="755" t="s">
        <v>26</v>
      </c>
    </row>
    <row r="36" spans="3:26" ht="18" customHeight="1" thickBot="1">
      <c r="C36" s="1" t="s">
        <v>2843</v>
      </c>
      <c r="K36" s="171" t="s">
        <v>78</v>
      </c>
      <c r="L36" s="171"/>
      <c r="M36" s="171"/>
      <c r="N36" s="766"/>
      <c r="O36" s="756"/>
      <c r="P36" s="756"/>
      <c r="Q36" s="756"/>
      <c r="R36" s="67" t="s">
        <v>27</v>
      </c>
      <c r="S36" s="67" t="s">
        <v>28</v>
      </c>
      <c r="T36" s="67" t="s">
        <v>27</v>
      </c>
      <c r="U36" s="67" t="s">
        <v>28</v>
      </c>
      <c r="V36" s="67" t="s">
        <v>27</v>
      </c>
      <c r="W36" s="67" t="s">
        <v>28</v>
      </c>
      <c r="X36" s="67" t="s">
        <v>27</v>
      </c>
      <c r="Y36" s="67" t="s">
        <v>28</v>
      </c>
      <c r="Z36" s="756"/>
    </row>
    <row r="37" spans="3:26" ht="18" customHeight="1" thickTop="1">
      <c r="K37" s="171" t="s">
        <v>78</v>
      </c>
      <c r="L37" s="171"/>
      <c r="M37" s="171"/>
      <c r="N37" s="318" t="str">
        <f ca="1">"제 " &amp; Z37 &amp; " 호표  "&amp; OFFSET($A$1,MATCH(Z37,$A:$A,0)-1,1)</f>
        <v>제 1 호표  1.1. 상위관련계획분석 및 이용상황검토</v>
      </c>
      <c r="O37" s="221"/>
      <c r="P37" s="148"/>
      <c r="Q37" s="148"/>
      <c r="R37" s="149"/>
      <c r="S37" s="149"/>
      <c r="T37" s="149"/>
      <c r="U37" s="149"/>
      <c r="V37" s="149"/>
      <c r="W37" s="149"/>
      <c r="X37" s="149"/>
      <c r="Y37" s="149"/>
      <c r="Z37" s="325">
        <v>1</v>
      </c>
    </row>
    <row r="38" spans="3:26" ht="18" customHeight="1">
      <c r="K38" s="171" t="s">
        <v>78</v>
      </c>
      <c r="L38" s="171"/>
      <c r="M38" s="171"/>
      <c r="N38" s="140" t="s">
        <v>43</v>
      </c>
      <c r="O38" s="172">
        <v>3</v>
      </c>
      <c r="P38" s="219">
        <f ca="1">OFFSET($A$1,MATCH(Z37,$A:$A,0)-1,O38)</f>
        <v>0.2</v>
      </c>
      <c r="Q38" s="141" t="s">
        <v>29</v>
      </c>
      <c r="R38" s="142">
        <f t="shared" ref="R38:S43" ca="1" si="9">T38</f>
        <v>467217</v>
      </c>
      <c r="S38" s="142">
        <f t="shared" ca="1" si="9"/>
        <v>93443</v>
      </c>
      <c r="T38" s="142">
        <f ca="1">기술사</f>
        <v>467217</v>
      </c>
      <c r="U38" s="142">
        <f t="shared" ref="U38:U43" ca="1" si="10">ROUNDDOWN(P38*R38,0)</f>
        <v>93443</v>
      </c>
      <c r="V38" s="142"/>
      <c r="W38" s="142"/>
      <c r="X38" s="142"/>
      <c r="Y38" s="142"/>
      <c r="Z38" s="114"/>
    </row>
    <row r="39" spans="3:26" ht="18" customHeight="1">
      <c r="K39" s="171" t="s">
        <v>78</v>
      </c>
      <c r="L39" s="171"/>
      <c r="M39" s="171"/>
      <c r="N39" s="143" t="s">
        <v>32</v>
      </c>
      <c r="O39" s="173">
        <v>4</v>
      </c>
      <c r="P39" s="234">
        <f ca="1">OFFSET($A$1,MATCH(Z37,$A:$A,0)-1,O39)</f>
        <v>0.4</v>
      </c>
      <c r="Q39" s="144" t="s">
        <v>29</v>
      </c>
      <c r="R39" s="118">
        <f t="shared" ca="1" si="9"/>
        <v>373353</v>
      </c>
      <c r="S39" s="118">
        <f t="shared" ca="1" si="9"/>
        <v>149341</v>
      </c>
      <c r="T39" s="118">
        <f ca="1">특급</f>
        <v>373353</v>
      </c>
      <c r="U39" s="118">
        <f t="shared" ca="1" si="10"/>
        <v>149341</v>
      </c>
      <c r="V39" s="118"/>
      <c r="W39" s="118"/>
      <c r="X39" s="118"/>
      <c r="Y39" s="118"/>
      <c r="Z39" s="115"/>
    </row>
    <row r="40" spans="3:26" ht="18" customHeight="1">
      <c r="K40" s="171" t="s">
        <v>78</v>
      </c>
      <c r="L40" s="171"/>
      <c r="M40" s="171"/>
      <c r="N40" s="145" t="s">
        <v>39</v>
      </c>
      <c r="O40" s="173">
        <v>5</v>
      </c>
      <c r="P40" s="234">
        <f ca="1">OFFSET($A$1,MATCH(Z37,$A:$A,0)-1,O40)</f>
        <v>0.5</v>
      </c>
      <c r="Q40" s="144" t="s">
        <v>29</v>
      </c>
      <c r="R40" s="118">
        <f t="shared" ca="1" si="9"/>
        <v>310884</v>
      </c>
      <c r="S40" s="118">
        <f t="shared" ca="1" si="9"/>
        <v>155442</v>
      </c>
      <c r="T40" s="118">
        <f ca="1">고급</f>
        <v>310884</v>
      </c>
      <c r="U40" s="118">
        <f t="shared" ca="1" si="10"/>
        <v>155442</v>
      </c>
      <c r="V40" s="118"/>
      <c r="W40" s="118"/>
      <c r="X40" s="118"/>
      <c r="Y40" s="118"/>
      <c r="Z40" s="115"/>
    </row>
    <row r="41" spans="3:26" ht="13.5" customHeight="1">
      <c r="K41" s="171" t="s">
        <v>78</v>
      </c>
      <c r="L41" s="171"/>
      <c r="M41" s="171"/>
      <c r="N41" s="145" t="s">
        <v>40</v>
      </c>
      <c r="O41" s="173">
        <v>6</v>
      </c>
      <c r="P41" s="234">
        <f ca="1">OFFSET($A$1,MATCH(Z37,$A:$A,0)-1,O41)</f>
        <v>1</v>
      </c>
      <c r="Q41" s="144" t="s">
        <v>29</v>
      </c>
      <c r="R41" s="118">
        <f t="shared" ca="1" si="9"/>
        <v>295138</v>
      </c>
      <c r="S41" s="118">
        <f t="shared" ca="1" si="9"/>
        <v>295138</v>
      </c>
      <c r="T41" s="118">
        <f ca="1">중급</f>
        <v>295138</v>
      </c>
      <c r="U41" s="118">
        <f t="shared" ca="1" si="10"/>
        <v>295138</v>
      </c>
      <c r="V41" s="118"/>
      <c r="W41" s="118"/>
      <c r="X41" s="118"/>
      <c r="Y41" s="118"/>
      <c r="Z41" s="115"/>
    </row>
    <row r="42" spans="3:26" ht="18" customHeight="1">
      <c r="K42" s="171" t="s">
        <v>78</v>
      </c>
      <c r="L42" s="171"/>
      <c r="M42" s="171"/>
      <c r="N42" s="145" t="s">
        <v>41</v>
      </c>
      <c r="O42" s="173">
        <v>7</v>
      </c>
      <c r="P42" s="234">
        <f ca="1">OFFSET($A$1,MATCH(Z37,$A:$A,0)-1,O42)</f>
        <v>1</v>
      </c>
      <c r="Q42" s="144" t="s">
        <v>29</v>
      </c>
      <c r="R42" s="118">
        <f t="shared" ca="1" si="9"/>
        <v>235459</v>
      </c>
      <c r="S42" s="118">
        <f t="shared" ca="1" si="9"/>
        <v>235459</v>
      </c>
      <c r="T42" s="118">
        <f ca="1">초급</f>
        <v>235459</v>
      </c>
      <c r="U42" s="118">
        <f t="shared" ca="1" si="10"/>
        <v>235459</v>
      </c>
      <c r="V42" s="118"/>
      <c r="W42" s="118"/>
      <c r="X42" s="118"/>
      <c r="Y42" s="118"/>
      <c r="Z42" s="115"/>
    </row>
    <row r="43" spans="3:26" ht="18" customHeight="1">
      <c r="K43" s="171" t="s">
        <v>78</v>
      </c>
      <c r="L43" s="171"/>
      <c r="M43" s="171"/>
      <c r="N43" s="319" t="s">
        <v>42</v>
      </c>
      <c r="O43" s="174">
        <v>8</v>
      </c>
      <c r="P43" s="235">
        <f ca="1">OFFSET($A$1,MATCH(Z37,$A:$A,0)-1,O43)</f>
        <v>1</v>
      </c>
      <c r="Q43" s="322" t="s">
        <v>29</v>
      </c>
      <c r="R43" s="323">
        <f t="shared" ca="1" si="9"/>
        <v>250087</v>
      </c>
      <c r="S43" s="323">
        <f t="shared" ca="1" si="9"/>
        <v>250087</v>
      </c>
      <c r="T43" s="323">
        <f ca="1">보조원</f>
        <v>250087</v>
      </c>
      <c r="U43" s="323">
        <f t="shared" ca="1" si="10"/>
        <v>250087</v>
      </c>
      <c r="V43" s="323"/>
      <c r="W43" s="323"/>
      <c r="X43" s="323"/>
      <c r="Y43" s="323"/>
      <c r="Z43" s="324"/>
    </row>
    <row r="44" spans="3:26" ht="18" customHeight="1">
      <c r="K44" s="171" t="s">
        <v>78</v>
      </c>
      <c r="L44" s="171"/>
      <c r="M44" s="171"/>
      <c r="N44" s="139" t="s">
        <v>115</v>
      </c>
      <c r="O44" s="68"/>
      <c r="P44" s="69"/>
      <c r="Q44" s="70"/>
      <c r="R44" s="71"/>
      <c r="S44" s="71">
        <f ca="1">SUBTOTAL(9,S38:S43)</f>
        <v>1178910</v>
      </c>
      <c r="T44" s="71"/>
      <c r="U44" s="71">
        <f ca="1">SUBTOTAL(9,U38:U43)</f>
        <v>1178910</v>
      </c>
      <c r="V44" s="71"/>
      <c r="W44" s="71"/>
      <c r="X44" s="71"/>
      <c r="Y44" s="71"/>
      <c r="Z44" s="68"/>
    </row>
    <row r="45" spans="3:26" ht="18" customHeight="1">
      <c r="K45" s="171" t="s">
        <v>78</v>
      </c>
      <c r="L45" s="171"/>
      <c r="M45" s="171"/>
      <c r="N45" s="318" t="str">
        <f ca="1">"제 " &amp; Z45 &amp; " 호표  "&amp; OFFSET($A$1,MATCH(Z45,$A:$A,0)-1,1)</f>
        <v>제 2 호표  2.1. 위치, 면적, 선형확정 도시</v>
      </c>
      <c r="O45" s="221"/>
      <c r="P45" s="148"/>
      <c r="Q45" s="148"/>
      <c r="R45" s="149"/>
      <c r="S45" s="149"/>
      <c r="T45" s="149"/>
      <c r="U45" s="149"/>
      <c r="V45" s="149"/>
      <c r="W45" s="149"/>
      <c r="X45" s="149"/>
      <c r="Y45" s="149"/>
      <c r="Z45" s="325">
        <f>Z37+1</f>
        <v>2</v>
      </c>
    </row>
    <row r="46" spans="3:26" ht="18" customHeight="1">
      <c r="K46" s="171" t="s">
        <v>78</v>
      </c>
      <c r="L46" s="171"/>
      <c r="M46" s="171"/>
      <c r="N46" s="140" t="s">
        <v>43</v>
      </c>
      <c r="O46" s="172">
        <v>3</v>
      </c>
      <c r="P46" s="219">
        <f ca="1">OFFSET($A$1,MATCH(Z45,$A:$A,0)-1,O46)</f>
        <v>0.4</v>
      </c>
      <c r="Q46" s="141" t="s">
        <v>29</v>
      </c>
      <c r="R46" s="142">
        <f t="shared" ref="R46:S51" ca="1" si="11">T46</f>
        <v>467217</v>
      </c>
      <c r="S46" s="142">
        <f t="shared" ca="1" si="11"/>
        <v>186886</v>
      </c>
      <c r="T46" s="142">
        <f ca="1">기술사</f>
        <v>467217</v>
      </c>
      <c r="U46" s="142">
        <f t="shared" ref="U46:U51" ca="1" si="12">ROUNDDOWN(P46*R46,0)</f>
        <v>186886</v>
      </c>
      <c r="V46" s="142"/>
      <c r="W46" s="142"/>
      <c r="X46" s="142"/>
      <c r="Y46" s="142"/>
      <c r="Z46" s="114"/>
    </row>
    <row r="47" spans="3:26" ht="18" customHeight="1">
      <c r="K47" s="171" t="s">
        <v>78</v>
      </c>
      <c r="L47" s="171"/>
      <c r="M47" s="171"/>
      <c r="N47" s="143" t="s">
        <v>32</v>
      </c>
      <c r="O47" s="173">
        <v>4</v>
      </c>
      <c r="P47" s="234">
        <f ca="1">OFFSET($A$1,MATCH(Z45,$A:$A,0)-1,O47)</f>
        <v>0.8</v>
      </c>
      <c r="Q47" s="144" t="s">
        <v>29</v>
      </c>
      <c r="R47" s="118">
        <f t="shared" ca="1" si="11"/>
        <v>373353</v>
      </c>
      <c r="S47" s="118">
        <f t="shared" ca="1" si="11"/>
        <v>298682</v>
      </c>
      <c r="T47" s="118">
        <f ca="1">특급</f>
        <v>373353</v>
      </c>
      <c r="U47" s="118">
        <f t="shared" ca="1" si="12"/>
        <v>298682</v>
      </c>
      <c r="V47" s="118"/>
      <c r="W47" s="118"/>
      <c r="X47" s="118"/>
      <c r="Y47" s="118"/>
      <c r="Z47" s="115"/>
    </row>
    <row r="48" spans="3:26" ht="18" customHeight="1">
      <c r="K48" s="171" t="s">
        <v>78</v>
      </c>
      <c r="L48" s="171"/>
      <c r="M48" s="171"/>
      <c r="N48" s="145" t="s">
        <v>39</v>
      </c>
      <c r="O48" s="173">
        <v>5</v>
      </c>
      <c r="P48" s="234">
        <f ca="1">OFFSET($A$1,MATCH(Z45,$A:$A,0)-1,O48)</f>
        <v>1</v>
      </c>
      <c r="Q48" s="144" t="s">
        <v>29</v>
      </c>
      <c r="R48" s="118">
        <f t="shared" ca="1" si="11"/>
        <v>310884</v>
      </c>
      <c r="S48" s="118">
        <f t="shared" ca="1" si="11"/>
        <v>310884</v>
      </c>
      <c r="T48" s="118">
        <f ca="1">고급</f>
        <v>310884</v>
      </c>
      <c r="U48" s="118">
        <f t="shared" ca="1" si="12"/>
        <v>310884</v>
      </c>
      <c r="V48" s="118"/>
      <c r="W48" s="118"/>
      <c r="X48" s="118"/>
      <c r="Y48" s="118"/>
      <c r="Z48" s="115"/>
    </row>
    <row r="49" spans="11:26" ht="18" customHeight="1">
      <c r="K49" s="171" t="s">
        <v>78</v>
      </c>
      <c r="L49" s="171"/>
      <c r="M49" s="171"/>
      <c r="N49" s="145" t="s">
        <v>40</v>
      </c>
      <c r="O49" s="173">
        <v>6</v>
      </c>
      <c r="P49" s="234">
        <f ca="1">OFFSET($A$1,MATCH(Z45,$A:$A,0)-1,O49)</f>
        <v>2</v>
      </c>
      <c r="Q49" s="144" t="s">
        <v>29</v>
      </c>
      <c r="R49" s="118">
        <f t="shared" ca="1" si="11"/>
        <v>295138</v>
      </c>
      <c r="S49" s="118">
        <f t="shared" ca="1" si="11"/>
        <v>590276</v>
      </c>
      <c r="T49" s="118">
        <f ca="1">중급</f>
        <v>295138</v>
      </c>
      <c r="U49" s="118">
        <f t="shared" ca="1" si="12"/>
        <v>590276</v>
      </c>
      <c r="V49" s="118"/>
      <c r="W49" s="118"/>
      <c r="X49" s="118"/>
      <c r="Y49" s="118"/>
      <c r="Z49" s="115"/>
    </row>
    <row r="50" spans="11:26" ht="18" customHeight="1">
      <c r="K50" s="171" t="s">
        <v>78</v>
      </c>
      <c r="L50" s="171"/>
      <c r="M50" s="171"/>
      <c r="N50" s="145" t="s">
        <v>41</v>
      </c>
      <c r="O50" s="173">
        <v>7</v>
      </c>
      <c r="P50" s="234">
        <f ca="1">OFFSET($A$1,MATCH(Z45,$A:$A,0)-1,O50)</f>
        <v>3</v>
      </c>
      <c r="Q50" s="144" t="s">
        <v>29</v>
      </c>
      <c r="R50" s="118">
        <f t="shared" ca="1" si="11"/>
        <v>235459</v>
      </c>
      <c r="S50" s="118">
        <f t="shared" ca="1" si="11"/>
        <v>706377</v>
      </c>
      <c r="T50" s="118">
        <f ca="1">초급</f>
        <v>235459</v>
      </c>
      <c r="U50" s="118">
        <f t="shared" ca="1" si="12"/>
        <v>706377</v>
      </c>
      <c r="V50" s="118"/>
      <c r="W50" s="118"/>
      <c r="X50" s="118"/>
      <c r="Y50" s="118"/>
      <c r="Z50" s="115"/>
    </row>
    <row r="51" spans="11:26" ht="18" customHeight="1">
      <c r="K51" s="171" t="s">
        <v>78</v>
      </c>
      <c r="L51" s="171"/>
      <c r="M51" s="171"/>
      <c r="N51" s="319" t="s">
        <v>42</v>
      </c>
      <c r="O51" s="174">
        <v>8</v>
      </c>
      <c r="P51" s="235">
        <f ca="1">OFFSET($A$1,MATCH(Z45,$A:$A,0)-1,O51)</f>
        <v>4</v>
      </c>
      <c r="Q51" s="322" t="s">
        <v>29</v>
      </c>
      <c r="R51" s="323">
        <f t="shared" ca="1" si="11"/>
        <v>250087</v>
      </c>
      <c r="S51" s="323">
        <f t="shared" ca="1" si="11"/>
        <v>1000348</v>
      </c>
      <c r="T51" s="323">
        <f ca="1">보조원</f>
        <v>250087</v>
      </c>
      <c r="U51" s="323">
        <f t="shared" ca="1" si="12"/>
        <v>1000348</v>
      </c>
      <c r="V51" s="323"/>
      <c r="W51" s="323"/>
      <c r="X51" s="323"/>
      <c r="Y51" s="323"/>
      <c r="Z51" s="324"/>
    </row>
    <row r="52" spans="11:26" ht="18" customHeight="1">
      <c r="K52" s="171" t="s">
        <v>78</v>
      </c>
      <c r="L52" s="171"/>
      <c r="M52" s="171"/>
      <c r="N52" s="139" t="s">
        <v>115</v>
      </c>
      <c r="O52" s="68"/>
      <c r="P52" s="69"/>
      <c r="Q52" s="70"/>
      <c r="R52" s="71"/>
      <c r="S52" s="71">
        <f ca="1">SUBTOTAL(9,S46:S51)</f>
        <v>3093453</v>
      </c>
      <c r="T52" s="71"/>
      <c r="U52" s="71">
        <f ca="1">SUBTOTAL(9,U46:U51)</f>
        <v>3093453</v>
      </c>
      <c r="V52" s="71"/>
      <c r="W52" s="71"/>
      <c r="X52" s="71"/>
      <c r="Y52" s="71"/>
      <c r="Z52" s="68"/>
    </row>
    <row r="53" spans="11:26" ht="18" customHeight="1">
      <c r="K53" s="171" t="s">
        <v>78</v>
      </c>
      <c r="L53" s="171"/>
      <c r="M53" s="171"/>
      <c r="N53" s="318" t="str">
        <f ca="1">"제 " &amp; Z53 &amp; " 호표  "&amp; OFFSET($A$1,MATCH(Z53,$A:$A,0)-1,1)</f>
        <v>제 3 호표  2.2. 조서,도면작성</v>
      </c>
      <c r="O53" s="221"/>
      <c r="P53" s="148"/>
      <c r="Q53" s="148"/>
      <c r="R53" s="149"/>
      <c r="S53" s="149"/>
      <c r="T53" s="149"/>
      <c r="U53" s="149"/>
      <c r="V53" s="149"/>
      <c r="W53" s="149"/>
      <c r="X53" s="149"/>
      <c r="Y53" s="149"/>
      <c r="Z53" s="325">
        <f>Z45+1</f>
        <v>3</v>
      </c>
    </row>
    <row r="54" spans="11:26" ht="18" customHeight="1">
      <c r="K54" s="171" t="s">
        <v>78</v>
      </c>
      <c r="L54" s="171"/>
      <c r="M54" s="171"/>
      <c r="N54" s="140" t="s">
        <v>43</v>
      </c>
      <c r="O54" s="172">
        <v>3</v>
      </c>
      <c r="P54" s="219">
        <f ca="1">OFFSET($A$1,MATCH(Z53,$A:$A,0)-1,O54)</f>
        <v>0</v>
      </c>
      <c r="Q54" s="141" t="s">
        <v>29</v>
      </c>
      <c r="R54" s="142">
        <f t="shared" ref="R54:R59" ca="1" si="13">T54</f>
        <v>467217</v>
      </c>
      <c r="S54" s="142">
        <f t="shared" ref="S54:S59" ca="1" si="14">U54</f>
        <v>0</v>
      </c>
      <c r="T54" s="142">
        <f ca="1">기술사</f>
        <v>467217</v>
      </c>
      <c r="U54" s="142">
        <f t="shared" ref="U54:U59" ca="1" si="15">ROUNDDOWN(P54*R54,0)</f>
        <v>0</v>
      </c>
      <c r="V54" s="142"/>
      <c r="W54" s="142"/>
      <c r="X54" s="142"/>
      <c r="Y54" s="142"/>
      <c r="Z54" s="114"/>
    </row>
    <row r="55" spans="11:26" ht="18" customHeight="1">
      <c r="K55" s="171" t="s">
        <v>78</v>
      </c>
      <c r="L55" s="171"/>
      <c r="M55" s="171"/>
      <c r="N55" s="143" t="s">
        <v>32</v>
      </c>
      <c r="O55" s="173">
        <v>4</v>
      </c>
      <c r="P55" s="234">
        <f ca="1">OFFSET($A$1,MATCH(Z53,$A:$A,0)-1,O55)</f>
        <v>0</v>
      </c>
      <c r="Q55" s="144" t="s">
        <v>29</v>
      </c>
      <c r="R55" s="118">
        <f t="shared" ca="1" si="13"/>
        <v>373353</v>
      </c>
      <c r="S55" s="118">
        <f t="shared" ca="1" si="14"/>
        <v>0</v>
      </c>
      <c r="T55" s="118">
        <f ca="1">특급</f>
        <v>373353</v>
      </c>
      <c r="U55" s="118">
        <f t="shared" ca="1" si="15"/>
        <v>0</v>
      </c>
      <c r="V55" s="118"/>
      <c r="W55" s="118"/>
      <c r="X55" s="118"/>
      <c r="Y55" s="118"/>
      <c r="Z55" s="115"/>
    </row>
    <row r="56" spans="11:26" ht="18" customHeight="1">
      <c r="K56" s="171" t="s">
        <v>78</v>
      </c>
      <c r="L56" s="171"/>
      <c r="M56" s="171"/>
      <c r="N56" s="145" t="s">
        <v>39</v>
      </c>
      <c r="O56" s="173">
        <v>5</v>
      </c>
      <c r="P56" s="234">
        <f ca="1">OFFSET($A$1,MATCH(Z53,$A:$A,0)-1,O56)</f>
        <v>1</v>
      </c>
      <c r="Q56" s="144" t="s">
        <v>29</v>
      </c>
      <c r="R56" s="118">
        <f t="shared" ca="1" si="13"/>
        <v>310884</v>
      </c>
      <c r="S56" s="118">
        <f t="shared" ca="1" si="14"/>
        <v>310884</v>
      </c>
      <c r="T56" s="118">
        <f ca="1">고급</f>
        <v>310884</v>
      </c>
      <c r="U56" s="118">
        <f t="shared" ca="1" si="15"/>
        <v>310884</v>
      </c>
      <c r="V56" s="118"/>
      <c r="W56" s="118"/>
      <c r="X56" s="118"/>
      <c r="Y56" s="118"/>
      <c r="Z56" s="115"/>
    </row>
    <row r="57" spans="11:26" ht="18" customHeight="1">
      <c r="K57" s="171" t="s">
        <v>78</v>
      </c>
      <c r="L57" s="171"/>
      <c r="M57" s="171"/>
      <c r="N57" s="145" t="s">
        <v>40</v>
      </c>
      <c r="O57" s="173">
        <v>6</v>
      </c>
      <c r="P57" s="234">
        <f ca="1">OFFSET($A$1,MATCH(Z53,$A:$A,0)-1,O57)</f>
        <v>2</v>
      </c>
      <c r="Q57" s="144" t="s">
        <v>29</v>
      </c>
      <c r="R57" s="118">
        <f t="shared" ca="1" si="13"/>
        <v>295138</v>
      </c>
      <c r="S57" s="118">
        <f t="shared" ca="1" si="14"/>
        <v>590276</v>
      </c>
      <c r="T57" s="118">
        <f ca="1">중급</f>
        <v>295138</v>
      </c>
      <c r="U57" s="118">
        <f t="shared" ca="1" si="15"/>
        <v>590276</v>
      </c>
      <c r="V57" s="118"/>
      <c r="W57" s="118"/>
      <c r="X57" s="118"/>
      <c r="Y57" s="118"/>
      <c r="Z57" s="115"/>
    </row>
    <row r="58" spans="11:26" ht="18" customHeight="1">
      <c r="K58" s="171" t="s">
        <v>78</v>
      </c>
      <c r="L58" s="171"/>
      <c r="M58" s="171"/>
      <c r="N58" s="145" t="s">
        <v>41</v>
      </c>
      <c r="O58" s="173">
        <v>7</v>
      </c>
      <c r="P58" s="234">
        <f ca="1">OFFSET($A$1,MATCH(Z53,$A:$A,0)-1,O58)</f>
        <v>3</v>
      </c>
      <c r="Q58" s="144" t="s">
        <v>29</v>
      </c>
      <c r="R58" s="118">
        <f t="shared" ca="1" si="13"/>
        <v>235459</v>
      </c>
      <c r="S58" s="118">
        <f t="shared" ca="1" si="14"/>
        <v>706377</v>
      </c>
      <c r="T58" s="118">
        <f ca="1">초급</f>
        <v>235459</v>
      </c>
      <c r="U58" s="118">
        <f t="shared" ca="1" si="15"/>
        <v>706377</v>
      </c>
      <c r="V58" s="118"/>
      <c r="W58" s="118"/>
      <c r="X58" s="118"/>
      <c r="Y58" s="118"/>
      <c r="Z58" s="115"/>
    </row>
    <row r="59" spans="11:26" ht="18" customHeight="1">
      <c r="K59" s="171" t="s">
        <v>78</v>
      </c>
      <c r="L59" s="171"/>
      <c r="M59" s="171"/>
      <c r="N59" s="319" t="s">
        <v>42</v>
      </c>
      <c r="O59" s="174">
        <v>8</v>
      </c>
      <c r="P59" s="235">
        <f ca="1">OFFSET($A$1,MATCH(Z53,$A:$A,0)-1,O59)</f>
        <v>4</v>
      </c>
      <c r="Q59" s="322" t="s">
        <v>29</v>
      </c>
      <c r="R59" s="323">
        <f t="shared" ca="1" si="13"/>
        <v>250087</v>
      </c>
      <c r="S59" s="323">
        <f t="shared" ca="1" si="14"/>
        <v>1000348</v>
      </c>
      <c r="T59" s="323">
        <f ca="1">보조원</f>
        <v>250087</v>
      </c>
      <c r="U59" s="323">
        <f t="shared" ca="1" si="15"/>
        <v>1000348</v>
      </c>
      <c r="V59" s="323"/>
      <c r="W59" s="323"/>
      <c r="X59" s="323"/>
      <c r="Y59" s="323"/>
      <c r="Z59" s="324"/>
    </row>
    <row r="60" spans="11:26" ht="18" customHeight="1">
      <c r="K60" s="171" t="s">
        <v>78</v>
      </c>
      <c r="L60" s="171"/>
      <c r="M60" s="171"/>
      <c r="N60" s="139" t="s">
        <v>115</v>
      </c>
      <c r="O60" s="68"/>
      <c r="P60" s="69"/>
      <c r="Q60" s="70"/>
      <c r="R60" s="71"/>
      <c r="S60" s="71">
        <f ca="1">SUBTOTAL(9,S54:S59)</f>
        <v>2607885</v>
      </c>
      <c r="T60" s="71"/>
      <c r="U60" s="71">
        <f ca="1">SUBTOTAL(9,U54:U59)</f>
        <v>2607885</v>
      </c>
      <c r="V60" s="71"/>
      <c r="W60" s="71"/>
      <c r="X60" s="71"/>
      <c r="Y60" s="71"/>
      <c r="Z60" s="68"/>
    </row>
    <row r="61" spans="11:26" ht="18" customHeight="1">
      <c r="K61" s="171" t="s">
        <v>78</v>
      </c>
      <c r="L61" s="171"/>
      <c r="M61" s="171"/>
      <c r="N61" s="318" t="str">
        <f ca="1">"제 " &amp; Z61 &amp; " 호표  "&amp; OFFSET($A$1,MATCH(Z61,$A:$A,0)-1,1)</f>
        <v>제 4 호표  2.3. 검토정리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f>Z53+1</f>
        <v>4</v>
      </c>
    </row>
    <row r="62" spans="11:26" ht="18" customHeight="1">
      <c r="K62" s="171" t="s">
        <v>78</v>
      </c>
      <c r="L62" s="171"/>
      <c r="M62" s="171"/>
      <c r="N62" s="140" t="s">
        <v>43</v>
      </c>
      <c r="O62" s="172">
        <v>3</v>
      </c>
      <c r="P62" s="219">
        <f ca="1">OFFSET($A$1,MATCH(Z61,$A:$A,0)-1,O62)</f>
        <v>0.2</v>
      </c>
      <c r="Q62" s="141" t="s">
        <v>29</v>
      </c>
      <c r="R62" s="142">
        <f t="shared" ref="R62:R67" ca="1" si="16">T62</f>
        <v>467217</v>
      </c>
      <c r="S62" s="142">
        <f t="shared" ref="S62:S67" ca="1" si="17">U62</f>
        <v>93443</v>
      </c>
      <c r="T62" s="142">
        <f ca="1">기술사</f>
        <v>467217</v>
      </c>
      <c r="U62" s="142">
        <f t="shared" ref="U62:U67" ca="1" si="18">ROUNDDOWN(P62*R62,0)</f>
        <v>93443</v>
      </c>
      <c r="V62" s="142"/>
      <c r="W62" s="142"/>
      <c r="X62" s="142"/>
      <c r="Y62" s="142"/>
      <c r="Z62" s="114"/>
    </row>
    <row r="63" spans="11:26" ht="18" customHeight="1">
      <c r="K63" s="171" t="s">
        <v>78</v>
      </c>
      <c r="L63" s="171"/>
      <c r="M63" s="171"/>
      <c r="N63" s="143" t="s">
        <v>32</v>
      </c>
      <c r="O63" s="173">
        <v>4</v>
      </c>
      <c r="P63" s="234">
        <f ca="1">OFFSET($A$1,MATCH(Z61,$A:$A,0)-1,O63)</f>
        <v>0.4</v>
      </c>
      <c r="Q63" s="144" t="s">
        <v>29</v>
      </c>
      <c r="R63" s="118">
        <f t="shared" ca="1" si="16"/>
        <v>373353</v>
      </c>
      <c r="S63" s="118">
        <f t="shared" ca="1" si="17"/>
        <v>149341</v>
      </c>
      <c r="T63" s="118">
        <f ca="1">특급</f>
        <v>373353</v>
      </c>
      <c r="U63" s="118">
        <f t="shared" ca="1" si="18"/>
        <v>149341</v>
      </c>
      <c r="V63" s="118"/>
      <c r="W63" s="118"/>
      <c r="X63" s="118"/>
      <c r="Y63" s="118"/>
      <c r="Z63" s="115"/>
    </row>
    <row r="64" spans="11:26" ht="18" customHeight="1">
      <c r="K64" s="171" t="s">
        <v>78</v>
      </c>
      <c r="L64" s="171"/>
      <c r="M64" s="171"/>
      <c r="N64" s="145" t="s">
        <v>39</v>
      </c>
      <c r="O64" s="173">
        <v>5</v>
      </c>
      <c r="P64" s="234">
        <f ca="1">OFFSET($A$1,MATCH(Z61,$A:$A,0)-1,O64)</f>
        <v>1</v>
      </c>
      <c r="Q64" s="144" t="s">
        <v>29</v>
      </c>
      <c r="R64" s="118">
        <f t="shared" ca="1" si="16"/>
        <v>310884</v>
      </c>
      <c r="S64" s="118">
        <f t="shared" ca="1" si="17"/>
        <v>310884</v>
      </c>
      <c r="T64" s="118">
        <f ca="1">고급</f>
        <v>310884</v>
      </c>
      <c r="U64" s="118">
        <f t="shared" ca="1" si="18"/>
        <v>310884</v>
      </c>
      <c r="V64" s="118"/>
      <c r="W64" s="118"/>
      <c r="X64" s="118"/>
      <c r="Y64" s="118"/>
      <c r="Z64" s="115"/>
    </row>
    <row r="65" spans="11:26" ht="18" customHeight="1">
      <c r="K65" s="171" t="s">
        <v>78</v>
      </c>
      <c r="L65" s="171"/>
      <c r="M65" s="171"/>
      <c r="N65" s="145" t="s">
        <v>40</v>
      </c>
      <c r="O65" s="173">
        <v>6</v>
      </c>
      <c r="P65" s="234">
        <f ca="1">OFFSET($A$1,MATCH(Z61,$A:$A,0)-1,O65)</f>
        <v>1</v>
      </c>
      <c r="Q65" s="144" t="s">
        <v>29</v>
      </c>
      <c r="R65" s="118">
        <f t="shared" ca="1" si="16"/>
        <v>295138</v>
      </c>
      <c r="S65" s="118">
        <f t="shared" ca="1" si="17"/>
        <v>295138</v>
      </c>
      <c r="T65" s="118">
        <f ca="1">중급</f>
        <v>295138</v>
      </c>
      <c r="U65" s="118">
        <f t="shared" ca="1" si="18"/>
        <v>295138</v>
      </c>
      <c r="V65" s="118"/>
      <c r="W65" s="118"/>
      <c r="X65" s="118"/>
      <c r="Y65" s="118"/>
      <c r="Z65" s="115"/>
    </row>
    <row r="66" spans="11:26" ht="18" customHeight="1">
      <c r="K66" s="171" t="s">
        <v>78</v>
      </c>
      <c r="L66" s="171"/>
      <c r="M66" s="171"/>
      <c r="N66" s="145" t="s">
        <v>41</v>
      </c>
      <c r="O66" s="173">
        <v>7</v>
      </c>
      <c r="P66" s="234">
        <f ca="1">OFFSET($A$1,MATCH(Z61,$A:$A,0)-1,O66)</f>
        <v>0</v>
      </c>
      <c r="Q66" s="144" t="s">
        <v>29</v>
      </c>
      <c r="R66" s="118">
        <f t="shared" ca="1" si="16"/>
        <v>235459</v>
      </c>
      <c r="S66" s="118">
        <f t="shared" ca="1" si="17"/>
        <v>0</v>
      </c>
      <c r="T66" s="118">
        <f ca="1">초급</f>
        <v>235459</v>
      </c>
      <c r="U66" s="118">
        <f t="shared" ca="1" si="18"/>
        <v>0</v>
      </c>
      <c r="V66" s="118"/>
      <c r="W66" s="118"/>
      <c r="X66" s="118"/>
      <c r="Y66" s="118"/>
      <c r="Z66" s="115"/>
    </row>
    <row r="67" spans="11:26" ht="18" customHeight="1">
      <c r="K67" s="171" t="s">
        <v>78</v>
      </c>
      <c r="L67" s="171"/>
      <c r="M67" s="171"/>
      <c r="N67" s="319" t="s">
        <v>42</v>
      </c>
      <c r="O67" s="174">
        <v>8</v>
      </c>
      <c r="P67" s="235">
        <f ca="1">OFFSET($A$1,MATCH(Z61,$A:$A,0)-1,O67)</f>
        <v>0</v>
      </c>
      <c r="Q67" s="322" t="s">
        <v>29</v>
      </c>
      <c r="R67" s="323">
        <f t="shared" ca="1" si="16"/>
        <v>250087</v>
      </c>
      <c r="S67" s="323">
        <f t="shared" ca="1" si="17"/>
        <v>0</v>
      </c>
      <c r="T67" s="323">
        <f ca="1">보조원</f>
        <v>250087</v>
      </c>
      <c r="U67" s="323">
        <f t="shared" ca="1" si="18"/>
        <v>0</v>
      </c>
      <c r="V67" s="323"/>
      <c r="W67" s="323"/>
      <c r="X67" s="323"/>
      <c r="Y67" s="323"/>
      <c r="Z67" s="324"/>
    </row>
    <row r="68" spans="11:26" ht="18" customHeight="1">
      <c r="K68" s="171" t="s">
        <v>78</v>
      </c>
      <c r="L68" s="171"/>
      <c r="M68" s="171"/>
      <c r="N68" s="139" t="s">
        <v>115</v>
      </c>
      <c r="O68" s="68"/>
      <c r="P68" s="69"/>
      <c r="Q68" s="70"/>
      <c r="R68" s="71"/>
      <c r="S68" s="71">
        <f ca="1">SUBTOTAL(9,S62:S67)</f>
        <v>848806</v>
      </c>
      <c r="T68" s="71"/>
      <c r="U68" s="71">
        <f ca="1">SUBTOTAL(9,U62:U67)</f>
        <v>848806</v>
      </c>
      <c r="V68" s="71"/>
      <c r="W68" s="71"/>
      <c r="X68" s="71"/>
      <c r="Y68" s="71"/>
      <c r="Z68" s="68"/>
    </row>
    <row r="69" spans="11:26" ht="18" customHeight="1">
      <c r="K69" s="171" t="s">
        <v>78</v>
      </c>
      <c r="L69" s="171"/>
      <c r="M69" s="171"/>
      <c r="N69" s="318" t="str">
        <f ca="1">"제 " &amp; Z69 &amp; " 호표  "&amp; OFFSET($A$1,MATCH(Z69,$A:$A,0)-1,1)</f>
        <v>제 5 호표  3.1. 토지이용계획확인서 도면작성(KRAS등재)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5</v>
      </c>
    </row>
    <row r="70" spans="11:26" ht="18" customHeight="1">
      <c r="K70" s="171" t="s">
        <v>78</v>
      </c>
      <c r="L70" s="171"/>
      <c r="M70" s="171"/>
      <c r="N70" s="140" t="s">
        <v>43</v>
      </c>
      <c r="O70" s="172">
        <v>3</v>
      </c>
      <c r="P70" s="219">
        <f ca="1">OFFSET($A$1,MATCH(Z69,$A:$A,0)-1,O70)</f>
        <v>0.2</v>
      </c>
      <c r="Q70" s="141" t="s">
        <v>29</v>
      </c>
      <c r="R70" s="142">
        <f t="shared" ref="R70:R75" ca="1" si="19">T70</f>
        <v>467217</v>
      </c>
      <c r="S70" s="142">
        <f t="shared" ref="S70:S75" ca="1" si="20">U70</f>
        <v>93443</v>
      </c>
      <c r="T70" s="142">
        <f ca="1">기술사</f>
        <v>467217</v>
      </c>
      <c r="U70" s="142">
        <f t="shared" ref="U70:U75" ca="1" si="21">ROUNDDOWN(P70*R70,0)</f>
        <v>93443</v>
      </c>
      <c r="V70" s="142"/>
      <c r="W70" s="142"/>
      <c r="X70" s="142"/>
      <c r="Y70" s="142"/>
      <c r="Z70" s="114"/>
    </row>
    <row r="71" spans="11:26" ht="18" customHeight="1">
      <c r="K71" s="171" t="s">
        <v>78</v>
      </c>
      <c r="L71" s="171"/>
      <c r="M71" s="171"/>
      <c r="N71" s="143" t="s">
        <v>32</v>
      </c>
      <c r="O71" s="173">
        <v>4</v>
      </c>
      <c r="P71" s="234">
        <f ca="1">OFFSET($A$1,MATCH(Z69,$A:$A,0)-1,O71)</f>
        <v>0.4</v>
      </c>
      <c r="Q71" s="144" t="s">
        <v>29</v>
      </c>
      <c r="R71" s="118">
        <f t="shared" ca="1" si="19"/>
        <v>373353</v>
      </c>
      <c r="S71" s="118">
        <f t="shared" ca="1" si="20"/>
        <v>149341</v>
      </c>
      <c r="T71" s="118">
        <f ca="1">특급</f>
        <v>373353</v>
      </c>
      <c r="U71" s="118">
        <f t="shared" ca="1" si="21"/>
        <v>149341</v>
      </c>
      <c r="V71" s="118"/>
      <c r="W71" s="118"/>
      <c r="X71" s="118"/>
      <c r="Y71" s="118"/>
      <c r="Z71" s="115"/>
    </row>
    <row r="72" spans="11:26" ht="18" customHeight="1">
      <c r="K72" s="171" t="s">
        <v>78</v>
      </c>
      <c r="L72" s="171"/>
      <c r="M72" s="171"/>
      <c r="N72" s="145" t="s">
        <v>39</v>
      </c>
      <c r="O72" s="173">
        <v>5</v>
      </c>
      <c r="P72" s="234">
        <f ca="1">OFFSET($A$1,MATCH(Z69,$A:$A,0)-1,O72)</f>
        <v>1</v>
      </c>
      <c r="Q72" s="144" t="s">
        <v>29</v>
      </c>
      <c r="R72" s="118">
        <f t="shared" ca="1" si="19"/>
        <v>310884</v>
      </c>
      <c r="S72" s="118">
        <f t="shared" ca="1" si="20"/>
        <v>310884</v>
      </c>
      <c r="T72" s="118">
        <f ca="1">고급</f>
        <v>310884</v>
      </c>
      <c r="U72" s="118">
        <f t="shared" ca="1" si="21"/>
        <v>310884</v>
      </c>
      <c r="V72" s="118"/>
      <c r="W72" s="118"/>
      <c r="X72" s="118"/>
      <c r="Y72" s="118"/>
      <c r="Z72" s="115"/>
    </row>
    <row r="73" spans="11:26" ht="18" customHeight="1">
      <c r="K73" s="171" t="s">
        <v>78</v>
      </c>
      <c r="L73" s="171"/>
      <c r="M73" s="171"/>
      <c r="N73" s="145" t="s">
        <v>40</v>
      </c>
      <c r="O73" s="173">
        <v>6</v>
      </c>
      <c r="P73" s="234">
        <f ca="1">OFFSET($A$1,MATCH(Z69,$A:$A,0)-1,O73)</f>
        <v>2</v>
      </c>
      <c r="Q73" s="144" t="s">
        <v>29</v>
      </c>
      <c r="R73" s="118">
        <f t="shared" ca="1" si="19"/>
        <v>295138</v>
      </c>
      <c r="S73" s="118">
        <f t="shared" ca="1" si="20"/>
        <v>590276</v>
      </c>
      <c r="T73" s="118">
        <f ca="1">중급</f>
        <v>295138</v>
      </c>
      <c r="U73" s="118">
        <f t="shared" ca="1" si="21"/>
        <v>590276</v>
      </c>
      <c r="V73" s="118"/>
      <c r="W73" s="118"/>
      <c r="X73" s="118"/>
      <c r="Y73" s="118"/>
      <c r="Z73" s="115"/>
    </row>
    <row r="74" spans="11:26" ht="18" customHeight="1">
      <c r="K74" s="171" t="s">
        <v>78</v>
      </c>
      <c r="L74" s="171"/>
      <c r="M74" s="171"/>
      <c r="N74" s="145" t="s">
        <v>41</v>
      </c>
      <c r="O74" s="173">
        <v>7</v>
      </c>
      <c r="P74" s="234">
        <f ca="1">OFFSET($A$1,MATCH(Z69,$A:$A,0)-1,O74)</f>
        <v>3</v>
      </c>
      <c r="Q74" s="144" t="s">
        <v>29</v>
      </c>
      <c r="R74" s="118">
        <f t="shared" ca="1" si="19"/>
        <v>235459</v>
      </c>
      <c r="S74" s="118">
        <f t="shared" ca="1" si="20"/>
        <v>706377</v>
      </c>
      <c r="T74" s="118">
        <f ca="1">초급</f>
        <v>235459</v>
      </c>
      <c r="U74" s="118">
        <f t="shared" ca="1" si="21"/>
        <v>706377</v>
      </c>
      <c r="V74" s="118"/>
      <c r="W74" s="118"/>
      <c r="X74" s="118"/>
      <c r="Y74" s="118"/>
      <c r="Z74" s="115"/>
    </row>
    <row r="75" spans="11:26" ht="18" customHeight="1">
      <c r="K75" s="171" t="s">
        <v>78</v>
      </c>
      <c r="L75" s="171"/>
      <c r="M75" s="171"/>
      <c r="N75" s="319" t="s">
        <v>42</v>
      </c>
      <c r="O75" s="174">
        <v>8</v>
      </c>
      <c r="P75" s="235">
        <f ca="1">OFFSET($A$1,MATCH(Z69,$A:$A,0)-1,O75)</f>
        <v>4</v>
      </c>
      <c r="Q75" s="322" t="s">
        <v>29</v>
      </c>
      <c r="R75" s="323">
        <f t="shared" ca="1" si="19"/>
        <v>250087</v>
      </c>
      <c r="S75" s="323">
        <f t="shared" ca="1" si="20"/>
        <v>1000348</v>
      </c>
      <c r="T75" s="323">
        <f ca="1">보조원</f>
        <v>250087</v>
      </c>
      <c r="U75" s="323">
        <f t="shared" ca="1" si="21"/>
        <v>1000348</v>
      </c>
      <c r="V75" s="323"/>
      <c r="W75" s="323"/>
      <c r="X75" s="323"/>
      <c r="Y75" s="323"/>
      <c r="Z75" s="324"/>
    </row>
    <row r="76" spans="11:26" ht="18" customHeight="1">
      <c r="K76" s="171" t="s">
        <v>78</v>
      </c>
      <c r="L76" s="171"/>
      <c r="M76" s="171"/>
      <c r="N76" s="139" t="s">
        <v>115</v>
      </c>
      <c r="O76" s="68"/>
      <c r="P76" s="69"/>
      <c r="Q76" s="70"/>
      <c r="R76" s="71"/>
      <c r="S76" s="71">
        <f ca="1">SUBTOTAL(9,S70:S75)</f>
        <v>2850669</v>
      </c>
      <c r="T76" s="71"/>
      <c r="U76" s="71">
        <f ca="1">SUBTOTAL(9,U70:U75)</f>
        <v>2850669</v>
      </c>
      <c r="V76" s="71"/>
      <c r="W76" s="71"/>
      <c r="X76" s="71"/>
      <c r="Y76" s="71"/>
      <c r="Z76" s="68"/>
    </row>
    <row r="77" spans="11:26" ht="18" customHeight="1">
      <c r="K77" s="171" t="s">
        <v>78</v>
      </c>
      <c r="L77" s="171"/>
      <c r="M77" s="171"/>
    </row>
    <row r="78" spans="11:26" ht="18" customHeight="1">
      <c r="K78" s="171" t="s">
        <v>78</v>
      </c>
      <c r="L78" s="171"/>
      <c r="M78" s="171"/>
    </row>
    <row r="79" spans="11:26" ht="18" customHeight="1">
      <c r="K79" s="171" t="s">
        <v>78</v>
      </c>
      <c r="L79" s="171"/>
      <c r="M79" s="171"/>
    </row>
    <row r="80" spans="11:26" ht="18" customHeight="1">
      <c r="K80" s="171" t="s">
        <v>78</v>
      </c>
      <c r="L80" s="171"/>
      <c r="M80" s="171"/>
    </row>
    <row r="81" spans="11:13" ht="18" customHeight="1">
      <c r="K81" s="171" t="s">
        <v>78</v>
      </c>
      <c r="L81" s="171"/>
      <c r="M81" s="171"/>
    </row>
    <row r="82" spans="11:13" ht="18" customHeight="1">
      <c r="K82" s="171" t="s">
        <v>78</v>
      </c>
      <c r="L82" s="171"/>
      <c r="M82" s="171"/>
    </row>
    <row r="83" spans="11:13" ht="18" customHeight="1">
      <c r="K83" s="171" t="s">
        <v>78</v>
      </c>
      <c r="L83" s="171"/>
      <c r="M83" s="171"/>
    </row>
    <row r="84" spans="11:13" ht="18" customHeight="1">
      <c r="K84" s="171" t="s">
        <v>78</v>
      </c>
      <c r="L84" s="171"/>
      <c r="M84" s="171"/>
    </row>
    <row r="85" spans="11:13" ht="18" customHeight="1">
      <c r="K85" s="171" t="s">
        <v>78</v>
      </c>
      <c r="L85" s="171"/>
      <c r="M85" s="171"/>
    </row>
    <row r="86" spans="11:13" ht="18" customHeight="1">
      <c r="K86" s="171" t="s">
        <v>78</v>
      </c>
      <c r="L86" s="171"/>
      <c r="M86" s="171"/>
    </row>
    <row r="87" spans="11:13" ht="18" customHeight="1">
      <c r="K87" s="171" t="s">
        <v>78</v>
      </c>
      <c r="L87" s="171"/>
      <c r="M87" s="171"/>
    </row>
    <row r="88" spans="11:13" ht="18" customHeight="1">
      <c r="K88" s="171" t="s">
        <v>78</v>
      </c>
      <c r="L88" s="171"/>
      <c r="M88" s="171"/>
    </row>
    <row r="89" spans="11:13" ht="18" customHeight="1">
      <c r="K89" s="171" t="s">
        <v>78</v>
      </c>
      <c r="L89" s="171"/>
      <c r="M89" s="171"/>
    </row>
    <row r="90" spans="11:13" ht="18" customHeight="1">
      <c r="K90" s="171" t="s">
        <v>78</v>
      </c>
      <c r="L90" s="171"/>
      <c r="M90" s="171"/>
    </row>
    <row r="91" spans="11:13" ht="18" customHeight="1">
      <c r="K91" s="171" t="s">
        <v>78</v>
      </c>
      <c r="L91" s="171"/>
      <c r="M91" s="171"/>
    </row>
    <row r="92" spans="11:13" ht="18" customHeight="1">
      <c r="K92" s="171" t="s">
        <v>78</v>
      </c>
      <c r="L92" s="171"/>
      <c r="M92" s="171"/>
    </row>
    <row r="93" spans="11:13" ht="18" customHeight="1">
      <c r="K93" s="171" t="s">
        <v>78</v>
      </c>
      <c r="L93" s="171"/>
      <c r="M93" s="171"/>
    </row>
    <row r="94" spans="11:13" ht="18" customHeight="1">
      <c r="K94" s="171" t="s">
        <v>78</v>
      </c>
      <c r="L94" s="171"/>
      <c r="M94" s="171"/>
    </row>
    <row r="95" spans="11:13" ht="18" customHeight="1">
      <c r="K95" s="171" t="s">
        <v>78</v>
      </c>
      <c r="L95" s="171"/>
      <c r="M95" s="171"/>
    </row>
    <row r="96" spans="11:13" ht="18" customHeight="1">
      <c r="K96" s="171" t="s">
        <v>78</v>
      </c>
      <c r="L96" s="171"/>
      <c r="M96" s="171"/>
    </row>
    <row r="97" spans="11:13" ht="18" customHeight="1">
      <c r="K97" s="171" t="s">
        <v>78</v>
      </c>
      <c r="L97" s="171"/>
      <c r="M97" s="171"/>
    </row>
    <row r="98" spans="11:13" ht="18" customHeight="1">
      <c r="K98" s="171" t="s">
        <v>78</v>
      </c>
      <c r="L98" s="171"/>
      <c r="M98" s="171"/>
    </row>
    <row r="99" spans="11:13" ht="18" customHeight="1">
      <c r="K99" s="171" t="s">
        <v>78</v>
      </c>
      <c r="L99" s="171"/>
      <c r="M99" s="171"/>
    </row>
    <row r="100" spans="11:13" ht="18" customHeight="1">
      <c r="K100" s="171" t="s">
        <v>78</v>
      </c>
      <c r="L100" s="171"/>
      <c r="M100" s="171"/>
    </row>
    <row r="101" spans="11:13" ht="18" customHeight="1">
      <c r="K101" s="171" t="s">
        <v>78</v>
      </c>
      <c r="L101" s="171"/>
      <c r="M101" s="171"/>
    </row>
    <row r="102" spans="11:13" ht="18" customHeight="1">
      <c r="K102" s="171" t="s">
        <v>78</v>
      </c>
      <c r="L102" s="171"/>
      <c r="M102" s="171"/>
    </row>
    <row r="103" spans="11:13" ht="18" customHeight="1">
      <c r="K103" s="171" t="s">
        <v>78</v>
      </c>
      <c r="L103" s="171"/>
      <c r="M103" s="171"/>
    </row>
    <row r="104" spans="11:13" ht="18" customHeight="1">
      <c r="K104" s="171" t="s">
        <v>78</v>
      </c>
      <c r="L104" s="171"/>
      <c r="M104" s="171"/>
    </row>
    <row r="105" spans="11:13" ht="18" customHeight="1">
      <c r="K105" s="171" t="s">
        <v>78</v>
      </c>
      <c r="L105" s="171"/>
      <c r="M105" s="171"/>
    </row>
    <row r="106" spans="11:13" ht="18" customHeight="1">
      <c r="K106" s="171" t="s">
        <v>78</v>
      </c>
      <c r="L106" s="171"/>
      <c r="M106" s="171"/>
    </row>
    <row r="107" spans="11:13" ht="18" customHeight="1">
      <c r="K107" s="171" t="s">
        <v>78</v>
      </c>
      <c r="L107" s="171"/>
      <c r="M107" s="171"/>
    </row>
    <row r="108" spans="11:13" ht="18" customHeight="1">
      <c r="K108" s="171" t="s">
        <v>78</v>
      </c>
      <c r="L108" s="171"/>
      <c r="M108" s="171"/>
    </row>
    <row r="109" spans="11:13" ht="18" customHeight="1">
      <c r="K109" s="171" t="s">
        <v>78</v>
      </c>
      <c r="L109" s="171"/>
      <c r="M109" s="171"/>
    </row>
    <row r="110" spans="11:13" ht="18" customHeight="1">
      <c r="K110" s="171" t="s">
        <v>78</v>
      </c>
      <c r="L110" s="171"/>
      <c r="M110" s="171"/>
    </row>
    <row r="111" spans="11:13" ht="18" customHeight="1">
      <c r="K111" s="171" t="s">
        <v>78</v>
      </c>
      <c r="L111" s="171"/>
      <c r="M111" s="171"/>
    </row>
    <row r="112" spans="11:13" ht="18" customHeight="1">
      <c r="K112" s="171" t="s">
        <v>78</v>
      </c>
      <c r="L112" s="171"/>
      <c r="M112" s="171"/>
    </row>
    <row r="113" spans="11:13" ht="18" customHeight="1">
      <c r="K113" s="171" t="s">
        <v>78</v>
      </c>
      <c r="L113" s="171"/>
      <c r="M113" s="171"/>
    </row>
    <row r="114" spans="11:13" ht="18" customHeight="1">
      <c r="K114" s="171" t="s">
        <v>78</v>
      </c>
      <c r="L114" s="171"/>
      <c r="M114" s="171"/>
    </row>
    <row r="115" spans="11:13" ht="18" customHeight="1">
      <c r="K115" s="171" t="s">
        <v>78</v>
      </c>
      <c r="L115" s="171"/>
      <c r="M115" s="171"/>
    </row>
    <row r="116" spans="11:13" ht="18" customHeight="1">
      <c r="K116" s="171" t="s">
        <v>78</v>
      </c>
      <c r="L116" s="171"/>
      <c r="M116" s="171"/>
    </row>
    <row r="117" spans="11:13" ht="18" customHeight="1">
      <c r="K117" s="171" t="s">
        <v>78</v>
      </c>
      <c r="L117" s="171"/>
      <c r="M117" s="171"/>
    </row>
    <row r="118" spans="11:13" ht="18" customHeight="1">
      <c r="K118" s="171" t="s">
        <v>78</v>
      </c>
      <c r="L118" s="171"/>
      <c r="M118" s="171"/>
    </row>
    <row r="119" spans="11:13" ht="18" customHeight="1">
      <c r="K119" s="171" t="s">
        <v>78</v>
      </c>
      <c r="L119" s="171"/>
      <c r="M119" s="171"/>
    </row>
    <row r="120" spans="11:13" ht="18" customHeight="1">
      <c r="K120" s="171" t="s">
        <v>78</v>
      </c>
      <c r="L120" s="171"/>
      <c r="M120" s="171"/>
    </row>
    <row r="121" spans="11:13" ht="18" customHeight="1">
      <c r="K121" s="171" t="s">
        <v>78</v>
      </c>
      <c r="L121" s="171"/>
      <c r="M121" s="171"/>
    </row>
    <row r="122" spans="11:13" ht="18" customHeight="1">
      <c r="K122" s="171" t="s">
        <v>78</v>
      </c>
      <c r="L122" s="171"/>
      <c r="M122" s="171"/>
    </row>
    <row r="123" spans="11:13" ht="18" customHeight="1">
      <c r="K123" s="171" t="s">
        <v>78</v>
      </c>
      <c r="L123" s="171"/>
      <c r="M123" s="171"/>
    </row>
    <row r="124" spans="11:13" ht="18" customHeight="1">
      <c r="K124" s="171" t="s">
        <v>78</v>
      </c>
      <c r="L124" s="171"/>
      <c r="M124" s="171"/>
    </row>
    <row r="125" spans="11:13" ht="18" customHeight="1">
      <c r="K125" s="171" t="s">
        <v>78</v>
      </c>
      <c r="L125" s="171"/>
      <c r="M125" s="171"/>
    </row>
    <row r="126" spans="11:13" ht="18" customHeight="1">
      <c r="K126" s="171" t="s">
        <v>78</v>
      </c>
      <c r="L126" s="171"/>
      <c r="M126" s="171"/>
    </row>
    <row r="127" spans="11:13" ht="18" customHeight="1">
      <c r="K127" s="171" t="s">
        <v>78</v>
      </c>
      <c r="L127" s="171"/>
      <c r="M127" s="171"/>
    </row>
    <row r="128" spans="11:13" ht="18" customHeight="1">
      <c r="K128" s="171" t="s">
        <v>78</v>
      </c>
      <c r="L128" s="171"/>
      <c r="M128" s="171"/>
    </row>
    <row r="129" spans="11:13" ht="18" customHeight="1">
      <c r="K129" s="171" t="s">
        <v>78</v>
      </c>
      <c r="L129" s="171"/>
      <c r="M129" s="171"/>
    </row>
    <row r="130" spans="11:13" ht="18" customHeight="1">
      <c r="K130" s="171" t="s">
        <v>78</v>
      </c>
      <c r="L130" s="171"/>
      <c r="M130" s="171"/>
    </row>
    <row r="131" spans="11:13" ht="18" customHeight="1">
      <c r="K131" s="171" t="s">
        <v>78</v>
      </c>
      <c r="L131" s="171"/>
      <c r="M131" s="171"/>
    </row>
    <row r="132" spans="11:13" ht="18" customHeight="1">
      <c r="K132" s="171" t="s">
        <v>78</v>
      </c>
      <c r="L132" s="171"/>
      <c r="M132" s="171"/>
    </row>
    <row r="133" spans="11:13" ht="18" customHeight="1">
      <c r="K133" s="171" t="s">
        <v>78</v>
      </c>
      <c r="L133" s="171"/>
      <c r="M133" s="171"/>
    </row>
    <row r="134" spans="11:13" ht="18" customHeight="1">
      <c r="K134" s="171" t="s">
        <v>78</v>
      </c>
      <c r="L134" s="171"/>
      <c r="M134" s="171"/>
    </row>
    <row r="135" spans="11:13" ht="18" customHeight="1">
      <c r="K135" s="171" t="s">
        <v>78</v>
      </c>
      <c r="L135" s="171"/>
      <c r="M135" s="171"/>
    </row>
    <row r="136" spans="11:13" ht="18" customHeight="1">
      <c r="K136" s="171" t="s">
        <v>78</v>
      </c>
      <c r="L136" s="171"/>
      <c r="M136" s="171"/>
    </row>
    <row r="137" spans="11:13" ht="18" customHeight="1">
      <c r="K137" s="171" t="s">
        <v>78</v>
      </c>
      <c r="L137" s="171"/>
      <c r="M137" s="171"/>
    </row>
    <row r="138" spans="11:13" ht="18" customHeight="1">
      <c r="K138" s="171" t="s">
        <v>78</v>
      </c>
      <c r="L138" s="171"/>
      <c r="M138" s="171"/>
    </row>
    <row r="139" spans="11:13" ht="18" customHeight="1">
      <c r="K139" s="171" t="s">
        <v>78</v>
      </c>
      <c r="L139" s="171"/>
      <c r="M139" s="171"/>
    </row>
    <row r="140" spans="11:13" ht="18" customHeight="1">
      <c r="K140" s="171" t="s">
        <v>78</v>
      </c>
      <c r="L140" s="171"/>
      <c r="M140" s="171"/>
    </row>
    <row r="141" spans="11:13" ht="18" customHeight="1">
      <c r="K141" s="171" t="s">
        <v>78</v>
      </c>
      <c r="L141" s="171"/>
      <c r="M141" s="171"/>
    </row>
    <row r="142" spans="11:13" ht="18" customHeight="1">
      <c r="K142" s="171" t="s">
        <v>78</v>
      </c>
      <c r="L142" s="171"/>
      <c r="M142" s="171"/>
    </row>
    <row r="143" spans="11:13" ht="18" customHeight="1">
      <c r="K143" s="171" t="s">
        <v>78</v>
      </c>
      <c r="L143" s="171"/>
      <c r="M143" s="171"/>
    </row>
    <row r="144" spans="11:13" ht="18" customHeight="1">
      <c r="K144" s="171" t="s">
        <v>78</v>
      </c>
      <c r="L144" s="171"/>
      <c r="M144" s="171"/>
    </row>
    <row r="145" spans="11:13" ht="18" customHeight="1">
      <c r="K145" s="171" t="s">
        <v>78</v>
      </c>
      <c r="L145" s="171"/>
      <c r="M145" s="171"/>
    </row>
    <row r="146" spans="11:13" ht="18" customHeight="1">
      <c r="K146" s="171" t="s">
        <v>78</v>
      </c>
      <c r="L146" s="171"/>
      <c r="M146" s="171"/>
    </row>
    <row r="147" spans="11:13" ht="18" customHeight="1">
      <c r="K147" s="171" t="s">
        <v>78</v>
      </c>
      <c r="L147" s="171"/>
      <c r="M147" s="171"/>
    </row>
    <row r="148" spans="11:13" ht="18" customHeight="1">
      <c r="K148" s="171" t="s">
        <v>78</v>
      </c>
      <c r="L148" s="171"/>
      <c r="M148" s="171"/>
    </row>
    <row r="149" spans="11:13" ht="18" customHeight="1">
      <c r="K149" s="171" t="s">
        <v>78</v>
      </c>
      <c r="L149" s="171"/>
      <c r="M149" s="171"/>
    </row>
    <row r="150" spans="11:13" ht="18" customHeight="1">
      <c r="K150" s="171" t="s">
        <v>78</v>
      </c>
      <c r="L150" s="171"/>
      <c r="M150" s="171"/>
    </row>
    <row r="151" spans="11:13" ht="18" customHeight="1">
      <c r="K151" s="171" t="s">
        <v>78</v>
      </c>
      <c r="L151" s="171"/>
      <c r="M151" s="171"/>
    </row>
    <row r="152" spans="11:13" ht="18" customHeight="1">
      <c r="K152" s="171" t="s">
        <v>78</v>
      </c>
      <c r="L152" s="171"/>
      <c r="M152" s="171"/>
    </row>
    <row r="153" spans="11:13" ht="18" customHeight="1">
      <c r="K153" s="171" t="s">
        <v>78</v>
      </c>
      <c r="L153" s="171"/>
      <c r="M153" s="171"/>
    </row>
    <row r="154" spans="11:13" ht="18" customHeight="1">
      <c r="K154" s="171" t="s">
        <v>78</v>
      </c>
      <c r="L154" s="171"/>
      <c r="M154" s="171"/>
    </row>
    <row r="155" spans="11:13" ht="18" customHeight="1">
      <c r="K155" s="171" t="s">
        <v>78</v>
      </c>
      <c r="L155" s="171"/>
      <c r="M155" s="171"/>
    </row>
    <row r="156" spans="11:13" ht="18" customHeight="1">
      <c r="K156" s="171" t="s">
        <v>78</v>
      </c>
      <c r="L156" s="171"/>
      <c r="M156" s="171"/>
    </row>
    <row r="157" spans="11:13" ht="18" customHeight="1">
      <c r="K157" s="171" t="s">
        <v>78</v>
      </c>
      <c r="L157" s="171"/>
      <c r="M157" s="171"/>
    </row>
    <row r="158" spans="11:13" ht="18" customHeight="1">
      <c r="K158" s="171" t="s">
        <v>78</v>
      </c>
      <c r="L158" s="171"/>
      <c r="M158" s="171"/>
    </row>
    <row r="159" spans="11:13" ht="18" customHeight="1">
      <c r="K159" s="171" t="s">
        <v>78</v>
      </c>
      <c r="L159" s="171"/>
      <c r="M159" s="171"/>
    </row>
    <row r="160" spans="11:13" ht="18" customHeight="1">
      <c r="K160" s="171" t="s">
        <v>78</v>
      </c>
      <c r="L160" s="171"/>
      <c r="M160" s="171"/>
    </row>
    <row r="161" spans="11:13" ht="18" customHeight="1">
      <c r="K161" s="171" t="s">
        <v>78</v>
      </c>
      <c r="L161" s="171"/>
      <c r="M161" s="171"/>
    </row>
    <row r="162" spans="11:13" ht="18" customHeight="1">
      <c r="K162" s="171" t="s">
        <v>78</v>
      </c>
      <c r="L162" s="171"/>
      <c r="M162" s="171"/>
    </row>
    <row r="163" spans="11:13" ht="18" customHeight="1">
      <c r="K163" s="171" t="s">
        <v>78</v>
      </c>
      <c r="L163" s="171"/>
      <c r="M163" s="171"/>
    </row>
    <row r="164" spans="11:13" ht="18" customHeight="1">
      <c r="K164" s="171" t="s">
        <v>78</v>
      </c>
      <c r="L164" s="171"/>
      <c r="M164" s="171"/>
    </row>
    <row r="165" spans="11:13" ht="18" customHeight="1">
      <c r="K165" s="171" t="s">
        <v>78</v>
      </c>
      <c r="L165" s="171"/>
      <c r="M165" s="171"/>
    </row>
    <row r="166" spans="11:13" ht="18" customHeight="1">
      <c r="K166" s="171" t="s">
        <v>78</v>
      </c>
      <c r="L166" s="171"/>
      <c r="M166" s="171"/>
    </row>
    <row r="167" spans="11:13" ht="18" customHeight="1">
      <c r="K167" s="171" t="s">
        <v>78</v>
      </c>
      <c r="L167" s="171"/>
      <c r="M167" s="171"/>
    </row>
    <row r="168" spans="11:13" ht="18" customHeight="1">
      <c r="K168" s="171" t="s">
        <v>78</v>
      </c>
      <c r="L168" s="171"/>
      <c r="M168" s="171"/>
    </row>
    <row r="169" spans="11:13" ht="18" customHeight="1">
      <c r="K169" s="171" t="s">
        <v>78</v>
      </c>
      <c r="L169" s="171"/>
      <c r="M169" s="171"/>
    </row>
    <row r="170" spans="11:13" ht="18" customHeight="1">
      <c r="K170" s="171" t="s">
        <v>78</v>
      </c>
      <c r="L170" s="171"/>
      <c r="M170" s="171"/>
    </row>
    <row r="171" spans="11:13" ht="18" customHeight="1">
      <c r="K171" s="171" t="s">
        <v>78</v>
      </c>
      <c r="L171" s="171"/>
      <c r="M171" s="171"/>
    </row>
    <row r="172" spans="11:13" ht="18" customHeight="1">
      <c r="K172" s="171" t="s">
        <v>78</v>
      </c>
      <c r="L172" s="171"/>
      <c r="M172" s="171"/>
    </row>
    <row r="173" spans="11:13" ht="18" customHeight="1">
      <c r="K173" s="171" t="s">
        <v>78</v>
      </c>
      <c r="L173" s="171"/>
      <c r="M173" s="171"/>
    </row>
    <row r="174" spans="11:13" ht="18" customHeight="1">
      <c r="K174" s="171" t="s">
        <v>78</v>
      </c>
      <c r="L174" s="171"/>
      <c r="M174" s="171"/>
    </row>
    <row r="175" spans="11:13" ht="18" customHeight="1">
      <c r="K175" s="171" t="s">
        <v>78</v>
      </c>
      <c r="L175" s="171"/>
      <c r="M175" s="171"/>
    </row>
    <row r="176" spans="11:13" ht="18" customHeight="1">
      <c r="K176" s="171" t="s">
        <v>78</v>
      </c>
      <c r="L176" s="171"/>
      <c r="M176" s="171"/>
    </row>
    <row r="177" spans="11:13" ht="18" customHeight="1">
      <c r="K177" s="171" t="s">
        <v>78</v>
      </c>
      <c r="L177" s="171"/>
      <c r="M177" s="171"/>
    </row>
    <row r="178" spans="11:13" ht="18" customHeight="1">
      <c r="K178" s="171" t="s">
        <v>78</v>
      </c>
      <c r="L178" s="171"/>
      <c r="M178" s="171"/>
    </row>
    <row r="179" spans="11:13" ht="18" customHeight="1">
      <c r="K179" s="171" t="s">
        <v>78</v>
      </c>
      <c r="L179" s="171"/>
      <c r="M179" s="171"/>
    </row>
    <row r="180" spans="11:13" ht="18" customHeight="1">
      <c r="K180" s="171" t="s">
        <v>78</v>
      </c>
      <c r="L180" s="171"/>
      <c r="M180" s="171"/>
    </row>
    <row r="181" spans="11:13" ht="18" customHeight="1">
      <c r="K181" s="171" t="s">
        <v>78</v>
      </c>
      <c r="L181" s="171"/>
      <c r="M181" s="171"/>
    </row>
    <row r="182" spans="11:13" ht="18" customHeight="1">
      <c r="K182" s="171" t="s">
        <v>78</v>
      </c>
      <c r="L182" s="171"/>
      <c r="M182" s="171"/>
    </row>
    <row r="183" spans="11:13" ht="18" customHeight="1">
      <c r="K183" s="171" t="s">
        <v>78</v>
      </c>
      <c r="L183" s="171"/>
      <c r="M183" s="171"/>
    </row>
    <row r="184" spans="11:13" ht="18" customHeight="1">
      <c r="K184" s="171" t="s">
        <v>78</v>
      </c>
      <c r="L184" s="171"/>
      <c r="M184" s="171"/>
    </row>
    <row r="185" spans="11:13" ht="18" customHeight="1">
      <c r="K185" s="171" t="s">
        <v>78</v>
      </c>
      <c r="L185" s="171"/>
      <c r="M185" s="171"/>
    </row>
    <row r="186" spans="11:13" ht="18" customHeight="1">
      <c r="K186" s="171" t="s">
        <v>78</v>
      </c>
      <c r="L186" s="171"/>
      <c r="M186" s="171"/>
    </row>
    <row r="187" spans="11:13" ht="18" customHeight="1">
      <c r="K187" s="171" t="s">
        <v>78</v>
      </c>
      <c r="L187" s="171"/>
      <c r="M187" s="171"/>
    </row>
    <row r="188" spans="11:13" ht="18" customHeight="1">
      <c r="K188" s="171" t="s">
        <v>78</v>
      </c>
      <c r="L188" s="171"/>
      <c r="M188" s="171"/>
    </row>
    <row r="189" spans="11:13" ht="18" customHeight="1">
      <c r="K189" s="171" t="s">
        <v>78</v>
      </c>
      <c r="L189" s="171"/>
      <c r="M189" s="171"/>
    </row>
    <row r="190" spans="11:13" ht="18" customHeight="1">
      <c r="K190" s="171" t="s">
        <v>78</v>
      </c>
      <c r="L190" s="171"/>
      <c r="M190" s="171"/>
    </row>
    <row r="191" spans="11:13" ht="18" customHeight="1">
      <c r="K191" s="171" t="s">
        <v>78</v>
      </c>
      <c r="L191" s="171"/>
      <c r="M191" s="171"/>
    </row>
    <row r="192" spans="11:13" ht="18" customHeight="1">
      <c r="K192" s="171" t="s">
        <v>78</v>
      </c>
      <c r="L192" s="171"/>
      <c r="M192" s="171"/>
    </row>
    <row r="193" spans="11:13" ht="18" customHeight="1">
      <c r="K193" s="171" t="s">
        <v>78</v>
      </c>
      <c r="L193" s="171"/>
      <c r="M193" s="171"/>
    </row>
    <row r="194" spans="11:13" ht="18" customHeight="1">
      <c r="K194" s="171" t="s">
        <v>78</v>
      </c>
      <c r="L194" s="171"/>
      <c r="M194" s="171"/>
    </row>
    <row r="195" spans="11:13" ht="18" customHeight="1">
      <c r="K195" s="171" t="s">
        <v>78</v>
      </c>
      <c r="L195" s="171"/>
      <c r="M195" s="171"/>
    </row>
    <row r="196" spans="11:13" ht="18" customHeight="1">
      <c r="K196" s="171" t="s">
        <v>78</v>
      </c>
      <c r="L196" s="171"/>
      <c r="M196" s="171"/>
    </row>
    <row r="197" spans="11:13" ht="18" customHeight="1">
      <c r="K197" s="171" t="s">
        <v>78</v>
      </c>
      <c r="L197" s="171"/>
      <c r="M197" s="171"/>
    </row>
    <row r="198" spans="11:13" ht="18" customHeight="1">
      <c r="K198" s="171" t="s">
        <v>78</v>
      </c>
      <c r="L198" s="171"/>
      <c r="M198" s="171"/>
    </row>
    <row r="199" spans="11:13" ht="18" customHeight="1">
      <c r="K199" s="171" t="s">
        <v>78</v>
      </c>
      <c r="L199" s="171"/>
      <c r="M199" s="171"/>
    </row>
    <row r="200" spans="11:13" ht="18" customHeight="1">
      <c r="K200" s="171" t="s">
        <v>78</v>
      </c>
      <c r="L200" s="171"/>
      <c r="M200" s="171"/>
    </row>
    <row r="201" spans="11:13" ht="18" customHeight="1">
      <c r="K201" s="171" t="s">
        <v>78</v>
      </c>
      <c r="L201" s="171"/>
      <c r="M201" s="171"/>
    </row>
    <row r="202" spans="11:13" ht="18" customHeight="1">
      <c r="K202" s="171" t="s">
        <v>78</v>
      </c>
      <c r="L202" s="171"/>
      <c r="M202" s="171"/>
    </row>
    <row r="203" spans="11:13" ht="18" customHeight="1">
      <c r="K203" s="171" t="s">
        <v>78</v>
      </c>
      <c r="L203" s="171"/>
      <c r="M203" s="171"/>
    </row>
    <row r="204" spans="11:13" ht="18" customHeight="1">
      <c r="K204" s="171" t="s">
        <v>78</v>
      </c>
      <c r="L204" s="171"/>
      <c r="M204" s="171"/>
    </row>
    <row r="205" spans="11:13" ht="18" customHeight="1">
      <c r="K205" s="171" t="s">
        <v>78</v>
      </c>
      <c r="L205" s="171"/>
      <c r="M205" s="171"/>
    </row>
    <row r="206" spans="11:13" ht="18" customHeight="1">
      <c r="K206" s="171" t="s">
        <v>78</v>
      </c>
      <c r="L206" s="171"/>
      <c r="M206" s="171"/>
    </row>
    <row r="207" spans="11:13" ht="18" customHeight="1">
      <c r="K207" s="171" t="s">
        <v>78</v>
      </c>
      <c r="L207" s="171"/>
      <c r="M207" s="171"/>
    </row>
    <row r="208" spans="11:13" ht="18" customHeight="1">
      <c r="K208" s="171" t="s">
        <v>78</v>
      </c>
      <c r="L208" s="171"/>
      <c r="M208" s="171"/>
    </row>
    <row r="209" spans="11:13" ht="18" customHeight="1">
      <c r="K209" s="171" t="s">
        <v>78</v>
      </c>
      <c r="L209" s="171"/>
      <c r="M209" s="171"/>
    </row>
    <row r="210" spans="11:13" ht="18" customHeight="1">
      <c r="K210" s="171" t="s">
        <v>78</v>
      </c>
      <c r="L210" s="171"/>
      <c r="M210" s="171"/>
    </row>
    <row r="211" spans="11:13" ht="18" customHeight="1">
      <c r="K211" s="171" t="s">
        <v>78</v>
      </c>
      <c r="L211" s="171"/>
      <c r="M211" s="171"/>
    </row>
    <row r="212" spans="11:13" ht="18" customHeight="1">
      <c r="K212" s="171" t="s">
        <v>78</v>
      </c>
      <c r="L212" s="171"/>
      <c r="M212" s="171"/>
    </row>
    <row r="213" spans="11:13" ht="18" customHeight="1">
      <c r="K213" s="171" t="s">
        <v>78</v>
      </c>
      <c r="L213" s="171"/>
      <c r="M213" s="171"/>
    </row>
    <row r="214" spans="11:13" ht="18" customHeight="1">
      <c r="K214" s="171" t="s">
        <v>78</v>
      </c>
      <c r="L214" s="171"/>
      <c r="M214" s="171"/>
    </row>
    <row r="215" spans="11:13" ht="18" customHeight="1">
      <c r="K215" s="171" t="s">
        <v>78</v>
      </c>
      <c r="L215" s="171"/>
      <c r="M215" s="171"/>
    </row>
    <row r="216" spans="11:13" ht="18" customHeight="1">
      <c r="K216" s="171" t="s">
        <v>78</v>
      </c>
      <c r="L216" s="171"/>
      <c r="M216" s="171"/>
    </row>
    <row r="217" spans="11:13" ht="18" customHeight="1">
      <c r="K217" s="171" t="s">
        <v>78</v>
      </c>
      <c r="L217" s="171"/>
      <c r="M217" s="171"/>
    </row>
    <row r="218" spans="11:13" ht="18" customHeight="1">
      <c r="K218" s="171" t="s">
        <v>78</v>
      </c>
      <c r="L218" s="171"/>
      <c r="M218" s="171"/>
    </row>
    <row r="219" spans="11:13" ht="18" customHeight="1">
      <c r="K219" s="171" t="s">
        <v>78</v>
      </c>
      <c r="L219" s="171"/>
      <c r="M219" s="171"/>
    </row>
    <row r="220" spans="11:13" ht="18" customHeight="1">
      <c r="K220" s="171" t="s">
        <v>78</v>
      </c>
      <c r="L220" s="171"/>
      <c r="M220" s="171"/>
    </row>
    <row r="221" spans="11:13" ht="18" customHeight="1">
      <c r="K221" s="171" t="s">
        <v>78</v>
      </c>
      <c r="L221" s="171"/>
      <c r="M221" s="171"/>
    </row>
    <row r="222" spans="11:13" ht="18" customHeight="1">
      <c r="K222" s="171" t="s">
        <v>78</v>
      </c>
      <c r="L222" s="171"/>
      <c r="M222" s="171"/>
    </row>
    <row r="223" spans="11:13" ht="18" customHeight="1">
      <c r="K223" s="171" t="s">
        <v>78</v>
      </c>
      <c r="L223" s="171"/>
      <c r="M223" s="171"/>
    </row>
    <row r="224" spans="11:13" ht="18" customHeight="1">
      <c r="K224" s="171" t="s">
        <v>78</v>
      </c>
      <c r="L224" s="171"/>
      <c r="M224" s="171"/>
    </row>
    <row r="225" spans="11:13" ht="18" customHeight="1">
      <c r="K225" s="171" t="s">
        <v>78</v>
      </c>
      <c r="L225" s="171"/>
      <c r="M225" s="171"/>
    </row>
    <row r="226" spans="11:13" ht="18" customHeight="1">
      <c r="K226" s="171" t="s">
        <v>78</v>
      </c>
      <c r="L226" s="171"/>
      <c r="M226" s="171"/>
    </row>
    <row r="227" spans="11:13" ht="18" customHeight="1">
      <c r="K227" s="171" t="s">
        <v>78</v>
      </c>
      <c r="L227" s="171"/>
      <c r="M227" s="171"/>
    </row>
    <row r="228" spans="11:13" ht="18" customHeight="1">
      <c r="K228" s="171" t="s">
        <v>78</v>
      </c>
      <c r="L228" s="171"/>
      <c r="M228" s="171"/>
    </row>
    <row r="229" spans="11:13" ht="18" customHeight="1">
      <c r="K229" s="171" t="s">
        <v>78</v>
      </c>
      <c r="L229" s="171"/>
      <c r="M229" s="171"/>
    </row>
    <row r="230" spans="11:13" ht="18" customHeight="1">
      <c r="K230" s="171" t="s">
        <v>78</v>
      </c>
      <c r="L230" s="171"/>
      <c r="M230" s="171"/>
    </row>
    <row r="231" spans="11:13" ht="18" customHeight="1">
      <c r="K231" s="171" t="s">
        <v>78</v>
      </c>
      <c r="L231" s="171"/>
      <c r="M231" s="171"/>
    </row>
    <row r="232" spans="11:13" ht="18" customHeight="1">
      <c r="K232" s="171" t="s">
        <v>78</v>
      </c>
      <c r="L232" s="171"/>
      <c r="M232" s="171"/>
    </row>
    <row r="233" spans="11:13" ht="18" customHeight="1">
      <c r="K233" s="171" t="s">
        <v>78</v>
      </c>
      <c r="L233" s="171"/>
      <c r="M233" s="171"/>
    </row>
    <row r="234" spans="11:13" ht="18" customHeight="1">
      <c r="K234" s="171" t="s">
        <v>78</v>
      </c>
      <c r="L234" s="171"/>
      <c r="M234" s="171"/>
    </row>
    <row r="235" spans="11:13" ht="18" customHeight="1">
      <c r="K235" s="171" t="s">
        <v>78</v>
      </c>
      <c r="L235" s="171"/>
      <c r="M235" s="171"/>
    </row>
    <row r="236" spans="11:13" ht="18" customHeight="1">
      <c r="K236" s="171" t="s">
        <v>78</v>
      </c>
      <c r="L236" s="171"/>
      <c r="M236" s="171"/>
    </row>
    <row r="237" spans="11:13" ht="18" customHeight="1">
      <c r="K237" s="171" t="s">
        <v>78</v>
      </c>
      <c r="L237" s="171"/>
      <c r="M237" s="171"/>
    </row>
    <row r="238" spans="11:13" ht="18" customHeight="1">
      <c r="K238" s="171" t="s">
        <v>78</v>
      </c>
      <c r="L238" s="171"/>
      <c r="M238" s="171"/>
    </row>
    <row r="239" spans="11:13" ht="18" customHeight="1">
      <c r="K239" s="171" t="s">
        <v>78</v>
      </c>
      <c r="L239" s="171"/>
      <c r="M239" s="171"/>
    </row>
    <row r="240" spans="11:13" ht="18" customHeight="1">
      <c r="K240" s="171" t="s">
        <v>78</v>
      </c>
      <c r="L240" s="171"/>
      <c r="M240" s="171"/>
    </row>
    <row r="241" spans="11:13" ht="18" customHeight="1">
      <c r="K241" s="171" t="s">
        <v>78</v>
      </c>
      <c r="L241" s="171"/>
      <c r="M241" s="171"/>
    </row>
    <row r="242" spans="11:13" ht="18" customHeight="1">
      <c r="K242" s="171" t="s">
        <v>78</v>
      </c>
      <c r="L242" s="171"/>
      <c r="M242" s="171"/>
    </row>
    <row r="243" spans="11:13" ht="18" customHeight="1">
      <c r="K243" s="171" t="s">
        <v>78</v>
      </c>
      <c r="L243" s="171"/>
      <c r="M243" s="171"/>
    </row>
    <row r="244" spans="11:13" ht="18" customHeight="1">
      <c r="K244" s="171" t="s">
        <v>78</v>
      </c>
      <c r="L244" s="171"/>
      <c r="M244" s="171"/>
    </row>
    <row r="245" spans="11:13" ht="18" customHeight="1">
      <c r="K245" s="171" t="s">
        <v>78</v>
      </c>
      <c r="L245" s="171"/>
      <c r="M245" s="171"/>
    </row>
    <row r="246" spans="11:13" ht="18" customHeight="1">
      <c r="K246" s="171" t="s">
        <v>78</v>
      </c>
      <c r="L246" s="171"/>
      <c r="M246" s="171"/>
    </row>
    <row r="247" spans="11:13" ht="18" customHeight="1">
      <c r="K247" s="171" t="s">
        <v>78</v>
      </c>
      <c r="L247" s="171"/>
      <c r="M247" s="171"/>
    </row>
    <row r="248" spans="11:13" ht="18" customHeight="1">
      <c r="K248" s="171" t="s">
        <v>78</v>
      </c>
      <c r="L248" s="171"/>
      <c r="M248" s="171"/>
    </row>
    <row r="249" spans="11:13" ht="18" customHeight="1">
      <c r="K249" s="171" t="s">
        <v>78</v>
      </c>
      <c r="L249" s="171"/>
      <c r="M249" s="171"/>
    </row>
    <row r="250" spans="11:13" ht="18" customHeight="1">
      <c r="K250" s="171" t="s">
        <v>78</v>
      </c>
      <c r="L250" s="171"/>
      <c r="M250" s="171"/>
    </row>
    <row r="251" spans="11:13" ht="18" customHeight="1">
      <c r="K251" s="171" t="s">
        <v>78</v>
      </c>
      <c r="L251" s="171"/>
      <c r="M251" s="171"/>
    </row>
    <row r="252" spans="11:13" ht="18" customHeight="1">
      <c r="K252" s="171" t="s">
        <v>78</v>
      </c>
      <c r="L252" s="171"/>
      <c r="M252" s="171"/>
    </row>
    <row r="253" spans="11:13" ht="18" customHeight="1">
      <c r="K253" s="171" t="s">
        <v>78</v>
      </c>
      <c r="L253" s="171"/>
      <c r="M253" s="171"/>
    </row>
    <row r="254" spans="11:13" ht="18" customHeight="1">
      <c r="K254" s="171" t="s">
        <v>78</v>
      </c>
      <c r="L254" s="171"/>
      <c r="M254" s="171"/>
    </row>
    <row r="255" spans="11:13" ht="18" customHeight="1">
      <c r="K255" s="171" t="s">
        <v>78</v>
      </c>
      <c r="L255" s="171"/>
      <c r="M255" s="171"/>
    </row>
    <row r="256" spans="11:13" ht="18" customHeight="1">
      <c r="K256" s="171" t="s">
        <v>78</v>
      </c>
      <c r="L256" s="171"/>
      <c r="M256" s="171"/>
    </row>
    <row r="257" spans="11:13" ht="18" customHeight="1">
      <c r="K257" s="171" t="s">
        <v>78</v>
      </c>
      <c r="L257" s="171"/>
      <c r="M257" s="171"/>
    </row>
    <row r="258" spans="11:13" ht="18" customHeight="1">
      <c r="K258" s="171" t="s">
        <v>78</v>
      </c>
      <c r="L258" s="171"/>
      <c r="M258" s="171"/>
    </row>
    <row r="259" spans="11:13" ht="18" customHeight="1">
      <c r="K259" s="171" t="s">
        <v>78</v>
      </c>
      <c r="L259" s="171"/>
      <c r="M259" s="171"/>
    </row>
    <row r="260" spans="11:13" ht="18" customHeight="1">
      <c r="K260" s="171" t="s">
        <v>78</v>
      </c>
      <c r="L260" s="171"/>
      <c r="M260" s="171"/>
    </row>
    <row r="261" spans="11:13" ht="18" customHeight="1">
      <c r="K261" s="171" t="s">
        <v>78</v>
      </c>
      <c r="L261" s="171"/>
      <c r="M261" s="171"/>
    </row>
    <row r="262" spans="11:13" ht="18" customHeight="1">
      <c r="K262" s="171" t="s">
        <v>78</v>
      </c>
      <c r="L262" s="171"/>
      <c r="M262" s="171"/>
    </row>
    <row r="263" spans="11:13" ht="18" customHeight="1">
      <c r="K263" s="171" t="s">
        <v>78</v>
      </c>
      <c r="L263" s="171"/>
      <c r="M263" s="171"/>
    </row>
    <row r="264" spans="11:13" ht="18" customHeight="1">
      <c r="K264" s="171" t="s">
        <v>78</v>
      </c>
      <c r="L264" s="171"/>
      <c r="M264" s="171"/>
    </row>
    <row r="265" spans="11:13" ht="18" customHeight="1">
      <c r="K265" s="171" t="s">
        <v>78</v>
      </c>
      <c r="L265" s="171"/>
      <c r="M265" s="171"/>
    </row>
    <row r="266" spans="11:13" ht="18" customHeight="1">
      <c r="K266" s="171" t="s">
        <v>78</v>
      </c>
      <c r="L266" s="171"/>
      <c r="M266" s="171"/>
    </row>
    <row r="267" spans="11:13" ht="18" customHeight="1">
      <c r="K267" s="171" t="s">
        <v>78</v>
      </c>
      <c r="L267" s="171"/>
      <c r="M267" s="171"/>
    </row>
    <row r="268" spans="11:13" ht="18" customHeight="1">
      <c r="K268" s="171" t="s">
        <v>78</v>
      </c>
      <c r="L268" s="171"/>
      <c r="M268" s="171"/>
    </row>
    <row r="269" spans="11:13" ht="18" customHeight="1">
      <c r="K269" s="171" t="s">
        <v>78</v>
      </c>
      <c r="L269" s="171"/>
      <c r="M269" s="171"/>
    </row>
    <row r="270" spans="11:13" ht="18" customHeight="1">
      <c r="K270" s="171" t="s">
        <v>78</v>
      </c>
      <c r="L270" s="171"/>
      <c r="M270" s="171"/>
    </row>
    <row r="271" spans="11:13" ht="18" customHeight="1">
      <c r="K271" s="171" t="s">
        <v>78</v>
      </c>
      <c r="L271" s="171"/>
      <c r="M271" s="171"/>
    </row>
    <row r="272" spans="11:13" ht="18" customHeight="1">
      <c r="K272" s="171" t="s">
        <v>78</v>
      </c>
      <c r="L272" s="171"/>
      <c r="M272" s="171"/>
    </row>
    <row r="273" spans="11:13" ht="18" customHeight="1">
      <c r="K273" s="171" t="s">
        <v>78</v>
      </c>
      <c r="L273" s="171"/>
      <c r="M273" s="171"/>
    </row>
    <row r="274" spans="11:13" ht="18" customHeight="1">
      <c r="K274" s="171" t="s">
        <v>78</v>
      </c>
      <c r="L274" s="171"/>
      <c r="M274" s="171"/>
    </row>
    <row r="275" spans="11:13" ht="18" customHeight="1">
      <c r="K275" s="171" t="s">
        <v>78</v>
      </c>
      <c r="L275" s="171"/>
      <c r="M275" s="171"/>
    </row>
    <row r="276" spans="11:13" ht="18" customHeight="1">
      <c r="K276" s="171" t="s">
        <v>78</v>
      </c>
      <c r="L276" s="171"/>
      <c r="M276" s="171"/>
    </row>
    <row r="277" spans="11:13" ht="18" customHeight="1">
      <c r="K277" s="171" t="s">
        <v>78</v>
      </c>
      <c r="L277" s="171"/>
      <c r="M277" s="171"/>
    </row>
    <row r="278" spans="11:13" ht="18" customHeight="1">
      <c r="K278" s="171" t="s">
        <v>78</v>
      </c>
      <c r="L278" s="171"/>
      <c r="M278" s="171"/>
    </row>
    <row r="279" spans="11:13" ht="18" customHeight="1">
      <c r="K279" s="171" t="s">
        <v>78</v>
      </c>
      <c r="L279" s="171"/>
      <c r="M279" s="171"/>
    </row>
    <row r="280" spans="11:13" ht="18" customHeight="1">
      <c r="K280" s="171" t="s">
        <v>78</v>
      </c>
      <c r="L280" s="171"/>
      <c r="M280" s="171"/>
    </row>
    <row r="281" spans="11:13" ht="18" customHeight="1">
      <c r="K281" s="171" t="s">
        <v>78</v>
      </c>
      <c r="L281" s="171"/>
      <c r="M281" s="171"/>
    </row>
    <row r="282" spans="11:13" ht="18" customHeight="1">
      <c r="K282" s="171" t="s">
        <v>78</v>
      </c>
      <c r="L282" s="171"/>
      <c r="M282" s="171"/>
    </row>
    <row r="283" spans="11:13" ht="18" customHeight="1">
      <c r="K283" s="171" t="s">
        <v>78</v>
      </c>
      <c r="L283" s="171"/>
      <c r="M283" s="171"/>
    </row>
    <row r="284" spans="11:13" ht="18" customHeight="1">
      <c r="K284" s="171" t="s">
        <v>78</v>
      </c>
      <c r="L284" s="171"/>
      <c r="M284" s="171"/>
    </row>
    <row r="285" spans="11:13" ht="18" customHeight="1">
      <c r="K285" s="171" t="s">
        <v>78</v>
      </c>
      <c r="L285" s="171"/>
      <c r="M285" s="171"/>
    </row>
    <row r="286" spans="11:13" ht="18" customHeight="1">
      <c r="K286" s="171" t="s">
        <v>78</v>
      </c>
      <c r="L286" s="171"/>
      <c r="M286" s="171"/>
    </row>
    <row r="287" spans="11:13" ht="18" customHeight="1">
      <c r="K287" s="171" t="s">
        <v>78</v>
      </c>
      <c r="L287" s="171"/>
      <c r="M287" s="171"/>
    </row>
    <row r="288" spans="11:13" ht="18" customHeight="1">
      <c r="K288" s="171" t="s">
        <v>78</v>
      </c>
      <c r="L288" s="171"/>
      <c r="M288" s="171"/>
    </row>
    <row r="289" spans="11:13" ht="18" customHeight="1">
      <c r="K289" s="171" t="s">
        <v>78</v>
      </c>
      <c r="L289" s="171"/>
      <c r="M289" s="171"/>
    </row>
    <row r="290" spans="11:13" ht="18" customHeight="1">
      <c r="K290" s="171" t="s">
        <v>78</v>
      </c>
      <c r="L290" s="171"/>
      <c r="M290" s="171"/>
    </row>
    <row r="291" spans="11:13" ht="18" customHeight="1">
      <c r="K291" s="171" t="s">
        <v>78</v>
      </c>
      <c r="L291" s="171"/>
      <c r="M291" s="171"/>
    </row>
    <row r="292" spans="11:13" ht="18" customHeight="1">
      <c r="K292" s="171" t="s">
        <v>78</v>
      </c>
      <c r="L292" s="171"/>
      <c r="M292" s="171"/>
    </row>
    <row r="293" spans="11:13" ht="18" customHeight="1">
      <c r="K293" s="171" t="s">
        <v>78</v>
      </c>
      <c r="L293" s="171"/>
      <c r="M293" s="171"/>
    </row>
    <row r="294" spans="11:13" ht="18" customHeight="1">
      <c r="K294" s="171" t="s">
        <v>78</v>
      </c>
      <c r="L294" s="171"/>
      <c r="M294" s="171"/>
    </row>
    <row r="295" spans="11:13" ht="18" customHeight="1">
      <c r="K295" s="171" t="s">
        <v>78</v>
      </c>
      <c r="L295" s="171"/>
      <c r="M295" s="171"/>
    </row>
    <row r="296" spans="11:13" ht="18" customHeight="1">
      <c r="K296" s="171" t="s">
        <v>78</v>
      </c>
      <c r="L296" s="171"/>
      <c r="M296" s="171"/>
    </row>
    <row r="297" spans="11:13" ht="18" customHeight="1">
      <c r="K297" s="171" t="s">
        <v>78</v>
      </c>
      <c r="L297" s="171"/>
      <c r="M297" s="171"/>
    </row>
    <row r="298" spans="11:13" ht="18" customHeight="1">
      <c r="K298" s="171" t="s">
        <v>78</v>
      </c>
      <c r="L298" s="171"/>
      <c r="M298" s="171"/>
    </row>
    <row r="299" spans="11:13" ht="18" customHeight="1">
      <c r="K299" s="171" t="s">
        <v>78</v>
      </c>
      <c r="L299" s="171"/>
      <c r="M299" s="171"/>
    </row>
    <row r="300" spans="11:13" ht="18" customHeight="1">
      <c r="K300" s="171" t="s">
        <v>78</v>
      </c>
      <c r="L300" s="171"/>
      <c r="M300" s="171"/>
    </row>
    <row r="301" spans="11:13" ht="18" customHeight="1">
      <c r="K301" s="171" t="s">
        <v>78</v>
      </c>
      <c r="L301" s="171"/>
      <c r="M301" s="171"/>
    </row>
    <row r="302" spans="11:13" ht="18" customHeight="1">
      <c r="K302" s="171" t="s">
        <v>78</v>
      </c>
      <c r="L302" s="171"/>
      <c r="M302" s="171"/>
    </row>
    <row r="303" spans="11:13" ht="18" customHeight="1">
      <c r="K303" s="171" t="s">
        <v>78</v>
      </c>
      <c r="L303" s="171"/>
      <c r="M303" s="171"/>
    </row>
    <row r="304" spans="11:13" ht="18" customHeight="1">
      <c r="K304" s="171" t="s">
        <v>78</v>
      </c>
      <c r="L304" s="171"/>
      <c r="M304" s="171"/>
    </row>
    <row r="305" spans="11:13" ht="18" customHeight="1">
      <c r="K305" s="171" t="s">
        <v>78</v>
      </c>
      <c r="L305" s="171"/>
      <c r="M305" s="171"/>
    </row>
    <row r="306" spans="11:13" ht="18" customHeight="1">
      <c r="K306" s="171" t="s">
        <v>78</v>
      </c>
      <c r="L306" s="171"/>
      <c r="M306" s="171"/>
    </row>
    <row r="307" spans="11:13" ht="18" customHeight="1">
      <c r="K307" s="171" t="s">
        <v>78</v>
      </c>
      <c r="L307" s="171"/>
      <c r="M307" s="171"/>
    </row>
    <row r="308" spans="11:13" ht="18" customHeight="1">
      <c r="K308" s="171" t="s">
        <v>78</v>
      </c>
      <c r="L308" s="171"/>
      <c r="M308" s="171"/>
    </row>
    <row r="309" spans="11:13" ht="18" customHeight="1">
      <c r="K309" s="171" t="s">
        <v>78</v>
      </c>
      <c r="L309" s="171"/>
      <c r="M309" s="171"/>
    </row>
    <row r="310" spans="11:13" ht="18" customHeight="1">
      <c r="K310" s="171" t="s">
        <v>78</v>
      </c>
      <c r="L310" s="171"/>
      <c r="M310" s="171"/>
    </row>
    <row r="311" spans="11:13" ht="18" customHeight="1">
      <c r="K311" s="171" t="s">
        <v>78</v>
      </c>
      <c r="L311" s="171"/>
      <c r="M311" s="171"/>
    </row>
    <row r="312" spans="11:13" ht="18" customHeight="1">
      <c r="K312" s="171" t="s">
        <v>78</v>
      </c>
      <c r="L312" s="171"/>
      <c r="M312" s="171"/>
    </row>
    <row r="313" spans="11:13" ht="18" customHeight="1">
      <c r="K313" s="171" t="s">
        <v>78</v>
      </c>
      <c r="L313" s="171"/>
      <c r="M313" s="171"/>
    </row>
    <row r="314" spans="11:13" ht="18" customHeight="1">
      <c r="K314" s="171" t="s">
        <v>78</v>
      </c>
      <c r="L314" s="171"/>
      <c r="M314" s="171"/>
    </row>
    <row r="315" spans="11:13" ht="18" customHeight="1">
      <c r="K315" s="171" t="s">
        <v>78</v>
      </c>
      <c r="L315" s="171"/>
      <c r="M315" s="171"/>
    </row>
    <row r="316" spans="11:13" ht="18" customHeight="1">
      <c r="K316" s="171" t="s">
        <v>78</v>
      </c>
      <c r="L316" s="171"/>
      <c r="M316" s="171"/>
    </row>
    <row r="317" spans="11:13" ht="18" customHeight="1">
      <c r="K317" s="171" t="s">
        <v>78</v>
      </c>
      <c r="L317" s="171"/>
      <c r="M317" s="171"/>
    </row>
    <row r="318" spans="11:13" ht="18" customHeight="1">
      <c r="K318" s="171" t="s">
        <v>78</v>
      </c>
      <c r="L318" s="171"/>
      <c r="M318" s="171"/>
    </row>
    <row r="319" spans="11:13" ht="18" customHeight="1">
      <c r="K319" s="171" t="s">
        <v>78</v>
      </c>
      <c r="L319" s="171"/>
      <c r="M319" s="171"/>
    </row>
    <row r="320" spans="11:13" ht="18" customHeight="1">
      <c r="K320" s="171" t="s">
        <v>78</v>
      </c>
      <c r="L320" s="171"/>
      <c r="M320" s="171"/>
    </row>
    <row r="321" spans="11:13" ht="18" customHeight="1">
      <c r="K321" s="171" t="s">
        <v>78</v>
      </c>
      <c r="L321" s="171"/>
      <c r="M321" s="171"/>
    </row>
    <row r="322" spans="11:13" ht="18" customHeight="1">
      <c r="K322" s="171" t="s">
        <v>78</v>
      </c>
      <c r="L322" s="171"/>
      <c r="M322" s="171"/>
    </row>
    <row r="323" spans="11:13" ht="18" customHeight="1">
      <c r="K323" s="171" t="s">
        <v>78</v>
      </c>
      <c r="L323" s="171"/>
      <c r="M323" s="171"/>
    </row>
    <row r="324" spans="11:13" ht="18" customHeight="1">
      <c r="K324" s="171" t="s">
        <v>78</v>
      </c>
      <c r="L324" s="171"/>
      <c r="M324" s="171"/>
    </row>
    <row r="325" spans="11:13" ht="18" customHeight="1">
      <c r="K325" s="171" t="s">
        <v>78</v>
      </c>
      <c r="L325" s="171"/>
      <c r="M325" s="171"/>
    </row>
    <row r="326" spans="11:13" ht="18" customHeight="1">
      <c r="K326" s="171" t="s">
        <v>78</v>
      </c>
      <c r="L326" s="171"/>
      <c r="M326" s="171"/>
    </row>
    <row r="327" spans="11:13" ht="18" customHeight="1">
      <c r="K327" s="171" t="s">
        <v>78</v>
      </c>
      <c r="L327" s="171"/>
      <c r="M327" s="171"/>
    </row>
    <row r="328" spans="11:13" ht="18" customHeight="1">
      <c r="K328" s="171" t="s">
        <v>78</v>
      </c>
      <c r="L328" s="171"/>
      <c r="M328" s="171"/>
    </row>
    <row r="329" spans="11:13" ht="18" customHeight="1">
      <c r="K329" s="171" t="s">
        <v>78</v>
      </c>
      <c r="L329" s="171"/>
      <c r="M329" s="171"/>
    </row>
    <row r="330" spans="11:13" ht="18" customHeight="1">
      <c r="K330" s="171" t="s">
        <v>78</v>
      </c>
      <c r="L330" s="171"/>
      <c r="M330" s="171"/>
    </row>
    <row r="331" spans="11:13" ht="18" customHeight="1">
      <c r="K331" s="171" t="s">
        <v>78</v>
      </c>
      <c r="L331" s="171"/>
      <c r="M331" s="171"/>
    </row>
    <row r="332" spans="11:13" ht="18" customHeight="1">
      <c r="K332" s="171" t="s">
        <v>78</v>
      </c>
      <c r="L332" s="171"/>
      <c r="M332" s="171"/>
    </row>
    <row r="333" spans="11:13" ht="18" customHeight="1">
      <c r="K333" s="171" t="s">
        <v>78</v>
      </c>
      <c r="L333" s="171"/>
      <c r="M333" s="171"/>
    </row>
    <row r="334" spans="11:13" ht="18" customHeight="1">
      <c r="K334" s="171" t="s">
        <v>78</v>
      </c>
      <c r="L334" s="171"/>
      <c r="M334" s="171"/>
    </row>
    <row r="335" spans="11:13" ht="18" customHeight="1">
      <c r="K335" s="171" t="s">
        <v>78</v>
      </c>
      <c r="L335" s="171"/>
      <c r="M335" s="171"/>
    </row>
    <row r="336" spans="11:13" ht="18" customHeight="1">
      <c r="K336" s="171" t="s">
        <v>78</v>
      </c>
      <c r="L336" s="171"/>
      <c r="M336" s="171"/>
    </row>
    <row r="337" spans="11:13" ht="18" customHeight="1">
      <c r="K337" s="171" t="s">
        <v>78</v>
      </c>
      <c r="L337" s="171"/>
      <c r="M337" s="171"/>
    </row>
    <row r="338" spans="11:13" ht="18" customHeight="1">
      <c r="K338" s="171" t="s">
        <v>78</v>
      </c>
      <c r="L338" s="171"/>
      <c r="M338" s="171"/>
    </row>
    <row r="339" spans="11:13" ht="18" customHeight="1">
      <c r="K339" s="171" t="s">
        <v>78</v>
      </c>
      <c r="L339" s="171"/>
      <c r="M339" s="171"/>
    </row>
    <row r="340" spans="11:13" ht="18" customHeight="1">
      <c r="K340" s="171" t="s">
        <v>78</v>
      </c>
      <c r="L340" s="171"/>
      <c r="M340" s="171"/>
    </row>
    <row r="341" spans="11:13" ht="18" customHeight="1">
      <c r="K341" s="171" t="s">
        <v>78</v>
      </c>
      <c r="L341" s="171"/>
      <c r="M341" s="171"/>
    </row>
    <row r="342" spans="11:13" ht="18" customHeight="1">
      <c r="K342" s="171" t="s">
        <v>78</v>
      </c>
      <c r="L342" s="171"/>
      <c r="M342" s="171"/>
    </row>
    <row r="343" spans="11:13" ht="18" customHeight="1">
      <c r="K343" s="171" t="s">
        <v>78</v>
      </c>
      <c r="L343" s="171"/>
      <c r="M343" s="171"/>
    </row>
    <row r="344" spans="11:13" ht="18" customHeight="1">
      <c r="K344" s="171" t="s">
        <v>78</v>
      </c>
      <c r="L344" s="171"/>
      <c r="M344" s="171"/>
    </row>
    <row r="345" spans="11:13" ht="18" customHeight="1">
      <c r="K345" s="171" t="s">
        <v>78</v>
      </c>
      <c r="L345" s="171"/>
      <c r="M345" s="171"/>
    </row>
    <row r="346" spans="11:13" ht="18" customHeight="1">
      <c r="K346" s="171" t="s">
        <v>78</v>
      </c>
      <c r="L346" s="171"/>
      <c r="M346" s="171"/>
    </row>
    <row r="347" spans="11:13" ht="18" customHeight="1">
      <c r="K347" s="171" t="s">
        <v>78</v>
      </c>
      <c r="L347" s="171"/>
      <c r="M347" s="171"/>
    </row>
    <row r="348" spans="11:13" ht="18" customHeight="1">
      <c r="K348" s="171" t="s">
        <v>78</v>
      </c>
      <c r="L348" s="171"/>
      <c r="M348" s="171"/>
    </row>
    <row r="349" spans="11:13" ht="18" customHeight="1">
      <c r="K349" s="171" t="s">
        <v>78</v>
      </c>
      <c r="L349" s="171"/>
      <c r="M349" s="171"/>
    </row>
    <row r="350" spans="11:13" ht="18" customHeight="1">
      <c r="K350" s="171" t="s">
        <v>78</v>
      </c>
      <c r="L350" s="171"/>
      <c r="M350" s="171"/>
    </row>
    <row r="351" spans="11:13" ht="18" customHeight="1">
      <c r="K351" s="171" t="s">
        <v>78</v>
      </c>
      <c r="L351" s="171"/>
      <c r="M351" s="171"/>
    </row>
    <row r="352" spans="11:13" ht="18" customHeight="1">
      <c r="K352" s="171" t="s">
        <v>78</v>
      </c>
      <c r="L352" s="171"/>
      <c r="M352" s="171"/>
    </row>
    <row r="353" spans="11:13" ht="18" customHeight="1">
      <c r="K353" s="171" t="s">
        <v>78</v>
      </c>
      <c r="L353" s="171"/>
      <c r="M353" s="171"/>
    </row>
    <row r="354" spans="11:13" ht="18" customHeight="1">
      <c r="K354" s="171" t="s">
        <v>78</v>
      </c>
      <c r="L354" s="171"/>
      <c r="M354" s="171"/>
    </row>
    <row r="355" spans="11:13" ht="18" customHeight="1">
      <c r="K355" s="171" t="s">
        <v>78</v>
      </c>
      <c r="L355" s="171"/>
      <c r="M355" s="171"/>
    </row>
    <row r="356" spans="11:13" ht="18" customHeight="1">
      <c r="K356" s="171" t="s">
        <v>78</v>
      </c>
      <c r="L356" s="171"/>
      <c r="M356" s="171"/>
    </row>
    <row r="357" spans="11:13" ht="18" customHeight="1">
      <c r="K357" s="171" t="s">
        <v>78</v>
      </c>
      <c r="L357" s="171"/>
      <c r="M357" s="171"/>
    </row>
    <row r="358" spans="11:13" ht="18" customHeight="1">
      <c r="K358" s="171" t="s">
        <v>78</v>
      </c>
      <c r="L358" s="171"/>
      <c r="M358" s="171"/>
    </row>
    <row r="359" spans="11:13" ht="18" customHeight="1">
      <c r="K359" s="171" t="s">
        <v>78</v>
      </c>
      <c r="L359" s="171"/>
      <c r="M359" s="171"/>
    </row>
    <row r="360" spans="11:13" ht="18" customHeight="1">
      <c r="K360" s="171" t="s">
        <v>78</v>
      </c>
      <c r="L360" s="171"/>
      <c r="M360" s="171"/>
    </row>
    <row r="361" spans="11:13" ht="18" customHeight="1">
      <c r="K361" s="171" t="s">
        <v>78</v>
      </c>
      <c r="L361" s="171"/>
      <c r="M361" s="171"/>
    </row>
    <row r="362" spans="11:13" ht="18" customHeight="1">
      <c r="K362" s="171" t="s">
        <v>78</v>
      </c>
      <c r="L362" s="171"/>
      <c r="M362" s="171"/>
    </row>
    <row r="363" spans="11:13" ht="18" customHeight="1">
      <c r="K363" s="171" t="s">
        <v>78</v>
      </c>
      <c r="L363" s="171"/>
      <c r="M363" s="171"/>
    </row>
    <row r="364" spans="11:13" ht="18" customHeight="1">
      <c r="K364" s="171" t="s">
        <v>78</v>
      </c>
      <c r="L364" s="171"/>
      <c r="M364" s="171"/>
    </row>
    <row r="365" spans="11:13" ht="18" customHeight="1">
      <c r="K365" s="171" t="s">
        <v>78</v>
      </c>
      <c r="L365" s="171"/>
      <c r="M365" s="171"/>
    </row>
    <row r="366" spans="11:13" ht="18" customHeight="1">
      <c r="K366" s="171" t="s">
        <v>78</v>
      </c>
      <c r="L366" s="171"/>
      <c r="M366" s="171"/>
    </row>
    <row r="367" spans="11:13" ht="18" customHeight="1">
      <c r="K367" s="171" t="s">
        <v>78</v>
      </c>
      <c r="L367" s="171"/>
      <c r="M367" s="171"/>
    </row>
    <row r="368" spans="11:13" ht="18" customHeight="1">
      <c r="K368" s="171" t="s">
        <v>78</v>
      </c>
      <c r="L368" s="171"/>
      <c r="M368" s="171"/>
    </row>
    <row r="369" spans="11:13" ht="18" customHeight="1">
      <c r="K369" s="171" t="s">
        <v>78</v>
      </c>
      <c r="L369" s="171"/>
      <c r="M369" s="171"/>
    </row>
    <row r="370" spans="11:13" ht="18" customHeight="1">
      <c r="K370" s="171" t="s">
        <v>78</v>
      </c>
      <c r="L370" s="171"/>
      <c r="M370" s="171"/>
    </row>
    <row r="371" spans="11:13" ht="18" customHeight="1">
      <c r="K371" s="171" t="s">
        <v>78</v>
      </c>
      <c r="L371" s="171"/>
      <c r="M371" s="171"/>
    </row>
    <row r="372" spans="11:13" ht="18" customHeight="1">
      <c r="K372" s="171" t="s">
        <v>78</v>
      </c>
      <c r="L372" s="171"/>
      <c r="M372" s="171"/>
    </row>
    <row r="373" spans="11:13" ht="18" customHeight="1">
      <c r="K373" s="171" t="s">
        <v>78</v>
      </c>
      <c r="L373" s="171"/>
      <c r="M373" s="171"/>
    </row>
    <row r="374" spans="11:13" ht="18" customHeight="1">
      <c r="K374" s="171" t="s">
        <v>78</v>
      </c>
      <c r="L374" s="171"/>
      <c r="M374" s="171"/>
    </row>
    <row r="375" spans="11:13" ht="18" customHeight="1">
      <c r="K375" s="171" t="s">
        <v>78</v>
      </c>
      <c r="L375" s="171"/>
      <c r="M375" s="171"/>
    </row>
    <row r="376" spans="11:13" ht="18" customHeight="1">
      <c r="K376" s="171" t="s">
        <v>78</v>
      </c>
      <c r="L376" s="171"/>
      <c r="M376" s="171"/>
    </row>
    <row r="377" spans="11:13" ht="18" customHeight="1">
      <c r="K377" s="171" t="s">
        <v>78</v>
      </c>
      <c r="L377" s="171"/>
      <c r="M377" s="171"/>
    </row>
    <row r="378" spans="11:13" ht="18" customHeight="1">
      <c r="K378" s="171" t="s">
        <v>78</v>
      </c>
      <c r="L378" s="171"/>
      <c r="M378" s="171"/>
    </row>
    <row r="379" spans="11:13" ht="18" customHeight="1">
      <c r="K379" s="171" t="s">
        <v>78</v>
      </c>
      <c r="L379" s="171"/>
      <c r="M379" s="171"/>
    </row>
    <row r="380" spans="11:13" ht="18" customHeight="1">
      <c r="K380" s="171" t="s">
        <v>78</v>
      </c>
      <c r="L380" s="171"/>
      <c r="M380" s="171"/>
    </row>
    <row r="381" spans="11:13" ht="18" customHeight="1">
      <c r="K381" s="171" t="s">
        <v>78</v>
      </c>
      <c r="L381" s="171"/>
      <c r="M381" s="171"/>
    </row>
    <row r="382" spans="11:13" ht="18" customHeight="1">
      <c r="K382" s="171" t="s">
        <v>78</v>
      </c>
      <c r="L382" s="171"/>
      <c r="M382" s="171"/>
    </row>
    <row r="383" spans="11:13" ht="18" customHeight="1">
      <c r="K383" s="171" t="s">
        <v>78</v>
      </c>
      <c r="L383" s="171"/>
      <c r="M383" s="171"/>
    </row>
    <row r="384" spans="11:13" ht="18" customHeight="1">
      <c r="K384" s="171" t="s">
        <v>78</v>
      </c>
      <c r="L384" s="171"/>
      <c r="M384" s="171"/>
    </row>
    <row r="385" spans="11:13" ht="18" customHeight="1">
      <c r="K385" s="171" t="s">
        <v>78</v>
      </c>
      <c r="L385" s="171"/>
      <c r="M385" s="171"/>
    </row>
    <row r="386" spans="11:13" ht="18" customHeight="1">
      <c r="K386" s="171" t="s">
        <v>78</v>
      </c>
      <c r="L386" s="171"/>
      <c r="M386" s="171"/>
    </row>
    <row r="387" spans="11:13" ht="18" customHeight="1">
      <c r="K387" s="171" t="s">
        <v>78</v>
      </c>
      <c r="L387" s="171"/>
      <c r="M387" s="171"/>
    </row>
    <row r="388" spans="11:13" ht="18" customHeight="1">
      <c r="K388" s="171" t="s">
        <v>78</v>
      </c>
      <c r="L388" s="171"/>
      <c r="M388" s="171"/>
    </row>
    <row r="389" spans="11:13" ht="18" customHeight="1">
      <c r="K389" s="171" t="s">
        <v>78</v>
      </c>
      <c r="L389" s="171"/>
      <c r="M389" s="171"/>
    </row>
    <row r="390" spans="11:13" ht="18" customHeight="1">
      <c r="K390" s="171" t="s">
        <v>78</v>
      </c>
      <c r="L390" s="171"/>
      <c r="M390" s="171"/>
    </row>
    <row r="391" spans="11:13" ht="18" customHeight="1">
      <c r="K391" s="171" t="s">
        <v>78</v>
      </c>
      <c r="L391" s="171"/>
      <c r="M391" s="171"/>
    </row>
    <row r="392" spans="11:13" ht="18" customHeight="1">
      <c r="K392" s="171" t="s">
        <v>78</v>
      </c>
      <c r="L392" s="171"/>
      <c r="M392" s="171"/>
    </row>
    <row r="393" spans="11:13" ht="18" customHeight="1">
      <c r="K393" s="171" t="s">
        <v>78</v>
      </c>
      <c r="L393" s="171"/>
      <c r="M393" s="171"/>
    </row>
    <row r="394" spans="11:13" ht="18" customHeight="1">
      <c r="K394" s="171" t="s">
        <v>78</v>
      </c>
      <c r="L394" s="171"/>
      <c r="M394" s="171"/>
    </row>
    <row r="395" spans="11:13" ht="18" customHeight="1">
      <c r="K395" s="171" t="s">
        <v>78</v>
      </c>
      <c r="L395" s="171"/>
      <c r="M395" s="171"/>
    </row>
    <row r="396" spans="11:13" ht="18" customHeight="1">
      <c r="K396" s="171" t="s">
        <v>78</v>
      </c>
      <c r="L396" s="171"/>
      <c r="M396" s="171"/>
    </row>
    <row r="397" spans="11:13" ht="18" customHeight="1">
      <c r="K397" s="171" t="s">
        <v>78</v>
      </c>
      <c r="L397" s="171"/>
      <c r="M397" s="171"/>
    </row>
    <row r="398" spans="11:13" ht="18" customHeight="1">
      <c r="K398" s="171" t="s">
        <v>78</v>
      </c>
      <c r="L398" s="171"/>
      <c r="M398" s="171"/>
    </row>
    <row r="399" spans="11:13" ht="18" customHeight="1">
      <c r="K399" s="171" t="s">
        <v>78</v>
      </c>
      <c r="L399" s="171"/>
      <c r="M399" s="171"/>
    </row>
    <row r="400" spans="11:13" ht="18" customHeight="1">
      <c r="K400" s="171" t="s">
        <v>78</v>
      </c>
      <c r="L400" s="171"/>
      <c r="M400" s="171"/>
    </row>
    <row r="401" spans="11:13" ht="18" customHeight="1">
      <c r="K401" s="171" t="s">
        <v>78</v>
      </c>
      <c r="L401" s="171"/>
      <c r="M401" s="171"/>
    </row>
    <row r="402" spans="11:13" ht="18" customHeight="1">
      <c r="K402" s="171" t="s">
        <v>78</v>
      </c>
      <c r="L402" s="171"/>
      <c r="M402" s="171"/>
    </row>
    <row r="403" spans="11:13" ht="18" customHeight="1">
      <c r="K403" s="171" t="s">
        <v>78</v>
      </c>
      <c r="L403" s="171"/>
      <c r="M403" s="171"/>
    </row>
    <row r="404" spans="11:13" ht="18" customHeight="1">
      <c r="K404" s="171" t="s">
        <v>78</v>
      </c>
      <c r="L404" s="171"/>
      <c r="M404" s="171"/>
    </row>
    <row r="405" spans="11:13" ht="18" customHeight="1">
      <c r="K405" s="171" t="s">
        <v>78</v>
      </c>
      <c r="L405" s="171"/>
      <c r="M405" s="171"/>
    </row>
    <row r="406" spans="11:13" ht="18" customHeight="1">
      <c r="K406" s="171" t="s">
        <v>78</v>
      </c>
      <c r="L406" s="171"/>
      <c r="M406" s="171"/>
    </row>
    <row r="407" spans="11:13" ht="18" customHeight="1">
      <c r="K407" s="171" t="s">
        <v>78</v>
      </c>
      <c r="L407" s="171"/>
      <c r="M407" s="171"/>
    </row>
    <row r="408" spans="11:13" ht="18" customHeight="1">
      <c r="K408" s="171" t="s">
        <v>78</v>
      </c>
      <c r="L408" s="171"/>
      <c r="M408" s="171"/>
    </row>
    <row r="409" spans="11:13" ht="18" customHeight="1">
      <c r="K409" s="171" t="s">
        <v>78</v>
      </c>
      <c r="L409" s="171"/>
      <c r="M409" s="171"/>
    </row>
    <row r="410" spans="11:13" ht="18" customHeight="1">
      <c r="K410" s="171" t="s">
        <v>78</v>
      </c>
      <c r="L410" s="171"/>
      <c r="M410" s="171"/>
    </row>
    <row r="411" spans="11:13" ht="18" customHeight="1">
      <c r="K411" s="171" t="s">
        <v>78</v>
      </c>
      <c r="L411" s="171"/>
      <c r="M411" s="171"/>
    </row>
    <row r="412" spans="11:13" ht="18" customHeight="1">
      <c r="K412" s="171" t="s">
        <v>78</v>
      </c>
      <c r="L412" s="171"/>
      <c r="M412" s="171"/>
    </row>
    <row r="413" spans="11:13" ht="18" customHeight="1">
      <c r="K413" s="171" t="s">
        <v>78</v>
      </c>
      <c r="L413" s="171"/>
      <c r="M413" s="171"/>
    </row>
    <row r="414" spans="11:13" ht="18" customHeight="1">
      <c r="K414" s="171" t="s">
        <v>78</v>
      </c>
      <c r="L414" s="171"/>
      <c r="M414" s="171"/>
    </row>
    <row r="415" spans="11:13" ht="18" customHeight="1">
      <c r="K415" s="171" t="s">
        <v>78</v>
      </c>
      <c r="L415" s="171"/>
      <c r="M415" s="171"/>
    </row>
    <row r="416" spans="11:13" ht="18" customHeight="1">
      <c r="K416" s="171" t="s">
        <v>78</v>
      </c>
      <c r="L416" s="171"/>
      <c r="M416" s="171"/>
    </row>
    <row r="417" spans="11:13" ht="18" customHeight="1">
      <c r="K417" s="171" t="s">
        <v>78</v>
      </c>
      <c r="L417" s="171"/>
      <c r="M417" s="171"/>
    </row>
    <row r="418" spans="11:13" ht="18" customHeight="1">
      <c r="K418" s="171" t="s">
        <v>78</v>
      </c>
      <c r="L418" s="171"/>
      <c r="M418" s="171"/>
    </row>
    <row r="419" spans="11:13" ht="18" customHeight="1">
      <c r="K419" s="171" t="s">
        <v>78</v>
      </c>
      <c r="L419" s="171"/>
      <c r="M419" s="171"/>
    </row>
    <row r="420" spans="11:13" ht="18" customHeight="1">
      <c r="K420" s="171" t="s">
        <v>78</v>
      </c>
      <c r="L420" s="171"/>
      <c r="M420" s="171"/>
    </row>
    <row r="421" spans="11:13" ht="18" customHeight="1">
      <c r="K421" s="171" t="s">
        <v>78</v>
      </c>
      <c r="L421" s="171"/>
      <c r="M421" s="171"/>
    </row>
    <row r="422" spans="11:13" ht="18" customHeight="1">
      <c r="K422" s="171" t="s">
        <v>78</v>
      </c>
      <c r="L422" s="171"/>
      <c r="M422" s="171"/>
    </row>
    <row r="423" spans="11:13" ht="18" customHeight="1">
      <c r="K423" s="171" t="s">
        <v>78</v>
      </c>
      <c r="L423" s="171"/>
      <c r="M423" s="171"/>
    </row>
    <row r="424" spans="11:13" ht="18" customHeight="1">
      <c r="K424" s="171" t="s">
        <v>78</v>
      </c>
      <c r="L424" s="171"/>
      <c r="M424" s="171"/>
    </row>
    <row r="425" spans="11:13" ht="18" customHeight="1">
      <c r="K425" s="171" t="s">
        <v>78</v>
      </c>
      <c r="L425" s="171"/>
      <c r="M425" s="171"/>
    </row>
    <row r="426" spans="11:13" ht="18" customHeight="1">
      <c r="K426" s="171" t="s">
        <v>78</v>
      </c>
      <c r="L426" s="171"/>
      <c r="M426" s="171"/>
    </row>
    <row r="427" spans="11:13" ht="18" customHeight="1">
      <c r="K427" s="171" t="s">
        <v>78</v>
      </c>
      <c r="L427" s="171"/>
      <c r="M427" s="171"/>
    </row>
    <row r="428" spans="11:13" ht="18" customHeight="1">
      <c r="K428" s="171" t="s">
        <v>78</v>
      </c>
      <c r="L428" s="171"/>
      <c r="M428" s="171"/>
    </row>
    <row r="429" spans="11:13" ht="18" customHeight="1">
      <c r="K429" s="171" t="s">
        <v>78</v>
      </c>
      <c r="L429" s="171"/>
      <c r="M429" s="171"/>
    </row>
    <row r="430" spans="11:13" ht="18" customHeight="1">
      <c r="K430" s="171" t="s">
        <v>78</v>
      </c>
      <c r="L430" s="171"/>
      <c r="M430" s="171"/>
    </row>
    <row r="431" spans="11:13" ht="18" customHeight="1">
      <c r="K431" s="171" t="s">
        <v>78</v>
      </c>
      <c r="L431" s="171"/>
      <c r="M431" s="171"/>
    </row>
    <row r="432" spans="11:13" ht="18" customHeight="1">
      <c r="K432" s="171" t="s">
        <v>78</v>
      </c>
      <c r="L432" s="171"/>
      <c r="M432" s="171"/>
    </row>
    <row r="433" spans="11:13" ht="18" customHeight="1">
      <c r="K433" s="171" t="s">
        <v>78</v>
      </c>
      <c r="L433" s="171"/>
      <c r="M433" s="171"/>
    </row>
    <row r="434" spans="11:13" ht="18" customHeight="1">
      <c r="K434" s="171" t="s">
        <v>78</v>
      </c>
      <c r="L434" s="171"/>
      <c r="M434" s="171"/>
    </row>
    <row r="435" spans="11:13" ht="18" customHeight="1">
      <c r="K435" s="171" t="s">
        <v>78</v>
      </c>
      <c r="L435" s="171"/>
      <c r="M435" s="171"/>
    </row>
    <row r="436" spans="11:13" ht="18" customHeight="1">
      <c r="K436" s="171" t="s">
        <v>78</v>
      </c>
      <c r="L436" s="171"/>
      <c r="M436" s="171"/>
    </row>
    <row r="437" spans="11:13" ht="18" customHeight="1">
      <c r="K437" s="171" t="s">
        <v>78</v>
      </c>
      <c r="L437" s="171"/>
      <c r="M437" s="171"/>
    </row>
    <row r="438" spans="11:13" ht="18" customHeight="1">
      <c r="K438" s="171" t="s">
        <v>78</v>
      </c>
      <c r="L438" s="171"/>
      <c r="M438" s="171"/>
    </row>
    <row r="439" spans="11:13" ht="18" customHeight="1">
      <c r="K439" s="171" t="s">
        <v>78</v>
      </c>
      <c r="L439" s="171"/>
      <c r="M439" s="171"/>
    </row>
    <row r="440" spans="11:13" ht="18" customHeight="1">
      <c r="K440" s="171" t="s">
        <v>78</v>
      </c>
      <c r="L440" s="171"/>
      <c r="M440" s="171"/>
    </row>
    <row r="441" spans="11:13" ht="18" customHeight="1">
      <c r="K441" s="171" t="s">
        <v>78</v>
      </c>
      <c r="L441" s="171"/>
      <c r="M441" s="171"/>
    </row>
    <row r="442" spans="11:13" ht="18" customHeight="1">
      <c r="K442" s="171" t="s">
        <v>78</v>
      </c>
      <c r="L442" s="171"/>
      <c r="M442" s="171"/>
    </row>
    <row r="443" spans="11:13" ht="18" customHeight="1">
      <c r="K443" s="171" t="s">
        <v>78</v>
      </c>
      <c r="L443" s="171"/>
      <c r="M443" s="171"/>
    </row>
    <row r="444" spans="11:13" ht="18" customHeight="1">
      <c r="K444" s="171" t="s">
        <v>78</v>
      </c>
      <c r="L444" s="171"/>
      <c r="M444" s="171"/>
    </row>
    <row r="445" spans="11:13" ht="18" customHeight="1">
      <c r="K445" s="171" t="s">
        <v>78</v>
      </c>
      <c r="L445" s="171"/>
      <c r="M445" s="171"/>
    </row>
    <row r="446" spans="11:13" ht="18" customHeight="1">
      <c r="K446" s="171" t="s">
        <v>78</v>
      </c>
      <c r="L446" s="171"/>
      <c r="M446" s="171"/>
    </row>
    <row r="447" spans="11:13" ht="18" customHeight="1">
      <c r="K447" s="171" t="s">
        <v>78</v>
      </c>
      <c r="L447" s="171"/>
      <c r="M447" s="171"/>
    </row>
    <row r="448" spans="11:13" ht="18" customHeight="1">
      <c r="K448" s="171" t="s">
        <v>78</v>
      </c>
      <c r="L448" s="171"/>
      <c r="M448" s="171"/>
    </row>
    <row r="449" spans="11:13" ht="18" customHeight="1">
      <c r="K449" s="171" t="s">
        <v>78</v>
      </c>
      <c r="L449" s="171"/>
      <c r="M449" s="171"/>
    </row>
    <row r="450" spans="11:13" ht="18" customHeight="1">
      <c r="K450" s="171" t="s">
        <v>78</v>
      </c>
      <c r="L450" s="171"/>
      <c r="M450" s="171"/>
    </row>
    <row r="451" spans="11:13" ht="18" customHeight="1">
      <c r="K451" s="171" t="s">
        <v>78</v>
      </c>
      <c r="L451" s="171"/>
      <c r="M451" s="171"/>
    </row>
    <row r="452" spans="11:13" ht="18" customHeight="1">
      <c r="K452" s="171" t="s">
        <v>78</v>
      </c>
      <c r="L452" s="171"/>
      <c r="M452" s="171"/>
    </row>
    <row r="453" spans="11:13" ht="18" customHeight="1">
      <c r="K453" s="171" t="s">
        <v>78</v>
      </c>
      <c r="L453" s="171"/>
      <c r="M453" s="171"/>
    </row>
    <row r="454" spans="11:13" ht="18" customHeight="1">
      <c r="K454" s="171" t="s">
        <v>78</v>
      </c>
      <c r="L454" s="171"/>
      <c r="M454" s="171"/>
    </row>
    <row r="455" spans="11:13" ht="18" customHeight="1">
      <c r="K455" s="171" t="s">
        <v>78</v>
      </c>
      <c r="L455" s="171"/>
      <c r="M455" s="171"/>
    </row>
    <row r="456" spans="11:13" ht="18" customHeight="1">
      <c r="K456" s="171" t="s">
        <v>78</v>
      </c>
      <c r="L456" s="171"/>
      <c r="M456" s="171"/>
    </row>
    <row r="457" spans="11:13" ht="18" customHeight="1">
      <c r="K457" s="171" t="s">
        <v>78</v>
      </c>
      <c r="L457" s="171"/>
      <c r="M457" s="171"/>
    </row>
    <row r="458" spans="11:13" ht="18" customHeight="1">
      <c r="K458" s="171" t="s">
        <v>78</v>
      </c>
      <c r="L458" s="171"/>
      <c r="M458" s="171"/>
    </row>
    <row r="459" spans="11:13" ht="18" customHeight="1">
      <c r="K459" s="171" t="s">
        <v>78</v>
      </c>
      <c r="L459" s="171"/>
      <c r="M459" s="171"/>
    </row>
    <row r="460" spans="11:13" ht="18" customHeight="1">
      <c r="K460" s="171" t="s">
        <v>78</v>
      </c>
      <c r="L460" s="171"/>
      <c r="M460" s="171"/>
    </row>
    <row r="461" spans="11:13" ht="18" customHeight="1">
      <c r="K461" s="171" t="s">
        <v>78</v>
      </c>
      <c r="L461" s="171"/>
      <c r="M461" s="171"/>
    </row>
    <row r="462" spans="11:13" ht="18" customHeight="1">
      <c r="K462" s="171" t="s">
        <v>78</v>
      </c>
      <c r="L462" s="171"/>
      <c r="M462" s="171"/>
    </row>
    <row r="463" spans="11:13" ht="18" customHeight="1">
      <c r="K463" s="171" t="s">
        <v>78</v>
      </c>
      <c r="L463" s="171"/>
      <c r="M463" s="171"/>
    </row>
    <row r="464" spans="11:13" ht="18" customHeight="1">
      <c r="K464" s="171" t="s">
        <v>78</v>
      </c>
      <c r="L464" s="171"/>
      <c r="M464" s="171"/>
    </row>
    <row r="465" spans="11:13" ht="18" customHeight="1">
      <c r="K465" s="171" t="s">
        <v>78</v>
      </c>
      <c r="L465" s="171"/>
      <c r="M465" s="171"/>
    </row>
    <row r="466" spans="11:13" ht="18" customHeight="1">
      <c r="K466" s="171" t="s">
        <v>78</v>
      </c>
      <c r="L466" s="171"/>
      <c r="M466" s="171"/>
    </row>
    <row r="467" spans="11:13" ht="18" customHeight="1">
      <c r="K467" s="171" t="s">
        <v>78</v>
      </c>
      <c r="L467" s="171"/>
      <c r="M467" s="171"/>
    </row>
    <row r="468" spans="11:13" ht="18" customHeight="1">
      <c r="K468" s="171" t="s">
        <v>78</v>
      </c>
      <c r="L468" s="171"/>
      <c r="M468" s="171"/>
    </row>
    <row r="469" spans="11:13" ht="18" customHeight="1">
      <c r="K469" s="171" t="s">
        <v>78</v>
      </c>
      <c r="L469" s="171"/>
      <c r="M469" s="171"/>
    </row>
    <row r="470" spans="11:13" ht="18" customHeight="1">
      <c r="K470" s="171" t="s">
        <v>78</v>
      </c>
      <c r="L470" s="171"/>
      <c r="M470" s="171"/>
    </row>
    <row r="471" spans="11:13" ht="18" customHeight="1">
      <c r="K471" s="171" t="s">
        <v>78</v>
      </c>
      <c r="L471" s="171"/>
      <c r="M471" s="171"/>
    </row>
    <row r="472" spans="11:13" ht="18" customHeight="1">
      <c r="K472" s="171" t="s">
        <v>78</v>
      </c>
      <c r="L472" s="171"/>
      <c r="M472" s="171"/>
    </row>
    <row r="473" spans="11:13" ht="18" customHeight="1">
      <c r="K473" s="171" t="s">
        <v>78</v>
      </c>
      <c r="L473" s="171"/>
      <c r="M473" s="171"/>
    </row>
    <row r="474" spans="11:13" ht="18" customHeight="1">
      <c r="K474" s="171" t="s">
        <v>78</v>
      </c>
      <c r="L474" s="171"/>
      <c r="M474" s="171"/>
    </row>
    <row r="475" spans="11:13" ht="18" customHeight="1">
      <c r="K475" s="171" t="s">
        <v>78</v>
      </c>
      <c r="L475" s="171"/>
      <c r="M475" s="171"/>
    </row>
    <row r="476" spans="11:13" ht="18" customHeight="1">
      <c r="K476" s="171" t="s">
        <v>78</v>
      </c>
      <c r="L476" s="171"/>
      <c r="M476" s="171"/>
    </row>
    <row r="477" spans="11:13" ht="18" customHeight="1">
      <c r="K477" s="171" t="s">
        <v>78</v>
      </c>
      <c r="L477" s="171"/>
      <c r="M477" s="171"/>
    </row>
    <row r="478" spans="11:13" ht="18" customHeight="1">
      <c r="K478" s="171" t="s">
        <v>78</v>
      </c>
      <c r="L478" s="171"/>
      <c r="M478" s="171"/>
    </row>
    <row r="479" spans="11:13" ht="18" customHeight="1">
      <c r="K479" s="171" t="s">
        <v>78</v>
      </c>
      <c r="L479" s="171"/>
      <c r="M479" s="171"/>
    </row>
    <row r="480" spans="11:13" ht="18" customHeight="1">
      <c r="K480" s="171" t="s">
        <v>78</v>
      </c>
      <c r="L480" s="171"/>
      <c r="M480" s="171"/>
    </row>
    <row r="481" spans="11:13" ht="18" customHeight="1">
      <c r="K481" s="171" t="s">
        <v>78</v>
      </c>
      <c r="L481" s="171"/>
      <c r="M481" s="171"/>
    </row>
    <row r="482" spans="11:13" ht="18" customHeight="1">
      <c r="K482" s="171" t="s">
        <v>78</v>
      </c>
      <c r="L482" s="171"/>
      <c r="M482" s="171"/>
    </row>
    <row r="483" spans="11:13" ht="18" customHeight="1">
      <c r="K483" s="171" t="s">
        <v>78</v>
      </c>
      <c r="L483" s="171"/>
      <c r="M483" s="171"/>
    </row>
    <row r="484" spans="11:13" ht="18" customHeight="1">
      <c r="K484" s="171" t="s">
        <v>78</v>
      </c>
      <c r="L484" s="171"/>
      <c r="M484" s="171"/>
    </row>
    <row r="485" spans="11:13" ht="18" customHeight="1">
      <c r="K485" s="171" t="s">
        <v>78</v>
      </c>
      <c r="L485" s="171"/>
      <c r="M485" s="171"/>
    </row>
    <row r="486" spans="11:13" ht="18" customHeight="1">
      <c r="K486" s="171" t="s">
        <v>78</v>
      </c>
      <c r="L486" s="171"/>
      <c r="M486" s="171"/>
    </row>
    <row r="487" spans="11:13" ht="18" customHeight="1">
      <c r="K487" s="171" t="s">
        <v>78</v>
      </c>
      <c r="L487" s="171"/>
      <c r="M487" s="171"/>
    </row>
    <row r="488" spans="11:13" ht="18" customHeight="1">
      <c r="K488" s="171" t="s">
        <v>78</v>
      </c>
      <c r="L488" s="171"/>
      <c r="M488" s="171"/>
    </row>
    <row r="489" spans="11:13" ht="18" customHeight="1">
      <c r="K489" s="171" t="s">
        <v>78</v>
      </c>
      <c r="L489" s="171"/>
      <c r="M489" s="171"/>
    </row>
    <row r="490" spans="11:13" ht="18" customHeight="1">
      <c r="K490" s="171" t="s">
        <v>78</v>
      </c>
      <c r="L490" s="171"/>
      <c r="M490" s="171"/>
    </row>
    <row r="491" spans="11:13" ht="18" customHeight="1">
      <c r="K491" s="171" t="s">
        <v>78</v>
      </c>
      <c r="L491" s="171"/>
      <c r="M491" s="171"/>
    </row>
    <row r="492" spans="11:13" ht="18" customHeight="1">
      <c r="K492" s="171" t="s">
        <v>78</v>
      </c>
      <c r="L492" s="171"/>
      <c r="M492" s="171"/>
    </row>
    <row r="493" spans="11:13" ht="18" customHeight="1">
      <c r="K493" s="171" t="s">
        <v>78</v>
      </c>
      <c r="L493" s="171"/>
      <c r="M493" s="171"/>
    </row>
    <row r="494" spans="11:13" ht="18" customHeight="1">
      <c r="K494" s="171" t="s">
        <v>78</v>
      </c>
      <c r="L494" s="171"/>
      <c r="M494" s="171"/>
    </row>
    <row r="495" spans="11:13" ht="18" customHeight="1">
      <c r="K495" s="171" t="s">
        <v>78</v>
      </c>
      <c r="L495" s="171"/>
      <c r="M495" s="171"/>
    </row>
    <row r="496" spans="11:13" ht="18" customHeight="1">
      <c r="K496" s="171" t="s">
        <v>78</v>
      </c>
      <c r="L496" s="171"/>
      <c r="M496" s="171"/>
    </row>
    <row r="497" spans="11:13" ht="18" customHeight="1">
      <c r="K497" s="171" t="s">
        <v>78</v>
      </c>
      <c r="L497" s="171"/>
      <c r="M497" s="171"/>
    </row>
    <row r="498" spans="11:13" ht="18" customHeight="1">
      <c r="K498" s="171" t="s">
        <v>78</v>
      </c>
      <c r="L498" s="171"/>
      <c r="M498" s="171"/>
    </row>
    <row r="499" spans="11:13" ht="18" customHeight="1">
      <c r="K499" s="171" t="s">
        <v>78</v>
      </c>
      <c r="L499" s="171"/>
      <c r="M499" s="171"/>
    </row>
    <row r="500" spans="11:13" ht="18" customHeight="1">
      <c r="K500" s="171" t="s">
        <v>78</v>
      </c>
      <c r="L500" s="171"/>
      <c r="M500" s="171"/>
    </row>
    <row r="501" spans="11:13" ht="18" customHeight="1">
      <c r="K501" s="171" t="s">
        <v>78</v>
      </c>
      <c r="L501" s="171"/>
      <c r="M501" s="171"/>
    </row>
    <row r="502" spans="11:13" ht="18" customHeight="1">
      <c r="K502" s="171" t="s">
        <v>78</v>
      </c>
      <c r="L502" s="171"/>
      <c r="M502" s="171"/>
    </row>
    <row r="503" spans="11:13" ht="18" customHeight="1">
      <c r="K503" s="171" t="s">
        <v>78</v>
      </c>
      <c r="L503" s="171"/>
      <c r="M503" s="171"/>
    </row>
    <row r="504" spans="11:13" ht="18" customHeight="1">
      <c r="K504" s="171" t="s">
        <v>78</v>
      </c>
      <c r="L504" s="171"/>
      <c r="M504" s="171"/>
    </row>
    <row r="505" spans="11:13" ht="18" customHeight="1">
      <c r="K505" s="171" t="s">
        <v>78</v>
      </c>
      <c r="L505" s="171"/>
      <c r="M505" s="171"/>
    </row>
    <row r="506" spans="11:13" ht="18" customHeight="1">
      <c r="K506" s="171" t="s">
        <v>78</v>
      </c>
      <c r="L506" s="171"/>
      <c r="M506" s="171"/>
    </row>
    <row r="507" spans="11:13" ht="18" customHeight="1">
      <c r="K507" s="171" t="s">
        <v>78</v>
      </c>
      <c r="L507" s="171"/>
      <c r="M507" s="171"/>
    </row>
    <row r="508" spans="11:13" ht="18" customHeight="1">
      <c r="K508" s="171" t="s">
        <v>78</v>
      </c>
      <c r="L508" s="171"/>
      <c r="M508" s="171"/>
    </row>
    <row r="509" spans="11:13" ht="18" customHeight="1">
      <c r="K509" s="171" t="s">
        <v>78</v>
      </c>
      <c r="L509" s="171"/>
      <c r="M509" s="171"/>
    </row>
    <row r="510" spans="11:13" ht="18" customHeight="1">
      <c r="K510" s="171" t="s">
        <v>78</v>
      </c>
      <c r="L510" s="171"/>
      <c r="M510" s="171"/>
    </row>
    <row r="511" spans="11:13" ht="18" customHeight="1">
      <c r="K511" s="171" t="s">
        <v>78</v>
      </c>
      <c r="L511" s="171"/>
      <c r="M511" s="171"/>
    </row>
    <row r="512" spans="11:13" ht="18" customHeight="1">
      <c r="K512" s="171" t="s">
        <v>78</v>
      </c>
      <c r="L512" s="171"/>
      <c r="M512" s="171"/>
    </row>
    <row r="513" spans="11:13" ht="18" customHeight="1">
      <c r="K513" s="171" t="s">
        <v>78</v>
      </c>
      <c r="L513" s="171"/>
      <c r="M513" s="171"/>
    </row>
    <row r="514" spans="11:13" ht="18" customHeight="1">
      <c r="K514" s="171" t="s">
        <v>78</v>
      </c>
      <c r="L514" s="171"/>
      <c r="M514" s="171"/>
    </row>
    <row r="515" spans="11:13" ht="18" customHeight="1">
      <c r="K515" s="171" t="s">
        <v>78</v>
      </c>
      <c r="L515" s="171"/>
      <c r="M515" s="171"/>
    </row>
    <row r="516" spans="11:13" ht="18" customHeight="1">
      <c r="K516" s="171" t="s">
        <v>78</v>
      </c>
      <c r="L516" s="171"/>
      <c r="M516" s="171"/>
    </row>
    <row r="517" spans="11:13" ht="18" customHeight="1">
      <c r="K517" s="171" t="s">
        <v>78</v>
      </c>
      <c r="L517" s="171"/>
      <c r="M517" s="171"/>
    </row>
    <row r="518" spans="11:13" ht="18" customHeight="1">
      <c r="K518" s="171" t="s">
        <v>78</v>
      </c>
      <c r="L518" s="171"/>
      <c r="M518" s="171"/>
    </row>
    <row r="519" spans="11:13" ht="18" customHeight="1">
      <c r="K519" s="171" t="s">
        <v>78</v>
      </c>
      <c r="L519" s="171"/>
      <c r="M519" s="171"/>
    </row>
    <row r="520" spans="11:13" ht="18" customHeight="1">
      <c r="K520" s="171" t="s">
        <v>78</v>
      </c>
      <c r="L520" s="171"/>
      <c r="M520" s="171"/>
    </row>
    <row r="521" spans="11:13" ht="18" customHeight="1">
      <c r="K521" s="171" t="s">
        <v>78</v>
      </c>
      <c r="L521" s="171"/>
      <c r="M521" s="171"/>
    </row>
    <row r="522" spans="11:13" ht="18" customHeight="1">
      <c r="K522" s="171" t="s">
        <v>78</v>
      </c>
      <c r="L522" s="171"/>
      <c r="M522" s="171"/>
    </row>
    <row r="523" spans="11:13" ht="18" customHeight="1">
      <c r="K523" s="171" t="s">
        <v>78</v>
      </c>
      <c r="L523" s="171"/>
      <c r="M523" s="171"/>
    </row>
    <row r="524" spans="11:13" ht="18" customHeight="1">
      <c r="K524" s="171" t="s">
        <v>78</v>
      </c>
      <c r="L524" s="171"/>
      <c r="M524" s="171"/>
    </row>
    <row r="525" spans="11:13" ht="18" customHeight="1">
      <c r="K525" s="171" t="s">
        <v>78</v>
      </c>
      <c r="L525" s="171"/>
      <c r="M525" s="171"/>
    </row>
    <row r="526" spans="11:13" ht="18" customHeight="1">
      <c r="K526" s="171" t="s">
        <v>78</v>
      </c>
      <c r="L526" s="171"/>
      <c r="M526" s="171"/>
    </row>
    <row r="527" spans="11:13" ht="18" customHeight="1">
      <c r="K527" s="171" t="s">
        <v>78</v>
      </c>
      <c r="L527" s="171"/>
      <c r="M527" s="171"/>
    </row>
    <row r="528" spans="11:13" ht="18" customHeight="1">
      <c r="K528" s="171" t="s">
        <v>78</v>
      </c>
      <c r="L528" s="171"/>
      <c r="M528" s="171"/>
    </row>
    <row r="529" spans="11:13" ht="18" customHeight="1">
      <c r="K529" s="171" t="s">
        <v>78</v>
      </c>
      <c r="L529" s="171"/>
      <c r="M529" s="171"/>
    </row>
    <row r="530" spans="11:13" ht="18" customHeight="1">
      <c r="K530" s="171" t="s">
        <v>78</v>
      </c>
      <c r="L530" s="171"/>
      <c r="M530" s="171"/>
    </row>
    <row r="531" spans="11:13" ht="18" customHeight="1">
      <c r="K531" s="171" t="s">
        <v>78</v>
      </c>
      <c r="L531" s="171"/>
      <c r="M531" s="171"/>
    </row>
    <row r="532" spans="11:13" ht="18" customHeight="1">
      <c r="K532" s="171" t="s">
        <v>78</v>
      </c>
      <c r="L532" s="171"/>
      <c r="M532" s="171"/>
    </row>
    <row r="533" spans="11:13" ht="18" customHeight="1">
      <c r="K533" s="171" t="s">
        <v>78</v>
      </c>
      <c r="L533" s="171"/>
      <c r="M533" s="171"/>
    </row>
    <row r="534" spans="11:13" ht="18" customHeight="1">
      <c r="K534" s="171" t="s">
        <v>78</v>
      </c>
      <c r="L534" s="171"/>
      <c r="M534" s="171"/>
    </row>
    <row r="535" spans="11:13" ht="18" customHeight="1">
      <c r="K535" s="171" t="s">
        <v>78</v>
      </c>
      <c r="L535" s="171"/>
      <c r="M535" s="171"/>
    </row>
    <row r="536" spans="11:13" ht="18" customHeight="1">
      <c r="K536" s="171" t="s">
        <v>78</v>
      </c>
      <c r="L536" s="171"/>
      <c r="M536" s="171"/>
    </row>
    <row r="537" spans="11:13" ht="18" customHeight="1">
      <c r="K537" s="171" t="s">
        <v>78</v>
      </c>
      <c r="L537" s="171"/>
      <c r="M537" s="171"/>
    </row>
    <row r="538" spans="11:13" ht="18" customHeight="1">
      <c r="K538" s="171" t="s">
        <v>78</v>
      </c>
      <c r="L538" s="171"/>
      <c r="M538" s="171"/>
    </row>
    <row r="539" spans="11:13" ht="18" customHeight="1">
      <c r="K539" s="171" t="s">
        <v>78</v>
      </c>
      <c r="L539" s="171"/>
      <c r="M539" s="171"/>
    </row>
    <row r="540" spans="11:13" ht="18" customHeight="1">
      <c r="K540" s="171" t="s">
        <v>78</v>
      </c>
      <c r="L540" s="171"/>
      <c r="M540" s="171"/>
    </row>
    <row r="541" spans="11:13" ht="18" customHeight="1">
      <c r="K541" s="171" t="s">
        <v>78</v>
      </c>
      <c r="L541" s="171"/>
      <c r="M541" s="171"/>
    </row>
    <row r="542" spans="11:13" ht="18" customHeight="1">
      <c r="K542" s="171" t="s">
        <v>78</v>
      </c>
      <c r="L542" s="171"/>
      <c r="M542" s="171"/>
    </row>
    <row r="543" spans="11:13" ht="18" customHeight="1">
      <c r="K543" s="171" t="s">
        <v>78</v>
      </c>
      <c r="L543" s="171"/>
      <c r="M543" s="171"/>
    </row>
    <row r="544" spans="11:13" ht="18" customHeight="1">
      <c r="K544" s="171" t="s">
        <v>78</v>
      </c>
      <c r="L544" s="171"/>
      <c r="M544" s="171"/>
    </row>
    <row r="545" spans="11:13" ht="18" customHeight="1">
      <c r="K545" s="171" t="s">
        <v>78</v>
      </c>
      <c r="L545" s="171"/>
      <c r="M545" s="171"/>
    </row>
    <row r="546" spans="11:13" ht="18" customHeight="1">
      <c r="K546" s="171" t="s">
        <v>78</v>
      </c>
      <c r="L546" s="171"/>
      <c r="M546" s="171"/>
    </row>
    <row r="547" spans="11:13" ht="18" customHeight="1">
      <c r="K547" s="171" t="s">
        <v>78</v>
      </c>
      <c r="L547" s="171"/>
      <c r="M547" s="171"/>
    </row>
    <row r="548" spans="11:13" ht="18" customHeight="1">
      <c r="K548" s="171" t="s">
        <v>78</v>
      </c>
      <c r="L548" s="171"/>
      <c r="M548" s="171"/>
    </row>
    <row r="549" spans="11:13" ht="18" customHeight="1">
      <c r="K549" s="171" t="s">
        <v>78</v>
      </c>
      <c r="L549" s="171"/>
      <c r="M549" s="171"/>
    </row>
    <row r="550" spans="11:13" ht="18" customHeight="1">
      <c r="K550" s="171" t="s">
        <v>78</v>
      </c>
      <c r="L550" s="171"/>
      <c r="M550" s="171"/>
    </row>
    <row r="551" spans="11:13" ht="18" customHeight="1">
      <c r="K551" s="171" t="s">
        <v>78</v>
      </c>
      <c r="L551" s="171"/>
      <c r="M551" s="171"/>
    </row>
    <row r="552" spans="11:13" ht="18" customHeight="1">
      <c r="K552" s="171" t="s">
        <v>78</v>
      </c>
      <c r="L552" s="171"/>
      <c r="M552" s="171"/>
    </row>
    <row r="553" spans="11:13" ht="18" customHeight="1">
      <c r="K553" s="171" t="s">
        <v>78</v>
      </c>
      <c r="L553" s="171"/>
      <c r="M553" s="171"/>
    </row>
    <row r="554" spans="11:13" ht="18" customHeight="1">
      <c r="K554" s="171" t="s">
        <v>78</v>
      </c>
      <c r="L554" s="171"/>
      <c r="M554" s="171"/>
    </row>
    <row r="555" spans="11:13" ht="18" customHeight="1">
      <c r="K555" s="171" t="s">
        <v>78</v>
      </c>
      <c r="L555" s="171"/>
      <c r="M555" s="171"/>
    </row>
    <row r="556" spans="11:13" ht="18" customHeight="1">
      <c r="K556" s="171" t="s">
        <v>78</v>
      </c>
      <c r="L556" s="171"/>
      <c r="M556" s="171"/>
    </row>
    <row r="557" spans="11:13" ht="18" customHeight="1">
      <c r="K557" s="171" t="s">
        <v>78</v>
      </c>
      <c r="L557" s="171"/>
      <c r="M557" s="171"/>
    </row>
    <row r="558" spans="11:13" ht="18" customHeight="1">
      <c r="K558" s="171" t="s">
        <v>78</v>
      </c>
      <c r="L558" s="171"/>
      <c r="M558" s="171"/>
    </row>
    <row r="559" spans="11:13" ht="18" customHeight="1">
      <c r="K559" s="171" t="s">
        <v>78</v>
      </c>
      <c r="L559" s="171"/>
      <c r="M559" s="171"/>
    </row>
    <row r="560" spans="11:13" ht="18" customHeight="1">
      <c r="K560" s="171" t="s">
        <v>78</v>
      </c>
      <c r="L560" s="171"/>
      <c r="M560" s="171"/>
    </row>
    <row r="561" spans="11:13" ht="18" customHeight="1">
      <c r="K561" s="171" t="s">
        <v>78</v>
      </c>
      <c r="L561" s="171"/>
      <c r="M561" s="171"/>
    </row>
    <row r="562" spans="11:13" ht="18" customHeight="1">
      <c r="K562" s="171" t="s">
        <v>78</v>
      </c>
      <c r="L562" s="171"/>
      <c r="M562" s="171"/>
    </row>
    <row r="563" spans="11:13" ht="18" customHeight="1">
      <c r="K563" s="171" t="s">
        <v>78</v>
      </c>
      <c r="L563" s="171"/>
      <c r="M563" s="171"/>
    </row>
    <row r="564" spans="11:13" ht="18" customHeight="1">
      <c r="K564" s="171" t="s">
        <v>78</v>
      </c>
      <c r="L564" s="171"/>
      <c r="M564" s="171"/>
    </row>
    <row r="565" spans="11:13" ht="18" customHeight="1">
      <c r="K565" s="171" t="s">
        <v>78</v>
      </c>
      <c r="L565" s="171"/>
      <c r="M565" s="171"/>
    </row>
    <row r="566" spans="11:13" ht="18" customHeight="1">
      <c r="K566" s="171" t="s">
        <v>78</v>
      </c>
      <c r="L566" s="171"/>
      <c r="M566" s="171"/>
    </row>
    <row r="567" spans="11:13" ht="18" customHeight="1">
      <c r="K567" s="171" t="s">
        <v>78</v>
      </c>
      <c r="L567" s="171"/>
      <c r="M567" s="171"/>
    </row>
    <row r="568" spans="11:13" ht="18" customHeight="1">
      <c r="K568" s="171" t="s">
        <v>78</v>
      </c>
      <c r="L568" s="171"/>
      <c r="M568" s="171"/>
    </row>
    <row r="569" spans="11:13" ht="18" customHeight="1">
      <c r="K569" s="171" t="s">
        <v>78</v>
      </c>
      <c r="L569" s="171"/>
      <c r="M569" s="171"/>
    </row>
    <row r="570" spans="11:13" ht="18" customHeight="1">
      <c r="K570" s="171" t="s">
        <v>78</v>
      </c>
      <c r="L570" s="171"/>
      <c r="M570" s="171"/>
    </row>
    <row r="571" spans="11:13" ht="18" customHeight="1">
      <c r="K571" s="171" t="s">
        <v>78</v>
      </c>
      <c r="L571" s="171"/>
      <c r="M571" s="171"/>
    </row>
    <row r="572" spans="11:13" ht="18" customHeight="1">
      <c r="K572" s="171" t="s">
        <v>78</v>
      </c>
      <c r="L572" s="171"/>
      <c r="M572" s="171"/>
    </row>
    <row r="573" spans="11:13" ht="18" customHeight="1">
      <c r="K573" s="171" t="s">
        <v>78</v>
      </c>
      <c r="L573" s="171"/>
      <c r="M573" s="171"/>
    </row>
    <row r="574" spans="11:13" ht="18" customHeight="1">
      <c r="K574" s="171" t="s">
        <v>78</v>
      </c>
      <c r="L574" s="171"/>
      <c r="M574" s="171"/>
    </row>
    <row r="575" spans="11:13" ht="18" customHeight="1">
      <c r="K575" s="171" t="s">
        <v>78</v>
      </c>
      <c r="L575" s="171"/>
      <c r="M575" s="171"/>
    </row>
    <row r="576" spans="11:13" ht="18" customHeight="1">
      <c r="K576" s="171" t="s">
        <v>78</v>
      </c>
      <c r="L576" s="171"/>
      <c r="M576" s="171"/>
    </row>
    <row r="577" spans="11:13" ht="18" customHeight="1">
      <c r="K577" s="171" t="s">
        <v>78</v>
      </c>
      <c r="L577" s="171"/>
      <c r="M577" s="171"/>
    </row>
    <row r="578" spans="11:13" ht="18" customHeight="1">
      <c r="K578" s="171" t="s">
        <v>78</v>
      </c>
      <c r="L578" s="171"/>
      <c r="M578" s="171"/>
    </row>
    <row r="579" spans="11:13" ht="18" customHeight="1">
      <c r="K579" s="171" t="s">
        <v>78</v>
      </c>
      <c r="L579" s="171"/>
      <c r="M579" s="171"/>
    </row>
    <row r="580" spans="11:13" ht="18" customHeight="1">
      <c r="K580" s="171" t="s">
        <v>78</v>
      </c>
      <c r="L580" s="171"/>
      <c r="M580" s="171"/>
    </row>
    <row r="581" spans="11:13" ht="18" customHeight="1">
      <c r="K581" s="171" t="s">
        <v>78</v>
      </c>
      <c r="L581" s="171"/>
      <c r="M581" s="171"/>
    </row>
    <row r="582" spans="11:13" ht="18" customHeight="1">
      <c r="K582" s="171" t="s">
        <v>78</v>
      </c>
      <c r="L582" s="171"/>
      <c r="M582" s="171"/>
    </row>
    <row r="583" spans="11:13" ht="18" customHeight="1">
      <c r="K583" s="171" t="s">
        <v>78</v>
      </c>
      <c r="L583" s="171"/>
      <c r="M583" s="171"/>
    </row>
    <row r="584" spans="11:13" ht="18" customHeight="1">
      <c r="K584" s="171" t="s">
        <v>78</v>
      </c>
      <c r="L584" s="171"/>
      <c r="M584" s="171"/>
    </row>
    <row r="585" spans="11:13" ht="18" customHeight="1">
      <c r="K585" s="171" t="s">
        <v>78</v>
      </c>
      <c r="L585" s="171"/>
      <c r="M585" s="171"/>
    </row>
    <row r="586" spans="11:13" ht="18" customHeight="1">
      <c r="K586" s="171" t="s">
        <v>78</v>
      </c>
      <c r="L586" s="171"/>
      <c r="M586" s="171"/>
    </row>
    <row r="587" spans="11:13" ht="18" customHeight="1">
      <c r="K587" s="171" t="s">
        <v>78</v>
      </c>
      <c r="L587" s="171"/>
      <c r="M587" s="171"/>
    </row>
    <row r="588" spans="11:13" ht="18" customHeight="1">
      <c r="K588" s="171" t="s">
        <v>78</v>
      </c>
      <c r="L588" s="171"/>
      <c r="M588" s="171"/>
    </row>
    <row r="589" spans="11:13" ht="18" customHeight="1">
      <c r="K589" s="171" t="s">
        <v>78</v>
      </c>
      <c r="L589" s="171"/>
      <c r="M589" s="171"/>
    </row>
    <row r="590" spans="11:13" ht="18" customHeight="1">
      <c r="K590" s="171" t="s">
        <v>78</v>
      </c>
      <c r="L590" s="171"/>
      <c r="M590" s="171"/>
    </row>
    <row r="591" spans="11:13" ht="18" customHeight="1">
      <c r="K591" s="171" t="s">
        <v>78</v>
      </c>
      <c r="L591" s="171"/>
      <c r="M591" s="171"/>
    </row>
    <row r="592" spans="11:13" ht="18" customHeight="1">
      <c r="K592" s="171" t="s">
        <v>78</v>
      </c>
      <c r="L592" s="171"/>
      <c r="M592" s="171"/>
    </row>
    <row r="593" spans="11:13" ht="18" customHeight="1">
      <c r="K593" s="171" t="s">
        <v>78</v>
      </c>
      <c r="L593" s="171"/>
      <c r="M593" s="171"/>
    </row>
    <row r="594" spans="11:13" ht="18" customHeight="1">
      <c r="K594" s="171" t="s">
        <v>78</v>
      </c>
      <c r="L594" s="171"/>
      <c r="M594" s="171"/>
    </row>
    <row r="595" spans="11:13" ht="18" customHeight="1">
      <c r="K595" s="171" t="s">
        <v>78</v>
      </c>
      <c r="L595" s="171"/>
      <c r="M595" s="171"/>
    </row>
    <row r="596" spans="11:13" ht="18" customHeight="1">
      <c r="K596" s="171" t="s">
        <v>78</v>
      </c>
      <c r="L596" s="171"/>
      <c r="M596" s="171"/>
    </row>
    <row r="597" spans="11:13" ht="18" customHeight="1">
      <c r="K597" s="171" t="s">
        <v>78</v>
      </c>
      <c r="L597" s="171"/>
      <c r="M597" s="171"/>
    </row>
    <row r="598" spans="11:13" ht="18" customHeight="1">
      <c r="K598" s="171" t="s">
        <v>78</v>
      </c>
      <c r="L598" s="171"/>
      <c r="M598" s="171"/>
    </row>
    <row r="599" spans="11:13" ht="18" customHeight="1">
      <c r="K599" s="171" t="s">
        <v>78</v>
      </c>
      <c r="L599" s="171"/>
      <c r="M599" s="171"/>
    </row>
    <row r="600" spans="11:13" ht="18" customHeight="1">
      <c r="K600" s="171" t="s">
        <v>78</v>
      </c>
      <c r="L600" s="171"/>
      <c r="M600" s="171"/>
    </row>
    <row r="601" spans="11:13" ht="18" customHeight="1">
      <c r="K601" s="171" t="s">
        <v>78</v>
      </c>
      <c r="L601" s="171"/>
      <c r="M601" s="171"/>
    </row>
    <row r="602" spans="11:13" ht="18" customHeight="1">
      <c r="K602" s="171" t="s">
        <v>78</v>
      </c>
      <c r="L602" s="171"/>
      <c r="M602" s="171"/>
    </row>
    <row r="603" spans="11:13" ht="18" customHeight="1">
      <c r="K603" s="171" t="s">
        <v>78</v>
      </c>
      <c r="L603" s="171"/>
      <c r="M603" s="171"/>
    </row>
    <row r="604" spans="11:13" ht="18" customHeight="1">
      <c r="K604" s="171" t="s">
        <v>78</v>
      </c>
      <c r="L604" s="171"/>
      <c r="M604" s="171"/>
    </row>
    <row r="605" spans="11:13" ht="18" customHeight="1">
      <c r="K605" s="171" t="s">
        <v>78</v>
      </c>
      <c r="L605" s="171"/>
      <c r="M605" s="171"/>
    </row>
    <row r="606" spans="11:13" ht="18" customHeight="1">
      <c r="K606" s="171" t="s">
        <v>78</v>
      </c>
      <c r="L606" s="171"/>
      <c r="M606" s="171"/>
    </row>
    <row r="607" spans="11:13" ht="18" customHeight="1">
      <c r="K607" s="171" t="s">
        <v>78</v>
      </c>
      <c r="L607" s="171"/>
      <c r="M607" s="171"/>
    </row>
    <row r="608" spans="11:13" ht="18" customHeight="1">
      <c r="K608" s="171" t="s">
        <v>78</v>
      </c>
      <c r="L608" s="171"/>
      <c r="M608" s="171"/>
    </row>
    <row r="609" spans="11:13" ht="18" customHeight="1">
      <c r="K609" s="171" t="s">
        <v>78</v>
      </c>
      <c r="L609" s="171"/>
      <c r="M609" s="171"/>
    </row>
    <row r="610" spans="11:13" ht="18" customHeight="1">
      <c r="K610" s="171" t="s">
        <v>78</v>
      </c>
      <c r="L610" s="171"/>
      <c r="M610" s="171"/>
    </row>
    <row r="611" spans="11:13" ht="18" customHeight="1">
      <c r="K611" s="171" t="s">
        <v>78</v>
      </c>
      <c r="L611" s="171"/>
      <c r="M611" s="171"/>
    </row>
    <row r="612" spans="11:13" ht="18" customHeight="1">
      <c r="K612" s="171" t="s">
        <v>78</v>
      </c>
      <c r="L612" s="171"/>
      <c r="M612" s="171"/>
    </row>
    <row r="613" spans="11:13" ht="18" customHeight="1">
      <c r="K613" s="171" t="s">
        <v>78</v>
      </c>
      <c r="L613" s="171"/>
      <c r="M613" s="171"/>
    </row>
    <row r="614" spans="11:13" ht="18" customHeight="1">
      <c r="K614" s="171" t="s">
        <v>78</v>
      </c>
      <c r="L614" s="171"/>
      <c r="M614" s="171"/>
    </row>
    <row r="615" spans="11:13" ht="18" customHeight="1">
      <c r="K615" s="171" t="s">
        <v>78</v>
      </c>
      <c r="L615" s="171"/>
      <c r="M615" s="171"/>
    </row>
    <row r="616" spans="11:13" ht="18" customHeight="1">
      <c r="K616" s="171" t="s">
        <v>78</v>
      </c>
      <c r="L616" s="171"/>
      <c r="M616" s="171"/>
    </row>
    <row r="617" spans="11:13" ht="18" customHeight="1">
      <c r="K617" s="171" t="s">
        <v>78</v>
      </c>
      <c r="L617" s="171"/>
      <c r="M617" s="171"/>
    </row>
    <row r="618" spans="11:13" ht="18" customHeight="1">
      <c r="K618" s="171" t="s">
        <v>78</v>
      </c>
      <c r="L618" s="171"/>
      <c r="M618" s="171"/>
    </row>
    <row r="619" spans="11:13" ht="18" customHeight="1">
      <c r="K619" s="171" t="s">
        <v>78</v>
      </c>
      <c r="L619" s="171"/>
      <c r="M619" s="171"/>
    </row>
    <row r="620" spans="11:13" ht="18" customHeight="1">
      <c r="K620" s="171" t="s">
        <v>78</v>
      </c>
      <c r="L620" s="171"/>
      <c r="M620" s="171"/>
    </row>
    <row r="621" spans="11:13" ht="18" customHeight="1">
      <c r="K621" s="171" t="s">
        <v>78</v>
      </c>
      <c r="L621" s="171"/>
      <c r="M621" s="171"/>
    </row>
    <row r="622" spans="11:13" ht="18" customHeight="1">
      <c r="K622" s="171" t="s">
        <v>78</v>
      </c>
      <c r="L622" s="171"/>
      <c r="M622" s="171"/>
    </row>
    <row r="623" spans="11:13" ht="18" customHeight="1">
      <c r="K623" s="171" t="s">
        <v>78</v>
      </c>
      <c r="L623" s="171"/>
      <c r="M623" s="171"/>
    </row>
    <row r="624" spans="11:13" ht="18" customHeight="1">
      <c r="K624" s="171" t="s">
        <v>78</v>
      </c>
      <c r="L624" s="171"/>
      <c r="M624" s="171"/>
    </row>
    <row r="625" spans="11:13" ht="18" customHeight="1">
      <c r="K625" s="171" t="s">
        <v>78</v>
      </c>
      <c r="L625" s="171"/>
      <c r="M625" s="171"/>
    </row>
    <row r="626" spans="11:13" ht="18" customHeight="1">
      <c r="K626" s="171" t="s">
        <v>78</v>
      </c>
      <c r="L626" s="171"/>
      <c r="M626" s="171"/>
    </row>
    <row r="627" spans="11:13" ht="18" customHeight="1">
      <c r="K627" s="171" t="s">
        <v>78</v>
      </c>
      <c r="L627" s="171"/>
      <c r="M627" s="171"/>
    </row>
    <row r="628" spans="11:13" ht="18" customHeight="1">
      <c r="K628" s="171" t="s">
        <v>78</v>
      </c>
      <c r="L628" s="171"/>
      <c r="M628" s="171"/>
    </row>
    <row r="629" spans="11:13" ht="18" customHeight="1">
      <c r="K629" s="171" t="s">
        <v>78</v>
      </c>
      <c r="L629" s="171"/>
      <c r="M629" s="171"/>
    </row>
    <row r="630" spans="11:13" ht="18" customHeight="1">
      <c r="K630" s="171" t="s">
        <v>78</v>
      </c>
      <c r="L630" s="171"/>
      <c r="M630" s="171"/>
    </row>
    <row r="631" spans="11:13" ht="18" customHeight="1">
      <c r="K631" s="171" t="s">
        <v>78</v>
      </c>
      <c r="L631" s="171"/>
      <c r="M631" s="171"/>
    </row>
    <row r="632" spans="11:13" ht="18" customHeight="1">
      <c r="K632" s="171" t="s">
        <v>78</v>
      </c>
      <c r="L632" s="171"/>
      <c r="M632" s="171"/>
    </row>
    <row r="633" spans="11:13" ht="18" customHeight="1">
      <c r="K633" s="171" t="s">
        <v>78</v>
      </c>
      <c r="L633" s="171"/>
      <c r="M633" s="171"/>
    </row>
    <row r="634" spans="11:13" ht="18" customHeight="1">
      <c r="K634" s="171" t="s">
        <v>78</v>
      </c>
      <c r="L634" s="171"/>
      <c r="M634" s="171"/>
    </row>
    <row r="635" spans="11:13" ht="18" customHeight="1">
      <c r="K635" s="171" t="s">
        <v>78</v>
      </c>
      <c r="L635" s="171"/>
      <c r="M635" s="171"/>
    </row>
    <row r="636" spans="11:13" ht="18" customHeight="1">
      <c r="K636" s="171" t="s">
        <v>78</v>
      </c>
      <c r="L636" s="171"/>
      <c r="M636" s="171"/>
    </row>
    <row r="637" spans="11:13" ht="18" customHeight="1">
      <c r="K637" s="171" t="s">
        <v>78</v>
      </c>
      <c r="L637" s="171"/>
      <c r="M637" s="171"/>
    </row>
    <row r="638" spans="11:13" ht="18" customHeight="1">
      <c r="K638" s="171" t="s">
        <v>78</v>
      </c>
      <c r="L638" s="171"/>
      <c r="M638" s="171"/>
    </row>
    <row r="639" spans="11:13" ht="18" customHeight="1">
      <c r="K639" s="171" t="s">
        <v>78</v>
      </c>
      <c r="L639" s="171"/>
      <c r="M639" s="171"/>
    </row>
    <row r="640" spans="11:13" ht="18" customHeight="1">
      <c r="K640" s="171" t="s">
        <v>78</v>
      </c>
      <c r="L640" s="171"/>
      <c r="M640" s="171"/>
    </row>
    <row r="641" spans="11:13" ht="18" customHeight="1">
      <c r="K641" s="171" t="s">
        <v>78</v>
      </c>
      <c r="L641" s="171"/>
      <c r="M641" s="171"/>
    </row>
    <row r="642" spans="11:13" ht="18" customHeight="1">
      <c r="K642" s="171" t="s">
        <v>78</v>
      </c>
      <c r="L642" s="171"/>
      <c r="M642" s="171"/>
    </row>
    <row r="643" spans="11:13" ht="18" customHeight="1">
      <c r="K643" s="171" t="s">
        <v>78</v>
      </c>
      <c r="L643" s="171"/>
      <c r="M643" s="171"/>
    </row>
    <row r="644" spans="11:13" ht="18" customHeight="1">
      <c r="K644" s="171" t="s">
        <v>78</v>
      </c>
      <c r="L644" s="171"/>
      <c r="M644" s="171"/>
    </row>
    <row r="645" spans="11:13" ht="18" customHeight="1">
      <c r="K645" s="171" t="s">
        <v>78</v>
      </c>
      <c r="L645" s="171"/>
      <c r="M645" s="171"/>
    </row>
    <row r="646" spans="11:13" ht="18" customHeight="1">
      <c r="K646" s="171" t="s">
        <v>78</v>
      </c>
      <c r="L646" s="171"/>
      <c r="M646" s="171"/>
    </row>
    <row r="647" spans="11:13" ht="18" customHeight="1">
      <c r="K647" s="171" t="s">
        <v>78</v>
      </c>
      <c r="L647" s="171"/>
      <c r="M647" s="171"/>
    </row>
    <row r="648" spans="11:13" ht="18" customHeight="1">
      <c r="K648" s="171" t="s">
        <v>78</v>
      </c>
      <c r="L648" s="171"/>
      <c r="M648" s="171"/>
    </row>
    <row r="649" spans="11:13" ht="18" customHeight="1">
      <c r="K649" s="171" t="s">
        <v>78</v>
      </c>
      <c r="L649" s="171"/>
      <c r="M649" s="171"/>
    </row>
    <row r="650" spans="11:13" ht="18" customHeight="1">
      <c r="K650" s="171" t="s">
        <v>78</v>
      </c>
      <c r="L650" s="171"/>
      <c r="M650" s="171"/>
    </row>
    <row r="651" spans="11:13" ht="18" customHeight="1">
      <c r="K651" s="171" t="s">
        <v>78</v>
      </c>
      <c r="L651" s="171"/>
      <c r="M651" s="171"/>
    </row>
    <row r="652" spans="11:13" ht="18" customHeight="1">
      <c r="K652" s="171" t="s">
        <v>78</v>
      </c>
      <c r="L652" s="171"/>
      <c r="M652" s="171"/>
    </row>
    <row r="653" spans="11:13" ht="18" customHeight="1">
      <c r="K653" s="171" t="s">
        <v>78</v>
      </c>
      <c r="L653" s="171"/>
      <c r="M653" s="171"/>
    </row>
    <row r="654" spans="11:13" ht="18" customHeight="1">
      <c r="K654" s="171" t="s">
        <v>78</v>
      </c>
      <c r="L654" s="171"/>
      <c r="M654" s="171"/>
    </row>
    <row r="655" spans="11:13" ht="18" customHeight="1">
      <c r="K655" s="171" t="s">
        <v>78</v>
      </c>
      <c r="L655" s="171"/>
      <c r="M655" s="171"/>
    </row>
    <row r="656" spans="11:13" ht="18" customHeight="1">
      <c r="K656" s="171" t="s">
        <v>78</v>
      </c>
      <c r="L656" s="171"/>
      <c r="M656" s="171"/>
    </row>
    <row r="657" spans="11:13" ht="18" customHeight="1">
      <c r="K657" s="171" t="s">
        <v>78</v>
      </c>
      <c r="L657" s="171"/>
      <c r="M657" s="171"/>
    </row>
    <row r="658" spans="11:13" ht="18" customHeight="1">
      <c r="K658" s="171" t="s">
        <v>78</v>
      </c>
      <c r="L658" s="171"/>
      <c r="M658" s="171"/>
    </row>
    <row r="659" spans="11:13" ht="18" customHeight="1">
      <c r="K659" s="171" t="s">
        <v>78</v>
      </c>
      <c r="L659" s="171"/>
      <c r="M659" s="171"/>
    </row>
    <row r="660" spans="11:13" ht="18" customHeight="1">
      <c r="K660" s="171" t="s">
        <v>78</v>
      </c>
      <c r="L660" s="171"/>
      <c r="M660" s="171"/>
    </row>
    <row r="661" spans="11:13" ht="18" customHeight="1">
      <c r="K661" s="171" t="s">
        <v>78</v>
      </c>
      <c r="L661" s="171"/>
      <c r="M661" s="171"/>
    </row>
    <row r="662" spans="11:13" ht="18" customHeight="1">
      <c r="K662" s="171" t="s">
        <v>78</v>
      </c>
      <c r="L662" s="171"/>
      <c r="M662" s="171"/>
    </row>
    <row r="663" spans="11:13" ht="18" customHeight="1">
      <c r="K663" s="171" t="s">
        <v>78</v>
      </c>
      <c r="L663" s="171"/>
      <c r="M663" s="171"/>
    </row>
    <row r="664" spans="11:13" ht="18" customHeight="1">
      <c r="K664" s="171" t="s">
        <v>78</v>
      </c>
      <c r="L664" s="171"/>
      <c r="M664" s="171"/>
    </row>
    <row r="665" spans="11:13" ht="18" customHeight="1">
      <c r="K665" s="171" t="s">
        <v>78</v>
      </c>
      <c r="L665" s="171"/>
      <c r="M665" s="171"/>
    </row>
    <row r="666" spans="11:13" ht="18" customHeight="1">
      <c r="K666" s="171" t="s">
        <v>78</v>
      </c>
      <c r="L666" s="171"/>
      <c r="M666" s="171"/>
    </row>
    <row r="667" spans="11:13" ht="18" customHeight="1">
      <c r="K667" s="171" t="s">
        <v>78</v>
      </c>
      <c r="L667" s="171"/>
      <c r="M667" s="171"/>
    </row>
    <row r="668" spans="11:13" ht="18" customHeight="1">
      <c r="K668" s="171" t="s">
        <v>78</v>
      </c>
      <c r="L668" s="171"/>
      <c r="M668" s="171"/>
    </row>
    <row r="669" spans="11:13" ht="18" customHeight="1">
      <c r="K669" s="171" t="s">
        <v>78</v>
      </c>
      <c r="L669" s="171"/>
      <c r="M669" s="171"/>
    </row>
    <row r="670" spans="11:13" ht="18" customHeight="1">
      <c r="K670" s="171" t="s">
        <v>78</v>
      </c>
      <c r="L670" s="171"/>
      <c r="M670" s="171"/>
    </row>
    <row r="671" spans="11:13" ht="18" customHeight="1">
      <c r="K671" s="171" t="s">
        <v>78</v>
      </c>
      <c r="L671" s="171"/>
      <c r="M671" s="171"/>
    </row>
    <row r="672" spans="11:13" ht="18" customHeight="1">
      <c r="K672" s="171" t="s">
        <v>78</v>
      </c>
      <c r="L672" s="171"/>
      <c r="M672" s="171"/>
    </row>
    <row r="673" spans="11:13" ht="18" customHeight="1">
      <c r="K673" s="171" t="s">
        <v>78</v>
      </c>
      <c r="L673" s="171"/>
      <c r="M673" s="171"/>
    </row>
    <row r="674" spans="11:13" ht="18" customHeight="1">
      <c r="K674" s="171" t="s">
        <v>78</v>
      </c>
      <c r="L674" s="171"/>
      <c r="M674" s="171"/>
    </row>
    <row r="675" spans="11:13" ht="18" customHeight="1">
      <c r="K675" s="171" t="s">
        <v>78</v>
      </c>
      <c r="L675" s="171"/>
      <c r="M675" s="171"/>
    </row>
    <row r="676" spans="11:13" ht="18" customHeight="1">
      <c r="K676" s="171" t="s">
        <v>78</v>
      </c>
      <c r="L676" s="171"/>
      <c r="M676" s="171"/>
    </row>
    <row r="677" spans="11:13" ht="18" customHeight="1">
      <c r="K677" s="171" t="s">
        <v>78</v>
      </c>
      <c r="L677" s="171"/>
      <c r="M677" s="171"/>
    </row>
    <row r="678" spans="11:13" ht="18" customHeight="1">
      <c r="K678" s="171" t="s">
        <v>78</v>
      </c>
      <c r="L678" s="171"/>
      <c r="M678" s="171"/>
    </row>
    <row r="679" spans="11:13" ht="18" customHeight="1">
      <c r="K679" s="171" t="s">
        <v>78</v>
      </c>
      <c r="L679" s="171"/>
      <c r="M679" s="171"/>
    </row>
    <row r="680" spans="11:13" ht="18" customHeight="1">
      <c r="K680" s="171" t="s">
        <v>78</v>
      </c>
      <c r="L680" s="171"/>
      <c r="M680" s="171"/>
    </row>
    <row r="681" spans="11:13" ht="18" customHeight="1">
      <c r="K681" s="171" t="s">
        <v>78</v>
      </c>
      <c r="L681" s="171"/>
      <c r="M681" s="171"/>
    </row>
    <row r="682" spans="11:13" ht="18" customHeight="1">
      <c r="K682" s="171" t="s">
        <v>78</v>
      </c>
      <c r="L682" s="171"/>
      <c r="M682" s="171"/>
    </row>
    <row r="683" spans="11:13" ht="18" customHeight="1">
      <c r="K683" s="171" t="s">
        <v>78</v>
      </c>
      <c r="L683" s="171"/>
      <c r="M683" s="171"/>
    </row>
    <row r="684" spans="11:13" ht="18" customHeight="1">
      <c r="K684" s="171" t="s">
        <v>78</v>
      </c>
      <c r="L684" s="171"/>
      <c r="M684" s="171"/>
    </row>
    <row r="685" spans="11:13" ht="18" customHeight="1">
      <c r="K685" s="171" t="s">
        <v>78</v>
      </c>
      <c r="L685" s="171"/>
      <c r="M685" s="171"/>
    </row>
    <row r="686" spans="11:13" ht="18" customHeight="1">
      <c r="K686" s="171" t="s">
        <v>78</v>
      </c>
      <c r="L686" s="171"/>
      <c r="M686" s="171"/>
    </row>
    <row r="687" spans="11:13" ht="18" customHeight="1">
      <c r="K687" s="171" t="s">
        <v>78</v>
      </c>
      <c r="L687" s="171"/>
      <c r="M687" s="171"/>
    </row>
    <row r="688" spans="11:13" ht="18" customHeight="1">
      <c r="K688" s="171" t="s">
        <v>78</v>
      </c>
      <c r="L688" s="171"/>
      <c r="M688" s="171"/>
    </row>
    <row r="689" spans="11:13" ht="18" customHeight="1">
      <c r="K689" s="171" t="s">
        <v>78</v>
      </c>
      <c r="L689" s="171"/>
      <c r="M689" s="171"/>
    </row>
    <row r="690" spans="11:13" ht="18" customHeight="1">
      <c r="K690" s="171" t="s">
        <v>78</v>
      </c>
      <c r="L690" s="171"/>
      <c r="M690" s="171"/>
    </row>
    <row r="691" spans="11:13" ht="18" customHeight="1">
      <c r="K691" s="171" t="s">
        <v>78</v>
      </c>
      <c r="L691" s="171"/>
      <c r="M691" s="171"/>
    </row>
    <row r="692" spans="11:13" ht="18" customHeight="1">
      <c r="K692" s="171" t="s">
        <v>78</v>
      </c>
      <c r="L692" s="171"/>
      <c r="M692" s="171"/>
    </row>
    <row r="693" spans="11:13" ht="18" customHeight="1">
      <c r="K693" s="171" t="s">
        <v>78</v>
      </c>
      <c r="L693" s="171"/>
      <c r="M693" s="171"/>
    </row>
    <row r="694" spans="11:13" ht="18" customHeight="1">
      <c r="K694" s="171" t="s">
        <v>78</v>
      </c>
      <c r="L694" s="171"/>
      <c r="M694" s="171"/>
    </row>
    <row r="695" spans="11:13" ht="18" customHeight="1">
      <c r="K695" s="171" t="s">
        <v>78</v>
      </c>
      <c r="L695" s="171"/>
      <c r="M695" s="171"/>
    </row>
    <row r="696" spans="11:13" ht="18" customHeight="1">
      <c r="K696" s="171" t="s">
        <v>78</v>
      </c>
      <c r="L696" s="171"/>
      <c r="M696" s="171"/>
    </row>
    <row r="697" spans="11:13" ht="18" customHeight="1">
      <c r="K697" s="171" t="s">
        <v>78</v>
      </c>
      <c r="L697" s="171"/>
      <c r="M697" s="171"/>
    </row>
    <row r="698" spans="11:13" ht="18" customHeight="1">
      <c r="K698" s="171" t="s">
        <v>78</v>
      </c>
      <c r="L698" s="171"/>
      <c r="M698" s="171"/>
    </row>
    <row r="699" spans="11:13" ht="18" customHeight="1">
      <c r="K699" s="171" t="s">
        <v>78</v>
      </c>
      <c r="L699" s="171"/>
      <c r="M699" s="171"/>
    </row>
    <row r="700" spans="11:13" ht="18" customHeight="1">
      <c r="K700" s="171" t="s">
        <v>78</v>
      </c>
      <c r="L700" s="171"/>
      <c r="M700" s="171"/>
    </row>
    <row r="701" spans="11:13" ht="18" customHeight="1">
      <c r="K701" s="171" t="s">
        <v>78</v>
      </c>
      <c r="L701" s="171"/>
      <c r="M701" s="171"/>
    </row>
    <row r="702" spans="11:13" ht="18" customHeight="1">
      <c r="K702" s="171" t="s">
        <v>78</v>
      </c>
      <c r="L702" s="171"/>
      <c r="M702" s="171"/>
    </row>
    <row r="703" spans="11:13" ht="18" customHeight="1">
      <c r="K703" s="171" t="s">
        <v>78</v>
      </c>
      <c r="L703" s="171"/>
      <c r="M703" s="171"/>
    </row>
    <row r="704" spans="11:13" ht="18" customHeight="1">
      <c r="K704" s="171" t="s">
        <v>78</v>
      </c>
      <c r="L704" s="171"/>
      <c r="M704" s="171"/>
    </row>
    <row r="705" spans="11:13" ht="18" customHeight="1">
      <c r="K705" s="171" t="s">
        <v>78</v>
      </c>
      <c r="L705" s="171"/>
      <c r="M705" s="171"/>
    </row>
    <row r="706" spans="11:13" ht="18" customHeight="1">
      <c r="K706" s="171" t="s">
        <v>78</v>
      </c>
      <c r="L706" s="171"/>
      <c r="M706" s="171"/>
    </row>
    <row r="707" spans="11:13" ht="18" customHeight="1">
      <c r="K707" s="171" t="s">
        <v>78</v>
      </c>
      <c r="L707" s="171"/>
      <c r="M707" s="171"/>
    </row>
    <row r="708" spans="11:13" ht="18" customHeight="1">
      <c r="K708" s="171" t="s">
        <v>78</v>
      </c>
      <c r="L708" s="171"/>
      <c r="M708" s="171"/>
    </row>
    <row r="709" spans="11:13" ht="18" customHeight="1">
      <c r="K709" s="171" t="s">
        <v>78</v>
      </c>
      <c r="L709" s="171"/>
      <c r="M709" s="171"/>
    </row>
    <row r="710" spans="11:13" ht="18" customHeight="1">
      <c r="K710" s="171" t="s">
        <v>78</v>
      </c>
      <c r="L710" s="171"/>
      <c r="M710" s="171"/>
    </row>
    <row r="711" spans="11:13" ht="18" customHeight="1">
      <c r="K711" s="171" t="s">
        <v>78</v>
      </c>
      <c r="L711" s="171"/>
      <c r="M711" s="171"/>
    </row>
    <row r="712" spans="11:13" ht="18" customHeight="1">
      <c r="K712" s="171" t="s">
        <v>78</v>
      </c>
      <c r="L712" s="171"/>
      <c r="M712" s="171"/>
    </row>
    <row r="713" spans="11:13" ht="18" customHeight="1">
      <c r="K713" s="171" t="s">
        <v>78</v>
      </c>
      <c r="L713" s="171"/>
      <c r="M713" s="171"/>
    </row>
    <row r="714" spans="11:13" ht="18" customHeight="1">
      <c r="K714" s="171" t="s">
        <v>78</v>
      </c>
      <c r="L714" s="171"/>
      <c r="M714" s="171"/>
    </row>
    <row r="715" spans="11:13" ht="18" customHeight="1">
      <c r="K715" s="171" t="s">
        <v>78</v>
      </c>
      <c r="L715" s="171"/>
      <c r="M715" s="171"/>
    </row>
    <row r="716" spans="11:13" ht="18" customHeight="1">
      <c r="K716" s="171" t="s">
        <v>78</v>
      </c>
      <c r="L716" s="171"/>
      <c r="M716" s="171"/>
    </row>
    <row r="717" spans="11:13" ht="18" customHeight="1">
      <c r="K717" s="171" t="s">
        <v>78</v>
      </c>
      <c r="L717" s="171"/>
      <c r="M717" s="171"/>
    </row>
    <row r="718" spans="11:13" ht="18" customHeight="1">
      <c r="K718" s="171" t="s">
        <v>78</v>
      </c>
      <c r="L718" s="171"/>
      <c r="M718" s="171"/>
    </row>
    <row r="719" spans="11:13" ht="18" customHeight="1">
      <c r="K719" s="171" t="s">
        <v>78</v>
      </c>
      <c r="L719" s="171"/>
      <c r="M719" s="171"/>
    </row>
    <row r="720" spans="11:13" ht="18" customHeight="1">
      <c r="K720" s="171" t="s">
        <v>78</v>
      </c>
      <c r="L720" s="171"/>
      <c r="M720" s="171"/>
    </row>
    <row r="721" spans="11:13" ht="18" customHeight="1">
      <c r="K721" s="171" t="s">
        <v>78</v>
      </c>
      <c r="L721" s="171"/>
      <c r="M721" s="171"/>
    </row>
    <row r="722" spans="11:13" ht="18" customHeight="1">
      <c r="K722" s="171" t="s">
        <v>78</v>
      </c>
      <c r="L722" s="171"/>
      <c r="M722" s="171"/>
    </row>
    <row r="723" spans="11:13" ht="18" customHeight="1">
      <c r="K723" s="171" t="s">
        <v>78</v>
      </c>
      <c r="L723" s="171"/>
      <c r="M723" s="171"/>
    </row>
    <row r="724" spans="11:13" ht="18" customHeight="1">
      <c r="K724" s="171" t="s">
        <v>78</v>
      </c>
      <c r="L724" s="171"/>
      <c r="M724" s="171"/>
    </row>
    <row r="725" spans="11:13" ht="18" customHeight="1">
      <c r="K725" s="171" t="s">
        <v>78</v>
      </c>
      <c r="L725" s="171"/>
      <c r="M725" s="171"/>
    </row>
    <row r="726" spans="11:13" ht="18" customHeight="1">
      <c r="K726" s="171" t="s">
        <v>78</v>
      </c>
      <c r="L726" s="171"/>
      <c r="M726" s="171"/>
    </row>
    <row r="727" spans="11:13" ht="18" customHeight="1">
      <c r="K727" s="171" t="s">
        <v>78</v>
      </c>
      <c r="L727" s="171"/>
      <c r="M727" s="171"/>
    </row>
    <row r="728" spans="11:13" ht="18" customHeight="1">
      <c r="K728" s="171" t="s">
        <v>78</v>
      </c>
      <c r="L728" s="171"/>
      <c r="M728" s="171"/>
    </row>
    <row r="729" spans="11:13" ht="18" customHeight="1">
      <c r="K729" s="171" t="s">
        <v>78</v>
      </c>
      <c r="L729" s="171"/>
      <c r="M729" s="171"/>
    </row>
    <row r="730" spans="11:13" ht="18" customHeight="1">
      <c r="K730" s="171" t="s">
        <v>78</v>
      </c>
      <c r="L730" s="171"/>
      <c r="M730" s="171"/>
    </row>
    <row r="731" spans="11:13" ht="18" customHeight="1">
      <c r="K731" s="171" t="s">
        <v>78</v>
      </c>
      <c r="L731" s="171"/>
      <c r="M731" s="171"/>
    </row>
    <row r="732" spans="11:13" ht="18" customHeight="1">
      <c r="K732" s="171" t="s">
        <v>78</v>
      </c>
      <c r="L732" s="171"/>
      <c r="M732" s="171"/>
    </row>
    <row r="733" spans="11:13" ht="18" customHeight="1">
      <c r="K733" s="171" t="s">
        <v>78</v>
      </c>
      <c r="L733" s="171"/>
      <c r="M733" s="171"/>
    </row>
    <row r="734" spans="11:13" ht="18" customHeight="1">
      <c r="K734" s="171" t="s">
        <v>78</v>
      </c>
      <c r="L734" s="171"/>
      <c r="M734" s="171"/>
    </row>
    <row r="735" spans="11:13" ht="18" customHeight="1">
      <c r="K735" s="171" t="s">
        <v>78</v>
      </c>
      <c r="L735" s="171"/>
      <c r="M735" s="171"/>
    </row>
    <row r="736" spans="11:13" ht="18" customHeight="1">
      <c r="K736" s="171" t="s">
        <v>78</v>
      </c>
      <c r="L736" s="171"/>
      <c r="M736" s="171"/>
    </row>
    <row r="737" spans="11:13" ht="18" customHeight="1">
      <c r="K737" s="171" t="s">
        <v>78</v>
      </c>
      <c r="L737" s="171"/>
      <c r="M737" s="171"/>
    </row>
    <row r="738" spans="11:13" ht="18" customHeight="1">
      <c r="K738" s="171" t="s">
        <v>78</v>
      </c>
      <c r="L738" s="171"/>
      <c r="M738" s="171"/>
    </row>
    <row r="739" spans="11:13" ht="18" customHeight="1">
      <c r="K739" s="171" t="s">
        <v>78</v>
      </c>
      <c r="L739" s="171"/>
      <c r="M739" s="171"/>
    </row>
    <row r="740" spans="11:13" ht="18" customHeight="1">
      <c r="K740" s="171" t="s">
        <v>78</v>
      </c>
      <c r="L740" s="171"/>
      <c r="M740" s="171"/>
    </row>
    <row r="741" spans="11:13" ht="18" customHeight="1">
      <c r="K741" s="171" t="s">
        <v>78</v>
      </c>
      <c r="L741" s="171"/>
      <c r="M741" s="171"/>
    </row>
    <row r="742" spans="11:13" ht="18" customHeight="1">
      <c r="K742" s="171" t="s">
        <v>78</v>
      </c>
      <c r="L742" s="171"/>
      <c r="M742" s="171"/>
    </row>
    <row r="743" spans="11:13" ht="18" customHeight="1">
      <c r="K743" s="171" t="s">
        <v>78</v>
      </c>
      <c r="L743" s="171"/>
      <c r="M743" s="171"/>
    </row>
    <row r="744" spans="11:13" ht="18" customHeight="1">
      <c r="K744" s="171" t="s">
        <v>78</v>
      </c>
      <c r="L744" s="171"/>
      <c r="M744" s="171"/>
    </row>
    <row r="745" spans="11:13" ht="18" customHeight="1">
      <c r="K745" s="171" t="s">
        <v>78</v>
      </c>
      <c r="L745" s="171"/>
      <c r="M745" s="171"/>
    </row>
    <row r="746" spans="11:13" ht="18" customHeight="1">
      <c r="K746" s="171" t="s">
        <v>78</v>
      </c>
      <c r="L746" s="171"/>
      <c r="M746" s="171"/>
    </row>
    <row r="747" spans="11:13" ht="18" customHeight="1">
      <c r="K747" s="171" t="s">
        <v>78</v>
      </c>
      <c r="L747" s="171"/>
      <c r="M747" s="171"/>
    </row>
    <row r="748" spans="11:13" ht="18" customHeight="1">
      <c r="K748" s="171" t="s">
        <v>78</v>
      </c>
      <c r="L748" s="171"/>
      <c r="M748" s="171"/>
    </row>
    <row r="749" spans="11:13" ht="18" customHeight="1">
      <c r="K749" s="171" t="s">
        <v>78</v>
      </c>
      <c r="L749" s="171"/>
      <c r="M749" s="171"/>
    </row>
    <row r="750" spans="11:13" ht="18" customHeight="1">
      <c r="K750" s="171" t="s">
        <v>78</v>
      </c>
      <c r="L750" s="171"/>
      <c r="M750" s="171"/>
    </row>
    <row r="751" spans="11:13" ht="18" customHeight="1">
      <c r="K751" s="171" t="s">
        <v>78</v>
      </c>
      <c r="L751" s="171"/>
      <c r="M751" s="171"/>
    </row>
    <row r="752" spans="11:13" ht="18" customHeight="1">
      <c r="K752" s="171" t="s">
        <v>78</v>
      </c>
      <c r="L752" s="171"/>
      <c r="M752" s="171"/>
    </row>
    <row r="753" spans="11:13" ht="18" customHeight="1">
      <c r="K753" s="171" t="s">
        <v>78</v>
      </c>
      <c r="L753" s="171"/>
      <c r="M753" s="171"/>
    </row>
    <row r="754" spans="11:13" ht="18" customHeight="1">
      <c r="K754" s="171" t="s">
        <v>78</v>
      </c>
      <c r="L754" s="171"/>
      <c r="M754" s="171"/>
    </row>
    <row r="755" spans="11:13" ht="18" customHeight="1">
      <c r="K755" s="171" t="s">
        <v>78</v>
      </c>
      <c r="L755" s="171"/>
      <c r="M755" s="171"/>
    </row>
    <row r="756" spans="11:13" ht="18" customHeight="1">
      <c r="K756" s="171" t="s">
        <v>78</v>
      </c>
      <c r="L756" s="171"/>
      <c r="M756" s="171"/>
    </row>
    <row r="757" spans="11:13" ht="18" customHeight="1">
      <c r="K757" s="171" t="s">
        <v>78</v>
      </c>
      <c r="L757" s="171"/>
      <c r="M757" s="171"/>
    </row>
    <row r="758" spans="11:13" ht="18" customHeight="1">
      <c r="K758" s="171" t="s">
        <v>78</v>
      </c>
      <c r="L758" s="171"/>
      <c r="M758" s="171"/>
    </row>
    <row r="759" spans="11:13" ht="18" customHeight="1">
      <c r="K759" s="171" t="s">
        <v>78</v>
      </c>
      <c r="L759" s="171"/>
      <c r="M759" s="171"/>
    </row>
    <row r="760" spans="11:13" ht="18" customHeight="1">
      <c r="K760" s="171" t="s">
        <v>78</v>
      </c>
      <c r="L760" s="171"/>
      <c r="M760" s="171"/>
    </row>
    <row r="761" spans="11:13" ht="18" customHeight="1">
      <c r="K761" s="171" t="s">
        <v>78</v>
      </c>
      <c r="L761" s="171"/>
      <c r="M761" s="171"/>
    </row>
    <row r="762" spans="11:13" ht="18" customHeight="1">
      <c r="L762" s="171"/>
      <c r="M762" s="171"/>
    </row>
    <row r="763" spans="11:13" ht="18" customHeight="1">
      <c r="M763" s="171"/>
    </row>
  </sheetData>
  <mergeCells count="14">
    <mergeCell ref="B5:C5"/>
    <mergeCell ref="D3:E3"/>
    <mergeCell ref="B3:C3"/>
    <mergeCell ref="B4:C4"/>
    <mergeCell ref="D4:E4"/>
    <mergeCell ref="D5:E5"/>
    <mergeCell ref="Z35:Z36"/>
    <mergeCell ref="O35:O36"/>
    <mergeCell ref="P35:P36"/>
    <mergeCell ref="Q35:Q36"/>
    <mergeCell ref="B13:C14"/>
    <mergeCell ref="J13:J14"/>
    <mergeCell ref="N35:N36"/>
    <mergeCell ref="L13:L14"/>
  </mergeCells>
  <phoneticPr fontId="3" type="noConversion"/>
  <conditionalFormatting sqref="V15:V23">
    <cfRule type="cellIs" dxfId="8" priority="1" stopIfTrue="1" operator="notEqual">
      <formula>0</formula>
    </cfRule>
  </conditionalFormatting>
  <printOptions gridLinesSet="0"/>
  <pageMargins left="0.9055118110236221" right="0.74803149606299213" top="0.63" bottom="0.65" header="0.51181102362204722" footer="0.36"/>
  <pageSetup paperSize="9" scale="65" orientation="landscape" horizontalDpi="4294967292" verticalDpi="300" r:id="rId1"/>
  <headerFooter alignWithMargins="0">
    <oddHeader>&amp;R&amp;F &amp;A</oddHeader>
  </headerFooter>
  <rowBreaks count="2" manualBreakCount="2">
    <brk id="22" max="25" man="1"/>
    <brk id="51" max="25" man="1"/>
  </rowBreaks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 codeName="Sheet17">
    <tabColor rgb="FFFFC000"/>
    <pageSetUpPr fitToPage="1"/>
  </sheetPr>
  <dimension ref="A1:AB795"/>
  <sheetViews>
    <sheetView showGridLines="0" zoomScale="85" zoomScaleNormal="85" zoomScaleSheetLayoutView="75" workbookViewId="0">
      <selection activeCell="N10" sqref="N10"/>
    </sheetView>
  </sheetViews>
  <sheetFormatPr defaultColWidth="12" defaultRowHeight="18" customHeight="1"/>
  <cols>
    <col min="1" max="1" width="4" style="327" customWidth="1"/>
    <col min="2" max="2" width="2.33203125" style="1" customWidth="1"/>
    <col min="3" max="3" width="54.5" style="1" customWidth="1"/>
    <col min="4" max="4" width="10.5" style="1" customWidth="1"/>
    <col min="5" max="6" width="14.5" style="1" bestFit="1" customWidth="1"/>
    <col min="7" max="7" width="11.83203125" style="1" customWidth="1"/>
    <col min="8" max="8" width="12.6640625" style="1" customWidth="1"/>
    <col min="9" max="9" width="12.1640625" style="1" customWidth="1"/>
    <col min="10" max="10" width="14.33203125" style="1" customWidth="1"/>
    <col min="11" max="11" width="6.1640625" style="1" customWidth="1"/>
    <col min="12" max="12" width="8.6640625" style="1" bestFit="1" customWidth="1"/>
    <col min="13" max="13" width="7.83203125" style="1" customWidth="1"/>
    <col min="14" max="14" width="22" style="1" customWidth="1"/>
    <col min="15" max="15" width="8.6640625" style="1" customWidth="1"/>
    <col min="16" max="16" width="14.5" style="1" bestFit="1" customWidth="1"/>
    <col min="17" max="17" width="8.33203125" style="1" bestFit="1" customWidth="1"/>
    <col min="18" max="22" width="15.6640625" style="6" customWidth="1"/>
    <col min="23" max="23" width="19.1640625" style="6" bestFit="1" customWidth="1"/>
    <col min="24" max="25" width="13.1640625" style="6" bestFit="1" customWidth="1"/>
    <col min="26" max="26" width="16" style="1" bestFit="1" customWidth="1"/>
    <col min="27" max="27" width="7.3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7" ht="22.5">
      <c r="B1" s="7" t="s">
        <v>789</v>
      </c>
    </row>
    <row r="2" spans="1:27" ht="19.5" thickBot="1">
      <c r="B2" s="66" t="s">
        <v>729</v>
      </c>
    </row>
    <row r="3" spans="1:27" ht="18" customHeight="1">
      <c r="B3" s="462"/>
      <c r="C3" s="466" t="s">
        <v>791</v>
      </c>
      <c r="D3" s="312"/>
      <c r="E3" s="806">
        <v>4</v>
      </c>
      <c r="F3" s="806"/>
      <c r="G3" s="44" t="s">
        <v>669</v>
      </c>
      <c r="H3" s="29"/>
      <c r="R3" s="1"/>
      <c r="S3" s="1"/>
      <c r="Z3" s="6"/>
      <c r="AA3" s="6"/>
    </row>
    <row r="4" spans="1:27" ht="18" customHeight="1">
      <c r="B4" s="463"/>
      <c r="C4" s="465" t="s">
        <v>792</v>
      </c>
      <c r="D4" s="311"/>
      <c r="E4" s="796">
        <v>4</v>
      </c>
      <c r="F4" s="796"/>
      <c r="G4" s="65" t="s">
        <v>794</v>
      </c>
      <c r="H4" s="426"/>
      <c r="I4" s="435"/>
      <c r="R4" s="1"/>
      <c r="S4" s="1"/>
      <c r="Z4" s="6"/>
      <c r="AA4" s="6"/>
    </row>
    <row r="5" spans="1:27" ht="18" customHeight="1">
      <c r="B5" s="463"/>
      <c r="C5" s="465" t="s">
        <v>790</v>
      </c>
      <c r="D5" s="311"/>
      <c r="E5" s="584">
        <v>1</v>
      </c>
      <c r="F5" s="866"/>
      <c r="G5" s="867"/>
      <c r="R5" s="1"/>
      <c r="S5" s="1"/>
      <c r="T5" s="1"/>
    </row>
    <row r="6" spans="1:27" ht="18" customHeight="1">
      <c r="B6" s="463"/>
      <c r="C6" s="465" t="s">
        <v>793</v>
      </c>
      <c r="D6" s="313"/>
      <c r="E6" s="868">
        <f>ROUND((E4/E3)^0.6,3)</f>
        <v>1</v>
      </c>
      <c r="F6" s="868"/>
      <c r="G6" s="217"/>
    </row>
    <row r="7" spans="1:27" ht="18" customHeight="1" thickBot="1">
      <c r="B7" s="464"/>
      <c r="C7" s="467" t="s">
        <v>730</v>
      </c>
      <c r="D7" s="314"/>
      <c r="E7" s="798">
        <f>E5</f>
        <v>1</v>
      </c>
      <c r="F7" s="798"/>
      <c r="G7" s="45"/>
    </row>
    <row r="8" spans="1:27" ht="18" customHeight="1">
      <c r="A8" s="326"/>
      <c r="B8" s="9"/>
      <c r="C8" s="9"/>
      <c r="D8" s="468"/>
      <c r="E8" s="468"/>
      <c r="G8" s="36"/>
    </row>
    <row r="9" spans="1:27" ht="18" customHeight="1">
      <c r="A9" s="326"/>
      <c r="B9" s="9"/>
      <c r="C9" s="9"/>
      <c r="D9" s="468"/>
      <c r="E9" s="468"/>
      <c r="G9" s="36"/>
      <c r="W9" s="188" t="s">
        <v>731</v>
      </c>
      <c r="X9" s="189"/>
    </row>
    <row r="10" spans="1:27" ht="18" customHeight="1" thickBot="1">
      <c r="A10" s="355"/>
      <c r="B10" s="66" t="s">
        <v>4</v>
      </c>
      <c r="C10" s="9"/>
      <c r="D10" s="468"/>
      <c r="E10" s="468"/>
      <c r="G10" s="36"/>
      <c r="N10" s="66" t="s">
        <v>732</v>
      </c>
    </row>
    <row r="11" spans="1:27" ht="18" customHeight="1" thickBot="1">
      <c r="A11" s="355"/>
      <c r="B11" s="9"/>
      <c r="N11" s="151" t="s">
        <v>44</v>
      </c>
      <c r="O11" s="119"/>
      <c r="P11" s="119"/>
      <c r="Q11" s="120"/>
      <c r="R11" s="120"/>
      <c r="S11" s="120"/>
      <c r="T11" s="120"/>
      <c r="U11" s="470"/>
      <c r="V11" s="470"/>
      <c r="W11" s="471">
        <f ca="1">SUBTOTAL(9,W12:W51)</f>
        <v>208477031</v>
      </c>
      <c r="X11" s="472"/>
      <c r="Y11" s="177"/>
      <c r="Z11" s="167"/>
    </row>
    <row r="12" spans="1:27" ht="18" customHeight="1">
      <c r="A12" s="355"/>
      <c r="B12" s="757" t="s">
        <v>30</v>
      </c>
      <c r="C12" s="758"/>
      <c r="D12" s="14" t="s">
        <v>733</v>
      </c>
      <c r="E12" s="15"/>
      <c r="F12" s="15"/>
      <c r="G12" s="15"/>
      <c r="H12" s="15"/>
      <c r="I12" s="16"/>
      <c r="J12" s="761" t="s">
        <v>31</v>
      </c>
      <c r="L12" s="763" t="s">
        <v>734</v>
      </c>
      <c r="N12" s="127" t="s">
        <v>8</v>
      </c>
      <c r="O12" s="122"/>
      <c r="P12" s="122"/>
      <c r="Q12" s="123"/>
      <c r="R12" s="123"/>
      <c r="S12" s="123"/>
      <c r="T12" s="123"/>
      <c r="U12" s="473"/>
      <c r="V12" s="473"/>
      <c r="W12" s="474">
        <f ca="1">SUBTOTAL(9,W13:W48)</f>
        <v>77479260</v>
      </c>
      <c r="X12" s="475"/>
      <c r="Y12" s="178" t="s">
        <v>735</v>
      </c>
      <c r="Z12" s="179"/>
    </row>
    <row r="13" spans="1:27" ht="18" customHeight="1" thickBot="1">
      <c r="A13" s="355"/>
      <c r="B13" s="759"/>
      <c r="C13" s="760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290" t="s">
        <v>45</v>
      </c>
      <c r="O13" s="124"/>
      <c r="P13" s="125"/>
      <c r="Q13" s="126"/>
      <c r="R13" s="126"/>
      <c r="S13" s="126"/>
      <c r="T13" s="126"/>
      <c r="U13" s="476"/>
      <c r="V13" s="477"/>
      <c r="W13" s="517">
        <f ca="1">SUBTOTAL(9,W14:W43)</f>
        <v>72979260</v>
      </c>
      <c r="X13" s="478"/>
      <c r="Y13" s="168"/>
      <c r="Z13" s="168"/>
    </row>
    <row r="14" spans="1:27" ht="18" customHeight="1">
      <c r="A14" s="355"/>
      <c r="B14" s="73" t="s">
        <v>736</v>
      </c>
      <c r="C14" s="72"/>
      <c r="D14" s="576">
        <f t="shared" ref="D14:I14" si="0">SUBTOTAL(9,D15:D17)</f>
        <v>3</v>
      </c>
      <c r="E14" s="575">
        <f t="shared" si="0"/>
        <v>6</v>
      </c>
      <c r="F14" s="575">
        <f t="shared" si="0"/>
        <v>6</v>
      </c>
      <c r="G14" s="575">
        <f t="shared" si="0"/>
        <v>10</v>
      </c>
      <c r="H14" s="575">
        <f t="shared" si="0"/>
        <v>15</v>
      </c>
      <c r="I14" s="574">
        <f t="shared" si="0"/>
        <v>0</v>
      </c>
      <c r="J14" s="73"/>
      <c r="L14" s="482"/>
      <c r="N14" s="354" t="str">
        <f t="shared" ref="N14:N40" si="1">B14</f>
        <v>1. 사전준비</v>
      </c>
      <c r="O14" s="169"/>
      <c r="P14" s="169"/>
      <c r="Q14" s="169"/>
      <c r="R14" s="169"/>
      <c r="S14" s="169"/>
      <c r="T14" s="169"/>
      <c r="U14" s="484"/>
      <c r="V14" s="485"/>
      <c r="W14" s="486">
        <f ca="1">SUBTOTAL(9,W15:W17)</f>
        <v>11990338</v>
      </c>
      <c r="X14" s="487"/>
      <c r="Y14" s="170"/>
      <c r="Z14" s="170"/>
      <c r="AA14" s="229"/>
    </row>
    <row r="15" spans="1:27" ht="18" customHeight="1">
      <c r="A15" s="355"/>
      <c r="B15" s="409" t="s">
        <v>737</v>
      </c>
      <c r="C15" s="237"/>
      <c r="D15" s="488">
        <v>1</v>
      </c>
      <c r="E15" s="489">
        <v>2</v>
      </c>
      <c r="F15" s="489">
        <v>2</v>
      </c>
      <c r="G15" s="489">
        <v>4</v>
      </c>
      <c r="H15" s="489">
        <v>4</v>
      </c>
      <c r="I15" s="490">
        <v>0</v>
      </c>
      <c r="J15" s="74"/>
      <c r="L15" s="494">
        <v>1</v>
      </c>
      <c r="N15" s="292" t="str">
        <f t="shared" si="1"/>
        <v>1-1. 대상지 현황분석</v>
      </c>
      <c r="O15" s="37"/>
      <c r="P15" s="37"/>
      <c r="Q15" s="37"/>
      <c r="R15" s="37"/>
      <c r="S15" s="37"/>
      <c r="T15" s="37"/>
      <c r="U15" s="562"/>
      <c r="V15" s="500"/>
      <c r="W15" s="501">
        <f t="array" aca="1" ref="W15" ca="1">SUM(ROUNDDOWN(D47:I47*단가,0))</f>
        <v>3958079</v>
      </c>
      <c r="X15" s="502"/>
      <c r="Y15" s="170" t="str">
        <f>IF(A47&gt;0, "제 " &amp;A47&amp; " 호표","")</f>
        <v>제 1 호표</v>
      </c>
      <c r="Z15" s="150"/>
    </row>
    <row r="16" spans="1:27" ht="18" customHeight="1">
      <c r="A16" s="355"/>
      <c r="B16" s="409" t="s">
        <v>738</v>
      </c>
      <c r="C16" s="237"/>
      <c r="D16" s="488">
        <v>1</v>
      </c>
      <c r="E16" s="489">
        <v>2</v>
      </c>
      <c r="F16" s="489">
        <v>2</v>
      </c>
      <c r="G16" s="489">
        <v>1</v>
      </c>
      <c r="H16" s="489">
        <v>1</v>
      </c>
      <c r="I16" s="490">
        <v>0</v>
      </c>
      <c r="J16" s="74"/>
      <c r="L16" s="494">
        <v>1</v>
      </c>
      <c r="N16" s="292" t="str">
        <f t="shared" si="1"/>
        <v>1-2. 상위계획 및 관련계획 검토</v>
      </c>
      <c r="O16" s="37"/>
      <c r="P16" s="37"/>
      <c r="Q16" s="37"/>
      <c r="R16" s="37"/>
      <c r="S16" s="37"/>
      <c r="T16" s="37"/>
      <c r="U16" s="562"/>
      <c r="V16" s="500"/>
      <c r="W16" s="501">
        <f t="array" aca="1" ref="W16" ca="1">SUM(ROUNDDOWN(D48:I48*단가,0))</f>
        <v>2366288</v>
      </c>
      <c r="X16" s="502"/>
      <c r="Y16" s="170" t="str">
        <f>IF(A48&gt;0, "제 " &amp;A48&amp; " 호표","")</f>
        <v>제 2 호표</v>
      </c>
      <c r="Z16" s="150"/>
    </row>
    <row r="17" spans="1:26" ht="18" customHeight="1">
      <c r="A17" s="355"/>
      <c r="B17" s="223" t="s">
        <v>739</v>
      </c>
      <c r="C17" s="237"/>
      <c r="D17" s="488">
        <v>1</v>
      </c>
      <c r="E17" s="489">
        <v>2</v>
      </c>
      <c r="F17" s="489">
        <v>2</v>
      </c>
      <c r="G17" s="489">
        <v>5</v>
      </c>
      <c r="H17" s="489">
        <v>10</v>
      </c>
      <c r="I17" s="490">
        <v>0</v>
      </c>
      <c r="J17" s="74"/>
      <c r="L17" s="494">
        <v>1</v>
      </c>
      <c r="N17" s="292" t="str">
        <f t="shared" si="1"/>
        <v>1-3. 시민참여단 모집</v>
      </c>
      <c r="O17" s="37"/>
      <c r="P17" s="37"/>
      <c r="Q17" s="37"/>
      <c r="R17" s="37"/>
      <c r="S17" s="37"/>
      <c r="T17" s="37"/>
      <c r="U17" s="562"/>
      <c r="V17" s="500"/>
      <c r="W17" s="501">
        <f t="array" aca="1" ref="W17" ca="1">SUM(ROUNDDOWN(D49:I49*단가,0))</f>
        <v>5665971</v>
      </c>
      <c r="X17" s="502"/>
      <c r="Y17" s="170" t="str">
        <f>IF(A49&gt;0, "제 " &amp;A49&amp; " 호표","")</f>
        <v>제 3 호표</v>
      </c>
      <c r="Z17" s="150"/>
    </row>
    <row r="18" spans="1:26" ht="18" customHeight="1">
      <c r="A18" s="355"/>
      <c r="B18" s="222" t="s">
        <v>740</v>
      </c>
      <c r="C18" s="47"/>
      <c r="D18" s="548">
        <f t="shared" ref="D18:I18" si="2">SUBTOTAL(9,D19:D20)</f>
        <v>2</v>
      </c>
      <c r="E18" s="547">
        <f t="shared" si="2"/>
        <v>4</v>
      </c>
      <c r="F18" s="547">
        <f t="shared" si="2"/>
        <v>8</v>
      </c>
      <c r="G18" s="547">
        <f t="shared" si="2"/>
        <v>3</v>
      </c>
      <c r="H18" s="547">
        <f t="shared" si="2"/>
        <v>2</v>
      </c>
      <c r="I18" s="546">
        <f t="shared" si="2"/>
        <v>0</v>
      </c>
      <c r="J18" s="13"/>
      <c r="L18" s="494"/>
      <c r="N18" s="354" t="str">
        <f t="shared" si="1"/>
        <v>2. 기획</v>
      </c>
      <c r="O18" s="169"/>
      <c r="P18" s="169"/>
      <c r="Q18" s="169"/>
      <c r="R18" s="169"/>
      <c r="S18" s="169"/>
      <c r="T18" s="169"/>
      <c r="U18" s="484"/>
      <c r="V18" s="485"/>
      <c r="W18" s="486">
        <f ca="1">SUBTOTAL(9,W19:W20)</f>
        <v>6271250</v>
      </c>
      <c r="X18" s="487"/>
      <c r="Y18" s="170"/>
      <c r="Z18" s="170"/>
    </row>
    <row r="19" spans="1:26" ht="18" customHeight="1">
      <c r="A19" s="355"/>
      <c r="B19" s="223" t="s">
        <v>741</v>
      </c>
      <c r="C19" s="237"/>
      <c r="D19" s="488">
        <v>1</v>
      </c>
      <c r="E19" s="489">
        <v>2</v>
      </c>
      <c r="F19" s="489">
        <v>4</v>
      </c>
      <c r="G19" s="489">
        <v>1</v>
      </c>
      <c r="H19" s="489">
        <v>1</v>
      </c>
      <c r="I19" s="490">
        <v>0</v>
      </c>
      <c r="J19" s="74"/>
      <c r="L19" s="494">
        <v>1</v>
      </c>
      <c r="N19" s="292" t="str">
        <f t="shared" si="1"/>
        <v>2-1. 리빙랩 운영방안 수립</v>
      </c>
      <c r="O19" s="37"/>
      <c r="P19" s="37"/>
      <c r="Q19" s="37"/>
      <c r="R19" s="37"/>
      <c r="S19" s="37"/>
      <c r="T19" s="37"/>
      <c r="U19" s="562"/>
      <c r="V19" s="500"/>
      <c r="W19" s="501">
        <f t="array" aca="1" ref="W19" ca="1">SUM(ROUNDDOWN(D51:I51*단가,0))</f>
        <v>2988056</v>
      </c>
      <c r="X19" s="502"/>
      <c r="Y19" s="170" t="str">
        <f>IF(A51&gt;0, "제 " &amp;A51&amp; " 호표","")</f>
        <v>제 4 호표</v>
      </c>
      <c r="Z19" s="150"/>
    </row>
    <row r="20" spans="1:26" ht="18" customHeight="1">
      <c r="A20" s="355"/>
      <c r="B20" s="223" t="s">
        <v>742</v>
      </c>
      <c r="C20" s="237"/>
      <c r="D20" s="488">
        <v>1</v>
      </c>
      <c r="E20" s="489">
        <v>2</v>
      </c>
      <c r="F20" s="489">
        <v>4</v>
      </c>
      <c r="G20" s="489">
        <v>2</v>
      </c>
      <c r="H20" s="489">
        <v>1</v>
      </c>
      <c r="I20" s="490">
        <v>0</v>
      </c>
      <c r="J20" s="74"/>
      <c r="L20" s="494">
        <v>1</v>
      </c>
      <c r="N20" s="292" t="str">
        <f t="shared" si="1"/>
        <v>2-2. 리빙랩 세부 프로그램 기획</v>
      </c>
      <c r="O20" s="37"/>
      <c r="P20" s="37"/>
      <c r="Q20" s="37"/>
      <c r="R20" s="37"/>
      <c r="S20" s="37"/>
      <c r="T20" s="37"/>
      <c r="U20" s="562"/>
      <c r="V20" s="500"/>
      <c r="W20" s="501">
        <f t="array" aca="1" ref="W20" ca="1">SUM(ROUNDDOWN(D52:I52*단가,0))</f>
        <v>3283194</v>
      </c>
      <c r="X20" s="502"/>
      <c r="Y20" s="170" t="str">
        <f>IF(A52&gt;0, "제 " &amp;A52&amp; " 호표","")</f>
        <v>제 5 호표</v>
      </c>
      <c r="Z20" s="150"/>
    </row>
    <row r="21" spans="1:26" ht="18" customHeight="1">
      <c r="A21" s="355"/>
      <c r="B21" s="222" t="s">
        <v>743</v>
      </c>
      <c r="C21" s="47"/>
      <c r="D21" s="548">
        <f t="shared" ref="D21:I21" si="3">SUBTOTAL(9,D22:D23)</f>
        <v>2</v>
      </c>
      <c r="E21" s="547">
        <f t="shared" si="3"/>
        <v>4</v>
      </c>
      <c r="F21" s="547">
        <f t="shared" si="3"/>
        <v>8</v>
      </c>
      <c r="G21" s="547">
        <f t="shared" si="3"/>
        <v>8</v>
      </c>
      <c r="H21" s="547">
        <f t="shared" si="3"/>
        <v>4</v>
      </c>
      <c r="I21" s="546">
        <f t="shared" si="3"/>
        <v>0</v>
      </c>
      <c r="J21" s="13"/>
      <c r="L21" s="494"/>
      <c r="N21" s="354" t="str">
        <f t="shared" si="1"/>
        <v>3. Pre-Research (지역문제 도출)</v>
      </c>
      <c r="O21" s="169"/>
      <c r="P21" s="169"/>
      <c r="Q21" s="169"/>
      <c r="R21" s="169"/>
      <c r="S21" s="169"/>
      <c r="T21" s="169"/>
      <c r="U21" s="484"/>
      <c r="V21" s="485"/>
      <c r="W21" s="486">
        <f ca="1">SUBTOTAL(9,W22:W23)</f>
        <v>8217858</v>
      </c>
      <c r="X21" s="487"/>
      <c r="Y21" s="170"/>
      <c r="Z21" s="170"/>
    </row>
    <row r="22" spans="1:26" ht="18" customHeight="1">
      <c r="A22" s="355"/>
      <c r="B22" s="223" t="s">
        <v>744</v>
      </c>
      <c r="C22" s="237"/>
      <c r="D22" s="488">
        <v>1</v>
      </c>
      <c r="E22" s="489">
        <v>2</v>
      </c>
      <c r="F22" s="489">
        <v>4</v>
      </c>
      <c r="G22" s="489">
        <v>4</v>
      </c>
      <c r="H22" s="489">
        <v>2</v>
      </c>
      <c r="I22" s="490">
        <v>0</v>
      </c>
      <c r="J22" s="74"/>
      <c r="L22" s="494">
        <v>1</v>
      </c>
      <c r="N22" s="292" t="str">
        <f t="shared" si="1"/>
        <v>3-1. 온라인 시민니즈 분석</v>
      </c>
      <c r="O22" s="37"/>
      <c r="P22" s="37"/>
      <c r="Q22" s="37"/>
      <c r="R22" s="37"/>
      <c r="S22" s="37"/>
      <c r="T22" s="37"/>
      <c r="U22" s="562"/>
      <c r="V22" s="500"/>
      <c r="W22" s="501">
        <f t="array" aca="1" ref="W22" ca="1">SUM(ROUNDDOWN(D54:I54*단가,0))</f>
        <v>4108929</v>
      </c>
      <c r="X22" s="502"/>
      <c r="Y22" s="170" t="str">
        <f>IF(A54&gt;0, "제 " &amp;A54&amp; " 호표","")</f>
        <v>제 6 호표</v>
      </c>
      <c r="Z22" s="150"/>
    </row>
    <row r="23" spans="1:26" ht="18" customHeight="1">
      <c r="A23" s="355"/>
      <c r="B23" s="223" t="s">
        <v>745</v>
      </c>
      <c r="C23" s="237"/>
      <c r="D23" s="488">
        <v>1</v>
      </c>
      <c r="E23" s="489">
        <v>2</v>
      </c>
      <c r="F23" s="489">
        <v>4</v>
      </c>
      <c r="G23" s="489">
        <v>4</v>
      </c>
      <c r="H23" s="489">
        <v>2</v>
      </c>
      <c r="I23" s="490">
        <v>0</v>
      </c>
      <c r="J23" s="74"/>
      <c r="L23" s="494">
        <v>1</v>
      </c>
      <c r="N23" s="292" t="str">
        <f t="shared" si="1"/>
        <v>3-2. 오프라인 시민니즈 분석</v>
      </c>
      <c r="O23" s="37"/>
      <c r="P23" s="37"/>
      <c r="Q23" s="37"/>
      <c r="R23" s="37"/>
      <c r="S23" s="37"/>
      <c r="T23" s="37"/>
      <c r="U23" s="562"/>
      <c r="V23" s="500"/>
      <c r="W23" s="501">
        <f t="array" aca="1" ref="W23" ca="1">SUM(ROUNDDOWN(D55:I55*단가,0))</f>
        <v>4108929</v>
      </c>
      <c r="X23" s="502"/>
      <c r="Y23" s="170" t="str">
        <f>IF(A55&gt;0, "제 " &amp;A55&amp; " 호표","")</f>
        <v>제 7 호표</v>
      </c>
      <c r="Z23" s="150"/>
    </row>
    <row r="24" spans="1:26" ht="18" customHeight="1">
      <c r="A24" s="355"/>
      <c r="B24" s="222" t="s">
        <v>746</v>
      </c>
      <c r="C24" s="47"/>
      <c r="D24" s="548">
        <f t="shared" ref="D24:I24" si="4">SUBTOTAL(9,D25:D26)</f>
        <v>2</v>
      </c>
      <c r="E24" s="547">
        <f t="shared" si="4"/>
        <v>4</v>
      </c>
      <c r="F24" s="547">
        <f t="shared" si="4"/>
        <v>8</v>
      </c>
      <c r="G24" s="547">
        <f t="shared" si="4"/>
        <v>4</v>
      </c>
      <c r="H24" s="547">
        <f t="shared" si="4"/>
        <v>4</v>
      </c>
      <c r="I24" s="546">
        <f t="shared" si="4"/>
        <v>0</v>
      </c>
      <c r="J24" s="13"/>
      <c r="L24" s="494"/>
      <c r="N24" s="354" t="str">
        <f t="shared" si="1"/>
        <v>4. Ideation (스마트서비스 도출)</v>
      </c>
      <c r="O24" s="169"/>
      <c r="P24" s="169"/>
      <c r="Q24" s="169"/>
      <c r="R24" s="169"/>
      <c r="S24" s="169"/>
      <c r="T24" s="169"/>
      <c r="U24" s="484"/>
      <c r="V24" s="485"/>
      <c r="W24" s="486">
        <f ca="1">SUBTOTAL(9,W25:W26)</f>
        <v>7037306</v>
      </c>
      <c r="X24" s="487"/>
      <c r="Y24" s="170"/>
      <c r="Z24" s="170"/>
    </row>
    <row r="25" spans="1:26" ht="18" customHeight="1">
      <c r="A25" s="326"/>
      <c r="B25" s="223" t="s">
        <v>747</v>
      </c>
      <c r="C25" s="237"/>
      <c r="D25" s="488">
        <v>1</v>
      </c>
      <c r="E25" s="489">
        <v>2</v>
      </c>
      <c r="F25" s="489">
        <v>4</v>
      </c>
      <c r="G25" s="489">
        <v>2</v>
      </c>
      <c r="H25" s="489">
        <v>2</v>
      </c>
      <c r="I25" s="490">
        <v>0</v>
      </c>
      <c r="J25" s="74"/>
      <c r="L25" s="494">
        <v>1</v>
      </c>
      <c r="N25" s="292" t="str">
        <f t="shared" si="1"/>
        <v>4-1. 스마트서비스 기능구상</v>
      </c>
      <c r="O25" s="37"/>
      <c r="P25" s="37"/>
      <c r="Q25" s="37"/>
      <c r="R25" s="37"/>
      <c r="S25" s="37"/>
      <c r="T25" s="37"/>
      <c r="U25" s="562"/>
      <c r="V25" s="500"/>
      <c r="W25" s="501">
        <f t="array" aca="1" ref="W25" ca="1">SUM(ROUNDDOWN(D57:I57*단가,0))</f>
        <v>3518653</v>
      </c>
      <c r="X25" s="502"/>
      <c r="Y25" s="170" t="str">
        <f>IF(A57&gt;0, "제 " &amp;A57&amp; " 호표","")</f>
        <v>제 8 호표</v>
      </c>
      <c r="Z25" s="150"/>
    </row>
    <row r="26" spans="1:26" ht="18.75" customHeight="1">
      <c r="A26" s="326"/>
      <c r="B26" s="223" t="s">
        <v>748</v>
      </c>
      <c r="C26" s="237"/>
      <c r="D26" s="488">
        <v>1</v>
      </c>
      <c r="E26" s="489">
        <v>2</v>
      </c>
      <c r="F26" s="489">
        <v>4</v>
      </c>
      <c r="G26" s="489">
        <v>2</v>
      </c>
      <c r="H26" s="489">
        <v>2</v>
      </c>
      <c r="I26" s="490">
        <v>0</v>
      </c>
      <c r="J26" s="74"/>
      <c r="L26" s="494">
        <v>1</v>
      </c>
      <c r="N26" s="292" t="str">
        <f t="shared" si="1"/>
        <v>4-2. 시민의견 체계화,구조화 분석</v>
      </c>
      <c r="O26" s="37"/>
      <c r="P26" s="37"/>
      <c r="Q26" s="37"/>
      <c r="R26" s="37"/>
      <c r="S26" s="37"/>
      <c r="T26" s="37"/>
      <c r="U26" s="562"/>
      <c r="V26" s="500"/>
      <c r="W26" s="501">
        <f t="array" aca="1" ref="W26" ca="1">SUM(ROUNDDOWN(D58:I58*단가,0))</f>
        <v>3518653</v>
      </c>
      <c r="X26" s="502"/>
      <c r="Y26" s="170" t="str">
        <f>IF(A58&gt;0, "제 " &amp;A58&amp; " 호표","")</f>
        <v>제 9 호표</v>
      </c>
      <c r="Z26" s="150"/>
    </row>
    <row r="27" spans="1:26" ht="18" customHeight="1">
      <c r="A27" s="326"/>
      <c r="B27" s="222" t="s">
        <v>749</v>
      </c>
      <c r="C27" s="47"/>
      <c r="D27" s="548">
        <f t="shared" ref="D27:I27" si="5">SUBTOTAL(9,D28:D32)</f>
        <v>5</v>
      </c>
      <c r="E27" s="547">
        <f t="shared" si="5"/>
        <v>10</v>
      </c>
      <c r="F27" s="547">
        <f t="shared" si="5"/>
        <v>15</v>
      </c>
      <c r="G27" s="547">
        <f t="shared" si="5"/>
        <v>5</v>
      </c>
      <c r="H27" s="547">
        <f t="shared" si="5"/>
        <v>5</v>
      </c>
      <c r="I27" s="546">
        <f t="shared" si="5"/>
        <v>0</v>
      </c>
      <c r="J27" s="13"/>
      <c r="L27" s="494"/>
      <c r="N27" s="354" t="str">
        <f t="shared" si="1"/>
        <v>5. User Resarch (스마트서비스 기능 개선)</v>
      </c>
      <c r="O27" s="169"/>
      <c r="P27" s="169"/>
      <c r="Q27" s="169"/>
      <c r="R27" s="169"/>
      <c r="S27" s="169"/>
      <c r="T27" s="169"/>
      <c r="U27" s="484"/>
      <c r="V27" s="485"/>
      <c r="W27" s="486">
        <f ca="1">SUBTOTAL(9,W28:W32)</f>
        <v>13385860</v>
      </c>
      <c r="X27" s="487"/>
      <c r="Y27" s="170"/>
      <c r="Z27" s="170"/>
    </row>
    <row r="28" spans="1:26" ht="18" customHeight="1">
      <c r="A28" s="355"/>
      <c r="B28" s="223" t="s">
        <v>750</v>
      </c>
      <c r="C28" s="237"/>
      <c r="D28" s="488">
        <v>1</v>
      </c>
      <c r="E28" s="489">
        <v>2</v>
      </c>
      <c r="F28" s="489">
        <v>3</v>
      </c>
      <c r="G28" s="489">
        <v>1</v>
      </c>
      <c r="H28" s="489">
        <v>1</v>
      </c>
      <c r="I28" s="490">
        <v>0</v>
      </c>
      <c r="J28" s="23"/>
      <c r="L28" s="494">
        <v>1</v>
      </c>
      <c r="N28" s="292" t="str">
        <f t="shared" si="1"/>
        <v>5-1. 유사서비스 사례분석</v>
      </c>
      <c r="O28" s="37"/>
      <c r="P28" s="37"/>
      <c r="Q28" s="37"/>
      <c r="R28" s="37"/>
      <c r="S28" s="37"/>
      <c r="T28" s="37"/>
      <c r="U28" s="562"/>
      <c r="V28" s="500"/>
      <c r="W28" s="501">
        <f t="array" aca="1" ref="W28" ca="1">SUM(ROUNDDOWN(D60:I60*단가,0))</f>
        <v>2677172</v>
      </c>
      <c r="X28" s="502"/>
      <c r="Y28" s="170" t="str">
        <f>IF(A60&gt;0, "제 " &amp;A60&amp; " 호표","")</f>
        <v>제 10 호표</v>
      </c>
      <c r="Z28" s="150"/>
    </row>
    <row r="29" spans="1:26" ht="18" customHeight="1">
      <c r="A29" s="326"/>
      <c r="B29" s="223" t="s">
        <v>751</v>
      </c>
      <c r="C29" s="237"/>
      <c r="D29" s="488">
        <v>1</v>
      </c>
      <c r="E29" s="489">
        <v>2</v>
      </c>
      <c r="F29" s="489">
        <v>3</v>
      </c>
      <c r="G29" s="489">
        <v>1</v>
      </c>
      <c r="H29" s="489">
        <v>1</v>
      </c>
      <c r="I29" s="490">
        <v>0</v>
      </c>
      <c r="J29" s="23"/>
      <c r="L29" s="494">
        <v>1</v>
      </c>
      <c r="N29" s="292" t="str">
        <f t="shared" si="1"/>
        <v>5-2. 가상체험 프로그램 기획 (UI/UX)</v>
      </c>
      <c r="O29" s="37"/>
      <c r="P29" s="37"/>
      <c r="Q29" s="37"/>
      <c r="R29" s="37"/>
      <c r="S29" s="37"/>
      <c r="T29" s="37"/>
      <c r="U29" s="562"/>
      <c r="V29" s="500"/>
      <c r="W29" s="501">
        <f t="array" aca="1" ref="W29" ca="1">SUM(ROUNDDOWN(D61:I61*단가,0))</f>
        <v>2677172</v>
      </c>
      <c r="X29" s="502"/>
      <c r="Y29" s="170" t="str">
        <f>IF(A61&gt;0, "제 " &amp;A61&amp; " 호표","")</f>
        <v>제 11 호표</v>
      </c>
      <c r="Z29" s="150"/>
    </row>
    <row r="30" spans="1:26" ht="18" customHeight="1">
      <c r="A30" s="326"/>
      <c r="B30" s="223" t="s">
        <v>752</v>
      </c>
      <c r="C30" s="237"/>
      <c r="D30" s="488">
        <v>1</v>
      </c>
      <c r="E30" s="489">
        <v>2</v>
      </c>
      <c r="F30" s="489">
        <v>3</v>
      </c>
      <c r="G30" s="489">
        <v>1</v>
      </c>
      <c r="H30" s="489">
        <v>1</v>
      </c>
      <c r="I30" s="490">
        <v>0</v>
      </c>
      <c r="J30" s="23"/>
      <c r="L30" s="494">
        <v>1</v>
      </c>
      <c r="N30" s="292" t="str">
        <f t="shared" si="1"/>
        <v>5-3. 가상체험 및 시민의견 수집</v>
      </c>
      <c r="O30" s="37"/>
      <c r="P30" s="37"/>
      <c r="Q30" s="37"/>
      <c r="R30" s="37"/>
      <c r="S30" s="37"/>
      <c r="T30" s="37"/>
      <c r="U30" s="562"/>
      <c r="V30" s="500"/>
      <c r="W30" s="501">
        <f t="array" aca="1" ref="W30" ca="1">SUM(ROUNDDOWN(D62:I62*단가,0))</f>
        <v>2677172</v>
      </c>
      <c r="X30" s="502"/>
      <c r="Y30" s="170" t="str">
        <f>IF(A62&gt;0, "제 " &amp;A62&amp; " 호표","")</f>
        <v>제 12 호표</v>
      </c>
      <c r="Z30" s="150"/>
    </row>
    <row r="31" spans="1:26" ht="17.25" customHeight="1">
      <c r="A31" s="326"/>
      <c r="B31" s="223" t="s">
        <v>753</v>
      </c>
      <c r="C31" s="237"/>
      <c r="D31" s="488">
        <v>1</v>
      </c>
      <c r="E31" s="489">
        <v>2</v>
      </c>
      <c r="F31" s="489">
        <v>3</v>
      </c>
      <c r="G31" s="489">
        <v>1</v>
      </c>
      <c r="H31" s="489">
        <v>1</v>
      </c>
      <c r="I31" s="490">
        <v>0</v>
      </c>
      <c r="J31" s="23"/>
      <c r="L31" s="494">
        <v>1</v>
      </c>
      <c r="N31" s="292" t="str">
        <f t="shared" si="1"/>
        <v>5-4. 시민의견 종합 분석</v>
      </c>
      <c r="O31" s="37"/>
      <c r="P31" s="37"/>
      <c r="Q31" s="37"/>
      <c r="R31" s="37"/>
      <c r="S31" s="37"/>
      <c r="T31" s="37"/>
      <c r="U31" s="562"/>
      <c r="V31" s="500"/>
      <c r="W31" s="501">
        <f t="array" aca="1" ref="W31" ca="1">SUM(ROUNDDOWN(D63:I63*단가,0))</f>
        <v>2677172</v>
      </c>
      <c r="X31" s="502"/>
      <c r="Y31" s="170" t="str">
        <f>IF(A63&gt;0, "제 " &amp;A63&amp; " 호표","")</f>
        <v>제 13 호표</v>
      </c>
      <c r="Z31" s="150"/>
    </row>
    <row r="32" spans="1:26" ht="18" customHeight="1">
      <c r="A32" s="326"/>
      <c r="B32" s="223" t="s">
        <v>754</v>
      </c>
      <c r="C32" s="237"/>
      <c r="D32" s="488">
        <v>1</v>
      </c>
      <c r="E32" s="489">
        <v>2</v>
      </c>
      <c r="F32" s="489">
        <v>3</v>
      </c>
      <c r="G32" s="489">
        <v>1</v>
      </c>
      <c r="H32" s="489">
        <v>1</v>
      </c>
      <c r="I32" s="490">
        <v>0</v>
      </c>
      <c r="J32" s="74"/>
      <c r="L32" s="494">
        <v>1</v>
      </c>
      <c r="N32" s="292" t="str">
        <f t="shared" si="1"/>
        <v>5-5. 스마트서비스 개선사항 도출</v>
      </c>
      <c r="O32" s="37"/>
      <c r="P32" s="37"/>
      <c r="Q32" s="37"/>
      <c r="R32" s="37"/>
      <c r="S32" s="37"/>
      <c r="T32" s="37"/>
      <c r="U32" s="562"/>
      <c r="V32" s="500"/>
      <c r="W32" s="501">
        <f t="array" aca="1" ref="W32" ca="1">SUM(ROUNDDOWN(D64:I64*단가,0))</f>
        <v>2677172</v>
      </c>
      <c r="X32" s="502"/>
      <c r="Y32" s="170" t="str">
        <f>IF(A64&gt;0, "제 " &amp;A64&amp; " 호표","")</f>
        <v>제 14 호표</v>
      </c>
      <c r="Z32" s="150"/>
    </row>
    <row r="33" spans="1:26" ht="18" customHeight="1">
      <c r="A33" s="326"/>
      <c r="B33" s="222" t="s">
        <v>755</v>
      </c>
      <c r="C33" s="47"/>
      <c r="D33" s="548">
        <f t="shared" ref="D33:I33" si="6">SUBTOTAL(9,D34:D36)</f>
        <v>3</v>
      </c>
      <c r="E33" s="547">
        <f t="shared" si="6"/>
        <v>6</v>
      </c>
      <c r="F33" s="547">
        <f t="shared" si="6"/>
        <v>9</v>
      </c>
      <c r="G33" s="547">
        <f t="shared" si="6"/>
        <v>9</v>
      </c>
      <c r="H33" s="547">
        <f t="shared" si="6"/>
        <v>9</v>
      </c>
      <c r="I33" s="546">
        <f t="shared" si="6"/>
        <v>0</v>
      </c>
      <c r="J33" s="13"/>
      <c r="L33" s="494"/>
      <c r="N33" s="354" t="str">
        <f t="shared" si="1"/>
        <v>6. User Test (스마트서비스 현장 검증)</v>
      </c>
      <c r="O33" s="169"/>
      <c r="P33" s="169"/>
      <c r="Q33" s="169"/>
      <c r="R33" s="169"/>
      <c r="S33" s="169"/>
      <c r="T33" s="169"/>
      <c r="U33" s="484"/>
      <c r="V33" s="485"/>
      <c r="W33" s="486">
        <f ca="1">SUBTOTAL(9,W34:W36)</f>
        <v>11215098</v>
      </c>
      <c r="X33" s="487"/>
      <c r="Y33" s="170"/>
      <c r="Z33" s="170"/>
    </row>
    <row r="34" spans="1:26" ht="17.25" customHeight="1">
      <c r="A34" s="326"/>
      <c r="B34" s="223" t="s">
        <v>756</v>
      </c>
      <c r="C34" s="237"/>
      <c r="D34" s="488">
        <v>1</v>
      </c>
      <c r="E34" s="489">
        <v>2</v>
      </c>
      <c r="F34" s="489">
        <v>3</v>
      </c>
      <c r="G34" s="489">
        <v>4</v>
      </c>
      <c r="H34" s="489">
        <v>4</v>
      </c>
      <c r="I34" s="490">
        <v>0</v>
      </c>
      <c r="J34" s="23"/>
      <c r="L34" s="494">
        <v>1</v>
      </c>
      <c r="N34" s="292" t="str">
        <f t="shared" si="1"/>
        <v>6-1. 스마트서비스 만족도 조사</v>
      </c>
      <c r="O34" s="37"/>
      <c r="P34" s="37"/>
      <c r="Q34" s="37"/>
      <c r="R34" s="37"/>
      <c r="S34" s="37"/>
      <c r="T34" s="37"/>
      <c r="U34" s="562"/>
      <c r="V34" s="500"/>
      <c r="W34" s="501">
        <f t="array" aca="1" ref="W34" ca="1">SUM(ROUNDDOWN(D66:I66*단가,0))</f>
        <v>4268963</v>
      </c>
      <c r="X34" s="502"/>
      <c r="Y34" s="170" t="str">
        <f>IF(A66&gt;0, "제 " &amp;A66&amp; " 호표","")</f>
        <v>제 15 호표</v>
      </c>
      <c r="Z34" s="150"/>
    </row>
    <row r="35" spans="1:26" ht="18" customHeight="1">
      <c r="A35" s="326"/>
      <c r="B35" s="223" t="s">
        <v>757</v>
      </c>
      <c r="C35" s="237"/>
      <c r="D35" s="488">
        <v>1</v>
      </c>
      <c r="E35" s="489">
        <v>2</v>
      </c>
      <c r="F35" s="489">
        <v>3</v>
      </c>
      <c r="G35" s="489">
        <v>4</v>
      </c>
      <c r="H35" s="489">
        <v>4</v>
      </c>
      <c r="I35" s="490">
        <v>0</v>
      </c>
      <c r="J35" s="23"/>
      <c r="L35" s="494">
        <v>1</v>
      </c>
      <c r="N35" s="292" t="str">
        <f t="shared" si="1"/>
        <v>6-2. 스마트서비스 효과성 측정</v>
      </c>
      <c r="O35" s="37"/>
      <c r="P35" s="37"/>
      <c r="Q35" s="37"/>
      <c r="R35" s="37"/>
      <c r="S35" s="37"/>
      <c r="T35" s="37"/>
      <c r="U35" s="562"/>
      <c r="V35" s="500"/>
      <c r="W35" s="501">
        <f t="array" aca="1" ref="W35" ca="1">SUM(ROUNDDOWN(D67:I67*단가,0))</f>
        <v>4268963</v>
      </c>
      <c r="X35" s="502"/>
      <c r="Y35" s="170" t="str">
        <f>IF(A67&gt;0, "제 " &amp;A67&amp; " 호표","")</f>
        <v>제 16 호표</v>
      </c>
      <c r="Z35" s="150"/>
    </row>
    <row r="36" spans="1:26" ht="17.25" customHeight="1">
      <c r="A36" s="326"/>
      <c r="B36" s="223" t="s">
        <v>758</v>
      </c>
      <c r="C36" s="237"/>
      <c r="D36" s="488">
        <v>1</v>
      </c>
      <c r="E36" s="489">
        <v>2</v>
      </c>
      <c r="F36" s="489">
        <v>3</v>
      </c>
      <c r="G36" s="489">
        <v>1</v>
      </c>
      <c r="H36" s="489">
        <v>1</v>
      </c>
      <c r="I36" s="490">
        <v>0</v>
      </c>
      <c r="J36" s="23"/>
      <c r="L36" s="494">
        <v>1</v>
      </c>
      <c r="N36" s="292" t="str">
        <f t="shared" si="1"/>
        <v>6-3. 스마트서비스 개선사항 도출</v>
      </c>
      <c r="O36" s="37"/>
      <c r="P36" s="37"/>
      <c r="Q36" s="37"/>
      <c r="R36" s="37"/>
      <c r="S36" s="37"/>
      <c r="T36" s="37"/>
      <c r="U36" s="562"/>
      <c r="V36" s="500"/>
      <c r="W36" s="501">
        <f t="array" aca="1" ref="W36" ca="1">SUM(ROUNDDOWN(D68:I68*단가,0))</f>
        <v>2677172</v>
      </c>
      <c r="X36" s="502"/>
      <c r="Y36" s="170" t="str">
        <f>IF(A68&gt;0, "제 " &amp;A68&amp; " 호표","")</f>
        <v>제 17 호표</v>
      </c>
      <c r="Z36" s="150"/>
    </row>
    <row r="37" spans="1:26" ht="18" customHeight="1">
      <c r="A37" s="326"/>
      <c r="B37" s="222" t="s">
        <v>759</v>
      </c>
      <c r="C37" s="47"/>
      <c r="D37" s="548">
        <f t="shared" ref="D37:I37" si="7">SUBTOTAL(9,D38:D40)</f>
        <v>3</v>
      </c>
      <c r="E37" s="547">
        <f t="shared" si="7"/>
        <v>6</v>
      </c>
      <c r="F37" s="547">
        <f t="shared" si="7"/>
        <v>9</v>
      </c>
      <c r="G37" s="547">
        <f t="shared" si="7"/>
        <v>6</v>
      </c>
      <c r="H37" s="547">
        <f t="shared" si="7"/>
        <v>3</v>
      </c>
      <c r="I37" s="546">
        <f t="shared" si="7"/>
        <v>0</v>
      </c>
      <c r="J37" s="13"/>
      <c r="L37" s="494"/>
      <c r="N37" s="354" t="str">
        <f t="shared" si="1"/>
        <v>7. 스마트서비스 구축현황 점검</v>
      </c>
      <c r="O37" s="169"/>
      <c r="P37" s="169"/>
      <c r="Q37" s="169"/>
      <c r="R37" s="169"/>
      <c r="S37" s="169"/>
      <c r="T37" s="169"/>
      <c r="U37" s="484"/>
      <c r="V37" s="485"/>
      <c r="W37" s="486">
        <f ca="1">SUBTOTAL(9,W38:W40)</f>
        <v>8916930</v>
      </c>
      <c r="X37" s="487"/>
      <c r="Y37" s="170"/>
      <c r="Z37" s="170"/>
    </row>
    <row r="38" spans="1:26" ht="18" customHeight="1">
      <c r="A38" s="326"/>
      <c r="B38" s="409" t="s">
        <v>760</v>
      </c>
      <c r="C38" s="237"/>
      <c r="D38" s="488">
        <v>1</v>
      </c>
      <c r="E38" s="489">
        <v>2</v>
      </c>
      <c r="F38" s="489">
        <v>3</v>
      </c>
      <c r="G38" s="489">
        <v>2</v>
      </c>
      <c r="H38" s="489">
        <v>1</v>
      </c>
      <c r="I38" s="490">
        <v>0</v>
      </c>
      <c r="J38" s="74"/>
      <c r="L38" s="494">
        <v>1</v>
      </c>
      <c r="N38" s="292" t="str">
        <f t="shared" si="1"/>
        <v>7-1. 스마트서비스 구축 진척율 점검</v>
      </c>
      <c r="O38" s="37"/>
      <c r="P38" s="37"/>
      <c r="Q38" s="37"/>
      <c r="R38" s="37"/>
      <c r="S38" s="37"/>
      <c r="T38" s="37"/>
      <c r="U38" s="562"/>
      <c r="V38" s="500"/>
      <c r="W38" s="501">
        <f t="array" aca="1" ref="W38" ca="1">SUM(ROUNDDOWN(D70:I70*단가,0))</f>
        <v>2972310</v>
      </c>
      <c r="X38" s="502"/>
      <c r="Y38" s="170" t="str">
        <f>IF(A70&gt;0, "제 " &amp;A70&amp; " 호표","")</f>
        <v>제 18 호표</v>
      </c>
      <c r="Z38" s="150"/>
    </row>
    <row r="39" spans="1:26" ht="18" customHeight="1">
      <c r="A39" s="326"/>
      <c r="B39" s="409" t="s">
        <v>761</v>
      </c>
      <c r="C39" s="237"/>
      <c r="D39" s="488">
        <v>1</v>
      </c>
      <c r="E39" s="489">
        <v>2</v>
      </c>
      <c r="F39" s="489">
        <v>3</v>
      </c>
      <c r="G39" s="489">
        <v>2</v>
      </c>
      <c r="H39" s="489">
        <v>1</v>
      </c>
      <c r="I39" s="490">
        <v>0</v>
      </c>
      <c r="J39" s="74"/>
      <c r="L39" s="494">
        <v>1</v>
      </c>
      <c r="N39" s="292" t="str">
        <f t="shared" si="1"/>
        <v>7-2. 스마트서비스 구현 기능 점검</v>
      </c>
      <c r="O39" s="37"/>
      <c r="P39" s="37"/>
      <c r="Q39" s="37"/>
      <c r="R39" s="37"/>
      <c r="S39" s="37"/>
      <c r="T39" s="37"/>
      <c r="U39" s="562"/>
      <c r="V39" s="500"/>
      <c r="W39" s="501">
        <f t="array" aca="1" ref="W39" ca="1">SUM(ROUNDDOWN(D71:I71*단가,0))</f>
        <v>2972310</v>
      </c>
      <c r="X39" s="502"/>
      <c r="Y39" s="170" t="str">
        <f>IF(A71&gt;0, "제 " &amp;A71&amp; " 호표","")</f>
        <v>제 19 호표</v>
      </c>
      <c r="Z39" s="150"/>
    </row>
    <row r="40" spans="1:26" ht="18" customHeight="1">
      <c r="A40" s="326"/>
      <c r="B40" s="289" t="s">
        <v>762</v>
      </c>
      <c r="C40" s="577"/>
      <c r="D40" s="578">
        <v>1</v>
      </c>
      <c r="E40" s="579">
        <v>2</v>
      </c>
      <c r="F40" s="579">
        <v>3</v>
      </c>
      <c r="G40" s="579">
        <v>2</v>
      </c>
      <c r="H40" s="579">
        <v>1</v>
      </c>
      <c r="I40" s="580">
        <v>0</v>
      </c>
      <c r="J40" s="581"/>
      <c r="L40" s="494">
        <v>1</v>
      </c>
      <c r="N40" s="292" t="str">
        <f t="shared" si="1"/>
        <v>7-3. 시민 요구사항 반영여부 점검</v>
      </c>
      <c r="O40" s="37"/>
      <c r="P40" s="37"/>
      <c r="Q40" s="37"/>
      <c r="R40" s="37"/>
      <c r="S40" s="37"/>
      <c r="T40" s="37"/>
      <c r="U40" s="562"/>
      <c r="V40" s="500"/>
      <c r="W40" s="501">
        <f t="array" aca="1" ref="W40" ca="1">SUM(ROUNDDOWN(D72:I72*단가,0))</f>
        <v>2972310</v>
      </c>
      <c r="X40" s="502"/>
      <c r="Y40" s="170" t="str">
        <f>IF(A72&gt;0, "제 " &amp;A72&amp; " 호표","")</f>
        <v>제 20 호표</v>
      </c>
      <c r="Z40" s="150"/>
    </row>
    <row r="41" spans="1:26" ht="18" customHeight="1">
      <c r="A41" s="326"/>
      <c r="B41" s="222" t="s">
        <v>763</v>
      </c>
      <c r="C41" s="47"/>
      <c r="D41" s="548">
        <f t="shared" ref="D41:I41" si="8">SUBTOTAL(9,D42:D43)</f>
        <v>2</v>
      </c>
      <c r="E41" s="547">
        <f t="shared" si="8"/>
        <v>4</v>
      </c>
      <c r="F41" s="547">
        <f t="shared" si="8"/>
        <v>6</v>
      </c>
      <c r="G41" s="547">
        <f t="shared" si="8"/>
        <v>4</v>
      </c>
      <c r="H41" s="547">
        <f t="shared" si="8"/>
        <v>2</v>
      </c>
      <c r="I41" s="546">
        <f t="shared" si="8"/>
        <v>0</v>
      </c>
      <c r="J41" s="13"/>
      <c r="L41" s="494"/>
      <c r="N41" s="354" t="str">
        <f>B41</f>
        <v>8. 리빙랩 성과 점검 및 확산방안 도출</v>
      </c>
      <c r="O41" s="169"/>
      <c r="P41" s="169"/>
      <c r="Q41" s="169"/>
      <c r="R41" s="169"/>
      <c r="S41" s="169"/>
      <c r="T41" s="169"/>
      <c r="U41" s="484"/>
      <c r="V41" s="485"/>
      <c r="W41" s="486">
        <f ca="1">SUBTOTAL(9,W42:W43)</f>
        <v>5944620</v>
      </c>
      <c r="X41" s="487"/>
      <c r="Y41" s="170"/>
      <c r="Z41" s="170"/>
    </row>
    <row r="42" spans="1:26" ht="18" customHeight="1">
      <c r="A42" s="326"/>
      <c r="B42" s="223" t="s">
        <v>764</v>
      </c>
      <c r="C42" s="237"/>
      <c r="D42" s="488">
        <v>1</v>
      </c>
      <c r="E42" s="489">
        <v>2</v>
      </c>
      <c r="F42" s="489">
        <v>3</v>
      </c>
      <c r="G42" s="489">
        <v>2</v>
      </c>
      <c r="H42" s="489">
        <v>1</v>
      </c>
      <c r="I42" s="490">
        <v>0</v>
      </c>
      <c r="J42" s="23"/>
      <c r="L42" s="494">
        <v>1</v>
      </c>
      <c r="N42" s="292" t="str">
        <f>B42</f>
        <v>8-1. 리빙랩 성과 점검</v>
      </c>
      <c r="O42" s="37"/>
      <c r="P42" s="37"/>
      <c r="Q42" s="37"/>
      <c r="R42" s="37"/>
      <c r="S42" s="37"/>
      <c r="T42" s="37"/>
      <c r="U42" s="562"/>
      <c r="V42" s="500"/>
      <c r="W42" s="501">
        <f t="array" aca="1" ref="W42" ca="1">SUM(ROUNDDOWN(D74:I74*단가,0))</f>
        <v>2972310</v>
      </c>
      <c r="X42" s="502"/>
      <c r="Y42" s="170" t="str">
        <f>IF(A74&gt;0, "제 " &amp;A74&amp; " 호표","")</f>
        <v>제 21 호표</v>
      </c>
      <c r="Z42" s="150"/>
    </row>
    <row r="43" spans="1:26" ht="18" customHeight="1">
      <c r="A43" s="326"/>
      <c r="B43" s="223" t="s">
        <v>765</v>
      </c>
      <c r="C43" s="237"/>
      <c r="D43" s="488">
        <v>1</v>
      </c>
      <c r="E43" s="489">
        <v>2</v>
      </c>
      <c r="F43" s="489">
        <v>3</v>
      </c>
      <c r="G43" s="489">
        <v>2</v>
      </c>
      <c r="H43" s="489">
        <v>1</v>
      </c>
      <c r="I43" s="490">
        <v>0</v>
      </c>
      <c r="J43" s="23"/>
      <c r="L43" s="494">
        <v>1</v>
      </c>
      <c r="N43" s="292" t="str">
        <f>B43</f>
        <v>8-2. 리빙랩 확산 방안 도출</v>
      </c>
      <c r="O43" s="37"/>
      <c r="P43" s="37"/>
      <c r="Q43" s="37"/>
      <c r="R43" s="37"/>
      <c r="S43" s="37"/>
      <c r="T43" s="37"/>
      <c r="U43" s="562"/>
      <c r="V43" s="500"/>
      <c r="W43" s="501">
        <f t="array" aca="1" ref="W43" ca="1">SUM(ROUNDDOWN(D75:I75*단가,0))</f>
        <v>2972310</v>
      </c>
      <c r="X43" s="502"/>
      <c r="Y43" s="170" t="str">
        <f>IF(A75&gt;0, "제 " &amp;A75&amp; " 호표","")</f>
        <v>제 22 호표</v>
      </c>
      <c r="Z43" s="150"/>
    </row>
    <row r="44" spans="1:26" ht="18" customHeight="1" thickBot="1">
      <c r="A44" s="326"/>
      <c r="B44" s="507" t="s">
        <v>49</v>
      </c>
      <c r="C44" s="508"/>
      <c r="D44" s="544">
        <f t="shared" ref="D44:I44" si="9">SUBTOTAL(9,D14:D43)</f>
        <v>22</v>
      </c>
      <c r="E44" s="543">
        <f t="shared" si="9"/>
        <v>44</v>
      </c>
      <c r="F44" s="543">
        <f t="shared" si="9"/>
        <v>69</v>
      </c>
      <c r="G44" s="543">
        <f t="shared" si="9"/>
        <v>49</v>
      </c>
      <c r="H44" s="543">
        <f t="shared" si="9"/>
        <v>44</v>
      </c>
      <c r="I44" s="542">
        <f t="shared" si="9"/>
        <v>0</v>
      </c>
      <c r="J44" s="541"/>
      <c r="L44" s="582"/>
      <c r="N44" s="290" t="s">
        <v>10</v>
      </c>
      <c r="O44" s="129"/>
      <c r="P44" s="130"/>
      <c r="Q44" s="124"/>
      <c r="R44" s="131"/>
      <c r="S44" s="124"/>
      <c r="T44" s="124"/>
      <c r="U44" s="476"/>
      <c r="V44" s="476"/>
      <c r="W44" s="517">
        <f>SUBTOTAL(9,W45:W48)</f>
        <v>4500000</v>
      </c>
      <c r="X44" s="478"/>
      <c r="Y44" s="124"/>
      <c r="Z44" s="124"/>
    </row>
    <row r="45" spans="1:26" ht="18" customHeight="1" thickBot="1">
      <c r="A45" s="326"/>
      <c r="B45" s="14" t="s">
        <v>30</v>
      </c>
      <c r="C45" s="250"/>
      <c r="D45" s="249" t="s">
        <v>12</v>
      </c>
      <c r="E45" s="251"/>
      <c r="F45" s="251"/>
      <c r="G45" s="251"/>
      <c r="H45" s="251"/>
      <c r="I45" s="250"/>
      <c r="J45" s="175" t="s">
        <v>31</v>
      </c>
      <c r="N45" s="128" t="str">
        <f>"여비("&amp;TEXT(R45,"#인 ×")&amp;TEXT(S45,"#일 ×")&amp;TEXT(T45,"###,###원)")</f>
        <v>여비(3인 ×5일 ×100,000원)</v>
      </c>
      <c r="O45" s="78"/>
      <c r="P45" s="52"/>
      <c r="Q45" s="51"/>
      <c r="R45" s="146">
        <v>3</v>
      </c>
      <c r="S45" s="146">
        <v>5</v>
      </c>
      <c r="T45" s="519">
        <v>100000</v>
      </c>
      <c r="U45" s="550"/>
      <c r="V45" s="550"/>
      <c r="W45" s="520">
        <f>R45*S45*T45</f>
        <v>1500000</v>
      </c>
      <c r="X45" s="521"/>
      <c r="Y45" s="51"/>
      <c r="Z45" s="51"/>
    </row>
    <row r="46" spans="1:26" ht="18" customHeight="1">
      <c r="A46" s="326"/>
      <c r="B46" s="73" t="s">
        <v>766</v>
      </c>
      <c r="C46" s="72"/>
      <c r="D46" s="576">
        <f t="shared" ref="D46:I46" si="10">SUBTOTAL(9,D47:D49)</f>
        <v>3</v>
      </c>
      <c r="E46" s="575">
        <f t="shared" si="10"/>
        <v>6</v>
      </c>
      <c r="F46" s="575">
        <f t="shared" si="10"/>
        <v>6</v>
      </c>
      <c r="G46" s="575">
        <f t="shared" si="10"/>
        <v>10</v>
      </c>
      <c r="H46" s="575">
        <f t="shared" si="10"/>
        <v>15</v>
      </c>
      <c r="I46" s="574">
        <f t="shared" si="10"/>
        <v>0</v>
      </c>
      <c r="J46" s="73"/>
      <c r="N46" s="79" t="s">
        <v>46</v>
      </c>
      <c r="O46" s="79"/>
      <c r="P46" s="39"/>
      <c r="Q46" s="37"/>
      <c r="R46" s="117"/>
      <c r="S46" s="37"/>
      <c r="T46" s="37"/>
      <c r="U46" s="523"/>
      <c r="V46" s="523"/>
      <c r="W46" s="524">
        <v>2000000</v>
      </c>
      <c r="X46" s="525"/>
      <c r="Y46" s="37"/>
      <c r="Z46" s="37"/>
    </row>
    <row r="47" spans="1:26" ht="18" customHeight="1">
      <c r="A47" s="326">
        <v>1</v>
      </c>
      <c r="B47" s="409" t="s">
        <v>737</v>
      </c>
      <c r="C47" s="237"/>
      <c r="D47" s="488">
        <f t="array" ref="D47:I49">ROUND(D15:I17*L15:L17*E6*E7,1)</f>
        <v>1</v>
      </c>
      <c r="E47" s="489">
        <v>2</v>
      </c>
      <c r="F47" s="489">
        <v>2</v>
      </c>
      <c r="G47" s="489">
        <v>4</v>
      </c>
      <c r="H47" s="489">
        <v>4</v>
      </c>
      <c r="I47" s="490">
        <v>0</v>
      </c>
      <c r="J47" s="74"/>
      <c r="N47" s="132"/>
      <c r="O47" s="132"/>
      <c r="P47" s="583"/>
      <c r="Q47" s="38"/>
      <c r="R47" s="116"/>
      <c r="S47" s="38"/>
      <c r="T47" s="38"/>
      <c r="U47" s="526"/>
      <c r="V47" s="526"/>
      <c r="W47" s="527"/>
      <c r="X47" s="528"/>
      <c r="Y47" s="38"/>
      <c r="Z47" s="38"/>
    </row>
    <row r="48" spans="1:26" ht="18" customHeight="1">
      <c r="A48" s="326">
        <v>2</v>
      </c>
      <c r="B48" s="409" t="s">
        <v>738</v>
      </c>
      <c r="C48" s="237"/>
      <c r="D48" s="488">
        <v>1</v>
      </c>
      <c r="E48" s="489">
        <v>2</v>
      </c>
      <c r="F48" s="489">
        <v>2</v>
      </c>
      <c r="G48" s="489">
        <v>1</v>
      </c>
      <c r="H48" s="489">
        <v>1</v>
      </c>
      <c r="I48" s="490">
        <v>0</v>
      </c>
      <c r="J48" s="74"/>
      <c r="N48" s="132" t="s">
        <v>767</v>
      </c>
      <c r="O48" s="132"/>
      <c r="P48" s="38"/>
      <c r="Q48" s="38"/>
      <c r="R48" s="116"/>
      <c r="S48" s="38"/>
      <c r="T48" s="38"/>
      <c r="U48" s="526"/>
      <c r="V48" s="526"/>
      <c r="W48" s="527">
        <v>1000000</v>
      </c>
      <c r="X48" s="528"/>
      <c r="Y48" s="38"/>
      <c r="Z48" s="38"/>
    </row>
    <row r="49" spans="1:26" ht="18" customHeight="1">
      <c r="A49" s="326">
        <v>3</v>
      </c>
      <c r="B49" s="223" t="s">
        <v>739</v>
      </c>
      <c r="C49" s="237"/>
      <c r="D49" s="488">
        <v>1</v>
      </c>
      <c r="E49" s="489">
        <v>2</v>
      </c>
      <c r="F49" s="489">
        <v>2</v>
      </c>
      <c r="G49" s="489">
        <v>5</v>
      </c>
      <c r="H49" s="489">
        <v>10</v>
      </c>
      <c r="I49" s="490">
        <v>0</v>
      </c>
      <c r="J49" s="74"/>
      <c r="N49" s="127" t="s">
        <v>47</v>
      </c>
      <c r="O49" s="123"/>
      <c r="P49" s="123"/>
      <c r="Q49" s="123"/>
      <c r="R49" s="123"/>
      <c r="S49" s="123"/>
      <c r="T49" s="123"/>
      <c r="U49" s="473"/>
      <c r="V49" s="473"/>
      <c r="W49" s="474">
        <f ca="1">SUBTOTAL(9,W50:W51)</f>
        <v>130997771</v>
      </c>
      <c r="X49" s="475"/>
      <c r="Y49" s="123"/>
      <c r="Z49" s="123"/>
    </row>
    <row r="50" spans="1:26" ht="18" customHeight="1">
      <c r="A50" s="326"/>
      <c r="B50" s="222" t="s">
        <v>740</v>
      </c>
      <c r="C50" s="47"/>
      <c r="D50" s="548">
        <f t="shared" ref="D50:I50" si="11">SUBTOTAL(9,D51:D52)</f>
        <v>2</v>
      </c>
      <c r="E50" s="547">
        <f t="shared" si="11"/>
        <v>4</v>
      </c>
      <c r="F50" s="547">
        <f t="shared" si="11"/>
        <v>8</v>
      </c>
      <c r="G50" s="547">
        <f t="shared" si="11"/>
        <v>3</v>
      </c>
      <c r="H50" s="547">
        <f t="shared" si="11"/>
        <v>2</v>
      </c>
      <c r="I50" s="546">
        <f t="shared" si="11"/>
        <v>0</v>
      </c>
      <c r="J50" s="13"/>
      <c r="N50" s="133" t="s">
        <v>861</v>
      </c>
      <c r="O50" s="124"/>
      <c r="P50" s="134"/>
      <c r="Q50" s="124"/>
      <c r="R50" s="131"/>
      <c r="S50" s="124"/>
      <c r="T50" s="476"/>
      <c r="U50" s="476"/>
      <c r="V50" s="190">
        <v>1.1499999999999999</v>
      </c>
      <c r="W50" s="517">
        <f ca="1">ROUNDDOWN(W13*V50,0)</f>
        <v>83926149</v>
      </c>
      <c r="X50" s="478"/>
      <c r="Y50" s="124"/>
      <c r="Z50" s="124"/>
    </row>
    <row r="51" spans="1:26" ht="18" customHeight="1" thickBot="1">
      <c r="A51" s="326">
        <v>4</v>
      </c>
      <c r="B51" s="223" t="s">
        <v>768</v>
      </c>
      <c r="C51" s="237"/>
      <c r="D51" s="488">
        <f t="array" ref="D51:I52">ROUND(D19:I20*L19:L20*E6*E7,1)</f>
        <v>1</v>
      </c>
      <c r="E51" s="489">
        <v>2</v>
      </c>
      <c r="F51" s="489">
        <v>4</v>
      </c>
      <c r="G51" s="489">
        <v>1</v>
      </c>
      <c r="H51" s="489">
        <v>1</v>
      </c>
      <c r="I51" s="490">
        <v>0</v>
      </c>
      <c r="J51" s="74"/>
      <c r="L51" s="171"/>
      <c r="N51" s="135" t="s">
        <v>862</v>
      </c>
      <c r="O51" s="136"/>
      <c r="P51" s="137"/>
      <c r="Q51" s="136"/>
      <c r="R51" s="138"/>
      <c r="S51" s="136"/>
      <c r="T51" s="529"/>
      <c r="U51" s="529"/>
      <c r="V51" s="191">
        <v>0.3</v>
      </c>
      <c r="W51" s="549">
        <f ca="1">ROUNDDOWN((W13+W50)*V51,0)</f>
        <v>47071622</v>
      </c>
      <c r="X51" s="530"/>
      <c r="Y51" s="136"/>
      <c r="Z51" s="136"/>
    </row>
    <row r="52" spans="1:26" ht="18" customHeight="1">
      <c r="A52" s="326">
        <v>5</v>
      </c>
      <c r="B52" s="223" t="s">
        <v>742</v>
      </c>
      <c r="C52" s="237"/>
      <c r="D52" s="488">
        <v>1</v>
      </c>
      <c r="E52" s="489">
        <v>2</v>
      </c>
      <c r="F52" s="489">
        <v>4</v>
      </c>
      <c r="G52" s="489">
        <v>2</v>
      </c>
      <c r="H52" s="489">
        <v>1</v>
      </c>
      <c r="I52" s="490">
        <v>0</v>
      </c>
      <c r="J52" s="74"/>
    </row>
    <row r="53" spans="1:26" ht="18" customHeight="1">
      <c r="A53" s="326"/>
      <c r="B53" s="222" t="s">
        <v>769</v>
      </c>
      <c r="C53" s="47"/>
      <c r="D53" s="548">
        <f t="shared" ref="D53:I53" si="12">SUBTOTAL(9,D54:D55)</f>
        <v>2</v>
      </c>
      <c r="E53" s="547">
        <f t="shared" si="12"/>
        <v>4</v>
      </c>
      <c r="F53" s="547">
        <f t="shared" si="12"/>
        <v>8</v>
      </c>
      <c r="G53" s="547">
        <f t="shared" si="12"/>
        <v>8</v>
      </c>
      <c r="H53" s="547">
        <f t="shared" si="12"/>
        <v>4</v>
      </c>
      <c r="I53" s="546">
        <f t="shared" si="12"/>
        <v>0</v>
      </c>
      <c r="J53" s="13"/>
    </row>
    <row r="54" spans="1:26" ht="18" customHeight="1" thickBot="1">
      <c r="A54" s="326">
        <v>6</v>
      </c>
      <c r="B54" s="223" t="s">
        <v>770</v>
      </c>
      <c r="C54" s="237"/>
      <c r="D54" s="488">
        <f t="array" ref="D54:I55">ROUND(D22:I23*L22:L23*E6*E7,1)</f>
        <v>1</v>
      </c>
      <c r="E54" s="489">
        <v>2</v>
      </c>
      <c r="F54" s="489">
        <v>4</v>
      </c>
      <c r="G54" s="489">
        <v>4</v>
      </c>
      <c r="H54" s="489">
        <v>2</v>
      </c>
      <c r="I54" s="490">
        <v>0</v>
      </c>
      <c r="J54" s="74"/>
      <c r="N54" s="66" t="s">
        <v>18</v>
      </c>
      <c r="O54" s="2"/>
      <c r="P54" s="2"/>
      <c r="Q54" s="2"/>
      <c r="R54" s="3"/>
      <c r="S54" s="4"/>
      <c r="T54" s="3"/>
      <c r="U54" s="4"/>
      <c r="V54" s="3"/>
      <c r="W54" s="4"/>
      <c r="X54" s="3"/>
      <c r="Y54" s="4"/>
      <c r="Z54" s="2"/>
    </row>
    <row r="55" spans="1:26" ht="18" customHeight="1">
      <c r="A55" s="326">
        <v>7</v>
      </c>
      <c r="B55" s="223" t="s">
        <v>771</v>
      </c>
      <c r="C55" s="237"/>
      <c r="D55" s="488">
        <v>1</v>
      </c>
      <c r="E55" s="489">
        <v>2</v>
      </c>
      <c r="F55" s="489">
        <v>4</v>
      </c>
      <c r="G55" s="489">
        <v>4</v>
      </c>
      <c r="H55" s="489">
        <v>2</v>
      </c>
      <c r="I55" s="490">
        <v>0</v>
      </c>
      <c r="J55" s="74"/>
      <c r="N55" s="765" t="s">
        <v>19</v>
      </c>
      <c r="O55" s="755" t="s">
        <v>20</v>
      </c>
      <c r="P55" s="755" t="s">
        <v>21</v>
      </c>
      <c r="Q55" s="755" t="s">
        <v>16</v>
      </c>
      <c r="R55" s="5" t="s">
        <v>22</v>
      </c>
      <c r="S55" s="5"/>
      <c r="T55" s="5" t="s">
        <v>23</v>
      </c>
      <c r="U55" s="5"/>
      <c r="V55" s="5" t="s">
        <v>24</v>
      </c>
      <c r="W55" s="5"/>
      <c r="X55" s="5" t="s">
        <v>25</v>
      </c>
      <c r="Y55" s="5"/>
      <c r="Z55" s="755" t="s">
        <v>26</v>
      </c>
    </row>
    <row r="56" spans="1:26" ht="18" customHeight="1" thickBot="1">
      <c r="A56" s="326"/>
      <c r="B56" s="222" t="s">
        <v>772</v>
      </c>
      <c r="C56" s="47"/>
      <c r="D56" s="548">
        <f t="shared" ref="D56:I56" si="13">SUBTOTAL(9,D57:D58)</f>
        <v>2</v>
      </c>
      <c r="E56" s="547">
        <f t="shared" si="13"/>
        <v>4</v>
      </c>
      <c r="F56" s="547">
        <f t="shared" si="13"/>
        <v>8</v>
      </c>
      <c r="G56" s="547">
        <f t="shared" si="13"/>
        <v>4</v>
      </c>
      <c r="H56" s="547">
        <f t="shared" si="13"/>
        <v>4</v>
      </c>
      <c r="I56" s="546">
        <f t="shared" si="13"/>
        <v>0</v>
      </c>
      <c r="J56" s="13"/>
      <c r="N56" s="766"/>
      <c r="O56" s="756"/>
      <c r="P56" s="756"/>
      <c r="Q56" s="756"/>
      <c r="R56" s="67" t="s">
        <v>27</v>
      </c>
      <c r="S56" s="67" t="s">
        <v>28</v>
      </c>
      <c r="T56" s="67" t="s">
        <v>27</v>
      </c>
      <c r="U56" s="67" t="s">
        <v>28</v>
      </c>
      <c r="V56" s="67" t="s">
        <v>27</v>
      </c>
      <c r="W56" s="67" t="s">
        <v>28</v>
      </c>
      <c r="X56" s="67" t="s">
        <v>27</v>
      </c>
      <c r="Y56" s="67" t="s">
        <v>28</v>
      </c>
      <c r="Z56" s="756"/>
    </row>
    <row r="57" spans="1:26" ht="18" customHeight="1" thickTop="1">
      <c r="A57" s="326">
        <v>8</v>
      </c>
      <c r="B57" s="223" t="s">
        <v>773</v>
      </c>
      <c r="C57" s="237"/>
      <c r="D57" s="488">
        <f t="array" ref="D57:I58">ROUND(D25:I26*L25:L26*E6*E7,1)</f>
        <v>1</v>
      </c>
      <c r="E57" s="489">
        <v>2</v>
      </c>
      <c r="F57" s="489">
        <v>4</v>
      </c>
      <c r="G57" s="489">
        <v>2</v>
      </c>
      <c r="H57" s="489">
        <v>2</v>
      </c>
      <c r="I57" s="490">
        <v>0</v>
      </c>
      <c r="J57" s="74"/>
      <c r="N57" s="532" t="str">
        <f ca="1">"제 " &amp; Z57 &amp; " 호표  "&amp; OFFSET($A$1,MATCH(Z57,$A:$A,0)-1,1)</f>
        <v>제 1 호표  1-1. 대상지 현황분석</v>
      </c>
      <c r="O57" s="533"/>
      <c r="P57" s="148"/>
      <c r="Q57" s="148"/>
      <c r="R57" s="149"/>
      <c r="S57" s="149"/>
      <c r="T57" s="149"/>
      <c r="U57" s="149"/>
      <c r="V57" s="149"/>
      <c r="W57" s="149"/>
      <c r="X57" s="149"/>
      <c r="Y57" s="149"/>
      <c r="Z57" s="325">
        <v>1</v>
      </c>
    </row>
    <row r="58" spans="1:26" ht="18" customHeight="1">
      <c r="A58" s="326">
        <v>9</v>
      </c>
      <c r="B58" s="223" t="s">
        <v>774</v>
      </c>
      <c r="C58" s="237"/>
      <c r="D58" s="488">
        <v>1</v>
      </c>
      <c r="E58" s="489">
        <v>2</v>
      </c>
      <c r="F58" s="489">
        <v>4</v>
      </c>
      <c r="G58" s="489">
        <v>2</v>
      </c>
      <c r="H58" s="489">
        <v>2</v>
      </c>
      <c r="I58" s="490">
        <v>0</v>
      </c>
      <c r="J58" s="74"/>
      <c r="N58" s="140" t="s">
        <v>43</v>
      </c>
      <c r="O58" s="172">
        <v>3</v>
      </c>
      <c r="P58" s="534">
        <f ca="1">OFFSET($A$1,MATCH(Z57,$A:$A,0)-1,O58)</f>
        <v>1</v>
      </c>
      <c r="Q58" s="141" t="s">
        <v>29</v>
      </c>
      <c r="R58" s="142">
        <f t="shared" ref="R58:S63" ca="1" si="14">T58</f>
        <v>467217</v>
      </c>
      <c r="S58" s="142">
        <f t="shared" ca="1" si="14"/>
        <v>467217</v>
      </c>
      <c r="T58" s="142">
        <f ca="1">기술사</f>
        <v>467217</v>
      </c>
      <c r="U58" s="142">
        <f t="shared" ref="U58:U63" ca="1" si="15">ROUNDDOWN(P58*R58,0)</f>
        <v>467217</v>
      </c>
      <c r="V58" s="142"/>
      <c r="W58" s="142"/>
      <c r="X58" s="142"/>
      <c r="Y58" s="142"/>
      <c r="Z58" s="114"/>
    </row>
    <row r="59" spans="1:26" ht="18" customHeight="1">
      <c r="A59" s="326"/>
      <c r="B59" s="222" t="s">
        <v>775</v>
      </c>
      <c r="C59" s="47"/>
      <c r="D59" s="548">
        <f t="shared" ref="D59:I59" si="16">SUBTOTAL(9,D60:D64)</f>
        <v>5</v>
      </c>
      <c r="E59" s="547">
        <f t="shared" si="16"/>
        <v>10</v>
      </c>
      <c r="F59" s="547">
        <f t="shared" si="16"/>
        <v>15</v>
      </c>
      <c r="G59" s="547">
        <f t="shared" si="16"/>
        <v>5</v>
      </c>
      <c r="H59" s="547">
        <f t="shared" si="16"/>
        <v>5</v>
      </c>
      <c r="I59" s="546">
        <f t="shared" si="16"/>
        <v>0</v>
      </c>
      <c r="J59" s="13"/>
      <c r="N59" s="143" t="s">
        <v>32</v>
      </c>
      <c r="O59" s="173">
        <v>4</v>
      </c>
      <c r="P59" s="234">
        <f ca="1">OFFSET($A$1,MATCH(Z57,$A:$A,0)-1,O59)</f>
        <v>2</v>
      </c>
      <c r="Q59" s="144" t="s">
        <v>29</v>
      </c>
      <c r="R59" s="118">
        <f t="shared" ca="1" si="14"/>
        <v>373353</v>
      </c>
      <c r="S59" s="118">
        <f t="shared" ca="1" si="14"/>
        <v>746706</v>
      </c>
      <c r="T59" s="118">
        <f ca="1">특급</f>
        <v>373353</v>
      </c>
      <c r="U59" s="118">
        <f t="shared" ca="1" si="15"/>
        <v>746706</v>
      </c>
      <c r="V59" s="118"/>
      <c r="W59" s="118"/>
      <c r="X59" s="118"/>
      <c r="Y59" s="118"/>
      <c r="Z59" s="115"/>
    </row>
    <row r="60" spans="1:26" ht="18" customHeight="1">
      <c r="A60" s="326">
        <v>10</v>
      </c>
      <c r="B60" s="223" t="s">
        <v>776</v>
      </c>
      <c r="C60" s="237"/>
      <c r="D60" s="488">
        <f t="array" ref="D60:I64">ROUND(D28:I32*L28:L32*E6*E7,1)</f>
        <v>1</v>
      </c>
      <c r="E60" s="489">
        <v>2</v>
      </c>
      <c r="F60" s="489">
        <v>3</v>
      </c>
      <c r="G60" s="489">
        <v>1</v>
      </c>
      <c r="H60" s="489">
        <v>1</v>
      </c>
      <c r="I60" s="490">
        <v>0</v>
      </c>
      <c r="J60" s="23"/>
      <c r="M60" s="171"/>
      <c r="N60" s="145" t="s">
        <v>39</v>
      </c>
      <c r="O60" s="173">
        <v>5</v>
      </c>
      <c r="P60" s="234">
        <f ca="1">OFFSET($A$1,MATCH(Z57,$A:$A,0)-1,O60)</f>
        <v>2</v>
      </c>
      <c r="Q60" s="144" t="s">
        <v>29</v>
      </c>
      <c r="R60" s="118">
        <f t="shared" ca="1" si="14"/>
        <v>310884</v>
      </c>
      <c r="S60" s="118">
        <f t="shared" ca="1" si="14"/>
        <v>621768</v>
      </c>
      <c r="T60" s="118">
        <f ca="1">고급</f>
        <v>310884</v>
      </c>
      <c r="U60" s="118">
        <f t="shared" ca="1" si="15"/>
        <v>621768</v>
      </c>
      <c r="V60" s="118"/>
      <c r="W60" s="118"/>
      <c r="X60" s="118"/>
      <c r="Y60" s="118"/>
      <c r="Z60" s="115"/>
    </row>
    <row r="61" spans="1:26" ht="18" customHeight="1">
      <c r="A61" s="326">
        <v>11</v>
      </c>
      <c r="B61" s="223" t="s">
        <v>777</v>
      </c>
      <c r="C61" s="237"/>
      <c r="D61" s="488">
        <v>1</v>
      </c>
      <c r="E61" s="489">
        <v>2</v>
      </c>
      <c r="F61" s="489">
        <v>3</v>
      </c>
      <c r="G61" s="489">
        <v>1</v>
      </c>
      <c r="H61" s="489">
        <v>1</v>
      </c>
      <c r="I61" s="490">
        <v>0</v>
      </c>
      <c r="J61" s="23"/>
      <c r="M61" s="171"/>
      <c r="N61" s="145" t="s">
        <v>40</v>
      </c>
      <c r="O61" s="173">
        <v>6</v>
      </c>
      <c r="P61" s="234">
        <f ca="1">OFFSET($A$1,MATCH(Z57,$A:$A,0)-1,O61)</f>
        <v>4</v>
      </c>
      <c r="Q61" s="144" t="s">
        <v>29</v>
      </c>
      <c r="R61" s="118">
        <f t="shared" ca="1" si="14"/>
        <v>295138</v>
      </c>
      <c r="S61" s="118">
        <f t="shared" ca="1" si="14"/>
        <v>1180552</v>
      </c>
      <c r="T61" s="118">
        <f ca="1">중급</f>
        <v>295138</v>
      </c>
      <c r="U61" s="118">
        <f t="shared" ca="1" si="15"/>
        <v>1180552</v>
      </c>
      <c r="V61" s="118"/>
      <c r="W61" s="118"/>
      <c r="X61" s="118"/>
      <c r="Y61" s="118"/>
      <c r="Z61" s="115"/>
    </row>
    <row r="62" spans="1:26" ht="18" customHeight="1">
      <c r="A62" s="326">
        <v>12</v>
      </c>
      <c r="B62" s="223" t="s">
        <v>752</v>
      </c>
      <c r="C62" s="237"/>
      <c r="D62" s="488">
        <v>1</v>
      </c>
      <c r="E62" s="489">
        <v>2</v>
      </c>
      <c r="F62" s="489">
        <v>3</v>
      </c>
      <c r="G62" s="489">
        <v>1</v>
      </c>
      <c r="H62" s="489">
        <v>1</v>
      </c>
      <c r="I62" s="490">
        <v>0</v>
      </c>
      <c r="J62" s="23"/>
      <c r="M62" s="171"/>
      <c r="N62" s="145" t="s">
        <v>41</v>
      </c>
      <c r="O62" s="173">
        <v>7</v>
      </c>
      <c r="P62" s="234">
        <f ca="1">OFFSET($A$1,MATCH(Z57,$A:$A,0)-1,O62)</f>
        <v>4</v>
      </c>
      <c r="Q62" s="144" t="s">
        <v>29</v>
      </c>
      <c r="R62" s="118">
        <f t="shared" ca="1" si="14"/>
        <v>235459</v>
      </c>
      <c r="S62" s="118">
        <f t="shared" ca="1" si="14"/>
        <v>941836</v>
      </c>
      <c r="T62" s="118">
        <f ca="1">초급</f>
        <v>235459</v>
      </c>
      <c r="U62" s="118">
        <f t="shared" ca="1" si="15"/>
        <v>941836</v>
      </c>
      <c r="V62" s="118"/>
      <c r="W62" s="118"/>
      <c r="X62" s="118"/>
      <c r="Y62" s="118"/>
      <c r="Z62" s="115"/>
    </row>
    <row r="63" spans="1:26" ht="18" customHeight="1">
      <c r="A63" s="326">
        <v>13</v>
      </c>
      <c r="B63" s="223" t="s">
        <v>778</v>
      </c>
      <c r="C63" s="237"/>
      <c r="D63" s="488">
        <v>1</v>
      </c>
      <c r="E63" s="489">
        <v>2</v>
      </c>
      <c r="F63" s="489">
        <v>3</v>
      </c>
      <c r="G63" s="489">
        <v>1</v>
      </c>
      <c r="H63" s="489">
        <v>1</v>
      </c>
      <c r="I63" s="490">
        <v>0</v>
      </c>
      <c r="J63" s="23"/>
      <c r="M63" s="171"/>
      <c r="N63" s="319" t="s">
        <v>42</v>
      </c>
      <c r="O63" s="174">
        <v>8</v>
      </c>
      <c r="P63" s="235">
        <f ca="1">OFFSET($A$1,MATCH(Z57,$A:$A,0)-1,O63)</f>
        <v>0</v>
      </c>
      <c r="Q63" s="322" t="s">
        <v>29</v>
      </c>
      <c r="R63" s="323">
        <f t="shared" ca="1" si="14"/>
        <v>250087</v>
      </c>
      <c r="S63" s="323">
        <f t="shared" ca="1" si="14"/>
        <v>0</v>
      </c>
      <c r="T63" s="323">
        <f ca="1">보조원</f>
        <v>250087</v>
      </c>
      <c r="U63" s="323">
        <f t="shared" ca="1" si="15"/>
        <v>0</v>
      </c>
      <c r="V63" s="323"/>
      <c r="W63" s="323"/>
      <c r="X63" s="323"/>
      <c r="Y63" s="323"/>
      <c r="Z63" s="324"/>
    </row>
    <row r="64" spans="1:26" ht="18" customHeight="1">
      <c r="A64" s="326">
        <v>14</v>
      </c>
      <c r="B64" s="223" t="s">
        <v>779</v>
      </c>
      <c r="C64" s="237"/>
      <c r="D64" s="488">
        <v>1</v>
      </c>
      <c r="E64" s="489">
        <v>2</v>
      </c>
      <c r="F64" s="489">
        <v>3</v>
      </c>
      <c r="G64" s="489">
        <v>1</v>
      </c>
      <c r="H64" s="489">
        <v>1</v>
      </c>
      <c r="I64" s="490">
        <v>0</v>
      </c>
      <c r="J64" s="74"/>
      <c r="L64" s="171"/>
      <c r="M64" s="171"/>
      <c r="N64" s="139" t="s">
        <v>17</v>
      </c>
      <c r="O64" s="68"/>
      <c r="P64" s="69"/>
      <c r="Q64" s="70"/>
      <c r="R64" s="71"/>
      <c r="S64" s="71">
        <f ca="1">SUBTOTAL(9,S58:S63)</f>
        <v>3958079</v>
      </c>
      <c r="T64" s="71"/>
      <c r="U64" s="71">
        <f ca="1">SUBTOTAL(9,U58:U63)</f>
        <v>3958079</v>
      </c>
      <c r="V64" s="71"/>
      <c r="W64" s="71"/>
      <c r="X64" s="71"/>
      <c r="Y64" s="71"/>
      <c r="Z64" s="68"/>
    </row>
    <row r="65" spans="1:27" ht="18" customHeight="1">
      <c r="A65" s="326"/>
      <c r="B65" s="222" t="s">
        <v>780</v>
      </c>
      <c r="C65" s="47"/>
      <c r="D65" s="548">
        <f t="shared" ref="D65:I65" si="17">SUBTOTAL(9,D66:D68)</f>
        <v>3</v>
      </c>
      <c r="E65" s="547">
        <f t="shared" si="17"/>
        <v>6</v>
      </c>
      <c r="F65" s="547">
        <f t="shared" si="17"/>
        <v>9</v>
      </c>
      <c r="G65" s="547">
        <f t="shared" si="17"/>
        <v>9</v>
      </c>
      <c r="H65" s="547">
        <f t="shared" si="17"/>
        <v>9</v>
      </c>
      <c r="I65" s="546">
        <f t="shared" si="17"/>
        <v>0</v>
      </c>
      <c r="J65" s="13"/>
      <c r="L65" s="171"/>
      <c r="M65" s="171"/>
      <c r="N65" s="532" t="str">
        <f ca="1">"제 " &amp; Z65 &amp; " 호표  "&amp; OFFSET($A$1,MATCH(Z65,$A:$A,0)-1,1)</f>
        <v>제 2 호표  1-2. 상위계획 및 관련계획 검토</v>
      </c>
      <c r="O65" s="533"/>
      <c r="P65" s="148"/>
      <c r="Q65" s="148"/>
      <c r="R65" s="149"/>
      <c r="S65" s="149"/>
      <c r="T65" s="149"/>
      <c r="U65" s="149"/>
      <c r="V65" s="149"/>
      <c r="W65" s="149"/>
      <c r="X65" s="149"/>
      <c r="Y65" s="149"/>
      <c r="Z65" s="325">
        <f>Z57+1</f>
        <v>2</v>
      </c>
      <c r="AA65" s="171"/>
    </row>
    <row r="66" spans="1:27" ht="18" customHeight="1">
      <c r="A66" s="326">
        <v>15</v>
      </c>
      <c r="B66" s="223" t="s">
        <v>756</v>
      </c>
      <c r="C66" s="237"/>
      <c r="D66" s="488">
        <f t="array" ref="D66:I68">ROUND(D34:I36*L34:L36*E6*E7,1)</f>
        <v>1</v>
      </c>
      <c r="E66" s="489">
        <v>2</v>
      </c>
      <c r="F66" s="489">
        <v>3</v>
      </c>
      <c r="G66" s="489">
        <v>4</v>
      </c>
      <c r="H66" s="489">
        <v>4</v>
      </c>
      <c r="I66" s="490">
        <v>0</v>
      </c>
      <c r="J66" s="23"/>
      <c r="L66" s="171"/>
      <c r="M66" s="171"/>
      <c r="N66" s="140" t="s">
        <v>43</v>
      </c>
      <c r="O66" s="172">
        <v>3</v>
      </c>
      <c r="P66" s="534">
        <f ca="1">OFFSET($A$1,MATCH(Z65,$A:$A,0)-1,O66)</f>
        <v>1</v>
      </c>
      <c r="Q66" s="141" t="s">
        <v>29</v>
      </c>
      <c r="R66" s="142">
        <f t="shared" ref="R66:S71" ca="1" si="18">T66</f>
        <v>467217</v>
      </c>
      <c r="S66" s="142">
        <f t="shared" ca="1" si="18"/>
        <v>467217</v>
      </c>
      <c r="T66" s="142">
        <f ca="1">기술사</f>
        <v>467217</v>
      </c>
      <c r="U66" s="142">
        <f t="shared" ref="U66:U71" ca="1" si="19">ROUNDDOWN(P66*R66,0)</f>
        <v>467217</v>
      </c>
      <c r="V66" s="142"/>
      <c r="W66" s="142"/>
      <c r="X66" s="142"/>
      <c r="Y66" s="142"/>
      <c r="Z66" s="114"/>
      <c r="AA66" s="171"/>
    </row>
    <row r="67" spans="1:27" ht="18" customHeight="1">
      <c r="A67" s="326">
        <v>16</v>
      </c>
      <c r="B67" s="223" t="s">
        <v>757</v>
      </c>
      <c r="C67" s="237"/>
      <c r="D67" s="488">
        <v>1</v>
      </c>
      <c r="E67" s="489">
        <v>2</v>
      </c>
      <c r="F67" s="489">
        <v>3</v>
      </c>
      <c r="G67" s="489">
        <v>4</v>
      </c>
      <c r="H67" s="489">
        <v>4</v>
      </c>
      <c r="I67" s="490">
        <v>0</v>
      </c>
      <c r="J67" s="23"/>
      <c r="L67" s="171"/>
      <c r="M67" s="171"/>
      <c r="N67" s="143" t="s">
        <v>32</v>
      </c>
      <c r="O67" s="173">
        <v>4</v>
      </c>
      <c r="P67" s="234">
        <f ca="1">OFFSET($A$1,MATCH(Z65,$A:$A,0)-1,O67)</f>
        <v>2</v>
      </c>
      <c r="Q67" s="144" t="s">
        <v>29</v>
      </c>
      <c r="R67" s="118">
        <f t="shared" ca="1" si="18"/>
        <v>373353</v>
      </c>
      <c r="S67" s="118">
        <f t="shared" ca="1" si="18"/>
        <v>746706</v>
      </c>
      <c r="T67" s="118">
        <f ca="1">특급</f>
        <v>373353</v>
      </c>
      <c r="U67" s="118">
        <f t="shared" ca="1" si="19"/>
        <v>746706</v>
      </c>
      <c r="V67" s="118"/>
      <c r="W67" s="118"/>
      <c r="X67" s="118"/>
      <c r="Y67" s="118"/>
      <c r="Z67" s="115"/>
      <c r="AA67" s="171"/>
    </row>
    <row r="68" spans="1:27" ht="18" customHeight="1">
      <c r="A68" s="326">
        <v>17</v>
      </c>
      <c r="B68" s="223" t="s">
        <v>781</v>
      </c>
      <c r="C68" s="237"/>
      <c r="D68" s="488">
        <v>1</v>
      </c>
      <c r="E68" s="489">
        <v>2</v>
      </c>
      <c r="F68" s="489">
        <v>3</v>
      </c>
      <c r="G68" s="489">
        <v>1</v>
      </c>
      <c r="H68" s="489">
        <v>1</v>
      </c>
      <c r="I68" s="490">
        <v>0</v>
      </c>
      <c r="J68" s="23"/>
      <c r="L68" s="171"/>
      <c r="M68" s="171"/>
      <c r="N68" s="145" t="s">
        <v>39</v>
      </c>
      <c r="O68" s="173">
        <v>5</v>
      </c>
      <c r="P68" s="234">
        <f ca="1">OFFSET($A$1,MATCH(Z65,$A:$A,0)-1,O68)</f>
        <v>2</v>
      </c>
      <c r="Q68" s="144" t="s">
        <v>29</v>
      </c>
      <c r="R68" s="118">
        <f t="shared" ca="1" si="18"/>
        <v>310884</v>
      </c>
      <c r="S68" s="118">
        <f t="shared" ca="1" si="18"/>
        <v>621768</v>
      </c>
      <c r="T68" s="118">
        <f ca="1">고급</f>
        <v>310884</v>
      </c>
      <c r="U68" s="118">
        <f t="shared" ca="1" si="19"/>
        <v>621768</v>
      </c>
      <c r="V68" s="118"/>
      <c r="W68" s="118"/>
      <c r="X68" s="118"/>
      <c r="Y68" s="118"/>
      <c r="Z68" s="115"/>
      <c r="AA68" s="171"/>
    </row>
    <row r="69" spans="1:27" ht="18" customHeight="1">
      <c r="A69" s="326"/>
      <c r="B69" s="222" t="s">
        <v>782</v>
      </c>
      <c r="C69" s="47"/>
      <c r="D69" s="548">
        <f t="shared" ref="D69:I69" si="20">SUBTOTAL(9,D70:D72)</f>
        <v>3</v>
      </c>
      <c r="E69" s="547">
        <f t="shared" si="20"/>
        <v>6</v>
      </c>
      <c r="F69" s="547">
        <f t="shared" si="20"/>
        <v>9</v>
      </c>
      <c r="G69" s="547">
        <f t="shared" si="20"/>
        <v>6</v>
      </c>
      <c r="H69" s="547">
        <f t="shared" si="20"/>
        <v>3</v>
      </c>
      <c r="I69" s="546">
        <f t="shared" si="20"/>
        <v>0</v>
      </c>
      <c r="J69" s="13"/>
      <c r="L69" s="171"/>
      <c r="M69" s="171"/>
      <c r="N69" s="145" t="s">
        <v>40</v>
      </c>
      <c r="O69" s="173">
        <v>6</v>
      </c>
      <c r="P69" s="234">
        <f ca="1">OFFSET($A$1,MATCH(Z65,$A:$A,0)-1,O69)</f>
        <v>1</v>
      </c>
      <c r="Q69" s="144" t="s">
        <v>29</v>
      </c>
      <c r="R69" s="118">
        <f t="shared" ca="1" si="18"/>
        <v>295138</v>
      </c>
      <c r="S69" s="118">
        <f t="shared" ca="1" si="18"/>
        <v>295138</v>
      </c>
      <c r="T69" s="118">
        <f ca="1">중급</f>
        <v>295138</v>
      </c>
      <c r="U69" s="118">
        <f t="shared" ca="1" si="19"/>
        <v>295138</v>
      </c>
      <c r="V69" s="118"/>
      <c r="W69" s="118"/>
      <c r="X69" s="118"/>
      <c r="Y69" s="118"/>
      <c r="Z69" s="115"/>
      <c r="AA69" s="171"/>
    </row>
    <row r="70" spans="1:27" ht="18" customHeight="1">
      <c r="A70" s="326">
        <v>18</v>
      </c>
      <c r="B70" s="409" t="s">
        <v>760</v>
      </c>
      <c r="C70" s="237"/>
      <c r="D70" s="488">
        <f t="array" ref="D70:I72">ROUND(D38:I40*L38:L40*E6*E7,1)</f>
        <v>1</v>
      </c>
      <c r="E70" s="489">
        <v>2</v>
      </c>
      <c r="F70" s="489">
        <v>3</v>
      </c>
      <c r="G70" s="489">
        <v>2</v>
      </c>
      <c r="H70" s="489">
        <v>1</v>
      </c>
      <c r="I70" s="490">
        <v>0</v>
      </c>
      <c r="J70" s="74"/>
      <c r="K70" s="171" t="s">
        <v>14</v>
      </c>
      <c r="L70" s="171"/>
      <c r="M70" s="171"/>
      <c r="N70" s="145" t="s">
        <v>41</v>
      </c>
      <c r="O70" s="173">
        <v>7</v>
      </c>
      <c r="P70" s="234">
        <f ca="1">OFFSET($A$1,MATCH(Z65,$A:$A,0)-1,O70)</f>
        <v>1</v>
      </c>
      <c r="Q70" s="144" t="s">
        <v>29</v>
      </c>
      <c r="R70" s="118">
        <f t="shared" ca="1" si="18"/>
        <v>235459</v>
      </c>
      <c r="S70" s="118">
        <f t="shared" ca="1" si="18"/>
        <v>235459</v>
      </c>
      <c r="T70" s="118">
        <f ca="1">초급</f>
        <v>235459</v>
      </c>
      <c r="U70" s="118">
        <f t="shared" ca="1" si="19"/>
        <v>235459</v>
      </c>
      <c r="V70" s="118"/>
      <c r="W70" s="118"/>
      <c r="X70" s="118"/>
      <c r="Y70" s="118"/>
      <c r="Z70" s="115"/>
      <c r="AA70" s="171"/>
    </row>
    <row r="71" spans="1:27" ht="18" customHeight="1">
      <c r="A71" s="326">
        <v>19</v>
      </c>
      <c r="B71" s="409" t="s">
        <v>783</v>
      </c>
      <c r="C71" s="237"/>
      <c r="D71" s="488">
        <v>1</v>
      </c>
      <c r="E71" s="489">
        <v>2</v>
      </c>
      <c r="F71" s="489">
        <v>3</v>
      </c>
      <c r="G71" s="489">
        <v>2</v>
      </c>
      <c r="H71" s="489">
        <v>1</v>
      </c>
      <c r="I71" s="490">
        <v>0</v>
      </c>
      <c r="J71" s="74"/>
      <c r="K71" s="171" t="s">
        <v>702</v>
      </c>
      <c r="L71" s="171"/>
      <c r="M71" s="171"/>
      <c r="N71" s="319" t="s">
        <v>42</v>
      </c>
      <c r="O71" s="174">
        <v>8</v>
      </c>
      <c r="P71" s="235">
        <f ca="1">OFFSET($A$1,MATCH(Z65,$A:$A,0)-1,O71)</f>
        <v>0</v>
      </c>
      <c r="Q71" s="322" t="s">
        <v>29</v>
      </c>
      <c r="R71" s="323">
        <f t="shared" ca="1" si="18"/>
        <v>250087</v>
      </c>
      <c r="S71" s="323">
        <f t="shared" ca="1" si="18"/>
        <v>0</v>
      </c>
      <c r="T71" s="323">
        <f ca="1">보조원</f>
        <v>250087</v>
      </c>
      <c r="U71" s="323">
        <f t="shared" ca="1" si="19"/>
        <v>0</v>
      </c>
      <c r="V71" s="323"/>
      <c r="W71" s="323"/>
      <c r="X71" s="323"/>
      <c r="Y71" s="323"/>
      <c r="Z71" s="324"/>
      <c r="AA71" s="171"/>
    </row>
    <row r="72" spans="1:27" ht="18" customHeight="1">
      <c r="A72" s="326">
        <v>20</v>
      </c>
      <c r="B72" s="289" t="s">
        <v>762</v>
      </c>
      <c r="C72" s="577"/>
      <c r="D72" s="578">
        <v>1</v>
      </c>
      <c r="E72" s="579">
        <v>2</v>
      </c>
      <c r="F72" s="579">
        <v>3</v>
      </c>
      <c r="G72" s="579">
        <v>2</v>
      </c>
      <c r="H72" s="579">
        <v>1</v>
      </c>
      <c r="I72" s="580">
        <v>0</v>
      </c>
      <c r="J72" s="581"/>
      <c r="K72" s="171" t="s">
        <v>699</v>
      </c>
      <c r="L72" s="171"/>
      <c r="M72" s="171"/>
      <c r="N72" s="139" t="s">
        <v>17</v>
      </c>
      <c r="O72" s="68"/>
      <c r="P72" s="69"/>
      <c r="Q72" s="70"/>
      <c r="R72" s="71"/>
      <c r="S72" s="71">
        <f ca="1">SUBTOTAL(9,S66:S71)</f>
        <v>2366288</v>
      </c>
      <c r="T72" s="71"/>
      <c r="U72" s="71">
        <f ca="1">SUBTOTAL(9,U66:U71)</f>
        <v>2366288</v>
      </c>
      <c r="V72" s="71"/>
      <c r="W72" s="71"/>
      <c r="X72" s="71"/>
      <c r="Y72" s="71"/>
      <c r="Z72" s="68"/>
      <c r="AA72" s="171"/>
    </row>
    <row r="73" spans="1:27" ht="18" customHeight="1">
      <c r="A73" s="326"/>
      <c r="B73" s="222" t="s">
        <v>763</v>
      </c>
      <c r="C73" s="47"/>
      <c r="D73" s="548">
        <f t="shared" ref="D73:I73" si="21">SUBTOTAL(9,D74:D75)</f>
        <v>2</v>
      </c>
      <c r="E73" s="547">
        <f t="shared" si="21"/>
        <v>4</v>
      </c>
      <c r="F73" s="547">
        <f t="shared" si="21"/>
        <v>6</v>
      </c>
      <c r="G73" s="547">
        <f t="shared" si="21"/>
        <v>4</v>
      </c>
      <c r="H73" s="547">
        <f t="shared" si="21"/>
        <v>2</v>
      </c>
      <c r="I73" s="546">
        <f t="shared" si="21"/>
        <v>0</v>
      </c>
      <c r="J73" s="13"/>
      <c r="K73" s="171" t="s">
        <v>14</v>
      </c>
      <c r="L73" s="171"/>
      <c r="M73" s="171"/>
      <c r="N73" s="532" t="str">
        <f ca="1">"제 " &amp; Z73 &amp; " 호표  "&amp; OFFSET($A$1,MATCH(Z73,$A:$A,0)-1,1)</f>
        <v>제 3 호표  1-3. 시민참여단 모집</v>
      </c>
      <c r="O73" s="533"/>
      <c r="P73" s="148"/>
      <c r="Q73" s="148"/>
      <c r="R73" s="149"/>
      <c r="S73" s="149"/>
      <c r="T73" s="149"/>
      <c r="U73" s="149"/>
      <c r="V73" s="149"/>
      <c r="W73" s="149"/>
      <c r="X73" s="149"/>
      <c r="Y73" s="149"/>
      <c r="Z73" s="325">
        <f>Z65+1</f>
        <v>3</v>
      </c>
      <c r="AA73" s="171"/>
    </row>
    <row r="74" spans="1:27" ht="18" customHeight="1">
      <c r="A74" s="326">
        <v>21</v>
      </c>
      <c r="B74" s="223" t="s">
        <v>784</v>
      </c>
      <c r="C74" s="237"/>
      <c r="D74" s="488">
        <f t="array" ref="D74:I75">ROUND(D42:I43*L42:L43*E6*E7,1)</f>
        <v>1</v>
      </c>
      <c r="E74" s="489">
        <v>2</v>
      </c>
      <c r="F74" s="489">
        <v>3</v>
      </c>
      <c r="G74" s="489">
        <v>2</v>
      </c>
      <c r="H74" s="489">
        <v>1</v>
      </c>
      <c r="I74" s="490">
        <v>0</v>
      </c>
      <c r="J74" s="23"/>
      <c r="K74" s="171" t="s">
        <v>702</v>
      </c>
      <c r="L74" s="171"/>
      <c r="M74" s="171"/>
      <c r="N74" s="140" t="s">
        <v>43</v>
      </c>
      <c r="O74" s="172">
        <v>3</v>
      </c>
      <c r="P74" s="534">
        <f ca="1">OFFSET($A$1,MATCH(Z73,$A:$A,0)-1,O74)</f>
        <v>1</v>
      </c>
      <c r="Q74" s="141" t="s">
        <v>29</v>
      </c>
      <c r="R74" s="142">
        <f t="shared" ref="R74:S79" ca="1" si="22">T74</f>
        <v>467217</v>
      </c>
      <c r="S74" s="142">
        <f t="shared" ca="1" si="22"/>
        <v>467217</v>
      </c>
      <c r="T74" s="142">
        <f ca="1">기술사</f>
        <v>467217</v>
      </c>
      <c r="U74" s="142">
        <f t="shared" ref="U74:U79" ca="1" si="23">ROUNDDOWN(P74*R74,0)</f>
        <v>467217</v>
      </c>
      <c r="V74" s="142"/>
      <c r="W74" s="142"/>
      <c r="X74" s="142"/>
      <c r="Y74" s="142"/>
      <c r="Z74" s="114"/>
      <c r="AA74" s="171"/>
    </row>
    <row r="75" spans="1:27" ht="18" customHeight="1">
      <c r="A75" s="326">
        <v>22</v>
      </c>
      <c r="B75" s="223" t="s">
        <v>786</v>
      </c>
      <c r="C75" s="237"/>
      <c r="D75" s="488">
        <v>1</v>
      </c>
      <c r="E75" s="489">
        <v>2</v>
      </c>
      <c r="F75" s="489">
        <v>3</v>
      </c>
      <c r="G75" s="489">
        <v>2</v>
      </c>
      <c r="H75" s="489">
        <v>1</v>
      </c>
      <c r="I75" s="490">
        <v>0</v>
      </c>
      <c r="J75" s="23"/>
      <c r="K75" s="171" t="s">
        <v>14</v>
      </c>
      <c r="L75" s="171"/>
      <c r="M75" s="171"/>
      <c r="N75" s="143" t="s">
        <v>32</v>
      </c>
      <c r="O75" s="173">
        <v>4</v>
      </c>
      <c r="P75" s="234">
        <f ca="1">OFFSET($A$1,MATCH(Z73,$A:$A,0)-1,O75)</f>
        <v>2</v>
      </c>
      <c r="Q75" s="144" t="s">
        <v>29</v>
      </c>
      <c r="R75" s="118">
        <f t="shared" ca="1" si="22"/>
        <v>373353</v>
      </c>
      <c r="S75" s="118">
        <f t="shared" ca="1" si="22"/>
        <v>746706</v>
      </c>
      <c r="T75" s="118">
        <f ca="1">특급</f>
        <v>373353</v>
      </c>
      <c r="U75" s="118">
        <f t="shared" ca="1" si="23"/>
        <v>746706</v>
      </c>
      <c r="V75" s="118"/>
      <c r="W75" s="118"/>
      <c r="X75" s="118"/>
      <c r="Y75" s="118"/>
      <c r="Z75" s="115"/>
      <c r="AA75" s="171"/>
    </row>
    <row r="76" spans="1:27" ht="18" customHeight="1">
      <c r="A76" s="326"/>
      <c r="B76" s="507" t="s">
        <v>49</v>
      </c>
      <c r="C76" s="508"/>
      <c r="D76" s="544">
        <f t="shared" ref="D76:I76" si="24">SUBTOTAL(9,D46:D75)</f>
        <v>22</v>
      </c>
      <c r="E76" s="543">
        <f t="shared" si="24"/>
        <v>44</v>
      </c>
      <c r="F76" s="543">
        <f t="shared" si="24"/>
        <v>69</v>
      </c>
      <c r="G76" s="543">
        <f t="shared" si="24"/>
        <v>49</v>
      </c>
      <c r="H76" s="543">
        <f t="shared" si="24"/>
        <v>44</v>
      </c>
      <c r="I76" s="542">
        <f t="shared" si="24"/>
        <v>0</v>
      </c>
      <c r="J76" s="541"/>
      <c r="K76" s="171" t="s">
        <v>14</v>
      </c>
      <c r="L76" s="171"/>
      <c r="M76" s="171"/>
      <c r="N76" s="145" t="s">
        <v>39</v>
      </c>
      <c r="O76" s="173">
        <v>5</v>
      </c>
      <c r="P76" s="234">
        <f ca="1">OFFSET($A$1,MATCH(Z73,$A:$A,0)-1,O76)</f>
        <v>2</v>
      </c>
      <c r="Q76" s="144" t="s">
        <v>29</v>
      </c>
      <c r="R76" s="118">
        <f t="shared" ca="1" si="22"/>
        <v>310884</v>
      </c>
      <c r="S76" s="118">
        <f t="shared" ca="1" si="22"/>
        <v>621768</v>
      </c>
      <c r="T76" s="118">
        <f ca="1">고급</f>
        <v>310884</v>
      </c>
      <c r="U76" s="118">
        <f t="shared" ca="1" si="23"/>
        <v>621768</v>
      </c>
      <c r="V76" s="118"/>
      <c r="W76" s="118"/>
      <c r="X76" s="118"/>
      <c r="Y76" s="118"/>
      <c r="Z76" s="115"/>
      <c r="AA76" s="171"/>
    </row>
    <row r="77" spans="1:27" ht="18" customHeight="1">
      <c r="A77" s="326"/>
      <c r="B77" s="85" t="s">
        <v>15</v>
      </c>
      <c r="C77" s="9" t="s">
        <v>795</v>
      </c>
      <c r="K77" s="171" t="s">
        <v>785</v>
      </c>
      <c r="L77" s="171"/>
      <c r="M77" s="171"/>
      <c r="N77" s="145" t="s">
        <v>40</v>
      </c>
      <c r="O77" s="173">
        <v>6</v>
      </c>
      <c r="P77" s="234">
        <f ca="1">OFFSET($A$1,MATCH(Z73,$A:$A,0)-1,O77)</f>
        <v>5</v>
      </c>
      <c r="Q77" s="144" t="s">
        <v>29</v>
      </c>
      <c r="R77" s="118">
        <f t="shared" ca="1" si="22"/>
        <v>295138</v>
      </c>
      <c r="S77" s="118">
        <f t="shared" ca="1" si="22"/>
        <v>1475690</v>
      </c>
      <c r="T77" s="118">
        <f ca="1">중급</f>
        <v>295138</v>
      </c>
      <c r="U77" s="118">
        <f t="shared" ca="1" si="23"/>
        <v>1475690</v>
      </c>
      <c r="V77" s="118"/>
      <c r="W77" s="118"/>
      <c r="X77" s="118"/>
      <c r="Y77" s="118"/>
      <c r="Z77" s="115"/>
    </row>
    <row r="78" spans="1:27" ht="18" customHeight="1">
      <c r="A78" s="326"/>
      <c r="B78" s="8"/>
      <c r="C78" s="9" t="s">
        <v>796</v>
      </c>
      <c r="K78" s="171" t="s">
        <v>702</v>
      </c>
      <c r="L78" s="171"/>
      <c r="M78" s="171"/>
      <c r="N78" s="145" t="s">
        <v>41</v>
      </c>
      <c r="O78" s="173">
        <v>7</v>
      </c>
      <c r="P78" s="234">
        <f ca="1">OFFSET($A$1,MATCH(Z73,$A:$A,0)-1,O78)</f>
        <v>10</v>
      </c>
      <c r="Q78" s="144" t="s">
        <v>29</v>
      </c>
      <c r="R78" s="118">
        <f t="shared" ca="1" si="22"/>
        <v>235459</v>
      </c>
      <c r="S78" s="118">
        <f t="shared" ca="1" si="22"/>
        <v>2354590</v>
      </c>
      <c r="T78" s="118">
        <f ca="1">초급</f>
        <v>235459</v>
      </c>
      <c r="U78" s="118">
        <f t="shared" ca="1" si="23"/>
        <v>2354590</v>
      </c>
      <c r="V78" s="118"/>
      <c r="W78" s="118"/>
      <c r="X78" s="118"/>
      <c r="Y78" s="118"/>
      <c r="Z78" s="115"/>
    </row>
    <row r="79" spans="1:27" ht="18" customHeight="1">
      <c r="A79" s="326"/>
      <c r="B79" s="80"/>
      <c r="C79" s="9"/>
      <c r="K79" s="171" t="s">
        <v>699</v>
      </c>
      <c r="L79" s="171"/>
      <c r="M79" s="171"/>
      <c r="N79" s="319" t="s">
        <v>42</v>
      </c>
      <c r="O79" s="174">
        <v>8</v>
      </c>
      <c r="P79" s="235">
        <f ca="1">OFFSET($A$1,MATCH(Z73,$A:$A,0)-1,O79)</f>
        <v>0</v>
      </c>
      <c r="Q79" s="322" t="s">
        <v>29</v>
      </c>
      <c r="R79" s="323">
        <f t="shared" ca="1" si="22"/>
        <v>250087</v>
      </c>
      <c r="S79" s="323">
        <f t="shared" ca="1" si="22"/>
        <v>0</v>
      </c>
      <c r="T79" s="323">
        <f ca="1">보조원</f>
        <v>250087</v>
      </c>
      <c r="U79" s="323">
        <f t="shared" ca="1" si="23"/>
        <v>0</v>
      </c>
      <c r="V79" s="323"/>
      <c r="W79" s="323"/>
      <c r="X79" s="323"/>
      <c r="Y79" s="323"/>
      <c r="Z79" s="324"/>
    </row>
    <row r="80" spans="1:27" ht="18" customHeight="1">
      <c r="C80" s="9"/>
      <c r="K80" s="171" t="s">
        <v>699</v>
      </c>
      <c r="L80" s="171"/>
      <c r="M80" s="171"/>
      <c r="N80" s="139" t="s">
        <v>698</v>
      </c>
      <c r="O80" s="68"/>
      <c r="P80" s="69"/>
      <c r="Q80" s="70"/>
      <c r="R80" s="71"/>
      <c r="S80" s="71">
        <f ca="1">SUBTOTAL(9,S74:S79)</f>
        <v>5665971</v>
      </c>
      <c r="T80" s="71"/>
      <c r="U80" s="71">
        <f ca="1">SUBTOTAL(9,U74:U79)</f>
        <v>5665971</v>
      </c>
      <c r="V80" s="71"/>
      <c r="W80" s="71"/>
      <c r="X80" s="71"/>
      <c r="Y80" s="71"/>
      <c r="Z80" s="68"/>
    </row>
    <row r="81" spans="1:26" ht="18" customHeight="1">
      <c r="K81" s="171" t="s">
        <v>699</v>
      </c>
      <c r="L81" s="171"/>
      <c r="M81" s="171"/>
      <c r="N81" s="532" t="str">
        <f ca="1">"제 " &amp; Z81 &amp; " 호표  "&amp; OFFSET($A$1,MATCH(Z81,$A:$A,0)-1,1)</f>
        <v>제 4 호표  2-1. 리빙랩 운영방안 수립</v>
      </c>
      <c r="O81" s="533"/>
      <c r="P81" s="148"/>
      <c r="Q81" s="148"/>
      <c r="R81" s="149"/>
      <c r="S81" s="149"/>
      <c r="T81" s="149"/>
      <c r="U81" s="149"/>
      <c r="V81" s="149"/>
      <c r="W81" s="149"/>
      <c r="X81" s="149"/>
      <c r="Y81" s="149"/>
      <c r="Z81" s="325">
        <f>Z73+1</f>
        <v>4</v>
      </c>
    </row>
    <row r="82" spans="1:26" ht="18" customHeight="1">
      <c r="K82" s="171" t="s">
        <v>14</v>
      </c>
      <c r="L82" s="171"/>
      <c r="M82" s="171"/>
      <c r="N82" s="140" t="s">
        <v>43</v>
      </c>
      <c r="O82" s="172">
        <v>3</v>
      </c>
      <c r="P82" s="534">
        <f ca="1">OFFSET($A$1,MATCH(Z81,$A:$A,0)-1,O82)</f>
        <v>1</v>
      </c>
      <c r="Q82" s="141" t="s">
        <v>29</v>
      </c>
      <c r="R82" s="142">
        <f t="shared" ref="R82:S87" ca="1" si="25">T82</f>
        <v>467217</v>
      </c>
      <c r="S82" s="142">
        <f t="shared" ca="1" si="25"/>
        <v>467217</v>
      </c>
      <c r="T82" s="142">
        <f ca="1">기술사</f>
        <v>467217</v>
      </c>
      <c r="U82" s="142">
        <f t="shared" ref="U82:U87" ca="1" si="26">ROUNDDOWN(P82*R82,0)</f>
        <v>467217</v>
      </c>
      <c r="V82" s="142"/>
      <c r="W82" s="142"/>
      <c r="X82" s="142"/>
      <c r="Y82" s="142"/>
      <c r="Z82" s="114"/>
    </row>
    <row r="83" spans="1:26" ht="18" customHeight="1">
      <c r="K83" s="171" t="s">
        <v>702</v>
      </c>
      <c r="L83" s="171"/>
      <c r="M83" s="171"/>
      <c r="N83" s="143" t="s">
        <v>32</v>
      </c>
      <c r="O83" s="173">
        <v>4</v>
      </c>
      <c r="P83" s="234">
        <f ca="1">OFFSET($A$1,MATCH(Z81,$A:$A,0)-1,O83)</f>
        <v>2</v>
      </c>
      <c r="Q83" s="144" t="s">
        <v>29</v>
      </c>
      <c r="R83" s="118">
        <f t="shared" ca="1" si="25"/>
        <v>373353</v>
      </c>
      <c r="S83" s="118">
        <f t="shared" ca="1" si="25"/>
        <v>746706</v>
      </c>
      <c r="T83" s="118">
        <f ca="1">특급</f>
        <v>373353</v>
      </c>
      <c r="U83" s="118">
        <f t="shared" ca="1" si="26"/>
        <v>746706</v>
      </c>
      <c r="V83" s="118"/>
      <c r="W83" s="118"/>
      <c r="X83" s="118"/>
      <c r="Y83" s="118"/>
      <c r="Z83" s="115"/>
    </row>
    <row r="84" spans="1:26" ht="18" customHeight="1">
      <c r="K84" s="171" t="s">
        <v>14</v>
      </c>
      <c r="L84" s="171"/>
      <c r="M84" s="171"/>
      <c r="N84" s="145" t="s">
        <v>39</v>
      </c>
      <c r="O84" s="173">
        <v>5</v>
      </c>
      <c r="P84" s="234">
        <f ca="1">OFFSET($A$1,MATCH(Z81,$A:$A,0)-1,O84)</f>
        <v>4</v>
      </c>
      <c r="Q84" s="144" t="s">
        <v>29</v>
      </c>
      <c r="R84" s="118">
        <f t="shared" ca="1" si="25"/>
        <v>310884</v>
      </c>
      <c r="S84" s="118">
        <f t="shared" ca="1" si="25"/>
        <v>1243536</v>
      </c>
      <c r="T84" s="118">
        <f ca="1">고급</f>
        <v>310884</v>
      </c>
      <c r="U84" s="118">
        <f t="shared" ca="1" si="26"/>
        <v>1243536</v>
      </c>
      <c r="V84" s="118"/>
      <c r="W84" s="118"/>
      <c r="X84" s="118"/>
      <c r="Y84" s="118"/>
      <c r="Z84" s="115"/>
    </row>
    <row r="85" spans="1:26" ht="18" customHeight="1">
      <c r="K85" s="171" t="s">
        <v>699</v>
      </c>
      <c r="L85" s="171"/>
      <c r="M85" s="171"/>
      <c r="N85" s="145" t="s">
        <v>40</v>
      </c>
      <c r="O85" s="173">
        <v>6</v>
      </c>
      <c r="P85" s="234">
        <f ca="1">OFFSET($A$1,MATCH(Z81,$A:$A,0)-1,O85)</f>
        <v>1</v>
      </c>
      <c r="Q85" s="144" t="s">
        <v>29</v>
      </c>
      <c r="R85" s="118">
        <f t="shared" ca="1" si="25"/>
        <v>295138</v>
      </c>
      <c r="S85" s="118">
        <f t="shared" ca="1" si="25"/>
        <v>295138</v>
      </c>
      <c r="T85" s="118">
        <f ca="1">중급</f>
        <v>295138</v>
      </c>
      <c r="U85" s="118">
        <f t="shared" ca="1" si="26"/>
        <v>295138</v>
      </c>
      <c r="V85" s="118"/>
      <c r="W85" s="118"/>
      <c r="X85" s="118"/>
      <c r="Y85" s="118"/>
      <c r="Z85" s="115"/>
    </row>
    <row r="86" spans="1:26" ht="18" customHeight="1">
      <c r="K86" s="171" t="s">
        <v>787</v>
      </c>
      <c r="L86" s="171"/>
      <c r="M86" s="171"/>
      <c r="N86" s="145" t="s">
        <v>41</v>
      </c>
      <c r="O86" s="173">
        <v>7</v>
      </c>
      <c r="P86" s="234">
        <f ca="1">OFFSET($A$1,MATCH(Z81,$A:$A,0)-1,O86)</f>
        <v>1</v>
      </c>
      <c r="Q86" s="144" t="s">
        <v>29</v>
      </c>
      <c r="R86" s="118">
        <f t="shared" ca="1" si="25"/>
        <v>235459</v>
      </c>
      <c r="S86" s="118">
        <f t="shared" ca="1" si="25"/>
        <v>235459</v>
      </c>
      <c r="T86" s="118">
        <f ca="1">초급</f>
        <v>235459</v>
      </c>
      <c r="U86" s="118">
        <f t="shared" ca="1" si="26"/>
        <v>235459</v>
      </c>
      <c r="V86" s="118"/>
      <c r="W86" s="118"/>
      <c r="X86" s="118"/>
      <c r="Y86" s="118"/>
      <c r="Z86" s="115"/>
    </row>
    <row r="87" spans="1:26" ht="18" customHeight="1">
      <c r="A87" s="1"/>
      <c r="K87" s="171" t="s">
        <v>702</v>
      </c>
      <c r="L87" s="171"/>
      <c r="M87" s="171"/>
      <c r="N87" s="319" t="s">
        <v>42</v>
      </c>
      <c r="O87" s="174">
        <v>8</v>
      </c>
      <c r="P87" s="235">
        <f ca="1">OFFSET($A$1,MATCH(Z81,$A:$A,0)-1,O87)</f>
        <v>0</v>
      </c>
      <c r="Q87" s="322" t="s">
        <v>29</v>
      </c>
      <c r="R87" s="323">
        <f t="shared" ca="1" si="25"/>
        <v>250087</v>
      </c>
      <c r="S87" s="323">
        <f t="shared" ca="1" si="25"/>
        <v>0</v>
      </c>
      <c r="T87" s="323">
        <f ca="1">보조원</f>
        <v>250087</v>
      </c>
      <c r="U87" s="323">
        <f t="shared" ca="1" si="26"/>
        <v>0</v>
      </c>
      <c r="V87" s="323"/>
      <c r="W87" s="323"/>
      <c r="X87" s="323"/>
      <c r="Y87" s="323"/>
      <c r="Z87" s="324"/>
    </row>
    <row r="88" spans="1:26" ht="18" customHeight="1">
      <c r="A88" s="1"/>
      <c r="K88" s="171" t="s">
        <v>14</v>
      </c>
      <c r="L88" s="171"/>
      <c r="M88" s="171"/>
      <c r="N88" s="139" t="s">
        <v>700</v>
      </c>
      <c r="O88" s="68"/>
      <c r="P88" s="69"/>
      <c r="Q88" s="70"/>
      <c r="R88" s="71"/>
      <c r="S88" s="71">
        <f ca="1">SUBTOTAL(9,S82:S87)</f>
        <v>2988056</v>
      </c>
      <c r="T88" s="71"/>
      <c r="U88" s="71">
        <f ca="1">SUBTOTAL(9,U82:U87)</f>
        <v>2988056</v>
      </c>
      <c r="V88" s="71"/>
      <c r="W88" s="71"/>
      <c r="X88" s="71"/>
      <c r="Y88" s="71"/>
      <c r="Z88" s="68"/>
    </row>
    <row r="89" spans="1:26" ht="18" customHeight="1">
      <c r="A89" s="1"/>
      <c r="K89" s="171" t="s">
        <v>702</v>
      </c>
      <c r="L89" s="171"/>
      <c r="M89" s="171"/>
      <c r="N89" s="532" t="str">
        <f ca="1">"제 " &amp; Z89 &amp; " 호표  "&amp; OFFSET($A$1,MATCH(Z89,$A:$A,0)-1,1)</f>
        <v>제 5 호표  2-2. 리빙랩 세부 프로그램 기획</v>
      </c>
      <c r="O89" s="533"/>
      <c r="P89" s="148"/>
      <c r="Q89" s="148"/>
      <c r="R89" s="149"/>
      <c r="S89" s="149"/>
      <c r="T89" s="149"/>
      <c r="U89" s="149"/>
      <c r="V89" s="149"/>
      <c r="W89" s="149"/>
      <c r="X89" s="149"/>
      <c r="Y89" s="149"/>
      <c r="Z89" s="325">
        <f>Z81+1</f>
        <v>5</v>
      </c>
    </row>
    <row r="90" spans="1:26" ht="18" customHeight="1">
      <c r="A90" s="1"/>
      <c r="K90" s="171" t="s">
        <v>14</v>
      </c>
      <c r="L90" s="171"/>
      <c r="M90" s="171"/>
      <c r="N90" s="140" t="s">
        <v>43</v>
      </c>
      <c r="O90" s="172">
        <v>3</v>
      </c>
      <c r="P90" s="534">
        <f ca="1">OFFSET($A$1,MATCH(Z89,$A:$A,0)-1,O90)</f>
        <v>1</v>
      </c>
      <c r="Q90" s="141" t="s">
        <v>29</v>
      </c>
      <c r="R90" s="142">
        <f t="shared" ref="R90:S95" ca="1" si="27">T90</f>
        <v>467217</v>
      </c>
      <c r="S90" s="142">
        <f t="shared" ca="1" si="27"/>
        <v>467217</v>
      </c>
      <c r="T90" s="142">
        <f ca="1">기술사</f>
        <v>467217</v>
      </c>
      <c r="U90" s="142">
        <f t="shared" ref="U90:U95" ca="1" si="28">ROUNDDOWN(P90*R90,0)</f>
        <v>467217</v>
      </c>
      <c r="V90" s="142"/>
      <c r="W90" s="142"/>
      <c r="X90" s="142"/>
      <c r="Y90" s="142"/>
      <c r="Z90" s="114"/>
    </row>
    <row r="91" spans="1:26" ht="18" customHeight="1">
      <c r="K91" s="171" t="s">
        <v>699</v>
      </c>
      <c r="L91" s="171"/>
      <c r="M91" s="171"/>
      <c r="N91" s="143" t="s">
        <v>32</v>
      </c>
      <c r="O91" s="173">
        <v>4</v>
      </c>
      <c r="P91" s="234">
        <f ca="1">OFFSET($A$1,MATCH(Z89,$A:$A,0)-1,O91)</f>
        <v>2</v>
      </c>
      <c r="Q91" s="144" t="s">
        <v>29</v>
      </c>
      <c r="R91" s="118">
        <f t="shared" ca="1" si="27"/>
        <v>373353</v>
      </c>
      <c r="S91" s="118">
        <f t="shared" ca="1" si="27"/>
        <v>746706</v>
      </c>
      <c r="T91" s="118">
        <f ca="1">특급</f>
        <v>373353</v>
      </c>
      <c r="U91" s="118">
        <f t="shared" ca="1" si="28"/>
        <v>746706</v>
      </c>
      <c r="V91" s="118"/>
      <c r="W91" s="118"/>
      <c r="X91" s="118"/>
      <c r="Y91" s="118"/>
      <c r="Z91" s="115"/>
    </row>
    <row r="92" spans="1:26" ht="18" customHeight="1">
      <c r="K92" s="171" t="s">
        <v>702</v>
      </c>
      <c r="L92" s="171"/>
      <c r="M92" s="171"/>
      <c r="N92" s="145" t="s">
        <v>39</v>
      </c>
      <c r="O92" s="173">
        <v>5</v>
      </c>
      <c r="P92" s="234">
        <f ca="1">OFFSET($A$1,MATCH(Z89,$A:$A,0)-1,O92)</f>
        <v>4</v>
      </c>
      <c r="Q92" s="144" t="s">
        <v>29</v>
      </c>
      <c r="R92" s="118">
        <f t="shared" ca="1" si="27"/>
        <v>310884</v>
      </c>
      <c r="S92" s="118">
        <f t="shared" ca="1" si="27"/>
        <v>1243536</v>
      </c>
      <c r="T92" s="118">
        <f ca="1">고급</f>
        <v>310884</v>
      </c>
      <c r="U92" s="118">
        <f t="shared" ca="1" si="28"/>
        <v>1243536</v>
      </c>
      <c r="V92" s="118"/>
      <c r="W92" s="118"/>
      <c r="X92" s="118"/>
      <c r="Y92" s="118"/>
      <c r="Z92" s="115"/>
    </row>
    <row r="93" spans="1:26" ht="18" customHeight="1">
      <c r="K93" s="171" t="s">
        <v>702</v>
      </c>
      <c r="L93" s="171"/>
      <c r="M93" s="171"/>
      <c r="N93" s="145" t="s">
        <v>40</v>
      </c>
      <c r="O93" s="173">
        <v>6</v>
      </c>
      <c r="P93" s="234">
        <f ca="1">OFFSET($A$1,MATCH(Z89,$A:$A,0)-1,O93)</f>
        <v>2</v>
      </c>
      <c r="Q93" s="144" t="s">
        <v>29</v>
      </c>
      <c r="R93" s="118">
        <f t="shared" ca="1" si="27"/>
        <v>295138</v>
      </c>
      <c r="S93" s="118">
        <f t="shared" ca="1" si="27"/>
        <v>590276</v>
      </c>
      <c r="T93" s="118">
        <f ca="1">중급</f>
        <v>295138</v>
      </c>
      <c r="U93" s="118">
        <f t="shared" ca="1" si="28"/>
        <v>590276</v>
      </c>
      <c r="V93" s="118"/>
      <c r="W93" s="118"/>
      <c r="X93" s="118"/>
      <c r="Y93" s="118"/>
      <c r="Z93" s="115"/>
    </row>
    <row r="94" spans="1:26" ht="18" customHeight="1">
      <c r="K94" s="171" t="s">
        <v>702</v>
      </c>
      <c r="L94" s="171"/>
      <c r="M94" s="171"/>
      <c r="N94" s="145" t="s">
        <v>41</v>
      </c>
      <c r="O94" s="173">
        <v>7</v>
      </c>
      <c r="P94" s="234">
        <f ca="1">OFFSET($A$1,MATCH(Z89,$A:$A,0)-1,O94)</f>
        <v>1</v>
      </c>
      <c r="Q94" s="144" t="s">
        <v>29</v>
      </c>
      <c r="R94" s="118">
        <f t="shared" ca="1" si="27"/>
        <v>235459</v>
      </c>
      <c r="S94" s="118">
        <f t="shared" ca="1" si="27"/>
        <v>235459</v>
      </c>
      <c r="T94" s="118">
        <f ca="1">초급</f>
        <v>235459</v>
      </c>
      <c r="U94" s="118">
        <f t="shared" ca="1" si="28"/>
        <v>235459</v>
      </c>
      <c r="V94" s="118"/>
      <c r="W94" s="118"/>
      <c r="X94" s="118"/>
      <c r="Y94" s="118"/>
      <c r="Z94" s="115"/>
    </row>
    <row r="95" spans="1:26" ht="18" customHeight="1">
      <c r="K95" s="171" t="s">
        <v>702</v>
      </c>
      <c r="L95" s="171"/>
      <c r="M95" s="171"/>
      <c r="N95" s="319" t="s">
        <v>42</v>
      </c>
      <c r="O95" s="174">
        <v>8</v>
      </c>
      <c r="P95" s="235">
        <f ca="1">OFFSET($A$1,MATCH(Z89,$A:$A,0)-1,O95)</f>
        <v>0</v>
      </c>
      <c r="Q95" s="322" t="s">
        <v>29</v>
      </c>
      <c r="R95" s="323">
        <f t="shared" ca="1" si="27"/>
        <v>250087</v>
      </c>
      <c r="S95" s="323">
        <f t="shared" ca="1" si="27"/>
        <v>0</v>
      </c>
      <c r="T95" s="323">
        <f ca="1">보조원</f>
        <v>250087</v>
      </c>
      <c r="U95" s="323">
        <f t="shared" ca="1" si="28"/>
        <v>0</v>
      </c>
      <c r="V95" s="323"/>
      <c r="W95" s="323"/>
      <c r="X95" s="323"/>
      <c r="Y95" s="323"/>
      <c r="Z95" s="324"/>
    </row>
    <row r="96" spans="1:26" ht="18" customHeight="1">
      <c r="K96" s="171" t="s">
        <v>788</v>
      </c>
      <c r="L96" s="171"/>
      <c r="M96" s="171"/>
      <c r="N96" s="139" t="s">
        <v>700</v>
      </c>
      <c r="O96" s="68"/>
      <c r="P96" s="69"/>
      <c r="Q96" s="70"/>
      <c r="R96" s="71"/>
      <c r="S96" s="71">
        <f ca="1">SUBTOTAL(9,S90:S95)</f>
        <v>3283194</v>
      </c>
      <c r="T96" s="71"/>
      <c r="U96" s="71">
        <f ca="1">SUBTOTAL(9,U90:U95)</f>
        <v>3283194</v>
      </c>
      <c r="V96" s="71"/>
      <c r="W96" s="71"/>
      <c r="X96" s="71"/>
      <c r="Y96" s="71"/>
      <c r="Z96" s="68"/>
    </row>
    <row r="97" spans="11:26" ht="18" customHeight="1">
      <c r="K97" s="171" t="s">
        <v>702</v>
      </c>
      <c r="L97" s="171"/>
      <c r="M97" s="171"/>
      <c r="N97" s="532" t="str">
        <f ca="1">"제 " &amp; Z97 &amp; " 호표  "&amp; OFFSET($A$1,MATCH(Z97,$A:$A,0)-1,1)</f>
        <v>제 6 호표  3-1. 온라인 시민니즈 분석</v>
      </c>
      <c r="O97" s="533"/>
      <c r="P97" s="148"/>
      <c r="Q97" s="148"/>
      <c r="R97" s="149"/>
      <c r="S97" s="149"/>
      <c r="T97" s="149"/>
      <c r="U97" s="149"/>
      <c r="V97" s="149"/>
      <c r="W97" s="149"/>
      <c r="X97" s="149"/>
      <c r="Y97" s="149"/>
      <c r="Z97" s="325">
        <f>Z89+1</f>
        <v>6</v>
      </c>
    </row>
    <row r="98" spans="11:26" ht="18" customHeight="1">
      <c r="K98" s="171" t="s">
        <v>699</v>
      </c>
      <c r="L98" s="171"/>
      <c r="M98" s="171"/>
      <c r="N98" s="140" t="s">
        <v>43</v>
      </c>
      <c r="O98" s="172">
        <v>3</v>
      </c>
      <c r="P98" s="534">
        <f ca="1">OFFSET($A$1,MATCH(Z97,$A:$A,0)-1,O98)</f>
        <v>1</v>
      </c>
      <c r="Q98" s="141" t="s">
        <v>29</v>
      </c>
      <c r="R98" s="142">
        <f t="shared" ref="R98:S103" ca="1" si="29">T98</f>
        <v>467217</v>
      </c>
      <c r="S98" s="142">
        <f t="shared" ca="1" si="29"/>
        <v>467217</v>
      </c>
      <c r="T98" s="142">
        <f ca="1">기술사</f>
        <v>467217</v>
      </c>
      <c r="U98" s="142">
        <f t="shared" ref="U98:U103" ca="1" si="30">ROUNDDOWN(P98*R98,0)</f>
        <v>467217</v>
      </c>
      <c r="V98" s="142"/>
      <c r="W98" s="142"/>
      <c r="X98" s="142"/>
      <c r="Y98" s="142"/>
      <c r="Z98" s="114"/>
    </row>
    <row r="99" spans="11:26" ht="18" customHeight="1">
      <c r="K99" s="171" t="s">
        <v>699</v>
      </c>
      <c r="L99" s="171"/>
      <c r="M99" s="171"/>
      <c r="N99" s="143" t="s">
        <v>32</v>
      </c>
      <c r="O99" s="173">
        <v>4</v>
      </c>
      <c r="P99" s="234">
        <f ca="1">OFFSET($A$1,MATCH(Z97,$A:$A,0)-1,O99)</f>
        <v>2</v>
      </c>
      <c r="Q99" s="144" t="s">
        <v>29</v>
      </c>
      <c r="R99" s="118">
        <f t="shared" ca="1" si="29"/>
        <v>373353</v>
      </c>
      <c r="S99" s="118">
        <f t="shared" ca="1" si="29"/>
        <v>746706</v>
      </c>
      <c r="T99" s="118">
        <f ca="1">특급</f>
        <v>373353</v>
      </c>
      <c r="U99" s="118">
        <f t="shared" ca="1" si="30"/>
        <v>746706</v>
      </c>
      <c r="V99" s="118"/>
      <c r="W99" s="118"/>
      <c r="X99" s="118"/>
      <c r="Y99" s="118"/>
      <c r="Z99" s="115"/>
    </row>
    <row r="100" spans="11:26" ht="18" customHeight="1">
      <c r="K100" s="171" t="s">
        <v>699</v>
      </c>
      <c r="L100" s="171"/>
      <c r="M100" s="171"/>
      <c r="N100" s="145" t="s">
        <v>39</v>
      </c>
      <c r="O100" s="173">
        <v>5</v>
      </c>
      <c r="P100" s="234">
        <f ca="1">OFFSET($A$1,MATCH(Z97,$A:$A,0)-1,O100)</f>
        <v>4</v>
      </c>
      <c r="Q100" s="144" t="s">
        <v>29</v>
      </c>
      <c r="R100" s="118">
        <f t="shared" ca="1" si="29"/>
        <v>310884</v>
      </c>
      <c r="S100" s="118">
        <f t="shared" ca="1" si="29"/>
        <v>1243536</v>
      </c>
      <c r="T100" s="118">
        <f ca="1">고급</f>
        <v>310884</v>
      </c>
      <c r="U100" s="118">
        <f t="shared" ca="1" si="30"/>
        <v>1243536</v>
      </c>
      <c r="V100" s="118"/>
      <c r="W100" s="118"/>
      <c r="X100" s="118"/>
      <c r="Y100" s="118"/>
      <c r="Z100" s="115"/>
    </row>
    <row r="101" spans="11:26" ht="18" customHeight="1">
      <c r="K101" s="171" t="s">
        <v>702</v>
      </c>
      <c r="L101" s="171"/>
      <c r="M101" s="171"/>
      <c r="N101" s="145" t="s">
        <v>40</v>
      </c>
      <c r="O101" s="173">
        <v>6</v>
      </c>
      <c r="P101" s="234">
        <f ca="1">OFFSET($A$1,MATCH(Z97,$A:$A,0)-1,O101)</f>
        <v>4</v>
      </c>
      <c r="Q101" s="144" t="s">
        <v>29</v>
      </c>
      <c r="R101" s="118">
        <f t="shared" ca="1" si="29"/>
        <v>295138</v>
      </c>
      <c r="S101" s="118">
        <f t="shared" ca="1" si="29"/>
        <v>1180552</v>
      </c>
      <c r="T101" s="118">
        <f ca="1">중급</f>
        <v>295138</v>
      </c>
      <c r="U101" s="118">
        <f t="shared" ca="1" si="30"/>
        <v>1180552</v>
      </c>
      <c r="V101" s="118"/>
      <c r="W101" s="118"/>
      <c r="X101" s="118"/>
      <c r="Y101" s="118"/>
      <c r="Z101" s="115"/>
    </row>
    <row r="102" spans="11:26" ht="18" customHeight="1">
      <c r="K102" s="171" t="s">
        <v>699</v>
      </c>
      <c r="L102" s="171"/>
      <c r="M102" s="171"/>
      <c r="N102" s="145" t="s">
        <v>41</v>
      </c>
      <c r="O102" s="173">
        <v>7</v>
      </c>
      <c r="P102" s="234">
        <f ca="1">OFFSET($A$1,MATCH(Z97,$A:$A,0)-1,O102)</f>
        <v>2</v>
      </c>
      <c r="Q102" s="144" t="s">
        <v>29</v>
      </c>
      <c r="R102" s="118">
        <f t="shared" ca="1" si="29"/>
        <v>235459</v>
      </c>
      <c r="S102" s="118">
        <f t="shared" ca="1" si="29"/>
        <v>470918</v>
      </c>
      <c r="T102" s="118">
        <f ca="1">초급</f>
        <v>235459</v>
      </c>
      <c r="U102" s="118">
        <f t="shared" ca="1" si="30"/>
        <v>470918</v>
      </c>
      <c r="V102" s="118"/>
      <c r="W102" s="118"/>
      <c r="X102" s="118"/>
      <c r="Y102" s="118"/>
      <c r="Z102" s="115"/>
    </row>
    <row r="103" spans="11:26" ht="18" customHeight="1">
      <c r="K103" s="171" t="s">
        <v>699</v>
      </c>
      <c r="L103" s="171"/>
      <c r="M103" s="171"/>
      <c r="N103" s="319" t="s">
        <v>42</v>
      </c>
      <c r="O103" s="174">
        <v>8</v>
      </c>
      <c r="P103" s="235">
        <f ca="1">OFFSET($A$1,MATCH(Z97,$A:$A,0)-1,O103)</f>
        <v>0</v>
      </c>
      <c r="Q103" s="322" t="s">
        <v>29</v>
      </c>
      <c r="R103" s="323">
        <f t="shared" ca="1" si="29"/>
        <v>250087</v>
      </c>
      <c r="S103" s="323">
        <f t="shared" ca="1" si="29"/>
        <v>0</v>
      </c>
      <c r="T103" s="323">
        <f ca="1">보조원</f>
        <v>250087</v>
      </c>
      <c r="U103" s="323">
        <f t="shared" ca="1" si="30"/>
        <v>0</v>
      </c>
      <c r="V103" s="323"/>
      <c r="W103" s="323"/>
      <c r="X103" s="323"/>
      <c r="Y103" s="323"/>
      <c r="Z103" s="324"/>
    </row>
    <row r="104" spans="11:26" ht="18" customHeight="1">
      <c r="K104" s="171" t="s">
        <v>699</v>
      </c>
      <c r="L104" s="171"/>
      <c r="M104" s="171"/>
      <c r="N104" s="139" t="s">
        <v>698</v>
      </c>
      <c r="O104" s="68"/>
      <c r="P104" s="69"/>
      <c r="Q104" s="70"/>
      <c r="R104" s="71"/>
      <c r="S104" s="71">
        <f ca="1">SUBTOTAL(9,S98:S103)</f>
        <v>4108929</v>
      </c>
      <c r="T104" s="71"/>
      <c r="U104" s="71">
        <f ca="1">SUBTOTAL(9,U98:U103)</f>
        <v>4108929</v>
      </c>
      <c r="V104" s="71"/>
      <c r="W104" s="71"/>
      <c r="X104" s="71"/>
      <c r="Y104" s="71"/>
      <c r="Z104" s="68"/>
    </row>
    <row r="105" spans="11:26" ht="18" customHeight="1">
      <c r="K105" s="171" t="s">
        <v>699</v>
      </c>
      <c r="L105" s="171"/>
      <c r="M105" s="171"/>
      <c r="N105" s="532" t="str">
        <f ca="1">"제 " &amp; Z105 &amp; " 호표  "&amp; OFFSET($A$1,MATCH(Z105,$A:$A,0)-1,1)</f>
        <v>제 7 호표  3-2. 오프라인 시민니즈 분석</v>
      </c>
      <c r="O105" s="533"/>
      <c r="P105" s="148"/>
      <c r="Q105" s="148"/>
      <c r="R105" s="149"/>
      <c r="S105" s="149"/>
      <c r="T105" s="149"/>
      <c r="U105" s="149"/>
      <c r="V105" s="149"/>
      <c r="W105" s="149"/>
      <c r="X105" s="149"/>
      <c r="Y105" s="149"/>
      <c r="Z105" s="325">
        <f>Z97+1</f>
        <v>7</v>
      </c>
    </row>
    <row r="106" spans="11:26" ht="18" customHeight="1">
      <c r="K106" s="171" t="s">
        <v>699</v>
      </c>
      <c r="L106" s="171"/>
      <c r="M106" s="171"/>
      <c r="N106" s="140" t="s">
        <v>43</v>
      </c>
      <c r="O106" s="172">
        <v>3</v>
      </c>
      <c r="P106" s="534">
        <f ca="1">OFFSET($A$1,MATCH(Z105,$A:$A,0)-1,O106)</f>
        <v>1</v>
      </c>
      <c r="Q106" s="141" t="s">
        <v>29</v>
      </c>
      <c r="R106" s="142">
        <f t="shared" ref="R106:S111" ca="1" si="31">T106</f>
        <v>467217</v>
      </c>
      <c r="S106" s="142">
        <f t="shared" ca="1" si="31"/>
        <v>467217</v>
      </c>
      <c r="T106" s="142">
        <f ca="1">기술사</f>
        <v>467217</v>
      </c>
      <c r="U106" s="142">
        <f t="shared" ref="U106:U111" ca="1" si="32">ROUNDDOWN(P106*R106,0)</f>
        <v>467217</v>
      </c>
      <c r="V106" s="142"/>
      <c r="W106" s="142"/>
      <c r="X106" s="142"/>
      <c r="Y106" s="142"/>
      <c r="Z106" s="114"/>
    </row>
    <row r="107" spans="11:26" ht="18" customHeight="1">
      <c r="K107" s="171" t="s">
        <v>699</v>
      </c>
      <c r="L107" s="171"/>
      <c r="M107" s="171"/>
      <c r="N107" s="143" t="s">
        <v>32</v>
      </c>
      <c r="O107" s="173">
        <v>4</v>
      </c>
      <c r="P107" s="234">
        <f ca="1">OFFSET($A$1,MATCH(Z105,$A:$A,0)-1,O107)</f>
        <v>2</v>
      </c>
      <c r="Q107" s="144" t="s">
        <v>29</v>
      </c>
      <c r="R107" s="118">
        <f t="shared" ca="1" si="31"/>
        <v>373353</v>
      </c>
      <c r="S107" s="118">
        <f t="shared" ca="1" si="31"/>
        <v>746706</v>
      </c>
      <c r="T107" s="118">
        <f ca="1">특급</f>
        <v>373353</v>
      </c>
      <c r="U107" s="118">
        <f t="shared" ca="1" si="32"/>
        <v>746706</v>
      </c>
      <c r="V107" s="118"/>
      <c r="W107" s="118"/>
      <c r="X107" s="118"/>
      <c r="Y107" s="118"/>
      <c r="Z107" s="115"/>
    </row>
    <row r="108" spans="11:26" ht="18" customHeight="1">
      <c r="K108" s="171" t="s">
        <v>699</v>
      </c>
      <c r="L108" s="171"/>
      <c r="M108" s="171"/>
      <c r="N108" s="145" t="s">
        <v>39</v>
      </c>
      <c r="O108" s="173">
        <v>5</v>
      </c>
      <c r="P108" s="234">
        <f ca="1">OFFSET($A$1,MATCH(Z105,$A:$A,0)-1,O108)</f>
        <v>4</v>
      </c>
      <c r="Q108" s="144" t="s">
        <v>29</v>
      </c>
      <c r="R108" s="118">
        <f t="shared" ca="1" si="31"/>
        <v>310884</v>
      </c>
      <c r="S108" s="118">
        <f t="shared" ca="1" si="31"/>
        <v>1243536</v>
      </c>
      <c r="T108" s="118">
        <f ca="1">고급</f>
        <v>310884</v>
      </c>
      <c r="U108" s="118">
        <f t="shared" ca="1" si="32"/>
        <v>1243536</v>
      </c>
      <c r="V108" s="118"/>
      <c r="W108" s="118"/>
      <c r="X108" s="118"/>
      <c r="Y108" s="118"/>
      <c r="Z108" s="115"/>
    </row>
    <row r="109" spans="11:26" ht="18" customHeight="1">
      <c r="K109" s="171" t="s">
        <v>699</v>
      </c>
      <c r="L109" s="171"/>
      <c r="M109" s="171"/>
      <c r="N109" s="145" t="s">
        <v>40</v>
      </c>
      <c r="O109" s="173">
        <v>6</v>
      </c>
      <c r="P109" s="234">
        <f ca="1">OFFSET($A$1,MATCH(Z105,$A:$A,0)-1,O109)</f>
        <v>4</v>
      </c>
      <c r="Q109" s="144" t="s">
        <v>29</v>
      </c>
      <c r="R109" s="118">
        <f t="shared" ca="1" si="31"/>
        <v>295138</v>
      </c>
      <c r="S109" s="118">
        <f t="shared" ca="1" si="31"/>
        <v>1180552</v>
      </c>
      <c r="T109" s="118">
        <f ca="1">중급</f>
        <v>295138</v>
      </c>
      <c r="U109" s="118">
        <f t="shared" ca="1" si="32"/>
        <v>1180552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41</v>
      </c>
      <c r="O110" s="173">
        <v>7</v>
      </c>
      <c r="P110" s="234">
        <f ca="1">OFFSET($A$1,MATCH(Z105,$A:$A,0)-1,O110)</f>
        <v>2</v>
      </c>
      <c r="Q110" s="144" t="s">
        <v>29</v>
      </c>
      <c r="R110" s="118">
        <f t="shared" ca="1" si="31"/>
        <v>235459</v>
      </c>
      <c r="S110" s="118">
        <f t="shared" ca="1" si="31"/>
        <v>470918</v>
      </c>
      <c r="T110" s="118">
        <f ca="1">초급</f>
        <v>235459</v>
      </c>
      <c r="U110" s="118">
        <f t="shared" ca="1" si="32"/>
        <v>470918</v>
      </c>
      <c r="V110" s="118"/>
      <c r="W110" s="118"/>
      <c r="X110" s="118"/>
      <c r="Y110" s="118"/>
      <c r="Z110" s="115"/>
    </row>
    <row r="111" spans="11:26" ht="18" customHeight="1">
      <c r="K111" s="171" t="s">
        <v>702</v>
      </c>
      <c r="L111" s="171"/>
      <c r="M111" s="171"/>
      <c r="N111" s="319" t="s">
        <v>42</v>
      </c>
      <c r="O111" s="174">
        <v>8</v>
      </c>
      <c r="P111" s="235">
        <f ca="1">OFFSET($A$1,MATCH(Z105,$A:$A,0)-1,O111)</f>
        <v>0</v>
      </c>
      <c r="Q111" s="322" t="s">
        <v>29</v>
      </c>
      <c r="R111" s="323">
        <f t="shared" ca="1" si="31"/>
        <v>250087</v>
      </c>
      <c r="S111" s="323">
        <f t="shared" ca="1" si="31"/>
        <v>0</v>
      </c>
      <c r="T111" s="323">
        <f ca="1">보조원</f>
        <v>250087</v>
      </c>
      <c r="U111" s="323">
        <f t="shared" ca="1" si="32"/>
        <v>0</v>
      </c>
      <c r="V111" s="323"/>
      <c r="W111" s="323"/>
      <c r="X111" s="323"/>
      <c r="Y111" s="323"/>
      <c r="Z111" s="324"/>
    </row>
    <row r="112" spans="11:26" ht="18" customHeight="1">
      <c r="K112" s="171" t="s">
        <v>699</v>
      </c>
      <c r="L112" s="171"/>
      <c r="M112" s="171"/>
      <c r="N112" s="139" t="s">
        <v>698</v>
      </c>
      <c r="O112" s="68"/>
      <c r="P112" s="69"/>
      <c r="Q112" s="70"/>
      <c r="R112" s="71"/>
      <c r="S112" s="71">
        <f ca="1">SUBTOTAL(9,S106:S111)</f>
        <v>4108929</v>
      </c>
      <c r="T112" s="71"/>
      <c r="U112" s="71">
        <f ca="1">SUBTOTAL(9,U106:U111)</f>
        <v>4108929</v>
      </c>
      <c r="V112" s="71"/>
      <c r="W112" s="71"/>
      <c r="X112" s="71"/>
      <c r="Y112" s="71"/>
      <c r="Z112" s="68"/>
    </row>
    <row r="113" spans="11:26" ht="18" customHeight="1">
      <c r="K113" s="171" t="s">
        <v>699</v>
      </c>
      <c r="L113" s="171"/>
      <c r="M113" s="171"/>
      <c r="N113" s="532" t="str">
        <f ca="1">"제 " &amp; Z113 &amp; " 호표  "&amp; OFFSET($A$1,MATCH(Z113,$A:$A,0)-1,1)</f>
        <v>제 8 호표  4-1. 스마트서비스 기능구상</v>
      </c>
      <c r="O113" s="533"/>
      <c r="P113" s="148"/>
      <c r="Q113" s="148"/>
      <c r="R113" s="149"/>
      <c r="S113" s="149"/>
      <c r="T113" s="149"/>
      <c r="U113" s="149"/>
      <c r="V113" s="149"/>
      <c r="W113" s="149"/>
      <c r="X113" s="149"/>
      <c r="Y113" s="149"/>
      <c r="Z113" s="325">
        <f>Z105+1</f>
        <v>8</v>
      </c>
    </row>
    <row r="114" spans="11:26" ht="18" customHeight="1">
      <c r="K114" s="171" t="s">
        <v>702</v>
      </c>
      <c r="L114" s="171"/>
      <c r="M114" s="171"/>
      <c r="N114" s="140" t="s">
        <v>43</v>
      </c>
      <c r="O114" s="172">
        <v>3</v>
      </c>
      <c r="P114" s="534">
        <f ca="1">OFFSET($A$1,MATCH(Z113,$A:$A,0)-1,O114)</f>
        <v>1</v>
      </c>
      <c r="Q114" s="141" t="s">
        <v>29</v>
      </c>
      <c r="R114" s="142">
        <f t="shared" ref="R114:S119" ca="1" si="33">T114</f>
        <v>467217</v>
      </c>
      <c r="S114" s="142">
        <f t="shared" ca="1" si="33"/>
        <v>467217</v>
      </c>
      <c r="T114" s="142">
        <f ca="1">기술사</f>
        <v>467217</v>
      </c>
      <c r="U114" s="142">
        <f t="shared" ref="U114:U119" ca="1" si="34">ROUNDDOWN(P114*R114,0)</f>
        <v>467217</v>
      </c>
      <c r="V114" s="142"/>
      <c r="W114" s="142"/>
      <c r="X114" s="142"/>
      <c r="Y114" s="142"/>
      <c r="Z114" s="114"/>
    </row>
    <row r="115" spans="11:26" ht="18" customHeight="1">
      <c r="K115" s="171" t="s">
        <v>699</v>
      </c>
      <c r="L115" s="171"/>
      <c r="M115" s="171"/>
      <c r="N115" s="143" t="s">
        <v>32</v>
      </c>
      <c r="O115" s="173">
        <v>4</v>
      </c>
      <c r="P115" s="234">
        <f ca="1">OFFSET($A$1,MATCH(Z113,$A:$A,0)-1,O115)</f>
        <v>2</v>
      </c>
      <c r="Q115" s="144" t="s">
        <v>29</v>
      </c>
      <c r="R115" s="118">
        <f t="shared" ca="1" si="33"/>
        <v>373353</v>
      </c>
      <c r="S115" s="118">
        <f t="shared" ca="1" si="33"/>
        <v>746706</v>
      </c>
      <c r="T115" s="118">
        <f ca="1">특급</f>
        <v>373353</v>
      </c>
      <c r="U115" s="118">
        <f t="shared" ca="1" si="34"/>
        <v>746706</v>
      </c>
      <c r="V115" s="118"/>
      <c r="W115" s="118"/>
      <c r="X115" s="118"/>
      <c r="Y115" s="118"/>
      <c r="Z115" s="115"/>
    </row>
    <row r="116" spans="11:26" ht="18" customHeight="1">
      <c r="K116" s="171" t="s">
        <v>699</v>
      </c>
      <c r="L116" s="171"/>
      <c r="M116" s="171"/>
      <c r="N116" s="145" t="s">
        <v>39</v>
      </c>
      <c r="O116" s="173">
        <v>5</v>
      </c>
      <c r="P116" s="234">
        <f ca="1">OFFSET($A$1,MATCH(Z113,$A:$A,0)-1,O116)</f>
        <v>4</v>
      </c>
      <c r="Q116" s="144" t="s">
        <v>29</v>
      </c>
      <c r="R116" s="118">
        <f t="shared" ca="1" si="33"/>
        <v>310884</v>
      </c>
      <c r="S116" s="118">
        <f t="shared" ca="1" si="33"/>
        <v>1243536</v>
      </c>
      <c r="T116" s="118">
        <f ca="1">고급</f>
        <v>310884</v>
      </c>
      <c r="U116" s="118">
        <f t="shared" ca="1" si="34"/>
        <v>1243536</v>
      </c>
      <c r="V116" s="118"/>
      <c r="W116" s="118"/>
      <c r="X116" s="118"/>
      <c r="Y116" s="118"/>
      <c r="Z116" s="115"/>
    </row>
    <row r="117" spans="11:26" ht="18" customHeight="1">
      <c r="K117" s="171" t="s">
        <v>702</v>
      </c>
      <c r="L117" s="171"/>
      <c r="M117" s="171"/>
      <c r="N117" s="145" t="s">
        <v>40</v>
      </c>
      <c r="O117" s="173">
        <v>6</v>
      </c>
      <c r="P117" s="234">
        <f ca="1">OFFSET($A$1,MATCH(Z113,$A:$A,0)-1,O117)</f>
        <v>2</v>
      </c>
      <c r="Q117" s="144" t="s">
        <v>29</v>
      </c>
      <c r="R117" s="118">
        <f t="shared" ca="1" si="33"/>
        <v>295138</v>
      </c>
      <c r="S117" s="118">
        <f t="shared" ca="1" si="33"/>
        <v>590276</v>
      </c>
      <c r="T117" s="118">
        <f ca="1">중급</f>
        <v>295138</v>
      </c>
      <c r="U117" s="118">
        <f t="shared" ca="1" si="34"/>
        <v>590276</v>
      </c>
      <c r="V117" s="118"/>
      <c r="W117" s="118"/>
      <c r="X117" s="118"/>
      <c r="Y117" s="118"/>
      <c r="Z117" s="115"/>
    </row>
    <row r="118" spans="11:26" ht="18" customHeight="1">
      <c r="K118" s="171" t="s">
        <v>702</v>
      </c>
      <c r="L118" s="171"/>
      <c r="M118" s="171"/>
      <c r="N118" s="145" t="s">
        <v>41</v>
      </c>
      <c r="O118" s="173">
        <v>7</v>
      </c>
      <c r="P118" s="234">
        <f ca="1">OFFSET($A$1,MATCH(Z113,$A:$A,0)-1,O118)</f>
        <v>2</v>
      </c>
      <c r="Q118" s="144" t="s">
        <v>29</v>
      </c>
      <c r="R118" s="118">
        <f t="shared" ca="1" si="33"/>
        <v>235459</v>
      </c>
      <c r="S118" s="118">
        <f t="shared" ca="1" si="33"/>
        <v>470918</v>
      </c>
      <c r="T118" s="118">
        <f ca="1">초급</f>
        <v>235459</v>
      </c>
      <c r="U118" s="118">
        <f t="shared" ca="1" si="34"/>
        <v>470918</v>
      </c>
      <c r="V118" s="118"/>
      <c r="W118" s="118"/>
      <c r="X118" s="118"/>
      <c r="Y118" s="118"/>
      <c r="Z118" s="115"/>
    </row>
    <row r="119" spans="11:26" ht="18" customHeight="1">
      <c r="K119" s="171" t="s">
        <v>702</v>
      </c>
      <c r="L119" s="171"/>
      <c r="M119" s="171"/>
      <c r="N119" s="319" t="s">
        <v>42</v>
      </c>
      <c r="O119" s="174">
        <v>8</v>
      </c>
      <c r="P119" s="235">
        <f ca="1">OFFSET($A$1,MATCH(Z113,$A:$A,0)-1,O119)</f>
        <v>0</v>
      </c>
      <c r="Q119" s="322" t="s">
        <v>29</v>
      </c>
      <c r="R119" s="323">
        <f t="shared" ca="1" si="33"/>
        <v>250087</v>
      </c>
      <c r="S119" s="323">
        <f t="shared" ca="1" si="33"/>
        <v>0</v>
      </c>
      <c r="T119" s="323">
        <f ca="1">보조원</f>
        <v>250087</v>
      </c>
      <c r="U119" s="323">
        <f t="shared" ca="1" si="34"/>
        <v>0</v>
      </c>
      <c r="V119" s="323"/>
      <c r="W119" s="323"/>
      <c r="X119" s="323"/>
      <c r="Y119" s="323"/>
      <c r="Z119" s="324"/>
    </row>
    <row r="120" spans="11:26" ht="18" customHeight="1">
      <c r="K120" s="171" t="s">
        <v>699</v>
      </c>
      <c r="L120" s="171"/>
      <c r="M120" s="171"/>
      <c r="N120" s="139" t="s">
        <v>698</v>
      </c>
      <c r="O120" s="68"/>
      <c r="P120" s="69"/>
      <c r="Q120" s="70"/>
      <c r="R120" s="71"/>
      <c r="S120" s="71">
        <f ca="1">SUBTOTAL(9,S114:S119)</f>
        <v>3518653</v>
      </c>
      <c r="T120" s="71"/>
      <c r="U120" s="71">
        <f ca="1">SUBTOTAL(9,U114:U119)</f>
        <v>3518653</v>
      </c>
      <c r="V120" s="71"/>
      <c r="W120" s="71"/>
      <c r="X120" s="71"/>
      <c r="Y120" s="71"/>
      <c r="Z120" s="68"/>
    </row>
    <row r="121" spans="11:26" ht="18" customHeight="1">
      <c r="K121" s="171" t="s">
        <v>702</v>
      </c>
      <c r="L121" s="171"/>
      <c r="M121" s="171"/>
      <c r="N121" s="532" t="str">
        <f ca="1">"제 " &amp; Z121 &amp; " 호표  "&amp; OFFSET($A$1,MATCH(Z121,$A:$A,0)-1,1)</f>
        <v>제 9 호표  4-2. 시민의견 체계화,구조화 분석</v>
      </c>
      <c r="O121" s="533"/>
      <c r="P121" s="148"/>
      <c r="Q121" s="148"/>
      <c r="R121" s="149"/>
      <c r="S121" s="149"/>
      <c r="T121" s="149"/>
      <c r="U121" s="149"/>
      <c r="V121" s="149"/>
      <c r="W121" s="149"/>
      <c r="X121" s="149"/>
      <c r="Y121" s="149"/>
      <c r="Z121" s="325">
        <f>Z113+1</f>
        <v>9</v>
      </c>
    </row>
    <row r="122" spans="11:26" ht="18" customHeight="1">
      <c r="K122" s="171" t="s">
        <v>699</v>
      </c>
      <c r="L122" s="171"/>
      <c r="M122" s="171"/>
      <c r="N122" s="140" t="s">
        <v>43</v>
      </c>
      <c r="O122" s="172">
        <v>3</v>
      </c>
      <c r="P122" s="534">
        <f ca="1">OFFSET($A$1,MATCH(Z121,$A:$A,0)-1,O122)</f>
        <v>1</v>
      </c>
      <c r="Q122" s="141" t="s">
        <v>29</v>
      </c>
      <c r="R122" s="142">
        <f t="shared" ref="R122:S127" ca="1" si="35">T122</f>
        <v>467217</v>
      </c>
      <c r="S122" s="142">
        <f t="shared" ca="1" si="35"/>
        <v>467217</v>
      </c>
      <c r="T122" s="142">
        <f ca="1">기술사</f>
        <v>467217</v>
      </c>
      <c r="U122" s="142">
        <f t="shared" ref="U122:U127" ca="1" si="36">ROUNDDOWN(P122*R122,0)</f>
        <v>467217</v>
      </c>
      <c r="V122" s="142"/>
      <c r="W122" s="142"/>
      <c r="X122" s="142"/>
      <c r="Y122" s="142"/>
      <c r="Z122" s="114"/>
    </row>
    <row r="123" spans="11:26" ht="18" customHeight="1">
      <c r="K123" s="171" t="s">
        <v>702</v>
      </c>
      <c r="L123" s="171"/>
      <c r="M123" s="171"/>
      <c r="N123" s="143" t="s">
        <v>32</v>
      </c>
      <c r="O123" s="173">
        <v>4</v>
      </c>
      <c r="P123" s="234">
        <f ca="1">OFFSET($A$1,MATCH(Z121,$A:$A,0)-1,O123)</f>
        <v>2</v>
      </c>
      <c r="Q123" s="144" t="s">
        <v>29</v>
      </c>
      <c r="R123" s="118">
        <f t="shared" ca="1" si="35"/>
        <v>373353</v>
      </c>
      <c r="S123" s="118">
        <f t="shared" ca="1" si="35"/>
        <v>746706</v>
      </c>
      <c r="T123" s="118">
        <f ca="1">특급</f>
        <v>373353</v>
      </c>
      <c r="U123" s="118">
        <f t="shared" ca="1" si="36"/>
        <v>746706</v>
      </c>
      <c r="V123" s="118"/>
      <c r="W123" s="118"/>
      <c r="X123" s="118"/>
      <c r="Y123" s="118"/>
      <c r="Z123" s="115"/>
    </row>
    <row r="124" spans="11:26" ht="18" customHeight="1">
      <c r="K124" s="171" t="s">
        <v>702</v>
      </c>
      <c r="L124" s="171"/>
      <c r="M124" s="171"/>
      <c r="N124" s="145" t="s">
        <v>39</v>
      </c>
      <c r="O124" s="173">
        <v>5</v>
      </c>
      <c r="P124" s="234">
        <f ca="1">OFFSET($A$1,MATCH(Z121,$A:$A,0)-1,O124)</f>
        <v>4</v>
      </c>
      <c r="Q124" s="144" t="s">
        <v>29</v>
      </c>
      <c r="R124" s="118">
        <f t="shared" ca="1" si="35"/>
        <v>310884</v>
      </c>
      <c r="S124" s="118">
        <f t="shared" ca="1" si="35"/>
        <v>1243536</v>
      </c>
      <c r="T124" s="118">
        <f ca="1">고급</f>
        <v>310884</v>
      </c>
      <c r="U124" s="118">
        <f t="shared" ca="1" si="36"/>
        <v>1243536</v>
      </c>
      <c r="V124" s="118"/>
      <c r="W124" s="118"/>
      <c r="X124" s="118"/>
      <c r="Y124" s="118"/>
      <c r="Z124" s="115"/>
    </row>
    <row r="125" spans="11:26" ht="18" customHeight="1">
      <c r="K125" s="171" t="s">
        <v>702</v>
      </c>
      <c r="L125" s="171"/>
      <c r="M125" s="171"/>
      <c r="N125" s="145" t="s">
        <v>40</v>
      </c>
      <c r="O125" s="173">
        <v>6</v>
      </c>
      <c r="P125" s="234">
        <f ca="1">OFFSET($A$1,MATCH(Z121,$A:$A,0)-1,O125)</f>
        <v>2</v>
      </c>
      <c r="Q125" s="144" t="s">
        <v>29</v>
      </c>
      <c r="R125" s="118">
        <f t="shared" ca="1" si="35"/>
        <v>295138</v>
      </c>
      <c r="S125" s="118">
        <f t="shared" ca="1" si="35"/>
        <v>590276</v>
      </c>
      <c r="T125" s="118">
        <f ca="1">중급</f>
        <v>295138</v>
      </c>
      <c r="U125" s="118">
        <f t="shared" ca="1" si="36"/>
        <v>590276</v>
      </c>
      <c r="V125" s="118"/>
      <c r="W125" s="118"/>
      <c r="X125" s="118"/>
      <c r="Y125" s="118"/>
      <c r="Z125" s="115"/>
    </row>
    <row r="126" spans="11:26" ht="18" customHeight="1">
      <c r="K126" s="171" t="s">
        <v>702</v>
      </c>
      <c r="L126" s="171"/>
      <c r="M126" s="171"/>
      <c r="N126" s="145" t="s">
        <v>41</v>
      </c>
      <c r="O126" s="173">
        <v>7</v>
      </c>
      <c r="P126" s="234">
        <f ca="1">OFFSET($A$1,MATCH(Z121,$A:$A,0)-1,O126)</f>
        <v>2</v>
      </c>
      <c r="Q126" s="144" t="s">
        <v>29</v>
      </c>
      <c r="R126" s="118">
        <f t="shared" ca="1" si="35"/>
        <v>235459</v>
      </c>
      <c r="S126" s="118">
        <f t="shared" ca="1" si="35"/>
        <v>470918</v>
      </c>
      <c r="T126" s="118">
        <f ca="1">초급</f>
        <v>235459</v>
      </c>
      <c r="U126" s="118">
        <f t="shared" ca="1" si="36"/>
        <v>470918</v>
      </c>
      <c r="V126" s="118"/>
      <c r="W126" s="118"/>
      <c r="X126" s="118"/>
      <c r="Y126" s="118"/>
      <c r="Z126" s="115"/>
    </row>
    <row r="127" spans="11:26" ht="18" customHeight="1">
      <c r="K127" s="171" t="s">
        <v>699</v>
      </c>
      <c r="L127" s="171"/>
      <c r="M127" s="171"/>
      <c r="N127" s="319" t="s">
        <v>42</v>
      </c>
      <c r="O127" s="174">
        <v>8</v>
      </c>
      <c r="P127" s="235">
        <f ca="1">OFFSET($A$1,MATCH(Z121,$A:$A,0)-1,O127)</f>
        <v>0</v>
      </c>
      <c r="Q127" s="322" t="s">
        <v>29</v>
      </c>
      <c r="R127" s="323">
        <f t="shared" ca="1" si="35"/>
        <v>250087</v>
      </c>
      <c r="S127" s="323">
        <f t="shared" ca="1" si="35"/>
        <v>0</v>
      </c>
      <c r="T127" s="323">
        <f ca="1">보조원</f>
        <v>250087</v>
      </c>
      <c r="U127" s="323">
        <f t="shared" ca="1" si="36"/>
        <v>0</v>
      </c>
      <c r="V127" s="323"/>
      <c r="W127" s="323"/>
      <c r="X127" s="323"/>
      <c r="Y127" s="323"/>
      <c r="Z127" s="324"/>
    </row>
    <row r="128" spans="11:26" ht="18" customHeight="1">
      <c r="K128" s="171" t="s">
        <v>702</v>
      </c>
      <c r="L128" s="171"/>
      <c r="M128" s="171"/>
      <c r="N128" s="139" t="s">
        <v>700</v>
      </c>
      <c r="O128" s="68"/>
      <c r="P128" s="69"/>
      <c r="Q128" s="70"/>
      <c r="R128" s="71"/>
      <c r="S128" s="71">
        <f ca="1">SUBTOTAL(9,S122:S127)</f>
        <v>3518653</v>
      </c>
      <c r="T128" s="71"/>
      <c r="U128" s="71">
        <f ca="1">SUBTOTAL(9,U122:U127)</f>
        <v>3518653</v>
      </c>
      <c r="V128" s="71"/>
      <c r="W128" s="71"/>
      <c r="X128" s="71"/>
      <c r="Y128" s="71"/>
      <c r="Z128" s="68"/>
    </row>
    <row r="129" spans="11:26" ht="18" customHeight="1">
      <c r="K129" s="171" t="s">
        <v>702</v>
      </c>
      <c r="L129" s="171"/>
      <c r="M129" s="171"/>
      <c r="N129" s="532" t="str">
        <f ca="1">"제 " &amp; Z129 &amp; " 호표  "&amp; OFFSET($A$1,MATCH(Z129,$A:$A,0)-1,1)</f>
        <v>제 10 호표  5-1. 유사서비스 사례분석</v>
      </c>
      <c r="O129" s="533"/>
      <c r="P129" s="148"/>
      <c r="Q129" s="148"/>
      <c r="R129" s="149"/>
      <c r="S129" s="149"/>
      <c r="T129" s="149"/>
      <c r="U129" s="149"/>
      <c r="V129" s="149"/>
      <c r="W129" s="149"/>
      <c r="X129" s="149"/>
      <c r="Y129" s="149"/>
      <c r="Z129" s="325">
        <f>Z121+1</f>
        <v>10</v>
      </c>
    </row>
    <row r="130" spans="11:26" ht="18" customHeight="1">
      <c r="K130" s="171" t="s">
        <v>702</v>
      </c>
      <c r="L130" s="171"/>
      <c r="M130" s="171"/>
      <c r="N130" s="140" t="s">
        <v>43</v>
      </c>
      <c r="O130" s="172">
        <v>3</v>
      </c>
      <c r="P130" s="534">
        <f ca="1">OFFSET($A$1,MATCH(Z129,$A:$A,0)-1,O130)</f>
        <v>1</v>
      </c>
      <c r="Q130" s="141" t="s">
        <v>29</v>
      </c>
      <c r="R130" s="142">
        <f t="shared" ref="R130:S135" ca="1" si="37">T130</f>
        <v>467217</v>
      </c>
      <c r="S130" s="142">
        <f t="shared" ca="1" si="37"/>
        <v>467217</v>
      </c>
      <c r="T130" s="142">
        <f ca="1">기술사</f>
        <v>467217</v>
      </c>
      <c r="U130" s="142">
        <f t="shared" ref="U130:U135" ca="1" si="38">ROUNDDOWN(P130*R130,0)</f>
        <v>467217</v>
      </c>
      <c r="V130" s="142"/>
      <c r="W130" s="142"/>
      <c r="X130" s="142"/>
      <c r="Y130" s="142"/>
      <c r="Z130" s="114"/>
    </row>
    <row r="131" spans="11:26" ht="18" customHeight="1">
      <c r="K131" s="171" t="s">
        <v>702</v>
      </c>
      <c r="L131" s="171"/>
      <c r="M131" s="171"/>
      <c r="N131" s="143" t="s">
        <v>32</v>
      </c>
      <c r="O131" s="173">
        <v>4</v>
      </c>
      <c r="P131" s="234">
        <f ca="1">OFFSET($A$1,MATCH(Z129,$A:$A,0)-1,O131)</f>
        <v>2</v>
      </c>
      <c r="Q131" s="144" t="s">
        <v>29</v>
      </c>
      <c r="R131" s="118">
        <f t="shared" ca="1" si="37"/>
        <v>373353</v>
      </c>
      <c r="S131" s="118">
        <f t="shared" ca="1" si="37"/>
        <v>746706</v>
      </c>
      <c r="T131" s="118">
        <f ca="1">특급</f>
        <v>373353</v>
      </c>
      <c r="U131" s="118">
        <f t="shared" ca="1" si="38"/>
        <v>746706</v>
      </c>
      <c r="V131" s="118"/>
      <c r="W131" s="118"/>
      <c r="X131" s="118"/>
      <c r="Y131" s="118"/>
      <c r="Z131" s="115"/>
    </row>
    <row r="132" spans="11:26" ht="18" customHeight="1">
      <c r="K132" s="171" t="s">
        <v>702</v>
      </c>
      <c r="L132" s="171"/>
      <c r="M132" s="171"/>
      <c r="N132" s="145" t="s">
        <v>39</v>
      </c>
      <c r="O132" s="173">
        <v>5</v>
      </c>
      <c r="P132" s="234">
        <f ca="1">OFFSET($A$1,MATCH(Z129,$A:$A,0)-1,O132)</f>
        <v>3</v>
      </c>
      <c r="Q132" s="144" t="s">
        <v>29</v>
      </c>
      <c r="R132" s="118">
        <f t="shared" ca="1" si="37"/>
        <v>310884</v>
      </c>
      <c r="S132" s="118">
        <f t="shared" ca="1" si="37"/>
        <v>932652</v>
      </c>
      <c r="T132" s="118">
        <f ca="1">고급</f>
        <v>310884</v>
      </c>
      <c r="U132" s="118">
        <f t="shared" ca="1" si="38"/>
        <v>932652</v>
      </c>
      <c r="V132" s="118"/>
      <c r="W132" s="118"/>
      <c r="X132" s="118"/>
      <c r="Y132" s="118"/>
      <c r="Z132" s="115"/>
    </row>
    <row r="133" spans="11:26" ht="18" customHeight="1">
      <c r="K133" s="171" t="s">
        <v>702</v>
      </c>
      <c r="L133" s="171"/>
      <c r="M133" s="171"/>
      <c r="N133" s="145" t="s">
        <v>40</v>
      </c>
      <c r="O133" s="173">
        <v>6</v>
      </c>
      <c r="P133" s="234">
        <f ca="1">OFFSET($A$1,MATCH(Z129,$A:$A,0)-1,O133)</f>
        <v>1</v>
      </c>
      <c r="Q133" s="144" t="s">
        <v>29</v>
      </c>
      <c r="R133" s="118">
        <f t="shared" ca="1" si="37"/>
        <v>295138</v>
      </c>
      <c r="S133" s="118">
        <f t="shared" ca="1" si="37"/>
        <v>295138</v>
      </c>
      <c r="T133" s="118">
        <f ca="1">중급</f>
        <v>295138</v>
      </c>
      <c r="U133" s="118">
        <f t="shared" ca="1" si="38"/>
        <v>295138</v>
      </c>
      <c r="V133" s="118"/>
      <c r="W133" s="118"/>
      <c r="X133" s="118"/>
      <c r="Y133" s="118"/>
      <c r="Z133" s="115"/>
    </row>
    <row r="134" spans="11:26" ht="18" customHeight="1">
      <c r="K134" s="171" t="s">
        <v>702</v>
      </c>
      <c r="L134" s="171"/>
      <c r="M134" s="171"/>
      <c r="N134" s="145" t="s">
        <v>41</v>
      </c>
      <c r="O134" s="173">
        <v>7</v>
      </c>
      <c r="P134" s="234">
        <f ca="1">OFFSET($A$1,MATCH(Z129,$A:$A,0)-1,O134)</f>
        <v>1</v>
      </c>
      <c r="Q134" s="144" t="s">
        <v>29</v>
      </c>
      <c r="R134" s="118">
        <f t="shared" ca="1" si="37"/>
        <v>235459</v>
      </c>
      <c r="S134" s="118">
        <f t="shared" ca="1" si="37"/>
        <v>235459</v>
      </c>
      <c r="T134" s="118">
        <f ca="1">초급</f>
        <v>235459</v>
      </c>
      <c r="U134" s="118">
        <f t="shared" ca="1" si="38"/>
        <v>235459</v>
      </c>
      <c r="V134" s="118"/>
      <c r="W134" s="118"/>
      <c r="X134" s="118"/>
      <c r="Y134" s="118"/>
      <c r="Z134" s="115"/>
    </row>
    <row r="135" spans="11:26" ht="18" customHeight="1">
      <c r="K135" s="171" t="s">
        <v>702</v>
      </c>
      <c r="L135" s="171"/>
      <c r="M135" s="171"/>
      <c r="N135" s="319" t="s">
        <v>42</v>
      </c>
      <c r="O135" s="174">
        <v>8</v>
      </c>
      <c r="P135" s="235">
        <f ca="1">OFFSET($A$1,MATCH(Z129,$A:$A,0)-1,O135)</f>
        <v>0</v>
      </c>
      <c r="Q135" s="322" t="s">
        <v>29</v>
      </c>
      <c r="R135" s="323">
        <f t="shared" ca="1" si="37"/>
        <v>250087</v>
      </c>
      <c r="S135" s="323">
        <f t="shared" ca="1" si="37"/>
        <v>0</v>
      </c>
      <c r="T135" s="323">
        <f ca="1">보조원</f>
        <v>250087</v>
      </c>
      <c r="U135" s="323">
        <f t="shared" ca="1" si="38"/>
        <v>0</v>
      </c>
      <c r="V135" s="323"/>
      <c r="W135" s="323"/>
      <c r="X135" s="323"/>
      <c r="Y135" s="323"/>
      <c r="Z135" s="324"/>
    </row>
    <row r="136" spans="11:26" ht="18" customHeight="1">
      <c r="K136" s="171" t="s">
        <v>702</v>
      </c>
      <c r="L136" s="171"/>
      <c r="M136" s="171"/>
      <c r="N136" s="139" t="s">
        <v>700</v>
      </c>
      <c r="O136" s="68"/>
      <c r="P136" s="69"/>
      <c r="Q136" s="70"/>
      <c r="R136" s="71"/>
      <c r="S136" s="71">
        <f ca="1">SUBTOTAL(9,S130:S135)</f>
        <v>2677172</v>
      </c>
      <c r="T136" s="71"/>
      <c r="U136" s="71">
        <f ca="1">SUBTOTAL(9,U130:U135)</f>
        <v>2677172</v>
      </c>
      <c r="V136" s="71"/>
      <c r="W136" s="71"/>
      <c r="X136" s="71"/>
      <c r="Y136" s="71"/>
      <c r="Z136" s="68"/>
    </row>
    <row r="137" spans="11:26" ht="18" customHeight="1">
      <c r="K137" s="171" t="s">
        <v>702</v>
      </c>
      <c r="L137" s="171"/>
      <c r="M137" s="171"/>
      <c r="N137" s="532" t="str">
        <f ca="1">"제 " &amp; Z137 &amp; " 호표  "&amp; OFFSET($A$1,MATCH(Z137,$A:$A,0)-1,1)</f>
        <v>제 11 호표  5-2. 가상체험 프로그램 기획 (UI/UX)</v>
      </c>
      <c r="O137" s="533"/>
      <c r="P137" s="148"/>
      <c r="Q137" s="148"/>
      <c r="R137" s="149"/>
      <c r="S137" s="149"/>
      <c r="T137" s="149"/>
      <c r="U137" s="149"/>
      <c r="V137" s="149"/>
      <c r="W137" s="149"/>
      <c r="X137" s="149"/>
      <c r="Y137" s="149"/>
      <c r="Z137" s="325">
        <f>Z129+1</f>
        <v>11</v>
      </c>
    </row>
    <row r="138" spans="11:26" ht="18" customHeight="1">
      <c r="K138" s="171" t="s">
        <v>702</v>
      </c>
      <c r="L138" s="171"/>
      <c r="M138" s="171"/>
      <c r="N138" s="140" t="s">
        <v>43</v>
      </c>
      <c r="O138" s="172">
        <v>3</v>
      </c>
      <c r="P138" s="534">
        <f ca="1">OFFSET($A$1,MATCH(Z137,$A:$A,0)-1,O138)</f>
        <v>1</v>
      </c>
      <c r="Q138" s="141" t="s">
        <v>29</v>
      </c>
      <c r="R138" s="142">
        <f t="shared" ref="R138:S143" ca="1" si="39">T138</f>
        <v>467217</v>
      </c>
      <c r="S138" s="142">
        <f t="shared" ca="1" si="39"/>
        <v>467217</v>
      </c>
      <c r="T138" s="142">
        <f ca="1">기술사</f>
        <v>467217</v>
      </c>
      <c r="U138" s="142">
        <f t="shared" ref="U138:U143" ca="1" si="40">ROUNDDOWN(P138*R138,0)</f>
        <v>467217</v>
      </c>
      <c r="V138" s="142"/>
      <c r="W138" s="142"/>
      <c r="X138" s="142"/>
      <c r="Y138" s="142"/>
      <c r="Z138" s="114"/>
    </row>
    <row r="139" spans="11:26" ht="18" customHeight="1">
      <c r="K139" s="171" t="s">
        <v>699</v>
      </c>
      <c r="L139" s="171"/>
      <c r="M139" s="171"/>
      <c r="N139" s="143" t="s">
        <v>32</v>
      </c>
      <c r="O139" s="173">
        <v>4</v>
      </c>
      <c r="P139" s="234">
        <f ca="1">OFFSET($A$1,MATCH(Z137,$A:$A,0)-1,O139)</f>
        <v>2</v>
      </c>
      <c r="Q139" s="144" t="s">
        <v>29</v>
      </c>
      <c r="R139" s="118">
        <f t="shared" ca="1" si="39"/>
        <v>373353</v>
      </c>
      <c r="S139" s="118">
        <f t="shared" ca="1" si="39"/>
        <v>746706</v>
      </c>
      <c r="T139" s="118">
        <f ca="1">특급</f>
        <v>373353</v>
      </c>
      <c r="U139" s="118">
        <f t="shared" ca="1" si="40"/>
        <v>746706</v>
      </c>
      <c r="V139" s="118"/>
      <c r="W139" s="118"/>
      <c r="X139" s="118"/>
      <c r="Y139" s="118"/>
      <c r="Z139" s="115"/>
    </row>
    <row r="140" spans="11:26" ht="18" customHeight="1">
      <c r="K140" s="171" t="s">
        <v>699</v>
      </c>
      <c r="L140" s="171"/>
      <c r="M140" s="171"/>
      <c r="N140" s="145" t="s">
        <v>39</v>
      </c>
      <c r="O140" s="173">
        <v>5</v>
      </c>
      <c r="P140" s="234">
        <f ca="1">OFFSET($A$1,MATCH(Z137,$A:$A,0)-1,O140)</f>
        <v>3</v>
      </c>
      <c r="Q140" s="144" t="s">
        <v>29</v>
      </c>
      <c r="R140" s="118">
        <f t="shared" ca="1" si="39"/>
        <v>310884</v>
      </c>
      <c r="S140" s="118">
        <f t="shared" ca="1" si="39"/>
        <v>932652</v>
      </c>
      <c r="T140" s="118">
        <f ca="1">고급</f>
        <v>310884</v>
      </c>
      <c r="U140" s="118">
        <f t="shared" ca="1" si="40"/>
        <v>932652</v>
      </c>
      <c r="V140" s="118"/>
      <c r="W140" s="118"/>
      <c r="X140" s="118"/>
      <c r="Y140" s="118"/>
      <c r="Z140" s="115"/>
    </row>
    <row r="141" spans="11:26" ht="18" customHeight="1">
      <c r="K141" s="171" t="s">
        <v>699</v>
      </c>
      <c r="L141" s="171"/>
      <c r="M141" s="171"/>
      <c r="N141" s="145" t="s">
        <v>40</v>
      </c>
      <c r="O141" s="173">
        <v>6</v>
      </c>
      <c r="P141" s="234">
        <f ca="1">OFFSET($A$1,MATCH(Z137,$A:$A,0)-1,O141)</f>
        <v>1</v>
      </c>
      <c r="Q141" s="144" t="s">
        <v>29</v>
      </c>
      <c r="R141" s="118">
        <f t="shared" ca="1" si="39"/>
        <v>295138</v>
      </c>
      <c r="S141" s="118">
        <f t="shared" ca="1" si="39"/>
        <v>295138</v>
      </c>
      <c r="T141" s="118">
        <f ca="1">중급</f>
        <v>295138</v>
      </c>
      <c r="U141" s="118">
        <f t="shared" ca="1" si="40"/>
        <v>295138</v>
      </c>
      <c r="V141" s="118"/>
      <c r="W141" s="118"/>
      <c r="X141" s="118"/>
      <c r="Y141" s="118"/>
      <c r="Z141" s="115"/>
    </row>
    <row r="142" spans="11:26" ht="18" customHeight="1">
      <c r="K142" s="171" t="s">
        <v>699</v>
      </c>
      <c r="L142" s="171"/>
      <c r="M142" s="171"/>
      <c r="N142" s="145" t="s">
        <v>41</v>
      </c>
      <c r="O142" s="173">
        <v>7</v>
      </c>
      <c r="P142" s="234">
        <f ca="1">OFFSET($A$1,MATCH(Z137,$A:$A,0)-1,O142)</f>
        <v>1</v>
      </c>
      <c r="Q142" s="144" t="s">
        <v>29</v>
      </c>
      <c r="R142" s="118">
        <f t="shared" ca="1" si="39"/>
        <v>235459</v>
      </c>
      <c r="S142" s="118">
        <f t="shared" ca="1" si="39"/>
        <v>235459</v>
      </c>
      <c r="T142" s="118">
        <f ca="1">초급</f>
        <v>235459</v>
      </c>
      <c r="U142" s="118">
        <f t="shared" ca="1" si="40"/>
        <v>235459</v>
      </c>
      <c r="V142" s="118"/>
      <c r="W142" s="118"/>
      <c r="X142" s="118"/>
      <c r="Y142" s="118"/>
      <c r="Z142" s="115"/>
    </row>
    <row r="143" spans="11:26" ht="18" customHeight="1">
      <c r="K143" s="171" t="s">
        <v>699</v>
      </c>
      <c r="L143" s="171"/>
      <c r="M143" s="171"/>
      <c r="N143" s="319" t="s">
        <v>42</v>
      </c>
      <c r="O143" s="174">
        <v>8</v>
      </c>
      <c r="P143" s="235">
        <f ca="1">OFFSET($A$1,MATCH(Z137,$A:$A,0)-1,O143)</f>
        <v>0</v>
      </c>
      <c r="Q143" s="322" t="s">
        <v>29</v>
      </c>
      <c r="R143" s="323">
        <f t="shared" ca="1" si="39"/>
        <v>250087</v>
      </c>
      <c r="S143" s="323">
        <f t="shared" ca="1" si="39"/>
        <v>0</v>
      </c>
      <c r="T143" s="323">
        <f ca="1">보조원</f>
        <v>250087</v>
      </c>
      <c r="U143" s="323">
        <f t="shared" ca="1" si="40"/>
        <v>0</v>
      </c>
      <c r="V143" s="323"/>
      <c r="W143" s="323"/>
      <c r="X143" s="323"/>
      <c r="Y143" s="323"/>
      <c r="Z143" s="324"/>
    </row>
    <row r="144" spans="11:26" ht="18" customHeight="1">
      <c r="K144" s="171" t="s">
        <v>699</v>
      </c>
      <c r="L144" s="171"/>
      <c r="M144" s="171"/>
      <c r="N144" s="139" t="s">
        <v>698</v>
      </c>
      <c r="O144" s="68"/>
      <c r="P144" s="69"/>
      <c r="Q144" s="70"/>
      <c r="R144" s="71"/>
      <c r="S144" s="71">
        <f ca="1">SUBTOTAL(9,S138:S143)</f>
        <v>2677172</v>
      </c>
      <c r="T144" s="71"/>
      <c r="U144" s="71">
        <f ca="1">SUBTOTAL(9,U138:U143)</f>
        <v>2677172</v>
      </c>
      <c r="V144" s="71"/>
      <c r="W144" s="71"/>
      <c r="X144" s="71"/>
      <c r="Y144" s="71"/>
      <c r="Z144" s="68"/>
    </row>
    <row r="145" spans="11:26" ht="18" customHeight="1">
      <c r="K145" s="171" t="s">
        <v>699</v>
      </c>
      <c r="L145" s="171"/>
      <c r="M145" s="171"/>
      <c r="N145" s="532" t="str">
        <f ca="1">"제 " &amp; Z145 &amp; " 호표  "&amp; OFFSET($A$1,MATCH(Z145,$A:$A,0)-1,1)</f>
        <v>제 12 호표  5-3. 가상체험 및 시민의견 수집</v>
      </c>
      <c r="O145" s="533"/>
      <c r="P145" s="148"/>
      <c r="Q145" s="148"/>
      <c r="R145" s="149"/>
      <c r="S145" s="149"/>
      <c r="T145" s="149"/>
      <c r="U145" s="149"/>
      <c r="V145" s="149"/>
      <c r="W145" s="149"/>
      <c r="X145" s="149"/>
      <c r="Y145" s="149"/>
      <c r="Z145" s="325">
        <f>Z137+1</f>
        <v>12</v>
      </c>
    </row>
    <row r="146" spans="11:26" ht="18" customHeight="1">
      <c r="K146" s="171" t="s">
        <v>699</v>
      </c>
      <c r="L146" s="171"/>
      <c r="M146" s="171"/>
      <c r="N146" s="140" t="s">
        <v>43</v>
      </c>
      <c r="O146" s="172">
        <v>3</v>
      </c>
      <c r="P146" s="534">
        <f ca="1">OFFSET($A$1,MATCH(Z145,$A:$A,0)-1,O146)</f>
        <v>1</v>
      </c>
      <c r="Q146" s="141" t="s">
        <v>29</v>
      </c>
      <c r="R146" s="142">
        <f t="shared" ref="R146:S151" ca="1" si="41">T146</f>
        <v>467217</v>
      </c>
      <c r="S146" s="142">
        <f t="shared" ca="1" si="41"/>
        <v>467217</v>
      </c>
      <c r="T146" s="142">
        <f ca="1">기술사</f>
        <v>467217</v>
      </c>
      <c r="U146" s="142">
        <f t="shared" ref="U146:U151" ca="1" si="42">ROUNDDOWN(P146*R146,0)</f>
        <v>467217</v>
      </c>
      <c r="V146" s="142"/>
      <c r="W146" s="142"/>
      <c r="X146" s="142"/>
      <c r="Y146" s="142"/>
      <c r="Z146" s="114"/>
    </row>
    <row r="147" spans="11:26" ht="18" customHeight="1">
      <c r="K147" s="171" t="s">
        <v>702</v>
      </c>
      <c r="L147" s="171"/>
      <c r="M147" s="171"/>
      <c r="N147" s="143" t="s">
        <v>32</v>
      </c>
      <c r="O147" s="173">
        <v>4</v>
      </c>
      <c r="P147" s="234">
        <f ca="1">OFFSET($A$1,MATCH(Z145,$A:$A,0)-1,O147)</f>
        <v>2</v>
      </c>
      <c r="Q147" s="144" t="s">
        <v>29</v>
      </c>
      <c r="R147" s="118">
        <f t="shared" ca="1" si="41"/>
        <v>373353</v>
      </c>
      <c r="S147" s="118">
        <f t="shared" ca="1" si="41"/>
        <v>746706</v>
      </c>
      <c r="T147" s="118">
        <f ca="1">특급</f>
        <v>373353</v>
      </c>
      <c r="U147" s="118">
        <f t="shared" ca="1" si="42"/>
        <v>746706</v>
      </c>
      <c r="V147" s="118"/>
      <c r="W147" s="118"/>
      <c r="X147" s="118"/>
      <c r="Y147" s="118"/>
      <c r="Z147" s="115"/>
    </row>
    <row r="148" spans="11:26" ht="18" customHeight="1">
      <c r="K148" s="171" t="s">
        <v>699</v>
      </c>
      <c r="L148" s="171"/>
      <c r="M148" s="171"/>
      <c r="N148" s="145" t="s">
        <v>39</v>
      </c>
      <c r="O148" s="173">
        <v>5</v>
      </c>
      <c r="P148" s="234">
        <f ca="1">OFFSET($A$1,MATCH(Z145,$A:$A,0)-1,O148)</f>
        <v>3</v>
      </c>
      <c r="Q148" s="144" t="s">
        <v>29</v>
      </c>
      <c r="R148" s="118">
        <f t="shared" ca="1" si="41"/>
        <v>310884</v>
      </c>
      <c r="S148" s="118">
        <f t="shared" ca="1" si="41"/>
        <v>932652</v>
      </c>
      <c r="T148" s="118">
        <f ca="1">고급</f>
        <v>310884</v>
      </c>
      <c r="U148" s="118">
        <f t="shared" ca="1" si="42"/>
        <v>932652</v>
      </c>
      <c r="V148" s="118"/>
      <c r="W148" s="118"/>
      <c r="X148" s="118"/>
      <c r="Y148" s="118"/>
      <c r="Z148" s="115"/>
    </row>
    <row r="149" spans="11:26" ht="18" customHeight="1">
      <c r="K149" s="171" t="s">
        <v>699</v>
      </c>
      <c r="L149" s="171"/>
      <c r="M149" s="171"/>
      <c r="N149" s="145" t="s">
        <v>40</v>
      </c>
      <c r="O149" s="173">
        <v>6</v>
      </c>
      <c r="P149" s="234">
        <f ca="1">OFFSET($A$1,MATCH(Z145,$A:$A,0)-1,O149)</f>
        <v>1</v>
      </c>
      <c r="Q149" s="144" t="s">
        <v>29</v>
      </c>
      <c r="R149" s="118">
        <f t="shared" ca="1" si="41"/>
        <v>295138</v>
      </c>
      <c r="S149" s="118">
        <f t="shared" ca="1" si="41"/>
        <v>295138</v>
      </c>
      <c r="T149" s="118">
        <f ca="1">중급</f>
        <v>295138</v>
      </c>
      <c r="U149" s="118">
        <f t="shared" ca="1" si="42"/>
        <v>295138</v>
      </c>
      <c r="V149" s="118"/>
      <c r="W149" s="118"/>
      <c r="X149" s="118"/>
      <c r="Y149" s="118"/>
      <c r="Z149" s="115"/>
    </row>
    <row r="150" spans="11:26" ht="18" customHeight="1">
      <c r="K150" s="171" t="s">
        <v>702</v>
      </c>
      <c r="L150" s="171"/>
      <c r="M150" s="171"/>
      <c r="N150" s="145" t="s">
        <v>41</v>
      </c>
      <c r="O150" s="173">
        <v>7</v>
      </c>
      <c r="P150" s="234">
        <f ca="1">OFFSET($A$1,MATCH(Z145,$A:$A,0)-1,O150)</f>
        <v>1</v>
      </c>
      <c r="Q150" s="144" t="s">
        <v>29</v>
      </c>
      <c r="R150" s="118">
        <f t="shared" ca="1" si="41"/>
        <v>235459</v>
      </c>
      <c r="S150" s="118">
        <f t="shared" ca="1" si="41"/>
        <v>235459</v>
      </c>
      <c r="T150" s="118">
        <f ca="1">초급</f>
        <v>235459</v>
      </c>
      <c r="U150" s="118">
        <f t="shared" ca="1" si="42"/>
        <v>235459</v>
      </c>
      <c r="V150" s="118"/>
      <c r="W150" s="118"/>
      <c r="X150" s="118"/>
      <c r="Y150" s="118"/>
      <c r="Z150" s="115"/>
    </row>
    <row r="151" spans="11:26" ht="18" customHeight="1">
      <c r="K151" s="171" t="s">
        <v>699</v>
      </c>
      <c r="L151" s="171"/>
      <c r="M151" s="171"/>
      <c r="N151" s="319" t="s">
        <v>42</v>
      </c>
      <c r="O151" s="174">
        <v>8</v>
      </c>
      <c r="P151" s="235">
        <f ca="1">OFFSET($A$1,MATCH(Z145,$A:$A,0)-1,O151)</f>
        <v>0</v>
      </c>
      <c r="Q151" s="322" t="s">
        <v>29</v>
      </c>
      <c r="R151" s="323">
        <f t="shared" ca="1" si="41"/>
        <v>250087</v>
      </c>
      <c r="S151" s="323">
        <f t="shared" ca="1" si="41"/>
        <v>0</v>
      </c>
      <c r="T151" s="323">
        <f ca="1">보조원</f>
        <v>250087</v>
      </c>
      <c r="U151" s="323">
        <f t="shared" ca="1" si="42"/>
        <v>0</v>
      </c>
      <c r="V151" s="323"/>
      <c r="W151" s="323"/>
      <c r="X151" s="323"/>
      <c r="Y151" s="323"/>
      <c r="Z151" s="324"/>
    </row>
    <row r="152" spans="11:26" ht="18" customHeight="1">
      <c r="K152" s="171" t="s">
        <v>702</v>
      </c>
      <c r="L152" s="171"/>
      <c r="M152" s="171"/>
      <c r="N152" s="139" t="s">
        <v>698</v>
      </c>
      <c r="O152" s="68"/>
      <c r="P152" s="69"/>
      <c r="Q152" s="70"/>
      <c r="R152" s="71"/>
      <c r="S152" s="71">
        <f ca="1">SUBTOTAL(9,S146:S151)</f>
        <v>2677172</v>
      </c>
      <c r="T152" s="71"/>
      <c r="U152" s="71">
        <f ca="1">SUBTOTAL(9,U146:U151)</f>
        <v>2677172</v>
      </c>
      <c r="V152" s="71"/>
      <c r="W152" s="71"/>
      <c r="X152" s="71"/>
      <c r="Y152" s="71"/>
      <c r="Z152" s="68"/>
    </row>
    <row r="153" spans="11:26" ht="18" customHeight="1">
      <c r="K153" s="171" t="s">
        <v>699</v>
      </c>
      <c r="L153" s="171"/>
      <c r="M153" s="171"/>
      <c r="N153" s="532" t="str">
        <f ca="1">"제 " &amp; Z153 &amp; " 호표  "&amp; OFFSET($A$1,MATCH(Z153,$A:$A,0)-1,1)</f>
        <v>제 13 호표  5-4. 시민의견 체계화,구조화 분석</v>
      </c>
      <c r="O153" s="533"/>
      <c r="P153" s="148"/>
      <c r="Q153" s="148"/>
      <c r="R153" s="149"/>
      <c r="S153" s="149"/>
      <c r="T153" s="149"/>
      <c r="U153" s="149"/>
      <c r="V153" s="149"/>
      <c r="W153" s="149"/>
      <c r="X153" s="149"/>
      <c r="Y153" s="149"/>
      <c r="Z153" s="325">
        <f>Z145+1</f>
        <v>13</v>
      </c>
    </row>
    <row r="154" spans="11:26" ht="18" customHeight="1">
      <c r="K154" s="171" t="s">
        <v>699</v>
      </c>
      <c r="L154" s="171"/>
      <c r="M154" s="171"/>
      <c r="N154" s="140" t="s">
        <v>43</v>
      </c>
      <c r="O154" s="172">
        <v>3</v>
      </c>
      <c r="P154" s="534">
        <f ca="1">OFFSET($A$1,MATCH(Z153,$A:$A,0)-1,O154)</f>
        <v>1</v>
      </c>
      <c r="Q154" s="141" t="s">
        <v>29</v>
      </c>
      <c r="R154" s="142">
        <f t="shared" ref="R154:S159" ca="1" si="43">T154</f>
        <v>467217</v>
      </c>
      <c r="S154" s="142">
        <f t="shared" ca="1" si="43"/>
        <v>467217</v>
      </c>
      <c r="T154" s="142">
        <f ca="1">기술사</f>
        <v>467217</v>
      </c>
      <c r="U154" s="142">
        <f t="shared" ref="U154:U159" ca="1" si="44">ROUNDDOWN(P154*R154,0)</f>
        <v>467217</v>
      </c>
      <c r="V154" s="142"/>
      <c r="W154" s="142"/>
      <c r="X154" s="142"/>
      <c r="Y154" s="142"/>
      <c r="Z154" s="114"/>
    </row>
    <row r="155" spans="11:26" ht="18" customHeight="1">
      <c r="K155" s="171" t="s">
        <v>699</v>
      </c>
      <c r="L155" s="171"/>
      <c r="M155" s="171"/>
      <c r="N155" s="143" t="s">
        <v>32</v>
      </c>
      <c r="O155" s="173">
        <v>4</v>
      </c>
      <c r="P155" s="234">
        <f ca="1">OFFSET($A$1,MATCH(Z153,$A:$A,0)-1,O155)</f>
        <v>2</v>
      </c>
      <c r="Q155" s="144" t="s">
        <v>29</v>
      </c>
      <c r="R155" s="118">
        <f t="shared" ca="1" si="43"/>
        <v>373353</v>
      </c>
      <c r="S155" s="118">
        <f t="shared" ca="1" si="43"/>
        <v>746706</v>
      </c>
      <c r="T155" s="118">
        <f ca="1">특급</f>
        <v>373353</v>
      </c>
      <c r="U155" s="118">
        <f t="shared" ca="1" si="44"/>
        <v>746706</v>
      </c>
      <c r="V155" s="118"/>
      <c r="W155" s="118"/>
      <c r="X155" s="118"/>
      <c r="Y155" s="118"/>
      <c r="Z155" s="115"/>
    </row>
    <row r="156" spans="11:26" ht="18" customHeight="1">
      <c r="K156" s="171" t="s">
        <v>699</v>
      </c>
      <c r="L156" s="171"/>
      <c r="M156" s="171"/>
      <c r="N156" s="145" t="s">
        <v>39</v>
      </c>
      <c r="O156" s="173">
        <v>5</v>
      </c>
      <c r="P156" s="234">
        <f ca="1">OFFSET($A$1,MATCH(Z153,$A:$A,0)-1,O156)</f>
        <v>3</v>
      </c>
      <c r="Q156" s="144" t="s">
        <v>29</v>
      </c>
      <c r="R156" s="118">
        <f t="shared" ca="1" si="43"/>
        <v>310884</v>
      </c>
      <c r="S156" s="118">
        <f t="shared" ca="1" si="43"/>
        <v>932652</v>
      </c>
      <c r="T156" s="118">
        <f ca="1">고급</f>
        <v>310884</v>
      </c>
      <c r="U156" s="118">
        <f t="shared" ca="1" si="44"/>
        <v>932652</v>
      </c>
      <c r="V156" s="118"/>
      <c r="W156" s="118"/>
      <c r="X156" s="118"/>
      <c r="Y156" s="118"/>
      <c r="Z156" s="115"/>
    </row>
    <row r="157" spans="11:26" ht="18" customHeight="1">
      <c r="K157" s="171" t="s">
        <v>699</v>
      </c>
      <c r="L157" s="171"/>
      <c r="M157" s="171"/>
      <c r="N157" s="145" t="s">
        <v>40</v>
      </c>
      <c r="O157" s="173">
        <v>6</v>
      </c>
      <c r="P157" s="234">
        <f ca="1">OFFSET($A$1,MATCH(Z153,$A:$A,0)-1,O157)</f>
        <v>1</v>
      </c>
      <c r="Q157" s="144" t="s">
        <v>29</v>
      </c>
      <c r="R157" s="118">
        <f t="shared" ca="1" si="43"/>
        <v>295138</v>
      </c>
      <c r="S157" s="118">
        <f t="shared" ca="1" si="43"/>
        <v>295138</v>
      </c>
      <c r="T157" s="118">
        <f ca="1">중급</f>
        <v>295138</v>
      </c>
      <c r="U157" s="118">
        <f t="shared" ca="1" si="44"/>
        <v>295138</v>
      </c>
      <c r="V157" s="118"/>
      <c r="W157" s="118"/>
      <c r="X157" s="118"/>
      <c r="Y157" s="118"/>
      <c r="Z157" s="115"/>
    </row>
    <row r="158" spans="11:26" ht="18" customHeight="1">
      <c r="K158" s="171" t="s">
        <v>699</v>
      </c>
      <c r="L158" s="171"/>
      <c r="M158" s="171"/>
      <c r="N158" s="145" t="s">
        <v>41</v>
      </c>
      <c r="O158" s="173">
        <v>7</v>
      </c>
      <c r="P158" s="234">
        <f ca="1">OFFSET($A$1,MATCH(Z153,$A:$A,0)-1,O158)</f>
        <v>1</v>
      </c>
      <c r="Q158" s="144" t="s">
        <v>29</v>
      </c>
      <c r="R158" s="118">
        <f t="shared" ca="1" si="43"/>
        <v>235459</v>
      </c>
      <c r="S158" s="118">
        <f t="shared" ca="1" si="43"/>
        <v>235459</v>
      </c>
      <c r="T158" s="118">
        <f ca="1">초급</f>
        <v>235459</v>
      </c>
      <c r="U158" s="118">
        <f t="shared" ca="1" si="44"/>
        <v>235459</v>
      </c>
      <c r="V158" s="118"/>
      <c r="W158" s="118"/>
      <c r="X158" s="118"/>
      <c r="Y158" s="118"/>
      <c r="Z158" s="115"/>
    </row>
    <row r="159" spans="11:26" ht="18" customHeight="1">
      <c r="K159" s="171" t="s">
        <v>699</v>
      </c>
      <c r="L159" s="171"/>
      <c r="M159" s="171"/>
      <c r="N159" s="319" t="s">
        <v>42</v>
      </c>
      <c r="O159" s="174">
        <v>8</v>
      </c>
      <c r="P159" s="235">
        <f ca="1">OFFSET($A$1,MATCH(Z153,$A:$A,0)-1,O159)</f>
        <v>0</v>
      </c>
      <c r="Q159" s="322" t="s">
        <v>29</v>
      </c>
      <c r="R159" s="323">
        <f t="shared" ca="1" si="43"/>
        <v>250087</v>
      </c>
      <c r="S159" s="323">
        <f t="shared" ca="1" si="43"/>
        <v>0</v>
      </c>
      <c r="T159" s="323">
        <f ca="1">보조원</f>
        <v>250087</v>
      </c>
      <c r="U159" s="323">
        <f t="shared" ca="1" si="44"/>
        <v>0</v>
      </c>
      <c r="V159" s="323"/>
      <c r="W159" s="323"/>
      <c r="X159" s="323"/>
      <c r="Y159" s="323"/>
      <c r="Z159" s="324"/>
    </row>
    <row r="160" spans="11:26" ht="18" customHeight="1">
      <c r="K160" s="171" t="s">
        <v>702</v>
      </c>
      <c r="L160" s="171"/>
      <c r="M160" s="171"/>
      <c r="N160" s="139" t="s">
        <v>700</v>
      </c>
      <c r="O160" s="68"/>
      <c r="P160" s="69"/>
      <c r="Q160" s="70"/>
      <c r="R160" s="71"/>
      <c r="S160" s="71">
        <f ca="1">SUBTOTAL(9,S154:S159)</f>
        <v>2677172</v>
      </c>
      <c r="T160" s="71"/>
      <c r="U160" s="71">
        <f ca="1">SUBTOTAL(9,U154:U159)</f>
        <v>2677172</v>
      </c>
      <c r="V160" s="71"/>
      <c r="W160" s="71"/>
      <c r="X160" s="71"/>
      <c r="Y160" s="71"/>
      <c r="Z160" s="68"/>
    </row>
    <row r="161" spans="11:26" ht="18" customHeight="1">
      <c r="K161" s="171" t="s">
        <v>699</v>
      </c>
      <c r="L161" s="171"/>
      <c r="M161" s="171"/>
      <c r="N161" s="532" t="str">
        <f ca="1">"제 " &amp; Z161 &amp; " 호표  "&amp; OFFSET($A$1,MATCH(Z161,$A:$A,0)-1,1)</f>
        <v>제 14 호표  5-5. 스마트서비스 개선사항 도출</v>
      </c>
      <c r="O161" s="533"/>
      <c r="P161" s="148"/>
      <c r="Q161" s="148"/>
      <c r="R161" s="149"/>
      <c r="S161" s="149"/>
      <c r="T161" s="149"/>
      <c r="U161" s="149"/>
      <c r="V161" s="149"/>
      <c r="W161" s="149"/>
      <c r="X161" s="149"/>
      <c r="Y161" s="149"/>
      <c r="Z161" s="325">
        <f>Z153+1</f>
        <v>14</v>
      </c>
    </row>
    <row r="162" spans="11:26" ht="18" customHeight="1">
      <c r="K162" s="171" t="s">
        <v>699</v>
      </c>
      <c r="L162" s="171"/>
      <c r="M162" s="171"/>
      <c r="N162" s="140" t="s">
        <v>43</v>
      </c>
      <c r="O162" s="172">
        <v>3</v>
      </c>
      <c r="P162" s="534">
        <f ca="1">OFFSET($A$1,MATCH(Z161,$A:$A,0)-1,O162)</f>
        <v>1</v>
      </c>
      <c r="Q162" s="141" t="s">
        <v>29</v>
      </c>
      <c r="R162" s="142">
        <f t="shared" ref="R162:S167" ca="1" si="45">T162</f>
        <v>467217</v>
      </c>
      <c r="S162" s="142">
        <f t="shared" ca="1" si="45"/>
        <v>467217</v>
      </c>
      <c r="T162" s="142">
        <f ca="1">기술사</f>
        <v>467217</v>
      </c>
      <c r="U162" s="142">
        <f t="shared" ref="U162:U167" ca="1" si="46">ROUNDDOWN(P162*R162,0)</f>
        <v>467217</v>
      </c>
      <c r="V162" s="142"/>
      <c r="W162" s="142"/>
      <c r="X162" s="142"/>
      <c r="Y162" s="142"/>
      <c r="Z162" s="114"/>
    </row>
    <row r="163" spans="11:26" ht="18" customHeight="1">
      <c r="K163" s="171" t="s">
        <v>699</v>
      </c>
      <c r="L163" s="171"/>
      <c r="M163" s="171"/>
      <c r="N163" s="143" t="s">
        <v>32</v>
      </c>
      <c r="O163" s="173">
        <v>4</v>
      </c>
      <c r="P163" s="234">
        <f ca="1">OFFSET($A$1,MATCH(Z161,$A:$A,0)-1,O163)</f>
        <v>2</v>
      </c>
      <c r="Q163" s="144" t="s">
        <v>29</v>
      </c>
      <c r="R163" s="118">
        <f t="shared" ca="1" si="45"/>
        <v>373353</v>
      </c>
      <c r="S163" s="118">
        <f t="shared" ca="1" si="45"/>
        <v>746706</v>
      </c>
      <c r="T163" s="118">
        <f ca="1">특급</f>
        <v>373353</v>
      </c>
      <c r="U163" s="118">
        <f t="shared" ca="1" si="46"/>
        <v>746706</v>
      </c>
      <c r="V163" s="118"/>
      <c r="W163" s="118"/>
      <c r="X163" s="118"/>
      <c r="Y163" s="118"/>
      <c r="Z163" s="115"/>
    </row>
    <row r="164" spans="11:26" ht="18" customHeight="1">
      <c r="K164" s="171" t="s">
        <v>702</v>
      </c>
      <c r="L164" s="171"/>
      <c r="M164" s="171"/>
      <c r="N164" s="145" t="s">
        <v>39</v>
      </c>
      <c r="O164" s="173">
        <v>5</v>
      </c>
      <c r="P164" s="234">
        <f ca="1">OFFSET($A$1,MATCH(Z161,$A:$A,0)-1,O164)</f>
        <v>3</v>
      </c>
      <c r="Q164" s="144" t="s">
        <v>29</v>
      </c>
      <c r="R164" s="118">
        <f t="shared" ca="1" si="45"/>
        <v>310884</v>
      </c>
      <c r="S164" s="118">
        <f t="shared" ca="1" si="45"/>
        <v>932652</v>
      </c>
      <c r="T164" s="118">
        <f ca="1">고급</f>
        <v>310884</v>
      </c>
      <c r="U164" s="118">
        <f t="shared" ca="1" si="46"/>
        <v>932652</v>
      </c>
      <c r="V164" s="118"/>
      <c r="W164" s="118"/>
      <c r="X164" s="118"/>
      <c r="Y164" s="118"/>
      <c r="Z164" s="115"/>
    </row>
    <row r="165" spans="11:26" ht="18" customHeight="1">
      <c r="K165" s="171" t="s">
        <v>699</v>
      </c>
      <c r="L165" s="171"/>
      <c r="M165" s="171"/>
      <c r="N165" s="145" t="s">
        <v>40</v>
      </c>
      <c r="O165" s="173">
        <v>6</v>
      </c>
      <c r="P165" s="234">
        <f ca="1">OFFSET($A$1,MATCH(Z161,$A:$A,0)-1,O165)</f>
        <v>1</v>
      </c>
      <c r="Q165" s="144" t="s">
        <v>29</v>
      </c>
      <c r="R165" s="118">
        <f t="shared" ca="1" si="45"/>
        <v>295138</v>
      </c>
      <c r="S165" s="118">
        <f t="shared" ca="1" si="45"/>
        <v>295138</v>
      </c>
      <c r="T165" s="118">
        <f ca="1">중급</f>
        <v>295138</v>
      </c>
      <c r="U165" s="118">
        <f t="shared" ca="1" si="46"/>
        <v>295138</v>
      </c>
      <c r="V165" s="118"/>
      <c r="W165" s="118"/>
      <c r="X165" s="118"/>
      <c r="Y165" s="118"/>
      <c r="Z165" s="115"/>
    </row>
    <row r="166" spans="11:26" ht="18" customHeight="1">
      <c r="K166" s="171" t="s">
        <v>699</v>
      </c>
      <c r="L166" s="171"/>
      <c r="M166" s="171"/>
      <c r="N166" s="145" t="s">
        <v>41</v>
      </c>
      <c r="O166" s="173">
        <v>7</v>
      </c>
      <c r="P166" s="234">
        <f ca="1">OFFSET($A$1,MATCH(Z161,$A:$A,0)-1,O166)</f>
        <v>1</v>
      </c>
      <c r="Q166" s="144" t="s">
        <v>29</v>
      </c>
      <c r="R166" s="118">
        <f t="shared" ca="1" si="45"/>
        <v>235459</v>
      </c>
      <c r="S166" s="118">
        <f t="shared" ca="1" si="45"/>
        <v>235459</v>
      </c>
      <c r="T166" s="118">
        <f ca="1">초급</f>
        <v>235459</v>
      </c>
      <c r="U166" s="118">
        <f t="shared" ca="1" si="46"/>
        <v>235459</v>
      </c>
      <c r="V166" s="118"/>
      <c r="W166" s="118"/>
      <c r="X166" s="118"/>
      <c r="Y166" s="118"/>
      <c r="Z166" s="115"/>
    </row>
    <row r="167" spans="11:26" ht="18" customHeight="1">
      <c r="K167" s="171" t="s">
        <v>699</v>
      </c>
      <c r="L167" s="171"/>
      <c r="M167" s="171"/>
      <c r="N167" s="319" t="s">
        <v>42</v>
      </c>
      <c r="O167" s="174">
        <v>8</v>
      </c>
      <c r="P167" s="235">
        <f ca="1">OFFSET($A$1,MATCH(Z161,$A:$A,0)-1,O167)</f>
        <v>0</v>
      </c>
      <c r="Q167" s="322" t="s">
        <v>29</v>
      </c>
      <c r="R167" s="323">
        <f t="shared" ca="1" si="45"/>
        <v>250087</v>
      </c>
      <c r="S167" s="323">
        <f t="shared" ca="1" si="45"/>
        <v>0</v>
      </c>
      <c r="T167" s="323">
        <f ca="1">보조원</f>
        <v>250087</v>
      </c>
      <c r="U167" s="323">
        <f t="shared" ca="1" si="46"/>
        <v>0</v>
      </c>
      <c r="V167" s="323"/>
      <c r="W167" s="323"/>
      <c r="X167" s="323"/>
      <c r="Y167" s="323"/>
      <c r="Z167" s="324"/>
    </row>
    <row r="168" spans="11:26" ht="18" customHeight="1">
      <c r="K168" s="171" t="s">
        <v>699</v>
      </c>
      <c r="L168" s="171"/>
      <c r="M168" s="171"/>
      <c r="N168" s="139" t="s">
        <v>698</v>
      </c>
      <c r="O168" s="68"/>
      <c r="P168" s="69"/>
      <c r="Q168" s="70"/>
      <c r="R168" s="71"/>
      <c r="S168" s="71">
        <f ca="1">SUBTOTAL(9,S162:S167)</f>
        <v>2677172</v>
      </c>
      <c r="T168" s="71"/>
      <c r="U168" s="71">
        <f ca="1">SUBTOTAL(9,U162:U167)</f>
        <v>2677172</v>
      </c>
      <c r="V168" s="71"/>
      <c r="W168" s="71"/>
      <c r="X168" s="71"/>
      <c r="Y168" s="71"/>
      <c r="Z168" s="68"/>
    </row>
    <row r="169" spans="11:26" ht="18" customHeight="1">
      <c r="K169" s="171" t="s">
        <v>699</v>
      </c>
      <c r="L169" s="171"/>
      <c r="M169" s="171"/>
      <c r="N169" s="532" t="str">
        <f ca="1">"제 " &amp; Z169 &amp; " 호표  "&amp; OFFSET($A$1,MATCH(Z169,$A:$A,0)-1,1)</f>
        <v>제 15 호표  6-1. 스마트서비스 만족도 조사</v>
      </c>
      <c r="O169" s="533"/>
      <c r="P169" s="148"/>
      <c r="Q169" s="148"/>
      <c r="R169" s="149"/>
      <c r="S169" s="149"/>
      <c r="T169" s="149"/>
      <c r="U169" s="149"/>
      <c r="V169" s="149"/>
      <c r="W169" s="149"/>
      <c r="X169" s="149"/>
      <c r="Y169" s="149"/>
      <c r="Z169" s="325">
        <f>Z161+1</f>
        <v>15</v>
      </c>
    </row>
    <row r="170" spans="11:26" ht="18" customHeight="1">
      <c r="K170" s="171" t="s">
        <v>699</v>
      </c>
      <c r="L170" s="171"/>
      <c r="M170" s="171"/>
      <c r="N170" s="140" t="s">
        <v>43</v>
      </c>
      <c r="O170" s="172">
        <v>3</v>
      </c>
      <c r="P170" s="534">
        <f ca="1">OFFSET($A$1,MATCH(Z169,$A:$A,0)-1,O170)</f>
        <v>1</v>
      </c>
      <c r="Q170" s="141" t="s">
        <v>29</v>
      </c>
      <c r="R170" s="142">
        <f t="shared" ref="R170:S175" ca="1" si="47">T170</f>
        <v>467217</v>
      </c>
      <c r="S170" s="142">
        <f t="shared" ca="1" si="47"/>
        <v>467217</v>
      </c>
      <c r="T170" s="142">
        <f ca="1">기술사</f>
        <v>467217</v>
      </c>
      <c r="U170" s="142">
        <f t="shared" ref="U170:U175" ca="1" si="48">ROUNDDOWN(P170*R170,0)</f>
        <v>467217</v>
      </c>
      <c r="V170" s="142"/>
      <c r="W170" s="142"/>
      <c r="X170" s="142"/>
      <c r="Y170" s="142"/>
      <c r="Z170" s="114"/>
    </row>
    <row r="171" spans="11:26" ht="18" customHeight="1">
      <c r="K171" s="171" t="s">
        <v>699</v>
      </c>
      <c r="L171" s="171"/>
      <c r="M171" s="171"/>
      <c r="N171" s="143" t="s">
        <v>32</v>
      </c>
      <c r="O171" s="173">
        <v>4</v>
      </c>
      <c r="P171" s="234">
        <f ca="1">OFFSET($A$1,MATCH(Z169,$A:$A,0)-1,O171)</f>
        <v>2</v>
      </c>
      <c r="Q171" s="144" t="s">
        <v>29</v>
      </c>
      <c r="R171" s="118">
        <f t="shared" ca="1" si="47"/>
        <v>373353</v>
      </c>
      <c r="S171" s="118">
        <f t="shared" ca="1" si="47"/>
        <v>746706</v>
      </c>
      <c r="T171" s="118">
        <f ca="1">특급</f>
        <v>373353</v>
      </c>
      <c r="U171" s="118">
        <f t="shared" ca="1" si="48"/>
        <v>746706</v>
      </c>
      <c r="V171" s="118"/>
      <c r="W171" s="118"/>
      <c r="X171" s="118"/>
      <c r="Y171" s="118"/>
      <c r="Z171" s="115"/>
    </row>
    <row r="172" spans="11:26" ht="18" customHeight="1">
      <c r="K172" s="171" t="s">
        <v>699</v>
      </c>
      <c r="L172" s="171"/>
      <c r="M172" s="171"/>
      <c r="N172" s="145" t="s">
        <v>39</v>
      </c>
      <c r="O172" s="173">
        <v>5</v>
      </c>
      <c r="P172" s="234">
        <f ca="1">OFFSET($A$1,MATCH(Z169,$A:$A,0)-1,O172)</f>
        <v>3</v>
      </c>
      <c r="Q172" s="144" t="s">
        <v>29</v>
      </c>
      <c r="R172" s="118">
        <f t="shared" ca="1" si="47"/>
        <v>310884</v>
      </c>
      <c r="S172" s="118">
        <f t="shared" ca="1" si="47"/>
        <v>932652</v>
      </c>
      <c r="T172" s="118">
        <f ca="1">고급</f>
        <v>310884</v>
      </c>
      <c r="U172" s="118">
        <f t="shared" ca="1" si="48"/>
        <v>932652</v>
      </c>
      <c r="V172" s="118"/>
      <c r="W172" s="118"/>
      <c r="X172" s="118"/>
      <c r="Y172" s="118"/>
      <c r="Z172" s="115"/>
    </row>
    <row r="173" spans="11:26" ht="18" customHeight="1">
      <c r="K173" s="171" t="s">
        <v>699</v>
      </c>
      <c r="L173" s="171"/>
      <c r="M173" s="171"/>
      <c r="N173" s="145" t="s">
        <v>40</v>
      </c>
      <c r="O173" s="173">
        <v>6</v>
      </c>
      <c r="P173" s="234">
        <f ca="1">OFFSET($A$1,MATCH(Z169,$A:$A,0)-1,O173)</f>
        <v>4</v>
      </c>
      <c r="Q173" s="144" t="s">
        <v>29</v>
      </c>
      <c r="R173" s="118">
        <f t="shared" ca="1" si="47"/>
        <v>295138</v>
      </c>
      <c r="S173" s="118">
        <f t="shared" ca="1" si="47"/>
        <v>1180552</v>
      </c>
      <c r="T173" s="118">
        <f ca="1">중급</f>
        <v>295138</v>
      </c>
      <c r="U173" s="118">
        <f t="shared" ca="1" si="48"/>
        <v>1180552</v>
      </c>
      <c r="V173" s="118"/>
      <c r="W173" s="118"/>
      <c r="X173" s="118"/>
      <c r="Y173" s="118"/>
      <c r="Z173" s="115"/>
    </row>
    <row r="174" spans="11:26" ht="18" customHeight="1">
      <c r="K174" s="171" t="s">
        <v>699</v>
      </c>
      <c r="L174" s="171"/>
      <c r="M174" s="171"/>
      <c r="N174" s="145" t="s">
        <v>41</v>
      </c>
      <c r="O174" s="173">
        <v>7</v>
      </c>
      <c r="P174" s="234">
        <f ca="1">OFFSET($A$1,MATCH(Z169,$A:$A,0)-1,O174)</f>
        <v>4</v>
      </c>
      <c r="Q174" s="144" t="s">
        <v>29</v>
      </c>
      <c r="R174" s="118">
        <f t="shared" ca="1" si="47"/>
        <v>235459</v>
      </c>
      <c r="S174" s="118">
        <f t="shared" ca="1" si="47"/>
        <v>941836</v>
      </c>
      <c r="T174" s="118">
        <f ca="1">초급</f>
        <v>235459</v>
      </c>
      <c r="U174" s="118">
        <f t="shared" ca="1" si="48"/>
        <v>941836</v>
      </c>
      <c r="V174" s="118"/>
      <c r="W174" s="118"/>
      <c r="X174" s="118"/>
      <c r="Y174" s="118"/>
      <c r="Z174" s="115"/>
    </row>
    <row r="175" spans="11:26" ht="18" customHeight="1">
      <c r="K175" s="171" t="s">
        <v>699</v>
      </c>
      <c r="L175" s="171"/>
      <c r="M175" s="171"/>
      <c r="N175" s="319" t="s">
        <v>42</v>
      </c>
      <c r="O175" s="174">
        <v>8</v>
      </c>
      <c r="P175" s="235">
        <f ca="1">OFFSET($A$1,MATCH(Z169,$A:$A,0)-1,O175)</f>
        <v>0</v>
      </c>
      <c r="Q175" s="322" t="s">
        <v>29</v>
      </c>
      <c r="R175" s="323">
        <f t="shared" ca="1" si="47"/>
        <v>250087</v>
      </c>
      <c r="S175" s="323">
        <f t="shared" ca="1" si="47"/>
        <v>0</v>
      </c>
      <c r="T175" s="323">
        <f ca="1">보조원</f>
        <v>250087</v>
      </c>
      <c r="U175" s="323">
        <f t="shared" ca="1" si="48"/>
        <v>0</v>
      </c>
      <c r="V175" s="323"/>
      <c r="W175" s="323"/>
      <c r="X175" s="323"/>
      <c r="Y175" s="323"/>
      <c r="Z175" s="324"/>
    </row>
    <row r="176" spans="11:26" ht="18" customHeight="1">
      <c r="K176" s="171" t="s">
        <v>699</v>
      </c>
      <c r="L176" s="171"/>
      <c r="M176" s="171"/>
      <c r="N176" s="139" t="s">
        <v>698</v>
      </c>
      <c r="O176" s="68"/>
      <c r="P176" s="69"/>
      <c r="Q176" s="70"/>
      <c r="R176" s="71"/>
      <c r="S176" s="71">
        <f ca="1">SUBTOTAL(9,S170:S175)</f>
        <v>4268963</v>
      </c>
      <c r="T176" s="71"/>
      <c r="U176" s="71">
        <f ca="1">SUBTOTAL(9,U170:U175)</f>
        <v>4268963</v>
      </c>
      <c r="V176" s="71"/>
      <c r="W176" s="71"/>
      <c r="X176" s="71"/>
      <c r="Y176" s="71"/>
      <c r="Z176" s="68"/>
    </row>
    <row r="177" spans="11:26" ht="18" customHeight="1">
      <c r="K177" s="171" t="s">
        <v>699</v>
      </c>
      <c r="L177" s="171"/>
      <c r="M177" s="171"/>
      <c r="N177" s="532" t="str">
        <f ca="1">"제 " &amp; Z177 &amp; " 호표  "&amp; OFFSET($A$1,MATCH(Z177,$A:$A,0)-1,1)</f>
        <v>제 16 호표  6-2. 스마트서비스 효과성 측정</v>
      </c>
      <c r="O177" s="533"/>
      <c r="P177" s="148"/>
      <c r="Q177" s="148"/>
      <c r="R177" s="149"/>
      <c r="S177" s="149"/>
      <c r="T177" s="149"/>
      <c r="U177" s="149"/>
      <c r="V177" s="149"/>
      <c r="W177" s="149"/>
      <c r="X177" s="149"/>
      <c r="Y177" s="149"/>
      <c r="Z177" s="325">
        <f>Z169+1</f>
        <v>16</v>
      </c>
    </row>
    <row r="178" spans="11:26" ht="18" customHeight="1">
      <c r="K178" s="171" t="s">
        <v>702</v>
      </c>
      <c r="L178" s="171"/>
      <c r="M178" s="171"/>
      <c r="N178" s="140" t="s">
        <v>43</v>
      </c>
      <c r="O178" s="172">
        <v>3</v>
      </c>
      <c r="P178" s="534">
        <f ca="1">OFFSET($A$1,MATCH(Z177,$A:$A,0)-1,O178)</f>
        <v>1</v>
      </c>
      <c r="Q178" s="141" t="s">
        <v>29</v>
      </c>
      <c r="R178" s="142">
        <f t="shared" ref="R178:S183" ca="1" si="49">T178</f>
        <v>467217</v>
      </c>
      <c r="S178" s="142">
        <f t="shared" ca="1" si="49"/>
        <v>467217</v>
      </c>
      <c r="T178" s="142">
        <f ca="1">기술사</f>
        <v>467217</v>
      </c>
      <c r="U178" s="142">
        <f t="shared" ref="U178:U183" ca="1" si="50">ROUNDDOWN(P178*R178,0)</f>
        <v>467217</v>
      </c>
      <c r="V178" s="142"/>
      <c r="W178" s="142"/>
      <c r="X178" s="142"/>
      <c r="Y178" s="142"/>
      <c r="Z178" s="114"/>
    </row>
    <row r="179" spans="11:26" ht="18" customHeight="1">
      <c r="K179" s="171" t="s">
        <v>699</v>
      </c>
      <c r="L179" s="171"/>
      <c r="M179" s="171"/>
      <c r="N179" s="143" t="s">
        <v>32</v>
      </c>
      <c r="O179" s="173">
        <v>4</v>
      </c>
      <c r="P179" s="234">
        <f ca="1">OFFSET($A$1,MATCH(Z177,$A:$A,0)-1,O179)</f>
        <v>2</v>
      </c>
      <c r="Q179" s="144" t="s">
        <v>29</v>
      </c>
      <c r="R179" s="118">
        <f t="shared" ca="1" si="49"/>
        <v>373353</v>
      </c>
      <c r="S179" s="118">
        <f t="shared" ca="1" si="49"/>
        <v>746706</v>
      </c>
      <c r="T179" s="118">
        <f ca="1">특급</f>
        <v>373353</v>
      </c>
      <c r="U179" s="118">
        <f t="shared" ca="1" si="50"/>
        <v>746706</v>
      </c>
      <c r="V179" s="118"/>
      <c r="W179" s="118"/>
      <c r="X179" s="118"/>
      <c r="Y179" s="118"/>
      <c r="Z179" s="115"/>
    </row>
    <row r="180" spans="11:26" ht="18" customHeight="1">
      <c r="K180" s="171" t="s">
        <v>699</v>
      </c>
      <c r="L180" s="171"/>
      <c r="M180" s="171"/>
      <c r="N180" s="145" t="s">
        <v>39</v>
      </c>
      <c r="O180" s="173">
        <v>5</v>
      </c>
      <c r="P180" s="234">
        <f ca="1">OFFSET($A$1,MATCH(Z177,$A:$A,0)-1,O180)</f>
        <v>3</v>
      </c>
      <c r="Q180" s="144" t="s">
        <v>29</v>
      </c>
      <c r="R180" s="118">
        <f t="shared" ca="1" si="49"/>
        <v>310884</v>
      </c>
      <c r="S180" s="118">
        <f t="shared" ca="1" si="49"/>
        <v>932652</v>
      </c>
      <c r="T180" s="118">
        <f ca="1">고급</f>
        <v>310884</v>
      </c>
      <c r="U180" s="118">
        <f t="shared" ca="1" si="50"/>
        <v>932652</v>
      </c>
      <c r="V180" s="118"/>
      <c r="W180" s="118"/>
      <c r="X180" s="118"/>
      <c r="Y180" s="118"/>
      <c r="Z180" s="115"/>
    </row>
    <row r="181" spans="11:26" ht="18" customHeight="1">
      <c r="K181" s="171" t="s">
        <v>699</v>
      </c>
      <c r="L181" s="171"/>
      <c r="M181" s="171"/>
      <c r="N181" s="145" t="s">
        <v>40</v>
      </c>
      <c r="O181" s="173">
        <v>6</v>
      </c>
      <c r="P181" s="234">
        <f ca="1">OFFSET($A$1,MATCH(Z177,$A:$A,0)-1,O181)</f>
        <v>4</v>
      </c>
      <c r="Q181" s="144" t="s">
        <v>29</v>
      </c>
      <c r="R181" s="118">
        <f t="shared" ca="1" si="49"/>
        <v>295138</v>
      </c>
      <c r="S181" s="118">
        <f t="shared" ca="1" si="49"/>
        <v>1180552</v>
      </c>
      <c r="T181" s="118">
        <f ca="1">중급</f>
        <v>295138</v>
      </c>
      <c r="U181" s="118">
        <f t="shared" ca="1" si="50"/>
        <v>1180552</v>
      </c>
      <c r="V181" s="118"/>
      <c r="W181" s="118"/>
      <c r="X181" s="118"/>
      <c r="Y181" s="118"/>
      <c r="Z181" s="115"/>
    </row>
    <row r="182" spans="11:26" ht="18" customHeight="1">
      <c r="K182" s="171" t="s">
        <v>699</v>
      </c>
      <c r="L182" s="171"/>
      <c r="M182" s="171"/>
      <c r="N182" s="145" t="s">
        <v>41</v>
      </c>
      <c r="O182" s="173">
        <v>7</v>
      </c>
      <c r="P182" s="234">
        <f ca="1">OFFSET($A$1,MATCH(Z177,$A:$A,0)-1,O182)</f>
        <v>4</v>
      </c>
      <c r="Q182" s="144" t="s">
        <v>29</v>
      </c>
      <c r="R182" s="118">
        <f t="shared" ca="1" si="49"/>
        <v>235459</v>
      </c>
      <c r="S182" s="118">
        <f t="shared" ca="1" si="49"/>
        <v>941836</v>
      </c>
      <c r="T182" s="118">
        <f ca="1">초급</f>
        <v>235459</v>
      </c>
      <c r="U182" s="118">
        <f t="shared" ca="1" si="50"/>
        <v>941836</v>
      </c>
      <c r="V182" s="118"/>
      <c r="W182" s="118"/>
      <c r="X182" s="118"/>
      <c r="Y182" s="118"/>
      <c r="Z182" s="115"/>
    </row>
    <row r="183" spans="11:26" ht="18" customHeight="1">
      <c r="K183" s="171" t="s">
        <v>699</v>
      </c>
      <c r="L183" s="171"/>
      <c r="M183" s="171"/>
      <c r="N183" s="319" t="s">
        <v>42</v>
      </c>
      <c r="O183" s="174">
        <v>8</v>
      </c>
      <c r="P183" s="235">
        <f ca="1">OFFSET($A$1,MATCH(Z177,$A:$A,0)-1,O183)</f>
        <v>0</v>
      </c>
      <c r="Q183" s="322" t="s">
        <v>29</v>
      </c>
      <c r="R183" s="323">
        <f t="shared" ca="1" si="49"/>
        <v>250087</v>
      </c>
      <c r="S183" s="323">
        <f t="shared" ca="1" si="49"/>
        <v>0</v>
      </c>
      <c r="T183" s="323">
        <f ca="1">보조원</f>
        <v>250087</v>
      </c>
      <c r="U183" s="323">
        <f t="shared" ca="1" si="50"/>
        <v>0</v>
      </c>
      <c r="V183" s="323"/>
      <c r="W183" s="323"/>
      <c r="X183" s="323"/>
      <c r="Y183" s="323"/>
      <c r="Z183" s="324"/>
    </row>
    <row r="184" spans="11:26" ht="18" customHeight="1">
      <c r="K184" s="171" t="s">
        <v>699</v>
      </c>
      <c r="L184" s="171"/>
      <c r="M184" s="171"/>
      <c r="N184" s="139" t="s">
        <v>698</v>
      </c>
      <c r="O184" s="68"/>
      <c r="P184" s="69"/>
      <c r="Q184" s="70"/>
      <c r="R184" s="71"/>
      <c r="S184" s="71">
        <f ca="1">SUBTOTAL(9,S178:S183)</f>
        <v>4268963</v>
      </c>
      <c r="T184" s="71"/>
      <c r="U184" s="71">
        <f ca="1">SUBTOTAL(9,U178:U183)</f>
        <v>4268963</v>
      </c>
      <c r="V184" s="71"/>
      <c r="W184" s="71"/>
      <c r="X184" s="71"/>
      <c r="Y184" s="71"/>
      <c r="Z184" s="68"/>
    </row>
    <row r="185" spans="11:26" ht="18" customHeight="1">
      <c r="K185" s="171" t="s">
        <v>699</v>
      </c>
      <c r="L185" s="171"/>
      <c r="M185" s="171"/>
      <c r="N185" s="532" t="str">
        <f ca="1">"제 " &amp; Z185 &amp; " 호표  "&amp; OFFSET($A$1,MATCH(Z185,$A:$A,0)-1,1)</f>
        <v>제 17 호표  6-3. 스마트서비스 개선사항 도출</v>
      </c>
      <c r="O185" s="533"/>
      <c r="P185" s="148"/>
      <c r="Q185" s="148"/>
      <c r="R185" s="149"/>
      <c r="S185" s="149"/>
      <c r="T185" s="149"/>
      <c r="U185" s="149"/>
      <c r="V185" s="149"/>
      <c r="W185" s="149"/>
      <c r="X185" s="149"/>
      <c r="Y185" s="149"/>
      <c r="Z185" s="325">
        <f>Z177+1</f>
        <v>17</v>
      </c>
    </row>
    <row r="186" spans="11:26" ht="18" customHeight="1">
      <c r="K186" s="171" t="s">
        <v>699</v>
      </c>
      <c r="L186" s="171"/>
      <c r="M186" s="171"/>
      <c r="N186" s="140" t="s">
        <v>43</v>
      </c>
      <c r="O186" s="172">
        <v>3</v>
      </c>
      <c r="P186" s="534">
        <f ca="1">OFFSET($A$1,MATCH(Z185,$A:$A,0)-1,O186)</f>
        <v>1</v>
      </c>
      <c r="Q186" s="141" t="s">
        <v>29</v>
      </c>
      <c r="R186" s="142">
        <f t="shared" ref="R186:S191" ca="1" si="51">T186</f>
        <v>467217</v>
      </c>
      <c r="S186" s="142">
        <f t="shared" ca="1" si="51"/>
        <v>467217</v>
      </c>
      <c r="T186" s="142">
        <f ca="1">기술사</f>
        <v>467217</v>
      </c>
      <c r="U186" s="142">
        <f t="shared" ref="U186:U191" ca="1" si="52">ROUNDDOWN(P186*R186,0)</f>
        <v>467217</v>
      </c>
      <c r="V186" s="142"/>
      <c r="W186" s="142"/>
      <c r="X186" s="142"/>
      <c r="Y186" s="142"/>
      <c r="Z186" s="114"/>
    </row>
    <row r="187" spans="11:26" ht="18" customHeight="1">
      <c r="K187" s="171" t="s">
        <v>702</v>
      </c>
      <c r="L187" s="171"/>
      <c r="M187" s="171"/>
      <c r="N187" s="143" t="s">
        <v>32</v>
      </c>
      <c r="O187" s="173">
        <v>4</v>
      </c>
      <c r="P187" s="234">
        <f ca="1">OFFSET($A$1,MATCH(Z185,$A:$A,0)-1,O187)</f>
        <v>2</v>
      </c>
      <c r="Q187" s="144" t="s">
        <v>29</v>
      </c>
      <c r="R187" s="118">
        <f t="shared" ca="1" si="51"/>
        <v>373353</v>
      </c>
      <c r="S187" s="118">
        <f t="shared" ca="1" si="51"/>
        <v>746706</v>
      </c>
      <c r="T187" s="118">
        <f ca="1">특급</f>
        <v>373353</v>
      </c>
      <c r="U187" s="118">
        <f t="shared" ca="1" si="52"/>
        <v>746706</v>
      </c>
      <c r="V187" s="118"/>
      <c r="W187" s="118"/>
      <c r="X187" s="118"/>
      <c r="Y187" s="118"/>
      <c r="Z187" s="115"/>
    </row>
    <row r="188" spans="11:26" ht="18" customHeight="1">
      <c r="K188" s="171" t="s">
        <v>699</v>
      </c>
      <c r="L188" s="171"/>
      <c r="M188" s="171"/>
      <c r="N188" s="145" t="s">
        <v>39</v>
      </c>
      <c r="O188" s="173">
        <v>5</v>
      </c>
      <c r="P188" s="234">
        <f ca="1">OFFSET($A$1,MATCH(Z185,$A:$A,0)-1,O188)</f>
        <v>3</v>
      </c>
      <c r="Q188" s="144" t="s">
        <v>29</v>
      </c>
      <c r="R188" s="118">
        <f t="shared" ca="1" si="51"/>
        <v>310884</v>
      </c>
      <c r="S188" s="118">
        <f t="shared" ca="1" si="51"/>
        <v>932652</v>
      </c>
      <c r="T188" s="118">
        <f ca="1">고급</f>
        <v>310884</v>
      </c>
      <c r="U188" s="118">
        <f t="shared" ca="1" si="52"/>
        <v>932652</v>
      </c>
      <c r="V188" s="118"/>
      <c r="W188" s="118"/>
      <c r="X188" s="118"/>
      <c r="Y188" s="118"/>
      <c r="Z188" s="115"/>
    </row>
    <row r="189" spans="11:26" ht="18" customHeight="1">
      <c r="K189" s="171" t="s">
        <v>699</v>
      </c>
      <c r="L189" s="171"/>
      <c r="M189" s="171"/>
      <c r="N189" s="145" t="s">
        <v>40</v>
      </c>
      <c r="O189" s="173">
        <v>6</v>
      </c>
      <c r="P189" s="234">
        <f ca="1">OFFSET($A$1,MATCH(Z185,$A:$A,0)-1,O189)</f>
        <v>1</v>
      </c>
      <c r="Q189" s="144" t="s">
        <v>29</v>
      </c>
      <c r="R189" s="118">
        <f t="shared" ca="1" si="51"/>
        <v>295138</v>
      </c>
      <c r="S189" s="118">
        <f t="shared" ca="1" si="51"/>
        <v>295138</v>
      </c>
      <c r="T189" s="118">
        <f ca="1">중급</f>
        <v>295138</v>
      </c>
      <c r="U189" s="118">
        <f t="shared" ca="1" si="52"/>
        <v>295138</v>
      </c>
      <c r="V189" s="118"/>
      <c r="W189" s="118"/>
      <c r="X189" s="118"/>
      <c r="Y189" s="118"/>
      <c r="Z189" s="115"/>
    </row>
    <row r="190" spans="11:26" ht="18" customHeight="1">
      <c r="K190" s="171" t="s">
        <v>699</v>
      </c>
      <c r="L190" s="171"/>
      <c r="M190" s="171"/>
      <c r="N190" s="145" t="s">
        <v>41</v>
      </c>
      <c r="O190" s="173">
        <v>7</v>
      </c>
      <c r="P190" s="234">
        <f ca="1">OFFSET($A$1,MATCH(Z185,$A:$A,0)-1,O190)</f>
        <v>1</v>
      </c>
      <c r="Q190" s="144" t="s">
        <v>29</v>
      </c>
      <c r="R190" s="118">
        <f t="shared" ca="1" si="51"/>
        <v>235459</v>
      </c>
      <c r="S190" s="118">
        <f t="shared" ca="1" si="51"/>
        <v>235459</v>
      </c>
      <c r="T190" s="118">
        <f ca="1">초급</f>
        <v>235459</v>
      </c>
      <c r="U190" s="118">
        <f t="shared" ca="1" si="52"/>
        <v>235459</v>
      </c>
      <c r="V190" s="118"/>
      <c r="W190" s="118"/>
      <c r="X190" s="118"/>
      <c r="Y190" s="118"/>
      <c r="Z190" s="115"/>
    </row>
    <row r="191" spans="11:26" ht="18" customHeight="1">
      <c r="K191" s="171" t="s">
        <v>702</v>
      </c>
      <c r="L191" s="171"/>
      <c r="M191" s="171"/>
      <c r="N191" s="319" t="s">
        <v>42</v>
      </c>
      <c r="O191" s="174">
        <v>8</v>
      </c>
      <c r="P191" s="235">
        <f ca="1">OFFSET($A$1,MATCH(Z185,$A:$A,0)-1,O191)</f>
        <v>0</v>
      </c>
      <c r="Q191" s="322" t="s">
        <v>29</v>
      </c>
      <c r="R191" s="323">
        <f t="shared" ca="1" si="51"/>
        <v>250087</v>
      </c>
      <c r="S191" s="323">
        <f t="shared" ca="1" si="51"/>
        <v>0</v>
      </c>
      <c r="T191" s="323">
        <f ca="1">보조원</f>
        <v>250087</v>
      </c>
      <c r="U191" s="323">
        <f t="shared" ca="1" si="52"/>
        <v>0</v>
      </c>
      <c r="V191" s="323"/>
      <c r="W191" s="323"/>
      <c r="X191" s="323"/>
      <c r="Y191" s="323"/>
      <c r="Z191" s="324"/>
    </row>
    <row r="192" spans="11:26" ht="18" customHeight="1">
      <c r="K192" s="171" t="s">
        <v>699</v>
      </c>
      <c r="L192" s="171"/>
      <c r="M192" s="171"/>
      <c r="N192" s="139" t="s">
        <v>698</v>
      </c>
      <c r="O192" s="68"/>
      <c r="P192" s="69"/>
      <c r="Q192" s="70"/>
      <c r="R192" s="71"/>
      <c r="S192" s="71">
        <f ca="1">SUBTOTAL(9,S186:S191)</f>
        <v>2677172</v>
      </c>
      <c r="T192" s="71"/>
      <c r="U192" s="71">
        <f ca="1">SUBTOTAL(9,U186:U191)</f>
        <v>2677172</v>
      </c>
      <c r="V192" s="71"/>
      <c r="W192" s="71"/>
      <c r="X192" s="71"/>
      <c r="Y192" s="71"/>
      <c r="Z192" s="68"/>
    </row>
    <row r="193" spans="11:26" ht="18" customHeight="1">
      <c r="K193" s="171" t="s">
        <v>699</v>
      </c>
      <c r="L193" s="171"/>
      <c r="M193" s="171"/>
      <c r="N193" s="532" t="str">
        <f ca="1">"제 " &amp; Z193 &amp; " 호표  "&amp; OFFSET($A$1,MATCH(Z193,$A:$A,0)-1,1)</f>
        <v>제 18 호표  7-1. 스마트서비스 구축 진척율 점검</v>
      </c>
      <c r="O193" s="533"/>
      <c r="P193" s="148"/>
      <c r="Q193" s="148"/>
      <c r="R193" s="149"/>
      <c r="S193" s="149"/>
      <c r="T193" s="149"/>
      <c r="U193" s="149"/>
      <c r="V193" s="149"/>
      <c r="W193" s="149"/>
      <c r="X193" s="149"/>
      <c r="Y193" s="149"/>
      <c r="Z193" s="325">
        <f>Z185+1</f>
        <v>18</v>
      </c>
    </row>
    <row r="194" spans="11:26" ht="18" customHeight="1">
      <c r="K194" s="171" t="s">
        <v>699</v>
      </c>
      <c r="L194" s="171"/>
      <c r="M194" s="171"/>
      <c r="N194" s="140" t="s">
        <v>43</v>
      </c>
      <c r="O194" s="172">
        <v>3</v>
      </c>
      <c r="P194" s="534">
        <f ca="1">OFFSET($A$1,MATCH(Z193,$A:$A,0)-1,O194)</f>
        <v>1</v>
      </c>
      <c r="Q194" s="141" t="s">
        <v>29</v>
      </c>
      <c r="R194" s="142">
        <f t="shared" ref="R194:S199" ca="1" si="53">T194</f>
        <v>467217</v>
      </c>
      <c r="S194" s="142">
        <f t="shared" ca="1" si="53"/>
        <v>467217</v>
      </c>
      <c r="T194" s="142">
        <f ca="1">기술사</f>
        <v>467217</v>
      </c>
      <c r="U194" s="142">
        <f t="shared" ref="U194:U199" ca="1" si="54">ROUNDDOWN(P194*R194,0)</f>
        <v>467217</v>
      </c>
      <c r="V194" s="142"/>
      <c r="W194" s="142"/>
      <c r="X194" s="142"/>
      <c r="Y194" s="142"/>
      <c r="Z194" s="114"/>
    </row>
    <row r="195" spans="11:26" ht="18" customHeight="1">
      <c r="K195" s="171" t="s">
        <v>699</v>
      </c>
      <c r="L195" s="171"/>
      <c r="M195" s="171"/>
      <c r="N195" s="143" t="s">
        <v>32</v>
      </c>
      <c r="O195" s="173">
        <v>4</v>
      </c>
      <c r="P195" s="234">
        <f ca="1">OFFSET($A$1,MATCH(Z193,$A:$A,0)-1,O195)</f>
        <v>2</v>
      </c>
      <c r="Q195" s="144" t="s">
        <v>29</v>
      </c>
      <c r="R195" s="118">
        <f t="shared" ca="1" si="53"/>
        <v>373353</v>
      </c>
      <c r="S195" s="118">
        <f t="shared" ca="1" si="53"/>
        <v>746706</v>
      </c>
      <c r="T195" s="118">
        <f ca="1">특급</f>
        <v>373353</v>
      </c>
      <c r="U195" s="118">
        <f t="shared" ca="1" si="54"/>
        <v>746706</v>
      </c>
      <c r="V195" s="118"/>
      <c r="W195" s="118"/>
      <c r="X195" s="118"/>
      <c r="Y195" s="118"/>
      <c r="Z195" s="115"/>
    </row>
    <row r="196" spans="11:26" ht="18" customHeight="1">
      <c r="K196" s="171" t="s">
        <v>699</v>
      </c>
      <c r="L196" s="171"/>
      <c r="M196" s="171"/>
      <c r="N196" s="145" t="s">
        <v>39</v>
      </c>
      <c r="O196" s="173">
        <v>5</v>
      </c>
      <c r="P196" s="234">
        <f ca="1">OFFSET($A$1,MATCH(Z193,$A:$A,0)-1,O196)</f>
        <v>3</v>
      </c>
      <c r="Q196" s="144" t="s">
        <v>29</v>
      </c>
      <c r="R196" s="118">
        <f t="shared" ca="1" si="53"/>
        <v>310884</v>
      </c>
      <c r="S196" s="118">
        <f t="shared" ca="1" si="53"/>
        <v>932652</v>
      </c>
      <c r="T196" s="118">
        <f ca="1">고급</f>
        <v>310884</v>
      </c>
      <c r="U196" s="118">
        <f t="shared" ca="1" si="54"/>
        <v>932652</v>
      </c>
      <c r="V196" s="118"/>
      <c r="W196" s="118"/>
      <c r="X196" s="118"/>
      <c r="Y196" s="118"/>
      <c r="Z196" s="115"/>
    </row>
    <row r="197" spans="11:26" ht="18" customHeight="1">
      <c r="K197" s="171" t="s">
        <v>699</v>
      </c>
      <c r="L197" s="171"/>
      <c r="M197" s="171"/>
      <c r="N197" s="145" t="s">
        <v>40</v>
      </c>
      <c r="O197" s="173">
        <v>6</v>
      </c>
      <c r="P197" s="234">
        <f ca="1">OFFSET($A$1,MATCH(Z193,$A:$A,0)-1,O197)</f>
        <v>2</v>
      </c>
      <c r="Q197" s="144" t="s">
        <v>29</v>
      </c>
      <c r="R197" s="118">
        <f t="shared" ca="1" si="53"/>
        <v>295138</v>
      </c>
      <c r="S197" s="118">
        <f t="shared" ca="1" si="53"/>
        <v>590276</v>
      </c>
      <c r="T197" s="118">
        <f ca="1">중급</f>
        <v>295138</v>
      </c>
      <c r="U197" s="118">
        <f t="shared" ca="1" si="54"/>
        <v>590276</v>
      </c>
      <c r="V197" s="118"/>
      <c r="W197" s="118"/>
      <c r="X197" s="118"/>
      <c r="Y197" s="118"/>
      <c r="Z197" s="115"/>
    </row>
    <row r="198" spans="11:26" ht="18" customHeight="1">
      <c r="K198" s="171" t="s">
        <v>702</v>
      </c>
      <c r="L198" s="171"/>
      <c r="M198" s="171"/>
      <c r="N198" s="145" t="s">
        <v>41</v>
      </c>
      <c r="O198" s="173">
        <v>7</v>
      </c>
      <c r="P198" s="234">
        <f ca="1">OFFSET($A$1,MATCH(Z193,$A:$A,0)-1,O198)</f>
        <v>1</v>
      </c>
      <c r="Q198" s="144" t="s">
        <v>29</v>
      </c>
      <c r="R198" s="118">
        <f t="shared" ca="1" si="53"/>
        <v>235459</v>
      </c>
      <c r="S198" s="118">
        <f t="shared" ca="1" si="53"/>
        <v>235459</v>
      </c>
      <c r="T198" s="118">
        <f ca="1">초급</f>
        <v>235459</v>
      </c>
      <c r="U198" s="118">
        <f t="shared" ca="1" si="54"/>
        <v>235459</v>
      </c>
      <c r="V198" s="118"/>
      <c r="W198" s="118"/>
      <c r="X198" s="118"/>
      <c r="Y198" s="118"/>
      <c r="Z198" s="115"/>
    </row>
    <row r="199" spans="11:26" ht="18" customHeight="1">
      <c r="K199" s="171" t="s">
        <v>702</v>
      </c>
      <c r="L199" s="171"/>
      <c r="M199" s="171"/>
      <c r="N199" s="319" t="s">
        <v>42</v>
      </c>
      <c r="O199" s="174">
        <v>8</v>
      </c>
      <c r="P199" s="235">
        <f ca="1">OFFSET($A$1,MATCH(Z193,$A:$A,0)-1,O199)</f>
        <v>0</v>
      </c>
      <c r="Q199" s="322" t="s">
        <v>29</v>
      </c>
      <c r="R199" s="323">
        <f t="shared" ca="1" si="53"/>
        <v>250087</v>
      </c>
      <c r="S199" s="323">
        <f t="shared" ca="1" si="53"/>
        <v>0</v>
      </c>
      <c r="T199" s="323">
        <f ca="1">보조원</f>
        <v>250087</v>
      </c>
      <c r="U199" s="323">
        <f t="shared" ca="1" si="54"/>
        <v>0</v>
      </c>
      <c r="V199" s="323"/>
      <c r="W199" s="323"/>
      <c r="X199" s="323"/>
      <c r="Y199" s="323"/>
      <c r="Z199" s="324"/>
    </row>
    <row r="200" spans="11:26" ht="18" customHeight="1">
      <c r="K200" s="171" t="s">
        <v>699</v>
      </c>
      <c r="L200" s="171"/>
      <c r="M200" s="171"/>
      <c r="N200" s="139" t="s">
        <v>698</v>
      </c>
      <c r="O200" s="68"/>
      <c r="P200" s="69"/>
      <c r="Q200" s="70"/>
      <c r="R200" s="71"/>
      <c r="S200" s="71">
        <f ca="1">SUBTOTAL(9,S194:S199)</f>
        <v>2972310</v>
      </c>
      <c r="T200" s="71"/>
      <c r="U200" s="71">
        <f ca="1">SUBTOTAL(9,U194:U199)</f>
        <v>2972310</v>
      </c>
      <c r="V200" s="71"/>
      <c r="W200" s="71"/>
      <c r="X200" s="71"/>
      <c r="Y200" s="71"/>
      <c r="Z200" s="68"/>
    </row>
    <row r="201" spans="11:26" ht="18" customHeight="1">
      <c r="K201" s="171" t="s">
        <v>699</v>
      </c>
      <c r="L201" s="171"/>
      <c r="M201" s="171"/>
      <c r="N201" s="532" t="str">
        <f ca="1">"제 " &amp; Z201 &amp; " 호표  "&amp; OFFSET($A$1,MATCH(Z201,$A:$A,0)-1,1)</f>
        <v>제 19 호표  7-2. 스마트서비스 구현 기능 점검</v>
      </c>
      <c r="O201" s="533"/>
      <c r="P201" s="148"/>
      <c r="Q201" s="148"/>
      <c r="R201" s="149"/>
      <c r="S201" s="149"/>
      <c r="T201" s="149"/>
      <c r="U201" s="149"/>
      <c r="V201" s="149"/>
      <c r="W201" s="149"/>
      <c r="X201" s="149"/>
      <c r="Y201" s="149"/>
      <c r="Z201" s="325">
        <f>Z193+1</f>
        <v>19</v>
      </c>
    </row>
    <row r="202" spans="11:26" ht="18" customHeight="1">
      <c r="K202" s="171" t="s">
        <v>702</v>
      </c>
      <c r="L202" s="171"/>
      <c r="M202" s="171"/>
      <c r="N202" s="140" t="s">
        <v>43</v>
      </c>
      <c r="O202" s="172">
        <v>3</v>
      </c>
      <c r="P202" s="534">
        <f ca="1">OFFSET($A$1,MATCH(Z201,$A:$A,0)-1,O202)</f>
        <v>1</v>
      </c>
      <c r="Q202" s="141" t="s">
        <v>29</v>
      </c>
      <c r="R202" s="142">
        <f t="shared" ref="R202:S207" ca="1" si="55">T202</f>
        <v>467217</v>
      </c>
      <c r="S202" s="142">
        <f t="shared" ca="1" si="55"/>
        <v>467217</v>
      </c>
      <c r="T202" s="142">
        <f ca="1">기술사</f>
        <v>467217</v>
      </c>
      <c r="U202" s="142">
        <f t="shared" ref="U202:U207" ca="1" si="56">ROUNDDOWN(P202*R202,0)</f>
        <v>467217</v>
      </c>
      <c r="V202" s="142"/>
      <c r="W202" s="142"/>
      <c r="X202" s="142"/>
      <c r="Y202" s="142"/>
      <c r="Z202" s="114"/>
    </row>
    <row r="203" spans="11:26" ht="18" customHeight="1">
      <c r="K203" s="171" t="s">
        <v>699</v>
      </c>
      <c r="L203" s="171"/>
      <c r="M203" s="171"/>
      <c r="N203" s="143" t="s">
        <v>32</v>
      </c>
      <c r="O203" s="173">
        <v>4</v>
      </c>
      <c r="P203" s="234">
        <f ca="1">OFFSET($A$1,MATCH(Z201,$A:$A,0)-1,O203)</f>
        <v>2</v>
      </c>
      <c r="Q203" s="144" t="s">
        <v>29</v>
      </c>
      <c r="R203" s="118">
        <f t="shared" ca="1" si="55"/>
        <v>373353</v>
      </c>
      <c r="S203" s="118">
        <f t="shared" ca="1" si="55"/>
        <v>746706</v>
      </c>
      <c r="T203" s="118">
        <f ca="1">특급</f>
        <v>373353</v>
      </c>
      <c r="U203" s="118">
        <f t="shared" ca="1" si="56"/>
        <v>746706</v>
      </c>
      <c r="V203" s="118"/>
      <c r="W203" s="118"/>
      <c r="X203" s="118"/>
      <c r="Y203" s="118"/>
      <c r="Z203" s="115"/>
    </row>
    <row r="204" spans="11:26" ht="18" customHeight="1">
      <c r="K204" s="171" t="s">
        <v>699</v>
      </c>
      <c r="L204" s="171"/>
      <c r="M204" s="171"/>
      <c r="N204" s="145" t="s">
        <v>39</v>
      </c>
      <c r="O204" s="173">
        <v>5</v>
      </c>
      <c r="P204" s="234">
        <f ca="1">OFFSET($A$1,MATCH(Z201,$A:$A,0)-1,O204)</f>
        <v>3</v>
      </c>
      <c r="Q204" s="144" t="s">
        <v>29</v>
      </c>
      <c r="R204" s="118">
        <f t="shared" ca="1" si="55"/>
        <v>310884</v>
      </c>
      <c r="S204" s="118">
        <f t="shared" ca="1" si="55"/>
        <v>932652</v>
      </c>
      <c r="T204" s="118">
        <f ca="1">고급</f>
        <v>310884</v>
      </c>
      <c r="U204" s="118">
        <f t="shared" ca="1" si="56"/>
        <v>932652</v>
      </c>
      <c r="V204" s="118"/>
      <c r="W204" s="118"/>
      <c r="X204" s="118"/>
      <c r="Y204" s="118"/>
      <c r="Z204" s="115"/>
    </row>
    <row r="205" spans="11:26" ht="18" customHeight="1">
      <c r="K205" s="171" t="s">
        <v>699</v>
      </c>
      <c r="L205" s="171"/>
      <c r="M205" s="171"/>
      <c r="N205" s="145" t="s">
        <v>40</v>
      </c>
      <c r="O205" s="173">
        <v>6</v>
      </c>
      <c r="P205" s="234">
        <f ca="1">OFFSET($A$1,MATCH(Z201,$A:$A,0)-1,O205)</f>
        <v>2</v>
      </c>
      <c r="Q205" s="144" t="s">
        <v>29</v>
      </c>
      <c r="R205" s="118">
        <f t="shared" ca="1" si="55"/>
        <v>295138</v>
      </c>
      <c r="S205" s="118">
        <f t="shared" ca="1" si="55"/>
        <v>590276</v>
      </c>
      <c r="T205" s="118">
        <f ca="1">중급</f>
        <v>295138</v>
      </c>
      <c r="U205" s="118">
        <f t="shared" ca="1" si="56"/>
        <v>590276</v>
      </c>
      <c r="V205" s="118"/>
      <c r="W205" s="118"/>
      <c r="X205" s="118"/>
      <c r="Y205" s="118"/>
      <c r="Z205" s="115"/>
    </row>
    <row r="206" spans="11:26" ht="18" customHeight="1">
      <c r="K206" s="171" t="s">
        <v>702</v>
      </c>
      <c r="L206" s="171"/>
      <c r="M206" s="171"/>
      <c r="N206" s="145" t="s">
        <v>41</v>
      </c>
      <c r="O206" s="173">
        <v>7</v>
      </c>
      <c r="P206" s="234">
        <f ca="1">OFFSET($A$1,MATCH(Z201,$A:$A,0)-1,O206)</f>
        <v>1</v>
      </c>
      <c r="Q206" s="144" t="s">
        <v>29</v>
      </c>
      <c r="R206" s="118">
        <f t="shared" ca="1" si="55"/>
        <v>235459</v>
      </c>
      <c r="S206" s="118">
        <f t="shared" ca="1" si="55"/>
        <v>235459</v>
      </c>
      <c r="T206" s="118">
        <f ca="1">초급</f>
        <v>235459</v>
      </c>
      <c r="U206" s="118">
        <f t="shared" ca="1" si="56"/>
        <v>235459</v>
      </c>
      <c r="V206" s="118"/>
      <c r="W206" s="118"/>
      <c r="X206" s="118"/>
      <c r="Y206" s="118"/>
      <c r="Z206" s="115"/>
    </row>
    <row r="207" spans="11:26" ht="18" customHeight="1">
      <c r="K207" s="171" t="s">
        <v>699</v>
      </c>
      <c r="L207" s="171"/>
      <c r="M207" s="171"/>
      <c r="N207" s="319" t="s">
        <v>42</v>
      </c>
      <c r="O207" s="174">
        <v>8</v>
      </c>
      <c r="P207" s="235">
        <f ca="1">OFFSET($A$1,MATCH(Z201,$A:$A,0)-1,O207)</f>
        <v>0</v>
      </c>
      <c r="Q207" s="322" t="s">
        <v>29</v>
      </c>
      <c r="R207" s="323">
        <f t="shared" ca="1" si="55"/>
        <v>250087</v>
      </c>
      <c r="S207" s="323">
        <f t="shared" ca="1" si="55"/>
        <v>0</v>
      </c>
      <c r="T207" s="323">
        <f ca="1">보조원</f>
        <v>250087</v>
      </c>
      <c r="U207" s="323">
        <f t="shared" ca="1" si="56"/>
        <v>0</v>
      </c>
      <c r="V207" s="323"/>
      <c r="W207" s="323"/>
      <c r="X207" s="323"/>
      <c r="Y207" s="323"/>
      <c r="Z207" s="324"/>
    </row>
    <row r="208" spans="11:26" ht="18" customHeight="1">
      <c r="K208" s="171" t="s">
        <v>702</v>
      </c>
      <c r="L208" s="171"/>
      <c r="M208" s="171"/>
      <c r="N208" s="139" t="s">
        <v>700</v>
      </c>
      <c r="O208" s="68"/>
      <c r="P208" s="69"/>
      <c r="Q208" s="70"/>
      <c r="R208" s="71"/>
      <c r="S208" s="71">
        <f ca="1">SUBTOTAL(9,S202:S207)</f>
        <v>2972310</v>
      </c>
      <c r="T208" s="71"/>
      <c r="U208" s="71">
        <f ca="1">SUBTOTAL(9,U202:U207)</f>
        <v>2972310</v>
      </c>
      <c r="V208" s="71"/>
      <c r="W208" s="71"/>
      <c r="X208" s="71"/>
      <c r="Y208" s="71"/>
      <c r="Z208" s="68"/>
    </row>
    <row r="209" spans="11:28" ht="18" customHeight="1">
      <c r="K209" s="171" t="s">
        <v>702</v>
      </c>
      <c r="L209" s="171"/>
      <c r="M209" s="171"/>
      <c r="N209" s="532" t="str">
        <f ca="1">"제 " &amp; Z209 &amp; " 호표  "&amp; OFFSET($A$1,MATCH(Z209,$A:$A,0)-1,1)</f>
        <v>제 20 호표  7-3. 시민 요구사항 반영여부 점검</v>
      </c>
      <c r="O209" s="533"/>
      <c r="P209" s="148"/>
      <c r="Q209" s="148"/>
      <c r="R209" s="149"/>
      <c r="S209" s="149"/>
      <c r="T209" s="149"/>
      <c r="U209" s="149"/>
      <c r="V209" s="149"/>
      <c r="W209" s="149"/>
      <c r="X209" s="149"/>
      <c r="Y209" s="149"/>
      <c r="Z209" s="325">
        <f>Z201+1</f>
        <v>20</v>
      </c>
    </row>
    <row r="210" spans="11:28" ht="18" customHeight="1">
      <c r="K210" s="171" t="s">
        <v>699</v>
      </c>
      <c r="L210" s="171"/>
      <c r="M210" s="171"/>
      <c r="N210" s="140" t="s">
        <v>43</v>
      </c>
      <c r="O210" s="172">
        <v>3</v>
      </c>
      <c r="P210" s="534">
        <f ca="1">OFFSET($A$1,MATCH(Z209,$A:$A,0)-1,O210)</f>
        <v>1</v>
      </c>
      <c r="Q210" s="141" t="s">
        <v>29</v>
      </c>
      <c r="R210" s="142">
        <f t="shared" ref="R210:S215" ca="1" si="57">T210</f>
        <v>467217</v>
      </c>
      <c r="S210" s="142">
        <f t="shared" ca="1" si="57"/>
        <v>467217</v>
      </c>
      <c r="T210" s="142">
        <f ca="1">기술사</f>
        <v>467217</v>
      </c>
      <c r="U210" s="142">
        <f t="shared" ref="U210:U215" ca="1" si="58">ROUNDDOWN(P210*R210,0)</f>
        <v>467217</v>
      </c>
      <c r="V210" s="142"/>
      <c r="W210" s="142"/>
      <c r="X210" s="142"/>
      <c r="Y210" s="142"/>
      <c r="Z210" s="114"/>
    </row>
    <row r="211" spans="11:28" ht="18" customHeight="1">
      <c r="K211" s="171" t="s">
        <v>702</v>
      </c>
      <c r="L211" s="171"/>
      <c r="M211" s="171"/>
      <c r="N211" s="143" t="s">
        <v>32</v>
      </c>
      <c r="O211" s="173">
        <v>4</v>
      </c>
      <c r="P211" s="234">
        <f ca="1">OFFSET($A$1,MATCH(Z209,$A:$A,0)-1,O211)</f>
        <v>2</v>
      </c>
      <c r="Q211" s="144" t="s">
        <v>29</v>
      </c>
      <c r="R211" s="118">
        <f t="shared" ca="1" si="57"/>
        <v>373353</v>
      </c>
      <c r="S211" s="118">
        <f t="shared" ca="1" si="57"/>
        <v>746706</v>
      </c>
      <c r="T211" s="118">
        <f ca="1">특급</f>
        <v>373353</v>
      </c>
      <c r="U211" s="118">
        <f t="shared" ca="1" si="58"/>
        <v>746706</v>
      </c>
      <c r="V211" s="118"/>
      <c r="W211" s="118"/>
      <c r="X211" s="118"/>
      <c r="Y211" s="118"/>
      <c r="Z211" s="115"/>
    </row>
    <row r="212" spans="11:28" ht="18" customHeight="1">
      <c r="K212" s="171" t="s">
        <v>702</v>
      </c>
      <c r="L212" s="171"/>
      <c r="M212" s="171"/>
      <c r="N212" s="145" t="s">
        <v>39</v>
      </c>
      <c r="O212" s="173">
        <v>5</v>
      </c>
      <c r="P212" s="234">
        <f ca="1">OFFSET($A$1,MATCH(Z209,$A:$A,0)-1,O212)</f>
        <v>3</v>
      </c>
      <c r="Q212" s="144" t="s">
        <v>29</v>
      </c>
      <c r="R212" s="118">
        <f t="shared" ca="1" si="57"/>
        <v>310884</v>
      </c>
      <c r="S212" s="118">
        <f t="shared" ca="1" si="57"/>
        <v>932652</v>
      </c>
      <c r="T212" s="118">
        <f ca="1">고급</f>
        <v>310884</v>
      </c>
      <c r="U212" s="118">
        <f t="shared" ca="1" si="58"/>
        <v>932652</v>
      </c>
      <c r="V212" s="118"/>
      <c r="W212" s="118"/>
      <c r="X212" s="118"/>
      <c r="Y212" s="118"/>
      <c r="Z212" s="115"/>
    </row>
    <row r="213" spans="11:28" ht="18" customHeight="1">
      <c r="K213" s="171" t="s">
        <v>699</v>
      </c>
      <c r="L213" s="171"/>
      <c r="M213" s="171"/>
      <c r="N213" s="145" t="s">
        <v>40</v>
      </c>
      <c r="O213" s="173">
        <v>6</v>
      </c>
      <c r="P213" s="234">
        <f ca="1">OFFSET($A$1,MATCH(Z209,$A:$A,0)-1,O213)</f>
        <v>2</v>
      </c>
      <c r="Q213" s="144" t="s">
        <v>29</v>
      </c>
      <c r="R213" s="118">
        <f t="shared" ca="1" si="57"/>
        <v>295138</v>
      </c>
      <c r="S213" s="118">
        <f t="shared" ca="1" si="57"/>
        <v>590276</v>
      </c>
      <c r="T213" s="118">
        <f ca="1">중급</f>
        <v>295138</v>
      </c>
      <c r="U213" s="118">
        <f t="shared" ca="1" si="58"/>
        <v>590276</v>
      </c>
      <c r="V213" s="118"/>
      <c r="W213" s="118"/>
      <c r="X213" s="118"/>
      <c r="Y213" s="118"/>
      <c r="Z213" s="115"/>
    </row>
    <row r="214" spans="11:28" ht="18" customHeight="1">
      <c r="K214" s="171" t="s">
        <v>702</v>
      </c>
      <c r="L214" s="171"/>
      <c r="M214" s="171"/>
      <c r="N214" s="145" t="s">
        <v>41</v>
      </c>
      <c r="O214" s="173">
        <v>7</v>
      </c>
      <c r="P214" s="234">
        <f ca="1">OFFSET($A$1,MATCH(Z209,$A:$A,0)-1,O214)</f>
        <v>1</v>
      </c>
      <c r="Q214" s="144" t="s">
        <v>29</v>
      </c>
      <c r="R214" s="118">
        <f t="shared" ca="1" si="57"/>
        <v>235459</v>
      </c>
      <c r="S214" s="118">
        <f t="shared" ca="1" si="57"/>
        <v>235459</v>
      </c>
      <c r="T214" s="118">
        <f ca="1">초급</f>
        <v>235459</v>
      </c>
      <c r="U214" s="118">
        <f t="shared" ca="1" si="58"/>
        <v>235459</v>
      </c>
      <c r="V214" s="118"/>
      <c r="W214" s="118"/>
      <c r="X214" s="118"/>
      <c r="Y214" s="118"/>
      <c r="Z214" s="115"/>
    </row>
    <row r="215" spans="11:28" ht="18" customHeight="1">
      <c r="K215" s="171" t="s">
        <v>702</v>
      </c>
      <c r="L215" s="171"/>
      <c r="M215" s="171"/>
      <c r="N215" s="319" t="s">
        <v>42</v>
      </c>
      <c r="O215" s="174">
        <v>8</v>
      </c>
      <c r="P215" s="235">
        <f ca="1">OFFSET($A$1,MATCH(Z209,$A:$A,0)-1,O215)</f>
        <v>0</v>
      </c>
      <c r="Q215" s="322" t="s">
        <v>29</v>
      </c>
      <c r="R215" s="323">
        <f t="shared" ca="1" si="57"/>
        <v>250087</v>
      </c>
      <c r="S215" s="323">
        <f t="shared" ca="1" si="57"/>
        <v>0</v>
      </c>
      <c r="T215" s="323">
        <f ca="1">보조원</f>
        <v>250087</v>
      </c>
      <c r="U215" s="323">
        <f t="shared" ca="1" si="58"/>
        <v>0</v>
      </c>
      <c r="V215" s="323"/>
      <c r="W215" s="323"/>
      <c r="X215" s="323"/>
      <c r="Y215" s="323"/>
      <c r="Z215" s="324"/>
    </row>
    <row r="216" spans="11:28" ht="18" customHeight="1">
      <c r="K216" s="171" t="s">
        <v>702</v>
      </c>
      <c r="L216" s="171"/>
      <c r="M216" s="171"/>
      <c r="N216" s="139" t="s">
        <v>700</v>
      </c>
      <c r="O216" s="68"/>
      <c r="P216" s="69"/>
      <c r="Q216" s="70"/>
      <c r="R216" s="71"/>
      <c r="S216" s="71">
        <f ca="1">SUBTOTAL(9,S210:S215)</f>
        <v>2972310</v>
      </c>
      <c r="T216" s="71"/>
      <c r="U216" s="71">
        <f ca="1">SUBTOTAL(9,U210:U215)</f>
        <v>2972310</v>
      </c>
      <c r="V216" s="71"/>
      <c r="W216" s="71"/>
      <c r="X216" s="71"/>
      <c r="Y216" s="71"/>
      <c r="Z216" s="68"/>
    </row>
    <row r="217" spans="11:28" ht="18" customHeight="1">
      <c r="K217" s="171" t="s">
        <v>702</v>
      </c>
      <c r="L217" s="171"/>
      <c r="M217" s="171"/>
      <c r="N217" s="532" t="str">
        <f ca="1">"제 " &amp; Z217 &amp; " 호표  "&amp; OFFSET($A$1,MATCH(Z217,$A:$A,0)-1,1)</f>
        <v>제 21 호표  8-1. 리빙랩 성과 점검</v>
      </c>
      <c r="O217" s="533"/>
      <c r="P217" s="148"/>
      <c r="Q217" s="148"/>
      <c r="R217" s="149"/>
      <c r="S217" s="149"/>
      <c r="T217" s="149"/>
      <c r="U217" s="149"/>
      <c r="V217" s="149"/>
      <c r="W217" s="149"/>
      <c r="X217" s="149"/>
      <c r="Y217" s="149"/>
      <c r="Z217" s="325">
        <f>Z209+1</f>
        <v>21</v>
      </c>
    </row>
    <row r="218" spans="11:28" ht="18" customHeight="1">
      <c r="K218" s="171" t="s">
        <v>699</v>
      </c>
      <c r="L218" s="171"/>
      <c r="M218" s="171"/>
      <c r="N218" s="140" t="s">
        <v>43</v>
      </c>
      <c r="O218" s="172">
        <v>3</v>
      </c>
      <c r="P218" s="534">
        <f ca="1">OFFSET($A$1,MATCH(Z217,$A:$A,0)-1,O218)</f>
        <v>1</v>
      </c>
      <c r="Q218" s="141" t="s">
        <v>29</v>
      </c>
      <c r="R218" s="142">
        <f t="shared" ref="R218:S223" ca="1" si="59">T218</f>
        <v>467217</v>
      </c>
      <c r="S218" s="142">
        <f t="shared" ca="1" si="59"/>
        <v>467217</v>
      </c>
      <c r="T218" s="142">
        <f ca="1">기술사</f>
        <v>467217</v>
      </c>
      <c r="U218" s="142">
        <f t="shared" ref="U218:U223" ca="1" si="60">ROUNDDOWN(P218*R218,0)</f>
        <v>467217</v>
      </c>
      <c r="V218" s="142"/>
      <c r="W218" s="142"/>
      <c r="X218" s="142"/>
      <c r="Y218" s="142"/>
      <c r="Z218" s="114"/>
    </row>
    <row r="219" spans="11:28" ht="18" customHeight="1">
      <c r="K219" s="171" t="s">
        <v>702</v>
      </c>
      <c r="L219" s="171"/>
      <c r="M219" s="171"/>
      <c r="N219" s="143" t="s">
        <v>32</v>
      </c>
      <c r="O219" s="173">
        <v>4</v>
      </c>
      <c r="P219" s="234">
        <f ca="1">OFFSET($A$1,MATCH(Z217,$A:$A,0)-1,O219)</f>
        <v>2</v>
      </c>
      <c r="Q219" s="144" t="s">
        <v>29</v>
      </c>
      <c r="R219" s="118">
        <f t="shared" ca="1" si="59"/>
        <v>373353</v>
      </c>
      <c r="S219" s="118">
        <f t="shared" ca="1" si="59"/>
        <v>746706</v>
      </c>
      <c r="T219" s="118">
        <f ca="1">특급</f>
        <v>373353</v>
      </c>
      <c r="U219" s="118">
        <f t="shared" ca="1" si="60"/>
        <v>746706</v>
      </c>
      <c r="V219" s="118"/>
      <c r="W219" s="118"/>
      <c r="X219" s="118"/>
      <c r="Y219" s="118"/>
      <c r="Z219" s="115"/>
    </row>
    <row r="220" spans="11:28" ht="18" customHeight="1">
      <c r="K220" s="171" t="s">
        <v>702</v>
      </c>
      <c r="L220" s="171"/>
      <c r="M220" s="171"/>
      <c r="N220" s="145" t="s">
        <v>39</v>
      </c>
      <c r="O220" s="173">
        <v>5</v>
      </c>
      <c r="P220" s="234">
        <f ca="1">OFFSET($A$1,MATCH(Z217,$A:$A,0)-1,O220)</f>
        <v>3</v>
      </c>
      <c r="Q220" s="144" t="s">
        <v>29</v>
      </c>
      <c r="R220" s="118">
        <f t="shared" ca="1" si="59"/>
        <v>310884</v>
      </c>
      <c r="S220" s="118">
        <f t="shared" ca="1" si="59"/>
        <v>932652</v>
      </c>
      <c r="T220" s="118">
        <f ca="1">고급</f>
        <v>310884</v>
      </c>
      <c r="U220" s="118">
        <f t="shared" ca="1" si="60"/>
        <v>932652</v>
      </c>
      <c r="V220" s="118"/>
      <c r="W220" s="118"/>
      <c r="X220" s="118"/>
      <c r="Y220" s="118"/>
      <c r="Z220" s="115"/>
    </row>
    <row r="221" spans="11:28" ht="18" customHeight="1">
      <c r="K221" s="171" t="s">
        <v>699</v>
      </c>
      <c r="L221" s="171"/>
      <c r="M221" s="171"/>
      <c r="N221" s="145" t="s">
        <v>40</v>
      </c>
      <c r="O221" s="173">
        <v>6</v>
      </c>
      <c r="P221" s="234">
        <f ca="1">OFFSET($A$1,MATCH(Z217,$A:$A,0)-1,O221)</f>
        <v>2</v>
      </c>
      <c r="Q221" s="144" t="s">
        <v>29</v>
      </c>
      <c r="R221" s="118">
        <f t="shared" ca="1" si="59"/>
        <v>295138</v>
      </c>
      <c r="S221" s="118">
        <f t="shared" ca="1" si="59"/>
        <v>590276</v>
      </c>
      <c r="T221" s="118">
        <f ca="1">중급</f>
        <v>295138</v>
      </c>
      <c r="U221" s="118">
        <f t="shared" ca="1" si="60"/>
        <v>590276</v>
      </c>
      <c r="V221" s="118"/>
      <c r="W221" s="118"/>
      <c r="X221" s="118"/>
      <c r="Y221" s="118"/>
      <c r="Z221" s="115"/>
      <c r="AB221" s="171"/>
    </row>
    <row r="222" spans="11:28" ht="18" customHeight="1">
      <c r="K222" s="171" t="s">
        <v>14</v>
      </c>
      <c r="L222" s="171"/>
      <c r="M222" s="171"/>
      <c r="N222" s="145" t="s">
        <v>41</v>
      </c>
      <c r="O222" s="173">
        <v>7</v>
      </c>
      <c r="P222" s="234">
        <f ca="1">OFFSET($A$1,MATCH(Z217,$A:$A,0)-1,O222)</f>
        <v>1</v>
      </c>
      <c r="Q222" s="144" t="s">
        <v>29</v>
      </c>
      <c r="R222" s="118">
        <f t="shared" ca="1" si="59"/>
        <v>235459</v>
      </c>
      <c r="S222" s="118">
        <f t="shared" ca="1" si="59"/>
        <v>235459</v>
      </c>
      <c r="T222" s="118">
        <f ca="1">초급</f>
        <v>235459</v>
      </c>
      <c r="U222" s="118">
        <f t="shared" ca="1" si="60"/>
        <v>235459</v>
      </c>
      <c r="V222" s="118"/>
      <c r="W222" s="118"/>
      <c r="X222" s="118"/>
      <c r="Y222" s="118"/>
      <c r="Z222" s="115"/>
    </row>
    <row r="223" spans="11:28" ht="18" customHeight="1">
      <c r="K223" s="171" t="s">
        <v>14</v>
      </c>
      <c r="L223" s="171"/>
      <c r="M223" s="171"/>
      <c r="N223" s="319" t="s">
        <v>42</v>
      </c>
      <c r="O223" s="174">
        <v>8</v>
      </c>
      <c r="P223" s="235">
        <f ca="1">OFFSET($A$1,MATCH(Z217,$A:$A,0)-1,O223)</f>
        <v>0</v>
      </c>
      <c r="Q223" s="322" t="s">
        <v>29</v>
      </c>
      <c r="R223" s="323">
        <f t="shared" ca="1" si="59"/>
        <v>250087</v>
      </c>
      <c r="S223" s="323">
        <f t="shared" ca="1" si="59"/>
        <v>0</v>
      </c>
      <c r="T223" s="323">
        <f ca="1">보조원</f>
        <v>250087</v>
      </c>
      <c r="U223" s="323">
        <f t="shared" ca="1" si="60"/>
        <v>0</v>
      </c>
      <c r="V223" s="323"/>
      <c r="W223" s="323"/>
      <c r="X223" s="323"/>
      <c r="Y223" s="323"/>
      <c r="Z223" s="324"/>
    </row>
    <row r="224" spans="11:28" ht="18" customHeight="1">
      <c r="K224" s="171" t="s">
        <v>702</v>
      </c>
      <c r="L224" s="171"/>
      <c r="M224" s="171"/>
      <c r="N224" s="139" t="s">
        <v>700</v>
      </c>
      <c r="O224" s="68"/>
      <c r="P224" s="69"/>
      <c r="Q224" s="70"/>
      <c r="R224" s="71"/>
      <c r="S224" s="71">
        <f ca="1">SUBTOTAL(9,S218:S223)</f>
        <v>2972310</v>
      </c>
      <c r="T224" s="71"/>
      <c r="U224" s="71">
        <f ca="1">SUBTOTAL(9,U218:U223)</f>
        <v>2972310</v>
      </c>
      <c r="V224" s="71"/>
      <c r="W224" s="71"/>
      <c r="X224" s="71"/>
      <c r="Y224" s="71"/>
      <c r="Z224" s="68"/>
    </row>
    <row r="225" spans="11:28" ht="18" customHeight="1">
      <c r="K225" s="171" t="s">
        <v>699</v>
      </c>
      <c r="L225" s="171"/>
      <c r="M225" s="171"/>
      <c r="N225" s="532" t="str">
        <f ca="1">"제 " &amp; Z225 &amp; " 호표  "&amp; OFFSET($A$1,MATCH(Z225,$A:$A,0)-1,1)</f>
        <v>제 22 호표  8-2. 리빙랩 확산 방안 도출</v>
      </c>
      <c r="O225" s="533"/>
      <c r="P225" s="148"/>
      <c r="Q225" s="148"/>
      <c r="R225" s="149"/>
      <c r="S225" s="149"/>
      <c r="T225" s="149"/>
      <c r="U225" s="149"/>
      <c r="V225" s="149"/>
      <c r="W225" s="149"/>
      <c r="X225" s="149"/>
      <c r="Y225" s="149"/>
      <c r="Z225" s="325">
        <f>Z217+1</f>
        <v>22</v>
      </c>
    </row>
    <row r="226" spans="11:28" ht="18" customHeight="1">
      <c r="K226" s="171" t="s">
        <v>699</v>
      </c>
      <c r="L226" s="171"/>
      <c r="M226" s="171"/>
      <c r="N226" s="140" t="s">
        <v>43</v>
      </c>
      <c r="O226" s="172">
        <v>3</v>
      </c>
      <c r="P226" s="534">
        <f ca="1">OFFSET($A$1,MATCH(Z225,$A:$A,0)-1,O226)</f>
        <v>1</v>
      </c>
      <c r="Q226" s="141" t="s">
        <v>29</v>
      </c>
      <c r="R226" s="142">
        <f t="shared" ref="R226:S231" ca="1" si="61">T226</f>
        <v>467217</v>
      </c>
      <c r="S226" s="142">
        <f t="shared" ca="1" si="61"/>
        <v>467217</v>
      </c>
      <c r="T226" s="142">
        <f ca="1">기술사</f>
        <v>467217</v>
      </c>
      <c r="U226" s="142">
        <f t="shared" ref="U226:U231" ca="1" si="62">ROUNDDOWN(P226*R226,0)</f>
        <v>467217</v>
      </c>
      <c r="V226" s="142"/>
      <c r="W226" s="142"/>
      <c r="X226" s="142"/>
      <c r="Y226" s="142"/>
      <c r="Z226" s="114"/>
    </row>
    <row r="227" spans="11:28" ht="18" customHeight="1">
      <c r="K227" s="171" t="s">
        <v>14</v>
      </c>
      <c r="L227" s="171"/>
      <c r="M227" s="171"/>
      <c r="N227" s="143" t="s">
        <v>32</v>
      </c>
      <c r="O227" s="173">
        <v>4</v>
      </c>
      <c r="P227" s="234">
        <f ca="1">OFFSET($A$1,MATCH(Z225,$A:$A,0)-1,O227)</f>
        <v>2</v>
      </c>
      <c r="Q227" s="144" t="s">
        <v>29</v>
      </c>
      <c r="R227" s="118">
        <f t="shared" ca="1" si="61"/>
        <v>373353</v>
      </c>
      <c r="S227" s="118">
        <f t="shared" ca="1" si="61"/>
        <v>746706</v>
      </c>
      <c r="T227" s="118">
        <f ca="1">특급</f>
        <v>373353</v>
      </c>
      <c r="U227" s="118">
        <f t="shared" ca="1" si="62"/>
        <v>746706</v>
      </c>
      <c r="V227" s="118"/>
      <c r="W227" s="118"/>
      <c r="X227" s="118"/>
      <c r="Y227" s="118"/>
      <c r="Z227" s="115"/>
    </row>
    <row r="228" spans="11:28" ht="18" customHeight="1">
      <c r="K228" s="171" t="s">
        <v>699</v>
      </c>
      <c r="L228" s="171"/>
      <c r="M228" s="171"/>
      <c r="N228" s="145" t="s">
        <v>39</v>
      </c>
      <c r="O228" s="173">
        <v>5</v>
      </c>
      <c r="P228" s="234">
        <f ca="1">OFFSET($A$1,MATCH(Z225,$A:$A,0)-1,O228)</f>
        <v>3</v>
      </c>
      <c r="Q228" s="144" t="s">
        <v>29</v>
      </c>
      <c r="R228" s="118">
        <f t="shared" ca="1" si="61"/>
        <v>310884</v>
      </c>
      <c r="S228" s="118">
        <f t="shared" ca="1" si="61"/>
        <v>932652</v>
      </c>
      <c r="T228" s="118">
        <f ca="1">고급</f>
        <v>310884</v>
      </c>
      <c r="U228" s="118">
        <f t="shared" ca="1" si="62"/>
        <v>932652</v>
      </c>
      <c r="V228" s="118"/>
      <c r="W228" s="118"/>
      <c r="X228" s="118"/>
      <c r="Y228" s="118"/>
      <c r="Z228" s="115"/>
    </row>
    <row r="229" spans="11:28" ht="18" customHeight="1">
      <c r="K229" s="171" t="s">
        <v>699</v>
      </c>
      <c r="L229" s="171"/>
      <c r="M229" s="171"/>
      <c r="N229" s="145" t="s">
        <v>40</v>
      </c>
      <c r="O229" s="173">
        <v>6</v>
      </c>
      <c r="P229" s="234">
        <f ca="1">OFFSET($A$1,MATCH(Z225,$A:$A,0)-1,O229)</f>
        <v>2</v>
      </c>
      <c r="Q229" s="144" t="s">
        <v>29</v>
      </c>
      <c r="R229" s="118">
        <f t="shared" ca="1" si="61"/>
        <v>295138</v>
      </c>
      <c r="S229" s="118">
        <f t="shared" ca="1" si="61"/>
        <v>590276</v>
      </c>
      <c r="T229" s="118">
        <f ca="1">중급</f>
        <v>295138</v>
      </c>
      <c r="U229" s="118">
        <f t="shared" ca="1" si="62"/>
        <v>590276</v>
      </c>
      <c r="V229" s="118"/>
      <c r="W229" s="118"/>
      <c r="X229" s="118"/>
      <c r="Y229" s="118"/>
      <c r="Z229" s="115"/>
    </row>
    <row r="230" spans="11:28" ht="18" customHeight="1">
      <c r="K230" s="171" t="s">
        <v>14</v>
      </c>
      <c r="L230" s="171"/>
      <c r="M230" s="171"/>
      <c r="N230" s="145" t="s">
        <v>41</v>
      </c>
      <c r="O230" s="173">
        <v>7</v>
      </c>
      <c r="P230" s="234">
        <f ca="1">OFFSET($A$1,MATCH(Z225,$A:$A,0)-1,O230)</f>
        <v>1</v>
      </c>
      <c r="Q230" s="144" t="s">
        <v>29</v>
      </c>
      <c r="R230" s="118">
        <f t="shared" ca="1" si="61"/>
        <v>235459</v>
      </c>
      <c r="S230" s="118">
        <f t="shared" ca="1" si="61"/>
        <v>235459</v>
      </c>
      <c r="T230" s="118">
        <f ca="1">초급</f>
        <v>235459</v>
      </c>
      <c r="U230" s="118">
        <f t="shared" ca="1" si="62"/>
        <v>235459</v>
      </c>
      <c r="V230" s="118"/>
      <c r="W230" s="118"/>
      <c r="X230" s="118"/>
      <c r="Y230" s="118"/>
      <c r="Z230" s="115"/>
    </row>
    <row r="231" spans="11:28" ht="18" customHeight="1">
      <c r="K231" s="171" t="s">
        <v>14</v>
      </c>
      <c r="L231" s="171"/>
      <c r="M231" s="171"/>
      <c r="N231" s="319" t="s">
        <v>42</v>
      </c>
      <c r="O231" s="174">
        <v>8</v>
      </c>
      <c r="P231" s="235">
        <f ca="1">OFFSET($A$1,MATCH(Z225,$A:$A,0)-1,O231)</f>
        <v>0</v>
      </c>
      <c r="Q231" s="322" t="s">
        <v>29</v>
      </c>
      <c r="R231" s="323">
        <f t="shared" ca="1" si="61"/>
        <v>250087</v>
      </c>
      <c r="S231" s="323">
        <f t="shared" ca="1" si="61"/>
        <v>0</v>
      </c>
      <c r="T231" s="323">
        <f ca="1">보조원</f>
        <v>250087</v>
      </c>
      <c r="U231" s="323">
        <f t="shared" ca="1" si="62"/>
        <v>0</v>
      </c>
      <c r="V231" s="323"/>
      <c r="W231" s="323"/>
      <c r="X231" s="323"/>
      <c r="Y231" s="323"/>
      <c r="Z231" s="324"/>
    </row>
    <row r="232" spans="11:28" ht="18" customHeight="1">
      <c r="K232" s="171" t="s">
        <v>699</v>
      </c>
      <c r="L232" s="171"/>
      <c r="M232" s="171"/>
      <c r="N232" s="139" t="s">
        <v>17</v>
      </c>
      <c r="O232" s="68"/>
      <c r="P232" s="69"/>
      <c r="Q232" s="70"/>
      <c r="R232" s="71"/>
      <c r="S232" s="71">
        <f ca="1">SUBTOTAL(9,S226:S231)</f>
        <v>2972310</v>
      </c>
      <c r="T232" s="71"/>
      <c r="U232" s="71">
        <f ca="1">SUBTOTAL(9,U226:U231)</f>
        <v>2972310</v>
      </c>
      <c r="V232" s="71"/>
      <c r="W232" s="71"/>
      <c r="X232" s="71"/>
      <c r="Y232" s="71"/>
      <c r="Z232" s="68"/>
    </row>
    <row r="233" spans="11:28" ht="18" customHeight="1">
      <c r="K233" s="171" t="s">
        <v>702</v>
      </c>
      <c r="L233" s="171"/>
      <c r="M233" s="171"/>
      <c r="P233" s="236"/>
    </row>
    <row r="234" spans="11:28" ht="18" customHeight="1">
      <c r="K234" s="171" t="s">
        <v>702</v>
      </c>
      <c r="L234" s="171"/>
      <c r="M234" s="171"/>
      <c r="P234" s="236"/>
      <c r="AB234" s="171"/>
    </row>
    <row r="235" spans="11:28" ht="18" customHeight="1">
      <c r="K235" s="171" t="s">
        <v>699</v>
      </c>
      <c r="L235" s="171"/>
      <c r="M235" s="171"/>
      <c r="P235" s="236"/>
      <c r="AB235" s="171"/>
    </row>
    <row r="236" spans="11:28" ht="18" customHeight="1">
      <c r="K236" s="171" t="s">
        <v>699</v>
      </c>
      <c r="L236" s="171"/>
      <c r="M236" s="171"/>
      <c r="P236" s="236"/>
      <c r="AB236" s="171"/>
    </row>
    <row r="237" spans="11:28" ht="18" customHeight="1">
      <c r="K237" s="171" t="s">
        <v>699</v>
      </c>
      <c r="L237" s="171"/>
      <c r="M237" s="171"/>
      <c r="P237" s="236"/>
      <c r="AB237" s="171"/>
    </row>
    <row r="238" spans="11:28" ht="18" customHeight="1">
      <c r="K238" s="171" t="s">
        <v>699</v>
      </c>
      <c r="L238" s="171"/>
      <c r="M238" s="171"/>
      <c r="P238" s="236"/>
      <c r="AB238" s="171"/>
    </row>
    <row r="239" spans="11:28" ht="18" customHeight="1">
      <c r="K239" s="171" t="s">
        <v>699</v>
      </c>
      <c r="L239" s="171"/>
      <c r="M239" s="171"/>
      <c r="P239" s="236"/>
      <c r="AB239" s="171"/>
    </row>
    <row r="240" spans="11:28" ht="18" customHeight="1">
      <c r="K240" s="171" t="s">
        <v>699</v>
      </c>
      <c r="L240" s="171"/>
      <c r="M240" s="171"/>
      <c r="P240" s="236"/>
      <c r="AB240" s="171"/>
    </row>
    <row r="241" spans="11:28" ht="18" customHeight="1">
      <c r="K241" s="171" t="s">
        <v>699</v>
      </c>
      <c r="L241" s="171"/>
      <c r="M241" s="171"/>
      <c r="P241" s="236"/>
      <c r="AB241" s="171"/>
    </row>
    <row r="242" spans="11:28" ht="18" customHeight="1">
      <c r="K242" s="171" t="s">
        <v>702</v>
      </c>
      <c r="L242" s="171"/>
      <c r="M242" s="171"/>
      <c r="P242" s="236"/>
      <c r="AB242" s="171"/>
    </row>
    <row r="243" spans="11:28" ht="18" customHeight="1">
      <c r="K243" s="171" t="s">
        <v>699</v>
      </c>
      <c r="L243" s="171"/>
      <c r="M243" s="171"/>
      <c r="P243" s="236"/>
      <c r="AB243" s="171"/>
    </row>
    <row r="244" spans="11:28" ht="18" customHeight="1">
      <c r="K244" s="171" t="s">
        <v>699</v>
      </c>
      <c r="L244" s="171"/>
      <c r="M244" s="171"/>
      <c r="P244" s="236"/>
      <c r="AB244" s="171"/>
    </row>
    <row r="245" spans="11:28" ht="18" customHeight="1">
      <c r="K245" s="171" t="s">
        <v>702</v>
      </c>
      <c r="L245" s="171"/>
      <c r="M245" s="171"/>
      <c r="P245" s="236"/>
      <c r="AB245" s="171"/>
    </row>
    <row r="246" spans="11:28" ht="18" customHeight="1">
      <c r="K246" s="171" t="s">
        <v>699</v>
      </c>
      <c r="L246" s="171"/>
      <c r="M246" s="171"/>
      <c r="P246" s="236"/>
    </row>
    <row r="247" spans="11:28" ht="18" customHeight="1">
      <c r="K247" s="171" t="s">
        <v>699</v>
      </c>
      <c r="L247" s="171"/>
      <c r="M247" s="171"/>
      <c r="P247" s="236"/>
    </row>
    <row r="248" spans="11:28" ht="18" customHeight="1">
      <c r="K248" s="171" t="s">
        <v>699</v>
      </c>
      <c r="L248" s="171"/>
      <c r="M248" s="171"/>
      <c r="P248" s="236"/>
    </row>
    <row r="249" spans="11:28" ht="18" customHeight="1">
      <c r="K249" s="171" t="s">
        <v>699</v>
      </c>
      <c r="L249" s="171"/>
      <c r="M249" s="171"/>
      <c r="P249" s="236"/>
    </row>
    <row r="250" spans="11:28" ht="18" customHeight="1">
      <c r="K250" s="171" t="s">
        <v>699</v>
      </c>
      <c r="L250" s="171"/>
      <c r="M250" s="171"/>
      <c r="P250" s="236"/>
    </row>
    <row r="251" spans="11:28" ht="18" customHeight="1">
      <c r="K251" s="171" t="s">
        <v>702</v>
      </c>
      <c r="L251" s="171"/>
      <c r="M251" s="171"/>
      <c r="P251" s="236"/>
    </row>
    <row r="252" spans="11:28" ht="18" customHeight="1">
      <c r="K252" s="171" t="s">
        <v>699</v>
      </c>
      <c r="L252" s="171"/>
      <c r="M252" s="171"/>
      <c r="P252" s="236"/>
    </row>
    <row r="253" spans="11:28" ht="18" customHeight="1">
      <c r="K253" s="171" t="s">
        <v>702</v>
      </c>
      <c r="L253" s="171"/>
      <c r="M253" s="171"/>
      <c r="P253" s="236"/>
    </row>
    <row r="254" spans="11:28" ht="18" customHeight="1">
      <c r="K254" s="171" t="s">
        <v>702</v>
      </c>
      <c r="L254" s="171"/>
      <c r="M254" s="171"/>
      <c r="P254" s="236"/>
    </row>
    <row r="255" spans="11:28" ht="18" customHeight="1">
      <c r="K255" s="171" t="s">
        <v>699</v>
      </c>
      <c r="L255" s="171"/>
      <c r="M255" s="171"/>
      <c r="P255" s="236"/>
    </row>
    <row r="256" spans="11:28" ht="18" customHeight="1">
      <c r="K256" s="171" t="s">
        <v>702</v>
      </c>
      <c r="L256" s="171"/>
      <c r="M256" s="171"/>
      <c r="P256" s="236"/>
    </row>
    <row r="257" spans="11:16" ht="18" customHeight="1">
      <c r="K257" s="171" t="s">
        <v>699</v>
      </c>
      <c r="L257" s="171"/>
      <c r="M257" s="171"/>
      <c r="P257" s="236"/>
    </row>
    <row r="258" spans="11:16" ht="18" customHeight="1">
      <c r="K258" s="171" t="s">
        <v>702</v>
      </c>
      <c r="L258" s="171"/>
      <c r="M258" s="171"/>
      <c r="P258" s="236"/>
    </row>
    <row r="259" spans="11:16" ht="18" customHeight="1">
      <c r="K259" s="171" t="s">
        <v>699</v>
      </c>
      <c r="L259" s="171"/>
      <c r="M259" s="171"/>
      <c r="P259" s="236"/>
    </row>
    <row r="260" spans="11:16" ht="18" customHeight="1">
      <c r="K260" s="171" t="s">
        <v>702</v>
      </c>
      <c r="L260" s="171"/>
      <c r="M260" s="171"/>
      <c r="P260" s="236"/>
    </row>
    <row r="261" spans="11:16" ht="18" customHeight="1">
      <c r="K261" s="171" t="s">
        <v>702</v>
      </c>
      <c r="L261" s="171"/>
      <c r="M261" s="171"/>
      <c r="P261" s="236"/>
    </row>
    <row r="262" spans="11:16" ht="18" customHeight="1">
      <c r="K262" s="171" t="s">
        <v>702</v>
      </c>
      <c r="L262" s="171"/>
      <c r="M262" s="171"/>
      <c r="P262" s="236"/>
    </row>
    <row r="263" spans="11:16" ht="18" customHeight="1">
      <c r="K263" s="171" t="s">
        <v>702</v>
      </c>
      <c r="L263" s="171"/>
      <c r="M263" s="171"/>
      <c r="P263" s="236"/>
    </row>
    <row r="264" spans="11:16" ht="18" customHeight="1">
      <c r="K264" s="171" t="s">
        <v>702</v>
      </c>
      <c r="L264" s="171"/>
      <c r="M264" s="171"/>
      <c r="P264" s="236"/>
    </row>
    <row r="265" spans="11:16" ht="18" customHeight="1">
      <c r="K265" s="171" t="s">
        <v>702</v>
      </c>
      <c r="L265" s="171"/>
      <c r="M265" s="171"/>
      <c r="P265" s="236"/>
    </row>
    <row r="266" spans="11:16" ht="18" customHeight="1">
      <c r="K266" s="171" t="s">
        <v>702</v>
      </c>
      <c r="L266" s="171"/>
      <c r="M266" s="171"/>
      <c r="P266" s="236"/>
    </row>
    <row r="267" spans="11:16" ht="18" customHeight="1">
      <c r="K267" s="171" t="s">
        <v>702</v>
      </c>
      <c r="L267" s="171"/>
      <c r="M267" s="171"/>
      <c r="P267" s="236"/>
    </row>
    <row r="268" spans="11:16" ht="18" customHeight="1">
      <c r="K268" s="171" t="s">
        <v>699</v>
      </c>
      <c r="L268" s="171"/>
      <c r="M268" s="171"/>
      <c r="P268" s="236"/>
    </row>
    <row r="269" spans="11:16" ht="18" customHeight="1">
      <c r="K269" s="171" t="s">
        <v>702</v>
      </c>
      <c r="L269" s="171"/>
      <c r="M269" s="171"/>
      <c r="P269" s="236"/>
    </row>
    <row r="270" spans="11:16" ht="18" customHeight="1">
      <c r="K270" s="171" t="s">
        <v>702</v>
      </c>
      <c r="L270" s="171"/>
      <c r="M270" s="171"/>
      <c r="P270" s="236"/>
    </row>
    <row r="271" spans="11:16" ht="18" customHeight="1">
      <c r="K271" s="171" t="s">
        <v>702</v>
      </c>
      <c r="L271" s="171"/>
      <c r="M271" s="171"/>
      <c r="P271" s="236"/>
    </row>
    <row r="272" spans="11:16" ht="18" customHeight="1">
      <c r="K272" s="171" t="s">
        <v>702</v>
      </c>
      <c r="L272" s="171"/>
      <c r="M272" s="171"/>
      <c r="P272" s="236"/>
    </row>
    <row r="273" spans="11:16" ht="18" customHeight="1">
      <c r="K273" s="171" t="s">
        <v>702</v>
      </c>
      <c r="L273" s="171"/>
      <c r="M273" s="171"/>
      <c r="P273" s="236"/>
    </row>
    <row r="274" spans="11:16" ht="18" customHeight="1">
      <c r="K274" s="171" t="s">
        <v>702</v>
      </c>
      <c r="L274" s="171"/>
      <c r="M274" s="171"/>
      <c r="P274" s="236"/>
    </row>
    <row r="275" spans="11:16" ht="18" customHeight="1">
      <c r="K275" s="171" t="s">
        <v>702</v>
      </c>
      <c r="L275" s="171"/>
      <c r="M275" s="171"/>
      <c r="P275" s="236"/>
    </row>
    <row r="276" spans="11:16" ht="18" customHeight="1">
      <c r="K276" s="171" t="s">
        <v>702</v>
      </c>
      <c r="L276" s="171"/>
      <c r="M276" s="171"/>
      <c r="P276" s="236"/>
    </row>
    <row r="277" spans="11:16" ht="18" customHeight="1">
      <c r="K277" s="171" t="s">
        <v>702</v>
      </c>
      <c r="L277" s="171"/>
      <c r="M277" s="171"/>
      <c r="P277" s="236"/>
    </row>
    <row r="278" spans="11:16" ht="18" customHeight="1">
      <c r="K278" s="171" t="s">
        <v>702</v>
      </c>
      <c r="L278" s="171"/>
      <c r="M278" s="171"/>
      <c r="P278" s="236"/>
    </row>
    <row r="279" spans="11:16" ht="18" customHeight="1">
      <c r="K279" s="171" t="s">
        <v>699</v>
      </c>
      <c r="L279" s="171"/>
      <c r="M279" s="171"/>
      <c r="P279" s="236"/>
    </row>
    <row r="280" spans="11:16" ht="18" customHeight="1">
      <c r="K280" s="171" t="s">
        <v>699</v>
      </c>
      <c r="L280" s="171"/>
      <c r="M280" s="171"/>
      <c r="P280" s="236"/>
    </row>
    <row r="281" spans="11:16" ht="18" customHeight="1">
      <c r="K281" s="171" t="s">
        <v>702</v>
      </c>
      <c r="L281" s="171"/>
      <c r="M281" s="171"/>
      <c r="P281" s="236"/>
    </row>
    <row r="282" spans="11:16" ht="18" customHeight="1">
      <c r="K282" s="171" t="s">
        <v>699</v>
      </c>
      <c r="L282" s="171"/>
      <c r="M282" s="171"/>
      <c r="P282" s="236"/>
    </row>
    <row r="283" spans="11:16" ht="18" customHeight="1">
      <c r="K283" s="171" t="s">
        <v>702</v>
      </c>
      <c r="L283" s="171"/>
      <c r="M283" s="171"/>
      <c r="P283" s="236"/>
    </row>
    <row r="284" spans="11:16" ht="18" customHeight="1">
      <c r="K284" s="171" t="s">
        <v>702</v>
      </c>
      <c r="L284" s="171"/>
      <c r="M284" s="171"/>
      <c r="P284" s="236"/>
    </row>
    <row r="285" spans="11:16" ht="18" customHeight="1">
      <c r="K285" s="171" t="s">
        <v>702</v>
      </c>
      <c r="L285" s="171"/>
      <c r="M285" s="171"/>
      <c r="P285" s="236"/>
    </row>
    <row r="286" spans="11:16" ht="18" customHeight="1">
      <c r="K286" s="171" t="s">
        <v>702</v>
      </c>
      <c r="L286" s="171"/>
      <c r="M286" s="171"/>
      <c r="P286" s="236"/>
    </row>
    <row r="287" spans="11:16" ht="18" customHeight="1">
      <c r="K287" s="171" t="s">
        <v>702</v>
      </c>
      <c r="L287" s="171"/>
      <c r="M287" s="171"/>
      <c r="P287" s="236"/>
    </row>
    <row r="288" spans="11:16" ht="18" customHeight="1">
      <c r="K288" s="171" t="s">
        <v>699</v>
      </c>
      <c r="L288" s="171"/>
      <c r="M288" s="171"/>
      <c r="P288" s="236"/>
    </row>
    <row r="289" spans="11:16" ht="18" customHeight="1">
      <c r="K289" s="171" t="s">
        <v>702</v>
      </c>
      <c r="L289" s="171"/>
      <c r="M289" s="171"/>
      <c r="P289" s="236"/>
    </row>
    <row r="290" spans="11:16" ht="18" customHeight="1">
      <c r="K290" s="171" t="s">
        <v>699</v>
      </c>
      <c r="L290" s="171"/>
      <c r="M290" s="171"/>
      <c r="P290" s="236"/>
    </row>
    <row r="291" spans="11:16" ht="18" customHeight="1">
      <c r="K291" s="171" t="s">
        <v>702</v>
      </c>
      <c r="L291" s="171"/>
      <c r="M291" s="171"/>
      <c r="P291" s="236"/>
    </row>
    <row r="292" spans="11:16" ht="18" customHeight="1">
      <c r="K292" s="171" t="s">
        <v>702</v>
      </c>
      <c r="L292" s="171"/>
      <c r="M292" s="171"/>
      <c r="P292" s="236"/>
    </row>
    <row r="293" spans="11:16" ht="18" customHeight="1">
      <c r="K293" s="171" t="s">
        <v>702</v>
      </c>
      <c r="L293" s="171"/>
      <c r="M293" s="171"/>
      <c r="P293" s="236"/>
    </row>
    <row r="294" spans="11:16" ht="18" customHeight="1">
      <c r="K294" s="171" t="s">
        <v>702</v>
      </c>
      <c r="L294" s="171"/>
      <c r="M294" s="171"/>
      <c r="P294" s="236"/>
    </row>
    <row r="295" spans="11:16" ht="18" customHeight="1">
      <c r="K295" s="171" t="s">
        <v>702</v>
      </c>
      <c r="L295" s="171"/>
      <c r="M295" s="171"/>
      <c r="P295" s="236"/>
    </row>
    <row r="296" spans="11:16" ht="18" customHeight="1">
      <c r="K296" s="171" t="s">
        <v>702</v>
      </c>
      <c r="L296" s="171"/>
      <c r="M296" s="171"/>
      <c r="P296" s="236"/>
    </row>
    <row r="297" spans="11:16" ht="18" customHeight="1">
      <c r="K297" s="171" t="s">
        <v>702</v>
      </c>
      <c r="L297" s="171"/>
      <c r="M297" s="171"/>
      <c r="P297" s="236"/>
    </row>
    <row r="298" spans="11:16" ht="18" customHeight="1">
      <c r="K298" s="171" t="s">
        <v>702</v>
      </c>
      <c r="L298" s="171"/>
      <c r="M298" s="171"/>
      <c r="P298" s="236"/>
    </row>
    <row r="299" spans="11:16" ht="18" customHeight="1">
      <c r="K299" s="171" t="s">
        <v>702</v>
      </c>
      <c r="L299" s="171"/>
      <c r="M299" s="171"/>
      <c r="P299" s="236"/>
    </row>
    <row r="300" spans="11:16" ht="18" customHeight="1">
      <c r="K300" s="171" t="s">
        <v>702</v>
      </c>
      <c r="L300" s="171"/>
      <c r="M300" s="171"/>
      <c r="P300" s="236"/>
    </row>
    <row r="301" spans="11:16" ht="18" customHeight="1">
      <c r="K301" s="171" t="s">
        <v>702</v>
      </c>
      <c r="L301" s="171"/>
      <c r="M301" s="171"/>
      <c r="P301" s="236"/>
    </row>
    <row r="302" spans="11:16" ht="18" customHeight="1">
      <c r="K302" s="171" t="s">
        <v>702</v>
      </c>
      <c r="L302" s="171"/>
      <c r="M302" s="171"/>
      <c r="P302" s="236"/>
    </row>
    <row r="303" spans="11:16" ht="18" customHeight="1">
      <c r="K303" s="171" t="s">
        <v>702</v>
      </c>
      <c r="L303" s="171"/>
      <c r="M303" s="171"/>
      <c r="P303" s="236"/>
    </row>
    <row r="304" spans="11:16" ht="18" customHeight="1">
      <c r="K304" s="171" t="s">
        <v>702</v>
      </c>
      <c r="L304" s="171"/>
      <c r="M304" s="171"/>
      <c r="P304" s="236"/>
    </row>
    <row r="305" spans="11:16" ht="18" customHeight="1">
      <c r="K305" s="171" t="s">
        <v>702</v>
      </c>
      <c r="L305" s="171"/>
      <c r="M305" s="171"/>
      <c r="P305" s="236"/>
    </row>
    <row r="306" spans="11:16" ht="18" customHeight="1">
      <c r="K306" s="171" t="s">
        <v>702</v>
      </c>
      <c r="L306" s="171"/>
      <c r="M306" s="171"/>
      <c r="P306" s="236"/>
    </row>
    <row r="307" spans="11:16" ht="18" customHeight="1">
      <c r="K307" s="171" t="s">
        <v>702</v>
      </c>
      <c r="L307" s="171"/>
      <c r="M307" s="171"/>
      <c r="P307" s="236"/>
    </row>
    <row r="308" spans="11:16" ht="18" customHeight="1">
      <c r="K308" s="171" t="s">
        <v>702</v>
      </c>
      <c r="L308" s="171"/>
      <c r="M308" s="171"/>
      <c r="P308" s="236"/>
    </row>
    <row r="309" spans="11:16" ht="18" customHeight="1">
      <c r="K309" s="171" t="s">
        <v>702</v>
      </c>
      <c r="L309" s="171"/>
      <c r="M309" s="171"/>
      <c r="P309" s="236"/>
    </row>
    <row r="310" spans="11:16" ht="18" customHeight="1">
      <c r="K310" s="171" t="s">
        <v>702</v>
      </c>
      <c r="L310" s="171"/>
      <c r="M310" s="171"/>
      <c r="P310" s="236"/>
    </row>
    <row r="311" spans="11:16" ht="18" customHeight="1">
      <c r="K311" s="171" t="s">
        <v>702</v>
      </c>
      <c r="L311" s="171"/>
      <c r="M311" s="171"/>
      <c r="P311" s="236"/>
    </row>
    <row r="312" spans="11:16" ht="18" customHeight="1">
      <c r="K312" s="171" t="s">
        <v>702</v>
      </c>
      <c r="L312" s="171"/>
      <c r="M312" s="171"/>
      <c r="P312" s="236"/>
    </row>
    <row r="313" spans="11:16" ht="18" customHeight="1">
      <c r="K313" s="171" t="s">
        <v>702</v>
      </c>
      <c r="L313" s="171"/>
      <c r="M313" s="171"/>
      <c r="P313" s="236"/>
    </row>
    <row r="314" spans="11:16" ht="18" customHeight="1">
      <c r="K314" s="171" t="s">
        <v>702</v>
      </c>
      <c r="L314" s="171"/>
      <c r="M314" s="171"/>
      <c r="P314" s="236"/>
    </row>
    <row r="315" spans="11:16" ht="18" customHeight="1">
      <c r="K315" s="171" t="s">
        <v>702</v>
      </c>
      <c r="L315" s="171"/>
      <c r="M315" s="171"/>
      <c r="P315" s="236"/>
    </row>
    <row r="316" spans="11:16" ht="18" customHeight="1">
      <c r="K316" s="171" t="s">
        <v>702</v>
      </c>
      <c r="L316" s="171"/>
      <c r="M316" s="171"/>
      <c r="P316" s="236"/>
    </row>
    <row r="317" spans="11:16" ht="18" customHeight="1">
      <c r="K317" s="171" t="s">
        <v>702</v>
      </c>
      <c r="L317" s="171"/>
      <c r="M317" s="171"/>
      <c r="P317" s="236"/>
    </row>
    <row r="318" spans="11:16" ht="18" customHeight="1">
      <c r="K318" s="171" t="s">
        <v>702</v>
      </c>
      <c r="L318" s="171"/>
      <c r="M318" s="171"/>
      <c r="P318" s="236"/>
    </row>
    <row r="319" spans="11:16" ht="18" customHeight="1">
      <c r="K319" s="171" t="s">
        <v>702</v>
      </c>
      <c r="L319" s="171"/>
      <c r="M319" s="171"/>
      <c r="P319" s="236"/>
    </row>
    <row r="320" spans="11:16" ht="18" customHeight="1">
      <c r="K320" s="171" t="s">
        <v>702</v>
      </c>
      <c r="L320" s="171"/>
      <c r="M320" s="171"/>
      <c r="P320" s="236"/>
    </row>
    <row r="321" spans="11:16" ht="18" customHeight="1">
      <c r="K321" s="171" t="s">
        <v>702</v>
      </c>
      <c r="L321" s="171"/>
      <c r="M321" s="171"/>
      <c r="P321" s="236"/>
    </row>
    <row r="322" spans="11:16" ht="18" customHeight="1">
      <c r="K322" s="171" t="s">
        <v>702</v>
      </c>
      <c r="L322" s="171"/>
      <c r="M322" s="171"/>
      <c r="P322" s="236"/>
    </row>
    <row r="323" spans="11:16" ht="18" customHeight="1">
      <c r="K323" s="171" t="s">
        <v>702</v>
      </c>
      <c r="L323" s="171"/>
      <c r="M323" s="171"/>
      <c r="P323" s="236"/>
    </row>
    <row r="324" spans="11:16" ht="18" customHeight="1">
      <c r="K324" s="171" t="s">
        <v>702</v>
      </c>
      <c r="L324" s="171"/>
      <c r="M324" s="171"/>
      <c r="P324" s="236"/>
    </row>
    <row r="325" spans="11:16" ht="18" customHeight="1">
      <c r="K325" s="171" t="s">
        <v>702</v>
      </c>
      <c r="L325" s="171"/>
      <c r="M325" s="171"/>
      <c r="P325" s="236"/>
    </row>
    <row r="326" spans="11:16" ht="18" customHeight="1">
      <c r="K326" s="171" t="s">
        <v>702</v>
      </c>
      <c r="L326" s="171"/>
      <c r="M326" s="171"/>
      <c r="P326" s="236"/>
    </row>
    <row r="327" spans="11:16" ht="18" customHeight="1">
      <c r="K327" s="171" t="s">
        <v>702</v>
      </c>
      <c r="L327" s="171"/>
      <c r="M327" s="171"/>
      <c r="P327" s="236"/>
    </row>
    <row r="328" spans="11:16" ht="18" customHeight="1">
      <c r="K328" s="171" t="s">
        <v>702</v>
      </c>
      <c r="L328" s="171"/>
      <c r="M328" s="171"/>
      <c r="P328" s="236"/>
    </row>
    <row r="329" spans="11:16" ht="18" customHeight="1">
      <c r="K329" s="171" t="s">
        <v>702</v>
      </c>
      <c r="L329" s="171"/>
      <c r="M329" s="171"/>
      <c r="P329" s="236"/>
    </row>
    <row r="330" spans="11:16" ht="18" customHeight="1">
      <c r="K330" s="171" t="s">
        <v>702</v>
      </c>
      <c r="L330" s="171"/>
      <c r="M330" s="171"/>
      <c r="P330" s="236"/>
    </row>
    <row r="331" spans="11:16" ht="18" customHeight="1">
      <c r="K331" s="171" t="s">
        <v>702</v>
      </c>
      <c r="L331" s="171"/>
      <c r="M331" s="171"/>
      <c r="P331" s="236"/>
    </row>
    <row r="332" spans="11:16" ht="18" customHeight="1">
      <c r="K332" s="171" t="s">
        <v>702</v>
      </c>
      <c r="L332" s="171"/>
      <c r="M332" s="171"/>
      <c r="P332" s="236"/>
    </row>
    <row r="333" spans="11:16" ht="18" customHeight="1">
      <c r="K333" s="171" t="s">
        <v>702</v>
      </c>
      <c r="L333" s="171"/>
      <c r="M333" s="171"/>
      <c r="P333" s="236"/>
    </row>
    <row r="334" spans="11:16" ht="18" customHeight="1">
      <c r="K334" s="171" t="s">
        <v>702</v>
      </c>
      <c r="L334" s="171"/>
      <c r="M334" s="171"/>
      <c r="P334" s="236"/>
    </row>
    <row r="335" spans="11:16" ht="18" customHeight="1">
      <c r="K335" s="171" t="s">
        <v>702</v>
      </c>
      <c r="L335" s="171"/>
      <c r="M335" s="171"/>
      <c r="P335" s="236"/>
    </row>
    <row r="336" spans="11:16" ht="18" customHeight="1">
      <c r="K336" s="171" t="s">
        <v>702</v>
      </c>
      <c r="L336" s="171"/>
      <c r="M336" s="171"/>
      <c r="P336" s="236"/>
    </row>
    <row r="337" spans="11:16" ht="18" customHeight="1">
      <c r="K337" s="171" t="s">
        <v>702</v>
      </c>
      <c r="L337" s="171"/>
      <c r="M337" s="171"/>
      <c r="P337" s="236"/>
    </row>
    <row r="338" spans="11:16" ht="18" customHeight="1">
      <c r="K338" s="171" t="s">
        <v>702</v>
      </c>
      <c r="L338" s="171"/>
      <c r="M338" s="171"/>
      <c r="P338" s="236"/>
    </row>
    <row r="339" spans="11:16" ht="18" customHeight="1">
      <c r="K339" s="171" t="s">
        <v>702</v>
      </c>
      <c r="L339" s="171"/>
      <c r="M339" s="171"/>
      <c r="P339" s="236"/>
    </row>
    <row r="340" spans="11:16" ht="18" customHeight="1">
      <c r="K340" s="171" t="s">
        <v>702</v>
      </c>
      <c r="L340" s="171"/>
      <c r="M340" s="171"/>
      <c r="P340" s="236"/>
    </row>
    <row r="341" spans="11:16" ht="18" customHeight="1">
      <c r="K341" s="171" t="s">
        <v>702</v>
      </c>
      <c r="L341" s="171"/>
      <c r="M341" s="171"/>
      <c r="P341" s="236"/>
    </row>
    <row r="342" spans="11:16" ht="18" customHeight="1">
      <c r="K342" s="171" t="s">
        <v>702</v>
      </c>
      <c r="L342" s="171"/>
      <c r="M342" s="171"/>
      <c r="P342" s="236"/>
    </row>
    <row r="343" spans="11:16" ht="18" customHeight="1">
      <c r="K343" s="171" t="s">
        <v>702</v>
      </c>
      <c r="L343" s="171"/>
      <c r="M343" s="171"/>
      <c r="P343" s="236"/>
    </row>
    <row r="344" spans="11:16" ht="18" customHeight="1">
      <c r="K344" s="171" t="s">
        <v>702</v>
      </c>
      <c r="L344" s="171"/>
      <c r="M344" s="171"/>
      <c r="P344" s="236"/>
    </row>
    <row r="345" spans="11:16" ht="18" customHeight="1">
      <c r="K345" s="171" t="s">
        <v>702</v>
      </c>
      <c r="L345" s="171"/>
      <c r="M345" s="171"/>
      <c r="P345" s="236"/>
    </row>
    <row r="346" spans="11:16" ht="18" customHeight="1">
      <c r="K346" s="171" t="s">
        <v>702</v>
      </c>
      <c r="L346" s="171"/>
      <c r="M346" s="171"/>
      <c r="P346" s="236"/>
    </row>
    <row r="347" spans="11:16" ht="18" customHeight="1">
      <c r="K347" s="171" t="s">
        <v>702</v>
      </c>
      <c r="L347" s="171"/>
      <c r="M347" s="171"/>
      <c r="P347" s="236"/>
    </row>
    <row r="348" spans="11:16" ht="18" customHeight="1">
      <c r="K348" s="171" t="s">
        <v>702</v>
      </c>
      <c r="L348" s="171"/>
      <c r="M348" s="171"/>
      <c r="P348" s="236"/>
    </row>
    <row r="349" spans="11:16" ht="18" customHeight="1">
      <c r="K349" s="171" t="s">
        <v>702</v>
      </c>
      <c r="L349" s="171"/>
      <c r="M349" s="171"/>
      <c r="P349" s="236"/>
    </row>
    <row r="350" spans="11:16" ht="18" customHeight="1">
      <c r="K350" s="171" t="s">
        <v>702</v>
      </c>
      <c r="L350" s="171"/>
      <c r="M350" s="171"/>
      <c r="P350" s="236"/>
    </row>
    <row r="351" spans="11:16" ht="18" customHeight="1">
      <c r="K351" s="171" t="s">
        <v>702</v>
      </c>
      <c r="L351" s="171"/>
      <c r="M351" s="171"/>
      <c r="P351" s="236"/>
    </row>
    <row r="352" spans="11:16" ht="18" customHeight="1">
      <c r="K352" s="171" t="s">
        <v>702</v>
      </c>
      <c r="L352" s="171"/>
      <c r="M352" s="171"/>
      <c r="P352" s="236"/>
    </row>
    <row r="353" spans="11:16" ht="18" customHeight="1">
      <c r="K353" s="171" t="s">
        <v>702</v>
      </c>
      <c r="L353" s="171"/>
      <c r="M353" s="171"/>
      <c r="P353" s="236"/>
    </row>
    <row r="354" spans="11:16" ht="18" customHeight="1">
      <c r="K354" s="171" t="s">
        <v>702</v>
      </c>
      <c r="L354" s="171"/>
      <c r="M354" s="171"/>
      <c r="P354" s="236"/>
    </row>
    <row r="355" spans="11:16" ht="18" customHeight="1">
      <c r="K355" s="171" t="s">
        <v>702</v>
      </c>
      <c r="L355" s="171"/>
      <c r="M355" s="171"/>
      <c r="P355" s="236"/>
    </row>
    <row r="356" spans="11:16" ht="18" customHeight="1">
      <c r="K356" s="171" t="s">
        <v>702</v>
      </c>
      <c r="L356" s="171"/>
      <c r="M356" s="171"/>
      <c r="P356" s="236"/>
    </row>
    <row r="357" spans="11:16" ht="18" customHeight="1">
      <c r="K357" s="171" t="s">
        <v>702</v>
      </c>
      <c r="L357" s="171"/>
      <c r="M357" s="171"/>
      <c r="P357" s="236"/>
    </row>
    <row r="358" spans="11:16" ht="18" customHeight="1">
      <c r="K358" s="171" t="s">
        <v>702</v>
      </c>
      <c r="L358" s="171"/>
      <c r="M358" s="171"/>
      <c r="P358" s="236"/>
    </row>
    <row r="359" spans="11:16" ht="18" customHeight="1">
      <c r="K359" s="171" t="s">
        <v>702</v>
      </c>
      <c r="L359" s="171"/>
      <c r="M359" s="171"/>
      <c r="P359" s="236"/>
    </row>
    <row r="360" spans="11:16" ht="18" customHeight="1">
      <c r="K360" s="171" t="s">
        <v>702</v>
      </c>
      <c r="L360" s="171"/>
      <c r="M360" s="171"/>
      <c r="P360" s="236"/>
    </row>
    <row r="361" spans="11:16" ht="18" customHeight="1">
      <c r="K361" s="171" t="s">
        <v>702</v>
      </c>
      <c r="L361" s="171"/>
      <c r="M361" s="171"/>
      <c r="P361" s="236"/>
    </row>
    <row r="362" spans="11:16" ht="18" customHeight="1">
      <c r="K362" s="171" t="s">
        <v>702</v>
      </c>
      <c r="L362" s="171"/>
      <c r="M362" s="171"/>
      <c r="P362" s="236"/>
    </row>
    <row r="363" spans="11:16" ht="18" customHeight="1">
      <c r="K363" s="171" t="s">
        <v>702</v>
      </c>
      <c r="L363" s="171"/>
      <c r="M363" s="171"/>
      <c r="P363" s="236"/>
    </row>
    <row r="364" spans="11:16" ht="18" customHeight="1">
      <c r="K364" s="171" t="s">
        <v>702</v>
      </c>
      <c r="L364" s="171"/>
      <c r="M364" s="171"/>
      <c r="P364" s="236"/>
    </row>
    <row r="365" spans="11:16" ht="18" customHeight="1">
      <c r="K365" s="171" t="s">
        <v>702</v>
      </c>
      <c r="L365" s="171"/>
      <c r="M365" s="171"/>
      <c r="P365" s="236"/>
    </row>
    <row r="366" spans="11:16" ht="18" customHeight="1">
      <c r="K366" s="171" t="s">
        <v>702</v>
      </c>
      <c r="L366" s="171"/>
      <c r="M366" s="171"/>
      <c r="P366" s="236"/>
    </row>
    <row r="367" spans="11:16" ht="18" customHeight="1">
      <c r="K367" s="171" t="s">
        <v>702</v>
      </c>
      <c r="L367" s="171"/>
      <c r="M367" s="171"/>
      <c r="P367" s="236"/>
    </row>
    <row r="368" spans="11:16" ht="18" customHeight="1">
      <c r="K368" s="171" t="s">
        <v>702</v>
      </c>
      <c r="L368" s="171"/>
      <c r="M368" s="171"/>
      <c r="P368" s="236"/>
    </row>
    <row r="369" spans="11:16" ht="18" customHeight="1">
      <c r="K369" s="171" t="s">
        <v>702</v>
      </c>
      <c r="L369" s="171"/>
      <c r="M369" s="171"/>
      <c r="P369" s="236"/>
    </row>
    <row r="370" spans="11:16" ht="18" customHeight="1">
      <c r="K370" s="171" t="s">
        <v>702</v>
      </c>
      <c r="L370" s="171"/>
      <c r="M370" s="171"/>
      <c r="P370" s="236"/>
    </row>
    <row r="371" spans="11:16" ht="18" customHeight="1">
      <c r="K371" s="171" t="s">
        <v>702</v>
      </c>
      <c r="L371" s="171"/>
      <c r="M371" s="171"/>
      <c r="P371" s="236"/>
    </row>
    <row r="372" spans="11:16" ht="18" customHeight="1">
      <c r="K372" s="171" t="s">
        <v>702</v>
      </c>
      <c r="L372" s="171"/>
      <c r="M372" s="171"/>
      <c r="P372" s="236"/>
    </row>
    <row r="373" spans="11:16" ht="18" customHeight="1">
      <c r="K373" s="171" t="s">
        <v>702</v>
      </c>
      <c r="L373" s="171"/>
      <c r="M373" s="171"/>
      <c r="P373" s="236"/>
    </row>
    <row r="374" spans="11:16" ht="18" customHeight="1">
      <c r="K374" s="171" t="s">
        <v>702</v>
      </c>
      <c r="L374" s="171"/>
      <c r="M374" s="171"/>
      <c r="P374" s="236"/>
    </row>
    <row r="375" spans="11:16" ht="18" customHeight="1">
      <c r="K375" s="171" t="s">
        <v>702</v>
      </c>
      <c r="L375" s="171"/>
      <c r="M375" s="171"/>
      <c r="P375" s="236"/>
    </row>
    <row r="376" spans="11:16" ht="18" customHeight="1">
      <c r="K376" s="171" t="s">
        <v>702</v>
      </c>
      <c r="L376" s="171"/>
      <c r="M376" s="171"/>
      <c r="P376" s="236"/>
    </row>
    <row r="377" spans="11:16" ht="18" customHeight="1">
      <c r="K377" s="171" t="s">
        <v>702</v>
      </c>
      <c r="L377" s="171"/>
      <c r="M377" s="171"/>
      <c r="P377" s="236"/>
    </row>
    <row r="378" spans="11:16" ht="18" customHeight="1">
      <c r="K378" s="171" t="s">
        <v>702</v>
      </c>
      <c r="L378" s="171"/>
      <c r="M378" s="171"/>
      <c r="P378" s="236"/>
    </row>
    <row r="379" spans="11:16" ht="18" customHeight="1">
      <c r="K379" s="171" t="s">
        <v>702</v>
      </c>
      <c r="L379" s="171"/>
      <c r="M379" s="171"/>
      <c r="P379" s="236"/>
    </row>
    <row r="380" spans="11:16" ht="18" customHeight="1">
      <c r="K380" s="171" t="s">
        <v>702</v>
      </c>
      <c r="L380" s="171"/>
      <c r="M380" s="171"/>
      <c r="P380" s="236"/>
    </row>
    <row r="381" spans="11:16" ht="18" customHeight="1">
      <c r="K381" s="171" t="s">
        <v>702</v>
      </c>
      <c r="L381" s="171"/>
      <c r="M381" s="171"/>
      <c r="P381" s="236"/>
    </row>
    <row r="382" spans="11:16" ht="18" customHeight="1">
      <c r="K382" s="171" t="s">
        <v>702</v>
      </c>
      <c r="L382" s="171"/>
      <c r="M382" s="171"/>
      <c r="P382" s="236"/>
    </row>
    <row r="383" spans="11:16" ht="18" customHeight="1">
      <c r="K383" s="171" t="s">
        <v>702</v>
      </c>
      <c r="L383" s="171"/>
      <c r="M383" s="171"/>
      <c r="P383" s="236"/>
    </row>
    <row r="384" spans="11:16" ht="18" customHeight="1">
      <c r="K384" s="171" t="s">
        <v>702</v>
      </c>
      <c r="L384" s="171"/>
      <c r="M384" s="171"/>
      <c r="P384" s="236"/>
    </row>
    <row r="385" spans="11:16" ht="18" customHeight="1">
      <c r="K385" s="171" t="s">
        <v>702</v>
      </c>
      <c r="L385" s="171"/>
      <c r="M385" s="171"/>
      <c r="P385" s="236"/>
    </row>
    <row r="386" spans="11:16" ht="18" customHeight="1">
      <c r="K386" s="171" t="s">
        <v>702</v>
      </c>
      <c r="L386" s="171"/>
      <c r="M386" s="171"/>
      <c r="P386" s="236"/>
    </row>
    <row r="387" spans="11:16" ht="18" customHeight="1">
      <c r="K387" s="171" t="s">
        <v>702</v>
      </c>
      <c r="L387" s="171"/>
      <c r="M387" s="171"/>
      <c r="P387" s="236"/>
    </row>
    <row r="388" spans="11:16" ht="18" customHeight="1">
      <c r="K388" s="171" t="s">
        <v>702</v>
      </c>
      <c r="L388" s="171"/>
      <c r="M388" s="171"/>
      <c r="P388" s="236"/>
    </row>
    <row r="389" spans="11:16" ht="18" customHeight="1">
      <c r="K389" s="171" t="s">
        <v>702</v>
      </c>
      <c r="L389" s="171"/>
      <c r="M389" s="171"/>
      <c r="P389" s="236"/>
    </row>
    <row r="390" spans="11:16" ht="18" customHeight="1">
      <c r="K390" s="171" t="s">
        <v>702</v>
      </c>
      <c r="L390" s="171"/>
      <c r="M390" s="171"/>
      <c r="P390" s="236"/>
    </row>
    <row r="391" spans="11:16" ht="18" customHeight="1">
      <c r="K391" s="171" t="s">
        <v>702</v>
      </c>
      <c r="L391" s="171"/>
      <c r="M391" s="171"/>
      <c r="P391" s="236"/>
    </row>
    <row r="392" spans="11:16" ht="18" customHeight="1">
      <c r="K392" s="171" t="s">
        <v>702</v>
      </c>
      <c r="L392" s="171"/>
      <c r="M392" s="171"/>
      <c r="P392" s="236"/>
    </row>
    <row r="393" spans="11:16" ht="18" customHeight="1">
      <c r="K393" s="171" t="s">
        <v>702</v>
      </c>
      <c r="L393" s="171"/>
      <c r="M393" s="171"/>
      <c r="P393" s="236"/>
    </row>
    <row r="394" spans="11:16" ht="18" customHeight="1">
      <c r="K394" s="171" t="s">
        <v>702</v>
      </c>
      <c r="L394" s="171"/>
      <c r="M394" s="171"/>
      <c r="P394" s="236"/>
    </row>
    <row r="395" spans="11:16" ht="18" customHeight="1">
      <c r="K395" s="171" t="s">
        <v>702</v>
      </c>
      <c r="L395" s="171"/>
      <c r="M395" s="171"/>
      <c r="P395" s="236"/>
    </row>
    <row r="396" spans="11:16" ht="18" customHeight="1">
      <c r="K396" s="171" t="s">
        <v>702</v>
      </c>
      <c r="L396" s="171"/>
      <c r="M396" s="171"/>
      <c r="P396" s="236"/>
    </row>
    <row r="397" spans="11:16" ht="18" customHeight="1">
      <c r="K397" s="171" t="s">
        <v>702</v>
      </c>
      <c r="L397" s="171"/>
      <c r="M397" s="171"/>
      <c r="P397" s="236"/>
    </row>
    <row r="398" spans="11:16" ht="18" customHeight="1">
      <c r="K398" s="171" t="s">
        <v>702</v>
      </c>
      <c r="L398" s="171"/>
      <c r="M398" s="171"/>
      <c r="P398" s="236"/>
    </row>
    <row r="399" spans="11:16" ht="18" customHeight="1">
      <c r="K399" s="171" t="s">
        <v>702</v>
      </c>
      <c r="L399" s="171"/>
      <c r="M399" s="171"/>
      <c r="P399" s="236"/>
    </row>
    <row r="400" spans="11:16" ht="18" customHeight="1">
      <c r="K400" s="171" t="s">
        <v>702</v>
      </c>
      <c r="L400" s="171"/>
      <c r="M400" s="171"/>
      <c r="P400" s="236"/>
    </row>
    <row r="401" spans="11:16" ht="18" customHeight="1">
      <c r="K401" s="171" t="s">
        <v>702</v>
      </c>
      <c r="L401" s="171"/>
      <c r="M401" s="171"/>
      <c r="P401" s="236"/>
    </row>
    <row r="402" spans="11:16" ht="18" customHeight="1">
      <c r="K402" s="171" t="s">
        <v>702</v>
      </c>
      <c r="L402" s="171"/>
      <c r="M402" s="171"/>
      <c r="P402" s="236"/>
    </row>
    <row r="403" spans="11:16" ht="18" customHeight="1">
      <c r="K403" s="171" t="s">
        <v>702</v>
      </c>
      <c r="L403" s="171"/>
      <c r="M403" s="171"/>
      <c r="P403" s="236"/>
    </row>
    <row r="404" spans="11:16" ht="18" customHeight="1">
      <c r="K404" s="171" t="s">
        <v>702</v>
      </c>
      <c r="L404" s="171"/>
      <c r="M404" s="171"/>
      <c r="P404" s="236"/>
    </row>
    <row r="405" spans="11:16" ht="18" customHeight="1">
      <c r="K405" s="171" t="s">
        <v>702</v>
      </c>
      <c r="L405" s="171"/>
      <c r="M405" s="171"/>
      <c r="P405" s="236"/>
    </row>
    <row r="406" spans="11:16" ht="18" customHeight="1">
      <c r="K406" s="171" t="s">
        <v>702</v>
      </c>
      <c r="L406" s="171"/>
      <c r="M406" s="171"/>
      <c r="P406" s="236"/>
    </row>
    <row r="407" spans="11:16" ht="18" customHeight="1">
      <c r="K407" s="171" t="s">
        <v>702</v>
      </c>
      <c r="L407" s="171"/>
      <c r="M407" s="171"/>
      <c r="P407" s="236"/>
    </row>
    <row r="408" spans="11:16" ht="18" customHeight="1">
      <c r="K408" s="171" t="s">
        <v>702</v>
      </c>
      <c r="L408" s="171"/>
      <c r="M408" s="171"/>
      <c r="P408" s="236"/>
    </row>
    <row r="409" spans="11:16" ht="18" customHeight="1">
      <c r="K409" s="171" t="s">
        <v>702</v>
      </c>
      <c r="L409" s="171"/>
      <c r="M409" s="171"/>
      <c r="P409" s="236"/>
    </row>
    <row r="410" spans="11:16" ht="18" customHeight="1">
      <c r="K410" s="171" t="s">
        <v>702</v>
      </c>
      <c r="L410" s="171"/>
      <c r="M410" s="171"/>
      <c r="P410" s="236"/>
    </row>
    <row r="411" spans="11:16" ht="18" customHeight="1">
      <c r="K411" s="171" t="s">
        <v>702</v>
      </c>
      <c r="L411" s="171"/>
      <c r="M411" s="171"/>
      <c r="P411" s="236"/>
    </row>
    <row r="412" spans="11:16" ht="18" customHeight="1">
      <c r="K412" s="171" t="s">
        <v>702</v>
      </c>
      <c r="L412" s="171"/>
      <c r="M412" s="171"/>
      <c r="P412" s="236"/>
    </row>
    <row r="413" spans="11:16" ht="18" customHeight="1">
      <c r="K413" s="171" t="s">
        <v>702</v>
      </c>
      <c r="L413" s="171"/>
      <c r="M413" s="171"/>
      <c r="P413" s="236"/>
    </row>
    <row r="414" spans="11:16" ht="18" customHeight="1">
      <c r="K414" s="171" t="s">
        <v>702</v>
      </c>
      <c r="L414" s="171"/>
      <c r="M414" s="171"/>
      <c r="P414" s="236"/>
    </row>
    <row r="415" spans="11:16" ht="18" customHeight="1">
      <c r="K415" s="171" t="s">
        <v>702</v>
      </c>
      <c r="L415" s="171"/>
      <c r="M415" s="171"/>
      <c r="P415" s="236"/>
    </row>
    <row r="416" spans="11:16" ht="18" customHeight="1">
      <c r="K416" s="171" t="s">
        <v>702</v>
      </c>
      <c r="L416" s="171"/>
      <c r="M416" s="171"/>
      <c r="P416" s="236"/>
    </row>
    <row r="417" spans="11:16" ht="18" customHeight="1">
      <c r="K417" s="171" t="s">
        <v>702</v>
      </c>
      <c r="L417" s="171"/>
      <c r="M417" s="171"/>
      <c r="P417" s="236"/>
    </row>
    <row r="418" spans="11:16" ht="18" customHeight="1">
      <c r="K418" s="171" t="s">
        <v>702</v>
      </c>
      <c r="L418" s="171"/>
      <c r="M418" s="171"/>
      <c r="P418" s="236"/>
    </row>
    <row r="419" spans="11:16" ht="18" customHeight="1">
      <c r="K419" s="171" t="s">
        <v>702</v>
      </c>
      <c r="L419" s="171"/>
      <c r="M419" s="171"/>
      <c r="P419" s="236"/>
    </row>
    <row r="420" spans="11:16" ht="18" customHeight="1">
      <c r="K420" s="171" t="s">
        <v>702</v>
      </c>
      <c r="L420" s="171"/>
      <c r="M420" s="171"/>
      <c r="P420" s="236"/>
    </row>
    <row r="421" spans="11:16" ht="18" customHeight="1">
      <c r="K421" s="171" t="s">
        <v>702</v>
      </c>
      <c r="L421" s="171"/>
      <c r="M421" s="171"/>
      <c r="P421" s="236"/>
    </row>
    <row r="422" spans="11:16" ht="18" customHeight="1">
      <c r="K422" s="171" t="s">
        <v>702</v>
      </c>
      <c r="L422" s="171"/>
      <c r="M422" s="171"/>
      <c r="P422" s="236"/>
    </row>
    <row r="423" spans="11:16" ht="18" customHeight="1">
      <c r="K423" s="171" t="s">
        <v>702</v>
      </c>
      <c r="L423" s="171"/>
      <c r="M423" s="171"/>
      <c r="P423" s="236"/>
    </row>
    <row r="424" spans="11:16" ht="18" customHeight="1">
      <c r="K424" s="171" t="s">
        <v>702</v>
      </c>
      <c r="L424" s="171"/>
      <c r="M424" s="171"/>
      <c r="P424" s="236"/>
    </row>
    <row r="425" spans="11:16" ht="18" customHeight="1">
      <c r="K425" s="171" t="s">
        <v>702</v>
      </c>
      <c r="L425" s="171"/>
      <c r="M425" s="171"/>
      <c r="P425" s="236"/>
    </row>
    <row r="426" spans="11:16" ht="18" customHeight="1">
      <c r="K426" s="171" t="s">
        <v>702</v>
      </c>
      <c r="L426" s="171"/>
      <c r="M426" s="171"/>
      <c r="P426" s="236"/>
    </row>
    <row r="427" spans="11:16" ht="18" customHeight="1">
      <c r="K427" s="171" t="s">
        <v>702</v>
      </c>
      <c r="L427" s="171"/>
      <c r="M427" s="171"/>
      <c r="P427" s="236"/>
    </row>
    <row r="428" spans="11:16" ht="18" customHeight="1">
      <c r="K428" s="171" t="s">
        <v>702</v>
      </c>
      <c r="L428" s="171"/>
      <c r="M428" s="171"/>
      <c r="P428" s="236"/>
    </row>
    <row r="429" spans="11:16" ht="18" customHeight="1">
      <c r="K429" s="171" t="s">
        <v>702</v>
      </c>
      <c r="L429" s="171"/>
      <c r="M429" s="171"/>
      <c r="P429" s="236"/>
    </row>
    <row r="430" spans="11:16" ht="18" customHeight="1">
      <c r="K430" s="171" t="s">
        <v>702</v>
      </c>
      <c r="L430" s="171"/>
      <c r="M430" s="171"/>
      <c r="P430" s="236"/>
    </row>
    <row r="431" spans="11:16" ht="18" customHeight="1">
      <c r="K431" s="171" t="s">
        <v>702</v>
      </c>
      <c r="L431" s="171"/>
      <c r="M431" s="171"/>
      <c r="P431" s="236"/>
    </row>
    <row r="432" spans="11:16" ht="18" customHeight="1">
      <c r="K432" s="171" t="s">
        <v>702</v>
      </c>
      <c r="L432" s="171"/>
      <c r="M432" s="171"/>
      <c r="P432" s="236"/>
    </row>
    <row r="433" spans="11:16" ht="18" customHeight="1">
      <c r="K433" s="171" t="s">
        <v>702</v>
      </c>
      <c r="L433" s="171"/>
      <c r="M433" s="171"/>
      <c r="P433" s="236"/>
    </row>
    <row r="434" spans="11:16" ht="18" customHeight="1">
      <c r="K434" s="171" t="s">
        <v>702</v>
      </c>
      <c r="L434" s="171"/>
      <c r="M434" s="171"/>
      <c r="P434" s="236"/>
    </row>
    <row r="435" spans="11:16" ht="18" customHeight="1">
      <c r="K435" s="171" t="s">
        <v>702</v>
      </c>
      <c r="L435" s="171"/>
      <c r="M435" s="171"/>
      <c r="P435" s="236"/>
    </row>
    <row r="436" spans="11:16" ht="18" customHeight="1">
      <c r="K436" s="171" t="s">
        <v>702</v>
      </c>
      <c r="L436" s="171"/>
      <c r="M436" s="171"/>
      <c r="P436" s="236"/>
    </row>
    <row r="437" spans="11:16" ht="18" customHeight="1">
      <c r="K437" s="171" t="s">
        <v>702</v>
      </c>
      <c r="L437" s="171"/>
      <c r="M437" s="171"/>
      <c r="P437" s="236"/>
    </row>
    <row r="438" spans="11:16" ht="18" customHeight="1">
      <c r="K438" s="171" t="s">
        <v>702</v>
      </c>
      <c r="L438" s="171"/>
      <c r="M438" s="171"/>
      <c r="P438" s="236"/>
    </row>
    <row r="439" spans="11:16" ht="18" customHeight="1">
      <c r="K439" s="171" t="s">
        <v>702</v>
      </c>
      <c r="L439" s="171"/>
      <c r="M439" s="171"/>
      <c r="P439" s="236"/>
    </row>
    <row r="440" spans="11:16" ht="18" customHeight="1">
      <c r="K440" s="171" t="s">
        <v>702</v>
      </c>
      <c r="L440" s="171"/>
      <c r="M440" s="171"/>
      <c r="P440" s="236"/>
    </row>
    <row r="441" spans="11:16" ht="18" customHeight="1">
      <c r="K441" s="171" t="s">
        <v>702</v>
      </c>
      <c r="L441" s="171"/>
      <c r="M441" s="171"/>
      <c r="P441" s="236"/>
    </row>
    <row r="442" spans="11:16" ht="18" customHeight="1">
      <c r="K442" s="171" t="s">
        <v>702</v>
      </c>
      <c r="L442" s="171"/>
      <c r="M442" s="171"/>
      <c r="P442" s="236"/>
    </row>
    <row r="443" spans="11:16" ht="18" customHeight="1">
      <c r="K443" s="171" t="s">
        <v>702</v>
      </c>
      <c r="L443" s="171"/>
      <c r="M443" s="171"/>
      <c r="P443" s="236"/>
    </row>
    <row r="444" spans="11:16" ht="18" customHeight="1">
      <c r="K444" s="171" t="s">
        <v>702</v>
      </c>
      <c r="L444" s="171"/>
      <c r="M444" s="171"/>
      <c r="P444" s="236"/>
    </row>
    <row r="445" spans="11:16" ht="18" customHeight="1">
      <c r="K445" s="171" t="s">
        <v>702</v>
      </c>
      <c r="L445" s="171"/>
      <c r="M445" s="171"/>
      <c r="P445" s="236"/>
    </row>
    <row r="446" spans="11:16" ht="18" customHeight="1">
      <c r="K446" s="171" t="s">
        <v>702</v>
      </c>
      <c r="L446" s="171"/>
      <c r="M446" s="171"/>
      <c r="P446" s="236"/>
    </row>
    <row r="447" spans="11:16" ht="18" customHeight="1">
      <c r="K447" s="171" t="s">
        <v>702</v>
      </c>
      <c r="L447" s="171"/>
      <c r="M447" s="171"/>
      <c r="P447" s="236"/>
    </row>
    <row r="448" spans="11:16" ht="18" customHeight="1">
      <c r="K448" s="171" t="s">
        <v>702</v>
      </c>
      <c r="L448" s="171"/>
      <c r="M448" s="171"/>
      <c r="P448" s="236"/>
    </row>
    <row r="449" spans="11:16" ht="18" customHeight="1">
      <c r="K449" s="171" t="s">
        <v>702</v>
      </c>
      <c r="L449" s="171"/>
      <c r="M449" s="171"/>
      <c r="P449" s="236"/>
    </row>
    <row r="450" spans="11:16" ht="18" customHeight="1">
      <c r="K450" s="171" t="s">
        <v>702</v>
      </c>
      <c r="L450" s="171"/>
      <c r="M450" s="171"/>
      <c r="P450" s="236"/>
    </row>
    <row r="451" spans="11:16" ht="18" customHeight="1">
      <c r="K451" s="171" t="s">
        <v>702</v>
      </c>
      <c r="L451" s="171"/>
      <c r="M451" s="171"/>
      <c r="P451" s="236"/>
    </row>
    <row r="452" spans="11:16" ht="18" customHeight="1">
      <c r="K452" s="171" t="s">
        <v>702</v>
      </c>
      <c r="L452" s="171"/>
      <c r="M452" s="171"/>
      <c r="P452" s="236"/>
    </row>
    <row r="453" spans="11:16" ht="18" customHeight="1">
      <c r="K453" s="171" t="s">
        <v>702</v>
      </c>
      <c r="L453" s="171"/>
      <c r="M453" s="171"/>
      <c r="P453" s="236"/>
    </row>
    <row r="454" spans="11:16" ht="18" customHeight="1">
      <c r="K454" s="171" t="s">
        <v>702</v>
      </c>
      <c r="L454" s="171"/>
      <c r="M454" s="171"/>
      <c r="P454" s="236"/>
    </row>
    <row r="455" spans="11:16" ht="18" customHeight="1">
      <c r="K455" s="171" t="s">
        <v>702</v>
      </c>
      <c r="L455" s="171"/>
      <c r="M455" s="171"/>
      <c r="P455" s="236"/>
    </row>
    <row r="456" spans="11:16" ht="18" customHeight="1">
      <c r="K456" s="171" t="s">
        <v>702</v>
      </c>
      <c r="L456" s="171"/>
      <c r="M456" s="171"/>
      <c r="P456" s="236"/>
    </row>
    <row r="457" spans="11:16" ht="18" customHeight="1">
      <c r="K457" s="171" t="s">
        <v>702</v>
      </c>
      <c r="L457" s="171"/>
      <c r="M457" s="171"/>
      <c r="P457" s="236"/>
    </row>
    <row r="458" spans="11:16" ht="18" customHeight="1">
      <c r="K458" s="171" t="s">
        <v>702</v>
      </c>
      <c r="L458" s="171"/>
      <c r="M458" s="171"/>
      <c r="P458" s="236"/>
    </row>
    <row r="459" spans="11:16" ht="18" customHeight="1">
      <c r="K459" s="171" t="s">
        <v>702</v>
      </c>
      <c r="L459" s="171"/>
      <c r="M459" s="171"/>
      <c r="P459" s="236"/>
    </row>
    <row r="460" spans="11:16" ht="18" customHeight="1">
      <c r="K460" s="171" t="s">
        <v>702</v>
      </c>
      <c r="L460" s="171"/>
      <c r="M460" s="171"/>
      <c r="P460" s="236"/>
    </row>
    <row r="461" spans="11:16" ht="18" customHeight="1">
      <c r="K461" s="171" t="s">
        <v>702</v>
      </c>
      <c r="L461" s="171"/>
      <c r="M461" s="171"/>
      <c r="P461" s="236"/>
    </row>
    <row r="462" spans="11:16" ht="18" customHeight="1">
      <c r="K462" s="171" t="s">
        <v>702</v>
      </c>
      <c r="L462" s="171"/>
      <c r="M462" s="171"/>
      <c r="P462" s="236"/>
    </row>
    <row r="463" spans="11:16" ht="18" customHeight="1">
      <c r="K463" s="171" t="s">
        <v>702</v>
      </c>
      <c r="L463" s="171"/>
      <c r="M463" s="171"/>
      <c r="P463" s="236"/>
    </row>
    <row r="464" spans="11:16" ht="18" customHeight="1">
      <c r="K464" s="171" t="s">
        <v>702</v>
      </c>
      <c r="L464" s="171"/>
      <c r="M464" s="171"/>
      <c r="P464" s="236"/>
    </row>
    <row r="465" spans="11:16" ht="18" customHeight="1">
      <c r="K465" s="171" t="s">
        <v>702</v>
      </c>
      <c r="L465" s="171"/>
      <c r="M465" s="171"/>
      <c r="P465" s="236"/>
    </row>
    <row r="466" spans="11:16" ht="18" customHeight="1">
      <c r="K466" s="171" t="s">
        <v>702</v>
      </c>
      <c r="L466" s="171"/>
      <c r="M466" s="171"/>
      <c r="P466" s="236"/>
    </row>
    <row r="467" spans="11:16" ht="18" customHeight="1">
      <c r="K467" s="171" t="s">
        <v>702</v>
      </c>
      <c r="L467" s="171"/>
      <c r="M467" s="171"/>
      <c r="P467" s="236"/>
    </row>
    <row r="468" spans="11:16" ht="18" customHeight="1">
      <c r="K468" s="171" t="s">
        <v>702</v>
      </c>
      <c r="L468" s="171"/>
      <c r="M468" s="171"/>
      <c r="P468" s="236"/>
    </row>
    <row r="469" spans="11:16" ht="18" customHeight="1">
      <c r="K469" s="171" t="s">
        <v>702</v>
      </c>
      <c r="L469" s="171"/>
      <c r="M469" s="171"/>
      <c r="P469" s="236"/>
    </row>
    <row r="470" spans="11:16" ht="18" customHeight="1">
      <c r="K470" s="171" t="s">
        <v>702</v>
      </c>
      <c r="L470" s="171"/>
      <c r="M470" s="171"/>
      <c r="P470" s="236"/>
    </row>
    <row r="471" spans="11:16" ht="18" customHeight="1">
      <c r="K471" s="171" t="s">
        <v>702</v>
      </c>
      <c r="L471" s="171"/>
      <c r="M471" s="171"/>
      <c r="P471" s="236"/>
    </row>
    <row r="472" spans="11:16" ht="18" customHeight="1">
      <c r="K472" s="171" t="s">
        <v>702</v>
      </c>
      <c r="L472" s="171"/>
      <c r="M472" s="171"/>
      <c r="P472" s="236"/>
    </row>
    <row r="473" spans="11:16" ht="18" customHeight="1">
      <c r="K473" s="171" t="s">
        <v>702</v>
      </c>
      <c r="L473" s="171"/>
      <c r="M473" s="171"/>
      <c r="P473" s="236"/>
    </row>
    <row r="474" spans="11:16" ht="18" customHeight="1">
      <c r="K474" s="171" t="s">
        <v>702</v>
      </c>
      <c r="L474" s="171"/>
      <c r="M474" s="171"/>
      <c r="P474" s="236"/>
    </row>
    <row r="475" spans="11:16" ht="18" customHeight="1">
      <c r="K475" s="171" t="s">
        <v>702</v>
      </c>
      <c r="L475" s="171"/>
      <c r="M475" s="171"/>
      <c r="P475" s="236"/>
    </row>
    <row r="476" spans="11:16" ht="18" customHeight="1">
      <c r="K476" s="171" t="s">
        <v>702</v>
      </c>
      <c r="L476" s="171"/>
      <c r="M476" s="171"/>
      <c r="P476" s="236"/>
    </row>
    <row r="477" spans="11:16" ht="18" customHeight="1">
      <c r="K477" s="171" t="s">
        <v>702</v>
      </c>
      <c r="L477" s="171"/>
      <c r="M477" s="171"/>
      <c r="P477" s="236"/>
    </row>
    <row r="478" spans="11:16" ht="18" customHeight="1">
      <c r="K478" s="171" t="s">
        <v>702</v>
      </c>
      <c r="L478" s="171"/>
      <c r="M478" s="171"/>
      <c r="P478" s="236"/>
    </row>
    <row r="479" spans="11:16" ht="18" customHeight="1">
      <c r="K479" s="171" t="s">
        <v>702</v>
      </c>
      <c r="L479" s="171"/>
      <c r="M479" s="171"/>
      <c r="P479" s="236"/>
    </row>
    <row r="480" spans="11:16" ht="18" customHeight="1">
      <c r="K480" s="171" t="s">
        <v>702</v>
      </c>
      <c r="L480" s="171"/>
      <c r="M480" s="171"/>
      <c r="P480" s="236"/>
    </row>
    <row r="481" spans="11:16" ht="18" customHeight="1">
      <c r="K481" s="171" t="s">
        <v>702</v>
      </c>
      <c r="L481" s="171"/>
      <c r="M481" s="171"/>
      <c r="P481" s="236"/>
    </row>
    <row r="482" spans="11:16" ht="18" customHeight="1">
      <c r="K482" s="171" t="s">
        <v>702</v>
      </c>
      <c r="L482" s="171"/>
      <c r="M482" s="171"/>
      <c r="P482" s="236"/>
    </row>
    <row r="483" spans="11:16" ht="18" customHeight="1">
      <c r="K483" s="171" t="s">
        <v>702</v>
      </c>
      <c r="L483" s="171"/>
      <c r="M483" s="171"/>
      <c r="P483" s="236"/>
    </row>
    <row r="484" spans="11:16" ht="18" customHeight="1">
      <c r="K484" s="171" t="s">
        <v>702</v>
      </c>
      <c r="L484" s="171"/>
      <c r="M484" s="171"/>
      <c r="P484" s="236"/>
    </row>
    <row r="485" spans="11:16" ht="18" customHeight="1">
      <c r="K485" s="171" t="s">
        <v>702</v>
      </c>
      <c r="L485" s="171"/>
      <c r="M485" s="171"/>
      <c r="P485" s="236"/>
    </row>
    <row r="486" spans="11:16" ht="18" customHeight="1">
      <c r="K486" s="171" t="s">
        <v>702</v>
      </c>
      <c r="L486" s="171"/>
      <c r="M486" s="171"/>
      <c r="P486" s="236"/>
    </row>
    <row r="487" spans="11:16" ht="18" customHeight="1">
      <c r="K487" s="171" t="s">
        <v>702</v>
      </c>
      <c r="L487" s="171"/>
      <c r="M487" s="171"/>
      <c r="P487" s="236"/>
    </row>
    <row r="488" spans="11:16" ht="18" customHeight="1">
      <c r="K488" s="171" t="s">
        <v>702</v>
      </c>
      <c r="L488" s="171"/>
      <c r="M488" s="171"/>
      <c r="P488" s="236"/>
    </row>
    <row r="489" spans="11:16" ht="18" customHeight="1">
      <c r="K489" s="171" t="s">
        <v>702</v>
      </c>
      <c r="L489" s="171"/>
      <c r="M489" s="171"/>
      <c r="P489" s="236"/>
    </row>
    <row r="490" spans="11:16" ht="18" customHeight="1">
      <c r="K490" s="171" t="s">
        <v>702</v>
      </c>
      <c r="L490" s="171"/>
      <c r="M490" s="171"/>
      <c r="P490" s="236"/>
    </row>
    <row r="491" spans="11:16" ht="18" customHeight="1">
      <c r="K491" s="171" t="s">
        <v>702</v>
      </c>
      <c r="L491" s="171"/>
      <c r="M491" s="171"/>
      <c r="P491" s="236"/>
    </row>
    <row r="492" spans="11:16" ht="18" customHeight="1">
      <c r="K492" s="171" t="s">
        <v>702</v>
      </c>
      <c r="L492" s="171"/>
      <c r="M492" s="171"/>
      <c r="P492" s="236"/>
    </row>
    <row r="493" spans="11:16" ht="18" customHeight="1">
      <c r="K493" s="171" t="s">
        <v>702</v>
      </c>
      <c r="L493" s="171"/>
      <c r="M493" s="171"/>
      <c r="P493" s="236"/>
    </row>
    <row r="494" spans="11:16" ht="18" customHeight="1">
      <c r="K494" s="171" t="s">
        <v>702</v>
      </c>
      <c r="L494" s="171"/>
      <c r="M494" s="171"/>
      <c r="P494" s="236"/>
    </row>
    <row r="495" spans="11:16" ht="18" customHeight="1">
      <c r="K495" s="171" t="s">
        <v>702</v>
      </c>
      <c r="L495" s="171"/>
      <c r="M495" s="171"/>
      <c r="P495" s="236"/>
    </row>
    <row r="496" spans="11:16" ht="18" customHeight="1">
      <c r="K496" s="171" t="s">
        <v>702</v>
      </c>
      <c r="L496" s="171"/>
      <c r="M496" s="171"/>
      <c r="P496" s="236"/>
    </row>
    <row r="497" spans="11:16" ht="18" customHeight="1">
      <c r="K497" s="171" t="s">
        <v>702</v>
      </c>
      <c r="L497" s="171"/>
      <c r="M497" s="171"/>
      <c r="P497" s="236"/>
    </row>
    <row r="498" spans="11:16" ht="18" customHeight="1">
      <c r="K498" s="171" t="s">
        <v>702</v>
      </c>
      <c r="L498" s="171"/>
      <c r="M498" s="171"/>
      <c r="P498" s="236"/>
    </row>
    <row r="499" spans="11:16" ht="18" customHeight="1">
      <c r="K499" s="171" t="s">
        <v>702</v>
      </c>
      <c r="L499" s="171"/>
      <c r="M499" s="171"/>
      <c r="P499" s="236"/>
    </row>
    <row r="500" spans="11:16" ht="18" customHeight="1">
      <c r="K500" s="171" t="s">
        <v>702</v>
      </c>
      <c r="L500" s="171"/>
      <c r="M500" s="171"/>
      <c r="P500" s="236"/>
    </row>
    <row r="501" spans="11:16" ht="18" customHeight="1">
      <c r="K501" s="171" t="s">
        <v>702</v>
      </c>
      <c r="L501" s="171"/>
      <c r="M501" s="171"/>
      <c r="P501" s="236"/>
    </row>
    <row r="502" spans="11:16" ht="18" customHeight="1">
      <c r="K502" s="171" t="s">
        <v>702</v>
      </c>
      <c r="L502" s="171"/>
      <c r="M502" s="171"/>
      <c r="P502" s="236"/>
    </row>
    <row r="503" spans="11:16" ht="18" customHeight="1">
      <c r="K503" s="171" t="s">
        <v>702</v>
      </c>
      <c r="L503" s="171"/>
      <c r="M503" s="171"/>
      <c r="P503" s="236"/>
    </row>
    <row r="504" spans="11:16" ht="18" customHeight="1">
      <c r="K504" s="171" t="s">
        <v>702</v>
      </c>
      <c r="L504" s="171"/>
      <c r="M504" s="171"/>
      <c r="P504" s="236"/>
    </row>
    <row r="505" spans="11:16" ht="18" customHeight="1">
      <c r="K505" s="171" t="s">
        <v>702</v>
      </c>
      <c r="L505" s="171"/>
      <c r="M505" s="171"/>
      <c r="P505" s="236"/>
    </row>
    <row r="506" spans="11:16" ht="18" customHeight="1">
      <c r="K506" s="171" t="s">
        <v>702</v>
      </c>
      <c r="L506" s="171"/>
      <c r="M506" s="171"/>
      <c r="P506" s="236"/>
    </row>
    <row r="507" spans="11:16" ht="18" customHeight="1">
      <c r="K507" s="171" t="s">
        <v>702</v>
      </c>
      <c r="L507" s="171"/>
      <c r="M507" s="171"/>
      <c r="P507" s="236"/>
    </row>
    <row r="508" spans="11:16" ht="18" customHeight="1">
      <c r="K508" s="171" t="s">
        <v>702</v>
      </c>
      <c r="L508" s="171"/>
      <c r="M508" s="171"/>
      <c r="P508" s="236"/>
    </row>
    <row r="509" spans="11:16" ht="18" customHeight="1">
      <c r="K509" s="171" t="s">
        <v>702</v>
      </c>
      <c r="L509" s="171"/>
      <c r="M509" s="171"/>
      <c r="P509" s="236"/>
    </row>
    <row r="510" spans="11:16" ht="18" customHeight="1">
      <c r="K510" s="171" t="s">
        <v>702</v>
      </c>
      <c r="L510" s="171"/>
      <c r="M510" s="171"/>
      <c r="P510" s="236"/>
    </row>
    <row r="511" spans="11:16" ht="18" customHeight="1">
      <c r="K511" s="171" t="s">
        <v>702</v>
      </c>
      <c r="L511" s="171"/>
      <c r="M511" s="171"/>
      <c r="P511" s="236"/>
    </row>
    <row r="512" spans="11:16" ht="18" customHeight="1">
      <c r="K512" s="171" t="s">
        <v>702</v>
      </c>
      <c r="L512" s="171"/>
      <c r="M512" s="171"/>
      <c r="P512" s="236"/>
    </row>
    <row r="513" spans="11:16" ht="18" customHeight="1">
      <c r="K513" s="171" t="s">
        <v>702</v>
      </c>
      <c r="L513" s="171"/>
      <c r="M513" s="171"/>
      <c r="P513" s="236"/>
    </row>
    <row r="514" spans="11:16" ht="18" customHeight="1">
      <c r="K514" s="171" t="s">
        <v>702</v>
      </c>
      <c r="L514" s="171"/>
      <c r="M514" s="171"/>
      <c r="P514" s="236"/>
    </row>
    <row r="515" spans="11:16" ht="18" customHeight="1">
      <c r="K515" s="171" t="s">
        <v>702</v>
      </c>
      <c r="L515" s="171"/>
      <c r="M515" s="171"/>
      <c r="P515" s="236"/>
    </row>
    <row r="516" spans="11:16" ht="18" customHeight="1">
      <c r="K516" s="171" t="s">
        <v>702</v>
      </c>
      <c r="L516" s="171"/>
      <c r="M516" s="171"/>
      <c r="P516" s="236"/>
    </row>
    <row r="517" spans="11:16" ht="18" customHeight="1">
      <c r="K517" s="171" t="s">
        <v>702</v>
      </c>
      <c r="L517" s="171"/>
      <c r="M517" s="171"/>
    </row>
    <row r="518" spans="11:16" ht="18" customHeight="1">
      <c r="K518" s="171" t="s">
        <v>702</v>
      </c>
      <c r="L518" s="171"/>
      <c r="M518" s="171"/>
    </row>
    <row r="519" spans="11:16" ht="18" customHeight="1">
      <c r="K519" s="171" t="s">
        <v>702</v>
      </c>
      <c r="L519" s="171"/>
      <c r="M519" s="171"/>
    </row>
    <row r="520" spans="11:16" ht="18" customHeight="1">
      <c r="K520" s="171" t="s">
        <v>702</v>
      </c>
      <c r="L520" s="171"/>
      <c r="M520" s="171"/>
    </row>
    <row r="521" spans="11:16" ht="18" customHeight="1">
      <c r="K521" s="171" t="s">
        <v>702</v>
      </c>
      <c r="L521" s="171"/>
      <c r="M521" s="171"/>
    </row>
    <row r="522" spans="11:16" ht="18" customHeight="1">
      <c r="K522" s="171" t="s">
        <v>702</v>
      </c>
      <c r="L522" s="171"/>
      <c r="M522" s="171"/>
    </row>
    <row r="523" spans="11:16" ht="18" customHeight="1">
      <c r="K523" s="171" t="s">
        <v>702</v>
      </c>
      <c r="L523" s="171"/>
      <c r="M523" s="171"/>
    </row>
    <row r="524" spans="11:16" ht="18" customHeight="1">
      <c r="K524" s="171" t="s">
        <v>702</v>
      </c>
      <c r="L524" s="171"/>
      <c r="M524" s="171"/>
    </row>
    <row r="525" spans="11:16" ht="18" customHeight="1">
      <c r="K525" s="171" t="s">
        <v>702</v>
      </c>
      <c r="L525" s="171"/>
      <c r="M525" s="171"/>
    </row>
    <row r="526" spans="11:16" ht="18" customHeight="1">
      <c r="K526" s="171" t="s">
        <v>702</v>
      </c>
      <c r="L526" s="171"/>
      <c r="M526" s="171"/>
    </row>
    <row r="527" spans="11:16" ht="18" customHeight="1">
      <c r="K527" s="171" t="s">
        <v>702</v>
      </c>
      <c r="L527" s="171"/>
      <c r="M527" s="171"/>
    </row>
    <row r="528" spans="11:16" ht="18" customHeight="1">
      <c r="K528" s="171" t="s">
        <v>702</v>
      </c>
      <c r="L528" s="171"/>
      <c r="M528" s="171"/>
    </row>
    <row r="529" spans="11:13" ht="18" customHeight="1">
      <c r="K529" s="171" t="s">
        <v>702</v>
      </c>
      <c r="L529" s="171"/>
      <c r="M529" s="171"/>
    </row>
    <row r="530" spans="11:13" ht="18" customHeight="1">
      <c r="K530" s="171" t="s">
        <v>702</v>
      </c>
      <c r="L530" s="171"/>
      <c r="M530" s="171"/>
    </row>
    <row r="531" spans="11:13" ht="18" customHeight="1">
      <c r="K531" s="171" t="s">
        <v>702</v>
      </c>
      <c r="L531" s="171"/>
      <c r="M531" s="171"/>
    </row>
    <row r="532" spans="11:13" ht="18" customHeight="1">
      <c r="K532" s="171" t="s">
        <v>702</v>
      </c>
      <c r="L532" s="171"/>
      <c r="M532" s="171"/>
    </row>
    <row r="533" spans="11:13" ht="18" customHeight="1">
      <c r="K533" s="171" t="s">
        <v>702</v>
      </c>
      <c r="L533" s="171"/>
      <c r="M533" s="171"/>
    </row>
    <row r="534" spans="11:13" ht="18" customHeight="1">
      <c r="K534" s="171" t="s">
        <v>702</v>
      </c>
      <c r="L534" s="171"/>
      <c r="M534" s="171"/>
    </row>
    <row r="535" spans="11:13" ht="18" customHeight="1">
      <c r="K535" s="171" t="s">
        <v>702</v>
      </c>
      <c r="L535" s="171"/>
      <c r="M535" s="171"/>
    </row>
    <row r="536" spans="11:13" ht="18" customHeight="1">
      <c r="K536" s="171" t="s">
        <v>702</v>
      </c>
      <c r="L536" s="171"/>
      <c r="M536" s="171"/>
    </row>
    <row r="537" spans="11:13" ht="18" customHeight="1">
      <c r="K537" s="171" t="s">
        <v>702</v>
      </c>
      <c r="L537" s="171"/>
      <c r="M537" s="171"/>
    </row>
    <row r="538" spans="11:13" ht="18" customHeight="1">
      <c r="K538" s="171" t="s">
        <v>702</v>
      </c>
      <c r="L538" s="171"/>
      <c r="M538" s="171"/>
    </row>
    <row r="539" spans="11:13" ht="18" customHeight="1">
      <c r="K539" s="171" t="s">
        <v>702</v>
      </c>
      <c r="L539" s="171"/>
      <c r="M539" s="171"/>
    </row>
    <row r="540" spans="11:13" ht="18" customHeight="1">
      <c r="K540" s="171" t="s">
        <v>702</v>
      </c>
      <c r="L540" s="171"/>
      <c r="M540" s="171"/>
    </row>
    <row r="541" spans="11:13" ht="18" customHeight="1">
      <c r="K541" s="171" t="s">
        <v>702</v>
      </c>
      <c r="L541" s="171"/>
      <c r="M541" s="171"/>
    </row>
    <row r="542" spans="11:13" ht="18" customHeight="1">
      <c r="K542" s="171" t="s">
        <v>702</v>
      </c>
      <c r="L542" s="171"/>
      <c r="M542" s="171"/>
    </row>
    <row r="543" spans="11:13" ht="18" customHeight="1">
      <c r="K543" s="171" t="s">
        <v>702</v>
      </c>
      <c r="L543" s="171"/>
      <c r="M543" s="171"/>
    </row>
    <row r="544" spans="11:13" ht="18" customHeight="1">
      <c r="K544" s="171" t="s">
        <v>702</v>
      </c>
      <c r="L544" s="171"/>
      <c r="M544" s="171"/>
    </row>
    <row r="545" spans="11:13" ht="18" customHeight="1">
      <c r="K545" s="171" t="s">
        <v>702</v>
      </c>
      <c r="L545" s="171"/>
      <c r="M545" s="171"/>
    </row>
    <row r="546" spans="11:13" ht="18" customHeight="1">
      <c r="K546" s="171" t="s">
        <v>702</v>
      </c>
      <c r="L546" s="171"/>
      <c r="M546" s="171"/>
    </row>
    <row r="547" spans="11:13" ht="18" customHeight="1">
      <c r="K547" s="171" t="s">
        <v>702</v>
      </c>
      <c r="L547" s="171"/>
      <c r="M547" s="171"/>
    </row>
    <row r="548" spans="11:13" ht="18" customHeight="1">
      <c r="K548" s="171" t="s">
        <v>702</v>
      </c>
      <c r="L548" s="171"/>
      <c r="M548" s="171"/>
    </row>
    <row r="549" spans="11:13" ht="18" customHeight="1">
      <c r="K549" s="171" t="s">
        <v>702</v>
      </c>
      <c r="L549" s="171"/>
      <c r="M549" s="171"/>
    </row>
    <row r="550" spans="11:13" ht="18" customHeight="1">
      <c r="K550" s="171" t="s">
        <v>702</v>
      </c>
      <c r="L550" s="171"/>
      <c r="M550" s="171"/>
    </row>
    <row r="551" spans="11:13" ht="18" customHeight="1">
      <c r="K551" s="171" t="s">
        <v>702</v>
      </c>
      <c r="L551" s="171"/>
      <c r="M551" s="171"/>
    </row>
    <row r="552" spans="11:13" ht="18" customHeight="1">
      <c r="K552" s="171" t="s">
        <v>702</v>
      </c>
      <c r="L552" s="171"/>
      <c r="M552" s="171"/>
    </row>
    <row r="553" spans="11:13" ht="18" customHeight="1">
      <c r="K553" s="171" t="s">
        <v>702</v>
      </c>
      <c r="L553" s="171"/>
      <c r="M553" s="171"/>
    </row>
    <row r="554" spans="11:13" ht="18" customHeight="1">
      <c r="K554" s="171" t="s">
        <v>702</v>
      </c>
      <c r="L554" s="171"/>
      <c r="M554" s="171"/>
    </row>
    <row r="555" spans="11:13" ht="18" customHeight="1">
      <c r="K555" s="171" t="s">
        <v>702</v>
      </c>
      <c r="L555" s="171"/>
      <c r="M555" s="171"/>
    </row>
    <row r="556" spans="11:13" ht="18" customHeight="1">
      <c r="K556" s="171" t="s">
        <v>702</v>
      </c>
      <c r="L556" s="171"/>
      <c r="M556" s="171"/>
    </row>
    <row r="557" spans="11:13" ht="18" customHeight="1">
      <c r="K557" s="171" t="s">
        <v>702</v>
      </c>
      <c r="L557" s="171"/>
      <c r="M557" s="171"/>
    </row>
    <row r="558" spans="11:13" ht="18" customHeight="1">
      <c r="K558" s="171" t="s">
        <v>702</v>
      </c>
      <c r="L558" s="171"/>
      <c r="M558" s="171"/>
    </row>
    <row r="559" spans="11:13" ht="18" customHeight="1">
      <c r="K559" s="171" t="s">
        <v>702</v>
      </c>
      <c r="L559" s="171"/>
      <c r="M559" s="171"/>
    </row>
    <row r="560" spans="11:13" ht="18" customHeight="1">
      <c r="K560" s="171" t="s">
        <v>702</v>
      </c>
      <c r="L560" s="171"/>
      <c r="M560" s="171"/>
    </row>
    <row r="561" spans="11:13" ht="18" customHeight="1">
      <c r="K561" s="171" t="s">
        <v>702</v>
      </c>
      <c r="L561" s="171"/>
      <c r="M561" s="171"/>
    </row>
    <row r="562" spans="11:13" ht="18" customHeight="1">
      <c r="K562" s="171" t="s">
        <v>702</v>
      </c>
      <c r="L562" s="171"/>
      <c r="M562" s="171"/>
    </row>
    <row r="563" spans="11:13" ht="18" customHeight="1">
      <c r="K563" s="171" t="s">
        <v>702</v>
      </c>
      <c r="L563" s="171"/>
      <c r="M563" s="171"/>
    </row>
    <row r="564" spans="11:13" ht="18" customHeight="1">
      <c r="K564" s="171" t="s">
        <v>702</v>
      </c>
      <c r="L564" s="171"/>
      <c r="M564" s="171"/>
    </row>
    <row r="565" spans="11:13" ht="18" customHeight="1">
      <c r="K565" s="171" t="s">
        <v>702</v>
      </c>
      <c r="L565" s="171"/>
      <c r="M565" s="171"/>
    </row>
    <row r="566" spans="11:13" ht="18" customHeight="1">
      <c r="K566" s="171" t="s">
        <v>702</v>
      </c>
      <c r="L566" s="171"/>
      <c r="M566" s="171"/>
    </row>
    <row r="567" spans="11:13" ht="18" customHeight="1">
      <c r="K567" s="171" t="s">
        <v>702</v>
      </c>
      <c r="L567" s="171"/>
      <c r="M567" s="171"/>
    </row>
    <row r="568" spans="11:13" ht="18" customHeight="1">
      <c r="K568" s="171" t="s">
        <v>702</v>
      </c>
      <c r="L568" s="171"/>
      <c r="M568" s="171"/>
    </row>
    <row r="569" spans="11:13" ht="18" customHeight="1">
      <c r="K569" s="171" t="s">
        <v>702</v>
      </c>
      <c r="L569" s="171"/>
      <c r="M569" s="171"/>
    </row>
    <row r="570" spans="11:13" ht="18" customHeight="1">
      <c r="K570" s="171" t="s">
        <v>702</v>
      </c>
      <c r="L570" s="171"/>
      <c r="M570" s="171"/>
    </row>
    <row r="571" spans="11:13" ht="18" customHeight="1">
      <c r="K571" s="171" t="s">
        <v>702</v>
      </c>
      <c r="L571" s="171"/>
      <c r="M571" s="171"/>
    </row>
    <row r="572" spans="11:13" ht="18" customHeight="1">
      <c r="K572" s="171" t="s">
        <v>702</v>
      </c>
      <c r="L572" s="171"/>
      <c r="M572" s="171"/>
    </row>
    <row r="573" spans="11:13" ht="18" customHeight="1">
      <c r="K573" s="171" t="s">
        <v>702</v>
      </c>
      <c r="L573" s="171"/>
      <c r="M573" s="171"/>
    </row>
    <row r="574" spans="11:13" ht="18" customHeight="1">
      <c r="K574" s="171" t="s">
        <v>702</v>
      </c>
      <c r="L574" s="171"/>
      <c r="M574" s="171"/>
    </row>
    <row r="575" spans="11:13" ht="18" customHeight="1">
      <c r="K575" s="171" t="s">
        <v>702</v>
      </c>
      <c r="L575" s="171"/>
      <c r="M575" s="171"/>
    </row>
    <row r="576" spans="11:13" ht="18" customHeight="1">
      <c r="K576" s="171" t="s">
        <v>702</v>
      </c>
      <c r="L576" s="171"/>
      <c r="M576" s="171"/>
    </row>
    <row r="577" spans="11:13" ht="18" customHeight="1">
      <c r="K577" s="171" t="s">
        <v>702</v>
      </c>
      <c r="L577" s="171"/>
      <c r="M577" s="171"/>
    </row>
    <row r="578" spans="11:13" ht="18" customHeight="1">
      <c r="K578" s="171" t="s">
        <v>702</v>
      </c>
      <c r="L578" s="171"/>
      <c r="M578" s="171"/>
    </row>
    <row r="579" spans="11:13" ht="18" customHeight="1">
      <c r="K579" s="171" t="s">
        <v>702</v>
      </c>
      <c r="L579" s="171"/>
      <c r="M579" s="171"/>
    </row>
    <row r="580" spans="11:13" ht="18" customHeight="1">
      <c r="K580" s="171" t="s">
        <v>702</v>
      </c>
      <c r="L580" s="171"/>
      <c r="M580" s="171"/>
    </row>
    <row r="581" spans="11:13" ht="18" customHeight="1">
      <c r="K581" s="171" t="s">
        <v>702</v>
      </c>
      <c r="L581" s="171"/>
      <c r="M581" s="171"/>
    </row>
    <row r="582" spans="11:13" ht="18" customHeight="1">
      <c r="K582" s="171" t="s">
        <v>702</v>
      </c>
      <c r="L582" s="171"/>
      <c r="M582" s="171"/>
    </row>
    <row r="583" spans="11:13" ht="18" customHeight="1">
      <c r="K583" s="171" t="s">
        <v>702</v>
      </c>
      <c r="L583" s="171"/>
      <c r="M583" s="171"/>
    </row>
    <row r="584" spans="11:13" ht="18" customHeight="1">
      <c r="K584" s="171" t="s">
        <v>702</v>
      </c>
      <c r="L584" s="171"/>
      <c r="M584" s="171"/>
    </row>
    <row r="585" spans="11:13" ht="18" customHeight="1">
      <c r="K585" s="171" t="s">
        <v>702</v>
      </c>
      <c r="L585" s="171"/>
      <c r="M585" s="171"/>
    </row>
    <row r="586" spans="11:13" ht="18" customHeight="1">
      <c r="K586" s="171" t="s">
        <v>702</v>
      </c>
      <c r="L586" s="171"/>
      <c r="M586" s="171"/>
    </row>
    <row r="587" spans="11:13" ht="18" customHeight="1">
      <c r="K587" s="171" t="s">
        <v>702</v>
      </c>
      <c r="L587" s="171"/>
      <c r="M587" s="171"/>
    </row>
    <row r="588" spans="11:13" ht="18" customHeight="1">
      <c r="K588" s="171" t="s">
        <v>702</v>
      </c>
      <c r="L588" s="171"/>
      <c r="M588" s="171"/>
    </row>
    <row r="589" spans="11:13" ht="18" customHeight="1">
      <c r="K589" s="171" t="s">
        <v>702</v>
      </c>
      <c r="L589" s="171"/>
      <c r="M589" s="171"/>
    </row>
    <row r="590" spans="11:13" ht="18" customHeight="1">
      <c r="K590" s="171" t="s">
        <v>702</v>
      </c>
      <c r="L590" s="171"/>
      <c r="M590" s="171"/>
    </row>
    <row r="591" spans="11:13" ht="18" customHeight="1">
      <c r="K591" s="171" t="s">
        <v>702</v>
      </c>
      <c r="L591" s="171"/>
      <c r="M591" s="171"/>
    </row>
    <row r="592" spans="11:13" ht="18" customHeight="1">
      <c r="K592" s="171" t="s">
        <v>702</v>
      </c>
      <c r="L592" s="171"/>
      <c r="M592" s="171"/>
    </row>
    <row r="593" spans="11:13" ht="18" customHeight="1">
      <c r="K593" s="171" t="s">
        <v>702</v>
      </c>
      <c r="L593" s="171"/>
      <c r="M593" s="171"/>
    </row>
    <row r="594" spans="11:13" ht="18" customHeight="1">
      <c r="K594" s="171" t="s">
        <v>702</v>
      </c>
      <c r="L594" s="171"/>
      <c r="M594" s="171"/>
    </row>
    <row r="595" spans="11:13" ht="18" customHeight="1">
      <c r="K595" s="171" t="s">
        <v>702</v>
      </c>
      <c r="L595" s="171"/>
      <c r="M595" s="171"/>
    </row>
    <row r="596" spans="11:13" ht="18" customHeight="1">
      <c r="K596" s="171" t="s">
        <v>702</v>
      </c>
      <c r="L596" s="171"/>
      <c r="M596" s="171"/>
    </row>
    <row r="597" spans="11:13" ht="18" customHeight="1">
      <c r="K597" s="171" t="s">
        <v>702</v>
      </c>
      <c r="L597" s="171"/>
    </row>
    <row r="598" spans="11:13" ht="18" customHeight="1">
      <c r="K598" s="171" t="s">
        <v>702</v>
      </c>
      <c r="L598" s="171"/>
    </row>
    <row r="599" spans="11:13" ht="18" customHeight="1">
      <c r="K599" s="171" t="s">
        <v>702</v>
      </c>
      <c r="L599" s="171"/>
    </row>
    <row r="600" spans="11:13" ht="18" customHeight="1">
      <c r="K600" s="171" t="s">
        <v>702</v>
      </c>
      <c r="L600" s="171"/>
    </row>
    <row r="601" spans="11:13" ht="18" customHeight="1">
      <c r="K601" s="171" t="s">
        <v>702</v>
      </c>
      <c r="L601" s="171"/>
    </row>
    <row r="602" spans="11:13" ht="18" customHeight="1">
      <c r="K602" s="171" t="s">
        <v>702</v>
      </c>
      <c r="L602" s="171"/>
    </row>
    <row r="603" spans="11:13" ht="18" customHeight="1">
      <c r="K603" s="171" t="s">
        <v>702</v>
      </c>
      <c r="L603" s="171"/>
    </row>
    <row r="604" spans="11:13" ht="18" customHeight="1">
      <c r="K604" s="171" t="s">
        <v>702</v>
      </c>
      <c r="L604" s="171"/>
    </row>
    <row r="605" spans="11:13" ht="18" customHeight="1">
      <c r="K605" s="171" t="s">
        <v>702</v>
      </c>
      <c r="L605" s="171"/>
    </row>
    <row r="606" spans="11:13" ht="18" customHeight="1">
      <c r="K606" s="171" t="s">
        <v>702</v>
      </c>
      <c r="L606" s="171"/>
    </row>
    <row r="607" spans="11:13" ht="18" customHeight="1">
      <c r="K607" s="171" t="s">
        <v>702</v>
      </c>
      <c r="L607" s="171"/>
    </row>
    <row r="608" spans="11:13" ht="18" customHeight="1">
      <c r="K608" s="171" t="s">
        <v>702</v>
      </c>
      <c r="L608" s="171"/>
    </row>
    <row r="609" spans="11:12" ht="18" customHeight="1">
      <c r="K609" s="171" t="s">
        <v>702</v>
      </c>
      <c r="L609" s="171"/>
    </row>
    <row r="610" spans="11:12" ht="18" customHeight="1">
      <c r="K610" s="171" t="s">
        <v>702</v>
      </c>
      <c r="L610" s="171"/>
    </row>
    <row r="611" spans="11:12" ht="18" customHeight="1">
      <c r="K611" s="171" t="s">
        <v>702</v>
      </c>
      <c r="L611" s="171"/>
    </row>
    <row r="612" spans="11:12" ht="18" customHeight="1">
      <c r="K612" s="171" t="s">
        <v>702</v>
      </c>
      <c r="L612" s="171"/>
    </row>
    <row r="613" spans="11:12" ht="18" customHeight="1">
      <c r="K613" s="171" t="s">
        <v>702</v>
      </c>
      <c r="L613" s="171"/>
    </row>
    <row r="614" spans="11:12" ht="18" customHeight="1">
      <c r="K614" s="171" t="s">
        <v>702</v>
      </c>
      <c r="L614" s="171"/>
    </row>
    <row r="615" spans="11:12" ht="18" customHeight="1">
      <c r="K615" s="171" t="s">
        <v>702</v>
      </c>
      <c r="L615" s="171"/>
    </row>
    <row r="616" spans="11:12" ht="18" customHeight="1">
      <c r="K616" s="171" t="s">
        <v>702</v>
      </c>
      <c r="L616" s="171"/>
    </row>
    <row r="617" spans="11:12" ht="18" customHeight="1">
      <c r="K617" s="171" t="s">
        <v>702</v>
      </c>
      <c r="L617" s="171"/>
    </row>
    <row r="618" spans="11:12" ht="18" customHeight="1">
      <c r="K618" s="171" t="s">
        <v>702</v>
      </c>
      <c r="L618" s="171"/>
    </row>
    <row r="619" spans="11:12" ht="18" customHeight="1">
      <c r="K619" s="171" t="s">
        <v>702</v>
      </c>
      <c r="L619" s="171"/>
    </row>
    <row r="620" spans="11:12" ht="18" customHeight="1">
      <c r="K620" s="171" t="s">
        <v>702</v>
      </c>
      <c r="L620" s="171"/>
    </row>
    <row r="621" spans="11:12" ht="18" customHeight="1">
      <c r="K621" s="171" t="s">
        <v>702</v>
      </c>
      <c r="L621" s="171"/>
    </row>
    <row r="622" spans="11:12" ht="18" customHeight="1">
      <c r="K622" s="171" t="s">
        <v>702</v>
      </c>
      <c r="L622" s="171"/>
    </row>
    <row r="623" spans="11:12" ht="18" customHeight="1">
      <c r="K623" s="171" t="s">
        <v>702</v>
      </c>
      <c r="L623" s="171"/>
    </row>
    <row r="624" spans="11:12" ht="18" customHeight="1">
      <c r="K624" s="171" t="s">
        <v>702</v>
      </c>
      <c r="L624" s="171"/>
    </row>
    <row r="625" spans="11:12" ht="18" customHeight="1">
      <c r="K625" s="171" t="s">
        <v>702</v>
      </c>
      <c r="L625" s="171"/>
    </row>
    <row r="626" spans="11:12" ht="18" customHeight="1">
      <c r="K626" s="171" t="s">
        <v>702</v>
      </c>
      <c r="L626" s="171"/>
    </row>
    <row r="627" spans="11:12" ht="18" customHeight="1">
      <c r="K627" s="171" t="s">
        <v>702</v>
      </c>
      <c r="L627" s="171"/>
    </row>
    <row r="628" spans="11:12" ht="18" customHeight="1">
      <c r="K628" s="171" t="s">
        <v>702</v>
      </c>
      <c r="L628" s="171"/>
    </row>
    <row r="629" spans="11:12" ht="18" customHeight="1">
      <c r="K629" s="171" t="s">
        <v>702</v>
      </c>
      <c r="L629" s="171"/>
    </row>
    <row r="630" spans="11:12" ht="18" customHeight="1">
      <c r="K630" s="171" t="s">
        <v>702</v>
      </c>
      <c r="L630" s="171"/>
    </row>
    <row r="631" spans="11:12" ht="18" customHeight="1">
      <c r="K631" s="171" t="s">
        <v>702</v>
      </c>
      <c r="L631" s="171"/>
    </row>
    <row r="632" spans="11:12" ht="18" customHeight="1">
      <c r="K632" s="171" t="s">
        <v>702</v>
      </c>
      <c r="L632" s="171"/>
    </row>
    <row r="633" spans="11:12" ht="18" customHeight="1">
      <c r="K633" s="171" t="s">
        <v>702</v>
      </c>
      <c r="L633" s="171"/>
    </row>
    <row r="634" spans="11:12" ht="18" customHeight="1">
      <c r="K634" s="171" t="s">
        <v>702</v>
      </c>
      <c r="L634" s="171"/>
    </row>
    <row r="635" spans="11:12" ht="18" customHeight="1">
      <c r="K635" s="171" t="s">
        <v>702</v>
      </c>
      <c r="L635" s="171"/>
    </row>
    <row r="636" spans="11:12" ht="18" customHeight="1">
      <c r="K636" s="171" t="s">
        <v>702</v>
      </c>
      <c r="L636" s="171"/>
    </row>
    <row r="637" spans="11:12" ht="18" customHeight="1">
      <c r="K637" s="171" t="s">
        <v>702</v>
      </c>
      <c r="L637" s="171"/>
    </row>
    <row r="638" spans="11:12" ht="18" customHeight="1">
      <c r="K638" s="171" t="s">
        <v>702</v>
      </c>
      <c r="L638" s="171"/>
    </row>
    <row r="639" spans="11:12" ht="18" customHeight="1">
      <c r="K639" s="171" t="s">
        <v>702</v>
      </c>
      <c r="L639" s="171"/>
    </row>
    <row r="640" spans="11:12" ht="18" customHeight="1">
      <c r="K640" s="171" t="s">
        <v>702</v>
      </c>
      <c r="L640" s="171"/>
    </row>
    <row r="641" spans="11:12" ht="18" customHeight="1">
      <c r="K641" s="171" t="s">
        <v>702</v>
      </c>
      <c r="L641" s="171"/>
    </row>
    <row r="642" spans="11:12" ht="18" customHeight="1">
      <c r="K642" s="171" t="s">
        <v>702</v>
      </c>
      <c r="L642" s="171"/>
    </row>
    <row r="643" spans="11:12" ht="18" customHeight="1">
      <c r="K643" s="171" t="s">
        <v>702</v>
      </c>
      <c r="L643" s="171"/>
    </row>
    <row r="644" spans="11:12" ht="18" customHeight="1">
      <c r="K644" s="171" t="s">
        <v>702</v>
      </c>
      <c r="L644" s="171"/>
    </row>
    <row r="645" spans="11:12" ht="18" customHeight="1">
      <c r="K645" s="171" t="s">
        <v>702</v>
      </c>
      <c r="L645" s="171"/>
    </row>
    <row r="646" spans="11:12" ht="18" customHeight="1">
      <c r="K646" s="171" t="s">
        <v>702</v>
      </c>
      <c r="L646" s="171"/>
    </row>
    <row r="647" spans="11:12" ht="18" customHeight="1">
      <c r="K647" s="171" t="s">
        <v>702</v>
      </c>
      <c r="L647" s="171"/>
    </row>
    <row r="648" spans="11:12" ht="18" customHeight="1">
      <c r="K648" s="171" t="s">
        <v>702</v>
      </c>
      <c r="L648" s="171"/>
    </row>
    <row r="649" spans="11:12" ht="18" customHeight="1">
      <c r="K649" s="171" t="s">
        <v>702</v>
      </c>
      <c r="L649" s="171"/>
    </row>
    <row r="650" spans="11:12" ht="18" customHeight="1">
      <c r="K650" s="171" t="s">
        <v>702</v>
      </c>
      <c r="L650" s="171"/>
    </row>
    <row r="651" spans="11:12" ht="18" customHeight="1">
      <c r="K651" s="171" t="s">
        <v>702</v>
      </c>
      <c r="L651" s="171"/>
    </row>
    <row r="652" spans="11:12" ht="18" customHeight="1">
      <c r="K652" s="171" t="s">
        <v>702</v>
      </c>
      <c r="L652" s="171"/>
    </row>
    <row r="653" spans="11:12" ht="18" customHeight="1">
      <c r="K653" s="171" t="s">
        <v>702</v>
      </c>
      <c r="L653" s="171"/>
    </row>
    <row r="654" spans="11:12" ht="18" customHeight="1">
      <c r="K654" s="171" t="s">
        <v>702</v>
      </c>
      <c r="L654" s="171"/>
    </row>
    <row r="655" spans="11:12" ht="18" customHeight="1">
      <c r="K655" s="171" t="s">
        <v>702</v>
      </c>
      <c r="L655" s="171"/>
    </row>
    <row r="656" spans="11:12" ht="18" customHeight="1">
      <c r="K656" s="171" t="s">
        <v>702</v>
      </c>
      <c r="L656" s="171"/>
    </row>
    <row r="657" spans="11:12" ht="18" customHeight="1">
      <c r="K657" s="171" t="s">
        <v>702</v>
      </c>
      <c r="L657" s="171"/>
    </row>
    <row r="658" spans="11:12" ht="18" customHeight="1">
      <c r="K658" s="171" t="s">
        <v>702</v>
      </c>
      <c r="L658" s="171"/>
    </row>
    <row r="659" spans="11:12" ht="18" customHeight="1">
      <c r="K659" s="171" t="s">
        <v>702</v>
      </c>
      <c r="L659" s="171"/>
    </row>
    <row r="660" spans="11:12" ht="18" customHeight="1">
      <c r="K660" s="171" t="s">
        <v>702</v>
      </c>
      <c r="L660" s="171"/>
    </row>
    <row r="661" spans="11:12" ht="18" customHeight="1">
      <c r="K661" s="171" t="s">
        <v>702</v>
      </c>
      <c r="L661" s="171"/>
    </row>
    <row r="662" spans="11:12" ht="18" customHeight="1">
      <c r="K662" s="171" t="s">
        <v>702</v>
      </c>
      <c r="L662" s="171"/>
    </row>
    <row r="663" spans="11:12" ht="18" customHeight="1">
      <c r="K663" s="171" t="s">
        <v>702</v>
      </c>
      <c r="L663" s="171"/>
    </row>
    <row r="664" spans="11:12" ht="18" customHeight="1">
      <c r="K664" s="171" t="s">
        <v>702</v>
      </c>
      <c r="L664" s="171"/>
    </row>
    <row r="665" spans="11:12" ht="18" customHeight="1">
      <c r="K665" s="171" t="s">
        <v>702</v>
      </c>
      <c r="L665" s="171"/>
    </row>
    <row r="666" spans="11:12" ht="18" customHeight="1">
      <c r="K666" s="171" t="s">
        <v>702</v>
      </c>
      <c r="L666" s="171"/>
    </row>
    <row r="667" spans="11:12" ht="18" customHeight="1">
      <c r="K667" s="171" t="s">
        <v>702</v>
      </c>
      <c r="L667" s="171"/>
    </row>
    <row r="668" spans="11:12" ht="18" customHeight="1">
      <c r="K668" s="171" t="s">
        <v>702</v>
      </c>
      <c r="L668" s="171"/>
    </row>
    <row r="669" spans="11:12" ht="18" customHeight="1">
      <c r="K669" s="171" t="s">
        <v>702</v>
      </c>
      <c r="L669" s="171"/>
    </row>
    <row r="670" spans="11:12" ht="18" customHeight="1">
      <c r="K670" s="171" t="s">
        <v>702</v>
      </c>
      <c r="L670" s="171"/>
    </row>
    <row r="671" spans="11:12" ht="18" customHeight="1">
      <c r="K671" s="171" t="s">
        <v>702</v>
      </c>
      <c r="L671" s="171"/>
    </row>
    <row r="672" spans="11:12" ht="18" customHeight="1">
      <c r="K672" s="171" t="s">
        <v>702</v>
      </c>
      <c r="L672" s="171"/>
    </row>
    <row r="673" spans="11:12" ht="18" customHeight="1">
      <c r="K673" s="171" t="s">
        <v>702</v>
      </c>
      <c r="L673" s="171"/>
    </row>
    <row r="674" spans="11:12" ht="18" customHeight="1">
      <c r="K674" s="171" t="s">
        <v>702</v>
      </c>
      <c r="L674" s="171"/>
    </row>
    <row r="675" spans="11:12" ht="18" customHeight="1">
      <c r="K675" s="171" t="s">
        <v>702</v>
      </c>
      <c r="L675" s="171"/>
    </row>
    <row r="676" spans="11:12" ht="18" customHeight="1">
      <c r="K676" s="171" t="s">
        <v>702</v>
      </c>
      <c r="L676" s="171"/>
    </row>
    <row r="677" spans="11:12" ht="18" customHeight="1">
      <c r="K677" s="171" t="s">
        <v>702</v>
      </c>
      <c r="L677" s="171"/>
    </row>
    <row r="678" spans="11:12" ht="18" customHeight="1">
      <c r="K678" s="171" t="s">
        <v>702</v>
      </c>
      <c r="L678" s="171"/>
    </row>
    <row r="679" spans="11:12" ht="18" customHeight="1">
      <c r="K679" s="171" t="s">
        <v>702</v>
      </c>
      <c r="L679" s="171"/>
    </row>
    <row r="680" spans="11:12" ht="18" customHeight="1">
      <c r="K680" s="171" t="s">
        <v>702</v>
      </c>
      <c r="L680" s="171"/>
    </row>
    <row r="681" spans="11:12" ht="18" customHeight="1">
      <c r="K681" s="171" t="s">
        <v>702</v>
      </c>
      <c r="L681" s="171"/>
    </row>
    <row r="682" spans="11:12" ht="18" customHeight="1">
      <c r="K682" s="171" t="s">
        <v>702</v>
      </c>
      <c r="L682" s="171"/>
    </row>
    <row r="683" spans="11:12" ht="18" customHeight="1">
      <c r="K683" s="171" t="s">
        <v>702</v>
      </c>
      <c r="L683" s="171"/>
    </row>
    <row r="684" spans="11:12" ht="18" customHeight="1">
      <c r="K684" s="171" t="s">
        <v>702</v>
      </c>
      <c r="L684" s="171"/>
    </row>
    <row r="685" spans="11:12" ht="18" customHeight="1">
      <c r="K685" s="171" t="s">
        <v>702</v>
      </c>
      <c r="L685" s="171"/>
    </row>
    <row r="686" spans="11:12" ht="18" customHeight="1">
      <c r="K686" s="171" t="s">
        <v>702</v>
      </c>
      <c r="L686" s="171"/>
    </row>
    <row r="687" spans="11:12" ht="18" customHeight="1">
      <c r="K687" s="171" t="s">
        <v>702</v>
      </c>
      <c r="L687" s="171"/>
    </row>
    <row r="688" spans="11:12" ht="18" customHeight="1">
      <c r="K688" s="171" t="s">
        <v>702</v>
      </c>
      <c r="L688" s="171"/>
    </row>
    <row r="689" spans="11:12" ht="18" customHeight="1">
      <c r="K689" s="171" t="s">
        <v>702</v>
      </c>
      <c r="L689" s="171"/>
    </row>
    <row r="690" spans="11:12" ht="18" customHeight="1">
      <c r="K690" s="171" t="s">
        <v>702</v>
      </c>
      <c r="L690" s="171"/>
    </row>
    <row r="691" spans="11:12" ht="18" customHeight="1">
      <c r="K691" s="171" t="s">
        <v>702</v>
      </c>
      <c r="L691" s="171"/>
    </row>
    <row r="692" spans="11:12" ht="18" customHeight="1">
      <c r="K692" s="171" t="s">
        <v>702</v>
      </c>
      <c r="L692" s="171"/>
    </row>
    <row r="693" spans="11:12" ht="18" customHeight="1">
      <c r="K693" s="171" t="s">
        <v>702</v>
      </c>
      <c r="L693" s="171"/>
    </row>
    <row r="694" spans="11:12" ht="18" customHeight="1">
      <c r="K694" s="171" t="s">
        <v>702</v>
      </c>
      <c r="L694" s="171"/>
    </row>
    <row r="695" spans="11:12" ht="18" customHeight="1">
      <c r="K695" s="171" t="s">
        <v>702</v>
      </c>
      <c r="L695" s="171"/>
    </row>
    <row r="696" spans="11:12" ht="18" customHeight="1">
      <c r="K696" s="171" t="s">
        <v>702</v>
      </c>
      <c r="L696" s="171"/>
    </row>
    <row r="697" spans="11:12" ht="18" customHeight="1">
      <c r="K697" s="171" t="s">
        <v>702</v>
      </c>
      <c r="L697" s="171"/>
    </row>
    <row r="698" spans="11:12" ht="18" customHeight="1">
      <c r="K698" s="171" t="s">
        <v>702</v>
      </c>
      <c r="L698" s="171"/>
    </row>
    <row r="699" spans="11:12" ht="18" customHeight="1">
      <c r="K699" s="171" t="s">
        <v>702</v>
      </c>
      <c r="L699" s="171"/>
    </row>
    <row r="700" spans="11:12" ht="18" customHeight="1">
      <c r="K700" s="171" t="s">
        <v>702</v>
      </c>
      <c r="L700" s="171"/>
    </row>
    <row r="701" spans="11:12" ht="18" customHeight="1">
      <c r="K701" s="171" t="s">
        <v>702</v>
      </c>
      <c r="L701" s="171"/>
    </row>
    <row r="702" spans="11:12" ht="18" customHeight="1">
      <c r="K702" s="171" t="s">
        <v>702</v>
      </c>
      <c r="L702" s="171"/>
    </row>
    <row r="703" spans="11:12" ht="18" customHeight="1">
      <c r="K703" s="171" t="s">
        <v>702</v>
      </c>
      <c r="L703" s="171"/>
    </row>
    <row r="704" spans="11:12" ht="18" customHeight="1">
      <c r="K704" s="171" t="s">
        <v>702</v>
      </c>
      <c r="L704" s="171"/>
    </row>
    <row r="705" spans="11:12" ht="18" customHeight="1">
      <c r="K705" s="171" t="s">
        <v>702</v>
      </c>
      <c r="L705" s="171"/>
    </row>
    <row r="706" spans="11:12" ht="18" customHeight="1">
      <c r="K706" s="171" t="s">
        <v>702</v>
      </c>
      <c r="L706" s="171"/>
    </row>
    <row r="707" spans="11:12" ht="18" customHeight="1">
      <c r="K707" s="171" t="s">
        <v>702</v>
      </c>
      <c r="L707" s="171"/>
    </row>
    <row r="708" spans="11:12" ht="18" customHeight="1">
      <c r="K708" s="171" t="s">
        <v>702</v>
      </c>
      <c r="L708" s="171"/>
    </row>
    <row r="709" spans="11:12" ht="18" customHeight="1">
      <c r="K709" s="171" t="s">
        <v>702</v>
      </c>
      <c r="L709" s="171"/>
    </row>
    <row r="710" spans="11:12" ht="18" customHeight="1">
      <c r="K710" s="171" t="s">
        <v>702</v>
      </c>
      <c r="L710" s="171"/>
    </row>
    <row r="711" spans="11:12" ht="18" customHeight="1">
      <c r="K711" s="171" t="s">
        <v>702</v>
      </c>
      <c r="L711" s="171"/>
    </row>
    <row r="712" spans="11:12" ht="18" customHeight="1">
      <c r="K712" s="171" t="s">
        <v>702</v>
      </c>
      <c r="L712" s="171"/>
    </row>
    <row r="713" spans="11:12" ht="18" customHeight="1">
      <c r="K713" s="171" t="s">
        <v>702</v>
      </c>
      <c r="L713" s="171"/>
    </row>
    <row r="714" spans="11:12" ht="18" customHeight="1">
      <c r="K714" s="171" t="s">
        <v>702</v>
      </c>
      <c r="L714" s="171"/>
    </row>
    <row r="715" spans="11:12" ht="18" customHeight="1">
      <c r="K715" s="171" t="s">
        <v>702</v>
      </c>
      <c r="L715" s="171"/>
    </row>
    <row r="716" spans="11:12" ht="18" customHeight="1">
      <c r="K716" s="171" t="s">
        <v>702</v>
      </c>
      <c r="L716" s="171"/>
    </row>
    <row r="717" spans="11:12" ht="18" customHeight="1">
      <c r="K717" s="171" t="s">
        <v>702</v>
      </c>
      <c r="L717" s="171"/>
    </row>
    <row r="718" spans="11:12" ht="18" customHeight="1">
      <c r="K718" s="171" t="s">
        <v>702</v>
      </c>
      <c r="L718" s="171"/>
    </row>
    <row r="719" spans="11:12" ht="18" customHeight="1">
      <c r="K719" s="171" t="s">
        <v>702</v>
      </c>
      <c r="L719" s="171"/>
    </row>
    <row r="720" spans="11:12" ht="18" customHeight="1">
      <c r="K720" s="171" t="s">
        <v>702</v>
      </c>
      <c r="L720" s="171"/>
    </row>
    <row r="721" spans="11:12" ht="18" customHeight="1">
      <c r="K721" s="171" t="s">
        <v>702</v>
      </c>
      <c r="L721" s="171"/>
    </row>
    <row r="722" spans="11:12" ht="18" customHeight="1">
      <c r="K722" s="171" t="s">
        <v>702</v>
      </c>
      <c r="L722" s="171"/>
    </row>
    <row r="723" spans="11:12" ht="18" customHeight="1">
      <c r="K723" s="171" t="s">
        <v>702</v>
      </c>
      <c r="L723" s="171"/>
    </row>
    <row r="724" spans="11:12" ht="18" customHeight="1">
      <c r="K724" s="171" t="s">
        <v>702</v>
      </c>
      <c r="L724" s="171"/>
    </row>
    <row r="725" spans="11:12" ht="18" customHeight="1">
      <c r="K725" s="171" t="s">
        <v>702</v>
      </c>
      <c r="L725" s="171"/>
    </row>
    <row r="726" spans="11:12" ht="18" customHeight="1">
      <c r="K726" s="171" t="s">
        <v>702</v>
      </c>
      <c r="L726" s="171"/>
    </row>
    <row r="727" spans="11:12" ht="18" customHeight="1">
      <c r="K727" s="171" t="s">
        <v>702</v>
      </c>
      <c r="L727" s="171"/>
    </row>
    <row r="728" spans="11:12" ht="18" customHeight="1">
      <c r="K728" s="171" t="s">
        <v>702</v>
      </c>
      <c r="L728" s="171"/>
    </row>
    <row r="729" spans="11:12" ht="18" customHeight="1">
      <c r="K729" s="171" t="s">
        <v>702</v>
      </c>
      <c r="L729" s="171"/>
    </row>
    <row r="730" spans="11:12" ht="18" customHeight="1">
      <c r="K730" s="171" t="s">
        <v>702</v>
      </c>
      <c r="L730" s="171"/>
    </row>
    <row r="731" spans="11:12" ht="18" customHeight="1">
      <c r="K731" s="171" t="s">
        <v>702</v>
      </c>
      <c r="L731" s="171"/>
    </row>
    <row r="732" spans="11:12" ht="18" customHeight="1">
      <c r="K732" s="171" t="s">
        <v>702</v>
      </c>
      <c r="L732" s="171"/>
    </row>
    <row r="733" spans="11:12" ht="18" customHeight="1">
      <c r="K733" s="171" t="s">
        <v>702</v>
      </c>
      <c r="L733" s="171"/>
    </row>
    <row r="734" spans="11:12" ht="18" customHeight="1">
      <c r="K734" s="171" t="s">
        <v>702</v>
      </c>
      <c r="L734" s="171"/>
    </row>
    <row r="735" spans="11:12" ht="18" customHeight="1">
      <c r="K735" s="171" t="s">
        <v>702</v>
      </c>
      <c r="L735" s="171"/>
    </row>
    <row r="736" spans="11:12" ht="18" customHeight="1">
      <c r="K736" s="171" t="s">
        <v>702</v>
      </c>
      <c r="L736" s="171"/>
    </row>
    <row r="737" spans="11:12" ht="18" customHeight="1">
      <c r="K737" s="171" t="s">
        <v>702</v>
      </c>
      <c r="L737" s="171"/>
    </row>
    <row r="738" spans="11:12" ht="18" customHeight="1">
      <c r="K738" s="171" t="s">
        <v>702</v>
      </c>
      <c r="L738" s="171"/>
    </row>
    <row r="739" spans="11:12" ht="18" customHeight="1">
      <c r="K739" s="171" t="s">
        <v>702</v>
      </c>
      <c r="L739" s="171"/>
    </row>
    <row r="740" spans="11:12" ht="18" customHeight="1">
      <c r="K740" s="171" t="s">
        <v>702</v>
      </c>
      <c r="L740" s="171"/>
    </row>
    <row r="741" spans="11:12" ht="18" customHeight="1">
      <c r="K741" s="171" t="s">
        <v>702</v>
      </c>
      <c r="L741" s="171"/>
    </row>
    <row r="742" spans="11:12" ht="18" customHeight="1">
      <c r="K742" s="171" t="s">
        <v>702</v>
      </c>
      <c r="L742" s="171"/>
    </row>
    <row r="743" spans="11:12" ht="18" customHeight="1">
      <c r="K743" s="171" t="s">
        <v>702</v>
      </c>
      <c r="L743" s="171"/>
    </row>
    <row r="744" spans="11:12" ht="18" customHeight="1">
      <c r="K744" s="171" t="s">
        <v>702</v>
      </c>
      <c r="L744" s="171"/>
    </row>
    <row r="745" spans="11:12" ht="18" customHeight="1">
      <c r="K745" s="171" t="s">
        <v>702</v>
      </c>
      <c r="L745" s="171"/>
    </row>
    <row r="746" spans="11:12" ht="18" customHeight="1">
      <c r="K746" s="171" t="s">
        <v>702</v>
      </c>
      <c r="L746" s="171"/>
    </row>
    <row r="747" spans="11:12" ht="18" customHeight="1">
      <c r="K747" s="171" t="s">
        <v>702</v>
      </c>
      <c r="L747" s="171"/>
    </row>
    <row r="748" spans="11:12" ht="18" customHeight="1">
      <c r="K748" s="171" t="s">
        <v>702</v>
      </c>
      <c r="L748" s="171"/>
    </row>
    <row r="749" spans="11:12" ht="18" customHeight="1">
      <c r="K749" s="171" t="s">
        <v>702</v>
      </c>
      <c r="L749" s="171"/>
    </row>
    <row r="750" spans="11:12" ht="18" customHeight="1">
      <c r="K750" s="171" t="s">
        <v>702</v>
      </c>
      <c r="L750" s="171"/>
    </row>
    <row r="751" spans="11:12" ht="18" customHeight="1">
      <c r="K751" s="171" t="s">
        <v>702</v>
      </c>
      <c r="L751" s="171"/>
    </row>
    <row r="752" spans="11:12" ht="18" customHeight="1">
      <c r="K752" s="171" t="s">
        <v>702</v>
      </c>
      <c r="L752" s="171"/>
    </row>
    <row r="753" spans="11:12" ht="18" customHeight="1">
      <c r="K753" s="171" t="s">
        <v>702</v>
      </c>
      <c r="L753" s="171"/>
    </row>
    <row r="754" spans="11:12" ht="18" customHeight="1">
      <c r="K754" s="171" t="s">
        <v>702</v>
      </c>
      <c r="L754" s="171"/>
    </row>
    <row r="755" spans="11:12" ht="18" customHeight="1">
      <c r="K755" s="171" t="s">
        <v>702</v>
      </c>
      <c r="L755" s="171"/>
    </row>
    <row r="756" spans="11:12" ht="18" customHeight="1">
      <c r="K756" s="171" t="s">
        <v>702</v>
      </c>
      <c r="L756" s="171"/>
    </row>
    <row r="757" spans="11:12" ht="18" customHeight="1">
      <c r="K757" s="171" t="s">
        <v>702</v>
      </c>
      <c r="L757" s="171"/>
    </row>
    <row r="758" spans="11:12" ht="18" customHeight="1">
      <c r="K758" s="171" t="s">
        <v>702</v>
      </c>
      <c r="L758" s="171"/>
    </row>
    <row r="759" spans="11:12" ht="18" customHeight="1">
      <c r="K759" s="171" t="s">
        <v>702</v>
      </c>
      <c r="L759" s="171"/>
    </row>
    <row r="760" spans="11:12" ht="18" customHeight="1">
      <c r="K760" s="171" t="s">
        <v>702</v>
      </c>
      <c r="L760" s="171"/>
    </row>
    <row r="761" spans="11:12" ht="18" customHeight="1">
      <c r="K761" s="171" t="s">
        <v>702</v>
      </c>
      <c r="L761" s="171"/>
    </row>
    <row r="762" spans="11:12" ht="18" customHeight="1">
      <c r="K762" s="171" t="s">
        <v>702</v>
      </c>
      <c r="L762" s="171"/>
    </row>
    <row r="763" spans="11:12" ht="18" customHeight="1">
      <c r="K763" s="171" t="s">
        <v>702</v>
      </c>
      <c r="L763" s="171"/>
    </row>
    <row r="764" spans="11:12" ht="18" customHeight="1">
      <c r="K764" s="171" t="s">
        <v>702</v>
      </c>
      <c r="L764" s="171"/>
    </row>
    <row r="765" spans="11:12" ht="18" customHeight="1">
      <c r="K765" s="171" t="s">
        <v>702</v>
      </c>
      <c r="L765" s="171"/>
    </row>
    <row r="766" spans="11:12" ht="18" customHeight="1">
      <c r="K766" s="171" t="s">
        <v>702</v>
      </c>
      <c r="L766" s="171"/>
    </row>
    <row r="767" spans="11:12" ht="18" customHeight="1">
      <c r="K767" s="171" t="s">
        <v>702</v>
      </c>
      <c r="L767" s="171"/>
    </row>
    <row r="768" spans="11:12" ht="18" customHeight="1">
      <c r="K768" s="171" t="s">
        <v>702</v>
      </c>
      <c r="L768" s="171"/>
    </row>
    <row r="769" spans="11:12" ht="18" customHeight="1">
      <c r="K769" s="171" t="s">
        <v>702</v>
      </c>
      <c r="L769" s="171"/>
    </row>
    <row r="770" spans="11:12" ht="18" customHeight="1">
      <c r="K770" s="171" t="s">
        <v>702</v>
      </c>
      <c r="L770" s="171"/>
    </row>
    <row r="771" spans="11:12" ht="18" customHeight="1">
      <c r="K771" s="171" t="s">
        <v>702</v>
      </c>
      <c r="L771" s="171"/>
    </row>
    <row r="772" spans="11:12" ht="18" customHeight="1">
      <c r="K772" s="171" t="s">
        <v>702</v>
      </c>
      <c r="L772" s="171"/>
    </row>
    <row r="773" spans="11:12" ht="18" customHeight="1">
      <c r="K773" s="171" t="s">
        <v>702</v>
      </c>
      <c r="L773" s="171"/>
    </row>
    <row r="774" spans="11:12" ht="18" customHeight="1">
      <c r="K774" s="171" t="s">
        <v>702</v>
      </c>
      <c r="L774" s="171"/>
    </row>
    <row r="775" spans="11:12" ht="18" customHeight="1">
      <c r="K775" s="171" t="s">
        <v>702</v>
      </c>
      <c r="L775" s="171"/>
    </row>
    <row r="776" spans="11:12" ht="18" customHeight="1">
      <c r="K776" s="171" t="s">
        <v>702</v>
      </c>
      <c r="L776" s="171"/>
    </row>
    <row r="777" spans="11:12" ht="18" customHeight="1">
      <c r="K777" s="171" t="s">
        <v>702</v>
      </c>
      <c r="L777" s="171"/>
    </row>
    <row r="778" spans="11:12" ht="18" customHeight="1">
      <c r="K778" s="171" t="s">
        <v>702</v>
      </c>
      <c r="L778" s="171"/>
    </row>
    <row r="779" spans="11:12" ht="18" customHeight="1">
      <c r="K779" s="171" t="s">
        <v>702</v>
      </c>
      <c r="L779" s="171"/>
    </row>
    <row r="780" spans="11:12" ht="18" customHeight="1">
      <c r="K780" s="171" t="s">
        <v>702</v>
      </c>
      <c r="L780" s="171"/>
    </row>
    <row r="781" spans="11:12" ht="18" customHeight="1">
      <c r="K781" s="171" t="s">
        <v>702</v>
      </c>
      <c r="L781" s="171"/>
    </row>
    <row r="782" spans="11:12" ht="18" customHeight="1">
      <c r="K782" s="171" t="s">
        <v>702</v>
      </c>
      <c r="L782" s="171"/>
    </row>
    <row r="783" spans="11:12" ht="18" customHeight="1">
      <c r="K783" s="171" t="s">
        <v>702</v>
      </c>
      <c r="L783" s="171"/>
    </row>
    <row r="784" spans="11:12" ht="18" customHeight="1">
      <c r="K784" s="171" t="s">
        <v>702</v>
      </c>
      <c r="L784" s="171"/>
    </row>
    <row r="785" spans="11:12" ht="18" customHeight="1">
      <c r="K785" s="171" t="s">
        <v>702</v>
      </c>
      <c r="L785" s="171"/>
    </row>
    <row r="786" spans="11:12" ht="18" customHeight="1">
      <c r="K786" s="171" t="s">
        <v>702</v>
      </c>
      <c r="L786" s="171"/>
    </row>
    <row r="787" spans="11:12" ht="18" customHeight="1">
      <c r="K787" s="171" t="s">
        <v>702</v>
      </c>
      <c r="L787" s="171"/>
    </row>
    <row r="788" spans="11:12" ht="18" customHeight="1">
      <c r="K788" s="171" t="s">
        <v>702</v>
      </c>
    </row>
    <row r="789" spans="11:12" ht="18" customHeight="1">
      <c r="K789" s="171" t="s">
        <v>702</v>
      </c>
    </row>
    <row r="790" spans="11:12" ht="18" customHeight="1">
      <c r="K790" s="171" t="s">
        <v>702</v>
      </c>
    </row>
    <row r="791" spans="11:12" ht="18" customHeight="1">
      <c r="K791" s="171" t="s">
        <v>702</v>
      </c>
    </row>
    <row r="792" spans="11:12" ht="18" customHeight="1">
      <c r="K792" s="171" t="s">
        <v>702</v>
      </c>
    </row>
    <row r="793" spans="11:12" ht="18" customHeight="1">
      <c r="K793" s="171" t="s">
        <v>702</v>
      </c>
    </row>
    <row r="794" spans="11:12" ht="18" customHeight="1">
      <c r="K794" s="171" t="s">
        <v>702</v>
      </c>
    </row>
    <row r="795" spans="11:12" ht="18" customHeight="1">
      <c r="K795" s="171" t="s">
        <v>702</v>
      </c>
    </row>
  </sheetData>
  <mergeCells count="13">
    <mergeCell ref="E3:F3"/>
    <mergeCell ref="E4:F4"/>
    <mergeCell ref="F5:G5"/>
    <mergeCell ref="E6:F6"/>
    <mergeCell ref="E7:F7"/>
    <mergeCell ref="Q55:Q56"/>
    <mergeCell ref="Z55:Z56"/>
    <mergeCell ref="B12:C13"/>
    <mergeCell ref="J12:J13"/>
    <mergeCell ref="L12:L13"/>
    <mergeCell ref="N55:N56"/>
    <mergeCell ref="O55:O56"/>
    <mergeCell ref="P55:P56"/>
  </mergeCells>
  <phoneticPr fontId="14" type="noConversion"/>
  <conditionalFormatting sqref="V14:V43">
    <cfRule type="cellIs" dxfId="7" priority="1" stopIfTrue="1" operator="notEqual">
      <formula>0</formula>
    </cfRule>
  </conditionalFormatting>
  <dataValidations count="2">
    <dataValidation type="decimal" allowBlank="1" showInputMessage="1" showErrorMessage="1" sqref="E5" xr:uid="{00000000-0002-0000-4200-000000000000}">
      <formula1>0.8</formula1>
      <formula2>1.5</formula2>
    </dataValidation>
    <dataValidation showInputMessage="1" showErrorMessage="1" sqref="F5" xr:uid="{00000000-0002-0000-4200-000001000000}"/>
  </dataValidations>
  <printOptions gridLinesSet="0"/>
  <pageMargins left="0.9055118110236221" right="0.74803149606299213" top="1.17" bottom="0.8" header="0.51181102362204722" footer="0.51181102362204722"/>
  <pageSetup paperSize="9" scale="15" orientation="landscape" horizontalDpi="4294967292" verticalDpi="300" r:id="rId1"/>
  <headerFooter alignWithMargins="0">
    <oddHeader>&amp;R&amp;F &amp;A</oddHeader>
  </headerFooter>
  <rowBreaks count="1" manualBreakCount="1">
    <brk id="51" min="13" max="28" man="1"/>
  </row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50">
    <tabColor rgb="FFFFC000"/>
    <pageSetUpPr fitToPage="1"/>
  </sheetPr>
  <dimension ref="A1:AC777"/>
  <sheetViews>
    <sheetView showGridLines="0" zoomScale="85" zoomScaleNormal="85" zoomScaleSheetLayoutView="75" workbookViewId="0">
      <selection activeCell="V15" sqref="V15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64</v>
      </c>
    </row>
    <row r="2" spans="1:26" ht="19.5" thickBot="1">
      <c r="B2" s="66" t="s">
        <v>1</v>
      </c>
    </row>
    <row r="3" spans="1:26" ht="18" customHeight="1">
      <c r="B3" s="773" t="s">
        <v>432</v>
      </c>
      <c r="C3" s="774"/>
      <c r="D3" s="775">
        <v>5</v>
      </c>
      <c r="E3" s="776"/>
      <c r="F3" s="44" t="s">
        <v>243</v>
      </c>
    </row>
    <row r="4" spans="1:26" ht="18" customHeight="1">
      <c r="B4" s="777" t="s">
        <v>433</v>
      </c>
      <c r="C4" s="778"/>
      <c r="D4" s="779">
        <v>5</v>
      </c>
      <c r="E4" s="780"/>
      <c r="F4" s="65" t="str">
        <f>F3</f>
        <v>만인</v>
      </c>
    </row>
    <row r="5" spans="1:26" ht="18" customHeight="1" thickBot="1">
      <c r="B5" s="781" t="s">
        <v>284</v>
      </c>
      <c r="C5" s="782"/>
      <c r="D5" s="783">
        <f>ROUND((IF(D4&lt;=1,1,D4)/D3)^0.5,3)</f>
        <v>1</v>
      </c>
      <c r="E5" s="784"/>
      <c r="F5" s="45"/>
      <c r="G5" s="36"/>
    </row>
    <row r="6" spans="1:26" ht="18" customHeight="1">
      <c r="A6" s="358"/>
      <c r="B6" s="9" t="s">
        <v>285</v>
      </c>
      <c r="C6" s="36"/>
      <c r="D6" s="36"/>
      <c r="E6" s="36"/>
      <c r="F6" s="36"/>
      <c r="G6" s="36"/>
    </row>
    <row r="7" spans="1:26" ht="18" customHeight="1">
      <c r="B7" s="9"/>
      <c r="C7" s="9"/>
      <c r="D7" s="64"/>
      <c r="E7" s="64"/>
      <c r="G7" s="36"/>
      <c r="R7" s="1"/>
      <c r="S7" s="1"/>
      <c r="T7" s="1"/>
    </row>
    <row r="8" spans="1:26" ht="18" customHeight="1">
      <c r="G8" s="36"/>
      <c r="W8" s="188" t="s">
        <v>3</v>
      </c>
      <c r="X8" s="189"/>
    </row>
    <row r="9" spans="1:26" ht="18" customHeight="1" thickBot="1">
      <c r="B9" s="66" t="s">
        <v>4</v>
      </c>
      <c r="C9" s="9"/>
      <c r="D9" s="64"/>
      <c r="E9" s="64"/>
      <c r="G9" s="36"/>
      <c r="N9" s="66" t="s">
        <v>5</v>
      </c>
    </row>
    <row r="10" spans="1:26" ht="18" customHeight="1" thickBot="1">
      <c r="B10" s="9"/>
      <c r="N10" s="151" t="s">
        <v>44</v>
      </c>
      <c r="O10" s="119"/>
      <c r="P10" s="119"/>
      <c r="Q10" s="120"/>
      <c r="R10" s="120"/>
      <c r="S10" s="120"/>
      <c r="T10" s="120"/>
      <c r="U10" s="121"/>
      <c r="V10" s="121"/>
      <c r="W10" s="186">
        <f ca="1">SUBTOTAL(9,W11:W54)</f>
        <v>373672106</v>
      </c>
      <c r="X10" s="187"/>
      <c r="Y10" s="177"/>
      <c r="Z10" s="167"/>
    </row>
    <row r="11" spans="1:26" ht="18" customHeight="1">
      <c r="B11" s="757" t="s">
        <v>30</v>
      </c>
      <c r="C11" s="758"/>
      <c r="D11" s="14" t="s">
        <v>6</v>
      </c>
      <c r="E11" s="15"/>
      <c r="F11" s="15"/>
      <c r="G11" s="15"/>
      <c r="H11" s="15"/>
      <c r="I11" s="16"/>
      <c r="J11" s="761" t="s">
        <v>31</v>
      </c>
      <c r="L11" s="763" t="s">
        <v>7</v>
      </c>
      <c r="N11" s="127" t="s">
        <v>8</v>
      </c>
      <c r="O11" s="122"/>
      <c r="P11" s="122"/>
      <c r="Q11" s="123"/>
      <c r="R11" s="123"/>
      <c r="S11" s="123"/>
      <c r="T11" s="123"/>
      <c r="U11" s="184"/>
      <c r="V11" s="184"/>
      <c r="W11" s="163">
        <f ca="1">SUBTOTAL(9,W12:W51)</f>
        <v>140115244</v>
      </c>
      <c r="X11" s="164"/>
      <c r="Y11" s="178" t="s">
        <v>9</v>
      </c>
      <c r="Z11" s="179"/>
    </row>
    <row r="12" spans="1:26" ht="18" customHeight="1" thickBot="1">
      <c r="B12" s="759"/>
      <c r="C12" s="760"/>
      <c r="D12" s="17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8" t="s">
        <v>38</v>
      </c>
      <c r="J12" s="762"/>
      <c r="L12" s="764"/>
      <c r="N12" s="290" t="s">
        <v>45</v>
      </c>
      <c r="O12" s="124"/>
      <c r="P12" s="125"/>
      <c r="Q12" s="126"/>
      <c r="R12" s="126"/>
      <c r="S12" s="126"/>
      <c r="T12" s="126"/>
      <c r="U12" s="181"/>
      <c r="V12" s="218"/>
      <c r="W12" s="159">
        <f ca="1">SUBTOTAL(9,W13:W44)</f>
        <v>130115244</v>
      </c>
      <c r="X12" s="160"/>
      <c r="Y12" s="168"/>
      <c r="Z12" s="168"/>
    </row>
    <row r="13" spans="1:26" ht="18" customHeight="1">
      <c r="B13" s="225" t="s">
        <v>287</v>
      </c>
      <c r="C13" s="72"/>
      <c r="D13" s="203">
        <f t="shared" ref="D13:I13" si="0">SUBTOTAL(9,D14:D16)</f>
        <v>0.5</v>
      </c>
      <c r="E13" s="204">
        <f t="shared" si="0"/>
        <v>0.8</v>
      </c>
      <c r="F13" s="204">
        <f t="shared" si="0"/>
        <v>1.4</v>
      </c>
      <c r="G13" s="204">
        <f t="shared" si="0"/>
        <v>1.9</v>
      </c>
      <c r="H13" s="204">
        <f t="shared" si="0"/>
        <v>3.4000000000000004</v>
      </c>
      <c r="I13" s="205">
        <f t="shared" si="0"/>
        <v>4.3</v>
      </c>
      <c r="J13" s="73"/>
      <c r="L13" s="232"/>
      <c r="N13" s="294" t="s">
        <v>286</v>
      </c>
      <c r="O13" s="169"/>
      <c r="P13" s="169"/>
      <c r="Q13" s="169"/>
      <c r="R13" s="169"/>
      <c r="S13" s="169"/>
      <c r="T13" s="169"/>
      <c r="U13" s="226"/>
      <c r="V13" s="248"/>
      <c r="W13" s="193">
        <f ca="1">SUBTOTAL(9,W14:W16)</f>
        <v>3404214</v>
      </c>
      <c r="X13" s="194"/>
      <c r="Y13" s="170" t="str">
        <f>IF(A26&gt;0, "제 " &amp;A26&amp; " 호표","")</f>
        <v/>
      </c>
      <c r="Z13" s="170"/>
    </row>
    <row r="14" spans="1:26" ht="18" customHeight="1">
      <c r="B14" s="223" t="s">
        <v>289</v>
      </c>
      <c r="C14" s="23"/>
      <c r="D14" s="197">
        <v>0.2</v>
      </c>
      <c r="E14" s="198">
        <v>0.3</v>
      </c>
      <c r="F14" s="198">
        <v>0.4</v>
      </c>
      <c r="G14" s="198">
        <v>0.6</v>
      </c>
      <c r="H14" s="198">
        <v>1.1000000000000001</v>
      </c>
      <c r="I14" s="199">
        <v>1.4</v>
      </c>
      <c r="J14" s="789" t="s">
        <v>185</v>
      </c>
      <c r="L14" s="233">
        <v>1</v>
      </c>
      <c r="N14" s="296" t="s">
        <v>288</v>
      </c>
      <c r="O14" s="37"/>
      <c r="P14" s="37"/>
      <c r="Q14" s="37"/>
      <c r="R14" s="37"/>
      <c r="S14" s="37"/>
      <c r="T14" s="37"/>
      <c r="U14" s="226"/>
      <c r="V14" s="231"/>
      <c r="W14" s="153">
        <f t="array" aca="1" ref="W14" ca="1">SUM((ROUNDDOWN((D48:I48)*단가,0)))</f>
        <v>1116008</v>
      </c>
      <c r="X14" s="154"/>
      <c r="Y14" s="150" t="str">
        <f>IF(A48&gt;0, "제 " &amp;A48&amp; " 호표","")</f>
        <v>제 1 호표</v>
      </c>
      <c r="Z14" s="150"/>
    </row>
    <row r="15" spans="1:26" ht="18" customHeight="1">
      <c r="B15" s="223" t="s">
        <v>291</v>
      </c>
      <c r="C15" s="23"/>
      <c r="D15" s="197">
        <v>0.1</v>
      </c>
      <c r="E15" s="198">
        <v>0.2</v>
      </c>
      <c r="F15" s="198">
        <v>0.5</v>
      </c>
      <c r="G15" s="198">
        <v>0.6</v>
      </c>
      <c r="H15" s="198">
        <v>1.1000000000000001</v>
      </c>
      <c r="I15" s="199">
        <v>1.4</v>
      </c>
      <c r="J15" s="787"/>
      <c r="L15" s="233">
        <v>1</v>
      </c>
      <c r="N15" s="296" t="s">
        <v>290</v>
      </c>
      <c r="O15" s="37"/>
      <c r="P15" s="37"/>
      <c r="Q15" s="37"/>
      <c r="R15" s="37"/>
      <c r="S15" s="37"/>
      <c r="T15" s="37"/>
      <c r="U15" s="226"/>
      <c r="V15" s="231"/>
      <c r="W15" s="153">
        <f t="array" aca="1" ref="W15" ca="1">SUM((ROUNDDOWN((D49:I49)*단가,0)))</f>
        <v>1063040</v>
      </c>
      <c r="X15" s="154"/>
      <c r="Y15" s="150" t="str">
        <f t="shared" ref="Y15:Y40" si="1">IF(A49&gt;0, "제 " &amp;A49&amp; " 호표","")</f>
        <v>제 2 호표</v>
      </c>
      <c r="Z15" s="150"/>
    </row>
    <row r="16" spans="1:26" ht="18" customHeight="1">
      <c r="B16" s="223" t="s">
        <v>293</v>
      </c>
      <c r="C16" s="23"/>
      <c r="D16" s="197">
        <v>0.2</v>
      </c>
      <c r="E16" s="198">
        <v>0.3</v>
      </c>
      <c r="F16" s="198">
        <v>0.5</v>
      </c>
      <c r="G16" s="198">
        <v>0.7</v>
      </c>
      <c r="H16" s="198">
        <v>1.2</v>
      </c>
      <c r="I16" s="199">
        <v>1.5</v>
      </c>
      <c r="J16" s="790"/>
      <c r="L16" s="233">
        <v>1</v>
      </c>
      <c r="N16" s="296" t="s">
        <v>292</v>
      </c>
      <c r="O16" s="37"/>
      <c r="P16" s="37"/>
      <c r="Q16" s="37"/>
      <c r="R16" s="37"/>
      <c r="S16" s="37"/>
      <c r="T16" s="37"/>
      <c r="U16" s="226"/>
      <c r="V16" s="231"/>
      <c r="W16" s="153">
        <f t="array" aca="1" ref="W16" ca="1">SUM((ROUNDDOWN((D50:I50)*단가,0)))</f>
        <v>1225166</v>
      </c>
      <c r="X16" s="154"/>
      <c r="Y16" s="150" t="str">
        <f t="shared" si="1"/>
        <v>제 3 호표</v>
      </c>
      <c r="Z16" s="150"/>
    </row>
    <row r="17" spans="2:26" ht="18" customHeight="1">
      <c r="B17" s="222" t="s">
        <v>295</v>
      </c>
      <c r="C17" s="47"/>
      <c r="D17" s="48">
        <f t="shared" ref="D17:I17" si="2">SUBTOTAL(9,D18:D21)</f>
        <v>0.8</v>
      </c>
      <c r="E17" s="49">
        <f t="shared" si="2"/>
        <v>1.5</v>
      </c>
      <c r="F17" s="49">
        <f t="shared" si="2"/>
        <v>2.7</v>
      </c>
      <c r="G17" s="49">
        <f t="shared" si="2"/>
        <v>2.5</v>
      </c>
      <c r="H17" s="49">
        <f t="shared" si="2"/>
        <v>4.5</v>
      </c>
      <c r="I17" s="50">
        <f t="shared" si="2"/>
        <v>5.6999999999999993</v>
      </c>
      <c r="J17" s="74"/>
      <c r="L17" s="233"/>
      <c r="N17" s="292" t="s">
        <v>294</v>
      </c>
      <c r="O17" s="37"/>
      <c r="P17" s="39"/>
      <c r="Q17" s="37"/>
      <c r="R17" s="117"/>
      <c r="S17" s="37"/>
      <c r="T17" s="37"/>
      <c r="U17" s="226"/>
      <c r="V17" s="231"/>
      <c r="W17" s="195">
        <f ca="1">SUBTOTAL(9,W18:W21)</f>
        <v>4996081</v>
      </c>
      <c r="X17" s="196"/>
      <c r="Y17" s="150" t="str">
        <f t="shared" si="1"/>
        <v/>
      </c>
      <c r="Z17" s="150"/>
    </row>
    <row r="18" spans="2:26" ht="18" customHeight="1">
      <c r="B18" s="223" t="s">
        <v>297</v>
      </c>
      <c r="C18" s="23"/>
      <c r="D18" s="197">
        <v>0.1</v>
      </c>
      <c r="E18" s="198">
        <v>0.2</v>
      </c>
      <c r="F18" s="198">
        <v>0.4</v>
      </c>
      <c r="G18" s="198">
        <v>0.6</v>
      </c>
      <c r="H18" s="198">
        <v>1.1000000000000001</v>
      </c>
      <c r="I18" s="199">
        <v>1.4</v>
      </c>
      <c r="J18" s="789" t="s">
        <v>185</v>
      </c>
      <c r="L18" s="233">
        <v>1</v>
      </c>
      <c r="N18" s="296" t="s">
        <v>296</v>
      </c>
      <c r="O18" s="37"/>
      <c r="P18" s="39"/>
      <c r="Q18" s="37"/>
      <c r="R18" s="117"/>
      <c r="S18" s="37"/>
      <c r="T18" s="37"/>
      <c r="U18" s="226"/>
      <c r="V18" s="231"/>
      <c r="W18" s="153">
        <f t="array" aca="1" ref="W18" ca="1">SUM((ROUNDDOWN((D52:I52)*단가,0)))</f>
        <v>1031951</v>
      </c>
      <c r="X18" s="154"/>
      <c r="Y18" s="150" t="str">
        <f t="shared" si="1"/>
        <v>제 4 호표</v>
      </c>
      <c r="Z18" s="150"/>
    </row>
    <row r="19" spans="2:26" ht="18" customHeight="1">
      <c r="B19" s="223" t="s">
        <v>299</v>
      </c>
      <c r="C19" s="23"/>
      <c r="D19" s="197">
        <v>0.2</v>
      </c>
      <c r="E19" s="198">
        <v>0.5</v>
      </c>
      <c r="F19" s="198">
        <v>0.9</v>
      </c>
      <c r="G19" s="198">
        <v>0.7</v>
      </c>
      <c r="H19" s="198">
        <v>1.1000000000000001</v>
      </c>
      <c r="I19" s="199">
        <v>1.4</v>
      </c>
      <c r="J19" s="787"/>
      <c r="L19" s="233">
        <v>1</v>
      </c>
      <c r="N19" s="296" t="s">
        <v>298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SUM((ROUNDDOWN((D53:I53)*단가,0)))</f>
        <v>1375635</v>
      </c>
      <c r="X19" s="154"/>
      <c r="Y19" s="150" t="str">
        <f t="shared" si="1"/>
        <v>제 5 호표</v>
      </c>
      <c r="Z19" s="150"/>
    </row>
    <row r="20" spans="2:26" ht="18" customHeight="1">
      <c r="B20" s="223" t="s">
        <v>301</v>
      </c>
      <c r="C20" s="23"/>
      <c r="D20" s="197">
        <v>0.3</v>
      </c>
      <c r="E20" s="198">
        <v>0.5</v>
      </c>
      <c r="F20" s="198">
        <v>0.9</v>
      </c>
      <c r="G20" s="198">
        <v>0.6</v>
      </c>
      <c r="H20" s="198">
        <v>1.1000000000000001</v>
      </c>
      <c r="I20" s="199">
        <v>1.5</v>
      </c>
      <c r="J20" s="787"/>
      <c r="L20" s="233">
        <v>1</v>
      </c>
      <c r="N20" s="296" t="s">
        <v>300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SUM((ROUNDDOWN((D54:I54)*단가,0)))</f>
        <v>1417852</v>
      </c>
      <c r="X20" s="154"/>
      <c r="Y20" s="150" t="str">
        <f t="shared" si="1"/>
        <v>제 6 호표</v>
      </c>
      <c r="Z20" s="150"/>
    </row>
    <row r="21" spans="2:26" ht="18" customHeight="1">
      <c r="B21" s="223" t="s">
        <v>303</v>
      </c>
      <c r="C21" s="23"/>
      <c r="D21" s="197">
        <v>0.2</v>
      </c>
      <c r="E21" s="198">
        <v>0.3</v>
      </c>
      <c r="F21" s="198">
        <v>0.5</v>
      </c>
      <c r="G21" s="198">
        <v>0.6</v>
      </c>
      <c r="H21" s="198">
        <v>1.2</v>
      </c>
      <c r="I21" s="199">
        <v>1.4</v>
      </c>
      <c r="J21" s="790"/>
      <c r="L21" s="233">
        <v>1</v>
      </c>
      <c r="N21" s="296" t="s">
        <v>302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SUM((ROUNDDOWN((D55:I55)*단가,0)))</f>
        <v>1170643</v>
      </c>
      <c r="X21" s="154"/>
      <c r="Y21" s="150" t="str">
        <f t="shared" si="1"/>
        <v>제 7 호표</v>
      </c>
      <c r="Z21" s="150"/>
    </row>
    <row r="22" spans="2:26" ht="18" customHeight="1">
      <c r="B22" s="222" t="s">
        <v>305</v>
      </c>
      <c r="C22" s="47"/>
      <c r="D22" s="48">
        <f t="shared" ref="D22:I22" si="3">SUBTOTAL(9,D23:D26)</f>
        <v>3</v>
      </c>
      <c r="E22" s="49">
        <f t="shared" si="3"/>
        <v>5.8</v>
      </c>
      <c r="F22" s="49">
        <f t="shared" si="3"/>
        <v>10.600000000000001</v>
      </c>
      <c r="G22" s="49">
        <f t="shared" si="3"/>
        <v>16.7</v>
      </c>
      <c r="H22" s="49">
        <f t="shared" si="3"/>
        <v>30.2</v>
      </c>
      <c r="I22" s="50">
        <f t="shared" si="3"/>
        <v>49.699999999999996</v>
      </c>
      <c r="J22" s="74"/>
      <c r="L22" s="233"/>
      <c r="N22" s="292" t="s">
        <v>304</v>
      </c>
      <c r="O22" s="37"/>
      <c r="P22" s="39"/>
      <c r="Q22" s="37"/>
      <c r="R22" s="117"/>
      <c r="S22" s="37"/>
      <c r="T22" s="37"/>
      <c r="U22" s="226"/>
      <c r="V22" s="231"/>
      <c r="W22" s="195">
        <f ca="1">SUBTOTAL(9,W23:W26)</f>
        <v>31331451</v>
      </c>
      <c r="X22" s="154"/>
      <c r="Y22" s="150" t="str">
        <f t="shared" si="1"/>
        <v/>
      </c>
      <c r="Z22" s="150"/>
    </row>
    <row r="23" spans="2:26" ht="18" customHeight="1">
      <c r="B23" s="223" t="s">
        <v>307</v>
      </c>
      <c r="C23" s="23"/>
      <c r="D23" s="197">
        <v>0.9</v>
      </c>
      <c r="E23" s="198">
        <v>1.7</v>
      </c>
      <c r="F23" s="198">
        <v>3.2</v>
      </c>
      <c r="G23" s="198">
        <v>5</v>
      </c>
      <c r="H23" s="198">
        <v>9</v>
      </c>
      <c r="I23" s="199">
        <v>14.2</v>
      </c>
      <c r="J23" s="74"/>
      <c r="L23" s="233">
        <v>1</v>
      </c>
      <c r="N23" s="296" t="s">
        <v>306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SUM((ROUNDDOWN((D57:I57)*단가,0)))</f>
        <v>9196079</v>
      </c>
      <c r="X23" s="154"/>
      <c r="Y23" s="150" t="str">
        <f t="shared" si="1"/>
        <v>제 8 호표</v>
      </c>
      <c r="Z23" s="150"/>
    </row>
    <row r="24" spans="2:26" ht="18" customHeight="1">
      <c r="B24" s="223" t="s">
        <v>308</v>
      </c>
      <c r="C24" s="23"/>
      <c r="D24" s="197">
        <v>0.9</v>
      </c>
      <c r="E24" s="198">
        <v>1.7</v>
      </c>
      <c r="F24" s="198">
        <v>2.8</v>
      </c>
      <c r="G24" s="198">
        <v>3.7</v>
      </c>
      <c r="H24" s="198">
        <v>6.7</v>
      </c>
      <c r="I24" s="199">
        <v>12.8</v>
      </c>
      <c r="J24" s="74"/>
      <c r="L24" s="233">
        <v>1</v>
      </c>
      <c r="N24" s="296" t="s">
        <v>112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SUM((ROUNDDOWN((D58:I58)*단가,0)))</f>
        <v>7796368</v>
      </c>
      <c r="X24" s="154"/>
      <c r="Y24" s="150" t="str">
        <f t="shared" si="1"/>
        <v>제 9 호표</v>
      </c>
      <c r="Z24" s="150"/>
    </row>
    <row r="25" spans="2:26" ht="18" customHeight="1">
      <c r="B25" s="223" t="s">
        <v>310</v>
      </c>
      <c r="C25" s="23"/>
      <c r="D25" s="197">
        <v>0.6</v>
      </c>
      <c r="E25" s="198">
        <v>1.2</v>
      </c>
      <c r="F25" s="198">
        <v>2.2999999999999998</v>
      </c>
      <c r="G25" s="198">
        <v>3.7</v>
      </c>
      <c r="H25" s="198">
        <v>6.7</v>
      </c>
      <c r="I25" s="199">
        <v>12.8</v>
      </c>
      <c r="J25" s="74"/>
      <c r="L25" s="233">
        <v>1</v>
      </c>
      <c r="N25" s="296" t="s">
        <v>309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SUM((ROUNDDOWN((D59:I59)*단가,0)))</f>
        <v>7314084</v>
      </c>
      <c r="X25" s="154"/>
      <c r="Y25" s="150" t="str">
        <f t="shared" si="1"/>
        <v>제 10 호표</v>
      </c>
      <c r="Z25" s="150"/>
    </row>
    <row r="26" spans="2:26" ht="18" customHeight="1">
      <c r="B26" s="223" t="s">
        <v>312</v>
      </c>
      <c r="C26" s="23"/>
      <c r="D26" s="197">
        <v>0.6</v>
      </c>
      <c r="E26" s="198">
        <v>1.2</v>
      </c>
      <c r="F26" s="198">
        <v>2.2999999999999998</v>
      </c>
      <c r="G26" s="198">
        <v>4.3</v>
      </c>
      <c r="H26" s="198">
        <v>7.8</v>
      </c>
      <c r="I26" s="199">
        <v>9.9</v>
      </c>
      <c r="J26" s="74"/>
      <c r="L26" s="233">
        <v>1</v>
      </c>
      <c r="N26" s="300" t="s">
        <v>311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SUM((ROUNDDOWN((D60:I60)*단가,0)))</f>
        <v>7024920</v>
      </c>
      <c r="X26" s="154"/>
      <c r="Y26" s="150" t="str">
        <f t="shared" si="1"/>
        <v>제 11 호표</v>
      </c>
      <c r="Z26" s="150"/>
    </row>
    <row r="27" spans="2:26" ht="18" customHeight="1">
      <c r="B27" s="222" t="s">
        <v>314</v>
      </c>
      <c r="C27" s="47"/>
      <c r="D27" s="48">
        <f t="shared" ref="D27:I27" si="4">SUBTOTAL(9,D28:D33)</f>
        <v>6.9</v>
      </c>
      <c r="E27" s="49">
        <f t="shared" si="4"/>
        <v>13.5</v>
      </c>
      <c r="F27" s="49">
        <f t="shared" si="4"/>
        <v>24.799999999999997</v>
      </c>
      <c r="G27" s="49">
        <f t="shared" si="4"/>
        <v>33.5</v>
      </c>
      <c r="H27" s="49">
        <f t="shared" si="4"/>
        <v>60.500000000000007</v>
      </c>
      <c r="I27" s="50">
        <f t="shared" si="4"/>
        <v>71</v>
      </c>
      <c r="J27" s="74"/>
      <c r="L27" s="233"/>
      <c r="N27" s="292" t="s">
        <v>313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SUBTOTAL(9,W28:W33)</f>
        <v>57862537</v>
      </c>
      <c r="X27" s="154"/>
      <c r="Y27" s="150" t="str">
        <f t="shared" si="1"/>
        <v/>
      </c>
      <c r="Z27" s="150"/>
    </row>
    <row r="28" spans="2:26" ht="18" customHeight="1">
      <c r="B28" s="223" t="s">
        <v>316</v>
      </c>
      <c r="C28" s="23"/>
      <c r="D28" s="197">
        <v>1.9</v>
      </c>
      <c r="E28" s="198">
        <v>3.8</v>
      </c>
      <c r="F28" s="198">
        <v>6.9</v>
      </c>
      <c r="G28" s="198">
        <v>5</v>
      </c>
      <c r="H28" s="198">
        <v>9</v>
      </c>
      <c r="I28" s="199">
        <v>11.4</v>
      </c>
      <c r="J28" s="74"/>
      <c r="L28" s="233">
        <v>1</v>
      </c>
      <c r="N28" s="296" t="s">
        <v>315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SUM((ROUNDDOWN((D62:I62)*단가,0)))</f>
        <v>10897364</v>
      </c>
      <c r="X28" s="154"/>
      <c r="Y28" s="150" t="str">
        <f t="shared" si="1"/>
        <v>제 12 호표</v>
      </c>
      <c r="Z28" s="150"/>
    </row>
    <row r="29" spans="2:26" ht="18" customHeight="1">
      <c r="B29" s="223" t="s">
        <v>318</v>
      </c>
      <c r="C29" s="23"/>
      <c r="D29" s="197">
        <v>0.8</v>
      </c>
      <c r="E29" s="198">
        <v>1.7</v>
      </c>
      <c r="F29" s="198">
        <v>3.2</v>
      </c>
      <c r="G29" s="198">
        <v>5</v>
      </c>
      <c r="H29" s="198">
        <v>9</v>
      </c>
      <c r="I29" s="199">
        <v>12.8</v>
      </c>
      <c r="J29" s="74"/>
      <c r="L29" s="233">
        <v>1</v>
      </c>
      <c r="N29" s="296" t="s">
        <v>317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SUM((ROUNDDOWN((D63:I63)*단가,0)))</f>
        <v>8799235</v>
      </c>
      <c r="X29" s="154"/>
      <c r="Y29" s="150" t="str">
        <f t="shared" si="1"/>
        <v>제 13 호표</v>
      </c>
      <c r="Z29" s="150"/>
    </row>
    <row r="30" spans="2:26" ht="18" customHeight="1">
      <c r="B30" s="223" t="s">
        <v>320</v>
      </c>
      <c r="C30" s="23"/>
      <c r="D30" s="197">
        <v>0.7</v>
      </c>
      <c r="E30" s="198">
        <v>1.5</v>
      </c>
      <c r="F30" s="198">
        <v>2.7</v>
      </c>
      <c r="G30" s="198">
        <v>5</v>
      </c>
      <c r="H30" s="198">
        <v>9</v>
      </c>
      <c r="I30" s="199">
        <v>12.8</v>
      </c>
      <c r="J30" s="74"/>
      <c r="L30" s="233">
        <v>1</v>
      </c>
      <c r="N30" s="296" t="s">
        <v>319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SUM((ROUNDDOWN((D64:I64)*단가,0)))</f>
        <v>8522400</v>
      </c>
      <c r="X30" s="154"/>
      <c r="Y30" s="150" t="str">
        <f t="shared" si="1"/>
        <v>제 14 호표</v>
      </c>
      <c r="Z30" s="150"/>
    </row>
    <row r="31" spans="2:26" ht="18" customHeight="1">
      <c r="B31" s="223" t="s">
        <v>322</v>
      </c>
      <c r="C31" s="23"/>
      <c r="D31" s="197">
        <v>1.1000000000000001</v>
      </c>
      <c r="E31" s="198">
        <v>2.2999999999999998</v>
      </c>
      <c r="F31" s="198">
        <v>4.2</v>
      </c>
      <c r="G31" s="198">
        <v>6.2</v>
      </c>
      <c r="H31" s="198">
        <v>11.2</v>
      </c>
      <c r="I31" s="199">
        <v>8.5</v>
      </c>
      <c r="J31" s="74"/>
      <c r="L31" s="233">
        <v>1</v>
      </c>
      <c r="N31" s="296" t="s">
        <v>321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SUM((ROUNDDOWN((D65:I65)*단가,0)))</f>
        <v>9271095</v>
      </c>
      <c r="X31" s="154"/>
      <c r="Y31" s="150" t="str">
        <f t="shared" si="1"/>
        <v>제 15 호표</v>
      </c>
      <c r="Z31" s="150"/>
    </row>
    <row r="32" spans="2:26" ht="18" customHeight="1">
      <c r="B32" s="223" t="s">
        <v>324</v>
      </c>
      <c r="C32" s="23"/>
      <c r="D32" s="197">
        <v>1.3</v>
      </c>
      <c r="E32" s="198">
        <v>2</v>
      </c>
      <c r="F32" s="198">
        <v>3.7</v>
      </c>
      <c r="G32" s="198">
        <v>6.2</v>
      </c>
      <c r="H32" s="198">
        <v>11.2</v>
      </c>
      <c r="I32" s="199">
        <v>12.8</v>
      </c>
      <c r="J32" s="74"/>
      <c r="L32" s="233">
        <v>1</v>
      </c>
      <c r="N32" s="296" t="s">
        <v>323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SUM((ROUNDDOWN((D66:I66)*단가,0)))</f>
        <v>10172466</v>
      </c>
      <c r="X32" s="154"/>
      <c r="Y32" s="150" t="str">
        <f t="shared" si="1"/>
        <v>제 16 호표</v>
      </c>
      <c r="Z32" s="150"/>
    </row>
    <row r="33" spans="1:26" ht="18" customHeight="1">
      <c r="B33" s="223" t="s">
        <v>326</v>
      </c>
      <c r="C33" s="23"/>
      <c r="D33" s="197">
        <v>1.1000000000000001</v>
      </c>
      <c r="E33" s="198">
        <v>2.2000000000000002</v>
      </c>
      <c r="F33" s="198">
        <v>4.0999999999999996</v>
      </c>
      <c r="G33" s="198">
        <v>6.1</v>
      </c>
      <c r="H33" s="198">
        <v>11.1</v>
      </c>
      <c r="I33" s="199">
        <v>12.7</v>
      </c>
      <c r="J33" s="74"/>
      <c r="L33" s="233">
        <v>1</v>
      </c>
      <c r="N33" s="300" t="s">
        <v>325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SUM((ROUNDDOWN((D67:I67)*단가,0)))</f>
        <v>10199977</v>
      </c>
      <c r="X33" s="154"/>
      <c r="Y33" s="150" t="str">
        <f t="shared" si="1"/>
        <v>제 17 호표</v>
      </c>
      <c r="Z33" s="150"/>
    </row>
    <row r="34" spans="1:26" ht="18" customHeight="1">
      <c r="B34" s="222" t="s">
        <v>328</v>
      </c>
      <c r="C34" s="47"/>
      <c r="D34" s="48">
        <f t="shared" ref="D34:I34" si="5">SUBTOTAL(9,D35:D37)</f>
        <v>1.5</v>
      </c>
      <c r="E34" s="49">
        <f t="shared" si="5"/>
        <v>2.7</v>
      </c>
      <c r="F34" s="49">
        <f t="shared" si="5"/>
        <v>5.0999999999999996</v>
      </c>
      <c r="G34" s="49">
        <f t="shared" si="5"/>
        <v>3.7</v>
      </c>
      <c r="H34" s="49">
        <f t="shared" si="5"/>
        <v>6.7</v>
      </c>
      <c r="I34" s="50">
        <f t="shared" si="5"/>
        <v>5.6999999999999993</v>
      </c>
      <c r="J34" s="74"/>
      <c r="L34" s="233"/>
      <c r="N34" s="292" t="s">
        <v>327</v>
      </c>
      <c r="O34" s="37"/>
      <c r="P34" s="39"/>
      <c r="Q34" s="37"/>
      <c r="R34" s="117"/>
      <c r="S34" s="37"/>
      <c r="T34" s="37"/>
      <c r="U34" s="226"/>
      <c r="V34" s="231"/>
      <c r="W34" s="195">
        <f ca="1">SUBTOTAL(9,W35:W37)</f>
        <v>5911564</v>
      </c>
      <c r="X34" s="154"/>
      <c r="Y34" s="150" t="str">
        <f t="shared" si="1"/>
        <v/>
      </c>
      <c r="Z34" s="150"/>
    </row>
    <row r="35" spans="1:26" ht="18" customHeight="1">
      <c r="B35" s="223" t="s">
        <v>330</v>
      </c>
      <c r="C35" s="23"/>
      <c r="D35" s="197">
        <v>0.5</v>
      </c>
      <c r="E35" s="198">
        <v>1</v>
      </c>
      <c r="F35" s="198">
        <v>1.8</v>
      </c>
      <c r="G35" s="198">
        <v>1.3</v>
      </c>
      <c r="H35" s="198">
        <v>2.2999999999999998</v>
      </c>
      <c r="I35" s="199">
        <v>1.5</v>
      </c>
      <c r="J35" s="74"/>
      <c r="L35" s="233">
        <v>1</v>
      </c>
      <c r="N35" s="296" t="s">
        <v>329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SUM((ROUNDDOWN((D69:I69)*단가,0)))</f>
        <v>1973531</v>
      </c>
      <c r="X35" s="154"/>
      <c r="Y35" s="150" t="str">
        <f t="shared" si="1"/>
        <v>제 18 호표</v>
      </c>
      <c r="Z35" s="150"/>
    </row>
    <row r="36" spans="1:26" ht="18" customHeight="1">
      <c r="B36" s="223" t="s">
        <v>332</v>
      </c>
      <c r="C36" s="23"/>
      <c r="D36" s="197">
        <v>0.6</v>
      </c>
      <c r="E36" s="198">
        <v>1</v>
      </c>
      <c r="F36" s="198">
        <v>1.8</v>
      </c>
      <c r="G36" s="198">
        <v>1.2</v>
      </c>
      <c r="H36" s="198">
        <v>2.2000000000000002</v>
      </c>
      <c r="I36" s="199">
        <v>1.4</v>
      </c>
      <c r="J36" s="74"/>
      <c r="L36" s="233">
        <v>1</v>
      </c>
      <c r="N36" s="296" t="s">
        <v>331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SUM((ROUNDDOWN((D70:I70)*단가,0)))</f>
        <v>1948454</v>
      </c>
      <c r="X36" s="154"/>
      <c r="Y36" s="150" t="str">
        <f t="shared" si="1"/>
        <v>제 19 호표</v>
      </c>
      <c r="Z36" s="150"/>
    </row>
    <row r="37" spans="1:26" ht="18" customHeight="1">
      <c r="B37" s="223" t="s">
        <v>334</v>
      </c>
      <c r="C37" s="23"/>
      <c r="D37" s="197">
        <v>0.4</v>
      </c>
      <c r="E37" s="198">
        <v>0.7</v>
      </c>
      <c r="F37" s="198">
        <v>1.5</v>
      </c>
      <c r="G37" s="198">
        <v>1.2</v>
      </c>
      <c r="H37" s="198">
        <v>2.2000000000000002</v>
      </c>
      <c r="I37" s="199">
        <v>2.8</v>
      </c>
      <c r="J37" s="74"/>
      <c r="L37" s="233">
        <v>1</v>
      </c>
      <c r="N37" s="296" t="s">
        <v>333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SUM((ROUNDDOWN((D71:I71)*단가,0)))</f>
        <v>1989579</v>
      </c>
      <c r="X37" s="154"/>
      <c r="Y37" s="150" t="str">
        <f t="shared" si="1"/>
        <v>제 20 호표</v>
      </c>
      <c r="Z37" s="150"/>
    </row>
    <row r="38" spans="1:26" ht="18" customHeight="1">
      <c r="B38" s="222" t="s">
        <v>117</v>
      </c>
      <c r="C38" s="47"/>
      <c r="D38" s="48">
        <f t="shared" ref="D38:I38" si="6">SUBTOTAL(9,D39:D39)</f>
        <v>0.3</v>
      </c>
      <c r="E38" s="49">
        <f t="shared" si="6"/>
        <v>0.7</v>
      </c>
      <c r="F38" s="49">
        <f t="shared" si="6"/>
        <v>1.4</v>
      </c>
      <c r="G38" s="49">
        <f t="shared" si="6"/>
        <v>3.7</v>
      </c>
      <c r="H38" s="49">
        <f t="shared" si="6"/>
        <v>6.7</v>
      </c>
      <c r="I38" s="50">
        <f t="shared" si="6"/>
        <v>5.6</v>
      </c>
      <c r="J38" s="74"/>
      <c r="L38" s="233"/>
      <c r="N38" s="292" t="s">
        <v>116</v>
      </c>
      <c r="O38" s="37"/>
      <c r="P38" s="39"/>
      <c r="Q38" s="37"/>
      <c r="R38" s="117"/>
      <c r="S38" s="37"/>
      <c r="T38" s="37"/>
      <c r="U38" s="226"/>
      <c r="V38" s="231"/>
      <c r="W38" s="195">
        <f ca="1">SUBTOTAL(9,W39:W39)</f>
        <v>4906821</v>
      </c>
      <c r="X38" s="154"/>
      <c r="Y38" s="150" t="str">
        <f t="shared" si="1"/>
        <v/>
      </c>
      <c r="Z38" s="150"/>
    </row>
    <row r="39" spans="1:26" ht="18" customHeight="1">
      <c r="B39" s="223" t="s">
        <v>178</v>
      </c>
      <c r="C39" s="23"/>
      <c r="D39" s="197">
        <v>0.3</v>
      </c>
      <c r="E39" s="198">
        <v>0.7</v>
      </c>
      <c r="F39" s="198">
        <v>1.4</v>
      </c>
      <c r="G39" s="198">
        <v>3.7</v>
      </c>
      <c r="H39" s="198">
        <v>6.7</v>
      </c>
      <c r="I39" s="199">
        <v>5.6</v>
      </c>
      <c r="J39" s="74"/>
      <c r="L39" s="233">
        <v>1</v>
      </c>
      <c r="N39" s="296" t="s">
        <v>339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SUM((ROUNDDOWN((D73:I73)*단가,0)))</f>
        <v>4906821</v>
      </c>
      <c r="X39" s="154"/>
      <c r="Y39" s="150" t="str">
        <f t="shared" si="1"/>
        <v>제 21 호표</v>
      </c>
      <c r="Z39" s="150"/>
    </row>
    <row r="40" spans="1:26" ht="18" customHeight="1">
      <c r="B40" s="58" t="s">
        <v>65</v>
      </c>
      <c r="C40" s="59"/>
      <c r="D40" s="60">
        <f t="shared" ref="D40:I40" si="7">SUBTOTAL(9,D13:D39)</f>
        <v>13</v>
      </c>
      <c r="E40" s="61">
        <f t="shared" si="7"/>
        <v>24.999999999999996</v>
      </c>
      <c r="F40" s="61">
        <f t="shared" si="7"/>
        <v>45.999999999999993</v>
      </c>
      <c r="G40" s="61">
        <f t="shared" si="7"/>
        <v>62.000000000000014</v>
      </c>
      <c r="H40" s="61">
        <f t="shared" si="7"/>
        <v>112</v>
      </c>
      <c r="I40" s="62">
        <f t="shared" si="7"/>
        <v>142</v>
      </c>
      <c r="J40" s="254"/>
      <c r="M40" s="171"/>
      <c r="N40" s="292" t="s">
        <v>340</v>
      </c>
      <c r="O40" s="37"/>
      <c r="P40" s="39"/>
      <c r="Q40" s="37"/>
      <c r="R40" s="117"/>
      <c r="S40" s="37"/>
      <c r="T40" s="37"/>
      <c r="U40" s="226"/>
      <c r="V40" s="231"/>
      <c r="W40" s="195">
        <f ca="1">SUBTOTAL(9,W41:W44)</f>
        <v>21702576</v>
      </c>
      <c r="X40" s="154"/>
      <c r="Y40" s="150" t="str">
        <f t="shared" si="1"/>
        <v/>
      </c>
      <c r="Z40" s="150"/>
    </row>
    <row r="41" spans="1:26" ht="18" customHeight="1">
      <c r="B41" s="252" t="s">
        <v>180</v>
      </c>
      <c r="C41" s="253"/>
      <c r="D41" s="81">
        <f t="shared" ref="D41:I41" si="8">SUBTOTAL(9,D42:D45)</f>
        <v>8</v>
      </c>
      <c r="E41" s="82">
        <f t="shared" si="8"/>
        <v>8</v>
      </c>
      <c r="F41" s="82">
        <f t="shared" si="8"/>
        <v>8</v>
      </c>
      <c r="G41" s="82">
        <f t="shared" si="8"/>
        <v>16</v>
      </c>
      <c r="H41" s="82">
        <f t="shared" si="8"/>
        <v>16</v>
      </c>
      <c r="I41" s="83">
        <f t="shared" si="8"/>
        <v>16</v>
      </c>
      <c r="J41" s="787" t="s">
        <v>223</v>
      </c>
      <c r="L41" s="233"/>
      <c r="M41" s="171"/>
      <c r="N41" s="296" t="s">
        <v>341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SUM((ROUNDDOWN((D76:I76)*단가,0)))</f>
        <v>5425644</v>
      </c>
      <c r="X41" s="154"/>
      <c r="Y41" s="150" t="str">
        <f>IF(A76&gt;0, "제 " &amp;A76&amp; " 호표","")</f>
        <v>제 22 호표</v>
      </c>
      <c r="Z41" s="150"/>
    </row>
    <row r="42" spans="1:26" ht="18" customHeight="1">
      <c r="B42" s="223" t="s">
        <v>181</v>
      </c>
      <c r="C42" s="23"/>
      <c r="D42" s="197">
        <v>2</v>
      </c>
      <c r="E42" s="198">
        <v>2</v>
      </c>
      <c r="F42" s="198">
        <v>2</v>
      </c>
      <c r="G42" s="198">
        <v>4</v>
      </c>
      <c r="H42" s="198">
        <v>4</v>
      </c>
      <c r="I42" s="199">
        <v>4</v>
      </c>
      <c r="J42" s="787"/>
      <c r="L42" s="233">
        <v>1</v>
      </c>
      <c r="M42" s="171"/>
      <c r="N42" s="296" t="s">
        <v>342</v>
      </c>
      <c r="O42" s="37"/>
      <c r="P42" s="39"/>
      <c r="Q42" s="37"/>
      <c r="R42" s="117"/>
      <c r="S42" s="37"/>
      <c r="T42" s="37"/>
      <c r="U42" s="226"/>
      <c r="V42" s="231"/>
      <c r="W42" s="153">
        <f t="array" aca="1" ref="W42" ca="1">SUM((ROUNDDOWN((D77:I77)*단가,0)))</f>
        <v>5425644</v>
      </c>
      <c r="X42" s="154"/>
      <c r="Y42" s="150" t="str">
        <f>IF(A77&gt;0, "제 " &amp;A77&amp; " 호표","")</f>
        <v>제 23 호표</v>
      </c>
      <c r="Z42" s="150"/>
    </row>
    <row r="43" spans="1:26" ht="18" customHeight="1">
      <c r="B43" s="223" t="s">
        <v>182</v>
      </c>
      <c r="C43" s="23"/>
      <c r="D43" s="197">
        <v>2</v>
      </c>
      <c r="E43" s="198">
        <v>2</v>
      </c>
      <c r="F43" s="198">
        <v>2</v>
      </c>
      <c r="G43" s="198">
        <v>4</v>
      </c>
      <c r="H43" s="198">
        <v>4</v>
      </c>
      <c r="I43" s="199">
        <v>4</v>
      </c>
      <c r="J43" s="787"/>
      <c r="L43" s="233">
        <v>1</v>
      </c>
      <c r="M43" s="171"/>
      <c r="N43" s="296" t="s">
        <v>343</v>
      </c>
      <c r="O43" s="37"/>
      <c r="P43" s="39"/>
      <c r="Q43" s="37"/>
      <c r="R43" s="117"/>
      <c r="S43" s="37"/>
      <c r="T43" s="37"/>
      <c r="U43" s="226"/>
      <c r="V43" s="231"/>
      <c r="W43" s="153">
        <f t="array" aca="1" ref="W43" ca="1">SUM((ROUNDDOWN((D78:I78)*단가,0)))</f>
        <v>5425644</v>
      </c>
      <c r="X43" s="154"/>
      <c r="Y43" s="150" t="str">
        <f>IF(A78&gt;0, "제 " &amp;A78&amp; " 호표","")</f>
        <v>제 24 호표</v>
      </c>
      <c r="Z43" s="150"/>
    </row>
    <row r="44" spans="1:26" ht="18" customHeight="1">
      <c r="B44" s="223" t="s">
        <v>183</v>
      </c>
      <c r="C44" s="23"/>
      <c r="D44" s="197"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787"/>
      <c r="L44" s="233">
        <v>1</v>
      </c>
      <c r="M44" s="171"/>
      <c r="N44" s="296" t="s">
        <v>344</v>
      </c>
      <c r="O44" s="37"/>
      <c r="P44" s="39"/>
      <c r="Q44" s="37"/>
      <c r="R44" s="117"/>
      <c r="S44" s="37"/>
      <c r="T44" s="37"/>
      <c r="U44" s="226"/>
      <c r="V44" s="231"/>
      <c r="W44" s="153">
        <f t="array" aca="1" ref="W44" ca="1">SUM((ROUNDDOWN((D79:I79)*단가,0)))</f>
        <v>5425644</v>
      </c>
      <c r="X44" s="154"/>
      <c r="Y44" s="150" t="str">
        <f>IF(A79&gt;0, "제 " &amp;A79&amp; " 호표","")</f>
        <v>제 25 호표</v>
      </c>
      <c r="Z44" s="150"/>
    </row>
    <row r="45" spans="1:26" ht="18" customHeight="1" thickBot="1">
      <c r="B45" s="223" t="s">
        <v>184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788"/>
      <c r="L45" s="233">
        <v>1</v>
      </c>
      <c r="M45" s="171"/>
      <c r="N45" s="379"/>
      <c r="P45" s="371"/>
      <c r="R45" s="357"/>
      <c r="S45" s="1"/>
      <c r="T45" s="1"/>
      <c r="U45" s="258"/>
      <c r="V45" s="380"/>
      <c r="W45" s="373"/>
      <c r="X45" s="374"/>
      <c r="Y45" s="378"/>
      <c r="Z45" s="378"/>
    </row>
    <row r="46" spans="1:26" ht="18" customHeight="1" thickBot="1">
      <c r="B46" s="14" t="s">
        <v>30</v>
      </c>
      <c r="C46" s="16"/>
      <c r="D46" s="14" t="s">
        <v>12</v>
      </c>
      <c r="E46" s="15"/>
      <c r="F46" s="15"/>
      <c r="G46" s="15"/>
      <c r="H46" s="15"/>
      <c r="I46" s="16"/>
      <c r="J46" s="175" t="s">
        <v>31</v>
      </c>
      <c r="M46" s="171"/>
      <c r="N46" s="290" t="s">
        <v>10</v>
      </c>
      <c r="O46" s="129"/>
      <c r="P46" s="130"/>
      <c r="Q46" s="124"/>
      <c r="R46" s="131"/>
      <c r="S46" s="124"/>
      <c r="T46" s="124"/>
      <c r="U46" s="181"/>
      <c r="V46" s="181"/>
      <c r="W46" s="159">
        <f>SUBTOTAL(9,W47:W51)</f>
        <v>10000000</v>
      </c>
      <c r="X46" s="160"/>
      <c r="Y46" s="124"/>
      <c r="Z46" s="124"/>
    </row>
    <row r="47" spans="1:26" ht="18" customHeight="1">
      <c r="B47" s="225" t="s">
        <v>287</v>
      </c>
      <c r="C47" s="72"/>
      <c r="D47" s="203">
        <f t="shared" ref="D47:I47" si="9">SUBTOTAL(9,D48:D50)</f>
        <v>0.5</v>
      </c>
      <c r="E47" s="204">
        <f t="shared" si="9"/>
        <v>0.8</v>
      </c>
      <c r="F47" s="204">
        <f t="shared" si="9"/>
        <v>1.4</v>
      </c>
      <c r="G47" s="204">
        <f t="shared" si="9"/>
        <v>1.9</v>
      </c>
      <c r="H47" s="204">
        <f t="shared" si="9"/>
        <v>3.4000000000000004</v>
      </c>
      <c r="I47" s="205">
        <f t="shared" si="9"/>
        <v>4.3</v>
      </c>
      <c r="J47" s="73"/>
      <c r="M47" s="171"/>
      <c r="N47" s="291" t="str">
        <f>"여비("&amp;TEXT(T47,"#인 ×")&amp;TEXT(U47,"#일 ×")&amp;TEXT(V47,"###,###원)")</f>
        <v>여비(3인 ×10일 ×100,000원)</v>
      </c>
      <c r="O47" s="78"/>
      <c r="P47" s="52"/>
      <c r="Q47" s="51"/>
      <c r="T47" s="146">
        <v>3</v>
      </c>
      <c r="U47" s="146">
        <v>10</v>
      </c>
      <c r="V47" s="147">
        <v>100000</v>
      </c>
      <c r="W47" s="161">
        <f>T47*U47*V47</f>
        <v>3000000</v>
      </c>
      <c r="X47" s="162"/>
      <c r="Y47" s="51"/>
      <c r="Z47" s="51"/>
    </row>
    <row r="48" spans="1:26" ht="18" customHeight="1">
      <c r="A48" s="326">
        <v>1</v>
      </c>
      <c r="B48" s="223" t="s">
        <v>289</v>
      </c>
      <c r="C48" s="23"/>
      <c r="D48" s="197">
        <f t="array" ref="D48:I50">ROUNDDOWN(D14:I16*D5*L14:L16,3)</f>
        <v>0.2</v>
      </c>
      <c r="E48" s="198">
        <v>0.3</v>
      </c>
      <c r="F48" s="198">
        <v>0.4</v>
      </c>
      <c r="G48" s="198">
        <v>0.6</v>
      </c>
      <c r="H48" s="198">
        <v>1.1000000000000001</v>
      </c>
      <c r="I48" s="199">
        <v>1.4</v>
      </c>
      <c r="J48" s="789" t="s">
        <v>185</v>
      </c>
      <c r="M48" s="171"/>
      <c r="N48" s="292" t="s">
        <v>46</v>
      </c>
      <c r="O48" s="79"/>
      <c r="P48" s="39"/>
      <c r="Q48" s="37"/>
      <c r="R48" s="117"/>
      <c r="S48" s="37"/>
      <c r="T48" s="37"/>
      <c r="U48" s="180"/>
      <c r="V48" s="180"/>
      <c r="W48" s="157">
        <v>2000000</v>
      </c>
      <c r="X48" s="158"/>
      <c r="Y48" s="37"/>
      <c r="Z48" s="37"/>
    </row>
    <row r="49" spans="1:26" ht="18" customHeight="1">
      <c r="A49" s="326">
        <v>2</v>
      </c>
      <c r="B49" s="223" t="s">
        <v>291</v>
      </c>
      <c r="C49" s="23"/>
      <c r="D49" s="197">
        <v>0.1</v>
      </c>
      <c r="E49" s="198">
        <v>0.2</v>
      </c>
      <c r="F49" s="198">
        <v>0.5</v>
      </c>
      <c r="G49" s="198">
        <v>0.6</v>
      </c>
      <c r="H49" s="198">
        <v>1.1000000000000001</v>
      </c>
      <c r="I49" s="199">
        <v>1.4</v>
      </c>
      <c r="J49" s="787"/>
      <c r="M49" s="171"/>
      <c r="N49" s="292" t="s">
        <v>345</v>
      </c>
      <c r="O49" s="79"/>
      <c r="P49" s="39"/>
      <c r="Q49" s="37"/>
      <c r="R49" s="117"/>
      <c r="S49" s="37"/>
      <c r="T49" s="37"/>
      <c r="U49" s="180"/>
      <c r="V49" s="180"/>
      <c r="W49" s="157">
        <v>2000000</v>
      </c>
      <c r="X49" s="158"/>
      <c r="Y49" s="37"/>
      <c r="Z49" s="37"/>
    </row>
    <row r="50" spans="1:26" ht="18" customHeight="1">
      <c r="A50" s="326">
        <v>3</v>
      </c>
      <c r="B50" s="223" t="s">
        <v>293</v>
      </c>
      <c r="C50" s="23"/>
      <c r="D50" s="197">
        <v>0.2</v>
      </c>
      <c r="E50" s="198">
        <v>0.3</v>
      </c>
      <c r="F50" s="198">
        <v>0.5</v>
      </c>
      <c r="G50" s="198">
        <v>0.7</v>
      </c>
      <c r="H50" s="198">
        <v>1.2</v>
      </c>
      <c r="I50" s="199">
        <v>1.5</v>
      </c>
      <c r="J50" s="790"/>
      <c r="M50" s="171"/>
      <c r="N50" s="292" t="s">
        <v>346</v>
      </c>
      <c r="O50" s="79"/>
      <c r="P50" s="39"/>
      <c r="Q50" s="37"/>
      <c r="R50" s="117"/>
      <c r="S50" s="37"/>
      <c r="T50" s="37"/>
      <c r="U50" s="180"/>
      <c r="V50" s="180"/>
      <c r="W50" s="157">
        <v>2000000</v>
      </c>
      <c r="X50" s="158"/>
      <c r="Y50" s="37"/>
      <c r="Z50" s="37"/>
    </row>
    <row r="51" spans="1:26" ht="18" customHeight="1">
      <c r="B51" s="222" t="s">
        <v>295</v>
      </c>
      <c r="C51" s="47"/>
      <c r="D51" s="48">
        <f t="shared" ref="D51:I51" si="10">SUBTOTAL(9,D52:D55)</f>
        <v>0.8</v>
      </c>
      <c r="E51" s="49">
        <f t="shared" si="10"/>
        <v>1.5</v>
      </c>
      <c r="F51" s="49">
        <f t="shared" si="10"/>
        <v>2.7</v>
      </c>
      <c r="G51" s="49">
        <f t="shared" si="10"/>
        <v>2.5</v>
      </c>
      <c r="H51" s="49">
        <f t="shared" si="10"/>
        <v>4.5</v>
      </c>
      <c r="I51" s="50">
        <f t="shared" si="10"/>
        <v>5.6999999999999993</v>
      </c>
      <c r="J51" s="74"/>
      <c r="M51" s="171"/>
      <c r="N51" s="293" t="s">
        <v>347</v>
      </c>
      <c r="O51" s="132"/>
      <c r="P51" s="38"/>
      <c r="Q51" s="38"/>
      <c r="R51" s="116"/>
      <c r="S51" s="38"/>
      <c r="T51" s="38"/>
      <c r="U51" s="183"/>
      <c r="V51" s="183"/>
      <c r="W51" s="155">
        <v>1000000</v>
      </c>
      <c r="X51" s="156"/>
      <c r="Y51" s="38"/>
      <c r="Z51" s="38"/>
    </row>
    <row r="52" spans="1:26" ht="18" customHeight="1">
      <c r="A52" s="326">
        <v>4</v>
      </c>
      <c r="B52" s="223" t="s">
        <v>297</v>
      </c>
      <c r="C52" s="23"/>
      <c r="D52" s="197">
        <f t="array" ref="D52:I55">ROUNDDOWN(D18:I21*D5*L18:L21,3)</f>
        <v>0.1</v>
      </c>
      <c r="E52" s="198">
        <v>0.2</v>
      </c>
      <c r="F52" s="198">
        <v>0.4</v>
      </c>
      <c r="G52" s="198">
        <v>0.6</v>
      </c>
      <c r="H52" s="198">
        <v>1.1000000000000001</v>
      </c>
      <c r="I52" s="199">
        <v>1.4</v>
      </c>
      <c r="J52" s="789" t="s">
        <v>185</v>
      </c>
      <c r="M52" s="171"/>
      <c r="N52" s="127" t="s">
        <v>47</v>
      </c>
      <c r="O52" s="123"/>
      <c r="P52" s="123"/>
      <c r="Q52" s="123"/>
      <c r="R52" s="123"/>
      <c r="S52" s="123"/>
      <c r="T52" s="123"/>
      <c r="U52" s="184"/>
      <c r="V52" s="184"/>
      <c r="W52" s="163">
        <f ca="1">SUBTOTAL(9,W53:W54)</f>
        <v>233556862</v>
      </c>
      <c r="X52" s="164"/>
      <c r="Y52" s="123"/>
      <c r="Z52" s="123"/>
    </row>
    <row r="53" spans="1:26" ht="18" customHeight="1">
      <c r="A53" s="326">
        <v>5</v>
      </c>
      <c r="B53" s="223" t="s">
        <v>299</v>
      </c>
      <c r="C53" s="23"/>
      <c r="D53" s="197">
        <v>0.2</v>
      </c>
      <c r="E53" s="198">
        <v>0.5</v>
      </c>
      <c r="F53" s="198">
        <v>0.9</v>
      </c>
      <c r="G53" s="198">
        <v>0.7</v>
      </c>
      <c r="H53" s="198">
        <v>1.1000000000000001</v>
      </c>
      <c r="I53" s="199">
        <v>1.4</v>
      </c>
      <c r="J53" s="787"/>
      <c r="M53" s="171"/>
      <c r="N53" s="133" t="s">
        <v>861</v>
      </c>
      <c r="O53" s="124"/>
      <c r="P53" s="134"/>
      <c r="Q53" s="124"/>
      <c r="R53" s="131"/>
      <c r="S53" s="124"/>
      <c r="T53" s="181"/>
      <c r="U53" s="181"/>
      <c r="V53" s="190">
        <v>1.1499999999999999</v>
      </c>
      <c r="W53" s="159">
        <f ca="1">ROUNDDOWN(W12*V53,0)</f>
        <v>149632530</v>
      </c>
      <c r="X53" s="160"/>
      <c r="Y53" s="124"/>
      <c r="Z53" s="124"/>
    </row>
    <row r="54" spans="1:26" ht="18" customHeight="1" thickBot="1">
      <c r="A54" s="326">
        <v>6</v>
      </c>
      <c r="B54" s="223" t="s">
        <v>301</v>
      </c>
      <c r="C54" s="23"/>
      <c r="D54" s="197">
        <v>0.3</v>
      </c>
      <c r="E54" s="198">
        <v>0.5</v>
      </c>
      <c r="F54" s="198">
        <v>0.9</v>
      </c>
      <c r="G54" s="198">
        <v>0.6</v>
      </c>
      <c r="H54" s="198">
        <v>1.1000000000000001</v>
      </c>
      <c r="I54" s="199">
        <v>1.5</v>
      </c>
      <c r="J54" s="787"/>
      <c r="M54" s="171"/>
      <c r="N54" s="135" t="s">
        <v>862</v>
      </c>
      <c r="O54" s="136"/>
      <c r="P54" s="137"/>
      <c r="Q54" s="136"/>
      <c r="R54" s="138"/>
      <c r="S54" s="136"/>
      <c r="T54" s="185"/>
      <c r="U54" s="185"/>
      <c r="V54" s="191">
        <v>0.3</v>
      </c>
      <c r="W54" s="165">
        <f ca="1">ROUNDDOWN((W12+W53)*V54,0)</f>
        <v>83924332</v>
      </c>
      <c r="X54" s="166"/>
      <c r="Y54" s="136"/>
      <c r="Z54" s="136"/>
    </row>
    <row r="55" spans="1:26" ht="18" customHeight="1">
      <c r="A55" s="326">
        <v>7</v>
      </c>
      <c r="B55" s="223" t="s">
        <v>303</v>
      </c>
      <c r="C55" s="23"/>
      <c r="D55" s="197">
        <v>0.2</v>
      </c>
      <c r="E55" s="198">
        <v>0.3</v>
      </c>
      <c r="F55" s="198">
        <v>0.5</v>
      </c>
      <c r="G55" s="198">
        <v>0.6</v>
      </c>
      <c r="H55" s="198">
        <v>1.2</v>
      </c>
      <c r="I55" s="199">
        <v>1.4</v>
      </c>
      <c r="J55" s="790"/>
      <c r="M55" s="171"/>
    </row>
    <row r="56" spans="1:26" ht="18" customHeight="1">
      <c r="B56" s="222" t="s">
        <v>305</v>
      </c>
      <c r="C56" s="47"/>
      <c r="D56" s="48">
        <f t="shared" ref="D56:I56" si="11">SUBTOTAL(9,D57:D60)</f>
        <v>3</v>
      </c>
      <c r="E56" s="49">
        <f t="shared" si="11"/>
        <v>5.8</v>
      </c>
      <c r="F56" s="49">
        <f t="shared" si="11"/>
        <v>10.600000000000001</v>
      </c>
      <c r="G56" s="49">
        <f t="shared" si="11"/>
        <v>16.7</v>
      </c>
      <c r="H56" s="49">
        <f t="shared" si="11"/>
        <v>30.2</v>
      </c>
      <c r="I56" s="50">
        <f t="shared" si="11"/>
        <v>49.699999999999996</v>
      </c>
      <c r="J56" s="74"/>
      <c r="M56" s="171"/>
    </row>
    <row r="57" spans="1:26" ht="18" customHeight="1" thickBot="1">
      <c r="A57" s="326">
        <v>8</v>
      </c>
      <c r="B57" s="223" t="s">
        <v>307</v>
      </c>
      <c r="C57" s="23"/>
      <c r="D57" s="197">
        <f t="array" ref="D57:I60">ROUNDDOWN(D23:I26*D5*L23:L26,3)</f>
        <v>0.9</v>
      </c>
      <c r="E57" s="198">
        <v>1.7</v>
      </c>
      <c r="F57" s="198">
        <v>3.2</v>
      </c>
      <c r="G57" s="198">
        <v>5</v>
      </c>
      <c r="H57" s="198">
        <v>9</v>
      </c>
      <c r="I57" s="199">
        <v>14.2</v>
      </c>
      <c r="J57" s="74"/>
      <c r="M57" s="171"/>
      <c r="N57" s="66" t="s">
        <v>18</v>
      </c>
      <c r="O57" s="2"/>
      <c r="P57" s="2"/>
      <c r="Q57" s="2"/>
      <c r="R57" s="3"/>
      <c r="S57" s="4"/>
      <c r="T57" s="3"/>
      <c r="U57" s="4"/>
      <c r="V57" s="3"/>
      <c r="W57" s="4"/>
      <c r="X57" s="3"/>
      <c r="Y57" s="4"/>
      <c r="Z57" s="2"/>
    </row>
    <row r="58" spans="1:26" ht="18" customHeight="1">
      <c r="A58" s="326">
        <v>9</v>
      </c>
      <c r="B58" s="223" t="s">
        <v>308</v>
      </c>
      <c r="C58" s="23"/>
      <c r="D58" s="197">
        <v>0.9</v>
      </c>
      <c r="E58" s="198">
        <v>1.7</v>
      </c>
      <c r="F58" s="198">
        <v>2.8</v>
      </c>
      <c r="G58" s="198">
        <v>3.7</v>
      </c>
      <c r="H58" s="198">
        <v>6.7</v>
      </c>
      <c r="I58" s="199">
        <v>12.8</v>
      </c>
      <c r="J58" s="74"/>
      <c r="M58" s="171"/>
      <c r="N58" s="765" t="s">
        <v>19</v>
      </c>
      <c r="O58" s="755" t="s">
        <v>20</v>
      </c>
      <c r="P58" s="755" t="s">
        <v>21</v>
      </c>
      <c r="Q58" s="755" t="s">
        <v>16</v>
      </c>
      <c r="R58" s="5" t="s">
        <v>22</v>
      </c>
      <c r="S58" s="5"/>
      <c r="T58" s="5" t="s">
        <v>23</v>
      </c>
      <c r="U58" s="5"/>
      <c r="V58" s="5" t="s">
        <v>24</v>
      </c>
      <c r="W58" s="5"/>
      <c r="X58" s="5" t="s">
        <v>25</v>
      </c>
      <c r="Y58" s="5"/>
      <c r="Z58" s="755" t="s">
        <v>26</v>
      </c>
    </row>
    <row r="59" spans="1:26" ht="18" customHeight="1" thickBot="1">
      <c r="A59" s="326">
        <v>10</v>
      </c>
      <c r="B59" s="223" t="s">
        <v>310</v>
      </c>
      <c r="C59" s="23"/>
      <c r="D59" s="197">
        <v>0.6</v>
      </c>
      <c r="E59" s="198">
        <v>1.2</v>
      </c>
      <c r="F59" s="198">
        <v>2.2999999999999998</v>
      </c>
      <c r="G59" s="198">
        <v>3.7</v>
      </c>
      <c r="H59" s="198">
        <v>6.7</v>
      </c>
      <c r="I59" s="199">
        <v>12.8</v>
      </c>
      <c r="J59" s="74"/>
      <c r="M59" s="171"/>
      <c r="N59" s="766"/>
      <c r="O59" s="756"/>
      <c r="P59" s="756"/>
      <c r="Q59" s="756"/>
      <c r="R59" s="67" t="s">
        <v>27</v>
      </c>
      <c r="S59" s="67" t="s">
        <v>28</v>
      </c>
      <c r="T59" s="67" t="s">
        <v>27</v>
      </c>
      <c r="U59" s="67" t="s">
        <v>28</v>
      </c>
      <c r="V59" s="67" t="s">
        <v>27</v>
      </c>
      <c r="W59" s="67" t="s">
        <v>28</v>
      </c>
      <c r="X59" s="67" t="s">
        <v>27</v>
      </c>
      <c r="Y59" s="67" t="s">
        <v>28</v>
      </c>
      <c r="Z59" s="756"/>
    </row>
    <row r="60" spans="1:26" ht="18" customHeight="1" thickTop="1">
      <c r="A60" s="326">
        <v>11</v>
      </c>
      <c r="B60" s="223" t="s">
        <v>312</v>
      </c>
      <c r="C60" s="23"/>
      <c r="D60" s="197">
        <v>0.6</v>
      </c>
      <c r="E60" s="198">
        <v>1.2</v>
      </c>
      <c r="F60" s="198">
        <v>2.2999999999999998</v>
      </c>
      <c r="G60" s="198">
        <v>4.3</v>
      </c>
      <c r="H60" s="198">
        <v>7.8</v>
      </c>
      <c r="I60" s="199">
        <v>9.9</v>
      </c>
      <c r="J60" s="74"/>
      <c r="M60" s="171"/>
      <c r="N60" s="318" t="str">
        <f ca="1">"제 " &amp; Z60 &amp; " 호표  "&amp; OFFSET($A$1,MATCH(Z60,$A:$A,0)-1,1)</f>
        <v>제 1 호표  1-1. 목적</v>
      </c>
      <c r="O60" s="221"/>
      <c r="P60" s="148"/>
      <c r="Q60" s="148"/>
      <c r="R60" s="149"/>
      <c r="S60" s="149"/>
      <c r="T60" s="149"/>
      <c r="U60" s="149"/>
      <c r="V60" s="149"/>
      <c r="W60" s="149"/>
      <c r="X60" s="149"/>
      <c r="Y60" s="149"/>
      <c r="Z60" s="325">
        <v>1</v>
      </c>
    </row>
    <row r="61" spans="1:26" ht="18" customHeight="1">
      <c r="B61" s="222" t="s">
        <v>314</v>
      </c>
      <c r="C61" s="47"/>
      <c r="D61" s="48">
        <f t="shared" ref="D61:I61" si="12">SUBTOTAL(9,D62:D67)</f>
        <v>6.9</v>
      </c>
      <c r="E61" s="49">
        <f t="shared" si="12"/>
        <v>13.5</v>
      </c>
      <c r="F61" s="49">
        <f t="shared" si="12"/>
        <v>24.799999999999997</v>
      </c>
      <c r="G61" s="49">
        <f t="shared" si="12"/>
        <v>33.5</v>
      </c>
      <c r="H61" s="49">
        <f t="shared" si="12"/>
        <v>60.500000000000007</v>
      </c>
      <c r="I61" s="50">
        <f t="shared" si="12"/>
        <v>71</v>
      </c>
      <c r="J61" s="74"/>
      <c r="M61" s="171"/>
      <c r="N61" s="140" t="s">
        <v>43</v>
      </c>
      <c r="O61" s="172">
        <v>3</v>
      </c>
      <c r="P61" s="219">
        <f ca="1">OFFSET($A$1,MATCH(Z60,$A:$A,0)-1,O61)</f>
        <v>0.2</v>
      </c>
      <c r="Q61" s="141" t="s">
        <v>29</v>
      </c>
      <c r="R61" s="142">
        <f t="shared" ref="R61:S66" ca="1" si="13">T61</f>
        <v>467217</v>
      </c>
      <c r="S61" s="142">
        <f t="shared" ca="1" si="13"/>
        <v>93443</v>
      </c>
      <c r="T61" s="142">
        <f ca="1">기술사</f>
        <v>467217</v>
      </c>
      <c r="U61" s="142">
        <f t="shared" ref="U61:U66" ca="1" si="14">ROUNDDOWN(P61*R61,0)</f>
        <v>93443</v>
      </c>
      <c r="V61" s="142"/>
      <c r="W61" s="142"/>
      <c r="X61" s="142"/>
      <c r="Y61" s="142"/>
      <c r="Z61" s="114"/>
    </row>
    <row r="62" spans="1:26" ht="18" customHeight="1">
      <c r="A62" s="326">
        <v>12</v>
      </c>
      <c r="B62" s="223" t="s">
        <v>335</v>
      </c>
      <c r="C62" s="23"/>
      <c r="D62" s="197">
        <f t="array" ref="D62:I67">ROUNDDOWN(D28:I33*D5*L28:L33,3)</f>
        <v>1.9</v>
      </c>
      <c r="E62" s="198">
        <v>3.8</v>
      </c>
      <c r="F62" s="198">
        <v>6.9</v>
      </c>
      <c r="G62" s="198">
        <v>5</v>
      </c>
      <c r="H62" s="198">
        <v>9</v>
      </c>
      <c r="I62" s="199">
        <v>11.4</v>
      </c>
      <c r="J62" s="74"/>
      <c r="M62" s="171"/>
      <c r="N62" s="143" t="s">
        <v>32</v>
      </c>
      <c r="O62" s="173">
        <v>4</v>
      </c>
      <c r="P62" s="234">
        <f ca="1">OFFSET($A$1,MATCH(Z60,$A:$A,0)-1,O62)</f>
        <v>0.3</v>
      </c>
      <c r="Q62" s="144" t="s">
        <v>29</v>
      </c>
      <c r="R62" s="118">
        <f t="shared" ca="1" si="13"/>
        <v>373353</v>
      </c>
      <c r="S62" s="118">
        <f t="shared" ca="1" si="13"/>
        <v>112005</v>
      </c>
      <c r="T62" s="118">
        <f ca="1">특급</f>
        <v>373353</v>
      </c>
      <c r="U62" s="118">
        <f t="shared" ca="1" si="14"/>
        <v>112005</v>
      </c>
      <c r="V62" s="118"/>
      <c r="W62" s="118"/>
      <c r="X62" s="118"/>
      <c r="Y62" s="118"/>
      <c r="Z62" s="115"/>
    </row>
    <row r="63" spans="1:26" ht="18" customHeight="1">
      <c r="A63" s="326">
        <v>13</v>
      </c>
      <c r="B63" s="223" t="s">
        <v>318</v>
      </c>
      <c r="C63" s="23"/>
      <c r="D63" s="197">
        <v>0.8</v>
      </c>
      <c r="E63" s="198">
        <v>1.7</v>
      </c>
      <c r="F63" s="198">
        <v>3.2</v>
      </c>
      <c r="G63" s="198">
        <v>5</v>
      </c>
      <c r="H63" s="198">
        <v>9</v>
      </c>
      <c r="I63" s="199">
        <v>12.8</v>
      </c>
      <c r="J63" s="74"/>
      <c r="M63" s="171"/>
      <c r="N63" s="145" t="s">
        <v>39</v>
      </c>
      <c r="O63" s="173">
        <v>5</v>
      </c>
      <c r="P63" s="234">
        <f ca="1">OFFSET($A$1,MATCH(Z60,$A:$A,0)-1,O63)</f>
        <v>0.4</v>
      </c>
      <c r="Q63" s="144" t="s">
        <v>29</v>
      </c>
      <c r="R63" s="118">
        <f t="shared" ca="1" si="13"/>
        <v>310884</v>
      </c>
      <c r="S63" s="118">
        <f t="shared" ca="1" si="13"/>
        <v>124353</v>
      </c>
      <c r="T63" s="118">
        <f ca="1">고급</f>
        <v>310884</v>
      </c>
      <c r="U63" s="118">
        <f t="shared" ca="1" si="14"/>
        <v>124353</v>
      </c>
      <c r="V63" s="118"/>
      <c r="W63" s="118"/>
      <c r="X63" s="118"/>
      <c r="Y63" s="118"/>
      <c r="Z63" s="115"/>
    </row>
    <row r="64" spans="1:26" ht="18" customHeight="1">
      <c r="A64" s="326">
        <v>14</v>
      </c>
      <c r="B64" s="223" t="s">
        <v>320</v>
      </c>
      <c r="C64" s="23"/>
      <c r="D64" s="197">
        <v>0.7</v>
      </c>
      <c r="E64" s="198">
        <v>1.5</v>
      </c>
      <c r="F64" s="198">
        <v>2.7</v>
      </c>
      <c r="G64" s="198">
        <v>5</v>
      </c>
      <c r="H64" s="198">
        <v>9</v>
      </c>
      <c r="I64" s="199">
        <v>12.8</v>
      </c>
      <c r="J64" s="74"/>
      <c r="M64" s="171"/>
      <c r="N64" s="145" t="s">
        <v>40</v>
      </c>
      <c r="O64" s="173">
        <v>6</v>
      </c>
      <c r="P64" s="234">
        <f ca="1">OFFSET($A$1,MATCH(Z60,$A:$A,0)-1,O64)</f>
        <v>0.6</v>
      </c>
      <c r="Q64" s="144" t="s">
        <v>29</v>
      </c>
      <c r="R64" s="118">
        <f t="shared" ca="1" si="13"/>
        <v>295138</v>
      </c>
      <c r="S64" s="118">
        <f t="shared" ca="1" si="13"/>
        <v>177082</v>
      </c>
      <c r="T64" s="118">
        <f ca="1">중급</f>
        <v>295138</v>
      </c>
      <c r="U64" s="118">
        <f t="shared" ca="1" si="14"/>
        <v>177082</v>
      </c>
      <c r="V64" s="118"/>
      <c r="W64" s="118"/>
      <c r="X64" s="118"/>
      <c r="Y64" s="118"/>
      <c r="Z64" s="115"/>
    </row>
    <row r="65" spans="1:26" ht="18" customHeight="1">
      <c r="A65" s="326">
        <v>15</v>
      </c>
      <c r="B65" s="223" t="s">
        <v>322</v>
      </c>
      <c r="C65" s="23"/>
      <c r="D65" s="197">
        <v>1.1000000000000001</v>
      </c>
      <c r="E65" s="198">
        <v>2.2999999999999998</v>
      </c>
      <c r="F65" s="198">
        <v>4.2</v>
      </c>
      <c r="G65" s="198">
        <v>6.2</v>
      </c>
      <c r="H65" s="198">
        <v>11.2</v>
      </c>
      <c r="I65" s="199">
        <v>8.5</v>
      </c>
      <c r="J65" s="74"/>
      <c r="M65" s="171"/>
      <c r="N65" s="145" t="s">
        <v>41</v>
      </c>
      <c r="O65" s="173">
        <v>7</v>
      </c>
      <c r="P65" s="234">
        <f ca="1">OFFSET($A$1,MATCH(Z60,$A:$A,0)-1,O65)</f>
        <v>1.1000000000000001</v>
      </c>
      <c r="Q65" s="144" t="s">
        <v>29</v>
      </c>
      <c r="R65" s="118">
        <f t="shared" ca="1" si="13"/>
        <v>235459</v>
      </c>
      <c r="S65" s="118">
        <f t="shared" ca="1" si="13"/>
        <v>259004</v>
      </c>
      <c r="T65" s="118">
        <f ca="1">초급</f>
        <v>235459</v>
      </c>
      <c r="U65" s="118">
        <f t="shared" ca="1" si="14"/>
        <v>259004</v>
      </c>
      <c r="V65" s="118"/>
      <c r="W65" s="118"/>
      <c r="X65" s="118"/>
      <c r="Y65" s="118"/>
      <c r="Z65" s="115"/>
    </row>
    <row r="66" spans="1:26" ht="18" customHeight="1">
      <c r="A66" s="326">
        <v>16</v>
      </c>
      <c r="B66" s="223" t="s">
        <v>324</v>
      </c>
      <c r="C66" s="23"/>
      <c r="D66" s="197">
        <v>1.3</v>
      </c>
      <c r="E66" s="198">
        <v>2</v>
      </c>
      <c r="F66" s="198">
        <v>3.7</v>
      </c>
      <c r="G66" s="198">
        <v>6.2</v>
      </c>
      <c r="H66" s="198">
        <v>11.2</v>
      </c>
      <c r="I66" s="199">
        <v>12.8</v>
      </c>
      <c r="J66" s="74"/>
      <c r="K66" s="171" t="s">
        <v>14</v>
      </c>
      <c r="L66" s="171"/>
      <c r="M66" s="171"/>
      <c r="N66" s="319" t="s">
        <v>42</v>
      </c>
      <c r="O66" s="174">
        <v>8</v>
      </c>
      <c r="P66" s="235">
        <f ca="1">OFFSET($A$1,MATCH(Z60,$A:$A,0)-1,O66)</f>
        <v>1.4</v>
      </c>
      <c r="Q66" s="322" t="s">
        <v>29</v>
      </c>
      <c r="R66" s="323">
        <f t="shared" ca="1" si="13"/>
        <v>250087</v>
      </c>
      <c r="S66" s="323">
        <f t="shared" ca="1" si="13"/>
        <v>350121</v>
      </c>
      <c r="T66" s="323">
        <f ca="1">보조원</f>
        <v>250087</v>
      </c>
      <c r="U66" s="323">
        <f t="shared" ca="1" si="14"/>
        <v>350121</v>
      </c>
      <c r="V66" s="323"/>
      <c r="W66" s="323"/>
      <c r="X66" s="323"/>
      <c r="Y66" s="323"/>
      <c r="Z66" s="324"/>
    </row>
    <row r="67" spans="1:26" ht="18" customHeight="1">
      <c r="A67" s="326">
        <v>17</v>
      </c>
      <c r="B67" s="223" t="s">
        <v>326</v>
      </c>
      <c r="C67" s="23"/>
      <c r="D67" s="197">
        <v>1.1000000000000001</v>
      </c>
      <c r="E67" s="198">
        <v>2.2000000000000002</v>
      </c>
      <c r="F67" s="198">
        <v>4.0999999999999996</v>
      </c>
      <c r="G67" s="198">
        <v>6.1</v>
      </c>
      <c r="H67" s="198">
        <v>11.1</v>
      </c>
      <c r="I67" s="199">
        <v>12.7</v>
      </c>
      <c r="J67" s="74"/>
      <c r="K67" s="171" t="s">
        <v>14</v>
      </c>
      <c r="L67" s="171"/>
      <c r="M67" s="171"/>
      <c r="N67" s="139" t="s">
        <v>17</v>
      </c>
      <c r="O67" s="68"/>
      <c r="P67" s="69"/>
      <c r="Q67" s="70"/>
      <c r="R67" s="71"/>
      <c r="S67" s="71">
        <f ca="1">SUBTOTAL(9,S61:S66)</f>
        <v>1116008</v>
      </c>
      <c r="T67" s="71"/>
      <c r="U67" s="71">
        <f ca="1">SUBTOTAL(9,U61:U66)</f>
        <v>1116008</v>
      </c>
      <c r="V67" s="71"/>
      <c r="W67" s="71"/>
      <c r="X67" s="71"/>
      <c r="Y67" s="71"/>
      <c r="Z67" s="68"/>
    </row>
    <row r="68" spans="1:26" ht="18" customHeight="1">
      <c r="B68" s="222" t="s">
        <v>328</v>
      </c>
      <c r="C68" s="47"/>
      <c r="D68" s="48">
        <f t="shared" ref="D68:I68" si="15">SUBTOTAL(9,D69:D71)</f>
        <v>1.2</v>
      </c>
      <c r="E68" s="49">
        <f t="shared" si="15"/>
        <v>2.16</v>
      </c>
      <c r="F68" s="49">
        <f t="shared" si="15"/>
        <v>4.08</v>
      </c>
      <c r="G68" s="49">
        <f t="shared" si="15"/>
        <v>2.96</v>
      </c>
      <c r="H68" s="49">
        <f t="shared" si="15"/>
        <v>5.36</v>
      </c>
      <c r="I68" s="50">
        <f t="shared" si="15"/>
        <v>4.5600000000000005</v>
      </c>
      <c r="J68" s="74"/>
      <c r="K68" s="171" t="s">
        <v>14</v>
      </c>
      <c r="L68" s="171"/>
      <c r="M68" s="171"/>
      <c r="N68" s="318" t="str">
        <f ca="1">"제 " &amp; Z68 &amp; " 호표  "&amp; OFFSET($A$1,MATCH(Z68,$A:$A,0)-1,1)</f>
        <v>제 2 호표  1-2. 범위</v>
      </c>
      <c r="O68" s="221"/>
      <c r="P68" s="148"/>
      <c r="Q68" s="148"/>
      <c r="R68" s="149"/>
      <c r="S68" s="149"/>
      <c r="T68" s="149"/>
      <c r="U68" s="149"/>
      <c r="V68" s="149"/>
      <c r="W68" s="149"/>
      <c r="X68" s="149"/>
      <c r="Y68" s="149"/>
      <c r="Z68" s="325">
        <f>Z60+1</f>
        <v>2</v>
      </c>
    </row>
    <row r="69" spans="1:26" ht="18" customHeight="1">
      <c r="A69" s="326">
        <v>18</v>
      </c>
      <c r="B69" s="223" t="s">
        <v>330</v>
      </c>
      <c r="C69" s="23"/>
      <c r="D69" s="197">
        <f t="array" ref="D69:I71">ROUNDDOWN(D35:I37*D17*L35:L37,3)</f>
        <v>0.4</v>
      </c>
      <c r="E69" s="198">
        <v>0.8</v>
      </c>
      <c r="F69" s="198">
        <v>1.44</v>
      </c>
      <c r="G69" s="198">
        <v>1.04</v>
      </c>
      <c r="H69" s="198">
        <v>1.84</v>
      </c>
      <c r="I69" s="199">
        <v>1.2</v>
      </c>
      <c r="J69" s="74"/>
      <c r="K69" s="171" t="s">
        <v>14</v>
      </c>
      <c r="L69" s="171"/>
      <c r="M69" s="171"/>
      <c r="N69" s="140" t="s">
        <v>43</v>
      </c>
      <c r="O69" s="172">
        <v>3</v>
      </c>
      <c r="P69" s="219">
        <f ca="1">OFFSET($A$1,MATCH(Z68,$A:$A,0)-1,O69)</f>
        <v>0.1</v>
      </c>
      <c r="Q69" s="141" t="s">
        <v>29</v>
      </c>
      <c r="R69" s="142">
        <f t="shared" ref="R69:S74" ca="1" si="16">T69</f>
        <v>467217</v>
      </c>
      <c r="S69" s="142">
        <f t="shared" ca="1" si="16"/>
        <v>46721</v>
      </c>
      <c r="T69" s="142">
        <f ca="1">기술사</f>
        <v>467217</v>
      </c>
      <c r="U69" s="142">
        <f t="shared" ref="U69:U74" ca="1" si="17">ROUNDDOWN(P69*R69,0)</f>
        <v>46721</v>
      </c>
      <c r="V69" s="142"/>
      <c r="W69" s="142"/>
      <c r="X69" s="142"/>
      <c r="Y69" s="142"/>
      <c r="Z69" s="114"/>
    </row>
    <row r="70" spans="1:26" ht="18" customHeight="1">
      <c r="A70" s="326">
        <v>19</v>
      </c>
      <c r="B70" s="223" t="s">
        <v>332</v>
      </c>
      <c r="C70" s="23"/>
      <c r="D70" s="197">
        <v>0.48</v>
      </c>
      <c r="E70" s="198">
        <v>0.8</v>
      </c>
      <c r="F70" s="198">
        <v>1.44</v>
      </c>
      <c r="G70" s="198">
        <v>0.96</v>
      </c>
      <c r="H70" s="198">
        <v>1.76</v>
      </c>
      <c r="I70" s="199">
        <v>1.1200000000000001</v>
      </c>
      <c r="J70" s="74"/>
      <c r="K70" s="171" t="s">
        <v>14</v>
      </c>
      <c r="L70" s="171"/>
      <c r="M70" s="171"/>
      <c r="N70" s="143" t="s">
        <v>32</v>
      </c>
      <c r="O70" s="173">
        <v>4</v>
      </c>
      <c r="P70" s="234">
        <f ca="1">OFFSET($A$1,MATCH(Z68,$A:$A,0)-1,O70)</f>
        <v>0.2</v>
      </c>
      <c r="Q70" s="144" t="s">
        <v>29</v>
      </c>
      <c r="R70" s="118">
        <f t="shared" ca="1" si="16"/>
        <v>373353</v>
      </c>
      <c r="S70" s="118">
        <f t="shared" ca="1" si="16"/>
        <v>74670</v>
      </c>
      <c r="T70" s="118">
        <f ca="1">특급</f>
        <v>373353</v>
      </c>
      <c r="U70" s="118">
        <f t="shared" ca="1" si="17"/>
        <v>74670</v>
      </c>
      <c r="V70" s="118"/>
      <c r="W70" s="118"/>
      <c r="X70" s="118"/>
      <c r="Y70" s="118"/>
      <c r="Z70" s="115"/>
    </row>
    <row r="71" spans="1:26" ht="18" customHeight="1">
      <c r="A71" s="326">
        <v>20</v>
      </c>
      <c r="B71" s="223" t="s">
        <v>334</v>
      </c>
      <c r="C71" s="23"/>
      <c r="D71" s="197">
        <v>0.32</v>
      </c>
      <c r="E71" s="198">
        <v>0.56000000000000005</v>
      </c>
      <c r="F71" s="198">
        <v>1.2</v>
      </c>
      <c r="G71" s="198">
        <v>0.96</v>
      </c>
      <c r="H71" s="198">
        <v>1.76</v>
      </c>
      <c r="I71" s="199">
        <v>2.2400000000000002</v>
      </c>
      <c r="J71" s="74"/>
      <c r="K71" s="171" t="s">
        <v>14</v>
      </c>
      <c r="L71" s="171"/>
      <c r="M71" s="171"/>
      <c r="N71" s="145" t="s">
        <v>39</v>
      </c>
      <c r="O71" s="173">
        <v>5</v>
      </c>
      <c r="P71" s="234">
        <f ca="1">OFFSET($A$1,MATCH(Z68,$A:$A,0)-1,O71)</f>
        <v>0.5</v>
      </c>
      <c r="Q71" s="144" t="s">
        <v>29</v>
      </c>
      <c r="R71" s="118">
        <f t="shared" ca="1" si="16"/>
        <v>310884</v>
      </c>
      <c r="S71" s="118">
        <f t="shared" ca="1" si="16"/>
        <v>155442</v>
      </c>
      <c r="T71" s="118">
        <f ca="1">고급</f>
        <v>310884</v>
      </c>
      <c r="U71" s="118">
        <f t="shared" ca="1" si="17"/>
        <v>155442</v>
      </c>
      <c r="V71" s="118"/>
      <c r="W71" s="118"/>
      <c r="X71" s="118"/>
      <c r="Y71" s="118"/>
      <c r="Z71" s="115"/>
    </row>
    <row r="72" spans="1:26" ht="18" customHeight="1">
      <c r="B72" s="222" t="s">
        <v>117</v>
      </c>
      <c r="C72" s="47"/>
      <c r="D72" s="48">
        <f t="shared" ref="D72:I72" si="18">SUBTOTAL(9,D73:D73)</f>
        <v>0.3</v>
      </c>
      <c r="E72" s="49">
        <f t="shared" si="18"/>
        <v>0.7</v>
      </c>
      <c r="F72" s="49">
        <f t="shared" si="18"/>
        <v>1.4</v>
      </c>
      <c r="G72" s="49">
        <f t="shared" si="18"/>
        <v>3.7</v>
      </c>
      <c r="H72" s="49">
        <f t="shared" si="18"/>
        <v>6.7</v>
      </c>
      <c r="I72" s="50">
        <f t="shared" si="18"/>
        <v>5.6</v>
      </c>
      <c r="J72" s="74"/>
      <c r="K72" s="171" t="s">
        <v>14</v>
      </c>
      <c r="L72" s="171"/>
      <c r="M72" s="171"/>
      <c r="N72" s="145" t="s">
        <v>40</v>
      </c>
      <c r="O72" s="173">
        <v>6</v>
      </c>
      <c r="P72" s="234">
        <f ca="1">OFFSET($A$1,MATCH(Z68,$A:$A,0)-1,O72)</f>
        <v>0.6</v>
      </c>
      <c r="Q72" s="144" t="s">
        <v>29</v>
      </c>
      <c r="R72" s="118">
        <f t="shared" ca="1" si="16"/>
        <v>295138</v>
      </c>
      <c r="S72" s="118">
        <f t="shared" ca="1" si="16"/>
        <v>177082</v>
      </c>
      <c r="T72" s="118">
        <f ca="1">중급</f>
        <v>295138</v>
      </c>
      <c r="U72" s="118">
        <f t="shared" ca="1" si="17"/>
        <v>177082</v>
      </c>
      <c r="V72" s="118"/>
      <c r="W72" s="118"/>
      <c r="X72" s="118"/>
      <c r="Y72" s="118"/>
      <c r="Z72" s="115"/>
    </row>
    <row r="73" spans="1:26" ht="18" customHeight="1">
      <c r="A73" s="326">
        <v>21</v>
      </c>
      <c r="B73" s="223" t="s">
        <v>178</v>
      </c>
      <c r="C73" s="23"/>
      <c r="D73" s="197">
        <f t="array" ref="D73:I73">ROUNDDOWN(D39:I39*D5*L39,3)</f>
        <v>0.3</v>
      </c>
      <c r="E73" s="198">
        <v>0.7</v>
      </c>
      <c r="F73" s="198">
        <v>1.4</v>
      </c>
      <c r="G73" s="198">
        <v>3.7</v>
      </c>
      <c r="H73" s="198">
        <v>6.7</v>
      </c>
      <c r="I73" s="199">
        <v>5.6</v>
      </c>
      <c r="J73" s="74"/>
      <c r="K73" s="171" t="s">
        <v>14</v>
      </c>
      <c r="L73" s="171"/>
      <c r="M73" s="171"/>
      <c r="N73" s="145" t="s">
        <v>41</v>
      </c>
      <c r="O73" s="173">
        <v>7</v>
      </c>
      <c r="P73" s="234">
        <f ca="1">OFFSET($A$1,MATCH(Z68,$A:$A,0)-1,O73)</f>
        <v>1.1000000000000001</v>
      </c>
      <c r="Q73" s="144" t="s">
        <v>29</v>
      </c>
      <c r="R73" s="118">
        <f t="shared" ca="1" si="16"/>
        <v>235459</v>
      </c>
      <c r="S73" s="118">
        <f t="shared" ca="1" si="16"/>
        <v>259004</v>
      </c>
      <c r="T73" s="118">
        <f ca="1">초급</f>
        <v>235459</v>
      </c>
      <c r="U73" s="118">
        <f t="shared" ca="1" si="17"/>
        <v>259004</v>
      </c>
      <c r="V73" s="118"/>
      <c r="W73" s="118"/>
      <c r="X73" s="118"/>
      <c r="Y73" s="118"/>
      <c r="Z73" s="115"/>
    </row>
    <row r="74" spans="1:26" ht="18" customHeight="1">
      <c r="B74" s="58" t="s">
        <v>65</v>
      </c>
      <c r="C74" s="59"/>
      <c r="D74" s="60">
        <f t="shared" ref="D74:I74" si="19">SUBTOTAL(9,D47:D73)</f>
        <v>12.700000000000001</v>
      </c>
      <c r="E74" s="61">
        <f t="shared" si="19"/>
        <v>24.459999999999997</v>
      </c>
      <c r="F74" s="61">
        <f t="shared" si="19"/>
        <v>44.98</v>
      </c>
      <c r="G74" s="61">
        <f t="shared" si="19"/>
        <v>61.260000000000012</v>
      </c>
      <c r="H74" s="61">
        <f t="shared" si="19"/>
        <v>110.66000000000001</v>
      </c>
      <c r="I74" s="62">
        <f t="shared" si="19"/>
        <v>140.85999999999999</v>
      </c>
      <c r="J74" s="254"/>
      <c r="K74" s="171" t="s">
        <v>14</v>
      </c>
      <c r="L74" s="171"/>
      <c r="M74" s="171"/>
      <c r="N74" s="319" t="s">
        <v>42</v>
      </c>
      <c r="O74" s="174">
        <v>8</v>
      </c>
      <c r="P74" s="235">
        <f ca="1">OFFSET($A$1,MATCH(Z68,$A:$A,0)-1,O74)</f>
        <v>1.4</v>
      </c>
      <c r="Q74" s="322" t="s">
        <v>29</v>
      </c>
      <c r="R74" s="323">
        <f t="shared" ca="1" si="16"/>
        <v>250087</v>
      </c>
      <c r="S74" s="323">
        <f t="shared" ca="1" si="16"/>
        <v>350121</v>
      </c>
      <c r="T74" s="323">
        <f ca="1">보조원</f>
        <v>250087</v>
      </c>
      <c r="U74" s="323">
        <f t="shared" ca="1" si="17"/>
        <v>350121</v>
      </c>
      <c r="V74" s="323"/>
      <c r="W74" s="323"/>
      <c r="X74" s="323"/>
      <c r="Y74" s="323"/>
      <c r="Z74" s="324"/>
    </row>
    <row r="75" spans="1:26" ht="18" customHeight="1">
      <c r="B75" s="222" t="s">
        <v>180</v>
      </c>
      <c r="C75" s="47"/>
      <c r="D75" s="48">
        <f t="shared" ref="D75:I75" si="20">SUBTOTAL(9,D76:D79)</f>
        <v>8</v>
      </c>
      <c r="E75" s="49">
        <f t="shared" si="20"/>
        <v>8</v>
      </c>
      <c r="F75" s="49">
        <f t="shared" si="20"/>
        <v>8</v>
      </c>
      <c r="G75" s="49">
        <f t="shared" si="20"/>
        <v>16</v>
      </c>
      <c r="H75" s="49">
        <f t="shared" si="20"/>
        <v>16</v>
      </c>
      <c r="I75" s="50">
        <f t="shared" si="20"/>
        <v>16</v>
      </c>
      <c r="J75" s="786" t="s">
        <v>223</v>
      </c>
      <c r="K75" s="171" t="s">
        <v>14</v>
      </c>
      <c r="L75" s="171"/>
      <c r="M75" s="171"/>
      <c r="N75" s="139" t="s">
        <v>17</v>
      </c>
      <c r="O75" s="68"/>
      <c r="P75" s="69"/>
      <c r="Q75" s="70"/>
      <c r="R75" s="71"/>
      <c r="S75" s="71">
        <f ca="1">SUBTOTAL(9,S69:S74)</f>
        <v>1063040</v>
      </c>
      <c r="T75" s="71"/>
      <c r="U75" s="71">
        <f ca="1">SUBTOTAL(9,U69:U74)</f>
        <v>1063040</v>
      </c>
      <c r="V75" s="71"/>
      <c r="W75" s="71"/>
      <c r="X75" s="71"/>
      <c r="Y75" s="71"/>
      <c r="Z75" s="68"/>
    </row>
    <row r="76" spans="1:26" ht="18" customHeight="1">
      <c r="A76" s="326">
        <v>22</v>
      </c>
      <c r="B76" s="223" t="s">
        <v>181</v>
      </c>
      <c r="C76" s="23"/>
      <c r="D76" s="197">
        <f t="array" ref="D76:I79">ROUNDDOWN(D42:I45*L42:L45,3)</f>
        <v>2</v>
      </c>
      <c r="E76" s="198">
        <v>2</v>
      </c>
      <c r="F76" s="198">
        <v>2</v>
      </c>
      <c r="G76" s="198">
        <v>4</v>
      </c>
      <c r="H76" s="198">
        <v>4</v>
      </c>
      <c r="I76" s="199">
        <v>4</v>
      </c>
      <c r="J76" s="787"/>
      <c r="K76" s="171" t="s">
        <v>14</v>
      </c>
      <c r="L76" s="171"/>
      <c r="M76" s="171"/>
      <c r="N76" s="318" t="str">
        <f ca="1">"제 " &amp; Z76 &amp; " 호표  "&amp; OFFSET($A$1,MATCH(Z76,$A:$A,0)-1,1)</f>
        <v>제 3 호표  1-3. 계획수립 방법</v>
      </c>
      <c r="O76" s="221"/>
      <c r="P76" s="148"/>
      <c r="Q76" s="148"/>
      <c r="R76" s="149"/>
      <c r="S76" s="149"/>
      <c r="T76" s="149"/>
      <c r="U76" s="149"/>
      <c r="V76" s="149"/>
      <c r="W76" s="149"/>
      <c r="X76" s="149"/>
      <c r="Y76" s="149"/>
      <c r="Z76" s="325">
        <f>Z68+1</f>
        <v>3</v>
      </c>
    </row>
    <row r="77" spans="1:26" ht="18" customHeight="1">
      <c r="A77" s="326">
        <v>23</v>
      </c>
      <c r="B77" s="223" t="s">
        <v>182</v>
      </c>
      <c r="C77" s="23"/>
      <c r="D77" s="197">
        <v>2</v>
      </c>
      <c r="E77" s="198">
        <v>2</v>
      </c>
      <c r="F77" s="198">
        <v>2</v>
      </c>
      <c r="G77" s="198">
        <v>4</v>
      </c>
      <c r="H77" s="198">
        <v>4</v>
      </c>
      <c r="I77" s="199">
        <v>4</v>
      </c>
      <c r="J77" s="787"/>
      <c r="K77" s="171" t="s">
        <v>14</v>
      </c>
      <c r="L77" s="171"/>
      <c r="M77" s="171"/>
      <c r="N77" s="140" t="s">
        <v>43</v>
      </c>
      <c r="O77" s="172">
        <v>3</v>
      </c>
      <c r="P77" s="219">
        <f ca="1">OFFSET($A$1,MATCH(Z76,$A:$A,0)-1,O77)</f>
        <v>0.2</v>
      </c>
      <c r="Q77" s="141" t="s">
        <v>29</v>
      </c>
      <c r="R77" s="142">
        <f t="shared" ref="R77:S82" ca="1" si="21">T77</f>
        <v>467217</v>
      </c>
      <c r="S77" s="142">
        <f t="shared" ca="1" si="21"/>
        <v>93443</v>
      </c>
      <c r="T77" s="142">
        <f ca="1">기술사</f>
        <v>467217</v>
      </c>
      <c r="U77" s="142">
        <f t="shared" ref="U77:U82" ca="1" si="22">ROUNDDOWN(P77*R77,0)</f>
        <v>93443</v>
      </c>
      <c r="V77" s="142"/>
      <c r="W77" s="142"/>
      <c r="X77" s="142"/>
      <c r="Y77" s="142"/>
      <c r="Z77" s="114"/>
    </row>
    <row r="78" spans="1:26" ht="18" customHeight="1">
      <c r="A78" s="326">
        <v>24</v>
      </c>
      <c r="B78" s="223" t="s">
        <v>183</v>
      </c>
      <c r="C78" s="23"/>
      <c r="D78" s="197">
        <v>2</v>
      </c>
      <c r="E78" s="198">
        <v>2</v>
      </c>
      <c r="F78" s="198">
        <v>2</v>
      </c>
      <c r="G78" s="198">
        <v>4</v>
      </c>
      <c r="H78" s="198">
        <v>4</v>
      </c>
      <c r="I78" s="199">
        <v>4</v>
      </c>
      <c r="J78" s="787"/>
      <c r="K78" s="171" t="s">
        <v>14</v>
      </c>
      <c r="L78" s="171"/>
      <c r="M78" s="171"/>
      <c r="N78" s="143" t="s">
        <v>32</v>
      </c>
      <c r="O78" s="173">
        <v>4</v>
      </c>
      <c r="P78" s="234">
        <f ca="1">OFFSET($A$1,MATCH(Z76,$A:$A,0)-1,O78)</f>
        <v>0.3</v>
      </c>
      <c r="Q78" s="144" t="s">
        <v>29</v>
      </c>
      <c r="R78" s="118">
        <f t="shared" ca="1" si="21"/>
        <v>373353</v>
      </c>
      <c r="S78" s="118">
        <f t="shared" ca="1" si="21"/>
        <v>112005</v>
      </c>
      <c r="T78" s="118">
        <f ca="1">특급</f>
        <v>373353</v>
      </c>
      <c r="U78" s="118">
        <f t="shared" ca="1" si="22"/>
        <v>112005</v>
      </c>
      <c r="V78" s="118"/>
      <c r="W78" s="118"/>
      <c r="X78" s="118"/>
      <c r="Y78" s="118"/>
      <c r="Z78" s="115"/>
    </row>
    <row r="79" spans="1:26" ht="18" customHeight="1" thickBot="1">
      <c r="A79" s="326">
        <v>25</v>
      </c>
      <c r="B79" s="388" t="s">
        <v>184</v>
      </c>
      <c r="C79" s="342"/>
      <c r="D79" s="343">
        <v>2</v>
      </c>
      <c r="E79" s="344">
        <v>2</v>
      </c>
      <c r="F79" s="344">
        <v>2</v>
      </c>
      <c r="G79" s="344">
        <v>4</v>
      </c>
      <c r="H79" s="344">
        <v>4</v>
      </c>
      <c r="I79" s="345">
        <v>4</v>
      </c>
      <c r="J79" s="788"/>
      <c r="K79" s="171" t="s">
        <v>14</v>
      </c>
      <c r="L79" s="171"/>
      <c r="M79" s="171"/>
      <c r="N79" s="145" t="s">
        <v>39</v>
      </c>
      <c r="O79" s="173">
        <v>5</v>
      </c>
      <c r="P79" s="234">
        <f ca="1">OFFSET($A$1,MATCH(Z76,$A:$A,0)-1,O79)</f>
        <v>0.5</v>
      </c>
      <c r="Q79" s="144" t="s">
        <v>29</v>
      </c>
      <c r="R79" s="118">
        <f t="shared" ca="1" si="21"/>
        <v>310884</v>
      </c>
      <c r="S79" s="118">
        <f t="shared" ca="1" si="21"/>
        <v>155442</v>
      </c>
      <c r="T79" s="118">
        <f ca="1">고급</f>
        <v>310884</v>
      </c>
      <c r="U79" s="118">
        <f t="shared" ca="1" si="22"/>
        <v>155442</v>
      </c>
      <c r="V79" s="118"/>
      <c r="W79" s="118"/>
      <c r="X79" s="118"/>
      <c r="Y79" s="118"/>
      <c r="Z79" s="115"/>
    </row>
    <row r="80" spans="1:26" ht="18" customHeight="1">
      <c r="B80" s="80" t="s">
        <v>15</v>
      </c>
      <c r="C80" s="9" t="s">
        <v>337</v>
      </c>
      <c r="K80" s="171" t="s">
        <v>14</v>
      </c>
      <c r="L80" s="171"/>
      <c r="M80" s="171"/>
      <c r="N80" s="145" t="s">
        <v>40</v>
      </c>
      <c r="O80" s="173">
        <v>6</v>
      </c>
      <c r="P80" s="234">
        <f ca="1">OFFSET($A$1,MATCH(Z76,$A:$A,0)-1,O80)</f>
        <v>0.7</v>
      </c>
      <c r="Q80" s="144" t="s">
        <v>29</v>
      </c>
      <c r="R80" s="118">
        <f t="shared" ca="1" si="21"/>
        <v>295138</v>
      </c>
      <c r="S80" s="118">
        <f t="shared" ca="1" si="21"/>
        <v>206596</v>
      </c>
      <c r="T80" s="118">
        <f ca="1">중급</f>
        <v>295138</v>
      </c>
      <c r="U80" s="118">
        <f t="shared" ca="1" si="22"/>
        <v>206596</v>
      </c>
      <c r="V80" s="118"/>
      <c r="W80" s="118"/>
      <c r="X80" s="118"/>
      <c r="Y80" s="118"/>
      <c r="Z80" s="115"/>
    </row>
    <row r="81" spans="3:26" ht="18" customHeight="1">
      <c r="C81" s="1" t="s">
        <v>338</v>
      </c>
      <c r="K81" s="171" t="s">
        <v>14</v>
      </c>
      <c r="L81" s="171"/>
      <c r="M81" s="171"/>
      <c r="N81" s="145" t="s">
        <v>41</v>
      </c>
      <c r="O81" s="173">
        <v>7</v>
      </c>
      <c r="P81" s="234">
        <f ca="1">OFFSET($A$1,MATCH(Z76,$A:$A,0)-1,O81)</f>
        <v>1.2</v>
      </c>
      <c r="Q81" s="144" t="s">
        <v>29</v>
      </c>
      <c r="R81" s="118">
        <f t="shared" ca="1" si="21"/>
        <v>235459</v>
      </c>
      <c r="S81" s="118">
        <f t="shared" ca="1" si="21"/>
        <v>282550</v>
      </c>
      <c r="T81" s="118">
        <f ca="1">초급</f>
        <v>235459</v>
      </c>
      <c r="U81" s="118">
        <f t="shared" ca="1" si="22"/>
        <v>282550</v>
      </c>
      <c r="V81" s="118"/>
      <c r="W81" s="118"/>
      <c r="X81" s="118"/>
      <c r="Y81" s="118"/>
      <c r="Z81" s="115"/>
    </row>
    <row r="82" spans="3:26" ht="18" customHeight="1">
      <c r="C82" s="9" t="s">
        <v>336</v>
      </c>
      <c r="K82" s="171" t="s">
        <v>14</v>
      </c>
      <c r="L82" s="171"/>
      <c r="M82" s="171"/>
      <c r="N82" s="319" t="s">
        <v>42</v>
      </c>
      <c r="O82" s="174">
        <v>8</v>
      </c>
      <c r="P82" s="235">
        <f ca="1">OFFSET($A$1,MATCH(Z76,$A:$A,0)-1,O82)</f>
        <v>1.5</v>
      </c>
      <c r="Q82" s="322" t="s">
        <v>29</v>
      </c>
      <c r="R82" s="323">
        <f t="shared" ca="1" si="21"/>
        <v>250087</v>
      </c>
      <c r="S82" s="323">
        <f t="shared" ca="1" si="21"/>
        <v>375130</v>
      </c>
      <c r="T82" s="323">
        <f ca="1">보조원</f>
        <v>250087</v>
      </c>
      <c r="U82" s="323">
        <f t="shared" ca="1" si="22"/>
        <v>375130</v>
      </c>
      <c r="V82" s="323"/>
      <c r="W82" s="323"/>
      <c r="X82" s="323"/>
      <c r="Y82" s="323"/>
      <c r="Z82" s="324"/>
    </row>
    <row r="83" spans="3:26" ht="18" customHeight="1">
      <c r="C83" s="9" t="s">
        <v>230</v>
      </c>
      <c r="K83" s="171" t="s">
        <v>14</v>
      </c>
      <c r="L83" s="171"/>
      <c r="M83" s="171"/>
      <c r="N83" s="139" t="s">
        <v>17</v>
      </c>
      <c r="O83" s="68"/>
      <c r="P83" s="69"/>
      <c r="Q83" s="70"/>
      <c r="R83" s="71"/>
      <c r="S83" s="71">
        <f ca="1">SUBTOTAL(9,S77:S82)</f>
        <v>1225166</v>
      </c>
      <c r="T83" s="71"/>
      <c r="U83" s="71">
        <f ca="1">SUBTOTAL(9,U77:U82)</f>
        <v>1225166</v>
      </c>
      <c r="V83" s="71"/>
      <c r="W83" s="71"/>
      <c r="X83" s="71"/>
      <c r="Y83" s="71"/>
      <c r="Z83" s="68"/>
    </row>
    <row r="84" spans="3:26" ht="18" customHeight="1">
      <c r="C84" s="9"/>
      <c r="K84" s="171" t="s">
        <v>14</v>
      </c>
      <c r="L84" s="171"/>
      <c r="M84" s="171"/>
      <c r="N84" s="318" t="str">
        <f ca="1">"제 " &amp; Z84 &amp; " 호표  "&amp; OFFSET($A$1,MATCH(Z84,$A:$A,0)-1,1)</f>
        <v>제 4 호표  2-1. 계획구역</v>
      </c>
      <c r="O84" s="221"/>
      <c r="P84" s="148"/>
      <c r="Q84" s="148"/>
      <c r="R84" s="149"/>
      <c r="S84" s="149"/>
      <c r="T84" s="149"/>
      <c r="U84" s="149"/>
      <c r="V84" s="149"/>
      <c r="W84" s="149"/>
      <c r="X84" s="149"/>
      <c r="Y84" s="149"/>
      <c r="Z84" s="325">
        <f>Z76+1</f>
        <v>4</v>
      </c>
    </row>
    <row r="85" spans="3:26" ht="18" customHeight="1">
      <c r="K85" s="171" t="s">
        <v>14</v>
      </c>
      <c r="L85" s="171"/>
      <c r="M85" s="171"/>
      <c r="N85" s="140" t="s">
        <v>43</v>
      </c>
      <c r="O85" s="172">
        <v>3</v>
      </c>
      <c r="P85" s="219">
        <f ca="1">OFFSET($A$1,MATCH(Z84,$A:$A,0)-1,O85)</f>
        <v>0.1</v>
      </c>
      <c r="Q85" s="141" t="s">
        <v>29</v>
      </c>
      <c r="R85" s="142">
        <f t="shared" ref="R85:S90" ca="1" si="23">T85</f>
        <v>467217</v>
      </c>
      <c r="S85" s="142">
        <f t="shared" ca="1" si="23"/>
        <v>46721</v>
      </c>
      <c r="T85" s="142">
        <f ca="1">기술사</f>
        <v>467217</v>
      </c>
      <c r="U85" s="142">
        <f t="shared" ref="U85:U90" ca="1" si="24">ROUNDDOWN(P85*R85,0)</f>
        <v>46721</v>
      </c>
      <c r="V85" s="142"/>
      <c r="W85" s="142"/>
      <c r="X85" s="142"/>
      <c r="Y85" s="142"/>
      <c r="Z85" s="114"/>
    </row>
    <row r="86" spans="3:26" ht="18" customHeight="1">
      <c r="K86" s="171" t="s">
        <v>14</v>
      </c>
      <c r="L86" s="171"/>
      <c r="M86" s="171"/>
      <c r="N86" s="143" t="s">
        <v>32</v>
      </c>
      <c r="O86" s="173">
        <v>4</v>
      </c>
      <c r="P86" s="234">
        <f ca="1">OFFSET($A$1,MATCH(Z84,$A:$A,0)-1,O86)</f>
        <v>0.2</v>
      </c>
      <c r="Q86" s="144" t="s">
        <v>29</v>
      </c>
      <c r="R86" s="118">
        <f t="shared" ca="1" si="23"/>
        <v>373353</v>
      </c>
      <c r="S86" s="118">
        <f t="shared" ca="1" si="23"/>
        <v>74670</v>
      </c>
      <c r="T86" s="118">
        <f ca="1">특급</f>
        <v>373353</v>
      </c>
      <c r="U86" s="118">
        <f t="shared" ca="1" si="24"/>
        <v>74670</v>
      </c>
      <c r="V86" s="118"/>
      <c r="W86" s="118"/>
      <c r="X86" s="118"/>
      <c r="Y86" s="118"/>
      <c r="Z86" s="115"/>
    </row>
    <row r="87" spans="3:26" ht="18" customHeight="1">
      <c r="K87" s="171" t="s">
        <v>14</v>
      </c>
      <c r="L87" s="171"/>
      <c r="M87" s="171"/>
      <c r="N87" s="145" t="s">
        <v>39</v>
      </c>
      <c r="O87" s="173">
        <v>5</v>
      </c>
      <c r="P87" s="234">
        <f ca="1">OFFSET($A$1,MATCH(Z84,$A:$A,0)-1,O87)</f>
        <v>0.4</v>
      </c>
      <c r="Q87" s="144" t="s">
        <v>29</v>
      </c>
      <c r="R87" s="118">
        <f t="shared" ca="1" si="23"/>
        <v>310884</v>
      </c>
      <c r="S87" s="118">
        <f t="shared" ca="1" si="23"/>
        <v>124353</v>
      </c>
      <c r="T87" s="118">
        <f ca="1">고급</f>
        <v>310884</v>
      </c>
      <c r="U87" s="118">
        <f t="shared" ca="1" si="24"/>
        <v>124353</v>
      </c>
      <c r="V87" s="118"/>
      <c r="W87" s="118"/>
      <c r="X87" s="118"/>
      <c r="Y87" s="118"/>
      <c r="Z87" s="115"/>
    </row>
    <row r="88" spans="3:26" ht="18" customHeight="1">
      <c r="K88" s="171" t="s">
        <v>14</v>
      </c>
      <c r="L88" s="171"/>
      <c r="M88" s="171"/>
      <c r="N88" s="145" t="s">
        <v>40</v>
      </c>
      <c r="O88" s="173">
        <v>6</v>
      </c>
      <c r="P88" s="234">
        <f ca="1">OFFSET($A$1,MATCH(Z84,$A:$A,0)-1,O88)</f>
        <v>0.6</v>
      </c>
      <c r="Q88" s="144" t="s">
        <v>29</v>
      </c>
      <c r="R88" s="118">
        <f t="shared" ca="1" si="23"/>
        <v>295138</v>
      </c>
      <c r="S88" s="118">
        <f t="shared" ca="1" si="23"/>
        <v>177082</v>
      </c>
      <c r="T88" s="118">
        <f ca="1">중급</f>
        <v>295138</v>
      </c>
      <c r="U88" s="118">
        <f t="shared" ca="1" si="24"/>
        <v>177082</v>
      </c>
      <c r="V88" s="118"/>
      <c r="W88" s="118"/>
      <c r="X88" s="118"/>
      <c r="Y88" s="118"/>
      <c r="Z88" s="115"/>
    </row>
    <row r="89" spans="3:26" ht="18" customHeight="1">
      <c r="K89" s="171" t="s">
        <v>14</v>
      </c>
      <c r="L89" s="171"/>
      <c r="M89" s="171"/>
      <c r="N89" s="145" t="s">
        <v>41</v>
      </c>
      <c r="O89" s="173">
        <v>7</v>
      </c>
      <c r="P89" s="234">
        <f ca="1">OFFSET($A$1,MATCH(Z84,$A:$A,0)-1,O89)</f>
        <v>1.1000000000000001</v>
      </c>
      <c r="Q89" s="144" t="s">
        <v>29</v>
      </c>
      <c r="R89" s="118">
        <f t="shared" ca="1" si="23"/>
        <v>235459</v>
      </c>
      <c r="S89" s="118">
        <f t="shared" ca="1" si="23"/>
        <v>259004</v>
      </c>
      <c r="T89" s="118">
        <f ca="1">초급</f>
        <v>235459</v>
      </c>
      <c r="U89" s="118">
        <f t="shared" ca="1" si="24"/>
        <v>259004</v>
      </c>
      <c r="V89" s="118"/>
      <c r="W89" s="118"/>
      <c r="X89" s="118"/>
      <c r="Y89" s="118"/>
      <c r="Z89" s="115"/>
    </row>
    <row r="90" spans="3:26" ht="18" customHeight="1">
      <c r="K90" s="171" t="s">
        <v>14</v>
      </c>
      <c r="L90" s="171"/>
      <c r="M90" s="171"/>
      <c r="N90" s="319" t="s">
        <v>42</v>
      </c>
      <c r="O90" s="174">
        <v>8</v>
      </c>
      <c r="P90" s="235">
        <f ca="1">OFFSET($A$1,MATCH(Z84,$A:$A,0)-1,O90)</f>
        <v>1.4</v>
      </c>
      <c r="Q90" s="322" t="s">
        <v>29</v>
      </c>
      <c r="R90" s="323">
        <f t="shared" ca="1" si="23"/>
        <v>250087</v>
      </c>
      <c r="S90" s="323">
        <f t="shared" ca="1" si="23"/>
        <v>350121</v>
      </c>
      <c r="T90" s="323">
        <f ca="1">보조원</f>
        <v>250087</v>
      </c>
      <c r="U90" s="323">
        <f t="shared" ca="1" si="24"/>
        <v>350121</v>
      </c>
      <c r="V90" s="323"/>
      <c r="W90" s="323"/>
      <c r="X90" s="323"/>
      <c r="Y90" s="323"/>
      <c r="Z90" s="324"/>
    </row>
    <row r="91" spans="3:26" ht="18" customHeight="1">
      <c r="K91" s="171" t="s">
        <v>14</v>
      </c>
      <c r="L91" s="171"/>
      <c r="M91" s="171"/>
      <c r="N91" s="139" t="s">
        <v>17</v>
      </c>
      <c r="O91" s="68"/>
      <c r="P91" s="69"/>
      <c r="Q91" s="70"/>
      <c r="R91" s="71"/>
      <c r="S91" s="71">
        <f ca="1">SUBTOTAL(9,S85:S90)</f>
        <v>1031951</v>
      </c>
      <c r="T91" s="71"/>
      <c r="U91" s="71">
        <f ca="1">SUBTOTAL(9,U85:U90)</f>
        <v>1031951</v>
      </c>
      <c r="V91" s="71"/>
      <c r="W91" s="71"/>
      <c r="X91" s="71"/>
      <c r="Y91" s="71"/>
      <c r="Z91" s="68"/>
    </row>
    <row r="92" spans="3:26" ht="18" customHeight="1">
      <c r="K92" s="171" t="s">
        <v>14</v>
      </c>
      <c r="L92" s="171"/>
      <c r="M92" s="171"/>
      <c r="N92" s="318" t="str">
        <f ca="1">"제 " &amp; Z92 &amp; " 호표  "&amp; OFFSET($A$1,MATCH(Z92,$A:$A,0)-1,1)</f>
        <v>제 5 호표  2-2. 도시(지역)구조</v>
      </c>
      <c r="O92" s="221"/>
      <c r="P92" s="148"/>
      <c r="Q92" s="148"/>
      <c r="R92" s="149"/>
      <c r="S92" s="149"/>
      <c r="T92" s="149"/>
      <c r="U92" s="149"/>
      <c r="V92" s="149"/>
      <c r="W92" s="149"/>
      <c r="X92" s="149"/>
      <c r="Y92" s="149"/>
      <c r="Z92" s="325">
        <f>Z84+1</f>
        <v>5</v>
      </c>
    </row>
    <row r="93" spans="3:26" ht="18" customHeight="1">
      <c r="K93" s="171" t="s">
        <v>14</v>
      </c>
      <c r="L93" s="171"/>
      <c r="M93" s="171"/>
      <c r="N93" s="140" t="s">
        <v>43</v>
      </c>
      <c r="O93" s="172">
        <v>3</v>
      </c>
      <c r="P93" s="219">
        <f ca="1">OFFSET($A$1,MATCH(Z92,$A:$A,0)-1,O93)</f>
        <v>0.2</v>
      </c>
      <c r="Q93" s="141" t="s">
        <v>29</v>
      </c>
      <c r="R93" s="142">
        <f t="shared" ref="R93:S98" ca="1" si="25">T93</f>
        <v>467217</v>
      </c>
      <c r="S93" s="142">
        <f t="shared" ca="1" si="25"/>
        <v>93443</v>
      </c>
      <c r="T93" s="142">
        <f ca="1">기술사</f>
        <v>467217</v>
      </c>
      <c r="U93" s="142">
        <f t="shared" ref="U93:U98" ca="1" si="26">ROUNDDOWN(P93*R93,0)</f>
        <v>93443</v>
      </c>
      <c r="V93" s="142"/>
      <c r="W93" s="142"/>
      <c r="X93" s="142"/>
      <c r="Y93" s="142"/>
      <c r="Z93" s="114"/>
    </row>
    <row r="94" spans="3:26" ht="18" customHeight="1">
      <c r="K94" s="171" t="s">
        <v>14</v>
      </c>
      <c r="L94" s="171"/>
      <c r="M94" s="171"/>
      <c r="N94" s="143" t="s">
        <v>32</v>
      </c>
      <c r="O94" s="173">
        <v>4</v>
      </c>
      <c r="P94" s="234">
        <f ca="1">OFFSET($A$1,MATCH(Z92,$A:$A,0)-1,O94)</f>
        <v>0.5</v>
      </c>
      <c r="Q94" s="144" t="s">
        <v>29</v>
      </c>
      <c r="R94" s="118">
        <f t="shared" ca="1" si="25"/>
        <v>373353</v>
      </c>
      <c r="S94" s="118">
        <f t="shared" ca="1" si="25"/>
        <v>186676</v>
      </c>
      <c r="T94" s="118">
        <f ca="1">특급</f>
        <v>373353</v>
      </c>
      <c r="U94" s="118">
        <f t="shared" ca="1" si="26"/>
        <v>186676</v>
      </c>
      <c r="V94" s="118"/>
      <c r="W94" s="118"/>
      <c r="X94" s="118"/>
      <c r="Y94" s="118"/>
      <c r="Z94" s="115"/>
    </row>
    <row r="95" spans="3:26" ht="18" customHeight="1">
      <c r="K95" s="171" t="s">
        <v>14</v>
      </c>
      <c r="L95" s="171"/>
      <c r="M95" s="171"/>
      <c r="N95" s="145" t="s">
        <v>39</v>
      </c>
      <c r="O95" s="173">
        <v>5</v>
      </c>
      <c r="P95" s="234">
        <f ca="1">OFFSET($A$1,MATCH(Z92,$A:$A,0)-1,O95)</f>
        <v>0.9</v>
      </c>
      <c r="Q95" s="144" t="s">
        <v>29</v>
      </c>
      <c r="R95" s="118">
        <f t="shared" ca="1" si="25"/>
        <v>310884</v>
      </c>
      <c r="S95" s="118">
        <f t="shared" ca="1" si="25"/>
        <v>279795</v>
      </c>
      <c r="T95" s="118">
        <f ca="1">고급</f>
        <v>310884</v>
      </c>
      <c r="U95" s="118">
        <f t="shared" ca="1" si="26"/>
        <v>279795</v>
      </c>
      <c r="V95" s="118"/>
      <c r="W95" s="118"/>
      <c r="X95" s="118"/>
      <c r="Y95" s="118"/>
      <c r="Z95" s="115"/>
    </row>
    <row r="96" spans="3:26" ht="18" customHeight="1">
      <c r="K96" s="171" t="s">
        <v>14</v>
      </c>
      <c r="L96" s="171"/>
      <c r="M96" s="171"/>
      <c r="N96" s="145" t="s">
        <v>40</v>
      </c>
      <c r="O96" s="173">
        <v>6</v>
      </c>
      <c r="P96" s="234">
        <f ca="1">OFFSET($A$1,MATCH(Z92,$A:$A,0)-1,O96)</f>
        <v>0.7</v>
      </c>
      <c r="Q96" s="144" t="s">
        <v>29</v>
      </c>
      <c r="R96" s="118">
        <f t="shared" ca="1" si="25"/>
        <v>295138</v>
      </c>
      <c r="S96" s="118">
        <f t="shared" ca="1" si="25"/>
        <v>206596</v>
      </c>
      <c r="T96" s="118">
        <f ca="1">중급</f>
        <v>295138</v>
      </c>
      <c r="U96" s="118">
        <f t="shared" ca="1" si="26"/>
        <v>206596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41</v>
      </c>
      <c r="O97" s="173">
        <v>7</v>
      </c>
      <c r="P97" s="234">
        <f ca="1">OFFSET($A$1,MATCH(Z92,$A:$A,0)-1,O97)</f>
        <v>1.1000000000000001</v>
      </c>
      <c r="Q97" s="144" t="s">
        <v>29</v>
      </c>
      <c r="R97" s="118">
        <f t="shared" ca="1" si="25"/>
        <v>235459</v>
      </c>
      <c r="S97" s="118">
        <f t="shared" ca="1" si="25"/>
        <v>259004</v>
      </c>
      <c r="T97" s="118">
        <f ca="1">초급</f>
        <v>235459</v>
      </c>
      <c r="U97" s="118">
        <f t="shared" ca="1" si="26"/>
        <v>259004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319" t="s">
        <v>42</v>
      </c>
      <c r="O98" s="174">
        <v>8</v>
      </c>
      <c r="P98" s="235">
        <f ca="1">OFFSET($A$1,MATCH(Z92,$A:$A,0)-1,O98)</f>
        <v>1.4</v>
      </c>
      <c r="Q98" s="322" t="s">
        <v>29</v>
      </c>
      <c r="R98" s="323">
        <f t="shared" ca="1" si="25"/>
        <v>250087</v>
      </c>
      <c r="S98" s="323">
        <f t="shared" ca="1" si="25"/>
        <v>350121</v>
      </c>
      <c r="T98" s="323">
        <f ca="1">보조원</f>
        <v>250087</v>
      </c>
      <c r="U98" s="323">
        <f t="shared" ca="1" si="26"/>
        <v>350121</v>
      </c>
      <c r="V98" s="323"/>
      <c r="W98" s="323"/>
      <c r="X98" s="323"/>
      <c r="Y98" s="323"/>
      <c r="Z98" s="324"/>
    </row>
    <row r="99" spans="11:26" ht="18" customHeight="1">
      <c r="K99" s="171" t="s">
        <v>14</v>
      </c>
      <c r="L99" s="171"/>
      <c r="M99" s="171"/>
      <c r="N99" s="139" t="s">
        <v>17</v>
      </c>
      <c r="O99" s="68"/>
      <c r="P99" s="69"/>
      <c r="Q99" s="70"/>
      <c r="R99" s="71"/>
      <c r="S99" s="71">
        <f ca="1">SUBTOTAL(9,S93:S98)</f>
        <v>1375635</v>
      </c>
      <c r="T99" s="71"/>
      <c r="U99" s="71">
        <f ca="1">SUBTOTAL(9,U93:U98)</f>
        <v>1375635</v>
      </c>
      <c r="V99" s="71"/>
      <c r="W99" s="71"/>
      <c r="X99" s="71"/>
      <c r="Y99" s="71"/>
      <c r="Z99" s="68"/>
    </row>
    <row r="100" spans="11:26" ht="18" customHeight="1">
      <c r="K100" s="171" t="s">
        <v>14</v>
      </c>
      <c r="L100" s="171"/>
      <c r="M100" s="171"/>
      <c r="N100" s="318" t="str">
        <f ca="1">"제 " &amp; Z100 &amp; " 호표  "&amp; OFFSET($A$1,MATCH(Z100,$A:$A,0)-1,1)</f>
        <v>제 6 호표  2-3. 토지이용계획</v>
      </c>
      <c r="O100" s="221"/>
      <c r="P100" s="148"/>
      <c r="Q100" s="148"/>
      <c r="R100" s="149"/>
      <c r="S100" s="149"/>
      <c r="T100" s="149"/>
      <c r="U100" s="149"/>
      <c r="V100" s="149"/>
      <c r="W100" s="149"/>
      <c r="X100" s="149"/>
      <c r="Y100" s="149"/>
      <c r="Z100" s="325">
        <f>Z92+1</f>
        <v>6</v>
      </c>
    </row>
    <row r="101" spans="11:26" ht="18" customHeight="1">
      <c r="K101" s="171" t="s">
        <v>14</v>
      </c>
      <c r="L101" s="171"/>
      <c r="M101" s="171"/>
      <c r="N101" s="140" t="s">
        <v>43</v>
      </c>
      <c r="O101" s="172">
        <v>3</v>
      </c>
      <c r="P101" s="219">
        <f ca="1">OFFSET($A$1,MATCH(Z100,$A:$A,0)-1,O101)</f>
        <v>0.3</v>
      </c>
      <c r="Q101" s="141" t="s">
        <v>29</v>
      </c>
      <c r="R101" s="142">
        <f t="shared" ref="R101:S106" ca="1" si="27">T101</f>
        <v>467217</v>
      </c>
      <c r="S101" s="142">
        <f t="shared" ca="1" si="27"/>
        <v>140165</v>
      </c>
      <c r="T101" s="142">
        <f ca="1">기술사</f>
        <v>467217</v>
      </c>
      <c r="U101" s="142">
        <f t="shared" ref="U101:U106" ca="1" si="28">ROUNDDOWN(P101*R101,0)</f>
        <v>140165</v>
      </c>
      <c r="V101" s="142"/>
      <c r="W101" s="142"/>
      <c r="X101" s="142"/>
      <c r="Y101" s="142"/>
      <c r="Z101" s="114"/>
    </row>
    <row r="102" spans="11:26" ht="18" customHeight="1">
      <c r="K102" s="171" t="s">
        <v>14</v>
      </c>
      <c r="L102" s="171"/>
      <c r="M102" s="171"/>
      <c r="N102" s="143" t="s">
        <v>32</v>
      </c>
      <c r="O102" s="173">
        <v>4</v>
      </c>
      <c r="P102" s="234">
        <f ca="1">OFFSET($A$1,MATCH(Z100,$A:$A,0)-1,O102)</f>
        <v>0.5</v>
      </c>
      <c r="Q102" s="144" t="s">
        <v>29</v>
      </c>
      <c r="R102" s="118">
        <f t="shared" ca="1" si="27"/>
        <v>373353</v>
      </c>
      <c r="S102" s="118">
        <f t="shared" ca="1" si="27"/>
        <v>186676</v>
      </c>
      <c r="T102" s="118">
        <f ca="1">특급</f>
        <v>373353</v>
      </c>
      <c r="U102" s="118">
        <f t="shared" ca="1" si="28"/>
        <v>186676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39</v>
      </c>
      <c r="O103" s="173">
        <v>5</v>
      </c>
      <c r="P103" s="234">
        <f ca="1">OFFSET($A$1,MATCH(Z100,$A:$A,0)-1,O103)</f>
        <v>0.9</v>
      </c>
      <c r="Q103" s="144" t="s">
        <v>29</v>
      </c>
      <c r="R103" s="118">
        <f t="shared" ca="1" si="27"/>
        <v>310884</v>
      </c>
      <c r="S103" s="118">
        <f t="shared" ca="1" si="27"/>
        <v>279795</v>
      </c>
      <c r="T103" s="118">
        <f ca="1">고급</f>
        <v>310884</v>
      </c>
      <c r="U103" s="118">
        <f t="shared" ca="1" si="28"/>
        <v>279795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40</v>
      </c>
      <c r="O104" s="173">
        <v>6</v>
      </c>
      <c r="P104" s="234">
        <f ca="1">OFFSET($A$1,MATCH(Z100,$A:$A,0)-1,O104)</f>
        <v>0.6</v>
      </c>
      <c r="Q104" s="144" t="s">
        <v>29</v>
      </c>
      <c r="R104" s="118">
        <f t="shared" ca="1" si="27"/>
        <v>295138</v>
      </c>
      <c r="S104" s="118">
        <f t="shared" ca="1" si="27"/>
        <v>177082</v>
      </c>
      <c r="T104" s="118">
        <f ca="1">중급</f>
        <v>295138</v>
      </c>
      <c r="U104" s="118">
        <f t="shared" ca="1" si="28"/>
        <v>177082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41</v>
      </c>
      <c r="O105" s="173">
        <v>7</v>
      </c>
      <c r="P105" s="234">
        <f ca="1">OFFSET($A$1,MATCH(Z100,$A:$A,0)-1,O105)</f>
        <v>1.1000000000000001</v>
      </c>
      <c r="Q105" s="144" t="s">
        <v>29</v>
      </c>
      <c r="R105" s="118">
        <f t="shared" ca="1" si="27"/>
        <v>235459</v>
      </c>
      <c r="S105" s="118">
        <f t="shared" ca="1" si="27"/>
        <v>259004</v>
      </c>
      <c r="T105" s="118">
        <f ca="1">초급</f>
        <v>235459</v>
      </c>
      <c r="U105" s="118">
        <f t="shared" ca="1" si="28"/>
        <v>259004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319" t="s">
        <v>42</v>
      </c>
      <c r="O106" s="174">
        <v>8</v>
      </c>
      <c r="P106" s="235">
        <f ca="1">OFFSET($A$1,MATCH(Z100,$A:$A,0)-1,O106)</f>
        <v>1.5</v>
      </c>
      <c r="Q106" s="322" t="s">
        <v>29</v>
      </c>
      <c r="R106" s="323">
        <f t="shared" ca="1" si="27"/>
        <v>250087</v>
      </c>
      <c r="S106" s="323">
        <f t="shared" ca="1" si="27"/>
        <v>375130</v>
      </c>
      <c r="T106" s="323">
        <f ca="1">보조원</f>
        <v>250087</v>
      </c>
      <c r="U106" s="323">
        <f t="shared" ca="1" si="28"/>
        <v>375130</v>
      </c>
      <c r="V106" s="323"/>
      <c r="W106" s="323"/>
      <c r="X106" s="323"/>
      <c r="Y106" s="323"/>
      <c r="Z106" s="324"/>
    </row>
    <row r="107" spans="11:26" ht="18" customHeight="1">
      <c r="K107" s="171" t="s">
        <v>14</v>
      </c>
      <c r="L107" s="171"/>
      <c r="M107" s="171"/>
      <c r="N107" s="139" t="s">
        <v>17</v>
      </c>
      <c r="O107" s="68"/>
      <c r="P107" s="69"/>
      <c r="Q107" s="70"/>
      <c r="R107" s="71"/>
      <c r="S107" s="71">
        <f ca="1">SUBTOTAL(9,S101:S106)</f>
        <v>1417852</v>
      </c>
      <c r="T107" s="71"/>
      <c r="U107" s="71">
        <f ca="1">SUBTOTAL(9,U101:U106)</f>
        <v>1417852</v>
      </c>
      <c r="V107" s="71"/>
      <c r="W107" s="71"/>
      <c r="X107" s="71"/>
      <c r="Y107" s="71"/>
      <c r="Z107" s="68"/>
    </row>
    <row r="108" spans="11:26" ht="18" customHeight="1">
      <c r="K108" s="171" t="s">
        <v>14</v>
      </c>
      <c r="L108" s="171"/>
      <c r="M108" s="171"/>
      <c r="N108" s="318" t="str">
        <f ca="1">"제 " &amp; Z108 &amp; " 호표  "&amp; OFFSET($A$1,MATCH(Z108,$A:$A,0)-1,1)</f>
        <v>제 7 호표  2-4. 주요시설계획 등</v>
      </c>
      <c r="O108" s="221"/>
      <c r="P108" s="148"/>
      <c r="Q108" s="148"/>
      <c r="R108" s="149"/>
      <c r="S108" s="149"/>
      <c r="T108" s="149"/>
      <c r="U108" s="149"/>
      <c r="V108" s="149"/>
      <c r="W108" s="149"/>
      <c r="X108" s="149"/>
      <c r="Y108" s="149"/>
      <c r="Z108" s="325">
        <f>Z100+1</f>
        <v>7</v>
      </c>
    </row>
    <row r="109" spans="11:26" ht="18" customHeight="1">
      <c r="K109" s="171" t="s">
        <v>14</v>
      </c>
      <c r="L109" s="171"/>
      <c r="M109" s="171"/>
      <c r="N109" s="140" t="s">
        <v>43</v>
      </c>
      <c r="O109" s="172">
        <v>3</v>
      </c>
      <c r="P109" s="219">
        <f ca="1">OFFSET($A$1,MATCH(Z108,$A:$A,0)-1,O109)</f>
        <v>0.2</v>
      </c>
      <c r="Q109" s="141" t="s">
        <v>29</v>
      </c>
      <c r="R109" s="142">
        <f t="shared" ref="R109:S114" ca="1" si="29">T109</f>
        <v>467217</v>
      </c>
      <c r="S109" s="142">
        <f t="shared" ca="1" si="29"/>
        <v>93443</v>
      </c>
      <c r="T109" s="142">
        <f ca="1">기술사</f>
        <v>467217</v>
      </c>
      <c r="U109" s="142">
        <f t="shared" ref="U109:U114" ca="1" si="30">ROUNDDOWN(P109*R109,0)</f>
        <v>93443</v>
      </c>
      <c r="V109" s="142"/>
      <c r="W109" s="142"/>
      <c r="X109" s="142"/>
      <c r="Y109" s="142"/>
      <c r="Z109" s="114"/>
    </row>
    <row r="110" spans="11:26" ht="18" customHeight="1">
      <c r="K110" s="171" t="s">
        <v>14</v>
      </c>
      <c r="L110" s="171"/>
      <c r="M110" s="171"/>
      <c r="N110" s="143" t="s">
        <v>32</v>
      </c>
      <c r="O110" s="173">
        <v>4</v>
      </c>
      <c r="P110" s="234">
        <f ca="1">OFFSET($A$1,MATCH(Z108,$A:$A,0)-1,O110)</f>
        <v>0.3</v>
      </c>
      <c r="Q110" s="144" t="s">
        <v>29</v>
      </c>
      <c r="R110" s="118">
        <f t="shared" ca="1" si="29"/>
        <v>373353</v>
      </c>
      <c r="S110" s="118">
        <f t="shared" ca="1" si="29"/>
        <v>112005</v>
      </c>
      <c r="T110" s="118">
        <f ca="1">특급</f>
        <v>373353</v>
      </c>
      <c r="U110" s="118">
        <f t="shared" ca="1" si="30"/>
        <v>112005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39</v>
      </c>
      <c r="O111" s="173">
        <v>5</v>
      </c>
      <c r="P111" s="234">
        <f ca="1">OFFSET($A$1,MATCH(Z108,$A:$A,0)-1,O111)</f>
        <v>0.5</v>
      </c>
      <c r="Q111" s="144" t="s">
        <v>29</v>
      </c>
      <c r="R111" s="118">
        <f t="shared" ca="1" si="29"/>
        <v>310884</v>
      </c>
      <c r="S111" s="118">
        <f t="shared" ca="1" si="29"/>
        <v>155442</v>
      </c>
      <c r="T111" s="118">
        <f ca="1">고급</f>
        <v>310884</v>
      </c>
      <c r="U111" s="118">
        <f t="shared" ca="1" si="30"/>
        <v>155442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40</v>
      </c>
      <c r="O112" s="173">
        <v>6</v>
      </c>
      <c r="P112" s="234">
        <f ca="1">OFFSET($A$1,MATCH(Z108,$A:$A,0)-1,O112)</f>
        <v>0.6</v>
      </c>
      <c r="Q112" s="144" t="s">
        <v>29</v>
      </c>
      <c r="R112" s="118">
        <f t="shared" ca="1" si="29"/>
        <v>295138</v>
      </c>
      <c r="S112" s="118">
        <f t="shared" ca="1" si="29"/>
        <v>177082</v>
      </c>
      <c r="T112" s="118">
        <f ca="1">중급</f>
        <v>295138</v>
      </c>
      <c r="U112" s="118">
        <f t="shared" ca="1" si="30"/>
        <v>177082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41</v>
      </c>
      <c r="O113" s="173">
        <v>7</v>
      </c>
      <c r="P113" s="234">
        <f ca="1">OFFSET($A$1,MATCH(Z108,$A:$A,0)-1,O113)</f>
        <v>1.2</v>
      </c>
      <c r="Q113" s="144" t="s">
        <v>29</v>
      </c>
      <c r="R113" s="118">
        <f t="shared" ca="1" si="29"/>
        <v>235459</v>
      </c>
      <c r="S113" s="118">
        <f t="shared" ca="1" si="29"/>
        <v>282550</v>
      </c>
      <c r="T113" s="118">
        <f ca="1">초급</f>
        <v>235459</v>
      </c>
      <c r="U113" s="118">
        <f t="shared" ca="1" si="30"/>
        <v>282550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319" t="s">
        <v>42</v>
      </c>
      <c r="O114" s="174">
        <v>8</v>
      </c>
      <c r="P114" s="235">
        <f ca="1">OFFSET($A$1,MATCH(Z108,$A:$A,0)-1,O114)</f>
        <v>1.4</v>
      </c>
      <c r="Q114" s="322" t="s">
        <v>29</v>
      </c>
      <c r="R114" s="323">
        <f t="shared" ca="1" si="29"/>
        <v>250087</v>
      </c>
      <c r="S114" s="323">
        <f t="shared" ca="1" si="29"/>
        <v>350121</v>
      </c>
      <c r="T114" s="323">
        <f ca="1">보조원</f>
        <v>250087</v>
      </c>
      <c r="U114" s="323">
        <f t="shared" ca="1" si="30"/>
        <v>350121</v>
      </c>
      <c r="V114" s="323"/>
      <c r="W114" s="323"/>
      <c r="X114" s="323"/>
      <c r="Y114" s="323"/>
      <c r="Z114" s="324"/>
    </row>
    <row r="115" spans="11:26" ht="18" customHeight="1">
      <c r="K115" s="171" t="s">
        <v>14</v>
      </c>
      <c r="L115" s="171"/>
      <c r="M115" s="171"/>
      <c r="N115" s="139" t="s">
        <v>17</v>
      </c>
      <c r="O115" s="68"/>
      <c r="P115" s="69"/>
      <c r="Q115" s="70"/>
      <c r="R115" s="71"/>
      <c r="S115" s="71">
        <f ca="1">SUBTOTAL(9,S109:S114)</f>
        <v>1170643</v>
      </c>
      <c r="T115" s="71"/>
      <c r="U115" s="71">
        <f ca="1">SUBTOTAL(9,U109:U114)</f>
        <v>1170643</v>
      </c>
      <c r="V115" s="71"/>
      <c r="W115" s="71"/>
      <c r="X115" s="71"/>
      <c r="Y115" s="71"/>
      <c r="Z115" s="68"/>
    </row>
    <row r="116" spans="11:26" ht="18" customHeight="1">
      <c r="K116" s="171" t="s">
        <v>14</v>
      </c>
      <c r="L116" s="171"/>
      <c r="M116" s="171"/>
      <c r="N116" s="318" t="str">
        <f ca="1">"제 " &amp; Z116 &amp; " 호표  "&amp; OFFSET($A$1,MATCH(Z116,$A:$A,0)-1,1)</f>
        <v>제 8 호표  3-1. 교통시설계획 및 시설현황</v>
      </c>
      <c r="O116" s="221"/>
      <c r="P116" s="148"/>
      <c r="Q116" s="148"/>
      <c r="R116" s="149"/>
      <c r="S116" s="149"/>
      <c r="T116" s="149"/>
      <c r="U116" s="149"/>
      <c r="V116" s="149"/>
      <c r="W116" s="149"/>
      <c r="X116" s="149"/>
      <c r="Y116" s="149"/>
      <c r="Z116" s="325">
        <f>Z108+1</f>
        <v>8</v>
      </c>
    </row>
    <row r="117" spans="11:26" ht="18" customHeight="1">
      <c r="K117" s="171" t="s">
        <v>14</v>
      </c>
      <c r="L117" s="171"/>
      <c r="M117" s="171"/>
      <c r="N117" s="140" t="s">
        <v>43</v>
      </c>
      <c r="O117" s="172">
        <v>3</v>
      </c>
      <c r="P117" s="219">
        <f ca="1">OFFSET($A$1,MATCH(Z116,$A:$A,0)-1,O117)</f>
        <v>0.9</v>
      </c>
      <c r="Q117" s="141" t="s">
        <v>29</v>
      </c>
      <c r="R117" s="142">
        <f t="shared" ref="R117:S122" ca="1" si="31">T117</f>
        <v>467217</v>
      </c>
      <c r="S117" s="142">
        <f t="shared" ca="1" si="31"/>
        <v>420495</v>
      </c>
      <c r="T117" s="142">
        <f ca="1">기술사</f>
        <v>467217</v>
      </c>
      <c r="U117" s="142">
        <f t="shared" ref="U117:U122" ca="1" si="32">ROUNDDOWN(P117*R117,0)</f>
        <v>420495</v>
      </c>
      <c r="V117" s="142"/>
      <c r="W117" s="142"/>
      <c r="X117" s="142"/>
      <c r="Y117" s="142"/>
      <c r="Z117" s="114"/>
    </row>
    <row r="118" spans="11:26" ht="18" customHeight="1">
      <c r="K118" s="171" t="s">
        <v>14</v>
      </c>
      <c r="L118" s="171"/>
      <c r="M118" s="171"/>
      <c r="N118" s="143" t="s">
        <v>32</v>
      </c>
      <c r="O118" s="173">
        <v>4</v>
      </c>
      <c r="P118" s="234">
        <f ca="1">OFFSET($A$1,MATCH(Z116,$A:$A,0)-1,O118)</f>
        <v>1.7</v>
      </c>
      <c r="Q118" s="144" t="s">
        <v>29</v>
      </c>
      <c r="R118" s="118">
        <f t="shared" ca="1" si="31"/>
        <v>373353</v>
      </c>
      <c r="S118" s="118">
        <f t="shared" ca="1" si="31"/>
        <v>634700</v>
      </c>
      <c r="T118" s="118">
        <f ca="1">특급</f>
        <v>373353</v>
      </c>
      <c r="U118" s="118">
        <f t="shared" ca="1" si="32"/>
        <v>634700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39</v>
      </c>
      <c r="O119" s="173">
        <v>5</v>
      </c>
      <c r="P119" s="234">
        <f ca="1">OFFSET($A$1,MATCH(Z116,$A:$A,0)-1,O119)</f>
        <v>3.2</v>
      </c>
      <c r="Q119" s="144" t="s">
        <v>29</v>
      </c>
      <c r="R119" s="118">
        <f t="shared" ca="1" si="31"/>
        <v>310884</v>
      </c>
      <c r="S119" s="118">
        <f t="shared" ca="1" si="31"/>
        <v>994828</v>
      </c>
      <c r="T119" s="118">
        <f ca="1">고급</f>
        <v>310884</v>
      </c>
      <c r="U119" s="118">
        <f t="shared" ca="1" si="32"/>
        <v>994828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40</v>
      </c>
      <c r="O120" s="173">
        <v>6</v>
      </c>
      <c r="P120" s="234">
        <f ca="1">OFFSET($A$1,MATCH(Z116,$A:$A,0)-1,O120)</f>
        <v>5</v>
      </c>
      <c r="Q120" s="144" t="s">
        <v>29</v>
      </c>
      <c r="R120" s="118">
        <f t="shared" ca="1" si="31"/>
        <v>295138</v>
      </c>
      <c r="S120" s="118">
        <f t="shared" ca="1" si="31"/>
        <v>1475690</v>
      </c>
      <c r="T120" s="118">
        <f ca="1">중급</f>
        <v>295138</v>
      </c>
      <c r="U120" s="118">
        <f t="shared" ca="1" si="32"/>
        <v>1475690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41</v>
      </c>
      <c r="O121" s="173">
        <v>7</v>
      </c>
      <c r="P121" s="234">
        <f ca="1">OFFSET($A$1,MATCH(Z116,$A:$A,0)-1,O121)</f>
        <v>9</v>
      </c>
      <c r="Q121" s="144" t="s">
        <v>29</v>
      </c>
      <c r="R121" s="118">
        <f t="shared" ca="1" si="31"/>
        <v>235459</v>
      </c>
      <c r="S121" s="118">
        <f t="shared" ca="1" si="31"/>
        <v>2119131</v>
      </c>
      <c r="T121" s="118">
        <f ca="1">초급</f>
        <v>235459</v>
      </c>
      <c r="U121" s="118">
        <f t="shared" ca="1" si="32"/>
        <v>2119131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319" t="s">
        <v>42</v>
      </c>
      <c r="O122" s="174">
        <v>8</v>
      </c>
      <c r="P122" s="235">
        <f ca="1">OFFSET($A$1,MATCH(Z116,$A:$A,0)-1,O122)</f>
        <v>14.2</v>
      </c>
      <c r="Q122" s="322" t="s">
        <v>29</v>
      </c>
      <c r="R122" s="323">
        <f t="shared" ca="1" si="31"/>
        <v>250087</v>
      </c>
      <c r="S122" s="323">
        <f t="shared" ca="1" si="31"/>
        <v>3551235</v>
      </c>
      <c r="T122" s="323">
        <f ca="1">보조원</f>
        <v>250087</v>
      </c>
      <c r="U122" s="323">
        <f t="shared" ca="1" si="32"/>
        <v>3551235</v>
      </c>
      <c r="V122" s="323"/>
      <c r="W122" s="323"/>
      <c r="X122" s="323"/>
      <c r="Y122" s="323"/>
      <c r="Z122" s="324"/>
    </row>
    <row r="123" spans="11:26" ht="18" customHeight="1">
      <c r="K123" s="171" t="s">
        <v>14</v>
      </c>
      <c r="L123" s="171"/>
      <c r="M123" s="171"/>
      <c r="N123" s="139" t="s">
        <v>17</v>
      </c>
      <c r="O123" s="68"/>
      <c r="P123" s="69"/>
      <c r="Q123" s="70"/>
      <c r="R123" s="71"/>
      <c r="S123" s="71">
        <f ca="1">SUBTOTAL(9,S117:S122)</f>
        <v>9196079</v>
      </c>
      <c r="T123" s="71"/>
      <c r="U123" s="71">
        <f ca="1">SUBTOTAL(9,U117:U122)</f>
        <v>9196079</v>
      </c>
      <c r="V123" s="71"/>
      <c r="W123" s="71"/>
      <c r="X123" s="71"/>
      <c r="Y123" s="71"/>
      <c r="Z123" s="68"/>
    </row>
    <row r="124" spans="11:26" ht="18" customHeight="1">
      <c r="K124" s="171" t="s">
        <v>14</v>
      </c>
      <c r="L124" s="171"/>
      <c r="M124" s="171"/>
      <c r="N124" s="318" t="str">
        <f ca="1">"제 " &amp; Z124 &amp; " 호표  "&amp; OFFSET($A$1,MATCH(Z124,$A:$A,0)-1,1)</f>
        <v>제 9 호표  3-2. 교통처리</v>
      </c>
      <c r="O124" s="221"/>
      <c r="P124" s="148"/>
      <c r="Q124" s="148"/>
      <c r="R124" s="149"/>
      <c r="S124" s="149"/>
      <c r="T124" s="149"/>
      <c r="U124" s="149"/>
      <c r="V124" s="149"/>
      <c r="W124" s="149"/>
      <c r="X124" s="149"/>
      <c r="Y124" s="149"/>
      <c r="Z124" s="325">
        <f>Z116+1</f>
        <v>9</v>
      </c>
    </row>
    <row r="125" spans="11:26" ht="18" customHeight="1">
      <c r="K125" s="171" t="s">
        <v>14</v>
      </c>
      <c r="L125" s="171"/>
      <c r="M125" s="171"/>
      <c r="N125" s="140" t="s">
        <v>43</v>
      </c>
      <c r="O125" s="172">
        <v>3</v>
      </c>
      <c r="P125" s="219">
        <f ca="1">OFFSET($A$1,MATCH(Z124,$A:$A,0)-1,O125)</f>
        <v>0.9</v>
      </c>
      <c r="Q125" s="141" t="s">
        <v>29</v>
      </c>
      <c r="R125" s="142">
        <f t="shared" ref="R125:S130" ca="1" si="33">T125</f>
        <v>467217</v>
      </c>
      <c r="S125" s="142">
        <f t="shared" ca="1" si="33"/>
        <v>420495</v>
      </c>
      <c r="T125" s="142">
        <f ca="1">기술사</f>
        <v>467217</v>
      </c>
      <c r="U125" s="142">
        <f t="shared" ref="U125:U130" ca="1" si="34">ROUNDDOWN(P125*R125,0)</f>
        <v>420495</v>
      </c>
      <c r="V125" s="142"/>
      <c r="W125" s="142"/>
      <c r="X125" s="142"/>
      <c r="Y125" s="142"/>
      <c r="Z125" s="114"/>
    </row>
    <row r="126" spans="11:26" ht="18" customHeight="1">
      <c r="K126" s="171" t="s">
        <v>14</v>
      </c>
      <c r="L126" s="171"/>
      <c r="M126" s="171"/>
      <c r="N126" s="143" t="s">
        <v>32</v>
      </c>
      <c r="O126" s="173">
        <v>4</v>
      </c>
      <c r="P126" s="234">
        <f ca="1">OFFSET($A$1,MATCH(Z124,$A:$A,0)-1,O126)</f>
        <v>1.7</v>
      </c>
      <c r="Q126" s="144" t="s">
        <v>29</v>
      </c>
      <c r="R126" s="118">
        <f t="shared" ca="1" si="33"/>
        <v>373353</v>
      </c>
      <c r="S126" s="118">
        <f t="shared" ca="1" si="33"/>
        <v>634700</v>
      </c>
      <c r="T126" s="118">
        <f ca="1">특급</f>
        <v>373353</v>
      </c>
      <c r="U126" s="118">
        <f t="shared" ca="1" si="34"/>
        <v>634700</v>
      </c>
      <c r="V126" s="118"/>
      <c r="W126" s="118"/>
      <c r="X126" s="118"/>
      <c r="Y126" s="118"/>
      <c r="Z126" s="115"/>
    </row>
    <row r="127" spans="11:26" ht="18" customHeight="1">
      <c r="K127" s="171" t="s">
        <v>14</v>
      </c>
      <c r="L127" s="171"/>
      <c r="M127" s="171"/>
      <c r="N127" s="145" t="s">
        <v>39</v>
      </c>
      <c r="O127" s="173">
        <v>5</v>
      </c>
      <c r="P127" s="234">
        <f ca="1">OFFSET($A$1,MATCH(Z124,$A:$A,0)-1,O127)</f>
        <v>2.8</v>
      </c>
      <c r="Q127" s="144" t="s">
        <v>29</v>
      </c>
      <c r="R127" s="118">
        <f t="shared" ca="1" si="33"/>
        <v>310884</v>
      </c>
      <c r="S127" s="118">
        <f t="shared" ca="1" si="33"/>
        <v>870475</v>
      </c>
      <c r="T127" s="118">
        <f ca="1">고급</f>
        <v>310884</v>
      </c>
      <c r="U127" s="118">
        <f t="shared" ca="1" si="34"/>
        <v>870475</v>
      </c>
      <c r="V127" s="118"/>
      <c r="W127" s="118"/>
      <c r="X127" s="118"/>
      <c r="Y127" s="118"/>
      <c r="Z127" s="115"/>
    </row>
    <row r="128" spans="11:26" ht="18" customHeight="1">
      <c r="K128" s="171" t="s">
        <v>14</v>
      </c>
      <c r="L128" s="171"/>
      <c r="M128" s="171"/>
      <c r="N128" s="145" t="s">
        <v>40</v>
      </c>
      <c r="O128" s="173">
        <v>6</v>
      </c>
      <c r="P128" s="234">
        <f ca="1">OFFSET($A$1,MATCH(Z124,$A:$A,0)-1,O128)</f>
        <v>3.7</v>
      </c>
      <c r="Q128" s="144" t="s">
        <v>29</v>
      </c>
      <c r="R128" s="118">
        <f t="shared" ca="1" si="33"/>
        <v>295138</v>
      </c>
      <c r="S128" s="118">
        <f t="shared" ca="1" si="33"/>
        <v>1092010</v>
      </c>
      <c r="T128" s="118">
        <f ca="1">중급</f>
        <v>295138</v>
      </c>
      <c r="U128" s="118">
        <f t="shared" ca="1" si="34"/>
        <v>1092010</v>
      </c>
      <c r="V128" s="118"/>
      <c r="W128" s="118"/>
      <c r="X128" s="118"/>
      <c r="Y128" s="118"/>
      <c r="Z128" s="115"/>
    </row>
    <row r="129" spans="11:29" ht="18" customHeight="1">
      <c r="K129" s="171" t="s">
        <v>14</v>
      </c>
      <c r="L129" s="171"/>
      <c r="M129" s="171"/>
      <c r="N129" s="145" t="s">
        <v>41</v>
      </c>
      <c r="O129" s="173">
        <v>7</v>
      </c>
      <c r="P129" s="234">
        <f ca="1">OFFSET($A$1,MATCH(Z124,$A:$A,0)-1,O129)</f>
        <v>6.7</v>
      </c>
      <c r="Q129" s="144" t="s">
        <v>29</v>
      </c>
      <c r="R129" s="118">
        <f t="shared" ca="1" si="33"/>
        <v>235459</v>
      </c>
      <c r="S129" s="118">
        <f t="shared" ca="1" si="33"/>
        <v>1577575</v>
      </c>
      <c r="T129" s="118">
        <f ca="1">초급</f>
        <v>235459</v>
      </c>
      <c r="U129" s="118">
        <f t="shared" ca="1" si="34"/>
        <v>1577575</v>
      </c>
      <c r="V129" s="118"/>
      <c r="W129" s="118"/>
      <c r="X129" s="118"/>
      <c r="Y129" s="118"/>
      <c r="Z129" s="115"/>
    </row>
    <row r="130" spans="11:29" ht="18" customHeight="1">
      <c r="K130" s="171" t="s">
        <v>14</v>
      </c>
      <c r="L130" s="171"/>
      <c r="M130" s="171"/>
      <c r="N130" s="319" t="s">
        <v>42</v>
      </c>
      <c r="O130" s="174">
        <v>8</v>
      </c>
      <c r="P130" s="235">
        <f ca="1">OFFSET($A$1,MATCH(Z124,$A:$A,0)-1,O130)</f>
        <v>12.8</v>
      </c>
      <c r="Q130" s="322" t="s">
        <v>29</v>
      </c>
      <c r="R130" s="323">
        <f t="shared" ca="1" si="33"/>
        <v>250087</v>
      </c>
      <c r="S130" s="323">
        <f t="shared" ca="1" si="33"/>
        <v>3201113</v>
      </c>
      <c r="T130" s="323">
        <f ca="1">보조원</f>
        <v>250087</v>
      </c>
      <c r="U130" s="323">
        <f t="shared" ca="1" si="34"/>
        <v>3201113</v>
      </c>
      <c r="V130" s="323"/>
      <c r="W130" s="323"/>
      <c r="X130" s="323"/>
      <c r="Y130" s="323"/>
      <c r="Z130" s="324"/>
    </row>
    <row r="131" spans="11:29" ht="18" customHeight="1">
      <c r="K131" s="171" t="s">
        <v>14</v>
      </c>
      <c r="L131" s="171"/>
      <c r="M131" s="171"/>
      <c r="N131" s="139" t="s">
        <v>17</v>
      </c>
      <c r="O131" s="68"/>
      <c r="P131" s="69"/>
      <c r="Q131" s="70"/>
      <c r="R131" s="71"/>
      <c r="S131" s="71">
        <f ca="1">SUBTOTAL(9,S125:S130)</f>
        <v>7796368</v>
      </c>
      <c r="T131" s="71"/>
      <c r="U131" s="71">
        <f ca="1">SUBTOTAL(9,U125:U130)</f>
        <v>7796368</v>
      </c>
      <c r="V131" s="71"/>
      <c r="W131" s="71"/>
      <c r="X131" s="71"/>
      <c r="Y131" s="71"/>
      <c r="Z131" s="68"/>
    </row>
    <row r="132" spans="11:29" ht="18" customHeight="1">
      <c r="K132" s="171" t="s">
        <v>14</v>
      </c>
      <c r="L132" s="171"/>
      <c r="M132" s="171"/>
      <c r="N132" s="318" t="str">
        <f ca="1">"제 " &amp; Z132 &amp; " 호표  "&amp; OFFSET($A$1,MATCH(Z132,$A:$A,0)-1,1)</f>
        <v>제 10 호표  3-3. 교통수단별 운영</v>
      </c>
      <c r="O132" s="221"/>
      <c r="P132" s="148"/>
      <c r="Q132" s="148"/>
      <c r="R132" s="149"/>
      <c r="S132" s="149"/>
      <c r="T132" s="149"/>
      <c r="U132" s="149"/>
      <c r="V132" s="149"/>
      <c r="W132" s="149"/>
      <c r="X132" s="149"/>
      <c r="Y132" s="149"/>
      <c r="Z132" s="325">
        <f>Z124+1</f>
        <v>10</v>
      </c>
    </row>
    <row r="133" spans="11:29" ht="18" customHeight="1">
      <c r="K133" s="171" t="s">
        <v>14</v>
      </c>
      <c r="L133" s="171"/>
      <c r="M133" s="171"/>
      <c r="N133" s="140" t="s">
        <v>43</v>
      </c>
      <c r="O133" s="172">
        <v>3</v>
      </c>
      <c r="P133" s="219">
        <f ca="1">OFFSET($A$1,MATCH(Z132,$A:$A,0)-1,O133)</f>
        <v>0.6</v>
      </c>
      <c r="Q133" s="141" t="s">
        <v>29</v>
      </c>
      <c r="R133" s="142">
        <f t="shared" ref="R133:S138" ca="1" si="35">T133</f>
        <v>467217</v>
      </c>
      <c r="S133" s="142">
        <f t="shared" ca="1" si="35"/>
        <v>280330</v>
      </c>
      <c r="T133" s="142">
        <f ca="1">기술사</f>
        <v>467217</v>
      </c>
      <c r="U133" s="142">
        <f t="shared" ref="U133:U138" ca="1" si="36">ROUNDDOWN(P133*R133,0)</f>
        <v>280330</v>
      </c>
      <c r="V133" s="142"/>
      <c r="W133" s="142"/>
      <c r="X133" s="142"/>
      <c r="Y133" s="142"/>
      <c r="Z133" s="114"/>
    </row>
    <row r="134" spans="11:29" ht="18" customHeight="1">
      <c r="K134" s="171" t="s">
        <v>14</v>
      </c>
      <c r="L134" s="171"/>
      <c r="M134" s="171"/>
      <c r="N134" s="143" t="s">
        <v>32</v>
      </c>
      <c r="O134" s="173">
        <v>4</v>
      </c>
      <c r="P134" s="234">
        <f ca="1">OFFSET($A$1,MATCH(Z132,$A:$A,0)-1,O134)</f>
        <v>1.2</v>
      </c>
      <c r="Q134" s="144" t="s">
        <v>29</v>
      </c>
      <c r="R134" s="118">
        <f t="shared" ca="1" si="35"/>
        <v>373353</v>
      </c>
      <c r="S134" s="118">
        <f t="shared" ca="1" si="35"/>
        <v>448023</v>
      </c>
      <c r="T134" s="118">
        <f ca="1">특급</f>
        <v>373353</v>
      </c>
      <c r="U134" s="118">
        <f t="shared" ca="1" si="36"/>
        <v>448023</v>
      </c>
      <c r="V134" s="118"/>
      <c r="W134" s="118"/>
      <c r="X134" s="118"/>
      <c r="Y134" s="118"/>
      <c r="Z134" s="115"/>
    </row>
    <row r="135" spans="11:29" ht="18" customHeight="1">
      <c r="K135" s="171" t="s">
        <v>14</v>
      </c>
      <c r="L135" s="171"/>
      <c r="M135" s="171"/>
      <c r="N135" s="145" t="s">
        <v>39</v>
      </c>
      <c r="O135" s="173">
        <v>5</v>
      </c>
      <c r="P135" s="234">
        <f ca="1">OFFSET($A$1,MATCH(Z132,$A:$A,0)-1,O135)</f>
        <v>2.2999999999999998</v>
      </c>
      <c r="Q135" s="144" t="s">
        <v>29</v>
      </c>
      <c r="R135" s="118">
        <f t="shared" ca="1" si="35"/>
        <v>310884</v>
      </c>
      <c r="S135" s="118">
        <f t="shared" ca="1" si="35"/>
        <v>715033</v>
      </c>
      <c r="T135" s="118">
        <f ca="1">고급</f>
        <v>310884</v>
      </c>
      <c r="U135" s="118">
        <f t="shared" ca="1" si="36"/>
        <v>715033</v>
      </c>
      <c r="V135" s="118"/>
      <c r="W135" s="118"/>
      <c r="X135" s="118"/>
      <c r="Y135" s="118"/>
      <c r="Z135" s="115"/>
    </row>
    <row r="136" spans="11:29" ht="18" customHeight="1">
      <c r="K136" s="171" t="s">
        <v>14</v>
      </c>
      <c r="L136" s="171"/>
      <c r="M136" s="171"/>
      <c r="N136" s="145" t="s">
        <v>40</v>
      </c>
      <c r="O136" s="173">
        <v>6</v>
      </c>
      <c r="P136" s="234">
        <f ca="1">OFFSET($A$1,MATCH(Z132,$A:$A,0)-1,O136)</f>
        <v>3.7</v>
      </c>
      <c r="Q136" s="144" t="s">
        <v>29</v>
      </c>
      <c r="R136" s="118">
        <f t="shared" ca="1" si="35"/>
        <v>295138</v>
      </c>
      <c r="S136" s="118">
        <f t="shared" ca="1" si="35"/>
        <v>1092010</v>
      </c>
      <c r="T136" s="118">
        <f ca="1">중급</f>
        <v>295138</v>
      </c>
      <c r="U136" s="118">
        <f t="shared" ca="1" si="36"/>
        <v>1092010</v>
      </c>
      <c r="V136" s="118"/>
      <c r="W136" s="118"/>
      <c r="X136" s="118"/>
      <c r="Y136" s="118"/>
      <c r="Z136" s="115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45" t="s">
        <v>41</v>
      </c>
      <c r="O137" s="173">
        <v>7</v>
      </c>
      <c r="P137" s="234">
        <f ca="1">OFFSET($A$1,MATCH(Z132,$A:$A,0)-1,O137)</f>
        <v>6.7</v>
      </c>
      <c r="Q137" s="144" t="s">
        <v>29</v>
      </c>
      <c r="R137" s="118">
        <f t="shared" ca="1" si="35"/>
        <v>235459</v>
      </c>
      <c r="S137" s="118">
        <f t="shared" ca="1" si="35"/>
        <v>1577575</v>
      </c>
      <c r="T137" s="118">
        <f ca="1">초급</f>
        <v>235459</v>
      </c>
      <c r="U137" s="118">
        <f t="shared" ca="1" si="36"/>
        <v>1577575</v>
      </c>
      <c r="V137" s="118"/>
      <c r="W137" s="118"/>
      <c r="X137" s="118"/>
      <c r="Y137" s="118"/>
      <c r="Z137" s="115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319" t="s">
        <v>42</v>
      </c>
      <c r="O138" s="174">
        <v>8</v>
      </c>
      <c r="P138" s="235">
        <f ca="1">OFFSET($A$1,MATCH(Z132,$A:$A,0)-1,O138)</f>
        <v>12.8</v>
      </c>
      <c r="Q138" s="322" t="s">
        <v>29</v>
      </c>
      <c r="R138" s="323">
        <f t="shared" ca="1" si="35"/>
        <v>250087</v>
      </c>
      <c r="S138" s="323">
        <f t="shared" ca="1" si="35"/>
        <v>3201113</v>
      </c>
      <c r="T138" s="323">
        <f ca="1">보조원</f>
        <v>250087</v>
      </c>
      <c r="U138" s="323">
        <f t="shared" ca="1" si="36"/>
        <v>3201113</v>
      </c>
      <c r="V138" s="323"/>
      <c r="W138" s="323"/>
      <c r="X138" s="323"/>
      <c r="Y138" s="323"/>
      <c r="Z138" s="324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39" t="s">
        <v>17</v>
      </c>
      <c r="O139" s="68"/>
      <c r="P139" s="69"/>
      <c r="Q139" s="70"/>
      <c r="R139" s="71"/>
      <c r="S139" s="71">
        <f ca="1">SUBTOTAL(9,S133:S138)</f>
        <v>7314084</v>
      </c>
      <c r="T139" s="71"/>
      <c r="U139" s="71">
        <f ca="1">SUBTOTAL(9,U133:U138)</f>
        <v>7314084</v>
      </c>
      <c r="V139" s="71"/>
      <c r="W139" s="71"/>
      <c r="X139" s="71"/>
      <c r="Y139" s="71"/>
      <c r="Z139" s="68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318" t="str">
        <f ca="1">"제 " &amp; Z140 &amp; " 호표  "&amp; OFFSET($A$1,MATCH(Z140,$A:$A,0)-1,1)</f>
        <v>제 11 호표  3-4. 기  타</v>
      </c>
      <c r="O140" s="221"/>
      <c r="P140" s="148"/>
      <c r="Q140" s="148"/>
      <c r="R140" s="149"/>
      <c r="S140" s="149"/>
      <c r="T140" s="149"/>
      <c r="U140" s="149"/>
      <c r="V140" s="149"/>
      <c r="W140" s="149"/>
      <c r="X140" s="149"/>
      <c r="Y140" s="149"/>
      <c r="Z140" s="325">
        <f>Z132+1</f>
        <v>11</v>
      </c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40" t="s">
        <v>43</v>
      </c>
      <c r="O141" s="172">
        <v>3</v>
      </c>
      <c r="P141" s="219">
        <f ca="1">OFFSET($A$1,MATCH(Z140,$A:$A,0)-1,O141)</f>
        <v>0.6</v>
      </c>
      <c r="Q141" s="141" t="s">
        <v>29</v>
      </c>
      <c r="R141" s="142">
        <f t="shared" ref="R141:S146" ca="1" si="37">T141</f>
        <v>467217</v>
      </c>
      <c r="S141" s="142">
        <f t="shared" ca="1" si="37"/>
        <v>280330</v>
      </c>
      <c r="T141" s="142">
        <f ca="1">기술사</f>
        <v>467217</v>
      </c>
      <c r="U141" s="142">
        <f t="shared" ref="U141:U146" ca="1" si="38">ROUNDDOWN(P141*R141,0)</f>
        <v>280330</v>
      </c>
      <c r="V141" s="142"/>
      <c r="W141" s="142"/>
      <c r="X141" s="142"/>
      <c r="Y141" s="142"/>
      <c r="Z141" s="114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43" t="s">
        <v>32</v>
      </c>
      <c r="O142" s="173">
        <v>4</v>
      </c>
      <c r="P142" s="234">
        <f ca="1">OFFSET($A$1,MATCH(Z140,$A:$A,0)-1,O142)</f>
        <v>1.2</v>
      </c>
      <c r="Q142" s="144" t="s">
        <v>29</v>
      </c>
      <c r="R142" s="118">
        <f t="shared" ca="1" si="37"/>
        <v>373353</v>
      </c>
      <c r="S142" s="118">
        <f t="shared" ca="1" si="37"/>
        <v>448023</v>
      </c>
      <c r="T142" s="118">
        <f ca="1">특급</f>
        <v>373353</v>
      </c>
      <c r="U142" s="118">
        <f t="shared" ca="1" si="38"/>
        <v>448023</v>
      </c>
      <c r="V142" s="118"/>
      <c r="W142" s="118"/>
      <c r="X142" s="118"/>
      <c r="Y142" s="118"/>
      <c r="Z142" s="115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45" t="s">
        <v>39</v>
      </c>
      <c r="O143" s="173">
        <v>5</v>
      </c>
      <c r="P143" s="234">
        <f ca="1">OFFSET($A$1,MATCH(Z140,$A:$A,0)-1,O143)</f>
        <v>2.2999999999999998</v>
      </c>
      <c r="Q143" s="144" t="s">
        <v>29</v>
      </c>
      <c r="R143" s="118">
        <f t="shared" ca="1" si="37"/>
        <v>310884</v>
      </c>
      <c r="S143" s="118">
        <f t="shared" ca="1" si="37"/>
        <v>715033</v>
      </c>
      <c r="T143" s="118">
        <f ca="1">고급</f>
        <v>310884</v>
      </c>
      <c r="U143" s="118">
        <f t="shared" ca="1" si="38"/>
        <v>715033</v>
      </c>
      <c r="V143" s="118"/>
      <c r="W143" s="118"/>
      <c r="X143" s="118"/>
      <c r="Y143" s="118"/>
      <c r="Z143" s="115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45" t="s">
        <v>40</v>
      </c>
      <c r="O144" s="173">
        <v>6</v>
      </c>
      <c r="P144" s="234">
        <f ca="1">OFFSET($A$1,MATCH(Z140,$A:$A,0)-1,O144)</f>
        <v>4.3</v>
      </c>
      <c r="Q144" s="144" t="s">
        <v>29</v>
      </c>
      <c r="R144" s="118">
        <f t="shared" ca="1" si="37"/>
        <v>295138</v>
      </c>
      <c r="S144" s="118">
        <f t="shared" ca="1" si="37"/>
        <v>1269093</v>
      </c>
      <c r="T144" s="118">
        <f ca="1">중급</f>
        <v>295138</v>
      </c>
      <c r="U144" s="118">
        <f t="shared" ca="1" si="38"/>
        <v>1269093</v>
      </c>
      <c r="V144" s="118"/>
      <c r="W144" s="118"/>
      <c r="X144" s="118"/>
      <c r="Y144" s="118"/>
      <c r="Z144" s="115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45" t="s">
        <v>41</v>
      </c>
      <c r="O145" s="173">
        <v>7</v>
      </c>
      <c r="P145" s="234">
        <f ca="1">OFFSET($A$1,MATCH(Z140,$A:$A,0)-1,O145)</f>
        <v>7.8</v>
      </c>
      <c r="Q145" s="144" t="s">
        <v>29</v>
      </c>
      <c r="R145" s="118">
        <f t="shared" ca="1" si="37"/>
        <v>235459</v>
      </c>
      <c r="S145" s="118">
        <f t="shared" ca="1" si="37"/>
        <v>1836580</v>
      </c>
      <c r="T145" s="118">
        <f ca="1">초급</f>
        <v>235459</v>
      </c>
      <c r="U145" s="118">
        <f t="shared" ca="1" si="38"/>
        <v>1836580</v>
      </c>
      <c r="V145" s="118"/>
      <c r="W145" s="118"/>
      <c r="X145" s="118"/>
      <c r="Y145" s="118"/>
      <c r="Z145" s="115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319" t="s">
        <v>42</v>
      </c>
      <c r="O146" s="174">
        <v>8</v>
      </c>
      <c r="P146" s="235">
        <f ca="1">OFFSET($A$1,MATCH(Z140,$A:$A,0)-1,O146)</f>
        <v>9.9</v>
      </c>
      <c r="Q146" s="322" t="s">
        <v>29</v>
      </c>
      <c r="R146" s="323">
        <f t="shared" ca="1" si="37"/>
        <v>250087</v>
      </c>
      <c r="S146" s="323">
        <f t="shared" ca="1" si="37"/>
        <v>2475861</v>
      </c>
      <c r="T146" s="323">
        <f ca="1">보조원</f>
        <v>250087</v>
      </c>
      <c r="U146" s="323">
        <f t="shared" ca="1" si="38"/>
        <v>2475861</v>
      </c>
      <c r="V146" s="323"/>
      <c r="W146" s="323"/>
      <c r="X146" s="323"/>
      <c r="Y146" s="323"/>
      <c r="Z146" s="324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39" t="s">
        <v>17</v>
      </c>
      <c r="O147" s="68"/>
      <c r="P147" s="69"/>
      <c r="Q147" s="70"/>
      <c r="R147" s="71"/>
      <c r="S147" s="71">
        <f ca="1">SUBTOTAL(9,S141:S146)</f>
        <v>7024920</v>
      </c>
      <c r="T147" s="71"/>
      <c r="U147" s="71">
        <f ca="1">SUBTOTAL(9,U141:U146)</f>
        <v>7024920</v>
      </c>
      <c r="V147" s="71"/>
      <c r="W147" s="71"/>
      <c r="X147" s="71"/>
      <c r="Y147" s="71"/>
      <c r="Z147" s="68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318" t="str">
        <f ca="1">"제 " &amp; Z148 &amp; " 호표  "&amp; OFFSET($A$1,MATCH(Z148,$A:$A,0)-1,1)</f>
        <v>제 12 호표  4-1. 교통계획지표설정</v>
      </c>
      <c r="O148" s="221"/>
      <c r="P148" s="148"/>
      <c r="Q148" s="148"/>
      <c r="R148" s="149"/>
      <c r="S148" s="149"/>
      <c r="T148" s="149"/>
      <c r="U148" s="149"/>
      <c r="V148" s="149"/>
      <c r="W148" s="149"/>
      <c r="X148" s="149"/>
      <c r="Y148" s="149"/>
      <c r="Z148" s="325">
        <f>Z140+1</f>
        <v>12</v>
      </c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40" t="s">
        <v>43</v>
      </c>
      <c r="O149" s="172">
        <v>3</v>
      </c>
      <c r="P149" s="219">
        <f ca="1">OFFSET($A$1,MATCH(Z148,$A:$A,0)-1,O149)</f>
        <v>1.9</v>
      </c>
      <c r="Q149" s="141" t="s">
        <v>29</v>
      </c>
      <c r="R149" s="142">
        <f t="shared" ref="R149:S154" ca="1" si="39">T149</f>
        <v>467217</v>
      </c>
      <c r="S149" s="142">
        <f t="shared" ca="1" si="39"/>
        <v>887712</v>
      </c>
      <c r="T149" s="142">
        <f ca="1">기술사</f>
        <v>467217</v>
      </c>
      <c r="U149" s="142">
        <f t="shared" ref="U149:U154" ca="1" si="40">ROUNDDOWN(P149*R149,0)</f>
        <v>887712</v>
      </c>
      <c r="V149" s="142"/>
      <c r="W149" s="142"/>
      <c r="X149" s="142"/>
      <c r="Y149" s="142"/>
      <c r="Z149" s="114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43" t="s">
        <v>32</v>
      </c>
      <c r="O150" s="173">
        <v>4</v>
      </c>
      <c r="P150" s="234">
        <f ca="1">OFFSET($A$1,MATCH(Z148,$A:$A,0)-1,O150)</f>
        <v>3.8</v>
      </c>
      <c r="Q150" s="144" t="s">
        <v>29</v>
      </c>
      <c r="R150" s="118">
        <f t="shared" ca="1" si="39"/>
        <v>373353</v>
      </c>
      <c r="S150" s="118">
        <f t="shared" ca="1" si="39"/>
        <v>1418741</v>
      </c>
      <c r="T150" s="118">
        <f ca="1">특급</f>
        <v>373353</v>
      </c>
      <c r="U150" s="118">
        <f t="shared" ca="1" si="40"/>
        <v>1418741</v>
      </c>
      <c r="V150" s="118"/>
      <c r="W150" s="118"/>
      <c r="X150" s="118"/>
      <c r="Y150" s="118"/>
      <c r="Z150" s="115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5" t="s">
        <v>39</v>
      </c>
      <c r="O151" s="173">
        <v>5</v>
      </c>
      <c r="P151" s="234">
        <f ca="1">OFFSET($A$1,MATCH(Z148,$A:$A,0)-1,O151)</f>
        <v>6.9</v>
      </c>
      <c r="Q151" s="144" t="s">
        <v>29</v>
      </c>
      <c r="R151" s="118">
        <f t="shared" ca="1" si="39"/>
        <v>310884</v>
      </c>
      <c r="S151" s="118">
        <f t="shared" ca="1" si="39"/>
        <v>2145099</v>
      </c>
      <c r="T151" s="118">
        <f ca="1">고급</f>
        <v>310884</v>
      </c>
      <c r="U151" s="118">
        <f t="shared" ca="1" si="40"/>
        <v>2145099</v>
      </c>
      <c r="V151" s="118"/>
      <c r="W151" s="118"/>
      <c r="X151" s="118"/>
      <c r="Y151" s="118"/>
      <c r="Z151" s="115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5" t="s">
        <v>40</v>
      </c>
      <c r="O152" s="173">
        <v>6</v>
      </c>
      <c r="P152" s="234">
        <f ca="1">OFFSET($A$1,MATCH(Z148,$A:$A,0)-1,O152)</f>
        <v>5</v>
      </c>
      <c r="Q152" s="144" t="s">
        <v>29</v>
      </c>
      <c r="R152" s="118">
        <f t="shared" ca="1" si="39"/>
        <v>295138</v>
      </c>
      <c r="S152" s="118">
        <f t="shared" ca="1" si="39"/>
        <v>1475690</v>
      </c>
      <c r="T152" s="118">
        <f ca="1">중급</f>
        <v>295138</v>
      </c>
      <c r="U152" s="118">
        <f t="shared" ca="1" si="40"/>
        <v>1475690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41</v>
      </c>
      <c r="O153" s="173">
        <v>7</v>
      </c>
      <c r="P153" s="234">
        <f ca="1">OFFSET($A$1,MATCH(Z148,$A:$A,0)-1,O153)</f>
        <v>9</v>
      </c>
      <c r="Q153" s="144" t="s">
        <v>29</v>
      </c>
      <c r="R153" s="118">
        <f t="shared" ca="1" si="39"/>
        <v>235459</v>
      </c>
      <c r="S153" s="118">
        <f t="shared" ca="1" si="39"/>
        <v>2119131</v>
      </c>
      <c r="T153" s="118">
        <f ca="1">초급</f>
        <v>235459</v>
      </c>
      <c r="U153" s="118">
        <f t="shared" ca="1" si="40"/>
        <v>2119131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319" t="s">
        <v>42</v>
      </c>
      <c r="O154" s="174">
        <v>8</v>
      </c>
      <c r="P154" s="235">
        <f ca="1">OFFSET($A$1,MATCH(Z148,$A:$A,0)-1,O154)</f>
        <v>11.4</v>
      </c>
      <c r="Q154" s="322" t="s">
        <v>29</v>
      </c>
      <c r="R154" s="323">
        <f t="shared" ca="1" si="39"/>
        <v>250087</v>
      </c>
      <c r="S154" s="323">
        <f t="shared" ca="1" si="39"/>
        <v>2850991</v>
      </c>
      <c r="T154" s="323">
        <f ca="1">보조원</f>
        <v>250087</v>
      </c>
      <c r="U154" s="323">
        <f t="shared" ca="1" si="40"/>
        <v>2850991</v>
      </c>
      <c r="V154" s="323"/>
      <c r="W154" s="323"/>
      <c r="X154" s="323"/>
      <c r="Y154" s="323"/>
      <c r="Z154" s="324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39" t="s">
        <v>17</v>
      </c>
      <c r="O155" s="68"/>
      <c r="P155" s="69"/>
      <c r="Q155" s="70"/>
      <c r="R155" s="71"/>
      <c r="S155" s="71">
        <f ca="1">SUBTOTAL(9,S149:S154)</f>
        <v>10897364</v>
      </c>
      <c r="T155" s="71"/>
      <c r="U155" s="71">
        <f ca="1">SUBTOTAL(9,U149:U154)</f>
        <v>10897364</v>
      </c>
      <c r="V155" s="71"/>
      <c r="W155" s="71"/>
      <c r="X155" s="71"/>
      <c r="Y155" s="71"/>
      <c r="Z155" s="68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318" t="str">
        <f ca="1">"제 " &amp; Z156 &amp; " 호표  "&amp; OFFSET($A$1,MATCH(Z156,$A:$A,0)-1,1)</f>
        <v>제 13 호표  4-2. 간선도로망계획</v>
      </c>
      <c r="O156" s="221"/>
      <c r="P156" s="148"/>
      <c r="Q156" s="148"/>
      <c r="R156" s="149"/>
      <c r="S156" s="149"/>
      <c r="T156" s="149"/>
      <c r="U156" s="149"/>
      <c r="V156" s="149"/>
      <c r="W156" s="149"/>
      <c r="X156" s="149"/>
      <c r="Y156" s="149"/>
      <c r="Z156" s="325">
        <f>Z148+1</f>
        <v>13</v>
      </c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40" t="s">
        <v>43</v>
      </c>
      <c r="O157" s="172">
        <v>3</v>
      </c>
      <c r="P157" s="219">
        <f ca="1">OFFSET($A$1,MATCH(Z156,$A:$A,0)-1,O157)</f>
        <v>0.8</v>
      </c>
      <c r="Q157" s="141" t="s">
        <v>29</v>
      </c>
      <c r="R157" s="142">
        <f t="shared" ref="R157:S162" ca="1" si="41">T157</f>
        <v>467217</v>
      </c>
      <c r="S157" s="142">
        <f t="shared" ca="1" si="41"/>
        <v>373773</v>
      </c>
      <c r="T157" s="142">
        <f ca="1">기술사</f>
        <v>467217</v>
      </c>
      <c r="U157" s="142">
        <f t="shared" ref="U157:U162" ca="1" si="42">ROUNDDOWN(P157*R157,0)</f>
        <v>373773</v>
      </c>
      <c r="V157" s="142"/>
      <c r="W157" s="142"/>
      <c r="X157" s="142"/>
      <c r="Y157" s="142"/>
      <c r="Z157" s="114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143" t="s">
        <v>32</v>
      </c>
      <c r="O158" s="173">
        <v>4</v>
      </c>
      <c r="P158" s="234">
        <f ca="1">OFFSET($A$1,MATCH(Z156,$A:$A,0)-1,O158)</f>
        <v>1.7</v>
      </c>
      <c r="Q158" s="144" t="s">
        <v>29</v>
      </c>
      <c r="R158" s="118">
        <f t="shared" ca="1" si="41"/>
        <v>373353</v>
      </c>
      <c r="S158" s="118">
        <f t="shared" ca="1" si="41"/>
        <v>634700</v>
      </c>
      <c r="T158" s="118">
        <f ca="1">특급</f>
        <v>373353</v>
      </c>
      <c r="U158" s="118">
        <f t="shared" ca="1" si="42"/>
        <v>634700</v>
      </c>
      <c r="V158" s="118"/>
      <c r="W158" s="118"/>
      <c r="X158" s="118"/>
      <c r="Y158" s="118"/>
      <c r="Z158" s="115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5" t="s">
        <v>39</v>
      </c>
      <c r="O159" s="173">
        <v>5</v>
      </c>
      <c r="P159" s="234">
        <f ca="1">OFFSET($A$1,MATCH(Z156,$A:$A,0)-1,O159)</f>
        <v>3.2</v>
      </c>
      <c r="Q159" s="144" t="s">
        <v>29</v>
      </c>
      <c r="R159" s="118">
        <f t="shared" ca="1" si="41"/>
        <v>310884</v>
      </c>
      <c r="S159" s="118">
        <f t="shared" ca="1" si="41"/>
        <v>994828</v>
      </c>
      <c r="T159" s="118">
        <f ca="1">고급</f>
        <v>310884</v>
      </c>
      <c r="U159" s="118">
        <f t="shared" ca="1" si="42"/>
        <v>994828</v>
      </c>
      <c r="V159" s="118"/>
      <c r="W159" s="118"/>
      <c r="X159" s="118"/>
      <c r="Y159" s="118"/>
      <c r="Z159" s="115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5" t="s">
        <v>40</v>
      </c>
      <c r="O160" s="173">
        <v>6</v>
      </c>
      <c r="P160" s="234">
        <f ca="1">OFFSET($A$1,MATCH(Z156,$A:$A,0)-1,O160)</f>
        <v>5</v>
      </c>
      <c r="Q160" s="144" t="s">
        <v>29</v>
      </c>
      <c r="R160" s="118">
        <f t="shared" ca="1" si="41"/>
        <v>295138</v>
      </c>
      <c r="S160" s="118">
        <f t="shared" ca="1" si="41"/>
        <v>1475690</v>
      </c>
      <c r="T160" s="118">
        <f ca="1">중급</f>
        <v>295138</v>
      </c>
      <c r="U160" s="118">
        <f t="shared" ca="1" si="42"/>
        <v>1475690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41</v>
      </c>
      <c r="O161" s="173">
        <v>7</v>
      </c>
      <c r="P161" s="234">
        <f ca="1">OFFSET($A$1,MATCH(Z156,$A:$A,0)-1,O161)</f>
        <v>9</v>
      </c>
      <c r="Q161" s="144" t="s">
        <v>29</v>
      </c>
      <c r="R161" s="118">
        <f t="shared" ca="1" si="41"/>
        <v>235459</v>
      </c>
      <c r="S161" s="118">
        <f t="shared" ca="1" si="41"/>
        <v>2119131</v>
      </c>
      <c r="T161" s="118">
        <f ca="1">초급</f>
        <v>235459</v>
      </c>
      <c r="U161" s="118">
        <f t="shared" ca="1" si="42"/>
        <v>2119131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319" t="s">
        <v>42</v>
      </c>
      <c r="O162" s="174">
        <v>8</v>
      </c>
      <c r="P162" s="235">
        <f ca="1">OFFSET($A$1,MATCH(Z156,$A:$A,0)-1,O162)</f>
        <v>12.8</v>
      </c>
      <c r="Q162" s="322" t="s">
        <v>29</v>
      </c>
      <c r="R162" s="323">
        <f t="shared" ca="1" si="41"/>
        <v>250087</v>
      </c>
      <c r="S162" s="323">
        <f t="shared" ca="1" si="41"/>
        <v>3201113</v>
      </c>
      <c r="T162" s="323">
        <f ca="1">보조원</f>
        <v>250087</v>
      </c>
      <c r="U162" s="323">
        <f t="shared" ca="1" si="42"/>
        <v>3201113</v>
      </c>
      <c r="V162" s="323"/>
      <c r="W162" s="323"/>
      <c r="X162" s="323"/>
      <c r="Y162" s="323"/>
      <c r="Z162" s="324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39" t="s">
        <v>17</v>
      </c>
      <c r="O163" s="68"/>
      <c r="P163" s="69"/>
      <c r="Q163" s="70"/>
      <c r="R163" s="71"/>
      <c r="S163" s="71">
        <f ca="1">SUBTOTAL(9,S157:S162)</f>
        <v>8799235</v>
      </c>
      <c r="T163" s="71"/>
      <c r="U163" s="71">
        <f ca="1">SUBTOTAL(9,U157:U162)</f>
        <v>8799235</v>
      </c>
      <c r="V163" s="71"/>
      <c r="W163" s="71"/>
      <c r="X163" s="71"/>
      <c r="Y163" s="71"/>
      <c r="Z163" s="68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318" t="str">
        <f ca="1">"제 " &amp; Z164 &amp; " 호표  "&amp; OFFSET($A$1,MATCH(Z164,$A:$A,0)-1,1)</f>
        <v>제 14 호표  4-3. 보조간선도로망계획</v>
      </c>
      <c r="O164" s="221"/>
      <c r="P164" s="148"/>
      <c r="Q164" s="148"/>
      <c r="R164" s="149"/>
      <c r="S164" s="149"/>
      <c r="T164" s="149"/>
      <c r="U164" s="149"/>
      <c r="V164" s="149"/>
      <c r="W164" s="149"/>
      <c r="X164" s="149"/>
      <c r="Y164" s="149"/>
      <c r="Z164" s="325">
        <f>Z156+1</f>
        <v>14</v>
      </c>
    </row>
    <row r="165" spans="11:29" ht="18" customHeight="1">
      <c r="K165" s="171" t="s">
        <v>14</v>
      </c>
      <c r="L165" s="171"/>
      <c r="M165" s="171"/>
      <c r="N165" s="140" t="s">
        <v>43</v>
      </c>
      <c r="O165" s="172">
        <v>3</v>
      </c>
      <c r="P165" s="219">
        <f ca="1">OFFSET($A$1,MATCH(Z164,$A:$A,0)-1,O165)</f>
        <v>0.7</v>
      </c>
      <c r="Q165" s="141" t="s">
        <v>29</v>
      </c>
      <c r="R165" s="142">
        <f t="shared" ref="R165:S170" ca="1" si="43">T165</f>
        <v>467217</v>
      </c>
      <c r="S165" s="142">
        <f t="shared" ca="1" si="43"/>
        <v>327051</v>
      </c>
      <c r="T165" s="142">
        <f ca="1">기술사</f>
        <v>467217</v>
      </c>
      <c r="U165" s="142">
        <f t="shared" ref="U165:U170" ca="1" si="44">ROUNDDOWN(P165*R165,0)</f>
        <v>327051</v>
      </c>
      <c r="V165" s="142"/>
      <c r="W165" s="142"/>
      <c r="X165" s="142"/>
      <c r="Y165" s="142"/>
      <c r="Z165" s="114"/>
    </row>
    <row r="166" spans="11:29" ht="18" customHeight="1">
      <c r="K166" s="171" t="s">
        <v>14</v>
      </c>
      <c r="L166" s="171"/>
      <c r="M166" s="171"/>
      <c r="N166" s="143" t="s">
        <v>32</v>
      </c>
      <c r="O166" s="173">
        <v>4</v>
      </c>
      <c r="P166" s="234">
        <f ca="1">OFFSET($A$1,MATCH(Z164,$A:$A,0)-1,O166)</f>
        <v>1.5</v>
      </c>
      <c r="Q166" s="144" t="s">
        <v>29</v>
      </c>
      <c r="R166" s="118">
        <f t="shared" ca="1" si="43"/>
        <v>373353</v>
      </c>
      <c r="S166" s="118">
        <f t="shared" ca="1" si="43"/>
        <v>560029</v>
      </c>
      <c r="T166" s="118">
        <f ca="1">특급</f>
        <v>373353</v>
      </c>
      <c r="U166" s="118">
        <f t="shared" ca="1" si="44"/>
        <v>560029</v>
      </c>
      <c r="V166" s="118"/>
      <c r="W166" s="118"/>
      <c r="X166" s="118"/>
      <c r="Y166" s="118"/>
      <c r="Z166" s="115"/>
    </row>
    <row r="167" spans="11:29" ht="18" customHeight="1">
      <c r="K167" s="171" t="s">
        <v>14</v>
      </c>
      <c r="L167" s="171"/>
      <c r="M167" s="171"/>
      <c r="N167" s="145" t="s">
        <v>39</v>
      </c>
      <c r="O167" s="173">
        <v>5</v>
      </c>
      <c r="P167" s="234">
        <f ca="1">OFFSET($A$1,MATCH(Z164,$A:$A,0)-1,O167)</f>
        <v>2.7</v>
      </c>
      <c r="Q167" s="144" t="s">
        <v>29</v>
      </c>
      <c r="R167" s="118">
        <f t="shared" ca="1" si="43"/>
        <v>310884</v>
      </c>
      <c r="S167" s="118">
        <f t="shared" ca="1" si="43"/>
        <v>839386</v>
      </c>
      <c r="T167" s="118">
        <f ca="1">고급</f>
        <v>310884</v>
      </c>
      <c r="U167" s="118">
        <f t="shared" ca="1" si="44"/>
        <v>839386</v>
      </c>
      <c r="V167" s="118"/>
      <c r="W167" s="118"/>
      <c r="X167" s="118"/>
      <c r="Y167" s="118"/>
      <c r="Z167" s="115"/>
    </row>
    <row r="168" spans="11:29" ht="18" customHeight="1">
      <c r="K168" s="171" t="s">
        <v>14</v>
      </c>
      <c r="L168" s="171"/>
      <c r="M168" s="171"/>
      <c r="N168" s="145" t="s">
        <v>40</v>
      </c>
      <c r="O168" s="173">
        <v>6</v>
      </c>
      <c r="P168" s="234">
        <f ca="1">OFFSET($A$1,MATCH(Z164,$A:$A,0)-1,O168)</f>
        <v>5</v>
      </c>
      <c r="Q168" s="144" t="s">
        <v>29</v>
      </c>
      <c r="R168" s="118">
        <f t="shared" ca="1" si="43"/>
        <v>295138</v>
      </c>
      <c r="S168" s="118">
        <f t="shared" ca="1" si="43"/>
        <v>1475690</v>
      </c>
      <c r="T168" s="118">
        <f ca="1">중급</f>
        <v>295138</v>
      </c>
      <c r="U168" s="118">
        <f t="shared" ca="1" si="44"/>
        <v>1475690</v>
      </c>
      <c r="V168" s="118"/>
      <c r="W168" s="118"/>
      <c r="X168" s="118"/>
      <c r="Y168" s="118"/>
      <c r="Z168" s="115"/>
    </row>
    <row r="169" spans="11:29" ht="18" customHeight="1">
      <c r="K169" s="171" t="s">
        <v>14</v>
      </c>
      <c r="L169" s="171"/>
      <c r="M169" s="171"/>
      <c r="N169" s="145" t="s">
        <v>41</v>
      </c>
      <c r="O169" s="173">
        <v>7</v>
      </c>
      <c r="P169" s="234">
        <f ca="1">OFFSET($A$1,MATCH(Z164,$A:$A,0)-1,O169)</f>
        <v>9</v>
      </c>
      <c r="Q169" s="144" t="s">
        <v>29</v>
      </c>
      <c r="R169" s="118">
        <f t="shared" ca="1" si="43"/>
        <v>235459</v>
      </c>
      <c r="S169" s="118">
        <f t="shared" ca="1" si="43"/>
        <v>2119131</v>
      </c>
      <c r="T169" s="118">
        <f ca="1">초급</f>
        <v>235459</v>
      </c>
      <c r="U169" s="118">
        <f t="shared" ca="1" si="44"/>
        <v>2119131</v>
      </c>
      <c r="V169" s="118"/>
      <c r="W169" s="118"/>
      <c r="X169" s="118"/>
      <c r="Y169" s="118"/>
      <c r="Z169" s="115"/>
    </row>
    <row r="170" spans="11:29" ht="18" customHeight="1">
      <c r="K170" s="171" t="s">
        <v>14</v>
      </c>
      <c r="L170" s="171"/>
      <c r="M170" s="171"/>
      <c r="N170" s="319" t="s">
        <v>42</v>
      </c>
      <c r="O170" s="174">
        <v>8</v>
      </c>
      <c r="P170" s="235">
        <f ca="1">OFFSET($A$1,MATCH(Z164,$A:$A,0)-1,O170)</f>
        <v>12.8</v>
      </c>
      <c r="Q170" s="322" t="s">
        <v>29</v>
      </c>
      <c r="R170" s="323">
        <f t="shared" ca="1" si="43"/>
        <v>250087</v>
      </c>
      <c r="S170" s="323">
        <f t="shared" ca="1" si="43"/>
        <v>3201113</v>
      </c>
      <c r="T170" s="323">
        <f ca="1">보조원</f>
        <v>250087</v>
      </c>
      <c r="U170" s="323">
        <f t="shared" ca="1" si="44"/>
        <v>3201113</v>
      </c>
      <c r="V170" s="323"/>
      <c r="W170" s="323"/>
      <c r="X170" s="323"/>
      <c r="Y170" s="323"/>
      <c r="Z170" s="324"/>
    </row>
    <row r="171" spans="11:29" ht="18" customHeight="1">
      <c r="K171" s="171" t="s">
        <v>14</v>
      </c>
      <c r="L171" s="171"/>
      <c r="M171" s="171"/>
      <c r="N171" s="139" t="s">
        <v>17</v>
      </c>
      <c r="O171" s="68"/>
      <c r="P171" s="69"/>
      <c r="Q171" s="70"/>
      <c r="R171" s="71"/>
      <c r="S171" s="71">
        <f ca="1">SUBTOTAL(9,S165:S170)</f>
        <v>8522400</v>
      </c>
      <c r="T171" s="71"/>
      <c r="U171" s="71">
        <f ca="1">SUBTOTAL(9,U165:U170)</f>
        <v>8522400</v>
      </c>
      <c r="V171" s="71"/>
      <c r="W171" s="71"/>
      <c r="X171" s="71"/>
      <c r="Y171" s="71"/>
      <c r="Z171" s="68"/>
    </row>
    <row r="172" spans="11:29" ht="18" customHeight="1">
      <c r="K172" s="171" t="s">
        <v>14</v>
      </c>
      <c r="L172" s="171"/>
      <c r="M172" s="171"/>
      <c r="N172" s="318" t="str">
        <f ca="1">"제 " &amp; Z172 &amp; " 호표  "&amp; OFFSET($A$1,MATCH(Z172,$A:$A,0)-1,1)</f>
        <v>제 15 호표  4-4. 기능별 가로망계획</v>
      </c>
      <c r="O172" s="221"/>
      <c r="P172" s="148"/>
      <c r="Q172" s="148"/>
      <c r="R172" s="149"/>
      <c r="S172" s="149"/>
      <c r="T172" s="149"/>
      <c r="U172" s="149"/>
      <c r="V172" s="149"/>
      <c r="W172" s="149"/>
      <c r="X172" s="149"/>
      <c r="Y172" s="149"/>
      <c r="Z172" s="325">
        <f>Z164+1</f>
        <v>15</v>
      </c>
    </row>
    <row r="173" spans="11:29" ht="18" customHeight="1">
      <c r="K173" s="171" t="s">
        <v>14</v>
      </c>
      <c r="L173" s="171"/>
      <c r="M173" s="171"/>
      <c r="N173" s="140" t="s">
        <v>43</v>
      </c>
      <c r="O173" s="172">
        <v>3</v>
      </c>
      <c r="P173" s="219">
        <f ca="1">OFFSET($A$1,MATCH(Z172,$A:$A,0)-1,O173)</f>
        <v>1.1000000000000001</v>
      </c>
      <c r="Q173" s="141" t="s">
        <v>29</v>
      </c>
      <c r="R173" s="142">
        <f t="shared" ref="R173:S178" ca="1" si="45">T173</f>
        <v>467217</v>
      </c>
      <c r="S173" s="142">
        <f t="shared" ca="1" si="45"/>
        <v>513938</v>
      </c>
      <c r="T173" s="142">
        <f ca="1">기술사</f>
        <v>467217</v>
      </c>
      <c r="U173" s="142">
        <f t="shared" ref="U173:U178" ca="1" si="46">ROUNDDOWN(P173*R173,0)</f>
        <v>513938</v>
      </c>
      <c r="V173" s="142"/>
      <c r="W173" s="142"/>
      <c r="X173" s="142"/>
      <c r="Y173" s="142"/>
      <c r="Z173" s="114"/>
    </row>
    <row r="174" spans="11:29" ht="18" customHeight="1">
      <c r="K174" s="171" t="s">
        <v>14</v>
      </c>
      <c r="L174" s="171"/>
      <c r="M174" s="171"/>
      <c r="N174" s="143" t="s">
        <v>32</v>
      </c>
      <c r="O174" s="173">
        <v>4</v>
      </c>
      <c r="P174" s="234">
        <f ca="1">OFFSET($A$1,MATCH(Z172,$A:$A,0)-1,O174)</f>
        <v>2.2999999999999998</v>
      </c>
      <c r="Q174" s="144" t="s">
        <v>29</v>
      </c>
      <c r="R174" s="118">
        <f t="shared" ca="1" si="45"/>
        <v>373353</v>
      </c>
      <c r="S174" s="118">
        <f t="shared" ca="1" si="45"/>
        <v>858711</v>
      </c>
      <c r="T174" s="118">
        <f ca="1">특급</f>
        <v>373353</v>
      </c>
      <c r="U174" s="118">
        <f t="shared" ca="1" si="46"/>
        <v>858711</v>
      </c>
      <c r="V174" s="118"/>
      <c r="W174" s="118"/>
      <c r="X174" s="118"/>
      <c r="Y174" s="118"/>
      <c r="Z174" s="115"/>
    </row>
    <row r="175" spans="11:29" ht="18" customHeight="1">
      <c r="K175" s="171" t="s">
        <v>14</v>
      </c>
      <c r="L175" s="171"/>
      <c r="M175" s="171"/>
      <c r="N175" s="145" t="s">
        <v>39</v>
      </c>
      <c r="O175" s="173">
        <v>5</v>
      </c>
      <c r="P175" s="234">
        <f ca="1">OFFSET($A$1,MATCH(Z172,$A:$A,0)-1,O175)</f>
        <v>4.2</v>
      </c>
      <c r="Q175" s="144" t="s">
        <v>29</v>
      </c>
      <c r="R175" s="118">
        <f t="shared" ca="1" si="45"/>
        <v>310884</v>
      </c>
      <c r="S175" s="118">
        <f t="shared" ca="1" si="45"/>
        <v>1305712</v>
      </c>
      <c r="T175" s="118">
        <f ca="1">고급</f>
        <v>310884</v>
      </c>
      <c r="U175" s="118">
        <f t="shared" ca="1" si="46"/>
        <v>1305712</v>
      </c>
      <c r="V175" s="118"/>
      <c r="W175" s="118"/>
      <c r="X175" s="118"/>
      <c r="Y175" s="118"/>
      <c r="Z175" s="115"/>
    </row>
    <row r="176" spans="11:29" ht="18" customHeight="1">
      <c r="K176" s="171" t="s">
        <v>14</v>
      </c>
      <c r="L176" s="171"/>
      <c r="M176" s="171"/>
      <c r="N176" s="145" t="s">
        <v>40</v>
      </c>
      <c r="O176" s="173">
        <v>6</v>
      </c>
      <c r="P176" s="234">
        <f ca="1">OFFSET($A$1,MATCH(Z172,$A:$A,0)-1,O176)</f>
        <v>6.2</v>
      </c>
      <c r="Q176" s="144" t="s">
        <v>29</v>
      </c>
      <c r="R176" s="118">
        <f t="shared" ca="1" si="45"/>
        <v>295138</v>
      </c>
      <c r="S176" s="118">
        <f t="shared" ca="1" si="45"/>
        <v>1829855</v>
      </c>
      <c r="T176" s="118">
        <f ca="1">중급</f>
        <v>295138</v>
      </c>
      <c r="U176" s="118">
        <f t="shared" ca="1" si="46"/>
        <v>1829855</v>
      </c>
      <c r="V176" s="118"/>
      <c r="W176" s="118"/>
      <c r="X176" s="118"/>
      <c r="Y176" s="118"/>
      <c r="Z176" s="115"/>
    </row>
    <row r="177" spans="11:26" ht="18" customHeight="1">
      <c r="K177" s="171" t="s">
        <v>14</v>
      </c>
      <c r="L177" s="171"/>
      <c r="M177" s="171"/>
      <c r="N177" s="145" t="s">
        <v>41</v>
      </c>
      <c r="O177" s="173">
        <v>7</v>
      </c>
      <c r="P177" s="234">
        <f ca="1">OFFSET($A$1,MATCH(Z172,$A:$A,0)-1,O177)</f>
        <v>11.2</v>
      </c>
      <c r="Q177" s="144" t="s">
        <v>29</v>
      </c>
      <c r="R177" s="118">
        <f t="shared" ca="1" si="45"/>
        <v>235459</v>
      </c>
      <c r="S177" s="118">
        <f t="shared" ca="1" si="45"/>
        <v>2637140</v>
      </c>
      <c r="T177" s="118">
        <f ca="1">초급</f>
        <v>235459</v>
      </c>
      <c r="U177" s="118">
        <f t="shared" ca="1" si="46"/>
        <v>2637140</v>
      </c>
      <c r="V177" s="118"/>
      <c r="W177" s="118"/>
      <c r="X177" s="118"/>
      <c r="Y177" s="118"/>
      <c r="Z177" s="115"/>
    </row>
    <row r="178" spans="11:26" ht="18" customHeight="1">
      <c r="K178" s="171" t="s">
        <v>14</v>
      </c>
      <c r="L178" s="171"/>
      <c r="M178" s="171"/>
      <c r="N178" s="319" t="s">
        <v>42</v>
      </c>
      <c r="O178" s="174">
        <v>8</v>
      </c>
      <c r="P178" s="235">
        <f ca="1">OFFSET($A$1,MATCH(Z172,$A:$A,0)-1,O178)</f>
        <v>8.5</v>
      </c>
      <c r="Q178" s="322" t="s">
        <v>29</v>
      </c>
      <c r="R178" s="323">
        <f t="shared" ca="1" si="45"/>
        <v>250087</v>
      </c>
      <c r="S178" s="323">
        <f t="shared" ca="1" si="45"/>
        <v>2125739</v>
      </c>
      <c r="T178" s="323">
        <f ca="1">보조원</f>
        <v>250087</v>
      </c>
      <c r="U178" s="323">
        <f t="shared" ca="1" si="46"/>
        <v>2125739</v>
      </c>
      <c r="V178" s="323"/>
      <c r="W178" s="323"/>
      <c r="X178" s="323"/>
      <c r="Y178" s="323"/>
      <c r="Z178" s="324"/>
    </row>
    <row r="179" spans="11:26" ht="18" customHeight="1">
      <c r="K179" s="171" t="s">
        <v>14</v>
      </c>
      <c r="L179" s="171"/>
      <c r="M179" s="171"/>
      <c r="N179" s="139" t="s">
        <v>17</v>
      </c>
      <c r="O179" s="68"/>
      <c r="P179" s="69"/>
      <c r="Q179" s="70"/>
      <c r="R179" s="71"/>
      <c r="S179" s="71">
        <f ca="1">SUBTOTAL(9,S173:S178)</f>
        <v>9271095</v>
      </c>
      <c r="T179" s="71"/>
      <c r="U179" s="71">
        <f ca="1">SUBTOTAL(9,U173:U178)</f>
        <v>9271095</v>
      </c>
      <c r="V179" s="71"/>
      <c r="W179" s="71"/>
      <c r="X179" s="71"/>
      <c r="Y179" s="71"/>
      <c r="Z179" s="68"/>
    </row>
    <row r="180" spans="11:26" ht="18" customHeight="1">
      <c r="K180" s="171" t="s">
        <v>14</v>
      </c>
      <c r="L180" s="171"/>
      <c r="M180" s="171"/>
      <c r="N180" s="318" t="str">
        <f ca="1">"제 " &amp; Z180 &amp; " 호표  "&amp; OFFSET($A$1,MATCH(Z180,$A:$A,0)-1,1)</f>
        <v>제 16 호표  4-5. 도로 교차지점계획</v>
      </c>
      <c r="O180" s="221"/>
      <c r="P180" s="148"/>
      <c r="Q180" s="148"/>
      <c r="R180" s="149"/>
      <c r="S180" s="149"/>
      <c r="T180" s="149"/>
      <c r="U180" s="149"/>
      <c r="V180" s="149"/>
      <c r="W180" s="149"/>
      <c r="X180" s="149"/>
      <c r="Y180" s="149"/>
      <c r="Z180" s="325">
        <f>Z172+1</f>
        <v>16</v>
      </c>
    </row>
    <row r="181" spans="11:26" ht="18" customHeight="1">
      <c r="K181" s="171" t="s">
        <v>14</v>
      </c>
      <c r="L181" s="171"/>
      <c r="M181" s="171"/>
      <c r="N181" s="140" t="s">
        <v>43</v>
      </c>
      <c r="O181" s="172">
        <v>3</v>
      </c>
      <c r="P181" s="219">
        <f ca="1">OFFSET($A$1,MATCH(Z180,$A:$A,0)-1,O181)</f>
        <v>1.3</v>
      </c>
      <c r="Q181" s="141" t="s">
        <v>29</v>
      </c>
      <c r="R181" s="142">
        <f t="shared" ref="R181:S186" ca="1" si="47">T181</f>
        <v>467217</v>
      </c>
      <c r="S181" s="142">
        <f t="shared" ca="1" si="47"/>
        <v>607382</v>
      </c>
      <c r="T181" s="142">
        <f ca="1">기술사</f>
        <v>467217</v>
      </c>
      <c r="U181" s="142">
        <f t="shared" ref="U181:U186" ca="1" si="48">ROUNDDOWN(P181*R181,0)</f>
        <v>607382</v>
      </c>
      <c r="V181" s="142"/>
      <c r="W181" s="142"/>
      <c r="X181" s="142"/>
      <c r="Y181" s="142"/>
      <c r="Z181" s="114"/>
    </row>
    <row r="182" spans="11:26" ht="18" customHeight="1">
      <c r="K182" s="171" t="s">
        <v>14</v>
      </c>
      <c r="L182" s="171"/>
      <c r="M182" s="171"/>
      <c r="N182" s="143" t="s">
        <v>32</v>
      </c>
      <c r="O182" s="173">
        <v>4</v>
      </c>
      <c r="P182" s="234">
        <f ca="1">OFFSET($A$1,MATCH(Z180,$A:$A,0)-1,O182)</f>
        <v>2</v>
      </c>
      <c r="Q182" s="144" t="s">
        <v>29</v>
      </c>
      <c r="R182" s="118">
        <f t="shared" ca="1" si="47"/>
        <v>373353</v>
      </c>
      <c r="S182" s="118">
        <f t="shared" ca="1" si="47"/>
        <v>746706</v>
      </c>
      <c r="T182" s="118">
        <f ca="1">특급</f>
        <v>373353</v>
      </c>
      <c r="U182" s="118">
        <f t="shared" ca="1" si="48"/>
        <v>746706</v>
      </c>
      <c r="V182" s="118"/>
      <c r="W182" s="118"/>
      <c r="X182" s="118"/>
      <c r="Y182" s="118"/>
      <c r="Z182" s="115"/>
    </row>
    <row r="183" spans="11:26" ht="18" customHeight="1">
      <c r="K183" s="171" t="s">
        <v>14</v>
      </c>
      <c r="L183" s="171"/>
      <c r="M183" s="171"/>
      <c r="N183" s="145" t="s">
        <v>39</v>
      </c>
      <c r="O183" s="173">
        <v>5</v>
      </c>
      <c r="P183" s="234">
        <f ca="1">OFFSET($A$1,MATCH(Z180,$A:$A,0)-1,O183)</f>
        <v>3.7</v>
      </c>
      <c r="Q183" s="144" t="s">
        <v>29</v>
      </c>
      <c r="R183" s="118">
        <f t="shared" ca="1" si="47"/>
        <v>310884</v>
      </c>
      <c r="S183" s="118">
        <f t="shared" ca="1" si="47"/>
        <v>1150270</v>
      </c>
      <c r="T183" s="118">
        <f ca="1">고급</f>
        <v>310884</v>
      </c>
      <c r="U183" s="118">
        <f t="shared" ca="1" si="48"/>
        <v>1150270</v>
      </c>
      <c r="V183" s="118"/>
      <c r="W183" s="118"/>
      <c r="X183" s="118"/>
      <c r="Y183" s="118"/>
      <c r="Z183" s="115"/>
    </row>
    <row r="184" spans="11:26" ht="18" customHeight="1">
      <c r="K184" s="171" t="s">
        <v>14</v>
      </c>
      <c r="L184" s="171"/>
      <c r="M184" s="171"/>
      <c r="N184" s="145" t="s">
        <v>40</v>
      </c>
      <c r="O184" s="173">
        <v>6</v>
      </c>
      <c r="P184" s="234">
        <f ca="1">OFFSET($A$1,MATCH(Z180,$A:$A,0)-1,O184)</f>
        <v>6.2</v>
      </c>
      <c r="Q184" s="144" t="s">
        <v>29</v>
      </c>
      <c r="R184" s="118">
        <f t="shared" ca="1" si="47"/>
        <v>295138</v>
      </c>
      <c r="S184" s="118">
        <f t="shared" ca="1" si="47"/>
        <v>1829855</v>
      </c>
      <c r="T184" s="118">
        <f ca="1">중급</f>
        <v>295138</v>
      </c>
      <c r="U184" s="118">
        <f t="shared" ca="1" si="48"/>
        <v>1829855</v>
      </c>
      <c r="V184" s="118"/>
      <c r="W184" s="118"/>
      <c r="X184" s="118"/>
      <c r="Y184" s="118"/>
      <c r="Z184" s="115"/>
    </row>
    <row r="185" spans="11:26" ht="18" customHeight="1">
      <c r="K185" s="171" t="s">
        <v>14</v>
      </c>
      <c r="L185" s="171"/>
      <c r="M185" s="171"/>
      <c r="N185" s="145" t="s">
        <v>41</v>
      </c>
      <c r="O185" s="173">
        <v>7</v>
      </c>
      <c r="P185" s="234">
        <f ca="1">OFFSET($A$1,MATCH(Z180,$A:$A,0)-1,O185)</f>
        <v>11.2</v>
      </c>
      <c r="Q185" s="144" t="s">
        <v>29</v>
      </c>
      <c r="R185" s="118">
        <f t="shared" ca="1" si="47"/>
        <v>235459</v>
      </c>
      <c r="S185" s="118">
        <f t="shared" ca="1" si="47"/>
        <v>2637140</v>
      </c>
      <c r="T185" s="118">
        <f ca="1">초급</f>
        <v>235459</v>
      </c>
      <c r="U185" s="118">
        <f t="shared" ca="1" si="48"/>
        <v>2637140</v>
      </c>
      <c r="V185" s="118"/>
      <c r="W185" s="118"/>
      <c r="X185" s="118"/>
      <c r="Y185" s="118"/>
      <c r="Z185" s="115"/>
    </row>
    <row r="186" spans="11:26" ht="18" customHeight="1">
      <c r="K186" s="171" t="s">
        <v>14</v>
      </c>
      <c r="L186" s="171"/>
      <c r="M186" s="171"/>
      <c r="N186" s="319" t="s">
        <v>42</v>
      </c>
      <c r="O186" s="174">
        <v>8</v>
      </c>
      <c r="P186" s="235">
        <f ca="1">OFFSET($A$1,MATCH(Z180,$A:$A,0)-1,O186)</f>
        <v>12.8</v>
      </c>
      <c r="Q186" s="322" t="s">
        <v>29</v>
      </c>
      <c r="R186" s="323">
        <f t="shared" ca="1" si="47"/>
        <v>250087</v>
      </c>
      <c r="S186" s="323">
        <f t="shared" ca="1" si="47"/>
        <v>3201113</v>
      </c>
      <c r="T186" s="323">
        <f ca="1">보조원</f>
        <v>250087</v>
      </c>
      <c r="U186" s="323">
        <f t="shared" ca="1" si="48"/>
        <v>3201113</v>
      </c>
      <c r="V186" s="323"/>
      <c r="W186" s="323"/>
      <c r="X186" s="323"/>
      <c r="Y186" s="323"/>
      <c r="Z186" s="324"/>
    </row>
    <row r="187" spans="11:26" ht="18" customHeight="1">
      <c r="K187" s="171" t="s">
        <v>14</v>
      </c>
      <c r="L187" s="171"/>
      <c r="M187" s="171"/>
      <c r="N187" s="139" t="s">
        <v>17</v>
      </c>
      <c r="O187" s="68"/>
      <c r="P187" s="69"/>
      <c r="Q187" s="70"/>
      <c r="R187" s="71"/>
      <c r="S187" s="71">
        <f ca="1">SUBTOTAL(9,S181:S186)</f>
        <v>10172466</v>
      </c>
      <c r="T187" s="71"/>
      <c r="U187" s="71">
        <f ca="1">SUBTOTAL(9,U181:U186)</f>
        <v>10172466</v>
      </c>
      <c r="V187" s="71"/>
      <c r="W187" s="71"/>
      <c r="X187" s="71"/>
      <c r="Y187" s="71"/>
      <c r="Z187" s="68"/>
    </row>
    <row r="188" spans="11:26" ht="18" customHeight="1">
      <c r="K188" s="171" t="s">
        <v>14</v>
      </c>
      <c r="L188" s="171"/>
      <c r="M188" s="171"/>
      <c r="N188" s="318" t="str">
        <f ca="1">"제 " &amp; Z188 &amp; " 호표  "&amp; OFFSET($A$1,MATCH(Z188,$A:$A,0)-1,1)</f>
        <v>제 17 호표  4-6. 기타 교통시설계획</v>
      </c>
      <c r="O188" s="221"/>
      <c r="P188" s="148"/>
      <c r="Q188" s="148"/>
      <c r="R188" s="149"/>
      <c r="S188" s="149"/>
      <c r="T188" s="149"/>
      <c r="U188" s="149"/>
      <c r="V188" s="149"/>
      <c r="W188" s="149"/>
      <c r="X188" s="149"/>
      <c r="Y188" s="149"/>
      <c r="Z188" s="325">
        <f>Z180+1</f>
        <v>17</v>
      </c>
    </row>
    <row r="189" spans="11:26" ht="18" customHeight="1">
      <c r="K189" s="171" t="s">
        <v>14</v>
      </c>
      <c r="L189" s="171"/>
      <c r="M189" s="171"/>
      <c r="N189" s="140" t="s">
        <v>43</v>
      </c>
      <c r="O189" s="172">
        <v>3</v>
      </c>
      <c r="P189" s="219">
        <f ca="1">OFFSET($A$1,MATCH(Z188,$A:$A,0)-1,O189)</f>
        <v>1.1000000000000001</v>
      </c>
      <c r="Q189" s="141" t="s">
        <v>29</v>
      </c>
      <c r="R189" s="142">
        <f t="shared" ref="R189:S194" ca="1" si="49">T189</f>
        <v>467217</v>
      </c>
      <c r="S189" s="142">
        <f t="shared" ca="1" si="49"/>
        <v>513938</v>
      </c>
      <c r="T189" s="142">
        <f ca="1">기술사</f>
        <v>467217</v>
      </c>
      <c r="U189" s="142">
        <f t="shared" ref="U189:U194" ca="1" si="50">ROUNDDOWN(P189*R189,0)</f>
        <v>513938</v>
      </c>
      <c r="V189" s="142"/>
      <c r="W189" s="142"/>
      <c r="X189" s="142"/>
      <c r="Y189" s="142"/>
      <c r="Z189" s="114"/>
    </row>
    <row r="190" spans="11:26" ht="18" customHeight="1">
      <c r="K190" s="171" t="s">
        <v>14</v>
      </c>
      <c r="L190" s="171"/>
      <c r="M190" s="171"/>
      <c r="N190" s="143" t="s">
        <v>32</v>
      </c>
      <c r="O190" s="173">
        <v>4</v>
      </c>
      <c r="P190" s="234">
        <f ca="1">OFFSET($A$1,MATCH(Z188,$A:$A,0)-1,O190)</f>
        <v>2.2000000000000002</v>
      </c>
      <c r="Q190" s="144" t="s">
        <v>29</v>
      </c>
      <c r="R190" s="118">
        <f t="shared" ca="1" si="49"/>
        <v>373353</v>
      </c>
      <c r="S190" s="118">
        <f t="shared" ca="1" si="49"/>
        <v>821376</v>
      </c>
      <c r="T190" s="118">
        <f ca="1">특급</f>
        <v>373353</v>
      </c>
      <c r="U190" s="118">
        <f t="shared" ca="1" si="50"/>
        <v>821376</v>
      </c>
      <c r="V190" s="118"/>
      <c r="W190" s="118"/>
      <c r="X190" s="118"/>
      <c r="Y190" s="118"/>
      <c r="Z190" s="115"/>
    </row>
    <row r="191" spans="11:26" ht="18" customHeight="1">
      <c r="K191" s="171" t="s">
        <v>14</v>
      </c>
      <c r="L191" s="171"/>
      <c r="M191" s="171"/>
      <c r="N191" s="145" t="s">
        <v>39</v>
      </c>
      <c r="O191" s="173">
        <v>5</v>
      </c>
      <c r="P191" s="234">
        <f ca="1">OFFSET($A$1,MATCH(Z188,$A:$A,0)-1,O191)</f>
        <v>4.0999999999999996</v>
      </c>
      <c r="Q191" s="144" t="s">
        <v>29</v>
      </c>
      <c r="R191" s="118">
        <f t="shared" ca="1" si="49"/>
        <v>310884</v>
      </c>
      <c r="S191" s="118">
        <f t="shared" ca="1" si="49"/>
        <v>1274624</v>
      </c>
      <c r="T191" s="118">
        <f ca="1">고급</f>
        <v>310884</v>
      </c>
      <c r="U191" s="118">
        <f t="shared" ca="1" si="50"/>
        <v>1274624</v>
      </c>
      <c r="V191" s="118"/>
      <c r="W191" s="118"/>
      <c r="X191" s="118"/>
      <c r="Y191" s="118"/>
      <c r="Z191" s="115"/>
    </row>
    <row r="192" spans="11:26" ht="18" customHeight="1">
      <c r="K192" s="171" t="s">
        <v>14</v>
      </c>
      <c r="L192" s="171"/>
      <c r="M192" s="171"/>
      <c r="N192" s="145" t="s">
        <v>40</v>
      </c>
      <c r="O192" s="173">
        <v>6</v>
      </c>
      <c r="P192" s="234">
        <f ca="1">OFFSET($A$1,MATCH(Z188,$A:$A,0)-1,O192)</f>
        <v>6.1</v>
      </c>
      <c r="Q192" s="144" t="s">
        <v>29</v>
      </c>
      <c r="R192" s="118">
        <f t="shared" ca="1" si="49"/>
        <v>295138</v>
      </c>
      <c r="S192" s="118">
        <f t="shared" ca="1" si="49"/>
        <v>1800341</v>
      </c>
      <c r="T192" s="118">
        <f ca="1">중급</f>
        <v>295138</v>
      </c>
      <c r="U192" s="118">
        <f t="shared" ca="1" si="50"/>
        <v>1800341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41</v>
      </c>
      <c r="O193" s="173">
        <v>7</v>
      </c>
      <c r="P193" s="234">
        <f ca="1">OFFSET($A$1,MATCH(Z188,$A:$A,0)-1,O193)</f>
        <v>11.1</v>
      </c>
      <c r="Q193" s="144" t="s">
        <v>29</v>
      </c>
      <c r="R193" s="118">
        <f t="shared" ca="1" si="49"/>
        <v>235459</v>
      </c>
      <c r="S193" s="118">
        <f t="shared" ca="1" si="49"/>
        <v>2613594</v>
      </c>
      <c r="T193" s="118">
        <f ca="1">초급</f>
        <v>235459</v>
      </c>
      <c r="U193" s="118">
        <f t="shared" ca="1" si="50"/>
        <v>2613594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319" t="s">
        <v>42</v>
      </c>
      <c r="O194" s="174">
        <v>8</v>
      </c>
      <c r="P194" s="235">
        <f ca="1">OFFSET($A$1,MATCH(Z188,$A:$A,0)-1,O194)</f>
        <v>12.7</v>
      </c>
      <c r="Q194" s="322" t="s">
        <v>29</v>
      </c>
      <c r="R194" s="323">
        <f t="shared" ca="1" si="49"/>
        <v>250087</v>
      </c>
      <c r="S194" s="323">
        <f t="shared" ca="1" si="49"/>
        <v>3176104</v>
      </c>
      <c r="T194" s="323">
        <f ca="1">보조원</f>
        <v>250087</v>
      </c>
      <c r="U194" s="323">
        <f t="shared" ca="1" si="50"/>
        <v>3176104</v>
      </c>
      <c r="V194" s="323"/>
      <c r="W194" s="323"/>
      <c r="X194" s="323"/>
      <c r="Y194" s="323"/>
      <c r="Z194" s="324"/>
    </row>
    <row r="195" spans="11:26" ht="18" customHeight="1">
      <c r="K195" s="171" t="s">
        <v>14</v>
      </c>
      <c r="L195" s="171"/>
      <c r="M195" s="171"/>
      <c r="N195" s="139" t="s">
        <v>17</v>
      </c>
      <c r="O195" s="68"/>
      <c r="P195" s="69"/>
      <c r="Q195" s="70"/>
      <c r="R195" s="71"/>
      <c r="S195" s="71">
        <f ca="1">SUBTOTAL(9,S189:S194)</f>
        <v>10199977</v>
      </c>
      <c r="T195" s="71"/>
      <c r="U195" s="71">
        <f ca="1">SUBTOTAL(9,U189:U194)</f>
        <v>10199977</v>
      </c>
      <c r="V195" s="71"/>
      <c r="W195" s="71"/>
      <c r="X195" s="71"/>
      <c r="Y195" s="71"/>
      <c r="Z195" s="68"/>
    </row>
    <row r="196" spans="11:26" ht="18" customHeight="1">
      <c r="K196" s="171" t="s">
        <v>14</v>
      </c>
      <c r="L196" s="171"/>
      <c r="M196" s="171"/>
      <c r="N196" s="318" t="str">
        <f ca="1">"제 " &amp; Z196 &amp; " 호표  "&amp; OFFSET($A$1,MATCH(Z196,$A:$A,0)-1,1)</f>
        <v>제 18 호표  5-1. 간선도로망 기능유지</v>
      </c>
      <c r="O196" s="221"/>
      <c r="P196" s="148"/>
      <c r="Q196" s="148"/>
      <c r="R196" s="149"/>
      <c r="S196" s="149"/>
      <c r="T196" s="149"/>
      <c r="U196" s="149"/>
      <c r="V196" s="149"/>
      <c r="W196" s="149"/>
      <c r="X196" s="149"/>
      <c r="Y196" s="149"/>
      <c r="Z196" s="325">
        <f>Z188+1</f>
        <v>18</v>
      </c>
    </row>
    <row r="197" spans="11:26" ht="18" customHeight="1">
      <c r="K197" s="171" t="s">
        <v>14</v>
      </c>
      <c r="L197" s="171"/>
      <c r="M197" s="171"/>
      <c r="N197" s="140" t="s">
        <v>43</v>
      </c>
      <c r="O197" s="172">
        <v>3</v>
      </c>
      <c r="P197" s="219">
        <f ca="1">OFFSET($A$1,MATCH(Z196,$A:$A,0)-1,O197)</f>
        <v>0.4</v>
      </c>
      <c r="Q197" s="141" t="s">
        <v>29</v>
      </c>
      <c r="R197" s="142">
        <f t="shared" ref="R197:S202" ca="1" si="51">T197</f>
        <v>467217</v>
      </c>
      <c r="S197" s="142">
        <f t="shared" ca="1" si="51"/>
        <v>186886</v>
      </c>
      <c r="T197" s="142">
        <f ca="1">기술사</f>
        <v>467217</v>
      </c>
      <c r="U197" s="142">
        <f t="shared" ref="U197:U202" ca="1" si="52">ROUNDDOWN(P197*R197,0)</f>
        <v>186886</v>
      </c>
      <c r="V197" s="142"/>
      <c r="W197" s="142"/>
      <c r="X197" s="142"/>
      <c r="Y197" s="142"/>
      <c r="Z197" s="114"/>
    </row>
    <row r="198" spans="11:26" ht="18" customHeight="1">
      <c r="K198" s="171" t="s">
        <v>14</v>
      </c>
      <c r="L198" s="171"/>
      <c r="M198" s="171"/>
      <c r="N198" s="143" t="s">
        <v>32</v>
      </c>
      <c r="O198" s="173">
        <v>4</v>
      </c>
      <c r="P198" s="234">
        <f ca="1">OFFSET($A$1,MATCH(Z196,$A:$A,0)-1,O198)</f>
        <v>0.8</v>
      </c>
      <c r="Q198" s="144" t="s">
        <v>29</v>
      </c>
      <c r="R198" s="118">
        <f t="shared" ca="1" si="51"/>
        <v>373353</v>
      </c>
      <c r="S198" s="118">
        <f t="shared" ca="1" si="51"/>
        <v>298682</v>
      </c>
      <c r="T198" s="118">
        <f ca="1">특급</f>
        <v>373353</v>
      </c>
      <c r="U198" s="118">
        <f t="shared" ca="1" si="52"/>
        <v>298682</v>
      </c>
      <c r="V198" s="118"/>
      <c r="W198" s="118"/>
      <c r="X198" s="118"/>
      <c r="Y198" s="118"/>
      <c r="Z198" s="115"/>
    </row>
    <row r="199" spans="11:26" ht="18" customHeight="1">
      <c r="K199" s="171" t="s">
        <v>14</v>
      </c>
      <c r="L199" s="171"/>
      <c r="M199" s="171"/>
      <c r="N199" s="145" t="s">
        <v>39</v>
      </c>
      <c r="O199" s="173">
        <v>5</v>
      </c>
      <c r="P199" s="234">
        <f ca="1">OFFSET($A$1,MATCH(Z196,$A:$A,0)-1,O199)</f>
        <v>1.44</v>
      </c>
      <c r="Q199" s="144" t="s">
        <v>29</v>
      </c>
      <c r="R199" s="118">
        <f t="shared" ca="1" si="51"/>
        <v>310884</v>
      </c>
      <c r="S199" s="118">
        <f t="shared" ca="1" si="51"/>
        <v>447672</v>
      </c>
      <c r="T199" s="118">
        <f ca="1">고급</f>
        <v>310884</v>
      </c>
      <c r="U199" s="118">
        <f t="shared" ca="1" si="52"/>
        <v>447672</v>
      </c>
      <c r="V199" s="118"/>
      <c r="W199" s="118"/>
      <c r="X199" s="118"/>
      <c r="Y199" s="118"/>
      <c r="Z199" s="115"/>
    </row>
    <row r="200" spans="11:26" ht="18" customHeight="1">
      <c r="K200" s="171" t="s">
        <v>14</v>
      </c>
      <c r="L200" s="171"/>
      <c r="M200" s="171"/>
      <c r="N200" s="145" t="s">
        <v>40</v>
      </c>
      <c r="O200" s="173">
        <v>6</v>
      </c>
      <c r="P200" s="234">
        <f ca="1">OFFSET($A$1,MATCH(Z196,$A:$A,0)-1,O200)</f>
        <v>1.04</v>
      </c>
      <c r="Q200" s="144" t="s">
        <v>29</v>
      </c>
      <c r="R200" s="118">
        <f t="shared" ca="1" si="51"/>
        <v>295138</v>
      </c>
      <c r="S200" s="118">
        <f t="shared" ca="1" si="51"/>
        <v>306943</v>
      </c>
      <c r="T200" s="118">
        <f ca="1">중급</f>
        <v>295138</v>
      </c>
      <c r="U200" s="118">
        <f t="shared" ca="1" si="52"/>
        <v>306943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41</v>
      </c>
      <c r="O201" s="173">
        <v>7</v>
      </c>
      <c r="P201" s="234">
        <f ca="1">OFFSET($A$1,MATCH(Z196,$A:$A,0)-1,O201)</f>
        <v>1.84</v>
      </c>
      <c r="Q201" s="144" t="s">
        <v>29</v>
      </c>
      <c r="R201" s="118">
        <f t="shared" ca="1" si="51"/>
        <v>235459</v>
      </c>
      <c r="S201" s="118">
        <f t="shared" ca="1" si="51"/>
        <v>433244</v>
      </c>
      <c r="T201" s="118">
        <f ca="1">초급</f>
        <v>235459</v>
      </c>
      <c r="U201" s="118">
        <f t="shared" ca="1" si="52"/>
        <v>433244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319" t="s">
        <v>42</v>
      </c>
      <c r="O202" s="174">
        <v>8</v>
      </c>
      <c r="P202" s="235">
        <f ca="1">OFFSET($A$1,MATCH(Z196,$A:$A,0)-1,O202)</f>
        <v>1.2</v>
      </c>
      <c r="Q202" s="322" t="s">
        <v>29</v>
      </c>
      <c r="R202" s="323">
        <f t="shared" ca="1" si="51"/>
        <v>250087</v>
      </c>
      <c r="S202" s="323">
        <f t="shared" ca="1" si="51"/>
        <v>300104</v>
      </c>
      <c r="T202" s="323">
        <f ca="1">보조원</f>
        <v>250087</v>
      </c>
      <c r="U202" s="323">
        <f t="shared" ca="1" si="52"/>
        <v>300104</v>
      </c>
      <c r="V202" s="323"/>
      <c r="W202" s="323"/>
      <c r="X202" s="323"/>
      <c r="Y202" s="323"/>
      <c r="Z202" s="324"/>
    </row>
    <row r="203" spans="11:26" ht="18" customHeight="1">
      <c r="K203" s="171" t="s">
        <v>14</v>
      </c>
      <c r="L203" s="171"/>
      <c r="M203" s="171"/>
      <c r="N203" s="139" t="s">
        <v>17</v>
      </c>
      <c r="O203" s="68"/>
      <c r="P203" s="69"/>
      <c r="Q203" s="70"/>
      <c r="R203" s="71"/>
      <c r="S203" s="71">
        <f ca="1">SUBTOTAL(9,S197:S202)</f>
        <v>1973531</v>
      </c>
      <c r="T203" s="71"/>
      <c r="U203" s="71">
        <f ca="1">SUBTOTAL(9,U197:U202)</f>
        <v>1973531</v>
      </c>
      <c r="V203" s="71"/>
      <c r="W203" s="71"/>
      <c r="X203" s="71"/>
      <c r="Y203" s="71"/>
      <c r="Z203" s="68"/>
    </row>
    <row r="204" spans="11:26" ht="18" customHeight="1">
      <c r="K204" s="171" t="s">
        <v>14</v>
      </c>
      <c r="L204" s="171"/>
      <c r="M204" s="171"/>
      <c r="N204" s="318" t="str">
        <f ca="1">"제 " &amp; Z204 &amp; " 호표  "&amp; OFFSET($A$1,MATCH(Z204,$A:$A,0)-1,1)</f>
        <v>제 19 호표  5-2. 교통체계관리</v>
      </c>
      <c r="O204" s="221"/>
      <c r="P204" s="148"/>
      <c r="Q204" s="148"/>
      <c r="R204" s="149"/>
      <c r="S204" s="149"/>
      <c r="T204" s="149"/>
      <c r="U204" s="149"/>
      <c r="V204" s="149"/>
      <c r="W204" s="149"/>
      <c r="X204" s="149"/>
      <c r="Y204" s="149"/>
      <c r="Z204" s="325">
        <f>Z196+1</f>
        <v>19</v>
      </c>
    </row>
    <row r="205" spans="11:26" ht="18" customHeight="1">
      <c r="K205" s="171" t="s">
        <v>14</v>
      </c>
      <c r="L205" s="171"/>
      <c r="M205" s="171"/>
      <c r="N205" s="140" t="s">
        <v>43</v>
      </c>
      <c r="O205" s="172">
        <v>3</v>
      </c>
      <c r="P205" s="219">
        <f ca="1">OFFSET($A$1,MATCH(Z204,$A:$A,0)-1,O205)</f>
        <v>0.48</v>
      </c>
      <c r="Q205" s="141" t="s">
        <v>29</v>
      </c>
      <c r="R205" s="142">
        <f t="shared" ref="R205:S210" ca="1" si="53">T205</f>
        <v>467217</v>
      </c>
      <c r="S205" s="142">
        <f t="shared" ca="1" si="53"/>
        <v>224264</v>
      </c>
      <c r="T205" s="142">
        <f ca="1">기술사</f>
        <v>467217</v>
      </c>
      <c r="U205" s="142">
        <f t="shared" ref="U205:U210" ca="1" si="54">ROUNDDOWN(P205*R205,0)</f>
        <v>224264</v>
      </c>
      <c r="V205" s="142"/>
      <c r="W205" s="142"/>
      <c r="X205" s="142"/>
      <c r="Y205" s="142"/>
      <c r="Z205" s="114"/>
    </row>
    <row r="206" spans="11:26" ht="18" customHeight="1">
      <c r="K206" s="171" t="s">
        <v>14</v>
      </c>
      <c r="L206" s="171"/>
      <c r="M206" s="171"/>
      <c r="N206" s="143" t="s">
        <v>32</v>
      </c>
      <c r="O206" s="173">
        <v>4</v>
      </c>
      <c r="P206" s="234">
        <f ca="1">OFFSET($A$1,MATCH(Z204,$A:$A,0)-1,O206)</f>
        <v>0.8</v>
      </c>
      <c r="Q206" s="144" t="s">
        <v>29</v>
      </c>
      <c r="R206" s="118">
        <f t="shared" ca="1" si="53"/>
        <v>373353</v>
      </c>
      <c r="S206" s="118">
        <f t="shared" ca="1" si="53"/>
        <v>298682</v>
      </c>
      <c r="T206" s="118">
        <f ca="1">특급</f>
        <v>373353</v>
      </c>
      <c r="U206" s="118">
        <f t="shared" ca="1" si="54"/>
        <v>298682</v>
      </c>
      <c r="V206" s="118"/>
      <c r="W206" s="118"/>
      <c r="X206" s="118"/>
      <c r="Y206" s="118"/>
      <c r="Z206" s="115"/>
    </row>
    <row r="207" spans="11:26" ht="18" customHeight="1">
      <c r="K207" s="171" t="s">
        <v>14</v>
      </c>
      <c r="L207" s="171"/>
      <c r="M207" s="171"/>
      <c r="N207" s="145" t="s">
        <v>39</v>
      </c>
      <c r="O207" s="173">
        <v>5</v>
      </c>
      <c r="P207" s="234">
        <f ca="1">OFFSET($A$1,MATCH(Z204,$A:$A,0)-1,O207)</f>
        <v>1.44</v>
      </c>
      <c r="Q207" s="144" t="s">
        <v>29</v>
      </c>
      <c r="R207" s="118">
        <f t="shared" ca="1" si="53"/>
        <v>310884</v>
      </c>
      <c r="S207" s="118">
        <f t="shared" ca="1" si="53"/>
        <v>447672</v>
      </c>
      <c r="T207" s="118">
        <f ca="1">고급</f>
        <v>310884</v>
      </c>
      <c r="U207" s="118">
        <f t="shared" ca="1" si="54"/>
        <v>447672</v>
      </c>
      <c r="V207" s="118"/>
      <c r="W207" s="118"/>
      <c r="X207" s="118"/>
      <c r="Y207" s="118"/>
      <c r="Z207" s="115"/>
    </row>
    <row r="208" spans="11:26" ht="18" customHeight="1">
      <c r="K208" s="171" t="s">
        <v>14</v>
      </c>
      <c r="L208" s="171"/>
      <c r="M208" s="171"/>
      <c r="N208" s="145" t="s">
        <v>40</v>
      </c>
      <c r="O208" s="173">
        <v>6</v>
      </c>
      <c r="P208" s="234">
        <f ca="1">OFFSET($A$1,MATCH(Z204,$A:$A,0)-1,O208)</f>
        <v>0.96</v>
      </c>
      <c r="Q208" s="144" t="s">
        <v>29</v>
      </c>
      <c r="R208" s="118">
        <f t="shared" ca="1" si="53"/>
        <v>295138</v>
      </c>
      <c r="S208" s="118">
        <f t="shared" ca="1" si="53"/>
        <v>283332</v>
      </c>
      <c r="T208" s="118">
        <f ca="1">중급</f>
        <v>295138</v>
      </c>
      <c r="U208" s="118">
        <f t="shared" ca="1" si="54"/>
        <v>283332</v>
      </c>
      <c r="V208" s="118"/>
      <c r="W208" s="118"/>
      <c r="X208" s="118"/>
      <c r="Y208" s="118"/>
      <c r="Z208" s="115"/>
    </row>
    <row r="209" spans="11:26" ht="18" customHeight="1">
      <c r="K209" s="171" t="s">
        <v>14</v>
      </c>
      <c r="L209" s="171"/>
      <c r="M209" s="171"/>
      <c r="N209" s="145" t="s">
        <v>41</v>
      </c>
      <c r="O209" s="173">
        <v>7</v>
      </c>
      <c r="P209" s="234">
        <f ca="1">OFFSET($A$1,MATCH(Z204,$A:$A,0)-1,O209)</f>
        <v>1.76</v>
      </c>
      <c r="Q209" s="144" t="s">
        <v>29</v>
      </c>
      <c r="R209" s="118">
        <f t="shared" ca="1" si="53"/>
        <v>235459</v>
      </c>
      <c r="S209" s="118">
        <f t="shared" ca="1" si="53"/>
        <v>414407</v>
      </c>
      <c r="T209" s="118">
        <f ca="1">초급</f>
        <v>235459</v>
      </c>
      <c r="U209" s="118">
        <f t="shared" ca="1" si="54"/>
        <v>414407</v>
      </c>
      <c r="V209" s="118"/>
      <c r="W209" s="118"/>
      <c r="X209" s="118"/>
      <c r="Y209" s="118"/>
      <c r="Z209" s="115"/>
    </row>
    <row r="210" spans="11:26" ht="18" customHeight="1">
      <c r="K210" s="171" t="s">
        <v>14</v>
      </c>
      <c r="L210" s="171"/>
      <c r="M210" s="171"/>
      <c r="N210" s="319" t="s">
        <v>42</v>
      </c>
      <c r="O210" s="174">
        <v>8</v>
      </c>
      <c r="P210" s="235">
        <f ca="1">OFFSET($A$1,MATCH(Z204,$A:$A,0)-1,O210)</f>
        <v>1.1200000000000001</v>
      </c>
      <c r="Q210" s="322" t="s">
        <v>29</v>
      </c>
      <c r="R210" s="323">
        <f t="shared" ca="1" si="53"/>
        <v>250087</v>
      </c>
      <c r="S210" s="323">
        <f t="shared" ca="1" si="53"/>
        <v>280097</v>
      </c>
      <c r="T210" s="323">
        <f ca="1">보조원</f>
        <v>250087</v>
      </c>
      <c r="U210" s="323">
        <f t="shared" ca="1" si="54"/>
        <v>280097</v>
      </c>
      <c r="V210" s="323"/>
      <c r="W210" s="323"/>
      <c r="X210" s="323"/>
      <c r="Y210" s="323"/>
      <c r="Z210" s="324"/>
    </row>
    <row r="211" spans="11:26" ht="18" customHeight="1">
      <c r="K211" s="171" t="s">
        <v>14</v>
      </c>
      <c r="L211" s="171"/>
      <c r="M211" s="171"/>
      <c r="N211" s="139" t="s">
        <v>17</v>
      </c>
      <c r="O211" s="68"/>
      <c r="P211" s="69"/>
      <c r="Q211" s="70"/>
      <c r="R211" s="71"/>
      <c r="S211" s="71">
        <f ca="1">SUBTOTAL(9,S205:S210)</f>
        <v>1948454</v>
      </c>
      <c r="T211" s="71"/>
      <c r="U211" s="71">
        <f ca="1">SUBTOTAL(9,U205:U210)</f>
        <v>1948454</v>
      </c>
      <c r="V211" s="71"/>
      <c r="W211" s="71"/>
      <c r="X211" s="71"/>
      <c r="Y211" s="71"/>
      <c r="Z211" s="68"/>
    </row>
    <row r="212" spans="11:26" ht="18" customHeight="1">
      <c r="K212" s="171" t="s">
        <v>14</v>
      </c>
      <c r="L212" s="171"/>
      <c r="M212" s="171"/>
      <c r="N212" s="318" t="str">
        <f ca="1">"제 " &amp; Z212 &amp; " 호표  "&amp; OFFSET($A$1,MATCH(Z212,$A:$A,0)-1,1)</f>
        <v>제 20 호표  5-3. 대중교통수단</v>
      </c>
      <c r="O212" s="221"/>
      <c r="P212" s="148"/>
      <c r="Q212" s="148"/>
      <c r="R212" s="149"/>
      <c r="S212" s="149"/>
      <c r="T212" s="149"/>
      <c r="U212" s="149"/>
      <c r="V212" s="149"/>
      <c r="W212" s="149"/>
      <c r="X212" s="149"/>
      <c r="Y212" s="149"/>
      <c r="Z212" s="325">
        <f>Z204+1</f>
        <v>20</v>
      </c>
    </row>
    <row r="213" spans="11:26" ht="18" customHeight="1">
      <c r="K213" s="171" t="s">
        <v>14</v>
      </c>
      <c r="L213" s="171"/>
      <c r="M213" s="171"/>
      <c r="N213" s="140" t="s">
        <v>43</v>
      </c>
      <c r="O213" s="172">
        <v>3</v>
      </c>
      <c r="P213" s="219">
        <f ca="1">OFFSET($A$1,MATCH(Z212,$A:$A,0)-1,O213)</f>
        <v>0.32</v>
      </c>
      <c r="Q213" s="141" t="s">
        <v>29</v>
      </c>
      <c r="R213" s="142">
        <f t="shared" ref="R213:S218" ca="1" si="55">T213</f>
        <v>467217</v>
      </c>
      <c r="S213" s="142">
        <f t="shared" ca="1" si="55"/>
        <v>149509</v>
      </c>
      <c r="T213" s="142">
        <f ca="1">기술사</f>
        <v>467217</v>
      </c>
      <c r="U213" s="142">
        <f t="shared" ref="U213:U218" ca="1" si="56">ROUNDDOWN(P213*R213,0)</f>
        <v>149509</v>
      </c>
      <c r="V213" s="142"/>
      <c r="W213" s="142"/>
      <c r="X213" s="142"/>
      <c r="Y213" s="142"/>
      <c r="Z213" s="114"/>
    </row>
    <row r="214" spans="11:26" ht="18" customHeight="1">
      <c r="K214" s="171" t="s">
        <v>14</v>
      </c>
      <c r="L214" s="171"/>
      <c r="M214" s="171"/>
      <c r="N214" s="143" t="s">
        <v>32</v>
      </c>
      <c r="O214" s="173">
        <v>4</v>
      </c>
      <c r="P214" s="234">
        <f ca="1">OFFSET($A$1,MATCH(Z212,$A:$A,0)-1,O214)</f>
        <v>0.56000000000000005</v>
      </c>
      <c r="Q214" s="144" t="s">
        <v>29</v>
      </c>
      <c r="R214" s="118">
        <f t="shared" ca="1" si="55"/>
        <v>373353</v>
      </c>
      <c r="S214" s="118">
        <f t="shared" ca="1" si="55"/>
        <v>209077</v>
      </c>
      <c r="T214" s="118">
        <f ca="1">특급</f>
        <v>373353</v>
      </c>
      <c r="U214" s="118">
        <f t="shared" ca="1" si="56"/>
        <v>209077</v>
      </c>
      <c r="V214" s="118"/>
      <c r="W214" s="118"/>
      <c r="X214" s="118"/>
      <c r="Y214" s="118"/>
      <c r="Z214" s="115"/>
    </row>
    <row r="215" spans="11:26" ht="18" customHeight="1">
      <c r="K215" s="171" t="s">
        <v>14</v>
      </c>
      <c r="L215" s="171"/>
      <c r="M215" s="171"/>
      <c r="N215" s="145" t="s">
        <v>39</v>
      </c>
      <c r="O215" s="173">
        <v>5</v>
      </c>
      <c r="P215" s="234">
        <f ca="1">OFFSET($A$1,MATCH(Z212,$A:$A,0)-1,O215)</f>
        <v>1.2</v>
      </c>
      <c r="Q215" s="144" t="s">
        <v>29</v>
      </c>
      <c r="R215" s="118">
        <f t="shared" ca="1" si="55"/>
        <v>310884</v>
      </c>
      <c r="S215" s="118">
        <f t="shared" ca="1" si="55"/>
        <v>373060</v>
      </c>
      <c r="T215" s="118">
        <f ca="1">고급</f>
        <v>310884</v>
      </c>
      <c r="U215" s="118">
        <f t="shared" ca="1" si="56"/>
        <v>373060</v>
      </c>
      <c r="V215" s="118"/>
      <c r="W215" s="118"/>
      <c r="X215" s="118"/>
      <c r="Y215" s="118"/>
      <c r="Z215" s="115"/>
    </row>
    <row r="216" spans="11:26" ht="18" customHeight="1">
      <c r="K216" s="171" t="s">
        <v>14</v>
      </c>
      <c r="L216" s="171"/>
      <c r="M216" s="171"/>
      <c r="N216" s="145" t="s">
        <v>40</v>
      </c>
      <c r="O216" s="173">
        <v>6</v>
      </c>
      <c r="P216" s="234">
        <f ca="1">OFFSET($A$1,MATCH(Z212,$A:$A,0)-1,O216)</f>
        <v>0.96</v>
      </c>
      <c r="Q216" s="144" t="s">
        <v>29</v>
      </c>
      <c r="R216" s="118">
        <f t="shared" ca="1" si="55"/>
        <v>295138</v>
      </c>
      <c r="S216" s="118">
        <f t="shared" ca="1" si="55"/>
        <v>283332</v>
      </c>
      <c r="T216" s="118">
        <f ca="1">중급</f>
        <v>295138</v>
      </c>
      <c r="U216" s="118">
        <f t="shared" ca="1" si="56"/>
        <v>283332</v>
      </c>
      <c r="V216" s="118"/>
      <c r="W216" s="118"/>
      <c r="X216" s="118"/>
      <c r="Y216" s="118"/>
      <c r="Z216" s="115"/>
    </row>
    <row r="217" spans="11:26" ht="18" customHeight="1">
      <c r="K217" s="171" t="s">
        <v>14</v>
      </c>
      <c r="L217" s="171"/>
      <c r="M217" s="171"/>
      <c r="N217" s="145" t="s">
        <v>41</v>
      </c>
      <c r="O217" s="173">
        <v>7</v>
      </c>
      <c r="P217" s="234">
        <f ca="1">OFFSET($A$1,MATCH(Z212,$A:$A,0)-1,O217)</f>
        <v>1.76</v>
      </c>
      <c r="Q217" s="144" t="s">
        <v>29</v>
      </c>
      <c r="R217" s="118">
        <f t="shared" ca="1" si="55"/>
        <v>235459</v>
      </c>
      <c r="S217" s="118">
        <f t="shared" ca="1" si="55"/>
        <v>414407</v>
      </c>
      <c r="T217" s="118">
        <f ca="1">초급</f>
        <v>235459</v>
      </c>
      <c r="U217" s="118">
        <f t="shared" ca="1" si="56"/>
        <v>414407</v>
      </c>
      <c r="V217" s="118"/>
      <c r="W217" s="118"/>
      <c r="X217" s="118"/>
      <c r="Y217" s="118"/>
      <c r="Z217" s="115"/>
    </row>
    <row r="218" spans="11:26" ht="18" customHeight="1">
      <c r="K218" s="171" t="s">
        <v>14</v>
      </c>
      <c r="L218" s="171"/>
      <c r="M218" s="171"/>
      <c r="N218" s="319" t="s">
        <v>42</v>
      </c>
      <c r="O218" s="174">
        <v>8</v>
      </c>
      <c r="P218" s="235">
        <f ca="1">OFFSET($A$1,MATCH(Z212,$A:$A,0)-1,O218)</f>
        <v>2.2400000000000002</v>
      </c>
      <c r="Q218" s="322" t="s">
        <v>29</v>
      </c>
      <c r="R218" s="323">
        <f t="shared" ca="1" si="55"/>
        <v>250087</v>
      </c>
      <c r="S218" s="323">
        <f t="shared" ca="1" si="55"/>
        <v>560194</v>
      </c>
      <c r="T218" s="323">
        <f ca="1">보조원</f>
        <v>250087</v>
      </c>
      <c r="U218" s="323">
        <f t="shared" ca="1" si="56"/>
        <v>560194</v>
      </c>
      <c r="V218" s="323"/>
      <c r="W218" s="323"/>
      <c r="X218" s="323"/>
      <c r="Y218" s="323"/>
      <c r="Z218" s="324"/>
    </row>
    <row r="219" spans="11:26" ht="18" customHeight="1">
      <c r="K219" s="171" t="s">
        <v>14</v>
      </c>
      <c r="L219" s="171"/>
      <c r="M219" s="171"/>
      <c r="N219" s="139" t="s">
        <v>17</v>
      </c>
      <c r="O219" s="68"/>
      <c r="P219" s="69"/>
      <c r="Q219" s="70"/>
      <c r="R219" s="71"/>
      <c r="S219" s="71">
        <f ca="1">SUBTOTAL(9,S213:S218)</f>
        <v>1989579</v>
      </c>
      <c r="T219" s="71"/>
      <c r="U219" s="71">
        <f ca="1">SUBTOTAL(9,U213:U218)</f>
        <v>1989579</v>
      </c>
      <c r="V219" s="71"/>
      <c r="W219" s="71"/>
      <c r="X219" s="71"/>
      <c r="Y219" s="71"/>
      <c r="Z219" s="68"/>
    </row>
    <row r="220" spans="11:26" ht="18" customHeight="1">
      <c r="K220" s="171" t="s">
        <v>14</v>
      </c>
      <c r="L220" s="171"/>
      <c r="M220" s="171"/>
      <c r="N220" s="318" t="str">
        <f ca="1">"제 " &amp; Z220 &amp; " 호표  "&amp; OFFSET($A$1,MATCH(Z220,$A:$A,0)-1,1)</f>
        <v>제 21 호표  6-1. 보고서작성 및 편집</v>
      </c>
      <c r="O220" s="221"/>
      <c r="P220" s="148"/>
      <c r="Q220" s="148"/>
      <c r="R220" s="149"/>
      <c r="S220" s="149"/>
      <c r="T220" s="149"/>
      <c r="U220" s="149"/>
      <c r="V220" s="149"/>
      <c r="W220" s="149"/>
      <c r="X220" s="149"/>
      <c r="Y220" s="149"/>
      <c r="Z220" s="325">
        <f>Z212+1</f>
        <v>21</v>
      </c>
    </row>
    <row r="221" spans="11:26" ht="18" customHeight="1">
      <c r="K221" s="171" t="s">
        <v>14</v>
      </c>
      <c r="L221" s="171"/>
      <c r="M221" s="171"/>
      <c r="N221" s="140" t="s">
        <v>43</v>
      </c>
      <c r="O221" s="172">
        <v>3</v>
      </c>
      <c r="P221" s="219">
        <f ca="1">OFFSET($A$1,MATCH(Z220,$A:$A,0)-1,O221)</f>
        <v>0.3</v>
      </c>
      <c r="Q221" s="141" t="s">
        <v>29</v>
      </c>
      <c r="R221" s="142">
        <f t="shared" ref="R221:S226" ca="1" si="57">T221</f>
        <v>467217</v>
      </c>
      <c r="S221" s="142">
        <f t="shared" ca="1" si="57"/>
        <v>140165</v>
      </c>
      <c r="T221" s="142">
        <f ca="1">기술사</f>
        <v>467217</v>
      </c>
      <c r="U221" s="142">
        <f t="shared" ref="U221:U226" ca="1" si="58">ROUNDDOWN(P221*R221,0)</f>
        <v>140165</v>
      </c>
      <c r="V221" s="142"/>
      <c r="W221" s="142"/>
      <c r="X221" s="142"/>
      <c r="Y221" s="142"/>
      <c r="Z221" s="114"/>
    </row>
    <row r="222" spans="11:26" ht="18" customHeight="1">
      <c r="K222" s="171" t="s">
        <v>14</v>
      </c>
      <c r="L222" s="171"/>
      <c r="M222" s="171"/>
      <c r="N222" s="143" t="s">
        <v>32</v>
      </c>
      <c r="O222" s="173">
        <v>4</v>
      </c>
      <c r="P222" s="234">
        <f ca="1">OFFSET($A$1,MATCH(Z220,$A:$A,0)-1,O222)</f>
        <v>0.7</v>
      </c>
      <c r="Q222" s="144" t="s">
        <v>29</v>
      </c>
      <c r="R222" s="118">
        <f t="shared" ca="1" si="57"/>
        <v>373353</v>
      </c>
      <c r="S222" s="118">
        <f t="shared" ca="1" si="57"/>
        <v>261347</v>
      </c>
      <c r="T222" s="118">
        <f ca="1">특급</f>
        <v>373353</v>
      </c>
      <c r="U222" s="118">
        <f t="shared" ca="1" si="58"/>
        <v>261347</v>
      </c>
      <c r="V222" s="118"/>
      <c r="W222" s="118"/>
      <c r="X222" s="118"/>
      <c r="Y222" s="118"/>
      <c r="Z222" s="115"/>
    </row>
    <row r="223" spans="11:26" ht="18" customHeight="1">
      <c r="K223" s="171" t="s">
        <v>14</v>
      </c>
      <c r="L223" s="171"/>
      <c r="M223" s="171"/>
      <c r="N223" s="145" t="s">
        <v>39</v>
      </c>
      <c r="O223" s="173">
        <v>5</v>
      </c>
      <c r="P223" s="234">
        <f ca="1">OFFSET($A$1,MATCH(Z220,$A:$A,0)-1,O223)</f>
        <v>1.4</v>
      </c>
      <c r="Q223" s="144" t="s">
        <v>29</v>
      </c>
      <c r="R223" s="118">
        <f t="shared" ca="1" si="57"/>
        <v>310884</v>
      </c>
      <c r="S223" s="118">
        <f t="shared" ca="1" si="57"/>
        <v>435237</v>
      </c>
      <c r="T223" s="118">
        <f ca="1">고급</f>
        <v>310884</v>
      </c>
      <c r="U223" s="118">
        <f t="shared" ca="1" si="58"/>
        <v>435237</v>
      </c>
      <c r="V223" s="118"/>
      <c r="W223" s="118"/>
      <c r="X223" s="118"/>
      <c r="Y223" s="118"/>
      <c r="Z223" s="115"/>
    </row>
    <row r="224" spans="11:26" ht="18" customHeight="1">
      <c r="K224" s="171" t="s">
        <v>14</v>
      </c>
      <c r="L224" s="171"/>
      <c r="M224" s="171"/>
      <c r="N224" s="145" t="s">
        <v>40</v>
      </c>
      <c r="O224" s="173">
        <v>6</v>
      </c>
      <c r="P224" s="234">
        <f ca="1">OFFSET($A$1,MATCH(Z220,$A:$A,0)-1,O224)</f>
        <v>3.7</v>
      </c>
      <c r="Q224" s="144" t="s">
        <v>29</v>
      </c>
      <c r="R224" s="118">
        <f t="shared" ca="1" si="57"/>
        <v>295138</v>
      </c>
      <c r="S224" s="118">
        <f t="shared" ca="1" si="57"/>
        <v>1092010</v>
      </c>
      <c r="T224" s="118">
        <f ca="1">중급</f>
        <v>295138</v>
      </c>
      <c r="U224" s="118">
        <f t="shared" ca="1" si="58"/>
        <v>1092010</v>
      </c>
      <c r="V224" s="118"/>
      <c r="W224" s="118"/>
      <c r="X224" s="118"/>
      <c r="Y224" s="118"/>
      <c r="Z224" s="115"/>
    </row>
    <row r="225" spans="11:26" ht="18" customHeight="1">
      <c r="K225" s="171" t="s">
        <v>14</v>
      </c>
      <c r="L225" s="171"/>
      <c r="M225" s="171"/>
      <c r="N225" s="145" t="s">
        <v>41</v>
      </c>
      <c r="O225" s="173">
        <v>7</v>
      </c>
      <c r="P225" s="234">
        <f ca="1">OFFSET($A$1,MATCH(Z220,$A:$A,0)-1,O225)</f>
        <v>6.7</v>
      </c>
      <c r="Q225" s="144" t="s">
        <v>29</v>
      </c>
      <c r="R225" s="118">
        <f t="shared" ca="1" si="57"/>
        <v>235459</v>
      </c>
      <c r="S225" s="118">
        <f t="shared" ca="1" si="57"/>
        <v>1577575</v>
      </c>
      <c r="T225" s="118">
        <f ca="1">초급</f>
        <v>235459</v>
      </c>
      <c r="U225" s="118">
        <f t="shared" ca="1" si="58"/>
        <v>1577575</v>
      </c>
      <c r="V225" s="118"/>
      <c r="W225" s="118"/>
      <c r="X225" s="118"/>
      <c r="Y225" s="118"/>
      <c r="Z225" s="115"/>
    </row>
    <row r="226" spans="11:26" ht="18" customHeight="1">
      <c r="K226" s="171" t="s">
        <v>14</v>
      </c>
      <c r="L226" s="171"/>
      <c r="M226" s="171"/>
      <c r="N226" s="319" t="s">
        <v>42</v>
      </c>
      <c r="O226" s="174">
        <v>8</v>
      </c>
      <c r="P226" s="235">
        <f ca="1">OFFSET($A$1,MATCH(Z220,$A:$A,0)-1,O226)</f>
        <v>5.6</v>
      </c>
      <c r="Q226" s="322" t="s">
        <v>29</v>
      </c>
      <c r="R226" s="323">
        <f t="shared" ca="1" si="57"/>
        <v>250087</v>
      </c>
      <c r="S226" s="323">
        <f t="shared" ca="1" si="57"/>
        <v>1400487</v>
      </c>
      <c r="T226" s="323">
        <f ca="1">보조원</f>
        <v>250087</v>
      </c>
      <c r="U226" s="323">
        <f t="shared" ca="1" si="58"/>
        <v>1400487</v>
      </c>
      <c r="V226" s="323"/>
      <c r="W226" s="323"/>
      <c r="X226" s="323"/>
      <c r="Y226" s="323"/>
      <c r="Z226" s="324"/>
    </row>
    <row r="227" spans="11:26" ht="18" customHeight="1">
      <c r="K227" s="171" t="s">
        <v>14</v>
      </c>
      <c r="L227" s="171"/>
      <c r="M227" s="171"/>
      <c r="N227" s="139" t="s">
        <v>17</v>
      </c>
      <c r="O227" s="68"/>
      <c r="P227" s="69"/>
      <c r="Q227" s="70"/>
      <c r="R227" s="71"/>
      <c r="S227" s="71">
        <f ca="1">SUBTOTAL(9,S221:S226)</f>
        <v>4906821</v>
      </c>
      <c r="T227" s="71"/>
      <c r="U227" s="71">
        <f ca="1">SUBTOTAL(9,U221:U226)</f>
        <v>4906821</v>
      </c>
      <c r="V227" s="71"/>
      <c r="W227" s="71"/>
      <c r="X227" s="71"/>
      <c r="Y227" s="71"/>
      <c r="Z227" s="68"/>
    </row>
    <row r="228" spans="11:26" ht="18" customHeight="1">
      <c r="K228" s="171" t="s">
        <v>14</v>
      </c>
      <c r="L228" s="171"/>
      <c r="M228" s="171"/>
      <c r="N228" s="318" t="str">
        <f ca="1">"제 " &amp; Z228 &amp; " 호표  "&amp; OFFSET($A$1,MATCH(Z228,$A:$A,0)-1,1)</f>
        <v>제 22 호표  7-1. 공청회/주민설명회</v>
      </c>
      <c r="O228" s="221"/>
      <c r="P228" s="148"/>
      <c r="Q228" s="148"/>
      <c r="R228" s="149"/>
      <c r="S228" s="149"/>
      <c r="T228" s="149"/>
      <c r="U228" s="149"/>
      <c r="V228" s="149"/>
      <c r="W228" s="149"/>
      <c r="X228" s="149"/>
      <c r="Y228" s="149"/>
      <c r="Z228" s="325">
        <f>Z220+1</f>
        <v>22</v>
      </c>
    </row>
    <row r="229" spans="11:26" ht="18" customHeight="1">
      <c r="K229" s="171" t="s">
        <v>14</v>
      </c>
      <c r="L229" s="171"/>
      <c r="M229" s="171"/>
      <c r="N229" s="140" t="s">
        <v>43</v>
      </c>
      <c r="O229" s="172">
        <v>3</v>
      </c>
      <c r="P229" s="219">
        <f ca="1">OFFSET($A$1,MATCH(Z228,$A:$A,0)-1,O229)</f>
        <v>2</v>
      </c>
      <c r="Q229" s="141" t="s">
        <v>29</v>
      </c>
      <c r="R229" s="142">
        <f t="shared" ref="R229:S234" ca="1" si="59">T229</f>
        <v>467217</v>
      </c>
      <c r="S229" s="142">
        <f t="shared" ca="1" si="59"/>
        <v>934434</v>
      </c>
      <c r="T229" s="142">
        <f ca="1">기술사</f>
        <v>467217</v>
      </c>
      <c r="U229" s="142">
        <f t="shared" ref="U229:U234" ca="1" si="60">ROUNDDOWN(P229*R229,0)</f>
        <v>934434</v>
      </c>
      <c r="V229" s="142"/>
      <c r="W229" s="142"/>
      <c r="X229" s="142"/>
      <c r="Y229" s="142"/>
      <c r="Z229" s="114"/>
    </row>
    <row r="230" spans="11:26" ht="18" customHeight="1">
      <c r="K230" s="171" t="s">
        <v>14</v>
      </c>
      <c r="L230" s="171"/>
      <c r="M230" s="171"/>
      <c r="N230" s="143" t="s">
        <v>32</v>
      </c>
      <c r="O230" s="173">
        <v>4</v>
      </c>
      <c r="P230" s="234">
        <f ca="1">OFFSET($A$1,MATCH(Z228,$A:$A,0)-1,O230)</f>
        <v>2</v>
      </c>
      <c r="Q230" s="144" t="s">
        <v>29</v>
      </c>
      <c r="R230" s="118">
        <f t="shared" ca="1" si="59"/>
        <v>373353</v>
      </c>
      <c r="S230" s="118">
        <f t="shared" ca="1" si="59"/>
        <v>746706</v>
      </c>
      <c r="T230" s="118">
        <f ca="1">특급</f>
        <v>373353</v>
      </c>
      <c r="U230" s="118">
        <f t="shared" ca="1" si="60"/>
        <v>746706</v>
      </c>
      <c r="V230" s="118"/>
      <c r="W230" s="118"/>
      <c r="X230" s="118"/>
      <c r="Y230" s="118"/>
      <c r="Z230" s="115"/>
    </row>
    <row r="231" spans="11:26" ht="18" customHeight="1">
      <c r="K231" s="171" t="s">
        <v>14</v>
      </c>
      <c r="L231" s="171"/>
      <c r="M231" s="171"/>
      <c r="N231" s="145" t="s">
        <v>39</v>
      </c>
      <c r="O231" s="173">
        <v>5</v>
      </c>
      <c r="P231" s="234">
        <f ca="1">OFFSET($A$1,MATCH(Z228,$A:$A,0)-1,O231)</f>
        <v>2</v>
      </c>
      <c r="Q231" s="144" t="s">
        <v>29</v>
      </c>
      <c r="R231" s="118">
        <f t="shared" ca="1" si="59"/>
        <v>310884</v>
      </c>
      <c r="S231" s="118">
        <f t="shared" ca="1" si="59"/>
        <v>621768</v>
      </c>
      <c r="T231" s="118">
        <f ca="1">고급</f>
        <v>310884</v>
      </c>
      <c r="U231" s="118">
        <f t="shared" ca="1" si="60"/>
        <v>621768</v>
      </c>
      <c r="V231" s="118"/>
      <c r="W231" s="118"/>
      <c r="X231" s="118"/>
      <c r="Y231" s="118"/>
      <c r="Z231" s="115"/>
    </row>
    <row r="232" spans="11:26" ht="18" customHeight="1">
      <c r="K232" s="171" t="s">
        <v>14</v>
      </c>
      <c r="L232" s="171"/>
      <c r="M232" s="171"/>
      <c r="N232" s="145" t="s">
        <v>40</v>
      </c>
      <c r="O232" s="173">
        <v>6</v>
      </c>
      <c r="P232" s="234">
        <f ca="1">OFFSET($A$1,MATCH(Z228,$A:$A,0)-1,O232)</f>
        <v>4</v>
      </c>
      <c r="Q232" s="144" t="s">
        <v>29</v>
      </c>
      <c r="R232" s="118">
        <f t="shared" ca="1" si="59"/>
        <v>295138</v>
      </c>
      <c r="S232" s="118">
        <f t="shared" ca="1" si="59"/>
        <v>1180552</v>
      </c>
      <c r="T232" s="118">
        <f ca="1">중급</f>
        <v>295138</v>
      </c>
      <c r="U232" s="118">
        <f t="shared" ca="1" si="60"/>
        <v>1180552</v>
      </c>
      <c r="V232" s="118"/>
      <c r="W232" s="118"/>
      <c r="X232" s="118"/>
      <c r="Y232" s="118"/>
      <c r="Z232" s="115"/>
    </row>
    <row r="233" spans="11:26" ht="18" customHeight="1">
      <c r="K233" s="171" t="s">
        <v>14</v>
      </c>
      <c r="L233" s="171"/>
      <c r="M233" s="171"/>
      <c r="N233" s="145" t="s">
        <v>41</v>
      </c>
      <c r="O233" s="173">
        <v>7</v>
      </c>
      <c r="P233" s="234">
        <f ca="1">OFFSET($A$1,MATCH(Z228,$A:$A,0)-1,O233)</f>
        <v>4</v>
      </c>
      <c r="Q233" s="144" t="s">
        <v>29</v>
      </c>
      <c r="R233" s="118">
        <f t="shared" ca="1" si="59"/>
        <v>235459</v>
      </c>
      <c r="S233" s="118">
        <f t="shared" ca="1" si="59"/>
        <v>941836</v>
      </c>
      <c r="T233" s="118">
        <f ca="1">초급</f>
        <v>235459</v>
      </c>
      <c r="U233" s="118">
        <f t="shared" ca="1" si="60"/>
        <v>941836</v>
      </c>
      <c r="V233" s="118"/>
      <c r="W233" s="118"/>
      <c r="X233" s="118"/>
      <c r="Y233" s="118"/>
      <c r="Z233" s="115"/>
    </row>
    <row r="234" spans="11:26" ht="18" customHeight="1">
      <c r="K234" s="171" t="s">
        <v>14</v>
      </c>
      <c r="L234" s="171"/>
      <c r="M234" s="171"/>
      <c r="N234" s="319" t="s">
        <v>42</v>
      </c>
      <c r="O234" s="174">
        <v>8</v>
      </c>
      <c r="P234" s="235">
        <f ca="1">OFFSET($A$1,MATCH(Z228,$A:$A,0)-1,O234)</f>
        <v>4</v>
      </c>
      <c r="Q234" s="322" t="s">
        <v>29</v>
      </c>
      <c r="R234" s="323">
        <f t="shared" ca="1" si="59"/>
        <v>250087</v>
      </c>
      <c r="S234" s="323">
        <f t="shared" ca="1" si="59"/>
        <v>1000348</v>
      </c>
      <c r="T234" s="323">
        <f ca="1">보조원</f>
        <v>250087</v>
      </c>
      <c r="U234" s="323">
        <f t="shared" ca="1" si="60"/>
        <v>1000348</v>
      </c>
      <c r="V234" s="323"/>
      <c r="W234" s="323"/>
      <c r="X234" s="323"/>
      <c r="Y234" s="323"/>
      <c r="Z234" s="324"/>
    </row>
    <row r="235" spans="11:26" ht="18" customHeight="1">
      <c r="K235" s="171" t="s">
        <v>14</v>
      </c>
      <c r="L235" s="171"/>
      <c r="M235" s="171"/>
      <c r="N235" s="139" t="s">
        <v>17</v>
      </c>
      <c r="O235" s="68"/>
      <c r="P235" s="69"/>
      <c r="Q235" s="70"/>
      <c r="R235" s="71"/>
      <c r="S235" s="71">
        <f ca="1">SUBTOTAL(9,S229:S234)</f>
        <v>5425644</v>
      </c>
      <c r="T235" s="71"/>
      <c r="U235" s="71">
        <f ca="1">SUBTOTAL(9,U229:U234)</f>
        <v>5425644</v>
      </c>
      <c r="V235" s="71"/>
      <c r="W235" s="71"/>
      <c r="X235" s="71"/>
      <c r="Y235" s="71"/>
      <c r="Z235" s="68"/>
    </row>
    <row r="236" spans="11:26" ht="18" customHeight="1">
      <c r="K236" s="171" t="s">
        <v>14</v>
      </c>
      <c r="L236" s="171"/>
      <c r="M236" s="171"/>
      <c r="N236" s="318" t="str">
        <f ca="1">"제 " &amp; Z236 &amp; " 호표  "&amp; OFFSET($A$1,MATCH(Z236,$A:$A,0)-1,1)</f>
        <v>제 23 호표  7-2. 주민간담회/시민계획단</v>
      </c>
      <c r="O236" s="221"/>
      <c r="P236" s="148"/>
      <c r="Q236" s="148"/>
      <c r="R236" s="149"/>
      <c r="S236" s="149"/>
      <c r="T236" s="149"/>
      <c r="U236" s="149"/>
      <c r="V236" s="149"/>
      <c r="W236" s="149"/>
      <c r="X236" s="149"/>
      <c r="Y236" s="149"/>
      <c r="Z236" s="325">
        <f>Z228+1</f>
        <v>23</v>
      </c>
    </row>
    <row r="237" spans="11:26" ht="18" customHeight="1">
      <c r="K237" s="171" t="s">
        <v>14</v>
      </c>
      <c r="L237" s="171"/>
      <c r="M237" s="171"/>
      <c r="N237" s="140" t="s">
        <v>43</v>
      </c>
      <c r="O237" s="172">
        <v>3</v>
      </c>
      <c r="P237" s="219">
        <f ca="1">OFFSET($A$1,MATCH(Z236,$A:$A,0)-1,O237)</f>
        <v>2</v>
      </c>
      <c r="Q237" s="141" t="s">
        <v>29</v>
      </c>
      <c r="R237" s="142">
        <f t="shared" ref="R237:S242" ca="1" si="61">T237</f>
        <v>467217</v>
      </c>
      <c r="S237" s="142">
        <f t="shared" ca="1" si="61"/>
        <v>934434</v>
      </c>
      <c r="T237" s="142">
        <f ca="1">기술사</f>
        <v>467217</v>
      </c>
      <c r="U237" s="142">
        <f t="shared" ref="U237:U242" ca="1" si="62">ROUNDDOWN(P237*R237,0)</f>
        <v>934434</v>
      </c>
      <c r="V237" s="142"/>
      <c r="W237" s="142"/>
      <c r="X237" s="142"/>
      <c r="Y237" s="142"/>
      <c r="Z237" s="114"/>
    </row>
    <row r="238" spans="11:26" ht="18" customHeight="1">
      <c r="K238" s="171" t="s">
        <v>14</v>
      </c>
      <c r="L238" s="171"/>
      <c r="M238" s="171"/>
      <c r="N238" s="143" t="s">
        <v>32</v>
      </c>
      <c r="O238" s="173">
        <v>4</v>
      </c>
      <c r="P238" s="234">
        <f ca="1">OFFSET($A$1,MATCH(Z236,$A:$A,0)-1,O238)</f>
        <v>2</v>
      </c>
      <c r="Q238" s="144" t="s">
        <v>29</v>
      </c>
      <c r="R238" s="118">
        <f t="shared" ca="1" si="61"/>
        <v>373353</v>
      </c>
      <c r="S238" s="118">
        <f t="shared" ca="1" si="61"/>
        <v>746706</v>
      </c>
      <c r="T238" s="118">
        <f ca="1">특급</f>
        <v>373353</v>
      </c>
      <c r="U238" s="118">
        <f t="shared" ca="1" si="62"/>
        <v>746706</v>
      </c>
      <c r="V238" s="118"/>
      <c r="W238" s="118"/>
      <c r="X238" s="118"/>
      <c r="Y238" s="118"/>
      <c r="Z238" s="115"/>
    </row>
    <row r="239" spans="11:26" ht="18" customHeight="1">
      <c r="K239" s="171" t="s">
        <v>14</v>
      </c>
      <c r="L239" s="171"/>
      <c r="M239" s="171"/>
      <c r="N239" s="145" t="s">
        <v>39</v>
      </c>
      <c r="O239" s="173">
        <v>5</v>
      </c>
      <c r="P239" s="234">
        <f ca="1">OFFSET($A$1,MATCH(Z236,$A:$A,0)-1,O239)</f>
        <v>2</v>
      </c>
      <c r="Q239" s="144" t="s">
        <v>29</v>
      </c>
      <c r="R239" s="118">
        <f t="shared" ca="1" si="61"/>
        <v>310884</v>
      </c>
      <c r="S239" s="118">
        <f t="shared" ca="1" si="61"/>
        <v>621768</v>
      </c>
      <c r="T239" s="118">
        <f ca="1">고급</f>
        <v>310884</v>
      </c>
      <c r="U239" s="118">
        <f t="shared" ca="1" si="62"/>
        <v>621768</v>
      </c>
      <c r="V239" s="118"/>
      <c r="W239" s="118"/>
      <c r="X239" s="118"/>
      <c r="Y239" s="118"/>
      <c r="Z239" s="115"/>
    </row>
    <row r="240" spans="11:26" ht="18" customHeight="1">
      <c r="K240" s="171" t="s">
        <v>14</v>
      </c>
      <c r="L240" s="171"/>
      <c r="M240" s="171"/>
      <c r="N240" s="145" t="s">
        <v>40</v>
      </c>
      <c r="O240" s="173">
        <v>6</v>
      </c>
      <c r="P240" s="234">
        <f ca="1">OFFSET($A$1,MATCH(Z236,$A:$A,0)-1,O240)</f>
        <v>4</v>
      </c>
      <c r="Q240" s="144" t="s">
        <v>29</v>
      </c>
      <c r="R240" s="118">
        <f t="shared" ca="1" si="61"/>
        <v>295138</v>
      </c>
      <c r="S240" s="118">
        <f t="shared" ca="1" si="61"/>
        <v>1180552</v>
      </c>
      <c r="T240" s="118">
        <f ca="1">중급</f>
        <v>295138</v>
      </c>
      <c r="U240" s="118">
        <f t="shared" ca="1" si="62"/>
        <v>1180552</v>
      </c>
      <c r="V240" s="118"/>
      <c r="W240" s="118"/>
      <c r="X240" s="118"/>
      <c r="Y240" s="118"/>
      <c r="Z240" s="115"/>
    </row>
    <row r="241" spans="11:26" ht="18" customHeight="1">
      <c r="K241" s="171" t="s">
        <v>14</v>
      </c>
      <c r="L241" s="171"/>
      <c r="M241" s="171"/>
      <c r="N241" s="145" t="s">
        <v>41</v>
      </c>
      <c r="O241" s="173">
        <v>7</v>
      </c>
      <c r="P241" s="234">
        <f ca="1">OFFSET($A$1,MATCH(Z236,$A:$A,0)-1,O241)</f>
        <v>4</v>
      </c>
      <c r="Q241" s="144" t="s">
        <v>29</v>
      </c>
      <c r="R241" s="118">
        <f t="shared" ca="1" si="61"/>
        <v>235459</v>
      </c>
      <c r="S241" s="118">
        <f t="shared" ca="1" si="61"/>
        <v>941836</v>
      </c>
      <c r="T241" s="118">
        <f ca="1">초급</f>
        <v>235459</v>
      </c>
      <c r="U241" s="118">
        <f t="shared" ca="1" si="62"/>
        <v>941836</v>
      </c>
      <c r="V241" s="118"/>
      <c r="W241" s="118"/>
      <c r="X241" s="118"/>
      <c r="Y241" s="118"/>
      <c r="Z241" s="115"/>
    </row>
    <row r="242" spans="11:26" ht="18" customHeight="1">
      <c r="K242" s="171" t="s">
        <v>14</v>
      </c>
      <c r="L242" s="171"/>
      <c r="M242" s="171"/>
      <c r="N242" s="319" t="s">
        <v>42</v>
      </c>
      <c r="O242" s="174">
        <v>8</v>
      </c>
      <c r="P242" s="235">
        <f ca="1">OFFSET($A$1,MATCH(Z236,$A:$A,0)-1,O242)</f>
        <v>4</v>
      </c>
      <c r="Q242" s="322" t="s">
        <v>29</v>
      </c>
      <c r="R242" s="323">
        <f t="shared" ca="1" si="61"/>
        <v>250087</v>
      </c>
      <c r="S242" s="323">
        <f t="shared" ca="1" si="61"/>
        <v>1000348</v>
      </c>
      <c r="T242" s="323">
        <f ca="1">보조원</f>
        <v>250087</v>
      </c>
      <c r="U242" s="323">
        <f t="shared" ca="1" si="62"/>
        <v>1000348</v>
      </c>
      <c r="V242" s="323"/>
      <c r="W242" s="323"/>
      <c r="X242" s="323"/>
      <c r="Y242" s="323"/>
      <c r="Z242" s="324"/>
    </row>
    <row r="243" spans="11:26" ht="18" customHeight="1">
      <c r="K243" s="171" t="s">
        <v>14</v>
      </c>
      <c r="L243" s="171"/>
      <c r="M243" s="171"/>
      <c r="N243" s="139" t="s">
        <v>17</v>
      </c>
      <c r="O243" s="68"/>
      <c r="P243" s="69"/>
      <c r="Q243" s="70"/>
      <c r="R243" s="71"/>
      <c r="S243" s="71">
        <f ca="1">SUBTOTAL(9,S237:S242)</f>
        <v>5425644</v>
      </c>
      <c r="T243" s="71"/>
      <c r="U243" s="71">
        <f ca="1">SUBTOTAL(9,U237:U242)</f>
        <v>5425644</v>
      </c>
      <c r="V243" s="71"/>
      <c r="W243" s="71"/>
      <c r="X243" s="71"/>
      <c r="Y243" s="71"/>
      <c r="Z243" s="68"/>
    </row>
    <row r="244" spans="11:26" ht="18" customHeight="1">
      <c r="K244" s="171" t="s">
        <v>14</v>
      </c>
      <c r="L244" s="171"/>
      <c r="M244" s="171"/>
      <c r="N244" s="318" t="str">
        <f ca="1">"제 " &amp; Z244 &amp; " 호표  "&amp; OFFSET($A$1,MATCH(Z244,$A:$A,0)-1,1)</f>
        <v>제 24 호표  7-3. 위원회심의 지원</v>
      </c>
      <c r="O244" s="221"/>
      <c r="P244" s="148"/>
      <c r="Q244" s="148"/>
      <c r="R244" s="149"/>
      <c r="S244" s="149"/>
      <c r="T244" s="149"/>
      <c r="U244" s="149"/>
      <c r="V244" s="149"/>
      <c r="W244" s="149"/>
      <c r="X244" s="149"/>
      <c r="Y244" s="149"/>
      <c r="Z244" s="325">
        <f>Z236+1</f>
        <v>24</v>
      </c>
    </row>
    <row r="245" spans="11:26" ht="18" customHeight="1">
      <c r="K245" s="171" t="s">
        <v>14</v>
      </c>
      <c r="L245" s="171"/>
      <c r="M245" s="171"/>
      <c r="N245" s="140" t="s">
        <v>43</v>
      </c>
      <c r="O245" s="172">
        <v>3</v>
      </c>
      <c r="P245" s="219">
        <f ca="1">OFFSET($A$1,MATCH(Z244,$A:$A,0)-1,O245)</f>
        <v>2</v>
      </c>
      <c r="Q245" s="141" t="s">
        <v>29</v>
      </c>
      <c r="R245" s="142">
        <f t="shared" ref="R245:S250" ca="1" si="63">T245</f>
        <v>467217</v>
      </c>
      <c r="S245" s="142">
        <f t="shared" ca="1" si="63"/>
        <v>934434</v>
      </c>
      <c r="T245" s="142">
        <f ca="1">기술사</f>
        <v>467217</v>
      </c>
      <c r="U245" s="142">
        <f t="shared" ref="U245:U250" ca="1" si="64">ROUNDDOWN(P245*R245,0)</f>
        <v>934434</v>
      </c>
      <c r="V245" s="142"/>
      <c r="W245" s="142"/>
      <c r="X245" s="142"/>
      <c r="Y245" s="142"/>
      <c r="Z245" s="114"/>
    </row>
    <row r="246" spans="11:26" ht="18" customHeight="1">
      <c r="K246" s="171" t="s">
        <v>14</v>
      </c>
      <c r="L246" s="171"/>
      <c r="M246" s="171"/>
      <c r="N246" s="143" t="s">
        <v>32</v>
      </c>
      <c r="O246" s="173">
        <v>4</v>
      </c>
      <c r="P246" s="234">
        <f ca="1">OFFSET($A$1,MATCH(Z244,$A:$A,0)-1,O246)</f>
        <v>2</v>
      </c>
      <c r="Q246" s="144" t="s">
        <v>29</v>
      </c>
      <c r="R246" s="118">
        <f t="shared" ca="1" si="63"/>
        <v>373353</v>
      </c>
      <c r="S246" s="118">
        <f t="shared" ca="1" si="63"/>
        <v>746706</v>
      </c>
      <c r="T246" s="118">
        <f ca="1">특급</f>
        <v>373353</v>
      </c>
      <c r="U246" s="118">
        <f t="shared" ca="1" si="64"/>
        <v>746706</v>
      </c>
      <c r="V246" s="118"/>
      <c r="W246" s="118"/>
      <c r="X246" s="118"/>
      <c r="Y246" s="118"/>
      <c r="Z246" s="115"/>
    </row>
    <row r="247" spans="11:26" ht="18" customHeight="1">
      <c r="K247" s="171" t="s">
        <v>14</v>
      </c>
      <c r="L247" s="171"/>
      <c r="M247" s="171"/>
      <c r="N247" s="145" t="s">
        <v>39</v>
      </c>
      <c r="O247" s="173">
        <v>5</v>
      </c>
      <c r="P247" s="234">
        <f ca="1">OFFSET($A$1,MATCH(Z244,$A:$A,0)-1,O247)</f>
        <v>2</v>
      </c>
      <c r="Q247" s="144" t="s">
        <v>29</v>
      </c>
      <c r="R247" s="118">
        <f t="shared" ca="1" si="63"/>
        <v>310884</v>
      </c>
      <c r="S247" s="118">
        <f t="shared" ca="1" si="63"/>
        <v>621768</v>
      </c>
      <c r="T247" s="118">
        <f ca="1">고급</f>
        <v>310884</v>
      </c>
      <c r="U247" s="118">
        <f t="shared" ca="1" si="64"/>
        <v>621768</v>
      </c>
      <c r="V247" s="118"/>
      <c r="W247" s="118"/>
      <c r="X247" s="118"/>
      <c r="Y247" s="118"/>
      <c r="Z247" s="115"/>
    </row>
    <row r="248" spans="11:26" ht="18" customHeight="1">
      <c r="K248" s="171" t="s">
        <v>14</v>
      </c>
      <c r="L248" s="171"/>
      <c r="M248" s="171"/>
      <c r="N248" s="145" t="s">
        <v>40</v>
      </c>
      <c r="O248" s="173">
        <v>6</v>
      </c>
      <c r="P248" s="234">
        <f ca="1">OFFSET($A$1,MATCH(Z244,$A:$A,0)-1,O248)</f>
        <v>4</v>
      </c>
      <c r="Q248" s="144" t="s">
        <v>29</v>
      </c>
      <c r="R248" s="118">
        <f t="shared" ca="1" si="63"/>
        <v>295138</v>
      </c>
      <c r="S248" s="118">
        <f t="shared" ca="1" si="63"/>
        <v>1180552</v>
      </c>
      <c r="T248" s="118">
        <f ca="1">중급</f>
        <v>295138</v>
      </c>
      <c r="U248" s="118">
        <f t="shared" ca="1" si="64"/>
        <v>1180552</v>
      </c>
      <c r="V248" s="118"/>
      <c r="W248" s="118"/>
      <c r="X248" s="118"/>
      <c r="Y248" s="118"/>
      <c r="Z248" s="115"/>
    </row>
    <row r="249" spans="11:26" ht="18" customHeight="1">
      <c r="K249" s="171" t="s">
        <v>14</v>
      </c>
      <c r="L249" s="171"/>
      <c r="M249" s="171"/>
      <c r="N249" s="145" t="s">
        <v>41</v>
      </c>
      <c r="O249" s="173">
        <v>7</v>
      </c>
      <c r="P249" s="234">
        <f ca="1">OFFSET($A$1,MATCH(Z244,$A:$A,0)-1,O249)</f>
        <v>4</v>
      </c>
      <c r="Q249" s="144" t="s">
        <v>29</v>
      </c>
      <c r="R249" s="118">
        <f t="shared" ca="1" si="63"/>
        <v>235459</v>
      </c>
      <c r="S249" s="118">
        <f t="shared" ca="1" si="63"/>
        <v>941836</v>
      </c>
      <c r="T249" s="118">
        <f ca="1">초급</f>
        <v>235459</v>
      </c>
      <c r="U249" s="118">
        <f t="shared" ca="1" si="64"/>
        <v>941836</v>
      </c>
      <c r="V249" s="118"/>
      <c r="W249" s="118"/>
      <c r="X249" s="118"/>
      <c r="Y249" s="118"/>
      <c r="Z249" s="115"/>
    </row>
    <row r="250" spans="11:26" ht="18" customHeight="1">
      <c r="K250" s="171" t="s">
        <v>14</v>
      </c>
      <c r="L250" s="171"/>
      <c r="M250" s="171"/>
      <c r="N250" s="319" t="s">
        <v>42</v>
      </c>
      <c r="O250" s="174">
        <v>8</v>
      </c>
      <c r="P250" s="235">
        <f ca="1">OFFSET($A$1,MATCH(Z244,$A:$A,0)-1,O250)</f>
        <v>4</v>
      </c>
      <c r="Q250" s="322" t="s">
        <v>29</v>
      </c>
      <c r="R250" s="323">
        <f t="shared" ca="1" si="63"/>
        <v>250087</v>
      </c>
      <c r="S250" s="323">
        <f t="shared" ca="1" si="63"/>
        <v>1000348</v>
      </c>
      <c r="T250" s="323">
        <f ca="1">보조원</f>
        <v>250087</v>
      </c>
      <c r="U250" s="323">
        <f t="shared" ca="1" si="64"/>
        <v>1000348</v>
      </c>
      <c r="V250" s="323"/>
      <c r="W250" s="323"/>
      <c r="X250" s="323"/>
      <c r="Y250" s="323"/>
      <c r="Z250" s="324"/>
    </row>
    <row r="251" spans="11:26" ht="18" customHeight="1">
      <c r="K251" s="171" t="s">
        <v>14</v>
      </c>
      <c r="L251" s="171"/>
      <c r="M251" s="171"/>
      <c r="N251" s="139" t="s">
        <v>17</v>
      </c>
      <c r="O251" s="68"/>
      <c r="P251" s="69"/>
      <c r="Q251" s="70"/>
      <c r="R251" s="71"/>
      <c r="S251" s="71">
        <f ca="1">SUBTOTAL(9,S245:S250)</f>
        <v>5425644</v>
      </c>
      <c r="T251" s="71"/>
      <c r="U251" s="71">
        <f ca="1">SUBTOTAL(9,U245:U250)</f>
        <v>5425644</v>
      </c>
      <c r="V251" s="71"/>
      <c r="W251" s="71"/>
      <c r="X251" s="71"/>
      <c r="Y251" s="71"/>
      <c r="Z251" s="68"/>
    </row>
    <row r="252" spans="11:26" ht="18" customHeight="1">
      <c r="K252" s="171" t="s">
        <v>14</v>
      </c>
      <c r="L252" s="171"/>
      <c r="M252" s="171"/>
      <c r="N252" s="318" t="str">
        <f ca="1">"제 " &amp; Z252 &amp; " 호표  "&amp; OFFSET($A$1,MATCH(Z252,$A:$A,0)-1,1)</f>
        <v>제 25 호표  7-4. 관계기관 협의</v>
      </c>
      <c r="O252" s="221"/>
      <c r="P252" s="148"/>
      <c r="Q252" s="148"/>
      <c r="R252" s="149"/>
      <c r="S252" s="149"/>
      <c r="T252" s="149"/>
      <c r="U252" s="149"/>
      <c r="V252" s="149"/>
      <c r="W252" s="149"/>
      <c r="X252" s="149"/>
      <c r="Y252" s="149"/>
      <c r="Z252" s="325">
        <f>Z244+1</f>
        <v>25</v>
      </c>
    </row>
    <row r="253" spans="11:26" ht="18" customHeight="1">
      <c r="K253" s="171" t="s">
        <v>14</v>
      </c>
      <c r="L253" s="171"/>
      <c r="M253" s="171"/>
      <c r="N253" s="140" t="s">
        <v>43</v>
      </c>
      <c r="O253" s="172">
        <v>3</v>
      </c>
      <c r="P253" s="219">
        <f ca="1">OFFSET($A$1,MATCH(Z252,$A:$A,0)-1,O253)</f>
        <v>2</v>
      </c>
      <c r="Q253" s="141" t="s">
        <v>29</v>
      </c>
      <c r="R253" s="142">
        <f t="shared" ref="R253:S258" ca="1" si="65">T253</f>
        <v>467217</v>
      </c>
      <c r="S253" s="142">
        <f t="shared" ca="1" si="65"/>
        <v>934434</v>
      </c>
      <c r="T253" s="142">
        <f ca="1">기술사</f>
        <v>467217</v>
      </c>
      <c r="U253" s="142">
        <f t="shared" ref="U253:U258" ca="1" si="66">ROUNDDOWN(P253*R253,0)</f>
        <v>934434</v>
      </c>
      <c r="V253" s="142"/>
      <c r="W253" s="142"/>
      <c r="X253" s="142"/>
      <c r="Y253" s="142"/>
      <c r="Z253" s="114"/>
    </row>
    <row r="254" spans="11:26" ht="18" customHeight="1">
      <c r="K254" s="171" t="s">
        <v>14</v>
      </c>
      <c r="L254" s="171"/>
      <c r="M254" s="171"/>
      <c r="N254" s="143" t="s">
        <v>32</v>
      </c>
      <c r="O254" s="173">
        <v>4</v>
      </c>
      <c r="P254" s="234">
        <f ca="1">OFFSET($A$1,MATCH(Z252,$A:$A,0)-1,O254)</f>
        <v>2</v>
      </c>
      <c r="Q254" s="144" t="s">
        <v>29</v>
      </c>
      <c r="R254" s="118">
        <f t="shared" ca="1" si="65"/>
        <v>373353</v>
      </c>
      <c r="S254" s="118">
        <f t="shared" ca="1" si="65"/>
        <v>746706</v>
      </c>
      <c r="T254" s="118">
        <f ca="1">특급</f>
        <v>373353</v>
      </c>
      <c r="U254" s="118">
        <f t="shared" ca="1" si="66"/>
        <v>746706</v>
      </c>
      <c r="V254" s="118"/>
      <c r="W254" s="118"/>
      <c r="X254" s="118"/>
      <c r="Y254" s="118"/>
      <c r="Z254" s="115"/>
    </row>
    <row r="255" spans="11:26" ht="18" customHeight="1">
      <c r="K255" s="171" t="s">
        <v>14</v>
      </c>
      <c r="L255" s="171"/>
      <c r="M255" s="171"/>
      <c r="N255" s="145" t="s">
        <v>39</v>
      </c>
      <c r="O255" s="173">
        <v>5</v>
      </c>
      <c r="P255" s="234">
        <f ca="1">OFFSET($A$1,MATCH(Z252,$A:$A,0)-1,O255)</f>
        <v>2</v>
      </c>
      <c r="Q255" s="144" t="s">
        <v>29</v>
      </c>
      <c r="R255" s="118">
        <f t="shared" ca="1" si="65"/>
        <v>310884</v>
      </c>
      <c r="S255" s="118">
        <f t="shared" ca="1" si="65"/>
        <v>621768</v>
      </c>
      <c r="T255" s="118">
        <f ca="1">고급</f>
        <v>310884</v>
      </c>
      <c r="U255" s="118">
        <f t="shared" ca="1" si="66"/>
        <v>621768</v>
      </c>
      <c r="V255" s="118"/>
      <c r="W255" s="118"/>
      <c r="X255" s="118"/>
      <c r="Y255" s="118"/>
      <c r="Z255" s="115"/>
    </row>
    <row r="256" spans="11:26" ht="18" customHeight="1">
      <c r="K256" s="171" t="s">
        <v>14</v>
      </c>
      <c r="L256" s="171"/>
      <c r="M256" s="171"/>
      <c r="N256" s="145" t="s">
        <v>40</v>
      </c>
      <c r="O256" s="173">
        <v>6</v>
      </c>
      <c r="P256" s="234">
        <f ca="1">OFFSET($A$1,MATCH(Z252,$A:$A,0)-1,O256)</f>
        <v>4</v>
      </c>
      <c r="Q256" s="144" t="s">
        <v>29</v>
      </c>
      <c r="R256" s="118">
        <f t="shared" ca="1" si="65"/>
        <v>295138</v>
      </c>
      <c r="S256" s="118">
        <f t="shared" ca="1" si="65"/>
        <v>1180552</v>
      </c>
      <c r="T256" s="118">
        <f ca="1">중급</f>
        <v>295138</v>
      </c>
      <c r="U256" s="118">
        <f t="shared" ca="1" si="66"/>
        <v>1180552</v>
      </c>
      <c r="V256" s="118"/>
      <c r="W256" s="118"/>
      <c r="X256" s="118"/>
      <c r="Y256" s="118"/>
      <c r="Z256" s="115"/>
    </row>
    <row r="257" spans="11:26" ht="18" customHeight="1">
      <c r="K257" s="171" t="s">
        <v>14</v>
      </c>
      <c r="L257" s="171"/>
      <c r="M257" s="171"/>
      <c r="N257" s="145" t="s">
        <v>41</v>
      </c>
      <c r="O257" s="173">
        <v>7</v>
      </c>
      <c r="P257" s="234">
        <f ca="1">OFFSET($A$1,MATCH(Z252,$A:$A,0)-1,O257)</f>
        <v>4</v>
      </c>
      <c r="Q257" s="144" t="s">
        <v>29</v>
      </c>
      <c r="R257" s="118">
        <f t="shared" ca="1" si="65"/>
        <v>235459</v>
      </c>
      <c r="S257" s="118">
        <f t="shared" ca="1" si="65"/>
        <v>941836</v>
      </c>
      <c r="T257" s="118">
        <f ca="1">초급</f>
        <v>235459</v>
      </c>
      <c r="U257" s="118">
        <f t="shared" ca="1" si="66"/>
        <v>941836</v>
      </c>
      <c r="V257" s="118"/>
      <c r="W257" s="118"/>
      <c r="X257" s="118"/>
      <c r="Y257" s="118"/>
      <c r="Z257" s="115"/>
    </row>
    <row r="258" spans="11:26" ht="18" customHeight="1">
      <c r="K258" s="171" t="s">
        <v>14</v>
      </c>
      <c r="L258" s="171"/>
      <c r="M258" s="171"/>
      <c r="N258" s="319" t="s">
        <v>42</v>
      </c>
      <c r="O258" s="174">
        <v>8</v>
      </c>
      <c r="P258" s="235">
        <f ca="1">OFFSET($A$1,MATCH(Z252,$A:$A,0)-1,O258)</f>
        <v>4</v>
      </c>
      <c r="Q258" s="322" t="s">
        <v>29</v>
      </c>
      <c r="R258" s="323">
        <f t="shared" ca="1" si="65"/>
        <v>250087</v>
      </c>
      <c r="S258" s="323">
        <f t="shared" ca="1" si="65"/>
        <v>1000348</v>
      </c>
      <c r="T258" s="323">
        <f ca="1">보조원</f>
        <v>250087</v>
      </c>
      <c r="U258" s="323">
        <f t="shared" ca="1" si="66"/>
        <v>1000348</v>
      </c>
      <c r="V258" s="323"/>
      <c r="W258" s="323"/>
      <c r="X258" s="323"/>
      <c r="Y258" s="323"/>
      <c r="Z258" s="324"/>
    </row>
    <row r="259" spans="11:26" ht="18" customHeight="1">
      <c r="K259" s="171" t="s">
        <v>14</v>
      </c>
      <c r="L259" s="171"/>
      <c r="M259" s="171"/>
      <c r="N259" s="139" t="s">
        <v>17</v>
      </c>
      <c r="O259" s="68"/>
      <c r="P259" s="69"/>
      <c r="Q259" s="70"/>
      <c r="R259" s="71"/>
      <c r="S259" s="71">
        <f ca="1">SUBTOTAL(9,S253:S258)</f>
        <v>5425644</v>
      </c>
      <c r="T259" s="71"/>
      <c r="U259" s="71">
        <f ca="1">SUBTOTAL(9,U253:U258)</f>
        <v>5425644</v>
      </c>
      <c r="V259" s="71"/>
      <c r="W259" s="71"/>
      <c r="X259" s="71"/>
      <c r="Y259" s="71"/>
      <c r="Z259" s="68"/>
    </row>
    <row r="260" spans="11:26" ht="18" customHeight="1">
      <c r="K260" s="171" t="s">
        <v>14</v>
      </c>
      <c r="L260" s="171"/>
      <c r="M260" s="171"/>
      <c r="N260" s="171"/>
      <c r="O260" s="171"/>
      <c r="P260" s="171"/>
      <c r="Q260" s="171"/>
      <c r="R260" s="171"/>
      <c r="S260" s="171"/>
      <c r="T260" s="171"/>
      <c r="U260" s="171"/>
      <c r="V260" s="171"/>
      <c r="W260" s="171"/>
      <c r="X260" s="171"/>
      <c r="Y260" s="171"/>
      <c r="Z260" s="171"/>
    </row>
    <row r="261" spans="11:26" ht="18" customHeight="1">
      <c r="K261" s="171" t="s">
        <v>14</v>
      </c>
      <c r="L261" s="171"/>
      <c r="M261" s="171"/>
      <c r="N261" s="171"/>
      <c r="O261" s="171"/>
      <c r="P261" s="171"/>
      <c r="Q261" s="171"/>
      <c r="R261" s="171"/>
      <c r="S261" s="171"/>
      <c r="T261" s="171"/>
      <c r="U261" s="171"/>
      <c r="V261" s="171"/>
      <c r="W261" s="171"/>
      <c r="X261" s="171"/>
      <c r="Y261" s="171"/>
      <c r="Z261" s="171"/>
    </row>
    <row r="262" spans="11:26" ht="18" customHeight="1">
      <c r="K262" s="171" t="s">
        <v>14</v>
      </c>
      <c r="L262" s="171"/>
      <c r="M262" s="171"/>
      <c r="N262" s="171"/>
      <c r="O262" s="171"/>
      <c r="P262" s="171"/>
      <c r="Q262" s="171"/>
      <c r="R262" s="171"/>
      <c r="S262" s="171"/>
      <c r="T262" s="171"/>
      <c r="U262" s="171"/>
      <c r="V262" s="171"/>
      <c r="W262" s="171"/>
      <c r="X262" s="171"/>
      <c r="Y262" s="171"/>
      <c r="Z262" s="171"/>
    </row>
    <row r="263" spans="11:26" ht="18" customHeight="1">
      <c r="K263" s="171" t="s">
        <v>14</v>
      </c>
      <c r="L263" s="171"/>
      <c r="M263" s="171"/>
      <c r="N263" s="171"/>
      <c r="O263" s="171"/>
      <c r="P263" s="171"/>
      <c r="Q263" s="171"/>
      <c r="R263" s="171"/>
      <c r="S263" s="171"/>
      <c r="T263" s="171"/>
      <c r="U263" s="171"/>
      <c r="V263" s="171"/>
      <c r="W263" s="171"/>
      <c r="X263" s="171"/>
      <c r="Y263" s="171"/>
      <c r="Z263" s="171"/>
    </row>
    <row r="264" spans="11:26" ht="18" customHeight="1">
      <c r="K264" s="171" t="s">
        <v>14</v>
      </c>
      <c r="L264" s="171"/>
      <c r="M264" s="171"/>
      <c r="N264" s="171"/>
      <c r="O264" s="171"/>
      <c r="P264" s="171"/>
      <c r="Q264" s="171"/>
      <c r="R264" s="171"/>
      <c r="S264" s="171"/>
      <c r="T264" s="171"/>
      <c r="U264" s="171"/>
      <c r="V264" s="171"/>
      <c r="W264" s="171"/>
      <c r="X264" s="171"/>
      <c r="Y264" s="171"/>
      <c r="Z264" s="171"/>
    </row>
    <row r="265" spans="11:26" ht="18" customHeight="1">
      <c r="K265" s="171" t="s">
        <v>14</v>
      </c>
      <c r="L265" s="171"/>
      <c r="M265" s="171"/>
      <c r="N265" s="171"/>
      <c r="O265" s="171"/>
      <c r="P265" s="171"/>
      <c r="Q265" s="171"/>
      <c r="R265" s="171"/>
      <c r="S265" s="171"/>
      <c r="T265" s="171"/>
      <c r="U265" s="171"/>
      <c r="V265" s="171"/>
      <c r="W265" s="171"/>
      <c r="X265" s="171"/>
      <c r="Y265" s="171"/>
      <c r="Z265" s="171"/>
    </row>
    <row r="266" spans="11:26" ht="18" customHeight="1">
      <c r="K266" s="171" t="s">
        <v>14</v>
      </c>
      <c r="L266" s="171"/>
      <c r="M266" s="171"/>
      <c r="N266" s="171"/>
      <c r="O266" s="171"/>
      <c r="P266" s="171"/>
      <c r="Q266" s="171"/>
      <c r="R266" s="171"/>
      <c r="S266" s="171"/>
      <c r="T266" s="171"/>
      <c r="U266" s="171"/>
      <c r="V266" s="171"/>
      <c r="W266" s="171"/>
      <c r="X266" s="171"/>
      <c r="Y266" s="171"/>
      <c r="Z266" s="171"/>
    </row>
    <row r="267" spans="11:26" ht="18" customHeight="1">
      <c r="K267" s="171" t="s">
        <v>14</v>
      </c>
      <c r="L267" s="171"/>
      <c r="M267" s="171"/>
      <c r="N267" s="171"/>
      <c r="O267" s="171"/>
      <c r="P267" s="171"/>
      <c r="Q267" s="171"/>
      <c r="R267" s="171"/>
      <c r="S267" s="171"/>
      <c r="T267" s="171"/>
      <c r="U267" s="171"/>
      <c r="V267" s="171"/>
      <c r="W267" s="171"/>
      <c r="X267" s="171"/>
      <c r="Y267" s="171"/>
      <c r="Z267" s="171"/>
    </row>
    <row r="268" spans="11:26" ht="18" customHeight="1">
      <c r="K268" s="171" t="s">
        <v>14</v>
      </c>
      <c r="L268" s="171"/>
      <c r="M268" s="171"/>
      <c r="N268" s="171"/>
      <c r="O268" s="171"/>
      <c r="P268" s="171"/>
      <c r="Q268" s="171"/>
      <c r="R268" s="171"/>
      <c r="S268" s="171"/>
      <c r="T268" s="171"/>
      <c r="U268" s="171"/>
      <c r="V268" s="171"/>
      <c r="W268" s="171"/>
      <c r="X268" s="171"/>
      <c r="Y268" s="171"/>
      <c r="Z268" s="171"/>
    </row>
    <row r="269" spans="11:26" ht="18" customHeight="1">
      <c r="K269" s="171" t="s">
        <v>14</v>
      </c>
      <c r="L269" s="171"/>
      <c r="M269" s="171"/>
      <c r="N269" s="171"/>
      <c r="O269" s="171"/>
      <c r="P269" s="171"/>
      <c r="Q269" s="171"/>
      <c r="R269" s="171"/>
      <c r="S269" s="171"/>
      <c r="T269" s="171"/>
      <c r="U269" s="171"/>
      <c r="V269" s="171"/>
      <c r="W269" s="171"/>
      <c r="X269" s="171"/>
      <c r="Y269" s="171"/>
      <c r="Z269" s="171"/>
    </row>
    <row r="270" spans="11:26" ht="18" customHeight="1">
      <c r="K270" s="171" t="s">
        <v>14</v>
      </c>
      <c r="L270" s="171"/>
      <c r="M270" s="171"/>
      <c r="N270" s="171"/>
      <c r="O270" s="171"/>
      <c r="P270" s="171"/>
      <c r="Q270" s="171"/>
      <c r="R270" s="171"/>
      <c r="S270" s="171"/>
      <c r="T270" s="171"/>
      <c r="U270" s="171"/>
      <c r="V270" s="171"/>
      <c r="W270" s="171"/>
      <c r="X270" s="171"/>
      <c r="Y270" s="171"/>
      <c r="Z270" s="171"/>
    </row>
    <row r="271" spans="11:26" ht="18" customHeight="1">
      <c r="K271" s="171" t="s">
        <v>14</v>
      </c>
      <c r="L271" s="171"/>
      <c r="M271" s="171"/>
      <c r="N271" s="171"/>
      <c r="O271" s="171"/>
      <c r="P271" s="171"/>
      <c r="Q271" s="171"/>
      <c r="R271" s="171"/>
      <c r="S271" s="171"/>
      <c r="T271" s="171"/>
      <c r="U271" s="171"/>
      <c r="V271" s="171"/>
      <c r="W271" s="171"/>
      <c r="X271" s="171"/>
      <c r="Y271" s="171"/>
      <c r="Z271" s="171"/>
    </row>
    <row r="272" spans="11:26" ht="18" customHeight="1">
      <c r="K272" s="171" t="s">
        <v>14</v>
      </c>
      <c r="L272" s="171"/>
      <c r="M272" s="171"/>
      <c r="N272" s="171"/>
      <c r="O272" s="171"/>
      <c r="P272" s="171"/>
      <c r="Q272" s="171"/>
      <c r="R272" s="171"/>
      <c r="S272" s="171"/>
      <c r="T272" s="171"/>
      <c r="U272" s="171"/>
      <c r="V272" s="171"/>
      <c r="W272" s="171"/>
      <c r="X272" s="171"/>
      <c r="Y272" s="171"/>
      <c r="Z272" s="171"/>
    </row>
    <row r="273" spans="11:26" ht="18" customHeight="1">
      <c r="K273" s="171" t="s">
        <v>14</v>
      </c>
      <c r="L273" s="171"/>
      <c r="M273" s="171"/>
      <c r="N273" s="171"/>
      <c r="O273" s="171"/>
      <c r="P273" s="171"/>
      <c r="Q273" s="171"/>
      <c r="R273" s="171"/>
      <c r="S273" s="171"/>
      <c r="T273" s="171"/>
      <c r="U273" s="171"/>
      <c r="V273" s="171"/>
      <c r="W273" s="171"/>
      <c r="X273" s="171"/>
      <c r="Y273" s="171"/>
      <c r="Z273" s="171"/>
    </row>
    <row r="274" spans="11:26" ht="18" customHeight="1">
      <c r="K274" s="171" t="s">
        <v>14</v>
      </c>
      <c r="L274" s="171"/>
      <c r="M274" s="171"/>
      <c r="N274" s="171"/>
      <c r="O274" s="171"/>
      <c r="P274" s="171"/>
      <c r="Q274" s="171"/>
      <c r="R274" s="171"/>
      <c r="S274" s="171"/>
      <c r="T274" s="171"/>
      <c r="U274" s="171"/>
      <c r="V274" s="171"/>
      <c r="W274" s="171"/>
      <c r="X274" s="171"/>
      <c r="Y274" s="171"/>
      <c r="Z274" s="171"/>
    </row>
    <row r="275" spans="11:26" ht="18" customHeight="1">
      <c r="K275" s="171" t="s">
        <v>14</v>
      </c>
      <c r="L275" s="171"/>
      <c r="M275" s="171"/>
      <c r="N275" s="171"/>
      <c r="O275" s="171"/>
      <c r="P275" s="171"/>
      <c r="Q275" s="171"/>
      <c r="R275" s="171"/>
      <c r="S275" s="171"/>
      <c r="T275" s="171"/>
      <c r="U275" s="171"/>
      <c r="V275" s="171"/>
      <c r="W275" s="171"/>
      <c r="X275" s="171"/>
      <c r="Y275" s="171"/>
      <c r="Z275" s="171"/>
    </row>
    <row r="276" spans="11:26" ht="18" customHeight="1">
      <c r="K276" s="171" t="s">
        <v>14</v>
      </c>
      <c r="L276" s="171"/>
      <c r="M276" s="171"/>
      <c r="N276" s="171"/>
      <c r="O276" s="171"/>
      <c r="P276" s="171"/>
      <c r="Q276" s="171"/>
      <c r="R276" s="171"/>
      <c r="S276" s="171"/>
      <c r="T276" s="171"/>
      <c r="U276" s="171"/>
      <c r="V276" s="171"/>
      <c r="W276" s="171"/>
      <c r="X276" s="171"/>
      <c r="Y276" s="171"/>
      <c r="Z276" s="171"/>
    </row>
    <row r="277" spans="11:26" ht="18" customHeight="1">
      <c r="K277" s="171" t="s">
        <v>14</v>
      </c>
      <c r="L277" s="171"/>
      <c r="M277" s="171"/>
      <c r="N277" s="171"/>
      <c r="O277" s="171"/>
      <c r="P277" s="171"/>
      <c r="Q277" s="171"/>
      <c r="R277" s="171"/>
      <c r="S277" s="171"/>
      <c r="T277" s="171"/>
      <c r="U277" s="171"/>
      <c r="V277" s="171"/>
      <c r="W277" s="171"/>
      <c r="X277" s="171"/>
      <c r="Y277" s="171"/>
      <c r="Z277" s="171"/>
    </row>
    <row r="278" spans="11:26" ht="18" customHeight="1">
      <c r="K278" s="171" t="s">
        <v>14</v>
      </c>
      <c r="L278" s="171"/>
      <c r="M278" s="171"/>
      <c r="N278" s="171"/>
      <c r="O278" s="171"/>
      <c r="P278" s="171"/>
      <c r="Q278" s="171"/>
      <c r="R278" s="171"/>
      <c r="S278" s="171"/>
      <c r="T278" s="171"/>
      <c r="U278" s="171"/>
      <c r="V278" s="171"/>
      <c r="W278" s="171"/>
      <c r="X278" s="171"/>
      <c r="Y278" s="171"/>
      <c r="Z278" s="171"/>
    </row>
    <row r="279" spans="11:26" ht="18" customHeight="1">
      <c r="K279" s="171" t="s">
        <v>14</v>
      </c>
      <c r="L279" s="171"/>
      <c r="M279" s="171"/>
      <c r="N279" s="171"/>
      <c r="O279" s="171"/>
      <c r="P279" s="171"/>
      <c r="Q279" s="171"/>
      <c r="R279" s="171"/>
      <c r="S279" s="171"/>
      <c r="T279" s="171"/>
      <c r="U279" s="171"/>
      <c r="V279" s="171"/>
      <c r="W279" s="171"/>
      <c r="X279" s="171"/>
      <c r="Y279" s="171"/>
      <c r="Z279" s="171"/>
    </row>
    <row r="280" spans="11:26" ht="18" customHeight="1">
      <c r="K280" s="171" t="s">
        <v>14</v>
      </c>
      <c r="L280" s="171"/>
      <c r="M280" s="171"/>
      <c r="N280" s="171"/>
      <c r="O280" s="171"/>
      <c r="P280" s="171"/>
      <c r="Q280" s="171"/>
      <c r="R280" s="171"/>
      <c r="S280" s="171"/>
      <c r="T280" s="171"/>
      <c r="U280" s="171"/>
      <c r="V280" s="171"/>
      <c r="W280" s="171"/>
      <c r="X280" s="171"/>
      <c r="Y280" s="171"/>
      <c r="Z280" s="171"/>
    </row>
    <row r="281" spans="11:26" ht="18" customHeight="1">
      <c r="K281" s="171" t="s">
        <v>14</v>
      </c>
      <c r="L281" s="171"/>
      <c r="M281" s="171"/>
      <c r="N281" s="171"/>
      <c r="O281" s="171"/>
      <c r="P281" s="171"/>
      <c r="Q281" s="171"/>
      <c r="R281" s="171"/>
      <c r="S281" s="171"/>
      <c r="T281" s="171"/>
      <c r="U281" s="171"/>
      <c r="V281" s="171"/>
      <c r="W281" s="171"/>
      <c r="X281" s="171"/>
      <c r="Y281" s="171"/>
      <c r="Z281" s="171"/>
    </row>
    <row r="282" spans="11:26" ht="18" customHeight="1">
      <c r="K282" s="171" t="s">
        <v>14</v>
      </c>
      <c r="L282" s="171"/>
      <c r="M282" s="171"/>
      <c r="N282" s="171"/>
      <c r="O282" s="171"/>
      <c r="P282" s="171"/>
      <c r="Q282" s="171"/>
      <c r="R282" s="171"/>
      <c r="S282" s="171"/>
      <c r="T282" s="171"/>
      <c r="U282" s="171"/>
      <c r="V282" s="171"/>
      <c r="W282" s="171"/>
      <c r="X282" s="171"/>
      <c r="Y282" s="171"/>
      <c r="Z282" s="171"/>
    </row>
    <row r="283" spans="11:26" ht="18" customHeight="1">
      <c r="K283" s="171" t="s">
        <v>14</v>
      </c>
      <c r="L283" s="171"/>
      <c r="M283" s="171"/>
      <c r="N283" s="171"/>
      <c r="O283" s="171"/>
      <c r="P283" s="171"/>
      <c r="Q283" s="171"/>
      <c r="R283" s="171"/>
      <c r="S283" s="171"/>
      <c r="T283" s="171"/>
      <c r="U283" s="171"/>
      <c r="V283" s="171"/>
      <c r="W283" s="171"/>
      <c r="X283" s="171"/>
      <c r="Y283" s="171"/>
      <c r="Z283" s="171"/>
    </row>
    <row r="284" spans="11:26" ht="18" customHeight="1">
      <c r="K284" s="171" t="s">
        <v>14</v>
      </c>
      <c r="L284" s="171"/>
      <c r="M284" s="171"/>
      <c r="N284" s="171"/>
      <c r="O284" s="171"/>
      <c r="P284" s="171"/>
      <c r="Q284" s="171"/>
      <c r="R284" s="171"/>
      <c r="S284" s="171"/>
      <c r="T284" s="171"/>
      <c r="U284" s="171"/>
      <c r="V284" s="171"/>
      <c r="W284" s="171"/>
      <c r="X284" s="171"/>
      <c r="Y284" s="171"/>
      <c r="Z284" s="171"/>
    </row>
    <row r="285" spans="11:26" ht="18" customHeight="1">
      <c r="K285" s="171" t="s">
        <v>14</v>
      </c>
      <c r="L285" s="171"/>
      <c r="M285" s="171"/>
      <c r="N285" s="171"/>
      <c r="O285" s="171"/>
      <c r="P285" s="171"/>
      <c r="Q285" s="171"/>
      <c r="R285" s="171"/>
      <c r="S285" s="171"/>
      <c r="T285" s="171"/>
      <c r="U285" s="171"/>
      <c r="V285" s="171"/>
      <c r="W285" s="171"/>
      <c r="X285" s="171"/>
      <c r="Y285" s="171"/>
      <c r="Z285" s="171"/>
    </row>
    <row r="286" spans="11:26" ht="18" customHeight="1">
      <c r="K286" s="171" t="s">
        <v>14</v>
      </c>
      <c r="L286" s="171"/>
      <c r="M286" s="171"/>
      <c r="N286" s="171"/>
      <c r="O286" s="171"/>
      <c r="P286" s="171"/>
      <c r="Q286" s="171"/>
      <c r="R286" s="171"/>
      <c r="S286" s="171"/>
      <c r="T286" s="171"/>
      <c r="U286" s="171"/>
      <c r="V286" s="171"/>
      <c r="W286" s="171"/>
      <c r="X286" s="171"/>
      <c r="Y286" s="171"/>
      <c r="Z286" s="171"/>
    </row>
    <row r="287" spans="11:26" ht="18" customHeight="1">
      <c r="K287" s="171" t="s">
        <v>14</v>
      </c>
      <c r="L287" s="171"/>
      <c r="M287" s="171"/>
      <c r="N287" s="171"/>
      <c r="O287" s="171"/>
      <c r="P287" s="171"/>
      <c r="Q287" s="171"/>
      <c r="R287" s="171"/>
      <c r="S287" s="171"/>
      <c r="T287" s="171"/>
      <c r="U287" s="171"/>
      <c r="V287" s="171"/>
      <c r="W287" s="171"/>
      <c r="X287" s="171"/>
      <c r="Y287" s="171"/>
      <c r="Z287" s="171"/>
    </row>
    <row r="288" spans="11:26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</row>
    <row r="753" spans="11:12" ht="18" customHeight="1">
      <c r="K753" s="171" t="s">
        <v>14</v>
      </c>
      <c r="L753" s="171"/>
    </row>
    <row r="754" spans="11:12" ht="18" customHeight="1">
      <c r="K754" s="171" t="s">
        <v>14</v>
      </c>
      <c r="L754" s="171"/>
    </row>
    <row r="755" spans="11:12" ht="18" customHeight="1">
      <c r="K755" s="171" t="s">
        <v>14</v>
      </c>
      <c r="L755" s="171"/>
    </row>
    <row r="756" spans="11:12" ht="18" customHeight="1">
      <c r="K756" s="171" t="s">
        <v>14</v>
      </c>
      <c r="L756" s="171"/>
    </row>
    <row r="757" spans="11:12" ht="18" customHeight="1">
      <c r="K757" s="171" t="s">
        <v>14</v>
      </c>
      <c r="L757" s="171"/>
    </row>
    <row r="758" spans="11:12" ht="18" customHeight="1">
      <c r="K758" s="171" t="s">
        <v>14</v>
      </c>
      <c r="L758" s="171"/>
    </row>
    <row r="759" spans="11:12" ht="18" customHeight="1">
      <c r="K759" s="171" t="s">
        <v>14</v>
      </c>
      <c r="L759" s="171"/>
    </row>
    <row r="760" spans="11:12" ht="18" customHeight="1">
      <c r="K760" s="171" t="s">
        <v>14</v>
      </c>
      <c r="L760" s="171"/>
    </row>
    <row r="761" spans="11:12" ht="18" customHeight="1">
      <c r="K761" s="171" t="s">
        <v>14</v>
      </c>
      <c r="L761" s="171"/>
    </row>
    <row r="762" spans="11:12" ht="18" customHeight="1">
      <c r="K762" s="171" t="s">
        <v>14</v>
      </c>
      <c r="L762" s="171"/>
    </row>
    <row r="763" spans="11:12" ht="18" customHeight="1">
      <c r="K763" s="171" t="s">
        <v>14</v>
      </c>
      <c r="L763" s="171"/>
    </row>
    <row r="764" spans="11:12" ht="18" customHeight="1">
      <c r="K764" s="171" t="s">
        <v>14</v>
      </c>
      <c r="L764" s="171"/>
    </row>
    <row r="765" spans="11:12" ht="18" customHeight="1">
      <c r="K765" s="171" t="s">
        <v>14</v>
      </c>
      <c r="L765" s="171"/>
    </row>
    <row r="766" spans="11:12" ht="18" customHeight="1">
      <c r="K766" s="171" t="s">
        <v>14</v>
      </c>
      <c r="L766" s="171"/>
    </row>
    <row r="767" spans="11:12" ht="18" customHeight="1">
      <c r="K767" s="171" t="s">
        <v>14</v>
      </c>
      <c r="L767" s="171"/>
    </row>
    <row r="768" spans="11:12" ht="18" customHeight="1">
      <c r="K768" s="171" t="s">
        <v>14</v>
      </c>
      <c r="L768" s="171"/>
    </row>
    <row r="769" spans="11:12" ht="18" customHeight="1">
      <c r="K769" s="171" t="s">
        <v>14</v>
      </c>
      <c r="L769" s="171"/>
    </row>
    <row r="770" spans="11:12" ht="18" customHeight="1">
      <c r="K770" s="171" t="s">
        <v>14</v>
      </c>
      <c r="L770" s="171"/>
    </row>
    <row r="771" spans="11:12" ht="18" customHeight="1">
      <c r="K771" s="171" t="s">
        <v>14</v>
      </c>
      <c r="L771" s="171"/>
    </row>
    <row r="772" spans="11:12" ht="18" customHeight="1">
      <c r="K772" s="171" t="s">
        <v>14</v>
      </c>
      <c r="L772" s="171"/>
    </row>
    <row r="773" spans="11:12" ht="18" customHeight="1">
      <c r="K773" s="171" t="s">
        <v>14</v>
      </c>
      <c r="L773" s="171"/>
    </row>
    <row r="774" spans="11:12" ht="18" customHeight="1">
      <c r="K774" s="171" t="s">
        <v>14</v>
      </c>
      <c r="L774" s="171"/>
    </row>
    <row r="775" spans="11:12" ht="18" customHeight="1">
      <c r="K775" s="171" t="s">
        <v>14</v>
      </c>
      <c r="L775" s="171"/>
    </row>
    <row r="776" spans="11:12" ht="18" customHeight="1">
      <c r="K776" s="171" t="s">
        <v>14</v>
      </c>
      <c r="L776" s="171"/>
    </row>
    <row r="777" spans="11:12" ht="18" customHeight="1">
      <c r="K777" s="171" t="s">
        <v>14</v>
      </c>
      <c r="L777" s="171"/>
    </row>
  </sheetData>
  <mergeCells count="20">
    <mergeCell ref="B3:C3"/>
    <mergeCell ref="D3:E3"/>
    <mergeCell ref="B4:C4"/>
    <mergeCell ref="D4:E4"/>
    <mergeCell ref="B5:C5"/>
    <mergeCell ref="D5:E5"/>
    <mergeCell ref="J75:J79"/>
    <mergeCell ref="B11:C12"/>
    <mergeCell ref="J11:J12"/>
    <mergeCell ref="L11:L12"/>
    <mergeCell ref="J41:J45"/>
    <mergeCell ref="N58:N59"/>
    <mergeCell ref="P58:P59"/>
    <mergeCell ref="Q58:Q59"/>
    <mergeCell ref="Z58:Z59"/>
    <mergeCell ref="J14:J16"/>
    <mergeCell ref="J18:J21"/>
    <mergeCell ref="J48:J50"/>
    <mergeCell ref="J52:J55"/>
    <mergeCell ref="O58:O59"/>
  </mergeCells>
  <phoneticPr fontId="14" type="noConversion"/>
  <conditionalFormatting sqref="V13:V45">
    <cfRule type="cellIs" dxfId="6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codeName="Sheet66">
    <tabColor rgb="FFFFC000"/>
    <pageSetUpPr fitToPage="1"/>
  </sheetPr>
  <dimension ref="A1:AC762"/>
  <sheetViews>
    <sheetView showGridLines="0" zoomScale="85" zoomScaleNormal="85" zoomScaleSheetLayoutView="75" workbookViewId="0">
      <selection activeCell="V15" sqref="V15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379</v>
      </c>
    </row>
    <row r="2" spans="1:26" ht="19.5" thickBot="1">
      <c r="B2" s="66" t="s">
        <v>1</v>
      </c>
    </row>
    <row r="3" spans="1:26" ht="18" customHeight="1">
      <c r="B3" s="773" t="str">
        <f>CHOOSE(G3, "기준면적:", "기준거리:")</f>
        <v>기준면적:</v>
      </c>
      <c r="C3" s="774"/>
      <c r="D3" s="775">
        <v>1</v>
      </c>
      <c r="E3" s="776"/>
      <c r="F3" s="44" t="str">
        <f>CHOOSE(G3,"만㎡","㎞")</f>
        <v>만㎡</v>
      </c>
      <c r="G3" s="391">
        <v>1</v>
      </c>
    </row>
    <row r="4" spans="1:26" ht="18" customHeight="1">
      <c r="B4" s="777" t="str">
        <f>CHOOSE(G3,"계획면적(A) :", "계획거리(A):")</f>
        <v>계획면적(A) :</v>
      </c>
      <c r="C4" s="778"/>
      <c r="D4" s="779">
        <v>1</v>
      </c>
      <c r="E4" s="780"/>
      <c r="F4" s="65" t="str">
        <f>F3</f>
        <v>만㎡</v>
      </c>
      <c r="J4" s="427"/>
      <c r="K4" s="427"/>
      <c r="L4" s="427"/>
      <c r="M4" s="427"/>
      <c r="N4" s="427"/>
      <c r="O4" s="427"/>
    </row>
    <row r="5" spans="1:26" ht="18" customHeight="1" thickBot="1">
      <c r="B5" s="781" t="s">
        <v>378</v>
      </c>
      <c r="C5" s="782"/>
      <c r="D5" s="783">
        <f>ROUND((IF(D4&lt;=1,1,D4)/D3)^0.5,3)</f>
        <v>1</v>
      </c>
      <c r="E5" s="784"/>
      <c r="F5" s="45"/>
      <c r="G5" s="36"/>
    </row>
    <row r="6" spans="1:26" ht="18" customHeight="1" thickBot="1">
      <c r="A6" s="358"/>
      <c r="B6" s="76" t="s">
        <v>465</v>
      </c>
      <c r="C6" s="77"/>
      <c r="D6" s="869" t="s">
        <v>60</v>
      </c>
      <c r="E6" s="870"/>
      <c r="F6" s="871"/>
      <c r="G6" s="36"/>
    </row>
    <row r="7" spans="1:26" ht="18" customHeight="1" thickBot="1">
      <c r="B7" s="76" t="s">
        <v>466</v>
      </c>
      <c r="C7" s="77"/>
      <c r="D7" s="869" t="s">
        <v>60</v>
      </c>
      <c r="E7" s="870"/>
      <c r="F7" s="871"/>
      <c r="G7" s="36"/>
    </row>
    <row r="8" spans="1:26" ht="18" customHeight="1">
      <c r="B8" s="9" t="s">
        <v>355</v>
      </c>
      <c r="C8" s="36"/>
      <c r="D8" s="36"/>
      <c r="E8" s="36"/>
      <c r="F8" s="36"/>
      <c r="G8" s="36"/>
    </row>
    <row r="9" spans="1:26" ht="18" customHeight="1">
      <c r="B9" s="9"/>
      <c r="C9" s="9" t="s">
        <v>356</v>
      </c>
      <c r="D9" s="64"/>
      <c r="E9" s="64"/>
      <c r="G9" s="36"/>
      <c r="R9" s="1"/>
      <c r="S9" s="1"/>
      <c r="T9" s="1"/>
    </row>
    <row r="10" spans="1:26" ht="18" customHeight="1">
      <c r="G10" s="36"/>
      <c r="W10" s="188" t="s">
        <v>3</v>
      </c>
      <c r="X10" s="189"/>
    </row>
    <row r="11" spans="1:26" ht="18" customHeight="1" thickBot="1">
      <c r="B11" s="66" t="s">
        <v>4</v>
      </c>
      <c r="C11" s="9"/>
      <c r="D11" s="64"/>
      <c r="E11" s="64"/>
      <c r="G11" s="36"/>
      <c r="N11" s="66" t="s">
        <v>5</v>
      </c>
    </row>
    <row r="12" spans="1:26" ht="18" customHeight="1" thickBot="1"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SUBTOTAL(9,W13:W37)</f>
        <v>229184369</v>
      </c>
      <c r="X12" s="187"/>
      <c r="Y12" s="177"/>
      <c r="Z12" s="167"/>
    </row>
    <row r="13" spans="1:26" ht="18" customHeight="1">
      <c r="B13" s="757" t="s">
        <v>30</v>
      </c>
      <c r="C13" s="758"/>
      <c r="D13" s="14" t="s">
        <v>6</v>
      </c>
      <c r="E13" s="15"/>
      <c r="F13" s="15"/>
      <c r="G13" s="15"/>
      <c r="H13" s="15"/>
      <c r="I13" s="16"/>
      <c r="J13" s="761" t="s">
        <v>31</v>
      </c>
      <c r="L13" s="763" t="s">
        <v>7</v>
      </c>
      <c r="N13" s="127" t="s">
        <v>8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SUBTOTAL(9,W14:W34)</f>
        <v>85851295</v>
      </c>
      <c r="X13" s="164"/>
      <c r="Y13" s="178" t="s">
        <v>9</v>
      </c>
      <c r="Z13" s="179"/>
    </row>
    <row r="14" spans="1:26" ht="18" customHeight="1" thickBot="1">
      <c r="B14" s="759"/>
      <c r="C14" s="760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181"/>
      <c r="V14" s="218"/>
      <c r="W14" s="159">
        <f ca="1">SUBTOTAL(9,W15:W29)</f>
        <v>79851295</v>
      </c>
      <c r="X14" s="160"/>
      <c r="Y14" s="168"/>
      <c r="Z14" s="168"/>
    </row>
    <row r="15" spans="1:26" ht="18" customHeight="1">
      <c r="B15" s="225" t="s">
        <v>358</v>
      </c>
      <c r="C15" s="72"/>
      <c r="D15" s="203">
        <f t="shared" ref="D15:I15" si="0">SUBTOTAL(9,D16:D17)</f>
        <v>2.2000000000000002</v>
      </c>
      <c r="E15" s="204">
        <f t="shared" si="0"/>
        <v>3.3</v>
      </c>
      <c r="F15" s="204">
        <f t="shared" si="0"/>
        <v>9.6999999999999993</v>
      </c>
      <c r="G15" s="204">
        <f t="shared" si="0"/>
        <v>23.4</v>
      </c>
      <c r="H15" s="204">
        <f t="shared" si="0"/>
        <v>22.799999999999997</v>
      </c>
      <c r="I15" s="205">
        <f t="shared" si="0"/>
        <v>25.8</v>
      </c>
      <c r="J15" s="73"/>
      <c r="L15" s="232"/>
      <c r="N15" s="294" t="s">
        <v>357</v>
      </c>
      <c r="O15" s="169"/>
      <c r="P15" s="169"/>
      <c r="Q15" s="169"/>
      <c r="R15" s="169"/>
      <c r="S15" s="169"/>
      <c r="T15" s="169"/>
      <c r="U15" s="226"/>
      <c r="V15" s="248"/>
      <c r="W15" s="193">
        <f ca="1">SUBTOTAL(9,W16:W17)</f>
        <v>24002451</v>
      </c>
      <c r="X15" s="194"/>
      <c r="Y15" s="170" t="str">
        <f>IF(A30&gt;0, "제 " &amp;A30&amp; " 호표","")</f>
        <v/>
      </c>
      <c r="Z15" s="170"/>
    </row>
    <row r="16" spans="1:26" ht="18" customHeight="1">
      <c r="B16" s="223" t="s">
        <v>360</v>
      </c>
      <c r="C16" s="23"/>
      <c r="D16" s="197">
        <v>0.4</v>
      </c>
      <c r="E16" s="198">
        <v>1.2</v>
      </c>
      <c r="F16" s="198">
        <v>2.9</v>
      </c>
      <c r="G16" s="198">
        <v>12.9</v>
      </c>
      <c r="H16" s="198">
        <v>14.7</v>
      </c>
      <c r="I16" s="199">
        <v>19</v>
      </c>
      <c r="J16" s="389" t="s">
        <v>369</v>
      </c>
      <c r="L16" s="233">
        <v>1</v>
      </c>
      <c r="N16" s="296" t="s">
        <v>359</v>
      </c>
      <c r="O16" s="37"/>
      <c r="P16" s="37"/>
      <c r="Q16" s="37"/>
      <c r="R16" s="37"/>
      <c r="S16" s="37"/>
      <c r="T16" s="37"/>
      <c r="U16" s="226"/>
      <c r="V16" s="231"/>
      <c r="W16" s="153">
        <f t="array" aca="1" ref="W16" ca="1">SUM((ROUNDDOWN((D33:I33)*단가,0)))</f>
        <v>13556652</v>
      </c>
      <c r="X16" s="154"/>
      <c r="Y16" s="150" t="str">
        <f>IF(A33&gt;0, "제 " &amp;A33&amp; " 호표","")</f>
        <v>제 1 호표</v>
      </c>
      <c r="Z16" s="150"/>
    </row>
    <row r="17" spans="2:26" ht="18" customHeight="1">
      <c r="B17" s="223" t="s">
        <v>362</v>
      </c>
      <c r="C17" s="23"/>
      <c r="D17" s="197">
        <v>1.8</v>
      </c>
      <c r="E17" s="198">
        <v>2.1</v>
      </c>
      <c r="F17" s="198">
        <v>6.8</v>
      </c>
      <c r="G17" s="198">
        <v>10.5</v>
      </c>
      <c r="H17" s="198">
        <v>8.1</v>
      </c>
      <c r="I17" s="199">
        <v>6.8</v>
      </c>
      <c r="J17" s="389" t="s">
        <v>369</v>
      </c>
      <c r="L17" s="233">
        <v>1</v>
      </c>
      <c r="N17" s="296" t="s">
        <v>361</v>
      </c>
      <c r="O17" s="37"/>
      <c r="P17" s="37"/>
      <c r="Q17" s="37"/>
      <c r="R17" s="37"/>
      <c r="S17" s="37"/>
      <c r="T17" s="37"/>
      <c r="U17" s="226"/>
      <c r="V17" s="231"/>
      <c r="W17" s="153">
        <f t="array" aca="1" ref="W17" ca="1">SUM((ROUNDDOWN((D34:I34)*단가,0)))</f>
        <v>10445799</v>
      </c>
      <c r="X17" s="154"/>
      <c r="Y17" s="150" t="str">
        <f t="shared" ref="Y17:Y24" si="1">IF(A34&gt;0, "제 " &amp;A34&amp; " 호표","")</f>
        <v>제 2 호표</v>
      </c>
      <c r="Z17" s="150"/>
    </row>
    <row r="18" spans="2:26" ht="18" customHeight="1">
      <c r="B18" s="222" t="s">
        <v>52</v>
      </c>
      <c r="C18" s="47"/>
      <c r="D18" s="48">
        <f t="shared" ref="D18:I18" si="2">SUBTOTAL(9,D19:D19)</f>
        <v>1.9</v>
      </c>
      <c r="E18" s="49">
        <f t="shared" si="2"/>
        <v>3.1</v>
      </c>
      <c r="F18" s="49">
        <f t="shared" si="2"/>
        <v>7.9</v>
      </c>
      <c r="G18" s="49">
        <f t="shared" si="2"/>
        <v>5.4</v>
      </c>
      <c r="H18" s="49">
        <f t="shared" si="2"/>
        <v>4.7</v>
      </c>
      <c r="I18" s="50">
        <f t="shared" si="2"/>
        <v>5.0999999999999996</v>
      </c>
      <c r="J18" s="74"/>
      <c r="L18" s="233"/>
      <c r="N18" s="292" t="s">
        <v>107</v>
      </c>
      <c r="O18" s="37"/>
      <c r="P18" s="39"/>
      <c r="Q18" s="37"/>
      <c r="R18" s="117"/>
      <c r="S18" s="37"/>
      <c r="T18" s="37"/>
      <c r="U18" s="226"/>
      <c r="V18" s="231"/>
      <c r="W18" s="195">
        <f ca="1">SUBTOTAL(9,W19:W19)</f>
        <v>8476934</v>
      </c>
      <c r="X18" s="196"/>
      <c r="Y18" s="150" t="str">
        <f t="shared" si="1"/>
        <v/>
      </c>
      <c r="Z18" s="150"/>
    </row>
    <row r="19" spans="2:26" ht="18" customHeight="1">
      <c r="B19" s="223" t="s">
        <v>364</v>
      </c>
      <c r="C19" s="23"/>
      <c r="D19" s="197">
        <v>1.9</v>
      </c>
      <c r="E19" s="198">
        <v>3.1</v>
      </c>
      <c r="F19" s="198">
        <v>7.9</v>
      </c>
      <c r="G19" s="198">
        <v>5.4</v>
      </c>
      <c r="H19" s="198">
        <v>4.7</v>
      </c>
      <c r="I19" s="199">
        <v>5.0999999999999996</v>
      </c>
      <c r="J19" s="390" t="s">
        <v>369</v>
      </c>
      <c r="L19" s="233">
        <v>1</v>
      </c>
      <c r="N19" s="296" t="s">
        <v>363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SUM((ROUNDDOWN((D36:I36)*단가,0)))</f>
        <v>8476934</v>
      </c>
      <c r="X19" s="154"/>
      <c r="Y19" s="150" t="str">
        <f t="shared" si="1"/>
        <v>제 3 호표</v>
      </c>
      <c r="Z19" s="150"/>
    </row>
    <row r="20" spans="2:26" ht="18" customHeight="1">
      <c r="B20" s="222" t="s">
        <v>366</v>
      </c>
      <c r="C20" s="47"/>
      <c r="D20" s="48">
        <f t="shared" ref="D20:I20" si="3">SUBTOTAL(9,D21:D21)</f>
        <v>1.3</v>
      </c>
      <c r="E20" s="49">
        <f t="shared" si="3"/>
        <v>2.8</v>
      </c>
      <c r="F20" s="49">
        <f t="shared" si="3"/>
        <v>7.2</v>
      </c>
      <c r="G20" s="49">
        <f t="shared" si="3"/>
        <v>7.4</v>
      </c>
      <c r="H20" s="49">
        <f t="shared" si="3"/>
        <v>5.9</v>
      </c>
      <c r="I20" s="50">
        <f t="shared" si="3"/>
        <v>6.5</v>
      </c>
      <c r="J20" s="74"/>
      <c r="L20" s="233"/>
      <c r="N20" s="292" t="s">
        <v>365</v>
      </c>
      <c r="O20" s="37"/>
      <c r="P20" s="39"/>
      <c r="Q20" s="37"/>
      <c r="R20" s="117"/>
      <c r="S20" s="37"/>
      <c r="T20" s="37"/>
      <c r="U20" s="226"/>
      <c r="V20" s="231"/>
      <c r="W20" s="195">
        <f ca="1">SUBTOTAL(9,W21:W21)</f>
        <v>9089928</v>
      </c>
      <c r="X20" s="154"/>
      <c r="Y20" s="150" t="str">
        <f t="shared" si="1"/>
        <v/>
      </c>
      <c r="Z20" s="150"/>
    </row>
    <row r="21" spans="2:26" ht="18" customHeight="1">
      <c r="B21" s="223" t="s">
        <v>368</v>
      </c>
      <c r="C21" s="23"/>
      <c r="D21" s="197">
        <v>1.3</v>
      </c>
      <c r="E21" s="198">
        <v>2.8</v>
      </c>
      <c r="F21" s="198">
        <v>7.2</v>
      </c>
      <c r="G21" s="198">
        <v>7.4</v>
      </c>
      <c r="H21" s="198">
        <v>5.9</v>
      </c>
      <c r="I21" s="199">
        <v>6.5</v>
      </c>
      <c r="J21" s="74"/>
      <c r="L21" s="233">
        <v>1</v>
      </c>
      <c r="N21" s="296" t="s">
        <v>367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SUM((ROUNDDOWN((D38:I38)*단가,0)))</f>
        <v>9089928</v>
      </c>
      <c r="X21" s="154"/>
      <c r="Y21" s="150" t="str">
        <f t="shared" si="1"/>
        <v>제 4 호표</v>
      </c>
      <c r="Z21" s="150"/>
    </row>
    <row r="22" spans="2:26" ht="18" customHeight="1">
      <c r="B22" s="222" t="s">
        <v>98</v>
      </c>
      <c r="C22" s="47"/>
      <c r="D22" s="48">
        <f t="shared" ref="D22:I22" si="4">SUBTOTAL(9,D23:D24)</f>
        <v>0.6</v>
      </c>
      <c r="E22" s="49">
        <f t="shared" si="4"/>
        <v>0.8</v>
      </c>
      <c r="F22" s="49">
        <f t="shared" si="4"/>
        <v>4.2</v>
      </c>
      <c r="G22" s="49">
        <f t="shared" si="4"/>
        <v>15.8</v>
      </c>
      <c r="H22" s="49">
        <f t="shared" si="4"/>
        <v>18.600000000000001</v>
      </c>
      <c r="I22" s="50">
        <f t="shared" si="4"/>
        <v>22.6</v>
      </c>
      <c r="J22" s="74"/>
      <c r="L22" s="233"/>
      <c r="N22" s="292" t="s">
        <v>137</v>
      </c>
      <c r="O22" s="37"/>
      <c r="P22" s="39"/>
      <c r="Q22" s="37"/>
      <c r="R22" s="117"/>
      <c r="S22" s="37"/>
      <c r="T22" s="37"/>
      <c r="U22" s="226"/>
      <c r="V22" s="231"/>
      <c r="W22" s="195">
        <f ca="1">SUBTOTAL(9,W23:W24)</f>
        <v>16579406</v>
      </c>
      <c r="X22" s="154"/>
      <c r="Y22" s="150" t="str">
        <f t="shared" si="1"/>
        <v/>
      </c>
      <c r="Z22" s="150"/>
    </row>
    <row r="23" spans="2:26" ht="18" customHeight="1">
      <c r="B23" s="223" t="s">
        <v>226</v>
      </c>
      <c r="C23" s="23"/>
      <c r="D23" s="197">
        <v>0.3</v>
      </c>
      <c r="E23" s="198">
        <v>0.4</v>
      </c>
      <c r="F23" s="198">
        <v>2.1</v>
      </c>
      <c r="G23" s="198">
        <v>7.9</v>
      </c>
      <c r="H23" s="198">
        <v>9.3000000000000007</v>
      </c>
      <c r="I23" s="199">
        <v>11.3</v>
      </c>
      <c r="J23" s="74"/>
      <c r="L23" s="233">
        <v>1</v>
      </c>
      <c r="N23" s="296" t="s">
        <v>225</v>
      </c>
      <c r="O23" s="37"/>
      <c r="P23" s="39"/>
      <c r="Q23" s="37"/>
      <c r="R23" s="117"/>
      <c r="S23" s="37"/>
      <c r="T23" s="37"/>
      <c r="U23" s="226"/>
      <c r="V23" s="231"/>
      <c r="W23" s="153">
        <f t="array" aca="1" ref="W23" ca="1">SUM((ROUNDDOWN((D40:I40)*단가,0)))</f>
        <v>8289703</v>
      </c>
      <c r="X23" s="154"/>
      <c r="Y23" s="150" t="str">
        <f t="shared" si="1"/>
        <v>제 5 호표</v>
      </c>
      <c r="Z23" s="150"/>
    </row>
    <row r="24" spans="2:26" ht="18" customHeight="1">
      <c r="B24" s="223" t="s">
        <v>228</v>
      </c>
      <c r="C24" s="43"/>
      <c r="D24" s="206">
        <v>0.3</v>
      </c>
      <c r="E24" s="207">
        <v>0.4</v>
      </c>
      <c r="F24" s="207">
        <v>2.1</v>
      </c>
      <c r="G24" s="207">
        <v>7.9</v>
      </c>
      <c r="H24" s="207">
        <v>9.3000000000000007</v>
      </c>
      <c r="I24" s="208">
        <v>11.3</v>
      </c>
      <c r="J24" s="239"/>
      <c r="L24" s="233">
        <v>1</v>
      </c>
      <c r="N24" s="296" t="s">
        <v>227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SUM((ROUNDDOWN((D41:I41)*단가,0)))</f>
        <v>8289703</v>
      </c>
      <c r="X24" s="154"/>
      <c r="Y24" s="150" t="str">
        <f t="shared" si="1"/>
        <v>제 6 호표</v>
      </c>
      <c r="Z24" s="150"/>
    </row>
    <row r="25" spans="2:26" ht="18" customHeight="1">
      <c r="B25" s="58" t="s">
        <v>65</v>
      </c>
      <c r="C25" s="59"/>
      <c r="D25" s="60">
        <f t="shared" ref="D25:I25" si="5">SUBTOTAL(9,D15:D24)</f>
        <v>5.9999999999999991</v>
      </c>
      <c r="E25" s="61">
        <f t="shared" si="5"/>
        <v>10</v>
      </c>
      <c r="F25" s="61">
        <f t="shared" si="5"/>
        <v>29.000000000000004</v>
      </c>
      <c r="G25" s="61">
        <f t="shared" si="5"/>
        <v>51.999999999999993</v>
      </c>
      <c r="H25" s="61">
        <f t="shared" si="5"/>
        <v>52</v>
      </c>
      <c r="I25" s="62">
        <f t="shared" si="5"/>
        <v>60</v>
      </c>
      <c r="J25" s="254"/>
      <c r="N25" s="292" t="s">
        <v>231</v>
      </c>
      <c r="O25" s="37"/>
      <c r="P25" s="39"/>
      <c r="Q25" s="37"/>
      <c r="R25" s="117"/>
      <c r="S25" s="37"/>
      <c r="T25" s="37"/>
      <c r="U25" s="226"/>
      <c r="V25" s="231"/>
      <c r="W25" s="195">
        <f ca="1">SUBTOTAL(9,W26:W29)</f>
        <v>21702576</v>
      </c>
      <c r="X25" s="154"/>
      <c r="Y25" s="150" t="str">
        <f>IF(A48&gt;0, "제 " &amp;A48&amp; " 호표","")</f>
        <v/>
      </c>
      <c r="Z25" s="150"/>
    </row>
    <row r="26" spans="2:26" ht="18" customHeight="1">
      <c r="B26" s="252" t="s">
        <v>232</v>
      </c>
      <c r="C26" s="253"/>
      <c r="D26" s="81">
        <f t="shared" ref="D26:I26" si="6">SUBTOTAL(9,D27:D30)</f>
        <v>8</v>
      </c>
      <c r="E26" s="82">
        <f t="shared" si="6"/>
        <v>8</v>
      </c>
      <c r="F26" s="82">
        <f t="shared" si="6"/>
        <v>8</v>
      </c>
      <c r="G26" s="82">
        <f t="shared" si="6"/>
        <v>16</v>
      </c>
      <c r="H26" s="82">
        <f t="shared" si="6"/>
        <v>16</v>
      </c>
      <c r="I26" s="83">
        <f t="shared" si="6"/>
        <v>16</v>
      </c>
      <c r="J26" s="787" t="s">
        <v>224</v>
      </c>
      <c r="L26" s="233"/>
      <c r="N26" s="296" t="s">
        <v>233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SUM((ROUNDDOWN((D44:I44)*단가,0)))</f>
        <v>5425644</v>
      </c>
      <c r="X26" s="154"/>
      <c r="Y26" s="150" t="str">
        <f>IF(A44&gt;0, "제 " &amp;A44&amp; " 호표","")</f>
        <v>제 7 호표</v>
      </c>
      <c r="Z26" s="150"/>
    </row>
    <row r="27" spans="2:26" ht="18" customHeight="1">
      <c r="B27" s="223" t="s">
        <v>234</v>
      </c>
      <c r="C27" s="23"/>
      <c r="D27" s="197">
        <v>2</v>
      </c>
      <c r="E27" s="198">
        <v>2</v>
      </c>
      <c r="F27" s="198">
        <v>2</v>
      </c>
      <c r="G27" s="198">
        <v>4</v>
      </c>
      <c r="H27" s="198">
        <v>4</v>
      </c>
      <c r="I27" s="199">
        <v>4</v>
      </c>
      <c r="J27" s="787"/>
      <c r="L27" s="233">
        <v>1</v>
      </c>
      <c r="N27" s="296" t="s">
        <v>235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SUM((ROUNDDOWN((D45:I45)*단가,0)))</f>
        <v>5425644</v>
      </c>
      <c r="X27" s="154"/>
      <c r="Y27" s="150" t="str">
        <f>IF(A45&gt;0, "제 " &amp;A45&amp; " 호표","")</f>
        <v>제 8 호표</v>
      </c>
      <c r="Z27" s="150"/>
    </row>
    <row r="28" spans="2:26" ht="18" customHeight="1">
      <c r="B28" s="223" t="s">
        <v>236</v>
      </c>
      <c r="C28" s="23"/>
      <c r="D28" s="197">
        <v>2</v>
      </c>
      <c r="E28" s="198">
        <v>2</v>
      </c>
      <c r="F28" s="198">
        <v>2</v>
      </c>
      <c r="G28" s="198">
        <v>4</v>
      </c>
      <c r="H28" s="198">
        <v>4</v>
      </c>
      <c r="I28" s="199">
        <v>4</v>
      </c>
      <c r="J28" s="787"/>
      <c r="L28" s="233">
        <v>1</v>
      </c>
      <c r="N28" s="296" t="s">
        <v>237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SUM((ROUNDDOWN((D46:I46)*단가,0)))</f>
        <v>5425644</v>
      </c>
      <c r="X28" s="154"/>
      <c r="Y28" s="150" t="str">
        <f>IF(A46&gt;0, "제 " &amp;A46&amp; " 호표","")</f>
        <v>제 9 호표</v>
      </c>
      <c r="Z28" s="150"/>
    </row>
    <row r="29" spans="2:26" ht="18" customHeight="1">
      <c r="B29" s="223" t="s">
        <v>238</v>
      </c>
      <c r="C29" s="23"/>
      <c r="D29" s="197">
        <v>2</v>
      </c>
      <c r="E29" s="198">
        <v>2</v>
      </c>
      <c r="F29" s="198">
        <v>2</v>
      </c>
      <c r="G29" s="198">
        <v>4</v>
      </c>
      <c r="H29" s="198">
        <v>4</v>
      </c>
      <c r="I29" s="199">
        <v>4</v>
      </c>
      <c r="J29" s="787"/>
      <c r="L29" s="233">
        <v>1</v>
      </c>
      <c r="N29" s="296" t="s">
        <v>239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SUM((ROUNDDOWN((D47:I47)*단가,0)))</f>
        <v>5425644</v>
      </c>
      <c r="X29" s="154"/>
      <c r="Y29" s="150" t="str">
        <f>IF(A47&gt;0, "제 " &amp;A47&amp; " 호표","")</f>
        <v>제 10 호표</v>
      </c>
      <c r="Z29" s="150"/>
    </row>
    <row r="30" spans="2:26" ht="18" customHeight="1" thickBot="1">
      <c r="B30" s="223" t="s">
        <v>240</v>
      </c>
      <c r="C30" s="23"/>
      <c r="D30" s="197">
        <v>2</v>
      </c>
      <c r="E30" s="198">
        <v>2</v>
      </c>
      <c r="F30" s="198">
        <v>2</v>
      </c>
      <c r="G30" s="198">
        <v>4</v>
      </c>
      <c r="H30" s="198">
        <v>4</v>
      </c>
      <c r="I30" s="199">
        <v>4</v>
      </c>
      <c r="J30" s="788"/>
      <c r="L30" s="233">
        <v>1</v>
      </c>
      <c r="N30" s="379"/>
      <c r="P30" s="371"/>
      <c r="R30" s="357"/>
      <c r="S30" s="1"/>
      <c r="T30" s="1"/>
      <c r="U30" s="258"/>
      <c r="V30" s="380"/>
      <c r="W30" s="373"/>
      <c r="X30" s="374"/>
      <c r="Y30" s="378"/>
      <c r="Z30" s="378"/>
    </row>
    <row r="31" spans="2:26" ht="18" customHeight="1" thickBot="1">
      <c r="B31" s="14" t="s">
        <v>30</v>
      </c>
      <c r="C31" s="16"/>
      <c r="D31" s="14" t="s">
        <v>12</v>
      </c>
      <c r="E31" s="15"/>
      <c r="F31" s="15"/>
      <c r="G31" s="15"/>
      <c r="H31" s="15"/>
      <c r="I31" s="16"/>
      <c r="J31" s="175" t="s">
        <v>31</v>
      </c>
      <c r="N31" s="290" t="s">
        <v>10</v>
      </c>
      <c r="O31" s="129"/>
      <c r="P31" s="130"/>
      <c r="Q31" s="124"/>
      <c r="R31" s="131"/>
      <c r="S31" s="124"/>
      <c r="T31" s="124"/>
      <c r="U31" s="181"/>
      <c r="V31" s="181"/>
      <c r="W31" s="159">
        <f>SUBTOTAL(9,W32:W34)</f>
        <v>6000000</v>
      </c>
      <c r="X31" s="160"/>
      <c r="Y31" s="124"/>
      <c r="Z31" s="124"/>
    </row>
    <row r="32" spans="2:26" ht="18" customHeight="1">
      <c r="B32" s="225" t="s">
        <v>358</v>
      </c>
      <c r="C32" s="72"/>
      <c r="D32" s="203">
        <f t="shared" ref="D32:I32" si="7">SUBTOTAL(9,D33:D34)</f>
        <v>2.2000000000000002</v>
      </c>
      <c r="E32" s="204">
        <f t="shared" si="7"/>
        <v>3.3</v>
      </c>
      <c r="F32" s="204">
        <f t="shared" si="7"/>
        <v>9.6999999999999993</v>
      </c>
      <c r="G32" s="204">
        <f t="shared" si="7"/>
        <v>23.4</v>
      </c>
      <c r="H32" s="204">
        <f t="shared" si="7"/>
        <v>22.799999999999997</v>
      </c>
      <c r="I32" s="205">
        <f t="shared" si="7"/>
        <v>25.8</v>
      </c>
      <c r="J32" s="73"/>
      <c r="N32" s="291" t="str">
        <f>"여비("&amp;TEXT(T32,"#인 ×")&amp;TEXT(U32,"#일 ×")&amp;TEXT(V32,"###,###원)")</f>
        <v>여비(3인 ×10일 ×100,000원)</v>
      </c>
      <c r="O32" s="78"/>
      <c r="P32" s="52"/>
      <c r="Q32" s="51"/>
      <c r="T32" s="146">
        <v>3</v>
      </c>
      <c r="U32" s="146">
        <v>10</v>
      </c>
      <c r="V32" s="147">
        <v>100000</v>
      </c>
      <c r="W32" s="161">
        <f>T32*U32*V32</f>
        <v>3000000</v>
      </c>
      <c r="X32" s="162"/>
      <c r="Y32" s="51"/>
      <c r="Z32" s="51"/>
    </row>
    <row r="33" spans="1:26" ht="18" customHeight="1">
      <c r="A33" s="326">
        <v>1</v>
      </c>
      <c r="B33" s="223" t="s">
        <v>360</v>
      </c>
      <c r="C33" s="23"/>
      <c r="D33" s="197">
        <f t="array" ref="D33:I34">ROUNDDOWN(IF($D$6="단일건",D16:I17*$D$5*(1-0.6)*L16:L17,IF($D$7="수의계약",D16:I17*$D$5*(1-0.4)*L16:L17,D16:I17*$D$5*L16:L17)),3)</f>
        <v>0.4</v>
      </c>
      <c r="E33" s="198">
        <v>1.2</v>
      </c>
      <c r="F33" s="198">
        <v>2.9</v>
      </c>
      <c r="G33" s="198">
        <v>12.9</v>
      </c>
      <c r="H33" s="198">
        <v>14.7</v>
      </c>
      <c r="I33" s="199">
        <v>19</v>
      </c>
      <c r="J33" s="389" t="s">
        <v>369</v>
      </c>
      <c r="N33" s="292" t="s">
        <v>46</v>
      </c>
      <c r="O33" s="79"/>
      <c r="P33" s="39"/>
      <c r="Q33" s="37"/>
      <c r="R33" s="117"/>
      <c r="S33" s="37"/>
      <c r="T33" s="37"/>
      <c r="U33" s="180"/>
      <c r="V33" s="180"/>
      <c r="W33" s="157">
        <v>2000000</v>
      </c>
      <c r="X33" s="158"/>
      <c r="Y33" s="37"/>
      <c r="Z33" s="37"/>
    </row>
    <row r="34" spans="1:26" ht="18" customHeight="1">
      <c r="A34" s="326">
        <v>2</v>
      </c>
      <c r="B34" s="223" t="s">
        <v>362</v>
      </c>
      <c r="C34" s="23"/>
      <c r="D34" s="197">
        <v>1.8</v>
      </c>
      <c r="E34" s="198">
        <v>2.1</v>
      </c>
      <c r="F34" s="198">
        <v>6.8</v>
      </c>
      <c r="G34" s="198">
        <v>10.5</v>
      </c>
      <c r="H34" s="198">
        <v>8.1</v>
      </c>
      <c r="I34" s="199">
        <v>6.8</v>
      </c>
      <c r="J34" s="389" t="s">
        <v>369</v>
      </c>
      <c r="N34" s="293" t="s">
        <v>13</v>
      </c>
      <c r="O34" s="132"/>
      <c r="P34" s="38"/>
      <c r="Q34" s="38"/>
      <c r="R34" s="116"/>
      <c r="S34" s="38"/>
      <c r="T34" s="38"/>
      <c r="U34" s="183"/>
      <c r="V34" s="183"/>
      <c r="W34" s="155">
        <v>1000000</v>
      </c>
      <c r="X34" s="156"/>
      <c r="Y34" s="38"/>
      <c r="Z34" s="38"/>
    </row>
    <row r="35" spans="1:26" ht="18" customHeight="1">
      <c r="B35" s="222" t="s">
        <v>52</v>
      </c>
      <c r="C35" s="47"/>
      <c r="D35" s="48">
        <f t="shared" ref="D35:I35" si="8">SUBTOTAL(9,D36:D36)</f>
        <v>1.9</v>
      </c>
      <c r="E35" s="49">
        <f t="shared" si="8"/>
        <v>3.1</v>
      </c>
      <c r="F35" s="49">
        <f t="shared" si="8"/>
        <v>7.9</v>
      </c>
      <c r="G35" s="49">
        <f t="shared" si="8"/>
        <v>5.4</v>
      </c>
      <c r="H35" s="49">
        <f t="shared" si="8"/>
        <v>4.7</v>
      </c>
      <c r="I35" s="50">
        <f t="shared" si="8"/>
        <v>5.0999999999999996</v>
      </c>
      <c r="J35" s="74"/>
      <c r="N35" s="127" t="s">
        <v>47</v>
      </c>
      <c r="O35" s="123"/>
      <c r="P35" s="123"/>
      <c r="Q35" s="123"/>
      <c r="R35" s="123"/>
      <c r="S35" s="123"/>
      <c r="T35" s="123"/>
      <c r="U35" s="184"/>
      <c r="V35" s="184"/>
      <c r="W35" s="163">
        <f ca="1">SUBTOTAL(9,W36:W37)</f>
        <v>143333074</v>
      </c>
      <c r="X35" s="164"/>
      <c r="Y35" s="123"/>
      <c r="Z35" s="123"/>
    </row>
    <row r="36" spans="1:26" ht="18" customHeight="1">
      <c r="A36" s="326">
        <v>3</v>
      </c>
      <c r="B36" s="223" t="s">
        <v>364</v>
      </c>
      <c r="C36" s="23"/>
      <c r="D36" s="197">
        <f t="array" ref="D36:I36">ROUNDDOWN(IF($D$6="단일건",D19:I19*$D$5*(1-0.6)*L19,IF($D$7="수의계약",D19:I19*$D$5*(1-0.4)*L19,D19:I19*$D$5*L19)),3)</f>
        <v>1.9</v>
      </c>
      <c r="E36" s="198">
        <v>3.1</v>
      </c>
      <c r="F36" s="198">
        <v>7.9</v>
      </c>
      <c r="G36" s="198">
        <v>5.4</v>
      </c>
      <c r="H36" s="198">
        <v>4.7</v>
      </c>
      <c r="I36" s="199">
        <v>5.0999999999999996</v>
      </c>
      <c r="J36" s="390" t="s">
        <v>369</v>
      </c>
      <c r="N36" s="133" t="s">
        <v>861</v>
      </c>
      <c r="O36" s="124"/>
      <c r="P36" s="134"/>
      <c r="Q36" s="124"/>
      <c r="R36" s="131"/>
      <c r="S36" s="124"/>
      <c r="T36" s="181"/>
      <c r="U36" s="181"/>
      <c r="V36" s="190">
        <v>1.1499999999999999</v>
      </c>
      <c r="W36" s="159">
        <f ca="1">ROUNDDOWN(W14*V36,0)</f>
        <v>91828989</v>
      </c>
      <c r="X36" s="160"/>
      <c r="Y36" s="124"/>
      <c r="Z36" s="124"/>
    </row>
    <row r="37" spans="1:26" ht="18" customHeight="1" thickBot="1">
      <c r="B37" s="222" t="s">
        <v>366</v>
      </c>
      <c r="C37" s="47"/>
      <c r="D37" s="48">
        <f t="shared" ref="D37:I37" si="9">SUBTOTAL(9,D38:D38)</f>
        <v>1.3</v>
      </c>
      <c r="E37" s="49">
        <f t="shared" si="9"/>
        <v>2.8</v>
      </c>
      <c r="F37" s="49">
        <f t="shared" si="9"/>
        <v>7.2</v>
      </c>
      <c r="G37" s="49">
        <f t="shared" si="9"/>
        <v>7.4</v>
      </c>
      <c r="H37" s="49">
        <f t="shared" si="9"/>
        <v>5.9</v>
      </c>
      <c r="I37" s="50">
        <f t="shared" si="9"/>
        <v>6.5</v>
      </c>
      <c r="J37" s="74"/>
      <c r="N37" s="135" t="s">
        <v>862</v>
      </c>
      <c r="O37" s="136"/>
      <c r="P37" s="137"/>
      <c r="Q37" s="136"/>
      <c r="R37" s="138"/>
      <c r="S37" s="136"/>
      <c r="T37" s="185"/>
      <c r="U37" s="185"/>
      <c r="V37" s="191">
        <v>0.3</v>
      </c>
      <c r="W37" s="165">
        <f ca="1">ROUNDDOWN((W14+W36)*V37,0)</f>
        <v>51504085</v>
      </c>
      <c r="X37" s="166"/>
      <c r="Y37" s="136"/>
      <c r="Z37" s="136"/>
    </row>
    <row r="38" spans="1:26" ht="18" customHeight="1">
      <c r="A38" s="326">
        <v>4</v>
      </c>
      <c r="B38" s="223" t="s">
        <v>368</v>
      </c>
      <c r="C38" s="23"/>
      <c r="D38" s="197">
        <f t="array" ref="D38:I38">ROUNDDOWN(D21:I21*D5*L21,3)</f>
        <v>1.3</v>
      </c>
      <c r="E38" s="198">
        <v>2.8</v>
      </c>
      <c r="F38" s="198">
        <v>7.2</v>
      </c>
      <c r="G38" s="198">
        <v>7.4</v>
      </c>
      <c r="H38" s="198">
        <v>5.9</v>
      </c>
      <c r="I38" s="199">
        <v>6.5</v>
      </c>
      <c r="J38" s="74"/>
    </row>
    <row r="39" spans="1:26" ht="18" customHeight="1">
      <c r="B39" s="222" t="s">
        <v>98</v>
      </c>
      <c r="C39" s="47"/>
      <c r="D39" s="48">
        <f t="shared" ref="D39:I39" si="10">SUBTOTAL(9,D40:D41)</f>
        <v>0.6</v>
      </c>
      <c r="E39" s="49">
        <f t="shared" si="10"/>
        <v>0.8</v>
      </c>
      <c r="F39" s="49">
        <f t="shared" si="10"/>
        <v>4.2</v>
      </c>
      <c r="G39" s="49">
        <f t="shared" si="10"/>
        <v>15.8</v>
      </c>
      <c r="H39" s="49">
        <f t="shared" si="10"/>
        <v>18.600000000000001</v>
      </c>
      <c r="I39" s="50">
        <f t="shared" si="10"/>
        <v>22.6</v>
      </c>
      <c r="J39" s="74"/>
    </row>
    <row r="40" spans="1:26" ht="18" customHeight="1" thickBot="1">
      <c r="A40" s="326">
        <v>5</v>
      </c>
      <c r="B40" s="223" t="s">
        <v>226</v>
      </c>
      <c r="C40" s="23"/>
      <c r="D40" s="197">
        <f t="array" ref="D40:I41">ROUNDDOWN(D23:I24*D5*L23:L24,3)</f>
        <v>0.3</v>
      </c>
      <c r="E40" s="198">
        <v>0.4</v>
      </c>
      <c r="F40" s="198">
        <v>2.1</v>
      </c>
      <c r="G40" s="198">
        <v>7.9</v>
      </c>
      <c r="H40" s="198">
        <v>9.3000000000000007</v>
      </c>
      <c r="I40" s="199">
        <v>11.3</v>
      </c>
      <c r="J40" s="74"/>
      <c r="N40" s="66" t="s">
        <v>18</v>
      </c>
      <c r="O40" s="2"/>
      <c r="P40" s="2"/>
      <c r="Q40" s="2"/>
      <c r="R40" s="3"/>
      <c r="S40" s="4"/>
      <c r="T40" s="3"/>
      <c r="U40" s="4"/>
      <c r="V40" s="3"/>
      <c r="W40" s="4"/>
      <c r="X40" s="3"/>
      <c r="Y40" s="4"/>
      <c r="Z40" s="2"/>
    </row>
    <row r="41" spans="1:26" ht="18" customHeight="1">
      <c r="A41" s="326">
        <v>6</v>
      </c>
      <c r="B41" s="223" t="s">
        <v>228</v>
      </c>
      <c r="C41" s="43"/>
      <c r="D41" s="206">
        <v>0.3</v>
      </c>
      <c r="E41" s="207">
        <v>0.4</v>
      </c>
      <c r="F41" s="207">
        <v>2.1</v>
      </c>
      <c r="G41" s="207">
        <v>7.9</v>
      </c>
      <c r="H41" s="207">
        <v>9.3000000000000007</v>
      </c>
      <c r="I41" s="208">
        <v>11.3</v>
      </c>
      <c r="J41" s="239"/>
      <c r="N41" s="765" t="s">
        <v>19</v>
      </c>
      <c r="O41" s="755" t="s">
        <v>20</v>
      </c>
      <c r="P41" s="755" t="s">
        <v>21</v>
      </c>
      <c r="Q41" s="755" t="s">
        <v>16</v>
      </c>
      <c r="R41" s="5" t="s">
        <v>22</v>
      </c>
      <c r="S41" s="5"/>
      <c r="T41" s="5" t="s">
        <v>23</v>
      </c>
      <c r="U41" s="5"/>
      <c r="V41" s="5" t="s">
        <v>24</v>
      </c>
      <c r="W41" s="5"/>
      <c r="X41" s="5" t="s">
        <v>25</v>
      </c>
      <c r="Y41" s="5"/>
      <c r="Z41" s="755" t="s">
        <v>26</v>
      </c>
    </row>
    <row r="42" spans="1:26" ht="18" customHeight="1" thickBot="1">
      <c r="B42" s="58" t="s">
        <v>65</v>
      </c>
      <c r="C42" s="59"/>
      <c r="D42" s="60">
        <f t="shared" ref="D42:I42" si="11">SUBTOTAL(9,D32:D41)</f>
        <v>5.9999999999999991</v>
      </c>
      <c r="E42" s="61">
        <f t="shared" si="11"/>
        <v>10</v>
      </c>
      <c r="F42" s="61">
        <f t="shared" si="11"/>
        <v>29.000000000000004</v>
      </c>
      <c r="G42" s="61">
        <f t="shared" si="11"/>
        <v>51.999999999999993</v>
      </c>
      <c r="H42" s="61">
        <f t="shared" si="11"/>
        <v>52</v>
      </c>
      <c r="I42" s="62">
        <f t="shared" si="11"/>
        <v>60</v>
      </c>
      <c r="J42" s="254"/>
      <c r="M42" s="171"/>
      <c r="N42" s="766"/>
      <c r="O42" s="756"/>
      <c r="P42" s="756"/>
      <c r="Q42" s="756"/>
      <c r="R42" s="67" t="s">
        <v>27</v>
      </c>
      <c r="S42" s="67" t="s">
        <v>28</v>
      </c>
      <c r="T42" s="67" t="s">
        <v>27</v>
      </c>
      <c r="U42" s="67" t="s">
        <v>28</v>
      </c>
      <c r="V42" s="67" t="s">
        <v>27</v>
      </c>
      <c r="W42" s="67" t="s">
        <v>28</v>
      </c>
      <c r="X42" s="67" t="s">
        <v>27</v>
      </c>
      <c r="Y42" s="67" t="s">
        <v>28</v>
      </c>
      <c r="Z42" s="756"/>
    </row>
    <row r="43" spans="1:26" ht="18" customHeight="1" thickTop="1">
      <c r="B43" s="222" t="s">
        <v>232</v>
      </c>
      <c r="C43" s="47"/>
      <c r="D43" s="48">
        <f t="shared" ref="D43:I43" si="12">SUBTOTAL(9,D44:D47)</f>
        <v>8</v>
      </c>
      <c r="E43" s="49">
        <f t="shared" si="12"/>
        <v>8</v>
      </c>
      <c r="F43" s="49">
        <f t="shared" si="12"/>
        <v>8</v>
      </c>
      <c r="G43" s="49">
        <f t="shared" si="12"/>
        <v>16</v>
      </c>
      <c r="H43" s="49">
        <f t="shared" si="12"/>
        <v>16</v>
      </c>
      <c r="I43" s="50">
        <f t="shared" si="12"/>
        <v>16</v>
      </c>
      <c r="J43" s="786" t="s">
        <v>224</v>
      </c>
      <c r="M43" s="171"/>
      <c r="N43" s="318" t="str">
        <f ca="1">"제 " &amp; Z43 &amp; " 호표  "&amp; OFFSET($A$1,MATCH(Z43,$A:$A,0)-1,1)</f>
        <v>제 1 호표  1-1. 현황조사</v>
      </c>
      <c r="O43" s="221"/>
      <c r="P43" s="148"/>
      <c r="Q43" s="148"/>
      <c r="R43" s="149"/>
      <c r="S43" s="149"/>
      <c r="T43" s="149"/>
      <c r="U43" s="149"/>
      <c r="V43" s="149"/>
      <c r="W43" s="149"/>
      <c r="X43" s="149"/>
      <c r="Y43" s="149"/>
      <c r="Z43" s="325">
        <v>1</v>
      </c>
    </row>
    <row r="44" spans="1:26" ht="18" customHeight="1">
      <c r="A44" s="326">
        <v>7</v>
      </c>
      <c r="B44" s="223" t="s">
        <v>234</v>
      </c>
      <c r="C44" s="23"/>
      <c r="D44" s="197">
        <f t="array" ref="D44:I47">ROUNDDOWN(D27:I30*L27:L30,3)</f>
        <v>2</v>
      </c>
      <c r="E44" s="198">
        <v>2</v>
      </c>
      <c r="F44" s="198">
        <v>2</v>
      </c>
      <c r="G44" s="198">
        <v>4</v>
      </c>
      <c r="H44" s="198">
        <v>4</v>
      </c>
      <c r="I44" s="199">
        <v>4</v>
      </c>
      <c r="J44" s="787"/>
      <c r="M44" s="171"/>
      <c r="N44" s="140" t="s">
        <v>43</v>
      </c>
      <c r="O44" s="172">
        <v>3</v>
      </c>
      <c r="P44" s="219">
        <f ca="1">OFFSET($A$1,MATCH(Z43,$A:$A,0)-1,O44)</f>
        <v>0.4</v>
      </c>
      <c r="Q44" s="141" t="s">
        <v>29</v>
      </c>
      <c r="R44" s="142">
        <f t="shared" ref="R44:S49" ca="1" si="13">T44</f>
        <v>467217</v>
      </c>
      <c r="S44" s="142">
        <f t="shared" ca="1" si="13"/>
        <v>186886</v>
      </c>
      <c r="T44" s="142">
        <f ca="1">기술사</f>
        <v>467217</v>
      </c>
      <c r="U44" s="142">
        <f t="shared" ref="U44:U49" ca="1" si="14">ROUNDDOWN(P44*R44,0)</f>
        <v>186886</v>
      </c>
      <c r="V44" s="142"/>
      <c r="W44" s="142"/>
      <c r="X44" s="142"/>
      <c r="Y44" s="142"/>
      <c r="Z44" s="114"/>
    </row>
    <row r="45" spans="1:26" ht="18" customHeight="1">
      <c r="A45" s="326">
        <v>8</v>
      </c>
      <c r="B45" s="223" t="s">
        <v>236</v>
      </c>
      <c r="C45" s="23"/>
      <c r="D45" s="197">
        <v>2</v>
      </c>
      <c r="E45" s="198">
        <v>2</v>
      </c>
      <c r="F45" s="198">
        <v>2</v>
      </c>
      <c r="G45" s="198">
        <v>4</v>
      </c>
      <c r="H45" s="198">
        <v>4</v>
      </c>
      <c r="I45" s="199">
        <v>4</v>
      </c>
      <c r="J45" s="787"/>
      <c r="M45" s="171"/>
      <c r="N45" s="143" t="s">
        <v>32</v>
      </c>
      <c r="O45" s="173">
        <v>4</v>
      </c>
      <c r="P45" s="234">
        <f ca="1">OFFSET($A$1,MATCH(Z43,$A:$A,0)-1,O45)</f>
        <v>1.2</v>
      </c>
      <c r="Q45" s="144" t="s">
        <v>29</v>
      </c>
      <c r="R45" s="118">
        <f t="shared" ca="1" si="13"/>
        <v>373353</v>
      </c>
      <c r="S45" s="118">
        <f t="shared" ca="1" si="13"/>
        <v>448023</v>
      </c>
      <c r="T45" s="118">
        <f ca="1">특급</f>
        <v>373353</v>
      </c>
      <c r="U45" s="118">
        <f t="shared" ca="1" si="14"/>
        <v>448023</v>
      </c>
      <c r="V45" s="118"/>
      <c r="W45" s="118"/>
      <c r="X45" s="118"/>
      <c r="Y45" s="118"/>
      <c r="Z45" s="115"/>
    </row>
    <row r="46" spans="1:26" ht="18" customHeight="1">
      <c r="A46" s="326">
        <v>9</v>
      </c>
      <c r="B46" s="223" t="s">
        <v>238</v>
      </c>
      <c r="C46" s="23"/>
      <c r="D46" s="197">
        <v>2</v>
      </c>
      <c r="E46" s="198">
        <v>2</v>
      </c>
      <c r="F46" s="198">
        <v>2</v>
      </c>
      <c r="G46" s="198">
        <v>4</v>
      </c>
      <c r="H46" s="198">
        <v>4</v>
      </c>
      <c r="I46" s="199">
        <v>4</v>
      </c>
      <c r="J46" s="787"/>
      <c r="M46" s="171"/>
      <c r="N46" s="145" t="s">
        <v>39</v>
      </c>
      <c r="O46" s="173">
        <v>5</v>
      </c>
      <c r="P46" s="234">
        <f ca="1">OFFSET($A$1,MATCH(Z43,$A:$A,0)-1,O46)</f>
        <v>2.9</v>
      </c>
      <c r="Q46" s="144" t="s">
        <v>29</v>
      </c>
      <c r="R46" s="118">
        <f t="shared" ca="1" si="13"/>
        <v>310884</v>
      </c>
      <c r="S46" s="118">
        <f t="shared" ca="1" si="13"/>
        <v>901563</v>
      </c>
      <c r="T46" s="118">
        <f ca="1">고급</f>
        <v>310884</v>
      </c>
      <c r="U46" s="118">
        <f t="shared" ca="1" si="14"/>
        <v>901563</v>
      </c>
      <c r="V46" s="118"/>
      <c r="W46" s="118"/>
      <c r="X46" s="118"/>
      <c r="Y46" s="118"/>
      <c r="Z46" s="115"/>
    </row>
    <row r="47" spans="1:26" ht="18" customHeight="1" thickBot="1">
      <c r="A47" s="326">
        <v>10</v>
      </c>
      <c r="B47" s="388" t="s">
        <v>240</v>
      </c>
      <c r="C47" s="342"/>
      <c r="D47" s="343">
        <v>2</v>
      </c>
      <c r="E47" s="344">
        <v>2</v>
      </c>
      <c r="F47" s="344">
        <v>2</v>
      </c>
      <c r="G47" s="344">
        <v>4</v>
      </c>
      <c r="H47" s="344">
        <v>4</v>
      </c>
      <c r="I47" s="345">
        <v>4</v>
      </c>
      <c r="J47" s="788"/>
      <c r="M47" s="171"/>
      <c r="N47" s="145" t="s">
        <v>40</v>
      </c>
      <c r="O47" s="173">
        <v>6</v>
      </c>
      <c r="P47" s="234">
        <f ca="1">OFFSET($A$1,MATCH(Z43,$A:$A,0)-1,O47)</f>
        <v>12.9</v>
      </c>
      <c r="Q47" s="144" t="s">
        <v>29</v>
      </c>
      <c r="R47" s="118">
        <f t="shared" ca="1" si="13"/>
        <v>295138</v>
      </c>
      <c r="S47" s="118">
        <f t="shared" ca="1" si="13"/>
        <v>3807280</v>
      </c>
      <c r="T47" s="118">
        <f ca="1">중급</f>
        <v>295138</v>
      </c>
      <c r="U47" s="118">
        <f t="shared" ca="1" si="14"/>
        <v>3807280</v>
      </c>
      <c r="V47" s="118"/>
      <c r="W47" s="118"/>
      <c r="X47" s="118"/>
      <c r="Y47" s="118"/>
      <c r="Z47" s="115"/>
    </row>
    <row r="48" spans="1:26" ht="18" customHeight="1">
      <c r="B48" s="80" t="s">
        <v>15</v>
      </c>
      <c r="C48" s="9" t="s">
        <v>370</v>
      </c>
      <c r="M48" s="171"/>
      <c r="N48" s="145" t="s">
        <v>41</v>
      </c>
      <c r="O48" s="173">
        <v>7</v>
      </c>
      <c r="P48" s="234">
        <f ca="1">OFFSET($A$1,MATCH(Z43,$A:$A,0)-1,O48)</f>
        <v>14.7</v>
      </c>
      <c r="Q48" s="144" t="s">
        <v>29</v>
      </c>
      <c r="R48" s="118">
        <f t="shared" ca="1" si="13"/>
        <v>235459</v>
      </c>
      <c r="S48" s="118">
        <f t="shared" ca="1" si="13"/>
        <v>3461247</v>
      </c>
      <c r="T48" s="118">
        <f ca="1">초급</f>
        <v>235459</v>
      </c>
      <c r="U48" s="118">
        <f t="shared" ca="1" si="14"/>
        <v>3461247</v>
      </c>
      <c r="V48" s="118"/>
      <c r="W48" s="118"/>
      <c r="X48" s="118"/>
      <c r="Y48" s="118"/>
      <c r="Z48" s="115"/>
    </row>
    <row r="49" spans="3:26" ht="18" customHeight="1">
      <c r="C49" s="1" t="s">
        <v>371</v>
      </c>
      <c r="M49" s="171"/>
      <c r="N49" s="319" t="s">
        <v>42</v>
      </c>
      <c r="O49" s="174">
        <v>8</v>
      </c>
      <c r="P49" s="235">
        <f ca="1">OFFSET($A$1,MATCH(Z43,$A:$A,0)-1,O49)</f>
        <v>19</v>
      </c>
      <c r="Q49" s="322" t="s">
        <v>29</v>
      </c>
      <c r="R49" s="323">
        <f t="shared" ca="1" si="13"/>
        <v>250087</v>
      </c>
      <c r="S49" s="323">
        <f t="shared" ca="1" si="13"/>
        <v>4751653</v>
      </c>
      <c r="T49" s="323">
        <f ca="1">보조원</f>
        <v>250087</v>
      </c>
      <c r="U49" s="323">
        <f t="shared" ca="1" si="14"/>
        <v>4751653</v>
      </c>
      <c r="V49" s="323"/>
      <c r="W49" s="323"/>
      <c r="X49" s="323"/>
      <c r="Y49" s="323"/>
      <c r="Z49" s="324"/>
    </row>
    <row r="50" spans="3:26" ht="18" customHeight="1">
      <c r="C50" s="9" t="s">
        <v>372</v>
      </c>
      <c r="M50" s="171"/>
      <c r="N50" s="139" t="s">
        <v>17</v>
      </c>
      <c r="O50" s="68"/>
      <c r="P50" s="69"/>
      <c r="Q50" s="70"/>
      <c r="R50" s="71"/>
      <c r="S50" s="71">
        <f ca="1">SUBTOTAL(9,S44:S49)</f>
        <v>13556652</v>
      </c>
      <c r="T50" s="71"/>
      <c r="U50" s="71">
        <f ca="1">SUBTOTAL(9,U44:U49)</f>
        <v>13556652</v>
      </c>
      <c r="V50" s="71"/>
      <c r="W50" s="71"/>
      <c r="X50" s="71"/>
      <c r="Y50" s="71"/>
      <c r="Z50" s="68"/>
    </row>
    <row r="51" spans="3:26" ht="18" customHeight="1">
      <c r="C51" s="1" t="s">
        <v>373</v>
      </c>
      <c r="L51" s="171"/>
      <c r="M51" s="171"/>
      <c r="N51" s="318" t="str">
        <f ca="1">"제 " &amp; Z51 &amp; " 호표  "&amp; OFFSET($A$1,MATCH(Z51,$A:$A,0)-1,1)</f>
        <v>제 2 호표  1-2. 분석·평가·진단</v>
      </c>
      <c r="O51" s="221"/>
      <c r="P51" s="148"/>
      <c r="Q51" s="148"/>
      <c r="R51" s="149"/>
      <c r="S51" s="149"/>
      <c r="T51" s="149"/>
      <c r="U51" s="149"/>
      <c r="V51" s="149"/>
      <c r="W51" s="149"/>
      <c r="X51" s="149"/>
      <c r="Y51" s="149"/>
      <c r="Z51" s="325">
        <f>Z43+1</f>
        <v>2</v>
      </c>
    </row>
    <row r="52" spans="3:26" ht="18" customHeight="1">
      <c r="C52" s="1" t="s">
        <v>374</v>
      </c>
      <c r="L52" s="171"/>
      <c r="M52" s="171"/>
      <c r="N52" s="140" t="s">
        <v>43</v>
      </c>
      <c r="O52" s="172">
        <v>3</v>
      </c>
      <c r="P52" s="219">
        <f ca="1">OFFSET($A$1,MATCH(Z51,$A:$A,0)-1,O52)</f>
        <v>1.8</v>
      </c>
      <c r="Q52" s="141" t="s">
        <v>29</v>
      </c>
      <c r="R52" s="142">
        <f t="shared" ref="R52:S57" ca="1" si="15">T52</f>
        <v>467217</v>
      </c>
      <c r="S52" s="142">
        <f t="shared" ca="1" si="15"/>
        <v>840990</v>
      </c>
      <c r="T52" s="142">
        <f ca="1">기술사</f>
        <v>467217</v>
      </c>
      <c r="U52" s="142">
        <f t="shared" ref="U52:U57" ca="1" si="16">ROUNDDOWN(P52*R52,0)</f>
        <v>840990</v>
      </c>
      <c r="V52" s="142"/>
      <c r="W52" s="142"/>
      <c r="X52" s="142"/>
      <c r="Y52" s="142"/>
      <c r="Z52" s="114"/>
    </row>
    <row r="53" spans="3:26" ht="18" customHeight="1">
      <c r="C53" s="1" t="s">
        <v>375</v>
      </c>
      <c r="L53" s="171"/>
      <c r="M53" s="171"/>
      <c r="N53" s="143" t="s">
        <v>32</v>
      </c>
      <c r="O53" s="173">
        <v>4</v>
      </c>
      <c r="P53" s="234">
        <f ca="1">OFFSET($A$1,MATCH(Z51,$A:$A,0)-1,O53)</f>
        <v>2.1</v>
      </c>
      <c r="Q53" s="144" t="s">
        <v>29</v>
      </c>
      <c r="R53" s="118">
        <f t="shared" ca="1" si="15"/>
        <v>373353</v>
      </c>
      <c r="S53" s="118">
        <f t="shared" ca="1" si="15"/>
        <v>784041</v>
      </c>
      <c r="T53" s="118">
        <f ca="1">특급</f>
        <v>373353</v>
      </c>
      <c r="U53" s="118">
        <f t="shared" ca="1" si="16"/>
        <v>784041</v>
      </c>
      <c r="V53" s="118"/>
      <c r="W53" s="118"/>
      <c r="X53" s="118"/>
      <c r="Y53" s="118"/>
      <c r="Z53" s="115"/>
    </row>
    <row r="54" spans="3:26" ht="18" customHeight="1">
      <c r="C54" s="9" t="s">
        <v>230</v>
      </c>
      <c r="L54" s="171"/>
      <c r="M54" s="171"/>
      <c r="N54" s="145" t="s">
        <v>39</v>
      </c>
      <c r="O54" s="173">
        <v>5</v>
      </c>
      <c r="P54" s="234">
        <f ca="1">OFFSET($A$1,MATCH(Z51,$A:$A,0)-1,O54)</f>
        <v>6.8</v>
      </c>
      <c r="Q54" s="144" t="s">
        <v>29</v>
      </c>
      <c r="R54" s="118">
        <f t="shared" ca="1" si="15"/>
        <v>310884</v>
      </c>
      <c r="S54" s="118">
        <f t="shared" ca="1" si="15"/>
        <v>2114011</v>
      </c>
      <c r="T54" s="118">
        <f ca="1">고급</f>
        <v>310884</v>
      </c>
      <c r="U54" s="118">
        <f t="shared" ca="1" si="16"/>
        <v>2114011</v>
      </c>
      <c r="V54" s="118"/>
      <c r="W54" s="118"/>
      <c r="X54" s="118"/>
      <c r="Y54" s="118"/>
      <c r="Z54" s="115"/>
    </row>
    <row r="55" spans="3:26" ht="18" customHeight="1">
      <c r="C55" s="9"/>
      <c r="L55" s="171"/>
      <c r="M55" s="171"/>
      <c r="N55" s="145" t="s">
        <v>40</v>
      </c>
      <c r="O55" s="173">
        <v>6</v>
      </c>
      <c r="P55" s="234">
        <f ca="1">OFFSET($A$1,MATCH(Z51,$A:$A,0)-1,O55)</f>
        <v>10.5</v>
      </c>
      <c r="Q55" s="144" t="s">
        <v>29</v>
      </c>
      <c r="R55" s="118">
        <f t="shared" ca="1" si="15"/>
        <v>295138</v>
      </c>
      <c r="S55" s="118">
        <f t="shared" ca="1" si="15"/>
        <v>3098949</v>
      </c>
      <c r="T55" s="118">
        <f ca="1">중급</f>
        <v>295138</v>
      </c>
      <c r="U55" s="118">
        <f t="shared" ca="1" si="16"/>
        <v>3098949</v>
      </c>
      <c r="V55" s="118"/>
      <c r="W55" s="118"/>
      <c r="X55" s="118"/>
      <c r="Y55" s="118"/>
      <c r="Z55" s="115"/>
    </row>
    <row r="56" spans="3:26" ht="18" customHeight="1">
      <c r="K56" s="171" t="s">
        <v>14</v>
      </c>
      <c r="L56" s="171"/>
      <c r="M56" s="171"/>
      <c r="N56" s="145" t="s">
        <v>41</v>
      </c>
      <c r="O56" s="173">
        <v>7</v>
      </c>
      <c r="P56" s="234">
        <f ca="1">OFFSET($A$1,MATCH(Z51,$A:$A,0)-1,O56)</f>
        <v>8.1</v>
      </c>
      <c r="Q56" s="144" t="s">
        <v>29</v>
      </c>
      <c r="R56" s="118">
        <f t="shared" ca="1" si="15"/>
        <v>235459</v>
      </c>
      <c r="S56" s="118">
        <f t="shared" ca="1" si="15"/>
        <v>1907217</v>
      </c>
      <c r="T56" s="118">
        <f ca="1">초급</f>
        <v>235459</v>
      </c>
      <c r="U56" s="118">
        <f t="shared" ca="1" si="16"/>
        <v>1907217</v>
      </c>
      <c r="V56" s="118"/>
      <c r="W56" s="118"/>
      <c r="X56" s="118"/>
      <c r="Y56" s="118"/>
      <c r="Z56" s="115"/>
    </row>
    <row r="57" spans="3:26" ht="18" customHeight="1">
      <c r="K57" s="171" t="s">
        <v>14</v>
      </c>
      <c r="L57" s="171"/>
      <c r="M57" s="171"/>
      <c r="N57" s="319" t="s">
        <v>42</v>
      </c>
      <c r="O57" s="174">
        <v>8</v>
      </c>
      <c r="P57" s="235">
        <f ca="1">OFFSET($A$1,MATCH(Z51,$A:$A,0)-1,O57)</f>
        <v>6.8</v>
      </c>
      <c r="Q57" s="322" t="s">
        <v>29</v>
      </c>
      <c r="R57" s="323">
        <f t="shared" ca="1" si="15"/>
        <v>250087</v>
      </c>
      <c r="S57" s="323">
        <f t="shared" ca="1" si="15"/>
        <v>1700591</v>
      </c>
      <c r="T57" s="323">
        <f ca="1">보조원</f>
        <v>250087</v>
      </c>
      <c r="U57" s="323">
        <f t="shared" ca="1" si="16"/>
        <v>1700591</v>
      </c>
      <c r="V57" s="323"/>
      <c r="W57" s="323"/>
      <c r="X57" s="323"/>
      <c r="Y57" s="323"/>
      <c r="Z57" s="324"/>
    </row>
    <row r="58" spans="3:26" ht="18" customHeight="1">
      <c r="K58" s="171" t="s">
        <v>14</v>
      </c>
      <c r="L58" s="171"/>
      <c r="M58" s="171"/>
      <c r="N58" s="139" t="s">
        <v>17</v>
      </c>
      <c r="O58" s="68"/>
      <c r="P58" s="69"/>
      <c r="Q58" s="70"/>
      <c r="R58" s="71"/>
      <c r="S58" s="71">
        <f ca="1">SUBTOTAL(9,S52:S57)</f>
        <v>10445799</v>
      </c>
      <c r="T58" s="71"/>
      <c r="U58" s="71">
        <f ca="1">SUBTOTAL(9,U52:U57)</f>
        <v>10445799</v>
      </c>
      <c r="V58" s="71"/>
      <c r="W58" s="71"/>
      <c r="X58" s="71"/>
      <c r="Y58" s="71"/>
      <c r="Z58" s="68"/>
    </row>
    <row r="59" spans="3:26" ht="18" customHeight="1">
      <c r="K59" s="171" t="s">
        <v>14</v>
      </c>
      <c r="L59" s="171"/>
      <c r="M59" s="171"/>
      <c r="N59" s="318" t="str">
        <f ca="1">"제 " &amp; Z59 &amp; " 호표  "&amp; OFFSET($A$1,MATCH(Z59,$A:$A,0)-1,1)</f>
        <v>제 3 호표  2-1. 기본구상</v>
      </c>
      <c r="O59" s="221"/>
      <c r="P59" s="148"/>
      <c r="Q59" s="148"/>
      <c r="R59" s="149"/>
      <c r="S59" s="149"/>
      <c r="T59" s="149"/>
      <c r="U59" s="149"/>
      <c r="V59" s="149"/>
      <c r="W59" s="149"/>
      <c r="X59" s="149"/>
      <c r="Y59" s="149"/>
      <c r="Z59" s="325">
        <f>Z51+1</f>
        <v>3</v>
      </c>
    </row>
    <row r="60" spans="3:26" ht="18" customHeight="1">
      <c r="K60" s="171" t="s">
        <v>14</v>
      </c>
      <c r="L60" s="171"/>
      <c r="M60" s="171"/>
      <c r="N60" s="140" t="s">
        <v>43</v>
      </c>
      <c r="O60" s="172">
        <v>3</v>
      </c>
      <c r="P60" s="219">
        <f ca="1">OFFSET($A$1,MATCH(Z59,$A:$A,0)-1,O60)</f>
        <v>1.9</v>
      </c>
      <c r="Q60" s="141" t="s">
        <v>29</v>
      </c>
      <c r="R60" s="142">
        <f t="shared" ref="R60:S65" ca="1" si="17">T60</f>
        <v>467217</v>
      </c>
      <c r="S60" s="142">
        <f t="shared" ca="1" si="17"/>
        <v>887712</v>
      </c>
      <c r="T60" s="142">
        <f ca="1">기술사</f>
        <v>467217</v>
      </c>
      <c r="U60" s="142">
        <f t="shared" ref="U60:U65" ca="1" si="18">ROUNDDOWN(P60*R60,0)</f>
        <v>887712</v>
      </c>
      <c r="V60" s="142"/>
      <c r="W60" s="142"/>
      <c r="X60" s="142"/>
      <c r="Y60" s="142"/>
      <c r="Z60" s="114"/>
    </row>
    <row r="61" spans="3:26" ht="18" customHeight="1">
      <c r="C61" s="9"/>
      <c r="K61" s="171" t="s">
        <v>14</v>
      </c>
      <c r="L61" s="171"/>
      <c r="M61" s="171"/>
      <c r="N61" s="143" t="s">
        <v>32</v>
      </c>
      <c r="O61" s="173">
        <v>4</v>
      </c>
      <c r="P61" s="234">
        <f ca="1">OFFSET($A$1,MATCH(Z59,$A:$A,0)-1,O61)</f>
        <v>3.1</v>
      </c>
      <c r="Q61" s="144" t="s">
        <v>29</v>
      </c>
      <c r="R61" s="118">
        <f t="shared" ca="1" si="17"/>
        <v>373353</v>
      </c>
      <c r="S61" s="118">
        <f t="shared" ca="1" si="17"/>
        <v>1157394</v>
      </c>
      <c r="T61" s="118">
        <f ca="1">특급</f>
        <v>373353</v>
      </c>
      <c r="U61" s="118">
        <f t="shared" ca="1" si="18"/>
        <v>1157394</v>
      </c>
      <c r="V61" s="118"/>
      <c r="W61" s="118"/>
      <c r="X61" s="118"/>
      <c r="Y61" s="118"/>
      <c r="Z61" s="115"/>
    </row>
    <row r="62" spans="3:26" ht="18" customHeight="1">
      <c r="C62" s="9"/>
      <c r="K62" s="171" t="s">
        <v>14</v>
      </c>
      <c r="L62" s="171"/>
      <c r="M62" s="171"/>
      <c r="N62" s="145" t="s">
        <v>39</v>
      </c>
      <c r="O62" s="173">
        <v>5</v>
      </c>
      <c r="P62" s="234">
        <f ca="1">OFFSET($A$1,MATCH(Z59,$A:$A,0)-1,O62)</f>
        <v>7.9</v>
      </c>
      <c r="Q62" s="144" t="s">
        <v>29</v>
      </c>
      <c r="R62" s="118">
        <f t="shared" ca="1" si="17"/>
        <v>310884</v>
      </c>
      <c r="S62" s="118">
        <f t="shared" ca="1" si="17"/>
        <v>2455983</v>
      </c>
      <c r="T62" s="118">
        <f ca="1">고급</f>
        <v>310884</v>
      </c>
      <c r="U62" s="118">
        <f t="shared" ca="1" si="18"/>
        <v>2455983</v>
      </c>
      <c r="V62" s="118"/>
      <c r="W62" s="118"/>
      <c r="X62" s="118"/>
      <c r="Y62" s="118"/>
      <c r="Z62" s="115"/>
    </row>
    <row r="63" spans="3:26" ht="18" customHeight="1">
      <c r="K63" s="171" t="s">
        <v>14</v>
      </c>
      <c r="L63" s="171"/>
      <c r="M63" s="171"/>
      <c r="N63" s="145" t="s">
        <v>40</v>
      </c>
      <c r="O63" s="173">
        <v>6</v>
      </c>
      <c r="P63" s="234">
        <f ca="1">OFFSET($A$1,MATCH(Z59,$A:$A,0)-1,O63)</f>
        <v>5.4</v>
      </c>
      <c r="Q63" s="144" t="s">
        <v>29</v>
      </c>
      <c r="R63" s="118">
        <f t="shared" ca="1" si="17"/>
        <v>295138</v>
      </c>
      <c r="S63" s="118">
        <f t="shared" ca="1" si="17"/>
        <v>1593745</v>
      </c>
      <c r="T63" s="118">
        <f ca="1">중급</f>
        <v>295138</v>
      </c>
      <c r="U63" s="118">
        <f t="shared" ca="1" si="18"/>
        <v>1593745</v>
      </c>
      <c r="V63" s="118"/>
      <c r="W63" s="118"/>
      <c r="X63" s="118"/>
      <c r="Y63" s="118"/>
      <c r="Z63" s="115"/>
    </row>
    <row r="64" spans="3:26" ht="18" customHeight="1">
      <c r="K64" s="171" t="s">
        <v>14</v>
      </c>
      <c r="L64" s="171"/>
      <c r="M64" s="171"/>
      <c r="N64" s="145" t="s">
        <v>41</v>
      </c>
      <c r="O64" s="173">
        <v>7</v>
      </c>
      <c r="P64" s="234">
        <f ca="1">OFFSET($A$1,MATCH(Z59,$A:$A,0)-1,O64)</f>
        <v>4.7</v>
      </c>
      <c r="Q64" s="144" t="s">
        <v>29</v>
      </c>
      <c r="R64" s="118">
        <f t="shared" ca="1" si="17"/>
        <v>235459</v>
      </c>
      <c r="S64" s="118">
        <f t="shared" ca="1" si="17"/>
        <v>1106657</v>
      </c>
      <c r="T64" s="118">
        <f ca="1">초급</f>
        <v>235459</v>
      </c>
      <c r="U64" s="118">
        <f t="shared" ca="1" si="18"/>
        <v>1106657</v>
      </c>
      <c r="V64" s="118"/>
      <c r="W64" s="118"/>
      <c r="X64" s="118"/>
      <c r="Y64" s="118"/>
      <c r="Z64" s="115"/>
    </row>
    <row r="65" spans="11:26" ht="18" customHeight="1">
      <c r="K65" s="171" t="s">
        <v>14</v>
      </c>
      <c r="L65" s="171"/>
      <c r="M65" s="171"/>
      <c r="N65" s="319" t="s">
        <v>42</v>
      </c>
      <c r="O65" s="174">
        <v>8</v>
      </c>
      <c r="P65" s="235">
        <f ca="1">OFFSET($A$1,MATCH(Z59,$A:$A,0)-1,O65)</f>
        <v>5.0999999999999996</v>
      </c>
      <c r="Q65" s="322" t="s">
        <v>29</v>
      </c>
      <c r="R65" s="323">
        <f t="shared" ca="1" si="17"/>
        <v>250087</v>
      </c>
      <c r="S65" s="323">
        <f t="shared" ca="1" si="17"/>
        <v>1275443</v>
      </c>
      <c r="T65" s="323">
        <f ca="1">보조원</f>
        <v>250087</v>
      </c>
      <c r="U65" s="323">
        <f t="shared" ca="1" si="18"/>
        <v>1275443</v>
      </c>
      <c r="V65" s="323"/>
      <c r="W65" s="323"/>
      <c r="X65" s="323"/>
      <c r="Y65" s="323"/>
      <c r="Z65" s="324"/>
    </row>
    <row r="66" spans="11:26" ht="18" customHeight="1">
      <c r="K66" s="171" t="s">
        <v>14</v>
      </c>
      <c r="L66" s="171"/>
      <c r="M66" s="171"/>
      <c r="N66" s="139" t="s">
        <v>17</v>
      </c>
      <c r="O66" s="68"/>
      <c r="P66" s="69"/>
      <c r="Q66" s="70"/>
      <c r="R66" s="71"/>
      <c r="S66" s="71">
        <f ca="1">SUBTOTAL(9,S60:S65)</f>
        <v>8476934</v>
      </c>
      <c r="T66" s="71"/>
      <c r="U66" s="71">
        <f ca="1">SUBTOTAL(9,U60:U65)</f>
        <v>8476934</v>
      </c>
      <c r="V66" s="71"/>
      <c r="W66" s="71"/>
      <c r="X66" s="71"/>
      <c r="Y66" s="71"/>
      <c r="Z66" s="68"/>
    </row>
    <row r="67" spans="11:26" ht="18" customHeight="1">
      <c r="K67" s="171" t="s">
        <v>14</v>
      </c>
      <c r="L67" s="171"/>
      <c r="M67" s="171"/>
      <c r="N67" s="318" t="str">
        <f ca="1">"제 " &amp; Z67 &amp; " 호표  "&amp; OFFSET($A$1,MATCH(Z67,$A:$A,0)-1,1)</f>
        <v>제 4 호표  3-1. 단계별집행계획</v>
      </c>
      <c r="O67" s="221"/>
      <c r="P67" s="148"/>
      <c r="Q67" s="148"/>
      <c r="R67" s="149"/>
      <c r="S67" s="149"/>
      <c r="T67" s="149"/>
      <c r="U67" s="149"/>
      <c r="V67" s="149"/>
      <c r="W67" s="149"/>
      <c r="X67" s="149"/>
      <c r="Y67" s="149"/>
      <c r="Z67" s="325">
        <f>Z59+1</f>
        <v>4</v>
      </c>
    </row>
    <row r="68" spans="11:26" ht="18" customHeight="1">
      <c r="K68" s="171" t="s">
        <v>14</v>
      </c>
      <c r="L68" s="171"/>
      <c r="M68" s="171"/>
      <c r="N68" s="140" t="s">
        <v>43</v>
      </c>
      <c r="O68" s="172">
        <v>3</v>
      </c>
      <c r="P68" s="219">
        <f ca="1">OFFSET($A$1,MATCH(Z67,$A:$A,0)-1,O68)</f>
        <v>1.3</v>
      </c>
      <c r="Q68" s="141" t="s">
        <v>29</v>
      </c>
      <c r="R68" s="142">
        <f t="shared" ref="R68:S73" ca="1" si="19">T68</f>
        <v>467217</v>
      </c>
      <c r="S68" s="142">
        <f t="shared" ca="1" si="19"/>
        <v>607382</v>
      </c>
      <c r="T68" s="142">
        <f ca="1">기술사</f>
        <v>467217</v>
      </c>
      <c r="U68" s="142">
        <f t="shared" ref="U68:U73" ca="1" si="20">ROUNDDOWN(P68*R68,0)</f>
        <v>607382</v>
      </c>
      <c r="V68" s="142"/>
      <c r="W68" s="142"/>
      <c r="X68" s="142"/>
      <c r="Y68" s="142"/>
      <c r="Z68" s="114"/>
    </row>
    <row r="69" spans="11:26" ht="18" customHeight="1">
      <c r="K69" s="171" t="s">
        <v>14</v>
      </c>
      <c r="L69" s="171"/>
      <c r="M69" s="171"/>
      <c r="N69" s="143" t="s">
        <v>32</v>
      </c>
      <c r="O69" s="173">
        <v>4</v>
      </c>
      <c r="P69" s="234">
        <f ca="1">OFFSET($A$1,MATCH(Z67,$A:$A,0)-1,O69)</f>
        <v>2.8</v>
      </c>
      <c r="Q69" s="144" t="s">
        <v>29</v>
      </c>
      <c r="R69" s="118">
        <f t="shared" ca="1" si="19"/>
        <v>373353</v>
      </c>
      <c r="S69" s="118">
        <f t="shared" ca="1" si="19"/>
        <v>1045388</v>
      </c>
      <c r="T69" s="118">
        <f ca="1">특급</f>
        <v>373353</v>
      </c>
      <c r="U69" s="118">
        <f t="shared" ca="1" si="20"/>
        <v>1045388</v>
      </c>
      <c r="V69" s="118"/>
      <c r="W69" s="118"/>
      <c r="X69" s="118"/>
      <c r="Y69" s="118"/>
      <c r="Z69" s="115"/>
    </row>
    <row r="70" spans="11:26" ht="18" customHeight="1">
      <c r="K70" s="171" t="s">
        <v>14</v>
      </c>
      <c r="L70" s="171"/>
      <c r="M70" s="171"/>
      <c r="N70" s="145" t="s">
        <v>39</v>
      </c>
      <c r="O70" s="173">
        <v>5</v>
      </c>
      <c r="P70" s="234">
        <f ca="1">OFFSET($A$1,MATCH(Z67,$A:$A,0)-1,O70)</f>
        <v>7.2</v>
      </c>
      <c r="Q70" s="144" t="s">
        <v>29</v>
      </c>
      <c r="R70" s="118">
        <f t="shared" ca="1" si="19"/>
        <v>310884</v>
      </c>
      <c r="S70" s="118">
        <f t="shared" ca="1" si="19"/>
        <v>2238364</v>
      </c>
      <c r="T70" s="118">
        <f ca="1">고급</f>
        <v>310884</v>
      </c>
      <c r="U70" s="118">
        <f t="shared" ca="1" si="20"/>
        <v>2238364</v>
      </c>
      <c r="V70" s="118"/>
      <c r="W70" s="118"/>
      <c r="X70" s="118"/>
      <c r="Y70" s="118"/>
      <c r="Z70" s="115"/>
    </row>
    <row r="71" spans="11:26" ht="18" customHeight="1">
      <c r="K71" s="171" t="s">
        <v>14</v>
      </c>
      <c r="L71" s="171"/>
      <c r="M71" s="171"/>
      <c r="N71" s="145" t="s">
        <v>40</v>
      </c>
      <c r="O71" s="173">
        <v>6</v>
      </c>
      <c r="P71" s="234">
        <f ca="1">OFFSET($A$1,MATCH(Z67,$A:$A,0)-1,O71)</f>
        <v>7.4</v>
      </c>
      <c r="Q71" s="144" t="s">
        <v>29</v>
      </c>
      <c r="R71" s="118">
        <f t="shared" ca="1" si="19"/>
        <v>295138</v>
      </c>
      <c r="S71" s="118">
        <f t="shared" ca="1" si="19"/>
        <v>2184021</v>
      </c>
      <c r="T71" s="118">
        <f ca="1">중급</f>
        <v>295138</v>
      </c>
      <c r="U71" s="118">
        <f t="shared" ca="1" si="20"/>
        <v>2184021</v>
      </c>
      <c r="V71" s="118"/>
      <c r="W71" s="118"/>
      <c r="X71" s="118"/>
      <c r="Y71" s="118"/>
      <c r="Z71" s="115"/>
    </row>
    <row r="72" spans="11:26" ht="18" customHeight="1">
      <c r="K72" s="171" t="s">
        <v>14</v>
      </c>
      <c r="L72" s="171"/>
      <c r="M72" s="171"/>
      <c r="N72" s="145" t="s">
        <v>41</v>
      </c>
      <c r="O72" s="173">
        <v>7</v>
      </c>
      <c r="P72" s="234">
        <f ca="1">OFFSET($A$1,MATCH(Z67,$A:$A,0)-1,O72)</f>
        <v>5.9</v>
      </c>
      <c r="Q72" s="144" t="s">
        <v>29</v>
      </c>
      <c r="R72" s="118">
        <f t="shared" ca="1" si="19"/>
        <v>235459</v>
      </c>
      <c r="S72" s="118">
        <f t="shared" ca="1" si="19"/>
        <v>1389208</v>
      </c>
      <c r="T72" s="118">
        <f ca="1">초급</f>
        <v>235459</v>
      </c>
      <c r="U72" s="118">
        <f t="shared" ca="1" si="20"/>
        <v>1389208</v>
      </c>
      <c r="V72" s="118"/>
      <c r="W72" s="118"/>
      <c r="X72" s="118"/>
      <c r="Y72" s="118"/>
      <c r="Z72" s="115"/>
    </row>
    <row r="73" spans="11:26" ht="18" customHeight="1">
      <c r="K73" s="171" t="s">
        <v>14</v>
      </c>
      <c r="L73" s="171"/>
      <c r="M73" s="171"/>
      <c r="N73" s="319" t="s">
        <v>42</v>
      </c>
      <c r="O73" s="174">
        <v>8</v>
      </c>
      <c r="P73" s="235">
        <f ca="1">OFFSET($A$1,MATCH(Z67,$A:$A,0)-1,O73)</f>
        <v>6.5</v>
      </c>
      <c r="Q73" s="322" t="s">
        <v>29</v>
      </c>
      <c r="R73" s="323">
        <f t="shared" ca="1" si="19"/>
        <v>250087</v>
      </c>
      <c r="S73" s="323">
        <f t="shared" ca="1" si="19"/>
        <v>1625565</v>
      </c>
      <c r="T73" s="323">
        <f ca="1">보조원</f>
        <v>250087</v>
      </c>
      <c r="U73" s="323">
        <f t="shared" ca="1" si="20"/>
        <v>1625565</v>
      </c>
      <c r="V73" s="323"/>
      <c r="W73" s="323"/>
      <c r="X73" s="323"/>
      <c r="Y73" s="323"/>
      <c r="Z73" s="324"/>
    </row>
    <row r="74" spans="11:26" ht="18" customHeight="1">
      <c r="K74" s="171" t="s">
        <v>14</v>
      </c>
      <c r="L74" s="171"/>
      <c r="M74" s="171"/>
      <c r="N74" s="139" t="s">
        <v>17</v>
      </c>
      <c r="O74" s="68"/>
      <c r="P74" s="69"/>
      <c r="Q74" s="70"/>
      <c r="R74" s="71"/>
      <c r="S74" s="71">
        <f ca="1">SUBTOTAL(9,S68:S73)</f>
        <v>9089928</v>
      </c>
      <c r="T74" s="71"/>
      <c r="U74" s="71">
        <f ca="1">SUBTOTAL(9,U68:U73)</f>
        <v>9089928</v>
      </c>
      <c r="V74" s="71"/>
      <c r="W74" s="71"/>
      <c r="X74" s="71"/>
      <c r="Y74" s="71"/>
      <c r="Z74" s="68"/>
    </row>
    <row r="75" spans="11:26" ht="18" customHeight="1">
      <c r="K75" s="171" t="s">
        <v>14</v>
      </c>
      <c r="L75" s="171"/>
      <c r="M75" s="171"/>
      <c r="N75" s="318" t="str">
        <f ca="1">"제 " &amp; Z75 &amp; " 호표  "&amp; OFFSET($A$1,MATCH(Z75,$A:$A,0)-1,1)</f>
        <v>제 5 호표  4-1. 보고서작성 및 편집</v>
      </c>
      <c r="O75" s="221"/>
      <c r="P75" s="148"/>
      <c r="Q75" s="148"/>
      <c r="R75" s="149"/>
      <c r="S75" s="149"/>
      <c r="T75" s="149"/>
      <c r="U75" s="149"/>
      <c r="V75" s="149"/>
      <c r="W75" s="149"/>
      <c r="X75" s="149"/>
      <c r="Y75" s="149"/>
      <c r="Z75" s="325">
        <f>Z67+1</f>
        <v>5</v>
      </c>
    </row>
    <row r="76" spans="11:26" ht="18" customHeight="1">
      <c r="K76" s="171" t="s">
        <v>14</v>
      </c>
      <c r="L76" s="171"/>
      <c r="M76" s="171"/>
      <c r="N76" s="140" t="s">
        <v>43</v>
      </c>
      <c r="O76" s="172">
        <v>3</v>
      </c>
      <c r="P76" s="219">
        <f ca="1">OFFSET($A$1,MATCH(Z75,$A:$A,0)-1,O76)</f>
        <v>0.3</v>
      </c>
      <c r="Q76" s="141" t="s">
        <v>29</v>
      </c>
      <c r="R76" s="142">
        <f t="shared" ref="R76:S81" ca="1" si="21">T76</f>
        <v>467217</v>
      </c>
      <c r="S76" s="142">
        <f t="shared" ca="1" si="21"/>
        <v>140165</v>
      </c>
      <c r="T76" s="142">
        <f ca="1">기술사</f>
        <v>467217</v>
      </c>
      <c r="U76" s="142">
        <f t="shared" ref="U76:U81" ca="1" si="22">ROUNDDOWN(P76*R76,0)</f>
        <v>140165</v>
      </c>
      <c r="V76" s="142"/>
      <c r="W76" s="142"/>
      <c r="X76" s="142"/>
      <c r="Y76" s="142"/>
      <c r="Z76" s="114"/>
    </row>
    <row r="77" spans="11:26" ht="18" customHeight="1">
      <c r="K77" s="171" t="s">
        <v>14</v>
      </c>
      <c r="L77" s="171"/>
      <c r="M77" s="171"/>
      <c r="N77" s="143" t="s">
        <v>32</v>
      </c>
      <c r="O77" s="173">
        <v>4</v>
      </c>
      <c r="P77" s="234">
        <f ca="1">OFFSET($A$1,MATCH(Z75,$A:$A,0)-1,O77)</f>
        <v>0.4</v>
      </c>
      <c r="Q77" s="144" t="s">
        <v>29</v>
      </c>
      <c r="R77" s="118">
        <f t="shared" ca="1" si="21"/>
        <v>373353</v>
      </c>
      <c r="S77" s="118">
        <f t="shared" ca="1" si="21"/>
        <v>149341</v>
      </c>
      <c r="T77" s="118">
        <f ca="1">특급</f>
        <v>373353</v>
      </c>
      <c r="U77" s="118">
        <f t="shared" ca="1" si="22"/>
        <v>149341</v>
      </c>
      <c r="V77" s="118"/>
      <c r="W77" s="118"/>
      <c r="X77" s="118"/>
      <c r="Y77" s="118"/>
      <c r="Z77" s="115"/>
    </row>
    <row r="78" spans="11:26" ht="18" customHeight="1">
      <c r="K78" s="171" t="s">
        <v>14</v>
      </c>
      <c r="L78" s="171"/>
      <c r="M78" s="171"/>
      <c r="N78" s="145" t="s">
        <v>39</v>
      </c>
      <c r="O78" s="173">
        <v>5</v>
      </c>
      <c r="P78" s="234">
        <f ca="1">OFFSET($A$1,MATCH(Z75,$A:$A,0)-1,O78)</f>
        <v>2.1</v>
      </c>
      <c r="Q78" s="144" t="s">
        <v>29</v>
      </c>
      <c r="R78" s="118">
        <f t="shared" ca="1" si="21"/>
        <v>310884</v>
      </c>
      <c r="S78" s="118">
        <f t="shared" ca="1" si="21"/>
        <v>652856</v>
      </c>
      <c r="T78" s="118">
        <f ca="1">고급</f>
        <v>310884</v>
      </c>
      <c r="U78" s="118">
        <f t="shared" ca="1" si="22"/>
        <v>652856</v>
      </c>
      <c r="V78" s="118"/>
      <c r="W78" s="118"/>
      <c r="X78" s="118"/>
      <c r="Y78" s="118"/>
      <c r="Z78" s="115"/>
    </row>
    <row r="79" spans="11:26" ht="18" customHeight="1">
      <c r="K79" s="171" t="s">
        <v>14</v>
      </c>
      <c r="L79" s="171"/>
      <c r="M79" s="171"/>
      <c r="N79" s="145" t="s">
        <v>40</v>
      </c>
      <c r="O79" s="173">
        <v>6</v>
      </c>
      <c r="P79" s="234">
        <f ca="1">OFFSET($A$1,MATCH(Z75,$A:$A,0)-1,O79)</f>
        <v>7.9</v>
      </c>
      <c r="Q79" s="144" t="s">
        <v>29</v>
      </c>
      <c r="R79" s="118">
        <f t="shared" ca="1" si="21"/>
        <v>295138</v>
      </c>
      <c r="S79" s="118">
        <f t="shared" ca="1" si="21"/>
        <v>2331590</v>
      </c>
      <c r="T79" s="118">
        <f ca="1">중급</f>
        <v>295138</v>
      </c>
      <c r="U79" s="118">
        <f t="shared" ca="1" si="22"/>
        <v>2331590</v>
      </c>
      <c r="V79" s="118"/>
      <c r="W79" s="118"/>
      <c r="X79" s="118"/>
      <c r="Y79" s="118"/>
      <c r="Z79" s="115"/>
    </row>
    <row r="80" spans="11:26" ht="18" customHeight="1">
      <c r="K80" s="171" t="s">
        <v>14</v>
      </c>
      <c r="L80" s="171"/>
      <c r="M80" s="171"/>
      <c r="N80" s="145" t="s">
        <v>41</v>
      </c>
      <c r="O80" s="173">
        <v>7</v>
      </c>
      <c r="P80" s="234">
        <f ca="1">OFFSET($A$1,MATCH(Z75,$A:$A,0)-1,O80)</f>
        <v>9.3000000000000007</v>
      </c>
      <c r="Q80" s="144" t="s">
        <v>29</v>
      </c>
      <c r="R80" s="118">
        <f t="shared" ca="1" si="21"/>
        <v>235459</v>
      </c>
      <c r="S80" s="118">
        <f t="shared" ca="1" si="21"/>
        <v>2189768</v>
      </c>
      <c r="T80" s="118">
        <f ca="1">초급</f>
        <v>235459</v>
      </c>
      <c r="U80" s="118">
        <f t="shared" ca="1" si="22"/>
        <v>2189768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319" t="s">
        <v>42</v>
      </c>
      <c r="O81" s="174">
        <v>8</v>
      </c>
      <c r="P81" s="235">
        <f ca="1">OFFSET($A$1,MATCH(Z75,$A:$A,0)-1,O81)</f>
        <v>11.3</v>
      </c>
      <c r="Q81" s="322" t="s">
        <v>29</v>
      </c>
      <c r="R81" s="323">
        <f t="shared" ca="1" si="21"/>
        <v>250087</v>
      </c>
      <c r="S81" s="323">
        <f t="shared" ca="1" si="21"/>
        <v>2825983</v>
      </c>
      <c r="T81" s="323">
        <f ca="1">보조원</f>
        <v>250087</v>
      </c>
      <c r="U81" s="323">
        <f t="shared" ca="1" si="22"/>
        <v>2825983</v>
      </c>
      <c r="V81" s="323"/>
      <c r="W81" s="323"/>
      <c r="X81" s="323"/>
      <c r="Y81" s="323"/>
      <c r="Z81" s="324"/>
    </row>
    <row r="82" spans="11:26" ht="18" customHeight="1">
      <c r="K82" s="171" t="s">
        <v>14</v>
      </c>
      <c r="L82" s="171"/>
      <c r="M82" s="171"/>
      <c r="N82" s="139" t="s">
        <v>17</v>
      </c>
      <c r="O82" s="68"/>
      <c r="P82" s="69"/>
      <c r="Q82" s="70"/>
      <c r="R82" s="71"/>
      <c r="S82" s="71">
        <f ca="1">SUBTOTAL(9,S76:S81)</f>
        <v>8289703</v>
      </c>
      <c r="T82" s="71"/>
      <c r="U82" s="71">
        <f ca="1">SUBTOTAL(9,U76:U81)</f>
        <v>8289703</v>
      </c>
      <c r="V82" s="71"/>
      <c r="W82" s="71"/>
      <c r="X82" s="71"/>
      <c r="Y82" s="71"/>
      <c r="Z82" s="68"/>
    </row>
    <row r="83" spans="11:26" ht="18" customHeight="1">
      <c r="K83" s="171" t="s">
        <v>14</v>
      </c>
      <c r="L83" s="171"/>
      <c r="M83" s="171"/>
      <c r="N83" s="318" t="str">
        <f ca="1">"제 " &amp; Z83 &amp; " 호표  "&amp; OFFSET($A$1,MATCH(Z83,$A:$A,0)-1,1)</f>
        <v>제 6 호표  4-2. 관련도서작성</v>
      </c>
      <c r="O83" s="221"/>
      <c r="P83" s="148"/>
      <c r="Q83" s="148"/>
      <c r="R83" s="149"/>
      <c r="S83" s="149"/>
      <c r="T83" s="149"/>
      <c r="U83" s="149"/>
      <c r="V83" s="149"/>
      <c r="W83" s="149"/>
      <c r="X83" s="149"/>
      <c r="Y83" s="149"/>
      <c r="Z83" s="325">
        <f>Z75+1</f>
        <v>6</v>
      </c>
    </row>
    <row r="84" spans="11:26" ht="18" customHeight="1">
      <c r="K84" s="171" t="s">
        <v>14</v>
      </c>
      <c r="L84" s="171"/>
      <c r="M84" s="171"/>
      <c r="N84" s="140" t="s">
        <v>43</v>
      </c>
      <c r="O84" s="172">
        <v>3</v>
      </c>
      <c r="P84" s="219">
        <f ca="1">OFFSET($A$1,MATCH(Z83,$A:$A,0)-1,O84)</f>
        <v>0.3</v>
      </c>
      <c r="Q84" s="141" t="s">
        <v>29</v>
      </c>
      <c r="R84" s="142">
        <f t="shared" ref="R84:S89" ca="1" si="23">T84</f>
        <v>467217</v>
      </c>
      <c r="S84" s="142">
        <f t="shared" ca="1" si="23"/>
        <v>140165</v>
      </c>
      <c r="T84" s="142">
        <f ca="1">기술사</f>
        <v>467217</v>
      </c>
      <c r="U84" s="142">
        <f t="shared" ref="U84:U89" ca="1" si="24">ROUNDDOWN(P84*R84,0)</f>
        <v>140165</v>
      </c>
      <c r="V84" s="142"/>
      <c r="W84" s="142"/>
      <c r="X84" s="142"/>
      <c r="Y84" s="142"/>
      <c r="Z84" s="114"/>
    </row>
    <row r="85" spans="11:26" ht="18" customHeight="1">
      <c r="K85" s="171" t="s">
        <v>14</v>
      </c>
      <c r="L85" s="171"/>
      <c r="M85" s="171"/>
      <c r="N85" s="143" t="s">
        <v>32</v>
      </c>
      <c r="O85" s="173">
        <v>4</v>
      </c>
      <c r="P85" s="234">
        <f ca="1">OFFSET($A$1,MATCH(Z83,$A:$A,0)-1,O85)</f>
        <v>0.4</v>
      </c>
      <c r="Q85" s="144" t="s">
        <v>29</v>
      </c>
      <c r="R85" s="118">
        <f t="shared" ca="1" si="23"/>
        <v>373353</v>
      </c>
      <c r="S85" s="118">
        <f t="shared" ca="1" si="23"/>
        <v>149341</v>
      </c>
      <c r="T85" s="118">
        <f ca="1">특급</f>
        <v>373353</v>
      </c>
      <c r="U85" s="118">
        <f t="shared" ca="1" si="24"/>
        <v>149341</v>
      </c>
      <c r="V85" s="118"/>
      <c r="W85" s="118"/>
      <c r="X85" s="118"/>
      <c r="Y85" s="118"/>
      <c r="Z85" s="115"/>
    </row>
    <row r="86" spans="11:26" ht="18" customHeight="1">
      <c r="K86" s="171" t="s">
        <v>14</v>
      </c>
      <c r="L86" s="171"/>
      <c r="M86" s="171"/>
      <c r="N86" s="145" t="s">
        <v>39</v>
      </c>
      <c r="O86" s="173">
        <v>5</v>
      </c>
      <c r="P86" s="234">
        <f ca="1">OFFSET($A$1,MATCH(Z83,$A:$A,0)-1,O86)</f>
        <v>2.1</v>
      </c>
      <c r="Q86" s="144" t="s">
        <v>29</v>
      </c>
      <c r="R86" s="118">
        <f t="shared" ca="1" si="23"/>
        <v>310884</v>
      </c>
      <c r="S86" s="118">
        <f t="shared" ca="1" si="23"/>
        <v>652856</v>
      </c>
      <c r="T86" s="118">
        <f ca="1">고급</f>
        <v>310884</v>
      </c>
      <c r="U86" s="118">
        <f t="shared" ca="1" si="24"/>
        <v>652856</v>
      </c>
      <c r="V86" s="118"/>
      <c r="W86" s="118"/>
      <c r="X86" s="118"/>
      <c r="Y86" s="118"/>
      <c r="Z86" s="115"/>
    </row>
    <row r="87" spans="11:26" ht="18" customHeight="1">
      <c r="K87" s="171" t="s">
        <v>14</v>
      </c>
      <c r="L87" s="171"/>
      <c r="M87" s="171"/>
      <c r="N87" s="145" t="s">
        <v>40</v>
      </c>
      <c r="O87" s="173">
        <v>6</v>
      </c>
      <c r="P87" s="234">
        <f ca="1">OFFSET($A$1,MATCH(Z83,$A:$A,0)-1,O87)</f>
        <v>7.9</v>
      </c>
      <c r="Q87" s="144" t="s">
        <v>29</v>
      </c>
      <c r="R87" s="118">
        <f t="shared" ca="1" si="23"/>
        <v>295138</v>
      </c>
      <c r="S87" s="118">
        <f t="shared" ca="1" si="23"/>
        <v>2331590</v>
      </c>
      <c r="T87" s="118">
        <f ca="1">중급</f>
        <v>295138</v>
      </c>
      <c r="U87" s="118">
        <f t="shared" ca="1" si="24"/>
        <v>2331590</v>
      </c>
      <c r="V87" s="118"/>
      <c r="W87" s="118"/>
      <c r="X87" s="118"/>
      <c r="Y87" s="118"/>
      <c r="Z87" s="115"/>
    </row>
    <row r="88" spans="11:26" ht="18" customHeight="1">
      <c r="K88" s="171" t="s">
        <v>14</v>
      </c>
      <c r="L88" s="171"/>
      <c r="M88" s="171"/>
      <c r="N88" s="145" t="s">
        <v>41</v>
      </c>
      <c r="O88" s="173">
        <v>7</v>
      </c>
      <c r="P88" s="234">
        <f ca="1">OFFSET($A$1,MATCH(Z83,$A:$A,0)-1,O88)</f>
        <v>9.3000000000000007</v>
      </c>
      <c r="Q88" s="144" t="s">
        <v>29</v>
      </c>
      <c r="R88" s="118">
        <f t="shared" ca="1" si="23"/>
        <v>235459</v>
      </c>
      <c r="S88" s="118">
        <f t="shared" ca="1" si="23"/>
        <v>2189768</v>
      </c>
      <c r="T88" s="118">
        <f ca="1">초급</f>
        <v>235459</v>
      </c>
      <c r="U88" s="118">
        <f t="shared" ca="1" si="24"/>
        <v>2189768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319" t="s">
        <v>42</v>
      </c>
      <c r="O89" s="174">
        <v>8</v>
      </c>
      <c r="P89" s="235">
        <f ca="1">OFFSET($A$1,MATCH(Z83,$A:$A,0)-1,O89)</f>
        <v>11.3</v>
      </c>
      <c r="Q89" s="322" t="s">
        <v>29</v>
      </c>
      <c r="R89" s="323">
        <f t="shared" ca="1" si="23"/>
        <v>250087</v>
      </c>
      <c r="S89" s="323">
        <f t="shared" ca="1" si="23"/>
        <v>2825983</v>
      </c>
      <c r="T89" s="323">
        <f ca="1">보조원</f>
        <v>250087</v>
      </c>
      <c r="U89" s="323">
        <f t="shared" ca="1" si="24"/>
        <v>2825983</v>
      </c>
      <c r="V89" s="323"/>
      <c r="W89" s="323"/>
      <c r="X89" s="323"/>
      <c r="Y89" s="323"/>
      <c r="Z89" s="324"/>
    </row>
    <row r="90" spans="11:26" ht="18" customHeight="1">
      <c r="K90" s="171" t="s">
        <v>14</v>
      </c>
      <c r="L90" s="171"/>
      <c r="M90" s="171"/>
      <c r="N90" s="139" t="s">
        <v>17</v>
      </c>
      <c r="O90" s="68"/>
      <c r="P90" s="69"/>
      <c r="Q90" s="70"/>
      <c r="R90" s="71"/>
      <c r="S90" s="71">
        <f ca="1">SUBTOTAL(9,S84:S89)</f>
        <v>8289703</v>
      </c>
      <c r="T90" s="71"/>
      <c r="U90" s="71">
        <f ca="1">SUBTOTAL(9,U84:U89)</f>
        <v>8289703</v>
      </c>
      <c r="V90" s="71"/>
      <c r="W90" s="71"/>
      <c r="X90" s="71"/>
      <c r="Y90" s="71"/>
      <c r="Z90" s="68"/>
    </row>
    <row r="91" spans="11:26" ht="18" customHeight="1">
      <c r="K91" s="171" t="s">
        <v>14</v>
      </c>
      <c r="L91" s="171"/>
      <c r="M91" s="171"/>
      <c r="N91" s="318" t="str">
        <f ca="1">"제 " &amp; Z91 &amp; " 호표  "&amp; OFFSET($A$1,MATCH(Z91,$A:$A,0)-1,1)</f>
        <v>제 7 호표  5-1. 공청회/주민설명회</v>
      </c>
      <c r="O91" s="221"/>
      <c r="P91" s="148"/>
      <c r="Q91" s="148"/>
      <c r="R91" s="149"/>
      <c r="S91" s="149"/>
      <c r="T91" s="149"/>
      <c r="U91" s="149"/>
      <c r="V91" s="149"/>
      <c r="W91" s="149"/>
      <c r="X91" s="149"/>
      <c r="Y91" s="149"/>
      <c r="Z91" s="325">
        <f>Z83+1</f>
        <v>7</v>
      </c>
    </row>
    <row r="92" spans="11:26" ht="18" customHeight="1">
      <c r="K92" s="171" t="s">
        <v>14</v>
      </c>
      <c r="L92" s="171"/>
      <c r="M92" s="171"/>
      <c r="N92" s="140" t="s">
        <v>43</v>
      </c>
      <c r="O92" s="172">
        <v>3</v>
      </c>
      <c r="P92" s="219">
        <f ca="1">OFFSET($A$1,MATCH(Z91,$A:$A,0)-1,O92)</f>
        <v>2</v>
      </c>
      <c r="Q92" s="141" t="s">
        <v>29</v>
      </c>
      <c r="R92" s="142">
        <f t="shared" ref="R92:S97" ca="1" si="25">T92</f>
        <v>467217</v>
      </c>
      <c r="S92" s="142">
        <f t="shared" ca="1" si="25"/>
        <v>934434</v>
      </c>
      <c r="T92" s="142">
        <f ca="1">기술사</f>
        <v>467217</v>
      </c>
      <c r="U92" s="142">
        <f t="shared" ref="U92:U97" ca="1" si="26">ROUNDDOWN(P92*R92,0)</f>
        <v>934434</v>
      </c>
      <c r="V92" s="142"/>
      <c r="W92" s="142"/>
      <c r="X92" s="142"/>
      <c r="Y92" s="142"/>
      <c r="Z92" s="114"/>
    </row>
    <row r="93" spans="11:26" ht="18" customHeight="1">
      <c r="K93" s="171" t="s">
        <v>14</v>
      </c>
      <c r="L93" s="171"/>
      <c r="M93" s="171"/>
      <c r="N93" s="143" t="s">
        <v>32</v>
      </c>
      <c r="O93" s="173">
        <v>4</v>
      </c>
      <c r="P93" s="234">
        <f ca="1">OFFSET($A$1,MATCH(Z91,$A:$A,0)-1,O93)</f>
        <v>2</v>
      </c>
      <c r="Q93" s="144" t="s">
        <v>29</v>
      </c>
      <c r="R93" s="118">
        <f t="shared" ca="1" si="25"/>
        <v>373353</v>
      </c>
      <c r="S93" s="118">
        <f t="shared" ca="1" si="25"/>
        <v>746706</v>
      </c>
      <c r="T93" s="118">
        <f ca="1">특급</f>
        <v>373353</v>
      </c>
      <c r="U93" s="118">
        <f t="shared" ca="1" si="26"/>
        <v>746706</v>
      </c>
      <c r="V93" s="118"/>
      <c r="W93" s="118"/>
      <c r="X93" s="118"/>
      <c r="Y93" s="118"/>
      <c r="Z93" s="115"/>
    </row>
    <row r="94" spans="11:26" ht="18" customHeight="1">
      <c r="K94" s="171" t="s">
        <v>14</v>
      </c>
      <c r="L94" s="171"/>
      <c r="M94" s="171"/>
      <c r="N94" s="145" t="s">
        <v>39</v>
      </c>
      <c r="O94" s="173">
        <v>5</v>
      </c>
      <c r="P94" s="234">
        <f ca="1">OFFSET($A$1,MATCH(Z91,$A:$A,0)-1,O94)</f>
        <v>2</v>
      </c>
      <c r="Q94" s="144" t="s">
        <v>29</v>
      </c>
      <c r="R94" s="118">
        <f t="shared" ca="1" si="25"/>
        <v>310884</v>
      </c>
      <c r="S94" s="118">
        <f t="shared" ca="1" si="25"/>
        <v>621768</v>
      </c>
      <c r="T94" s="118">
        <f ca="1">고급</f>
        <v>310884</v>
      </c>
      <c r="U94" s="118">
        <f t="shared" ca="1" si="26"/>
        <v>621768</v>
      </c>
      <c r="V94" s="118"/>
      <c r="W94" s="118"/>
      <c r="X94" s="118"/>
      <c r="Y94" s="118"/>
      <c r="Z94" s="115"/>
    </row>
    <row r="95" spans="11:26" ht="18" customHeight="1">
      <c r="K95" s="171" t="s">
        <v>14</v>
      </c>
      <c r="L95" s="171"/>
      <c r="M95" s="171"/>
      <c r="N95" s="145" t="s">
        <v>40</v>
      </c>
      <c r="O95" s="173">
        <v>6</v>
      </c>
      <c r="P95" s="234">
        <f ca="1">OFFSET($A$1,MATCH(Z91,$A:$A,0)-1,O95)</f>
        <v>4</v>
      </c>
      <c r="Q95" s="144" t="s">
        <v>29</v>
      </c>
      <c r="R95" s="118">
        <f t="shared" ca="1" si="25"/>
        <v>295138</v>
      </c>
      <c r="S95" s="118">
        <f t="shared" ca="1" si="25"/>
        <v>1180552</v>
      </c>
      <c r="T95" s="118">
        <f ca="1">중급</f>
        <v>295138</v>
      </c>
      <c r="U95" s="118">
        <f t="shared" ca="1" si="26"/>
        <v>1180552</v>
      </c>
      <c r="V95" s="118"/>
      <c r="W95" s="118"/>
      <c r="X95" s="118"/>
      <c r="Y95" s="118"/>
      <c r="Z95" s="115"/>
    </row>
    <row r="96" spans="11:26" ht="18" customHeight="1">
      <c r="K96" s="171" t="s">
        <v>14</v>
      </c>
      <c r="L96" s="171"/>
      <c r="M96" s="171"/>
      <c r="N96" s="145" t="s">
        <v>41</v>
      </c>
      <c r="O96" s="173">
        <v>7</v>
      </c>
      <c r="P96" s="234">
        <f ca="1">OFFSET($A$1,MATCH(Z91,$A:$A,0)-1,O96)</f>
        <v>4</v>
      </c>
      <c r="Q96" s="144" t="s">
        <v>29</v>
      </c>
      <c r="R96" s="118">
        <f t="shared" ca="1" si="25"/>
        <v>235459</v>
      </c>
      <c r="S96" s="118">
        <f t="shared" ca="1" si="25"/>
        <v>941836</v>
      </c>
      <c r="T96" s="118">
        <f ca="1">초급</f>
        <v>235459</v>
      </c>
      <c r="U96" s="118">
        <f t="shared" ca="1" si="26"/>
        <v>941836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319" t="s">
        <v>42</v>
      </c>
      <c r="O97" s="174">
        <v>8</v>
      </c>
      <c r="P97" s="235">
        <f ca="1">OFFSET($A$1,MATCH(Z91,$A:$A,0)-1,O97)</f>
        <v>4</v>
      </c>
      <c r="Q97" s="322" t="s">
        <v>29</v>
      </c>
      <c r="R97" s="323">
        <f t="shared" ca="1" si="25"/>
        <v>250087</v>
      </c>
      <c r="S97" s="323">
        <f t="shared" ca="1" si="25"/>
        <v>1000348</v>
      </c>
      <c r="T97" s="323">
        <f ca="1">보조원</f>
        <v>250087</v>
      </c>
      <c r="U97" s="323">
        <f t="shared" ca="1" si="26"/>
        <v>1000348</v>
      </c>
      <c r="V97" s="323"/>
      <c r="W97" s="323"/>
      <c r="X97" s="323"/>
      <c r="Y97" s="323"/>
      <c r="Z97" s="324"/>
    </row>
    <row r="98" spans="11:26" ht="18" customHeight="1">
      <c r="K98" s="171" t="s">
        <v>14</v>
      </c>
      <c r="L98" s="171"/>
      <c r="M98" s="171"/>
      <c r="N98" s="139" t="s">
        <v>17</v>
      </c>
      <c r="O98" s="68"/>
      <c r="P98" s="69"/>
      <c r="Q98" s="70"/>
      <c r="R98" s="71"/>
      <c r="S98" s="71">
        <f ca="1">SUBTOTAL(9,S92:S97)</f>
        <v>5425644</v>
      </c>
      <c r="T98" s="71"/>
      <c r="U98" s="71">
        <f ca="1">SUBTOTAL(9,U92:U97)</f>
        <v>5425644</v>
      </c>
      <c r="V98" s="71"/>
      <c r="W98" s="71"/>
      <c r="X98" s="71"/>
      <c r="Y98" s="71"/>
      <c r="Z98" s="68"/>
    </row>
    <row r="99" spans="11:26" ht="18" customHeight="1">
      <c r="K99" s="171" t="s">
        <v>14</v>
      </c>
      <c r="L99" s="171"/>
      <c r="M99" s="171"/>
      <c r="N99" s="318" t="str">
        <f ca="1">"제 " &amp; Z99 &amp; " 호표  "&amp; OFFSET($A$1,MATCH(Z99,$A:$A,0)-1,1)</f>
        <v>제 8 호표  5-2. 주민간담회/시민계획단</v>
      </c>
      <c r="O99" s="221"/>
      <c r="P99" s="148"/>
      <c r="Q99" s="148"/>
      <c r="R99" s="149"/>
      <c r="S99" s="149"/>
      <c r="T99" s="149"/>
      <c r="U99" s="149"/>
      <c r="V99" s="149"/>
      <c r="W99" s="149"/>
      <c r="X99" s="149"/>
      <c r="Y99" s="149"/>
      <c r="Z99" s="325">
        <f>Z91+1</f>
        <v>8</v>
      </c>
    </row>
    <row r="100" spans="11:26" ht="18" customHeight="1">
      <c r="K100" s="171" t="s">
        <v>14</v>
      </c>
      <c r="L100" s="171"/>
      <c r="M100" s="171"/>
      <c r="N100" s="140" t="s">
        <v>43</v>
      </c>
      <c r="O100" s="172">
        <v>3</v>
      </c>
      <c r="P100" s="219">
        <f ca="1">OFFSET($A$1,MATCH(Z99,$A:$A,0)-1,O100)</f>
        <v>2</v>
      </c>
      <c r="Q100" s="141" t="s">
        <v>29</v>
      </c>
      <c r="R100" s="142">
        <f t="shared" ref="R100:S105" ca="1" si="27">T100</f>
        <v>467217</v>
      </c>
      <c r="S100" s="142">
        <f t="shared" ca="1" si="27"/>
        <v>934434</v>
      </c>
      <c r="T100" s="142">
        <f ca="1">기술사</f>
        <v>467217</v>
      </c>
      <c r="U100" s="142">
        <f t="shared" ref="U100:U105" ca="1" si="28">ROUNDDOWN(P100*R100,0)</f>
        <v>934434</v>
      </c>
      <c r="V100" s="142"/>
      <c r="W100" s="142"/>
      <c r="X100" s="142"/>
      <c r="Y100" s="142"/>
      <c r="Z100" s="114"/>
    </row>
    <row r="101" spans="11:26" ht="18" customHeight="1">
      <c r="K101" s="171" t="s">
        <v>14</v>
      </c>
      <c r="L101" s="171"/>
      <c r="M101" s="171"/>
      <c r="N101" s="143" t="s">
        <v>32</v>
      </c>
      <c r="O101" s="173">
        <v>4</v>
      </c>
      <c r="P101" s="234">
        <f ca="1">OFFSET($A$1,MATCH(Z99,$A:$A,0)-1,O101)</f>
        <v>2</v>
      </c>
      <c r="Q101" s="144" t="s">
        <v>29</v>
      </c>
      <c r="R101" s="118">
        <f t="shared" ca="1" si="27"/>
        <v>373353</v>
      </c>
      <c r="S101" s="118">
        <f t="shared" ca="1" si="27"/>
        <v>746706</v>
      </c>
      <c r="T101" s="118">
        <f ca="1">특급</f>
        <v>373353</v>
      </c>
      <c r="U101" s="118">
        <f t="shared" ca="1" si="28"/>
        <v>746706</v>
      </c>
      <c r="V101" s="118"/>
      <c r="W101" s="118"/>
      <c r="X101" s="118"/>
      <c r="Y101" s="118"/>
      <c r="Z101" s="115"/>
    </row>
    <row r="102" spans="11:26" ht="18" customHeight="1">
      <c r="K102" s="171" t="s">
        <v>14</v>
      </c>
      <c r="L102" s="171"/>
      <c r="M102" s="171"/>
      <c r="N102" s="145" t="s">
        <v>39</v>
      </c>
      <c r="O102" s="173">
        <v>5</v>
      </c>
      <c r="P102" s="234">
        <f ca="1">OFFSET($A$1,MATCH(Z99,$A:$A,0)-1,O102)</f>
        <v>2</v>
      </c>
      <c r="Q102" s="144" t="s">
        <v>29</v>
      </c>
      <c r="R102" s="118">
        <f t="shared" ca="1" si="27"/>
        <v>310884</v>
      </c>
      <c r="S102" s="118">
        <f t="shared" ca="1" si="27"/>
        <v>621768</v>
      </c>
      <c r="T102" s="118">
        <f ca="1">고급</f>
        <v>310884</v>
      </c>
      <c r="U102" s="118">
        <f t="shared" ca="1" si="28"/>
        <v>621768</v>
      </c>
      <c r="V102" s="118"/>
      <c r="W102" s="118"/>
      <c r="X102" s="118"/>
      <c r="Y102" s="118"/>
      <c r="Z102" s="115"/>
    </row>
    <row r="103" spans="11:26" ht="18" customHeight="1">
      <c r="K103" s="171" t="s">
        <v>14</v>
      </c>
      <c r="L103" s="171"/>
      <c r="M103" s="171"/>
      <c r="N103" s="145" t="s">
        <v>40</v>
      </c>
      <c r="O103" s="173">
        <v>6</v>
      </c>
      <c r="P103" s="234">
        <f ca="1">OFFSET($A$1,MATCH(Z99,$A:$A,0)-1,O103)</f>
        <v>4</v>
      </c>
      <c r="Q103" s="144" t="s">
        <v>29</v>
      </c>
      <c r="R103" s="118">
        <f t="shared" ca="1" si="27"/>
        <v>295138</v>
      </c>
      <c r="S103" s="118">
        <f t="shared" ca="1" si="27"/>
        <v>1180552</v>
      </c>
      <c r="T103" s="118">
        <f ca="1">중급</f>
        <v>295138</v>
      </c>
      <c r="U103" s="118">
        <f t="shared" ca="1" si="28"/>
        <v>1180552</v>
      </c>
      <c r="V103" s="118"/>
      <c r="W103" s="118"/>
      <c r="X103" s="118"/>
      <c r="Y103" s="118"/>
      <c r="Z103" s="115"/>
    </row>
    <row r="104" spans="11:26" ht="18" customHeight="1">
      <c r="K104" s="171" t="s">
        <v>14</v>
      </c>
      <c r="L104" s="171"/>
      <c r="M104" s="171"/>
      <c r="N104" s="145" t="s">
        <v>41</v>
      </c>
      <c r="O104" s="173">
        <v>7</v>
      </c>
      <c r="P104" s="234">
        <f ca="1">OFFSET($A$1,MATCH(Z99,$A:$A,0)-1,O104)</f>
        <v>4</v>
      </c>
      <c r="Q104" s="144" t="s">
        <v>29</v>
      </c>
      <c r="R104" s="118">
        <f t="shared" ca="1" si="27"/>
        <v>235459</v>
      </c>
      <c r="S104" s="118">
        <f t="shared" ca="1" si="27"/>
        <v>941836</v>
      </c>
      <c r="T104" s="118">
        <f ca="1">초급</f>
        <v>235459</v>
      </c>
      <c r="U104" s="118">
        <f t="shared" ca="1" si="28"/>
        <v>941836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319" t="s">
        <v>42</v>
      </c>
      <c r="O105" s="174">
        <v>8</v>
      </c>
      <c r="P105" s="235">
        <f ca="1">OFFSET($A$1,MATCH(Z99,$A:$A,0)-1,O105)</f>
        <v>4</v>
      </c>
      <c r="Q105" s="322" t="s">
        <v>29</v>
      </c>
      <c r="R105" s="323">
        <f t="shared" ca="1" si="27"/>
        <v>250087</v>
      </c>
      <c r="S105" s="323">
        <f t="shared" ca="1" si="27"/>
        <v>1000348</v>
      </c>
      <c r="T105" s="323">
        <f ca="1">보조원</f>
        <v>250087</v>
      </c>
      <c r="U105" s="323">
        <f t="shared" ca="1" si="28"/>
        <v>1000348</v>
      </c>
      <c r="V105" s="323"/>
      <c r="W105" s="323"/>
      <c r="X105" s="323"/>
      <c r="Y105" s="323"/>
      <c r="Z105" s="324"/>
    </row>
    <row r="106" spans="11:26" ht="18" customHeight="1">
      <c r="K106" s="171" t="s">
        <v>14</v>
      </c>
      <c r="L106" s="171"/>
      <c r="M106" s="171"/>
      <c r="N106" s="139" t="s">
        <v>17</v>
      </c>
      <c r="O106" s="68"/>
      <c r="P106" s="69"/>
      <c r="Q106" s="70"/>
      <c r="R106" s="71"/>
      <c r="S106" s="71">
        <f ca="1">SUBTOTAL(9,S100:S105)</f>
        <v>5425644</v>
      </c>
      <c r="T106" s="71"/>
      <c r="U106" s="71">
        <f ca="1">SUBTOTAL(9,U100:U105)</f>
        <v>5425644</v>
      </c>
      <c r="V106" s="71"/>
      <c r="W106" s="71"/>
      <c r="X106" s="71"/>
      <c r="Y106" s="71"/>
      <c r="Z106" s="68"/>
    </row>
    <row r="107" spans="11:26" ht="18" customHeight="1">
      <c r="K107" s="171" t="s">
        <v>14</v>
      </c>
      <c r="L107" s="171"/>
      <c r="M107" s="171"/>
      <c r="N107" s="318" t="str">
        <f ca="1">"제 " &amp; Z107 &amp; " 호표  "&amp; OFFSET($A$1,MATCH(Z107,$A:$A,0)-1,1)</f>
        <v>제 9 호표  5-3. 위원회심의 지원</v>
      </c>
      <c r="O107" s="221"/>
      <c r="P107" s="148"/>
      <c r="Q107" s="148"/>
      <c r="R107" s="149"/>
      <c r="S107" s="149"/>
      <c r="T107" s="149"/>
      <c r="U107" s="149"/>
      <c r="V107" s="149"/>
      <c r="W107" s="149"/>
      <c r="X107" s="149"/>
      <c r="Y107" s="149"/>
      <c r="Z107" s="325">
        <f>Z99+1</f>
        <v>9</v>
      </c>
    </row>
    <row r="108" spans="11:26" ht="18" customHeight="1">
      <c r="K108" s="171" t="s">
        <v>14</v>
      </c>
      <c r="L108" s="171"/>
      <c r="M108" s="171"/>
      <c r="N108" s="140" t="s">
        <v>43</v>
      </c>
      <c r="O108" s="172">
        <v>3</v>
      </c>
      <c r="P108" s="219">
        <f ca="1">OFFSET($A$1,MATCH(Z107,$A:$A,0)-1,O108)</f>
        <v>2</v>
      </c>
      <c r="Q108" s="141" t="s">
        <v>29</v>
      </c>
      <c r="R108" s="142">
        <f t="shared" ref="R108:S113" ca="1" si="29">T108</f>
        <v>467217</v>
      </c>
      <c r="S108" s="142">
        <f t="shared" ca="1" si="29"/>
        <v>934434</v>
      </c>
      <c r="T108" s="142">
        <f ca="1">기술사</f>
        <v>467217</v>
      </c>
      <c r="U108" s="142">
        <f t="shared" ref="U108:U113" ca="1" si="30">ROUNDDOWN(P108*R108,0)</f>
        <v>934434</v>
      </c>
      <c r="V108" s="142"/>
      <c r="W108" s="142"/>
      <c r="X108" s="142"/>
      <c r="Y108" s="142"/>
      <c r="Z108" s="114"/>
    </row>
    <row r="109" spans="11:26" ht="18" customHeight="1">
      <c r="K109" s="171" t="s">
        <v>14</v>
      </c>
      <c r="L109" s="171"/>
      <c r="M109" s="171"/>
      <c r="N109" s="143" t="s">
        <v>32</v>
      </c>
      <c r="O109" s="173">
        <v>4</v>
      </c>
      <c r="P109" s="234">
        <f ca="1">OFFSET($A$1,MATCH(Z107,$A:$A,0)-1,O109)</f>
        <v>2</v>
      </c>
      <c r="Q109" s="144" t="s">
        <v>29</v>
      </c>
      <c r="R109" s="118">
        <f t="shared" ca="1" si="29"/>
        <v>373353</v>
      </c>
      <c r="S109" s="118">
        <f t="shared" ca="1" si="29"/>
        <v>746706</v>
      </c>
      <c r="T109" s="118">
        <f ca="1">특급</f>
        <v>373353</v>
      </c>
      <c r="U109" s="118">
        <f t="shared" ca="1" si="30"/>
        <v>746706</v>
      </c>
      <c r="V109" s="118"/>
      <c r="W109" s="118"/>
      <c r="X109" s="118"/>
      <c r="Y109" s="118"/>
      <c r="Z109" s="115"/>
    </row>
    <row r="110" spans="11:26" ht="18" customHeight="1">
      <c r="K110" s="171" t="s">
        <v>14</v>
      </c>
      <c r="L110" s="171"/>
      <c r="M110" s="171"/>
      <c r="N110" s="145" t="s">
        <v>39</v>
      </c>
      <c r="O110" s="173">
        <v>5</v>
      </c>
      <c r="P110" s="234">
        <f ca="1">OFFSET($A$1,MATCH(Z107,$A:$A,0)-1,O110)</f>
        <v>2</v>
      </c>
      <c r="Q110" s="144" t="s">
        <v>29</v>
      </c>
      <c r="R110" s="118">
        <f t="shared" ca="1" si="29"/>
        <v>310884</v>
      </c>
      <c r="S110" s="118">
        <f t="shared" ca="1" si="29"/>
        <v>621768</v>
      </c>
      <c r="T110" s="118">
        <f ca="1">고급</f>
        <v>310884</v>
      </c>
      <c r="U110" s="118">
        <f t="shared" ca="1" si="30"/>
        <v>621768</v>
      </c>
      <c r="V110" s="118"/>
      <c r="W110" s="118"/>
      <c r="X110" s="118"/>
      <c r="Y110" s="118"/>
      <c r="Z110" s="115"/>
    </row>
    <row r="111" spans="11:26" ht="18" customHeight="1">
      <c r="K111" s="171" t="s">
        <v>14</v>
      </c>
      <c r="L111" s="171"/>
      <c r="M111" s="171"/>
      <c r="N111" s="145" t="s">
        <v>40</v>
      </c>
      <c r="O111" s="173">
        <v>6</v>
      </c>
      <c r="P111" s="234">
        <f ca="1">OFFSET($A$1,MATCH(Z107,$A:$A,0)-1,O111)</f>
        <v>4</v>
      </c>
      <c r="Q111" s="144" t="s">
        <v>29</v>
      </c>
      <c r="R111" s="118">
        <f t="shared" ca="1" si="29"/>
        <v>295138</v>
      </c>
      <c r="S111" s="118">
        <f t="shared" ca="1" si="29"/>
        <v>1180552</v>
      </c>
      <c r="T111" s="118">
        <f ca="1">중급</f>
        <v>295138</v>
      </c>
      <c r="U111" s="118">
        <f t="shared" ca="1" si="30"/>
        <v>1180552</v>
      </c>
      <c r="V111" s="118"/>
      <c r="W111" s="118"/>
      <c r="X111" s="118"/>
      <c r="Y111" s="118"/>
      <c r="Z111" s="115"/>
    </row>
    <row r="112" spans="11:26" ht="18" customHeight="1">
      <c r="K112" s="171" t="s">
        <v>14</v>
      </c>
      <c r="L112" s="171"/>
      <c r="M112" s="171"/>
      <c r="N112" s="145" t="s">
        <v>41</v>
      </c>
      <c r="O112" s="173">
        <v>7</v>
      </c>
      <c r="P112" s="234">
        <f ca="1">OFFSET($A$1,MATCH(Z107,$A:$A,0)-1,O112)</f>
        <v>4</v>
      </c>
      <c r="Q112" s="144" t="s">
        <v>29</v>
      </c>
      <c r="R112" s="118">
        <f t="shared" ca="1" si="29"/>
        <v>235459</v>
      </c>
      <c r="S112" s="118">
        <f t="shared" ca="1" si="29"/>
        <v>941836</v>
      </c>
      <c r="T112" s="118">
        <f ca="1">초급</f>
        <v>235459</v>
      </c>
      <c r="U112" s="118">
        <f t="shared" ca="1" si="30"/>
        <v>941836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319" t="s">
        <v>42</v>
      </c>
      <c r="O113" s="174">
        <v>8</v>
      </c>
      <c r="P113" s="235">
        <f ca="1">OFFSET($A$1,MATCH(Z107,$A:$A,0)-1,O113)</f>
        <v>4</v>
      </c>
      <c r="Q113" s="322" t="s">
        <v>29</v>
      </c>
      <c r="R113" s="323">
        <f t="shared" ca="1" si="29"/>
        <v>250087</v>
      </c>
      <c r="S113" s="323">
        <f t="shared" ca="1" si="29"/>
        <v>1000348</v>
      </c>
      <c r="T113" s="323">
        <f ca="1">보조원</f>
        <v>250087</v>
      </c>
      <c r="U113" s="323">
        <f t="shared" ca="1" si="30"/>
        <v>1000348</v>
      </c>
      <c r="V113" s="323"/>
      <c r="W113" s="323"/>
      <c r="X113" s="323"/>
      <c r="Y113" s="323"/>
      <c r="Z113" s="324"/>
    </row>
    <row r="114" spans="11:26" ht="18" customHeight="1">
      <c r="K114" s="171" t="s">
        <v>14</v>
      </c>
      <c r="L114" s="171"/>
      <c r="M114" s="171"/>
      <c r="N114" s="139" t="s">
        <v>17</v>
      </c>
      <c r="O114" s="68"/>
      <c r="P114" s="69"/>
      <c r="Q114" s="70"/>
      <c r="R114" s="71"/>
      <c r="S114" s="71">
        <f ca="1">SUBTOTAL(9,S108:S113)</f>
        <v>5425644</v>
      </c>
      <c r="T114" s="71"/>
      <c r="U114" s="71">
        <f ca="1">SUBTOTAL(9,U108:U113)</f>
        <v>5425644</v>
      </c>
      <c r="V114" s="71"/>
      <c r="W114" s="71"/>
      <c r="X114" s="71"/>
      <c r="Y114" s="71"/>
      <c r="Z114" s="68"/>
    </row>
    <row r="115" spans="11:26" ht="18" customHeight="1">
      <c r="K115" s="171" t="s">
        <v>14</v>
      </c>
      <c r="L115" s="171"/>
      <c r="M115" s="171"/>
      <c r="N115" s="318" t="str">
        <f ca="1">"제 " &amp; Z115 &amp; " 호표  "&amp; OFFSET($A$1,MATCH(Z115,$A:$A,0)-1,1)</f>
        <v>제 10 호표  5-4. 관계기관 협의</v>
      </c>
      <c r="O115" s="221"/>
      <c r="P115" s="148"/>
      <c r="Q115" s="148"/>
      <c r="R115" s="149"/>
      <c r="S115" s="149"/>
      <c r="T115" s="149"/>
      <c r="U115" s="149"/>
      <c r="V115" s="149"/>
      <c r="W115" s="149"/>
      <c r="X115" s="149"/>
      <c r="Y115" s="149"/>
      <c r="Z115" s="325">
        <f>Z107+1</f>
        <v>10</v>
      </c>
    </row>
    <row r="116" spans="11:26" ht="18" customHeight="1">
      <c r="K116" s="171" t="s">
        <v>14</v>
      </c>
      <c r="L116" s="171"/>
      <c r="M116" s="171"/>
      <c r="N116" s="140" t="s">
        <v>43</v>
      </c>
      <c r="O116" s="172">
        <v>3</v>
      </c>
      <c r="P116" s="219">
        <f ca="1">OFFSET($A$1,MATCH(Z115,$A:$A,0)-1,O116)</f>
        <v>2</v>
      </c>
      <c r="Q116" s="141" t="s">
        <v>29</v>
      </c>
      <c r="R116" s="142">
        <f t="shared" ref="R116:S121" ca="1" si="31">T116</f>
        <v>467217</v>
      </c>
      <c r="S116" s="142">
        <f t="shared" ca="1" si="31"/>
        <v>934434</v>
      </c>
      <c r="T116" s="142">
        <f ca="1">기술사</f>
        <v>467217</v>
      </c>
      <c r="U116" s="142">
        <f t="shared" ref="U116:U121" ca="1" si="32">ROUNDDOWN(P116*R116,0)</f>
        <v>934434</v>
      </c>
      <c r="V116" s="142"/>
      <c r="W116" s="142"/>
      <c r="X116" s="142"/>
      <c r="Y116" s="142"/>
      <c r="Z116" s="114"/>
    </row>
    <row r="117" spans="11:26" ht="18" customHeight="1">
      <c r="K117" s="171" t="s">
        <v>14</v>
      </c>
      <c r="L117" s="171"/>
      <c r="M117" s="171"/>
      <c r="N117" s="143" t="s">
        <v>32</v>
      </c>
      <c r="O117" s="173">
        <v>4</v>
      </c>
      <c r="P117" s="234">
        <f ca="1">OFFSET($A$1,MATCH(Z115,$A:$A,0)-1,O117)</f>
        <v>2</v>
      </c>
      <c r="Q117" s="144" t="s">
        <v>29</v>
      </c>
      <c r="R117" s="118">
        <f t="shared" ca="1" si="31"/>
        <v>373353</v>
      </c>
      <c r="S117" s="118">
        <f t="shared" ca="1" si="31"/>
        <v>746706</v>
      </c>
      <c r="T117" s="118">
        <f ca="1">특급</f>
        <v>373353</v>
      </c>
      <c r="U117" s="118">
        <f t="shared" ca="1" si="32"/>
        <v>746706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145" t="s">
        <v>39</v>
      </c>
      <c r="O118" s="173">
        <v>5</v>
      </c>
      <c r="P118" s="234">
        <f ca="1">OFFSET($A$1,MATCH(Z115,$A:$A,0)-1,O118)</f>
        <v>2</v>
      </c>
      <c r="Q118" s="144" t="s">
        <v>29</v>
      </c>
      <c r="R118" s="118">
        <f t="shared" ca="1" si="31"/>
        <v>310884</v>
      </c>
      <c r="S118" s="118">
        <f t="shared" ca="1" si="31"/>
        <v>621768</v>
      </c>
      <c r="T118" s="118">
        <f ca="1">고급</f>
        <v>310884</v>
      </c>
      <c r="U118" s="118">
        <f t="shared" ca="1" si="32"/>
        <v>621768</v>
      </c>
      <c r="V118" s="118"/>
      <c r="W118" s="118"/>
      <c r="X118" s="118"/>
      <c r="Y118" s="118"/>
      <c r="Z118" s="115"/>
    </row>
    <row r="119" spans="11:26" ht="18" customHeight="1">
      <c r="K119" s="171" t="s">
        <v>14</v>
      </c>
      <c r="L119" s="171"/>
      <c r="M119" s="171"/>
      <c r="N119" s="145" t="s">
        <v>40</v>
      </c>
      <c r="O119" s="173">
        <v>6</v>
      </c>
      <c r="P119" s="234">
        <f ca="1">OFFSET($A$1,MATCH(Z115,$A:$A,0)-1,O119)</f>
        <v>4</v>
      </c>
      <c r="Q119" s="144" t="s">
        <v>29</v>
      </c>
      <c r="R119" s="118">
        <f t="shared" ca="1" si="31"/>
        <v>295138</v>
      </c>
      <c r="S119" s="118">
        <f t="shared" ca="1" si="31"/>
        <v>1180552</v>
      </c>
      <c r="T119" s="118">
        <f ca="1">중급</f>
        <v>295138</v>
      </c>
      <c r="U119" s="118">
        <f t="shared" ca="1" si="32"/>
        <v>1180552</v>
      </c>
      <c r="V119" s="118"/>
      <c r="W119" s="118"/>
      <c r="X119" s="118"/>
      <c r="Y119" s="118"/>
      <c r="Z119" s="115"/>
    </row>
    <row r="120" spans="11:26" ht="18" customHeight="1">
      <c r="K120" s="171" t="s">
        <v>14</v>
      </c>
      <c r="L120" s="171"/>
      <c r="M120" s="171"/>
      <c r="N120" s="145" t="s">
        <v>41</v>
      </c>
      <c r="O120" s="173">
        <v>7</v>
      </c>
      <c r="P120" s="234">
        <f ca="1">OFFSET($A$1,MATCH(Z115,$A:$A,0)-1,O120)</f>
        <v>4</v>
      </c>
      <c r="Q120" s="144" t="s">
        <v>29</v>
      </c>
      <c r="R120" s="118">
        <f t="shared" ca="1" si="31"/>
        <v>235459</v>
      </c>
      <c r="S120" s="118">
        <f t="shared" ca="1" si="31"/>
        <v>941836</v>
      </c>
      <c r="T120" s="118">
        <f ca="1">초급</f>
        <v>235459</v>
      </c>
      <c r="U120" s="118">
        <f t="shared" ca="1" si="32"/>
        <v>941836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319" t="s">
        <v>42</v>
      </c>
      <c r="O121" s="174">
        <v>8</v>
      </c>
      <c r="P121" s="235">
        <f ca="1">OFFSET($A$1,MATCH(Z115,$A:$A,0)-1,O121)</f>
        <v>4</v>
      </c>
      <c r="Q121" s="322" t="s">
        <v>29</v>
      </c>
      <c r="R121" s="323">
        <f t="shared" ca="1" si="31"/>
        <v>250087</v>
      </c>
      <c r="S121" s="323">
        <f t="shared" ca="1" si="31"/>
        <v>1000348</v>
      </c>
      <c r="T121" s="323">
        <f ca="1">보조원</f>
        <v>250087</v>
      </c>
      <c r="U121" s="323">
        <f t="shared" ca="1" si="32"/>
        <v>1000348</v>
      </c>
      <c r="V121" s="323"/>
      <c r="W121" s="323"/>
      <c r="X121" s="323"/>
      <c r="Y121" s="323"/>
      <c r="Z121" s="324"/>
    </row>
    <row r="122" spans="11:26" ht="18" customHeight="1">
      <c r="K122" s="171" t="s">
        <v>14</v>
      </c>
      <c r="L122" s="171"/>
      <c r="M122" s="171"/>
      <c r="N122" s="139" t="s">
        <v>17</v>
      </c>
      <c r="O122" s="68"/>
      <c r="P122" s="69"/>
      <c r="Q122" s="70"/>
      <c r="R122" s="71"/>
      <c r="S122" s="71">
        <f ca="1">SUBTOTAL(9,S116:S121)</f>
        <v>5425644</v>
      </c>
      <c r="T122" s="71"/>
      <c r="U122" s="71">
        <f ca="1">SUBTOTAL(9,U116:U121)</f>
        <v>5425644</v>
      </c>
      <c r="V122" s="71"/>
      <c r="W122" s="71"/>
      <c r="X122" s="71"/>
      <c r="Y122" s="71"/>
      <c r="Z122" s="68"/>
    </row>
    <row r="123" spans="11:26" ht="18" customHeight="1">
      <c r="K123" s="171" t="s">
        <v>14</v>
      </c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  <c r="X123" s="171"/>
      <c r="Y123" s="171"/>
      <c r="Z123" s="171"/>
    </row>
    <row r="124" spans="11:26" ht="18" customHeight="1">
      <c r="K124" s="171" t="s">
        <v>14</v>
      </c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  <c r="X124" s="171"/>
      <c r="Y124" s="171"/>
      <c r="Z124" s="171"/>
    </row>
    <row r="125" spans="11:26" ht="18" customHeight="1">
      <c r="K125" s="171" t="s">
        <v>14</v>
      </c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  <c r="X125" s="171"/>
      <c r="Y125" s="171"/>
      <c r="Z125" s="171"/>
    </row>
    <row r="126" spans="11:26" ht="18" customHeight="1">
      <c r="K126" s="171" t="s">
        <v>14</v>
      </c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  <c r="X126" s="171"/>
      <c r="Y126" s="171"/>
      <c r="Z126" s="171"/>
    </row>
    <row r="127" spans="11:26" ht="18" customHeight="1">
      <c r="K127" s="171" t="s">
        <v>14</v>
      </c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  <c r="X127" s="171"/>
      <c r="Y127" s="171"/>
      <c r="Z127" s="171"/>
    </row>
    <row r="128" spans="11:26" ht="18" customHeight="1">
      <c r="K128" s="171" t="s">
        <v>14</v>
      </c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  <c r="X128" s="171"/>
      <c r="Y128" s="171"/>
      <c r="Z128" s="171"/>
    </row>
    <row r="129" spans="11:29" ht="18" customHeight="1">
      <c r="K129" s="171" t="s">
        <v>14</v>
      </c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  <c r="X129" s="171"/>
      <c r="Y129" s="171"/>
      <c r="Z129" s="171"/>
    </row>
    <row r="130" spans="11:29" ht="18" customHeight="1">
      <c r="K130" s="171" t="s">
        <v>14</v>
      </c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  <c r="X130" s="171"/>
      <c r="Y130" s="171"/>
      <c r="Z130" s="171"/>
    </row>
    <row r="131" spans="11:29" ht="18" customHeight="1">
      <c r="K131" s="171" t="s">
        <v>14</v>
      </c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  <c r="X131" s="171"/>
      <c r="Y131" s="171"/>
      <c r="Z131" s="171"/>
    </row>
    <row r="132" spans="11:29" ht="18" customHeight="1">
      <c r="K132" s="171" t="s">
        <v>14</v>
      </c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  <c r="X132" s="171"/>
      <c r="Y132" s="171"/>
      <c r="Z132" s="171"/>
    </row>
    <row r="133" spans="11:29" ht="18" customHeight="1">
      <c r="K133" s="171" t="s">
        <v>14</v>
      </c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  <c r="X133" s="171"/>
      <c r="Y133" s="171"/>
      <c r="Z133" s="171"/>
    </row>
    <row r="134" spans="11:29" ht="18" customHeight="1">
      <c r="K134" s="171" t="s">
        <v>14</v>
      </c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  <c r="X134" s="171"/>
      <c r="Y134" s="171"/>
      <c r="Z134" s="171"/>
      <c r="AA134" s="171"/>
    </row>
    <row r="135" spans="11:29" ht="18" customHeight="1">
      <c r="K135" s="171" t="s">
        <v>14</v>
      </c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  <c r="X135" s="171"/>
      <c r="Y135" s="171"/>
      <c r="Z135" s="171"/>
      <c r="AA135" s="171"/>
    </row>
    <row r="136" spans="11:29" ht="18" customHeight="1">
      <c r="K136" s="171" t="s">
        <v>14</v>
      </c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  <c r="X136" s="171"/>
      <c r="Y136" s="171"/>
      <c r="Z136" s="171"/>
      <c r="AA136" s="171"/>
      <c r="AB136" s="171"/>
      <c r="AC136" s="171"/>
    </row>
    <row r="137" spans="11:29" ht="18" customHeight="1">
      <c r="K137" s="171" t="s">
        <v>14</v>
      </c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  <c r="X137" s="171"/>
      <c r="Y137" s="171"/>
      <c r="Z137" s="171"/>
      <c r="AA137" s="171"/>
      <c r="AB137" s="171"/>
      <c r="AC137" s="171"/>
    </row>
    <row r="138" spans="11:29" ht="18" customHeight="1">
      <c r="K138" s="171" t="s">
        <v>14</v>
      </c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  <c r="X138" s="171"/>
      <c r="Y138" s="171"/>
      <c r="Z138" s="171"/>
      <c r="AA138" s="171"/>
      <c r="AB138" s="171"/>
      <c r="AC138" s="171"/>
    </row>
    <row r="139" spans="11:29" ht="18" customHeight="1">
      <c r="K139" s="171" t="s">
        <v>14</v>
      </c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  <c r="X139" s="171"/>
      <c r="Y139" s="171"/>
      <c r="Z139" s="171"/>
      <c r="AA139" s="171"/>
      <c r="AB139" s="171"/>
      <c r="AC139" s="171"/>
    </row>
    <row r="140" spans="11:29" ht="18" customHeight="1">
      <c r="K140" s="171" t="s">
        <v>14</v>
      </c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  <c r="X140" s="171"/>
      <c r="Y140" s="171"/>
      <c r="Z140" s="171"/>
      <c r="AA140" s="171"/>
      <c r="AB140" s="171"/>
      <c r="AC140" s="171"/>
    </row>
    <row r="141" spans="11:29" ht="18" customHeight="1">
      <c r="K141" s="171" t="s">
        <v>14</v>
      </c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  <c r="X141" s="171"/>
      <c r="Y141" s="171"/>
      <c r="Z141" s="171"/>
      <c r="AA141" s="171"/>
      <c r="AB141" s="171"/>
      <c r="AC141" s="171"/>
    </row>
    <row r="142" spans="11:29" ht="18" customHeight="1">
      <c r="K142" s="171" t="s">
        <v>14</v>
      </c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  <c r="X142" s="171"/>
      <c r="Y142" s="171"/>
      <c r="Z142" s="171"/>
      <c r="AA142" s="171"/>
      <c r="AB142" s="171"/>
      <c r="AC142" s="171"/>
    </row>
    <row r="143" spans="11:29" ht="18" customHeight="1">
      <c r="K143" s="171" t="s">
        <v>14</v>
      </c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  <c r="X143" s="171"/>
      <c r="Y143" s="171"/>
      <c r="Z143" s="171"/>
      <c r="AA143" s="171"/>
      <c r="AB143" s="171"/>
      <c r="AC143" s="171"/>
    </row>
    <row r="144" spans="11:29" ht="18" customHeight="1">
      <c r="K144" s="171" t="s">
        <v>14</v>
      </c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  <c r="X144" s="171"/>
      <c r="Y144" s="171"/>
      <c r="Z144" s="171"/>
      <c r="AA144" s="171"/>
      <c r="AB144" s="171"/>
      <c r="AC144" s="171"/>
    </row>
    <row r="145" spans="11:29" ht="18" customHeight="1">
      <c r="K145" s="171" t="s">
        <v>14</v>
      </c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  <c r="X145" s="171"/>
      <c r="Y145" s="171"/>
      <c r="Z145" s="171"/>
      <c r="AA145" s="171"/>
      <c r="AB145" s="171"/>
      <c r="AC145" s="171"/>
    </row>
    <row r="146" spans="11:29" ht="18" customHeight="1">
      <c r="K146" s="171" t="s">
        <v>14</v>
      </c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  <c r="X146" s="171"/>
      <c r="Y146" s="171"/>
      <c r="Z146" s="171"/>
      <c r="AA146" s="171"/>
      <c r="AB146" s="171"/>
      <c r="AC146" s="171"/>
    </row>
    <row r="147" spans="11:29" ht="18" customHeight="1">
      <c r="K147" s="171" t="s">
        <v>14</v>
      </c>
      <c r="L147" s="171"/>
      <c r="M147" s="171"/>
      <c r="N147" s="171"/>
      <c r="O147" s="171"/>
      <c r="P147" s="171"/>
      <c r="Q147" s="171"/>
      <c r="R147" s="171"/>
      <c r="S147" s="171"/>
      <c r="T147" s="171"/>
      <c r="U147" s="171"/>
      <c r="V147" s="171"/>
      <c r="W147" s="171"/>
      <c r="X147" s="171"/>
      <c r="Y147" s="171"/>
      <c r="Z147" s="171"/>
      <c r="AA147" s="171"/>
      <c r="AB147" s="171"/>
      <c r="AC147" s="171"/>
    </row>
    <row r="148" spans="11:29" ht="18" customHeight="1">
      <c r="K148" s="171" t="s">
        <v>14</v>
      </c>
      <c r="L148" s="171"/>
      <c r="M148" s="171"/>
      <c r="N148" s="171"/>
      <c r="O148" s="171"/>
      <c r="P148" s="171"/>
      <c r="Q148" s="171"/>
      <c r="R148" s="171"/>
      <c r="S148" s="171"/>
      <c r="T148" s="171"/>
      <c r="U148" s="171"/>
      <c r="V148" s="171"/>
      <c r="W148" s="171"/>
      <c r="X148" s="171"/>
      <c r="Y148" s="171"/>
      <c r="Z148" s="171"/>
      <c r="AA148" s="171"/>
      <c r="AB148" s="171"/>
      <c r="AC148" s="171"/>
    </row>
    <row r="149" spans="11:29" ht="18" customHeight="1">
      <c r="K149" s="171" t="s">
        <v>14</v>
      </c>
      <c r="L149" s="171"/>
      <c r="M149" s="171"/>
      <c r="N149" s="171"/>
      <c r="O149" s="171"/>
      <c r="P149" s="171"/>
      <c r="Q149" s="171"/>
      <c r="R149" s="171"/>
      <c r="S149" s="171"/>
      <c r="T149" s="171"/>
      <c r="U149" s="171"/>
      <c r="V149" s="171"/>
      <c r="W149" s="171"/>
      <c r="X149" s="171"/>
      <c r="Y149" s="171"/>
      <c r="Z149" s="171"/>
      <c r="AA149" s="171"/>
      <c r="AB149" s="171"/>
      <c r="AC149" s="171"/>
    </row>
    <row r="150" spans="11:29" ht="18" customHeight="1">
      <c r="K150" s="171" t="s">
        <v>14</v>
      </c>
      <c r="L150" s="171"/>
      <c r="M150" s="171"/>
      <c r="N150" s="171"/>
      <c r="O150" s="171"/>
      <c r="P150" s="171"/>
      <c r="Q150" s="171"/>
      <c r="R150" s="171"/>
      <c r="S150" s="171"/>
      <c r="T150" s="171"/>
      <c r="U150" s="171"/>
      <c r="V150" s="171"/>
      <c r="W150" s="171"/>
      <c r="X150" s="171"/>
      <c r="Y150" s="171"/>
      <c r="Z150" s="171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AB162" s="171"/>
      <c r="AC162" s="171"/>
    </row>
    <row r="163" spans="11:29" ht="18" customHeight="1">
      <c r="K163" s="171" t="s">
        <v>14</v>
      </c>
      <c r="L163" s="171"/>
      <c r="M163" s="171"/>
      <c r="AB163" s="171"/>
      <c r="AC163" s="171"/>
    </row>
    <row r="164" spans="11:29" ht="18" customHeight="1">
      <c r="K164" s="171" t="s">
        <v>14</v>
      </c>
      <c r="L164" s="171"/>
      <c r="M164" s="171"/>
    </row>
    <row r="165" spans="11:29" ht="18" customHeight="1">
      <c r="K165" s="171" t="s">
        <v>14</v>
      </c>
      <c r="L165" s="171"/>
      <c r="M165" s="171"/>
    </row>
    <row r="166" spans="11:29" ht="18" customHeight="1">
      <c r="K166" s="171" t="s">
        <v>14</v>
      </c>
      <c r="L166" s="171"/>
      <c r="M166" s="171"/>
    </row>
    <row r="167" spans="11:29" ht="18" customHeight="1">
      <c r="K167" s="171" t="s">
        <v>14</v>
      </c>
      <c r="L167" s="171"/>
      <c r="M167" s="171"/>
    </row>
    <row r="168" spans="11:29" ht="18" customHeight="1">
      <c r="K168" s="171" t="s">
        <v>14</v>
      </c>
      <c r="L168" s="171"/>
      <c r="M168" s="171"/>
    </row>
    <row r="169" spans="11:29" ht="18" customHeight="1">
      <c r="K169" s="171" t="s">
        <v>14</v>
      </c>
      <c r="L169" s="171"/>
      <c r="M169" s="171"/>
    </row>
    <row r="170" spans="11:29" ht="18" customHeight="1">
      <c r="K170" s="171" t="s">
        <v>14</v>
      </c>
      <c r="L170" s="171"/>
      <c r="M170" s="171"/>
    </row>
    <row r="171" spans="11:29" ht="18" customHeight="1">
      <c r="K171" s="171" t="s">
        <v>14</v>
      </c>
      <c r="L171" s="171"/>
      <c r="M171" s="171"/>
    </row>
    <row r="172" spans="11:29" ht="18" customHeight="1">
      <c r="K172" s="171" t="s">
        <v>14</v>
      </c>
      <c r="L172" s="171"/>
      <c r="M172" s="171"/>
    </row>
    <row r="173" spans="11:29" ht="18" customHeight="1">
      <c r="K173" s="171" t="s">
        <v>14</v>
      </c>
      <c r="L173" s="171"/>
      <c r="M173" s="171"/>
    </row>
    <row r="174" spans="11:29" ht="18" customHeight="1">
      <c r="K174" s="171" t="s">
        <v>14</v>
      </c>
      <c r="L174" s="171"/>
      <c r="M174" s="171"/>
    </row>
    <row r="175" spans="11:29" ht="18" customHeight="1">
      <c r="K175" s="171" t="s">
        <v>14</v>
      </c>
      <c r="L175" s="171"/>
      <c r="M175" s="171"/>
    </row>
    <row r="176" spans="11:29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2:13" ht="18" customHeight="1">
      <c r="L609" s="171"/>
      <c r="M609" s="171"/>
    </row>
    <row r="610" spans="12:13" ht="18" customHeight="1">
      <c r="L610" s="171"/>
      <c r="M610" s="171"/>
    </row>
    <row r="611" spans="12:13" ht="18" customHeight="1">
      <c r="L611" s="171"/>
      <c r="M611" s="171"/>
    </row>
    <row r="612" spans="12:13" ht="18" customHeight="1">
      <c r="L612" s="171"/>
      <c r="M612" s="171"/>
    </row>
    <row r="613" spans="12:13" ht="18" customHeight="1">
      <c r="L613" s="171"/>
      <c r="M613" s="171"/>
    </row>
    <row r="614" spans="12:13" ht="18" customHeight="1">
      <c r="L614" s="171"/>
      <c r="M614" s="171"/>
    </row>
    <row r="615" spans="12:13" ht="18" customHeight="1">
      <c r="L615" s="171"/>
      <c r="M615" s="171"/>
    </row>
    <row r="616" spans="12:13" ht="18" customHeight="1">
      <c r="L616" s="171"/>
      <c r="M616" s="171"/>
    </row>
    <row r="617" spans="12:13" ht="18" customHeight="1">
      <c r="L617" s="171"/>
      <c r="M617" s="171"/>
    </row>
    <row r="618" spans="12:13" ht="18" customHeight="1">
      <c r="L618" s="171"/>
      <c r="M618" s="171"/>
    </row>
    <row r="619" spans="12:13" ht="18" customHeight="1">
      <c r="L619" s="171"/>
      <c r="M619" s="171"/>
    </row>
    <row r="620" spans="12:13" ht="18" customHeight="1">
      <c r="L620" s="171"/>
      <c r="M620" s="171"/>
    </row>
    <row r="621" spans="12:13" ht="18" customHeight="1">
      <c r="L621" s="171"/>
      <c r="M621" s="171"/>
    </row>
    <row r="622" spans="12:13" ht="18" customHeight="1">
      <c r="L622" s="171"/>
      <c r="M622" s="171"/>
    </row>
    <row r="623" spans="12:13" ht="18" customHeight="1">
      <c r="L623" s="171"/>
      <c r="M623" s="171"/>
    </row>
    <row r="624" spans="12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</row>
    <row r="755" spans="12:13" ht="18" customHeight="1">
      <c r="L755" s="171"/>
    </row>
    <row r="756" spans="12:13" ht="18" customHeight="1">
      <c r="L756" s="171"/>
    </row>
    <row r="757" spans="12:13" ht="18" customHeight="1">
      <c r="L757" s="171"/>
    </row>
    <row r="758" spans="12:13" ht="18" customHeight="1">
      <c r="L758" s="171"/>
    </row>
    <row r="759" spans="12:13" ht="18" customHeight="1">
      <c r="L759" s="171"/>
    </row>
    <row r="760" spans="12:13" ht="18" customHeight="1">
      <c r="L760" s="171"/>
    </row>
    <row r="761" spans="12:13" ht="18" customHeight="1">
      <c r="L761" s="171"/>
    </row>
    <row r="762" spans="12:13" ht="18" customHeight="1">
      <c r="L762" s="171"/>
    </row>
  </sheetData>
  <mergeCells count="18">
    <mergeCell ref="B3:C3"/>
    <mergeCell ref="D3:E3"/>
    <mergeCell ref="B4:C4"/>
    <mergeCell ref="D4:E4"/>
    <mergeCell ref="B5:C5"/>
    <mergeCell ref="D5:E5"/>
    <mergeCell ref="D6:F6"/>
    <mergeCell ref="D7:F7"/>
    <mergeCell ref="B13:C14"/>
    <mergeCell ref="J13:J14"/>
    <mergeCell ref="L13:L14"/>
    <mergeCell ref="Z41:Z42"/>
    <mergeCell ref="J43:J47"/>
    <mergeCell ref="J26:J30"/>
    <mergeCell ref="N41:N42"/>
    <mergeCell ref="O41:O42"/>
    <mergeCell ref="P41:P42"/>
    <mergeCell ref="Q41:Q42"/>
  </mergeCells>
  <phoneticPr fontId="14" type="noConversion"/>
  <conditionalFormatting sqref="V15:V30">
    <cfRule type="cellIs" dxfId="5" priority="1" stopIfTrue="1" operator="notEqual">
      <formula>0</formula>
    </cfRule>
  </conditionalFormatting>
  <dataValidations count="2">
    <dataValidation type="list" allowBlank="1" showInputMessage="1" showErrorMessage="1" sqref="D6:F6" xr:uid="{00000000-0002-0000-4400-000000000000}">
      <formula1>"단일건,별도건"</formula1>
    </dataValidation>
    <dataValidation type="list" allowBlank="1" showInputMessage="1" showErrorMessage="1" sqref="D7:F7" xr:uid="{00000000-0002-0000-4400-000001000000}">
      <formula1>"수의계약,별도건"</formula1>
    </dataValidation>
  </dataValidations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35" min="13" max="28" man="1"/>
    <brk id="62" min="13" max="28" man="1"/>
    <brk id="83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6562" r:id="rId4" name="Group Box 2">
              <controlPr defaultSize="0" autoFill="0" autoPict="0">
                <anchor moveWithCells="1" sizeWithCells="1">
                  <from>
                    <xdr:col>6</xdr:col>
                    <xdr:colOff>19050</xdr:colOff>
                    <xdr:row>2</xdr:row>
                    <xdr:rowOff>9525</xdr:rowOff>
                  </from>
                  <to>
                    <xdr:col>7</xdr:col>
                    <xdr:colOff>390525</xdr:colOff>
                    <xdr:row>7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4" r:id="rId5" name="Option Button 4">
              <controlPr defaultSize="0" autoFill="0" autoLine="0" autoPict="0">
                <anchor moveWithCells="1" sizeWithCells="1">
                  <from>
                    <xdr:col>6</xdr:col>
                    <xdr:colOff>133350</xdr:colOff>
                    <xdr:row>2</xdr:row>
                    <xdr:rowOff>200025</xdr:rowOff>
                  </from>
                  <to>
                    <xdr:col>7</xdr:col>
                    <xdr:colOff>266700</xdr:colOff>
                    <xdr:row>4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6565" r:id="rId6" name="Option Button 5">
              <controlPr defaultSize="0" autoFill="0" autoLine="0" autoPict="0">
                <anchor moveWithCells="1" sizeWithCells="1">
                  <from>
                    <xdr:col>6</xdr:col>
                    <xdr:colOff>133350</xdr:colOff>
                    <xdr:row>4</xdr:row>
                    <xdr:rowOff>123825</xdr:rowOff>
                  </from>
                  <to>
                    <xdr:col>7</xdr:col>
                    <xdr:colOff>266700</xdr:colOff>
                    <xdr:row>6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 codeName="Sheet18">
    <tabColor rgb="FF7030A0"/>
    <pageSetUpPr fitToPage="1"/>
  </sheetPr>
  <dimension ref="A1:AC795"/>
  <sheetViews>
    <sheetView showGridLines="0" zoomScale="85" zoomScaleNormal="85" zoomScaleSheetLayoutView="75" workbookViewId="0">
      <selection activeCell="R9" sqref="R9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882</v>
      </c>
    </row>
    <row r="2" spans="1:26" ht="19.5" thickBot="1">
      <c r="B2" s="66" t="s">
        <v>1</v>
      </c>
      <c r="F2" s="440">
        <v>1</v>
      </c>
    </row>
    <row r="3" spans="1:26" ht="18" customHeight="1">
      <c r="B3" s="773" t="s">
        <v>376</v>
      </c>
      <c r="C3" s="774"/>
      <c r="D3" s="775">
        <v>5</v>
      </c>
      <c r="E3" s="776"/>
      <c r="F3" s="44" t="str">
        <f>CHOOSE(F2,"만㎡","㎞")</f>
        <v>만㎡</v>
      </c>
      <c r="J3" s="6"/>
      <c r="K3" s="6"/>
      <c r="L3" s="6"/>
      <c r="M3" s="6"/>
      <c r="N3" s="6"/>
      <c r="O3" s="6"/>
      <c r="P3" s="6"/>
      <c r="Q3" s="6"/>
      <c r="R3" s="1"/>
      <c r="S3" s="1"/>
      <c r="T3" s="1"/>
      <c r="U3" s="1"/>
      <c r="V3" s="1"/>
      <c r="W3" s="1"/>
      <c r="X3" s="1"/>
      <c r="Y3" s="1"/>
    </row>
    <row r="4" spans="1:26" ht="18" customHeight="1">
      <c r="B4" s="777" t="s">
        <v>377</v>
      </c>
      <c r="C4" s="778"/>
      <c r="D4" s="779">
        <v>99</v>
      </c>
      <c r="E4" s="780"/>
      <c r="F4" s="65" t="str">
        <f>F3</f>
        <v>만㎡</v>
      </c>
      <c r="J4" s="6"/>
      <c r="K4" s="6"/>
      <c r="L4" s="6"/>
      <c r="M4" s="6"/>
      <c r="N4" s="6"/>
      <c r="O4" s="6"/>
      <c r="P4" s="6"/>
      <c r="Q4" s="6"/>
      <c r="R4" s="1"/>
      <c r="S4" s="1"/>
      <c r="T4" s="1"/>
      <c r="U4" s="1"/>
      <c r="V4" s="1"/>
      <c r="W4" s="1"/>
      <c r="X4" s="1"/>
      <c r="Y4" s="1"/>
    </row>
    <row r="5" spans="1:26" ht="18" customHeight="1">
      <c r="B5" s="777" t="s">
        <v>916</v>
      </c>
      <c r="C5" s="814"/>
      <c r="D5" s="815">
        <f>ROUND((1+(LOG((D4/D3),5))),3)</f>
        <v>2.855</v>
      </c>
      <c r="E5" s="816"/>
      <c r="F5" s="441">
        <v>1</v>
      </c>
      <c r="J5" s="6"/>
      <c r="K5" s="6"/>
      <c r="L5" s="6"/>
      <c r="M5" s="6"/>
      <c r="N5" s="6"/>
      <c r="O5" s="6"/>
      <c r="R5" s="1"/>
      <c r="S5" s="1"/>
      <c r="T5" s="1"/>
      <c r="U5" s="1"/>
      <c r="V5" s="1"/>
      <c r="W5" s="1"/>
      <c r="X5" s="1"/>
      <c r="Y5" s="1"/>
    </row>
    <row r="6" spans="1:26" ht="18" customHeight="1" thickBot="1">
      <c r="A6" s="358"/>
      <c r="B6" s="781" t="s">
        <v>969</v>
      </c>
      <c r="C6" s="782"/>
      <c r="D6" s="819">
        <f>(J6/1)^0.3</f>
        <v>1</v>
      </c>
      <c r="E6" s="802"/>
      <c r="F6" s="622">
        <v>4</v>
      </c>
      <c r="G6" s="1" t="s">
        <v>889</v>
      </c>
      <c r="J6" s="439">
        <v>1</v>
      </c>
    </row>
    <row r="7" spans="1:26" ht="18" customHeight="1">
      <c r="B7" s="9" t="s">
        <v>965</v>
      </c>
      <c r="C7" s="9"/>
      <c r="D7" s="64"/>
      <c r="E7" s="64"/>
      <c r="G7" s="36"/>
      <c r="R7" s="1"/>
      <c r="S7" s="1"/>
      <c r="T7" s="1"/>
    </row>
    <row r="8" spans="1:26" ht="18" customHeight="1">
      <c r="B8" s="9"/>
      <c r="C8" s="9"/>
      <c r="D8" s="64"/>
      <c r="E8" s="64"/>
      <c r="G8" s="36"/>
      <c r="R8" s="1"/>
      <c r="S8" s="1"/>
      <c r="T8" s="1"/>
    </row>
    <row r="9" spans="1:26" ht="18" customHeight="1">
      <c r="G9" s="36"/>
      <c r="R9" s="1"/>
      <c r="S9" s="1"/>
      <c r="T9" s="1"/>
    </row>
    <row r="10" spans="1:26" ht="18" customHeight="1">
      <c r="B10" s="66" t="s">
        <v>4</v>
      </c>
      <c r="C10" s="9"/>
      <c r="D10" s="64"/>
      <c r="E10" s="64"/>
      <c r="G10" s="36"/>
      <c r="R10" s="1"/>
      <c r="S10" s="1"/>
      <c r="T10" s="1"/>
    </row>
    <row r="11" spans="1:26" ht="18" customHeight="1" thickBot="1">
      <c r="B11" s="9"/>
      <c r="R11" s="1"/>
      <c r="S11" s="1"/>
      <c r="T11" s="1"/>
    </row>
    <row r="12" spans="1:26" ht="18" customHeight="1">
      <c r="B12" s="757" t="s">
        <v>30</v>
      </c>
      <c r="C12" s="758"/>
      <c r="D12" s="14" t="s">
        <v>6</v>
      </c>
      <c r="E12" s="15"/>
      <c r="F12" s="15"/>
      <c r="G12" s="15"/>
      <c r="H12" s="15"/>
      <c r="I12" s="16"/>
      <c r="J12" s="761" t="s">
        <v>31</v>
      </c>
      <c r="L12" s="763" t="s">
        <v>7</v>
      </c>
      <c r="W12" s="188" t="s">
        <v>3</v>
      </c>
      <c r="X12" s="189"/>
    </row>
    <row r="13" spans="1:26" ht="18" customHeight="1" thickBot="1">
      <c r="B13" s="759"/>
      <c r="C13" s="760"/>
      <c r="D13" s="17" t="s">
        <v>33</v>
      </c>
      <c r="E13" s="19" t="s">
        <v>34</v>
      </c>
      <c r="F13" s="19" t="s">
        <v>35</v>
      </c>
      <c r="G13" s="19" t="s">
        <v>36</v>
      </c>
      <c r="H13" s="19" t="s">
        <v>37</v>
      </c>
      <c r="I13" s="18" t="s">
        <v>38</v>
      </c>
      <c r="J13" s="762"/>
      <c r="L13" s="764"/>
      <c r="N13" s="66" t="s">
        <v>5</v>
      </c>
    </row>
    <row r="14" spans="1:26" ht="18" customHeight="1">
      <c r="B14" s="225" t="s">
        <v>922</v>
      </c>
      <c r="C14" s="72"/>
      <c r="D14" s="623">
        <v>0.1</v>
      </c>
      <c r="E14" s="624">
        <v>0.2</v>
      </c>
      <c r="F14" s="624">
        <v>0.2</v>
      </c>
      <c r="G14" s="624">
        <v>0.1</v>
      </c>
      <c r="H14" s="624">
        <v>0</v>
      </c>
      <c r="I14" s="625">
        <v>0</v>
      </c>
      <c r="J14" s="73"/>
      <c r="L14" s="232">
        <v>0.9</v>
      </c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SUBTOTAL(9,W15:W66)</f>
        <v>394595952</v>
      </c>
      <c r="X14" s="187"/>
      <c r="Y14" s="177"/>
      <c r="Z14" s="167"/>
    </row>
    <row r="15" spans="1:26" ht="18" customHeight="1">
      <c r="B15" s="222" t="s">
        <v>1010</v>
      </c>
      <c r="C15" s="47"/>
      <c r="D15" s="629">
        <f t="shared" ref="D15:I15" si="0">SUBTOTAL(9,D16:D19)</f>
        <v>0</v>
      </c>
      <c r="E15" s="630">
        <f t="shared" si="0"/>
        <v>0</v>
      </c>
      <c r="F15" s="630">
        <f t="shared" si="0"/>
        <v>0.16999999999999998</v>
      </c>
      <c r="G15" s="630">
        <f t="shared" si="0"/>
        <v>0.16999999999999998</v>
      </c>
      <c r="H15" s="630">
        <f t="shared" si="0"/>
        <v>0.39999999999999997</v>
      </c>
      <c r="I15" s="631">
        <f t="shared" si="0"/>
        <v>0.39999999999999997</v>
      </c>
      <c r="J15" s="74"/>
      <c r="L15" s="233"/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SUBTOTAL(9,W16:W63)</f>
        <v>151454724</v>
      </c>
      <c r="X15" s="164"/>
      <c r="Y15" s="178" t="s">
        <v>9</v>
      </c>
      <c r="Z15" s="179"/>
    </row>
    <row r="16" spans="1:26" ht="18" customHeight="1">
      <c r="B16" s="223" t="s">
        <v>1011</v>
      </c>
      <c r="C16" s="23"/>
      <c r="D16" s="626">
        <v>0</v>
      </c>
      <c r="E16" s="627">
        <v>0</v>
      </c>
      <c r="F16" s="627">
        <v>0.03</v>
      </c>
      <c r="G16" s="627">
        <v>0.03</v>
      </c>
      <c r="H16" s="627">
        <v>0.05</v>
      </c>
      <c r="I16" s="628">
        <v>0.05</v>
      </c>
      <c r="J16" s="74"/>
      <c r="L16" s="233">
        <v>0.9</v>
      </c>
      <c r="N16" s="290" t="s">
        <v>45</v>
      </c>
      <c r="O16" s="124"/>
      <c r="P16" s="125"/>
      <c r="Q16" s="126"/>
      <c r="R16" s="126"/>
      <c r="S16" s="126"/>
      <c r="T16" s="126"/>
      <c r="U16" s="181"/>
      <c r="V16" s="218"/>
      <c r="W16" s="159">
        <f ca="1">SUBTOTAL(9,W17:W57)</f>
        <v>135454724</v>
      </c>
      <c r="X16" s="160"/>
      <c r="Y16" s="168"/>
      <c r="Z16" s="168"/>
    </row>
    <row r="17" spans="2:26" ht="18" customHeight="1">
      <c r="B17" s="223" t="s">
        <v>1017</v>
      </c>
      <c r="C17" s="23"/>
      <c r="D17" s="626">
        <v>0</v>
      </c>
      <c r="E17" s="627">
        <v>0</v>
      </c>
      <c r="F17" s="627">
        <v>0.1</v>
      </c>
      <c r="G17" s="627">
        <v>0.1</v>
      </c>
      <c r="H17" s="627">
        <v>0.25</v>
      </c>
      <c r="I17" s="628">
        <v>0.25</v>
      </c>
      <c r="J17" s="74"/>
      <c r="L17" s="233">
        <v>0.9</v>
      </c>
      <c r="N17" s="294" t="s">
        <v>923</v>
      </c>
      <c r="O17" s="169"/>
      <c r="P17" s="169"/>
      <c r="Q17" s="169"/>
      <c r="R17" s="169"/>
      <c r="S17" s="169"/>
      <c r="T17" s="169"/>
      <c r="U17" s="226"/>
      <c r="V17" s="248"/>
      <c r="W17" s="193">
        <f t="array" aca="1" ref="W17" ca="1">SUM((ROUNDDOWN((D56:I56)*단가,0)))</f>
        <v>191773</v>
      </c>
      <c r="X17" s="194"/>
      <c r="Y17" s="170" t="str">
        <f>IF(A56&gt;0, "제 " &amp;A56&amp; " 호표","")</f>
        <v>제 1 호표</v>
      </c>
      <c r="Z17" s="170"/>
    </row>
    <row r="18" spans="2:26" ht="18" customHeight="1">
      <c r="B18" s="223" t="s">
        <v>1013</v>
      </c>
      <c r="C18" s="23"/>
      <c r="D18" s="626">
        <v>0</v>
      </c>
      <c r="E18" s="627">
        <v>0</v>
      </c>
      <c r="F18" s="627">
        <v>0.02</v>
      </c>
      <c r="G18" s="627">
        <v>0.02</v>
      </c>
      <c r="H18" s="627">
        <v>0.05</v>
      </c>
      <c r="I18" s="628">
        <v>0.05</v>
      </c>
      <c r="J18" s="389"/>
      <c r="L18" s="233">
        <v>0.9</v>
      </c>
      <c r="N18" s="292" t="s">
        <v>1015</v>
      </c>
      <c r="O18" s="37"/>
      <c r="P18" s="39"/>
      <c r="Q18" s="37"/>
      <c r="R18" s="117"/>
      <c r="S18" s="37"/>
      <c r="T18" s="37"/>
      <c r="U18" s="226"/>
      <c r="V18" s="231"/>
      <c r="W18" s="195">
        <f ca="1">SUBTOTAL(9,W19:W22)</f>
        <v>267507</v>
      </c>
      <c r="X18" s="196"/>
      <c r="Y18" s="150"/>
      <c r="Z18" s="150"/>
    </row>
    <row r="19" spans="2:26" ht="18" customHeight="1">
      <c r="B19" s="223" t="s">
        <v>1020</v>
      </c>
      <c r="C19" s="23"/>
      <c r="D19" s="626">
        <v>0</v>
      </c>
      <c r="E19" s="627">
        <v>0</v>
      </c>
      <c r="F19" s="627">
        <v>0.02</v>
      </c>
      <c r="G19" s="627">
        <v>0.02</v>
      </c>
      <c r="H19" s="627">
        <v>0.05</v>
      </c>
      <c r="I19" s="628">
        <v>0.05</v>
      </c>
      <c r="J19" s="389"/>
      <c r="L19" s="233">
        <v>0.9</v>
      </c>
      <c r="N19" s="296" t="s">
        <v>1016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SUM((ROUNDDOWN((D58:I58)*단가,0)))</f>
        <v>38209</v>
      </c>
      <c r="X19" s="154"/>
      <c r="Y19" s="170" t="str">
        <f>IF(A58&gt;0, "제 " &amp;A58&amp; " 호표","")</f>
        <v>제 2 호표</v>
      </c>
      <c r="Z19" s="150"/>
    </row>
    <row r="20" spans="2:26" ht="18" customHeight="1">
      <c r="B20" s="222" t="s">
        <v>1014</v>
      </c>
      <c r="C20" s="47"/>
      <c r="D20" s="629">
        <f t="shared" ref="D20:I20" si="1">SUBTOTAL(9,D21:D23)</f>
        <v>0.1</v>
      </c>
      <c r="E20" s="630">
        <f t="shared" si="1"/>
        <v>0.35</v>
      </c>
      <c r="F20" s="630">
        <f t="shared" si="1"/>
        <v>0.51</v>
      </c>
      <c r="G20" s="630">
        <f t="shared" si="1"/>
        <v>0.6100000000000001</v>
      </c>
      <c r="H20" s="630">
        <f t="shared" si="1"/>
        <v>0.8</v>
      </c>
      <c r="I20" s="631">
        <f t="shared" si="1"/>
        <v>0.4</v>
      </c>
      <c r="J20" s="74"/>
      <c r="L20" s="233"/>
      <c r="N20" s="296" t="s">
        <v>1018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SUM((ROUNDDOWN((D59:I59)*단가,0)))</f>
        <v>163788</v>
      </c>
      <c r="X20" s="154"/>
      <c r="Y20" s="170" t="str">
        <f>IF(A59&gt;0, "제 " &amp;A59&amp; " 호표","")</f>
        <v>제 3 호표</v>
      </c>
      <c r="Z20" s="150"/>
    </row>
    <row r="21" spans="2:26" ht="18" customHeight="1">
      <c r="B21" s="223" t="s">
        <v>1022</v>
      </c>
      <c r="C21" s="23"/>
      <c r="D21" s="626">
        <v>0</v>
      </c>
      <c r="E21" s="627">
        <v>0</v>
      </c>
      <c r="F21" s="627">
        <v>0.03</v>
      </c>
      <c r="G21" s="627">
        <v>0.03</v>
      </c>
      <c r="H21" s="627">
        <v>0.1</v>
      </c>
      <c r="I21" s="628">
        <v>0.1</v>
      </c>
      <c r="J21" s="74"/>
      <c r="L21" s="233">
        <v>0.9</v>
      </c>
      <c r="N21" s="296" t="s">
        <v>1019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SUM((ROUNDDOWN((D60:I60)*단가,0)))</f>
        <v>32755</v>
      </c>
      <c r="X21" s="154"/>
      <c r="Y21" s="170" t="str">
        <f>IF(A60&gt;0, "제 " &amp;A60&amp; " 호표","")</f>
        <v>제 4 호표</v>
      </c>
      <c r="Z21" s="150"/>
    </row>
    <row r="22" spans="2:26" ht="18" customHeight="1">
      <c r="B22" s="223" t="s">
        <v>1024</v>
      </c>
      <c r="C22" s="23"/>
      <c r="D22" s="626">
        <v>0</v>
      </c>
      <c r="E22" s="627">
        <v>0</v>
      </c>
      <c r="F22" s="627">
        <v>0.03</v>
      </c>
      <c r="G22" s="627">
        <v>0.03</v>
      </c>
      <c r="H22" s="627">
        <v>0.1</v>
      </c>
      <c r="I22" s="628">
        <v>0.1</v>
      </c>
      <c r="J22" s="74"/>
      <c r="L22" s="233">
        <v>0.9</v>
      </c>
      <c r="N22" s="296" t="s">
        <v>896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SUM((ROUNDDOWN((D61:I61)*단가,0)))</f>
        <v>32755</v>
      </c>
      <c r="X22" s="154"/>
      <c r="Y22" s="170" t="str">
        <f>IF(A61&gt;0, "제 " &amp;A61&amp; " 호표","")</f>
        <v>제 5 호표</v>
      </c>
      <c r="Z22" s="150"/>
    </row>
    <row r="23" spans="2:26" ht="18" customHeight="1">
      <c r="B23" s="223" t="s">
        <v>1026</v>
      </c>
      <c r="C23" s="23"/>
      <c r="D23" s="626">
        <v>0.1</v>
      </c>
      <c r="E23" s="627">
        <v>0.35</v>
      </c>
      <c r="F23" s="627">
        <v>0.45</v>
      </c>
      <c r="G23" s="627">
        <v>0.55000000000000004</v>
      </c>
      <c r="H23" s="627">
        <v>0.6</v>
      </c>
      <c r="I23" s="628">
        <v>0.2</v>
      </c>
      <c r="J23" s="389" t="s">
        <v>972</v>
      </c>
      <c r="L23" s="233">
        <v>0.9</v>
      </c>
      <c r="N23" s="292" t="s">
        <v>1021</v>
      </c>
      <c r="O23" s="37"/>
      <c r="P23" s="39"/>
      <c r="Q23" s="37"/>
      <c r="R23" s="117"/>
      <c r="S23" s="37"/>
      <c r="T23" s="37"/>
      <c r="U23" s="226"/>
      <c r="V23" s="231"/>
      <c r="W23" s="195">
        <f ca="1">SUBTOTAL(9,W24:W26)</f>
        <v>723936</v>
      </c>
      <c r="X23" s="196"/>
      <c r="Y23" s="150"/>
      <c r="Z23" s="150"/>
    </row>
    <row r="24" spans="2:26" ht="18" customHeight="1">
      <c r="B24" s="222" t="s">
        <v>901</v>
      </c>
      <c r="C24" s="47"/>
      <c r="D24" s="629">
        <f t="shared" ref="D24:I24" si="2">SUBTOTAL(9,D25:D34)</f>
        <v>4.55</v>
      </c>
      <c r="E24" s="630">
        <f t="shared" si="2"/>
        <v>2.3500000000000005</v>
      </c>
      <c r="F24" s="630">
        <f t="shared" si="2"/>
        <v>6.6499999999999995</v>
      </c>
      <c r="G24" s="630">
        <f t="shared" si="2"/>
        <v>13.55</v>
      </c>
      <c r="H24" s="630">
        <f t="shared" si="2"/>
        <v>6.05</v>
      </c>
      <c r="I24" s="631">
        <f t="shared" si="2"/>
        <v>5.35</v>
      </c>
      <c r="J24" s="74"/>
      <c r="L24" s="233"/>
      <c r="N24" s="296" t="s">
        <v>1023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SUM((ROUNDDOWN((D63:I63)*단가,0)))</f>
        <v>60059</v>
      </c>
      <c r="X24" s="154"/>
      <c r="Y24" s="170" t="str">
        <f>IF(A63&gt;0, "제 " &amp;A63&amp; " 호표","")</f>
        <v>제 6 호표</v>
      </c>
      <c r="Z24" s="150"/>
    </row>
    <row r="25" spans="2:26" ht="18" customHeight="1">
      <c r="B25" s="223" t="s">
        <v>902</v>
      </c>
      <c r="C25" s="23"/>
      <c r="D25" s="626">
        <v>0.2</v>
      </c>
      <c r="E25" s="627">
        <v>0.55000000000000004</v>
      </c>
      <c r="F25" s="627">
        <v>0.6</v>
      </c>
      <c r="G25" s="627">
        <v>0.8</v>
      </c>
      <c r="H25" s="627">
        <v>0.9</v>
      </c>
      <c r="I25" s="628">
        <v>0.4</v>
      </c>
      <c r="J25" s="74"/>
      <c r="L25" s="233">
        <v>0.9</v>
      </c>
      <c r="N25" s="296" t="s">
        <v>1025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SUM((ROUNDDOWN((D64:I64)*단가,0)))</f>
        <v>60059</v>
      </c>
      <c r="X25" s="154"/>
      <c r="Y25" s="170" t="str">
        <f>IF(A64&gt;0, "제 " &amp;A64&amp; " 호표","")</f>
        <v>제 7 호표</v>
      </c>
      <c r="Z25" s="150"/>
    </row>
    <row r="26" spans="2:26" ht="18" customHeight="1">
      <c r="B26" s="223" t="s">
        <v>971</v>
      </c>
      <c r="C26" s="23"/>
      <c r="D26" s="626">
        <v>0.35</v>
      </c>
      <c r="E26" s="627">
        <v>0.4</v>
      </c>
      <c r="F26" s="627">
        <v>0.7</v>
      </c>
      <c r="G26" s="627">
        <v>0.9</v>
      </c>
      <c r="H26" s="627">
        <v>1.35</v>
      </c>
      <c r="I26" s="628">
        <v>1.35</v>
      </c>
      <c r="J26" s="389" t="s">
        <v>977</v>
      </c>
      <c r="L26" s="233">
        <v>0.9</v>
      </c>
      <c r="N26" s="296" t="s">
        <v>1027</v>
      </c>
      <c r="O26" s="37"/>
      <c r="P26" s="39"/>
      <c r="Q26" s="37"/>
      <c r="R26" s="117"/>
      <c r="S26" s="37"/>
      <c r="T26" s="37"/>
      <c r="U26" s="226"/>
      <c r="V26" s="231"/>
      <c r="W26" s="153">
        <f t="array" aca="1" ref="W26" ca="1">SUM((ROUNDDOWN((D65:I65)*단가,0)))</f>
        <v>603818</v>
      </c>
      <c r="X26" s="154"/>
      <c r="Y26" s="170" t="str">
        <f>IF(A65&gt;0, "제 " &amp;A65&amp; " 호표","")</f>
        <v>제 8 호표</v>
      </c>
      <c r="Z26" s="150"/>
    </row>
    <row r="27" spans="2:26" ht="18" customHeight="1">
      <c r="B27" s="223" t="s">
        <v>1030</v>
      </c>
      <c r="C27" s="23"/>
      <c r="D27" s="626">
        <v>0.4</v>
      </c>
      <c r="E27" s="627">
        <v>0.5</v>
      </c>
      <c r="F27" s="627">
        <v>1</v>
      </c>
      <c r="G27" s="627">
        <v>1</v>
      </c>
      <c r="H27" s="627">
        <v>1.2</v>
      </c>
      <c r="I27" s="628">
        <v>1.1000000000000001</v>
      </c>
      <c r="J27" s="389"/>
      <c r="L27" s="233">
        <v>0.9</v>
      </c>
      <c r="N27" s="292" t="s">
        <v>940</v>
      </c>
      <c r="O27" s="37"/>
      <c r="P27" s="39"/>
      <c r="Q27" s="37"/>
      <c r="R27" s="117"/>
      <c r="S27" s="37"/>
      <c r="T27" s="37"/>
      <c r="U27" s="226"/>
      <c r="V27" s="231"/>
      <c r="W27" s="195">
        <f ca="1">SUBTOTAL(9,W28:W37)</f>
        <v>18979845</v>
      </c>
      <c r="X27" s="196"/>
      <c r="Y27" s="150"/>
      <c r="Z27" s="150"/>
    </row>
    <row r="28" spans="2:26" ht="18" customHeight="1">
      <c r="B28" s="223" t="s">
        <v>1032</v>
      </c>
      <c r="C28" s="23"/>
      <c r="D28" s="626">
        <v>1.5</v>
      </c>
      <c r="E28" s="627">
        <v>0</v>
      </c>
      <c r="F28" s="627">
        <v>1.5</v>
      </c>
      <c r="G28" s="627">
        <v>4.5</v>
      </c>
      <c r="H28" s="627">
        <v>0</v>
      </c>
      <c r="I28" s="628">
        <v>0</v>
      </c>
      <c r="J28" s="389" t="s">
        <v>976</v>
      </c>
      <c r="L28" s="233">
        <v>0.9</v>
      </c>
      <c r="N28" s="296" t="s">
        <v>1028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SUM((ROUNDDOWN((D67:I67)*단가,0)))</f>
        <v>930036</v>
      </c>
      <c r="X28" s="154"/>
      <c r="Y28" s="170" t="str">
        <f t="shared" ref="Y28:Y37" si="3">IF(A67&gt;0, "제 " &amp;A67&amp; " 호표","")</f>
        <v>제 9 호표</v>
      </c>
      <c r="Z28" s="150"/>
    </row>
    <row r="29" spans="2:26" ht="18" customHeight="1">
      <c r="B29" s="223" t="s">
        <v>1034</v>
      </c>
      <c r="C29" s="23"/>
      <c r="D29" s="626">
        <v>1.5</v>
      </c>
      <c r="E29" s="627">
        <v>0</v>
      </c>
      <c r="F29" s="627">
        <v>1.5</v>
      </c>
      <c r="G29" s="627">
        <v>4.5</v>
      </c>
      <c r="H29" s="627">
        <v>0</v>
      </c>
      <c r="I29" s="628">
        <v>0</v>
      </c>
      <c r="J29" s="389" t="s">
        <v>991</v>
      </c>
      <c r="L29" s="233">
        <v>0.9</v>
      </c>
      <c r="N29" s="296" t="s">
        <v>1029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SUM((ROUNDDOWN((D68:I68)*단가,0)))</f>
        <v>1306434</v>
      </c>
      <c r="X29" s="154"/>
      <c r="Y29" s="170" t="str">
        <f t="shared" si="3"/>
        <v>제 10 호표</v>
      </c>
      <c r="Z29" s="150"/>
    </row>
    <row r="30" spans="2:26" ht="18" customHeight="1">
      <c r="B30" s="223" t="s">
        <v>1036</v>
      </c>
      <c r="C30" s="23"/>
      <c r="D30" s="626">
        <v>0.25</v>
      </c>
      <c r="E30" s="627">
        <v>0.4</v>
      </c>
      <c r="F30" s="627">
        <v>0.6</v>
      </c>
      <c r="G30" s="627">
        <v>0.75</v>
      </c>
      <c r="H30" s="627">
        <v>1.2</v>
      </c>
      <c r="I30" s="628">
        <v>1.2</v>
      </c>
      <c r="J30" s="389" t="s">
        <v>972</v>
      </c>
      <c r="L30" s="233">
        <v>0.9</v>
      </c>
      <c r="N30" s="296" t="s">
        <v>1031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SUM((ROUNDDOWN((D69:I69)*단가,0)))</f>
        <v>1383506</v>
      </c>
      <c r="X30" s="154"/>
      <c r="Y30" s="170" t="str">
        <f t="shared" si="3"/>
        <v>제 11 호표</v>
      </c>
      <c r="Z30" s="150"/>
    </row>
    <row r="31" spans="2:26" ht="18" customHeight="1">
      <c r="B31" s="223" t="s">
        <v>1038</v>
      </c>
      <c r="C31" s="23"/>
      <c r="D31" s="626">
        <v>0.1</v>
      </c>
      <c r="E31" s="627">
        <v>0.1</v>
      </c>
      <c r="F31" s="627">
        <v>0.15</v>
      </c>
      <c r="G31" s="627">
        <v>0.3</v>
      </c>
      <c r="H31" s="627">
        <v>0.2</v>
      </c>
      <c r="I31" s="628">
        <v>0.2</v>
      </c>
      <c r="J31" s="389"/>
      <c r="L31" s="233">
        <v>0.9</v>
      </c>
      <c r="N31" s="296" t="s">
        <v>1033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SUM((ROUNDDOWN((D70:I70)*단가,0)))</f>
        <v>6411185</v>
      </c>
      <c r="X31" s="154"/>
      <c r="Y31" s="170" t="str">
        <f t="shared" si="3"/>
        <v>제 12 호표</v>
      </c>
      <c r="Z31" s="150"/>
    </row>
    <row r="32" spans="2:26" ht="18" customHeight="1">
      <c r="B32" s="223" t="s">
        <v>1040</v>
      </c>
      <c r="C32" s="23"/>
      <c r="D32" s="626">
        <v>0.15</v>
      </c>
      <c r="E32" s="627">
        <v>0.2</v>
      </c>
      <c r="F32" s="627">
        <v>0.3</v>
      </c>
      <c r="G32" s="627">
        <v>0.4</v>
      </c>
      <c r="H32" s="627">
        <v>0.6</v>
      </c>
      <c r="I32" s="628">
        <v>0.55000000000000004</v>
      </c>
      <c r="J32" s="389" t="s">
        <v>983</v>
      </c>
      <c r="L32" s="233">
        <v>0.9</v>
      </c>
      <c r="N32" s="296" t="s">
        <v>1035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SUM((ROUNDDOWN((D71:I71)*단가,0)))</f>
        <v>6411185</v>
      </c>
      <c r="X32" s="154"/>
      <c r="Y32" s="170" t="str">
        <f t="shared" si="3"/>
        <v>제 13 호표</v>
      </c>
      <c r="Z32" s="150"/>
    </row>
    <row r="33" spans="2:26" ht="18" customHeight="1">
      <c r="B33" s="223" t="s">
        <v>1042</v>
      </c>
      <c r="C33" s="23"/>
      <c r="D33" s="626">
        <v>0.1</v>
      </c>
      <c r="E33" s="627">
        <v>0.2</v>
      </c>
      <c r="F33" s="627">
        <v>0.3</v>
      </c>
      <c r="G33" s="627">
        <v>0.4</v>
      </c>
      <c r="H33" s="627">
        <v>0.6</v>
      </c>
      <c r="I33" s="628">
        <v>0.55000000000000004</v>
      </c>
      <c r="J33" s="389" t="s">
        <v>983</v>
      </c>
      <c r="L33" s="233">
        <v>0.9</v>
      </c>
      <c r="N33" s="296" t="s">
        <v>1037</v>
      </c>
      <c r="O33" s="37"/>
      <c r="P33" s="39"/>
      <c r="Q33" s="37"/>
      <c r="R33" s="117"/>
      <c r="S33" s="37"/>
      <c r="T33" s="37"/>
      <c r="U33" s="226"/>
      <c r="V33" s="231"/>
      <c r="W33" s="153">
        <f t="array" aca="1" ref="W33" ca="1">SUM((ROUNDDOWN((D72:I72)*단가,0)))</f>
        <v>1131013</v>
      </c>
      <c r="X33" s="154"/>
      <c r="Y33" s="170" t="str">
        <f t="shared" si="3"/>
        <v>제 14 호표</v>
      </c>
      <c r="Z33" s="150"/>
    </row>
    <row r="34" spans="2:26" ht="18" customHeight="1">
      <c r="B34" s="223" t="s">
        <v>1044</v>
      </c>
      <c r="C34" s="23"/>
      <c r="D34" s="626">
        <v>0</v>
      </c>
      <c r="E34" s="627">
        <v>0</v>
      </c>
      <c r="F34" s="627">
        <v>0</v>
      </c>
      <c r="G34" s="627">
        <v>0</v>
      </c>
      <c r="H34" s="627">
        <v>0</v>
      </c>
      <c r="I34" s="628">
        <v>0</v>
      </c>
      <c r="J34" s="389" t="s">
        <v>985</v>
      </c>
      <c r="L34" s="233">
        <v>0.9</v>
      </c>
      <c r="N34" s="296" t="s">
        <v>1039</v>
      </c>
      <c r="O34" s="37"/>
      <c r="P34" s="39"/>
      <c r="Q34" s="37"/>
      <c r="R34" s="117"/>
      <c r="S34" s="37"/>
      <c r="T34" s="37"/>
      <c r="U34" s="226"/>
      <c r="V34" s="231"/>
      <c r="W34" s="153">
        <f t="array" aca="1" ref="W34" ca="1">SUM((ROUNDDOWN((D73:I73)*단가,0)))</f>
        <v>284703</v>
      </c>
      <c r="X34" s="154"/>
      <c r="Y34" s="170" t="str">
        <f t="shared" si="3"/>
        <v>제 15 호표</v>
      </c>
      <c r="Z34" s="150"/>
    </row>
    <row r="35" spans="2:26" ht="18" customHeight="1">
      <c r="B35" s="222" t="s">
        <v>986</v>
      </c>
      <c r="C35" s="47"/>
      <c r="D35" s="629">
        <f t="shared" ref="D35:I35" si="4">SUBTOTAL(9,D36:D39)</f>
        <v>7.6499999999999995</v>
      </c>
      <c r="E35" s="630">
        <f t="shared" si="4"/>
        <v>8.5500000000000007</v>
      </c>
      <c r="F35" s="630">
        <f t="shared" si="4"/>
        <v>14.299999999999999</v>
      </c>
      <c r="G35" s="630">
        <f t="shared" si="4"/>
        <v>20.100000000000001</v>
      </c>
      <c r="H35" s="630">
        <f t="shared" si="4"/>
        <v>22.599999999999998</v>
      </c>
      <c r="I35" s="631">
        <f t="shared" si="4"/>
        <v>12.5</v>
      </c>
      <c r="J35" s="74"/>
      <c r="L35" s="233"/>
      <c r="N35" s="296" t="s">
        <v>1041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SUM((ROUNDDOWN((D74:I74)*단가,0)))</f>
        <v>571404</v>
      </c>
      <c r="X35" s="154"/>
      <c r="Y35" s="170" t="str">
        <f t="shared" si="3"/>
        <v>제 16 호표</v>
      </c>
      <c r="Z35" s="150"/>
    </row>
    <row r="36" spans="2:26" ht="18" customHeight="1">
      <c r="B36" s="223" t="s">
        <v>1047</v>
      </c>
      <c r="C36" s="23"/>
      <c r="D36" s="626">
        <v>0.1</v>
      </c>
      <c r="E36" s="627">
        <v>0.1</v>
      </c>
      <c r="F36" s="627">
        <v>0.2</v>
      </c>
      <c r="G36" s="627">
        <v>0.3</v>
      </c>
      <c r="H36" s="627">
        <v>0.4</v>
      </c>
      <c r="I36" s="628">
        <v>0.3</v>
      </c>
      <c r="J36" s="74"/>
      <c r="L36" s="233">
        <v>0.9</v>
      </c>
      <c r="N36" s="296" t="s">
        <v>1043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SUM((ROUNDDOWN((D75:I75)*단가,0)))</f>
        <v>550379</v>
      </c>
      <c r="X36" s="154"/>
      <c r="Y36" s="170" t="str">
        <f t="shared" si="3"/>
        <v>제 17 호표</v>
      </c>
      <c r="Z36" s="150"/>
    </row>
    <row r="37" spans="2:26" ht="18" customHeight="1">
      <c r="B37" s="223" t="s">
        <v>1049</v>
      </c>
      <c r="C37" s="23"/>
      <c r="D37" s="626">
        <v>4.5999999999999996</v>
      </c>
      <c r="E37" s="627">
        <v>6.7</v>
      </c>
      <c r="F37" s="627">
        <v>9.1</v>
      </c>
      <c r="G37" s="627">
        <v>14.2</v>
      </c>
      <c r="H37" s="627">
        <v>18.7</v>
      </c>
      <c r="I37" s="628">
        <v>8.4</v>
      </c>
      <c r="J37" s="389" t="s">
        <v>1003</v>
      </c>
      <c r="L37" s="233">
        <v>0.9</v>
      </c>
      <c r="N37" s="296" t="s">
        <v>1045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SUM((ROUNDDOWN((D76:I76)*단가,0)))</f>
        <v>0</v>
      </c>
      <c r="X37" s="154"/>
      <c r="Y37" s="170" t="str">
        <f t="shared" si="3"/>
        <v>제 18 호표</v>
      </c>
      <c r="Z37" s="150"/>
    </row>
    <row r="38" spans="2:26" ht="18" customHeight="1">
      <c r="B38" s="223" t="s">
        <v>1051</v>
      </c>
      <c r="C38" s="23"/>
      <c r="D38" s="626">
        <v>1.45</v>
      </c>
      <c r="E38" s="627">
        <v>1.75</v>
      </c>
      <c r="F38" s="627">
        <v>2</v>
      </c>
      <c r="G38" s="627">
        <v>2.6</v>
      </c>
      <c r="H38" s="627">
        <v>3.5</v>
      </c>
      <c r="I38" s="628">
        <v>3.8</v>
      </c>
      <c r="J38" s="389" t="s">
        <v>993</v>
      </c>
      <c r="L38" s="233">
        <v>0.9</v>
      </c>
      <c r="N38" s="292" t="s">
        <v>1046</v>
      </c>
      <c r="O38" s="37"/>
      <c r="P38" s="39"/>
      <c r="Q38" s="37"/>
      <c r="R38" s="117"/>
      <c r="S38" s="37"/>
      <c r="T38" s="37"/>
      <c r="U38" s="226"/>
      <c r="V38" s="231"/>
      <c r="W38" s="195">
        <f ca="1">SUBTOTAL(9,W39:W42)</f>
        <v>65080914</v>
      </c>
      <c r="X38" s="196"/>
      <c r="Y38" s="150"/>
      <c r="Z38" s="150"/>
    </row>
    <row r="39" spans="2:26" ht="18" customHeight="1">
      <c r="B39" s="223" t="s">
        <v>990</v>
      </c>
      <c r="C39" s="23"/>
      <c r="D39" s="626">
        <v>1.5</v>
      </c>
      <c r="E39" s="627">
        <v>0</v>
      </c>
      <c r="F39" s="627">
        <v>3</v>
      </c>
      <c r="G39" s="627">
        <v>3</v>
      </c>
      <c r="H39" s="627">
        <v>0</v>
      </c>
      <c r="I39" s="628">
        <v>0</v>
      </c>
      <c r="J39" s="389" t="s">
        <v>978</v>
      </c>
      <c r="L39" s="233">
        <v>0.9</v>
      </c>
      <c r="N39" s="296" t="s">
        <v>1048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SUM((ROUNDDOWN((D78:I78)*단가,0)))</f>
        <v>363584</v>
      </c>
      <c r="X39" s="154"/>
      <c r="Y39" s="170" t="str">
        <f>IF(A78&gt;0, "제 " &amp;A78&amp; " 호표","")</f>
        <v>제 19 호표</v>
      </c>
      <c r="Z39" s="150"/>
    </row>
    <row r="40" spans="2:26" ht="18" customHeight="1">
      <c r="B40" s="222" t="s">
        <v>1054</v>
      </c>
      <c r="C40" s="47"/>
      <c r="D40" s="629">
        <f t="shared" ref="D40:I40" si="5">SUBTOTAL(9,D42:D48)</f>
        <v>8.1999999999999993</v>
      </c>
      <c r="E40" s="630">
        <f t="shared" si="5"/>
        <v>9.5</v>
      </c>
      <c r="F40" s="630">
        <f t="shared" si="5"/>
        <v>8.15</v>
      </c>
      <c r="G40" s="630">
        <f t="shared" si="5"/>
        <v>14.25</v>
      </c>
      <c r="H40" s="630">
        <f t="shared" si="5"/>
        <v>10.35</v>
      </c>
      <c r="I40" s="631">
        <f t="shared" si="5"/>
        <v>8.4499999999999993</v>
      </c>
      <c r="J40" s="74"/>
      <c r="L40" s="233"/>
      <c r="N40" s="296" t="s">
        <v>1050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SUM((ROUNDDOWN((D79:I79)*단가,0)))</f>
        <v>46697998</v>
      </c>
      <c r="X40" s="154"/>
      <c r="Y40" s="170" t="str">
        <f>IF(A79&gt;0, "제 " &amp;A79&amp; " 호표","")</f>
        <v>제 20 호표</v>
      </c>
      <c r="Z40" s="150"/>
    </row>
    <row r="41" spans="2:26" ht="18" customHeight="1">
      <c r="B41" s="223" t="s">
        <v>1056</v>
      </c>
      <c r="C41" s="23"/>
      <c r="D41" s="626">
        <v>0.1</v>
      </c>
      <c r="E41" s="627">
        <v>0.1</v>
      </c>
      <c r="F41" s="627">
        <v>0.2</v>
      </c>
      <c r="G41" s="627">
        <v>0.3</v>
      </c>
      <c r="H41" s="627">
        <v>0.4</v>
      </c>
      <c r="I41" s="628">
        <v>0.3</v>
      </c>
      <c r="J41" s="74"/>
      <c r="L41" s="233">
        <v>0.9</v>
      </c>
      <c r="N41" s="296" t="s">
        <v>1052</v>
      </c>
      <c r="O41" s="37"/>
      <c r="P41" s="39"/>
      <c r="Q41" s="37"/>
      <c r="R41" s="117"/>
      <c r="S41" s="37"/>
      <c r="T41" s="37"/>
      <c r="U41" s="226"/>
      <c r="V41" s="231"/>
      <c r="W41" s="153">
        <f t="array" aca="1" ref="W41" ca="1">SUM((ROUNDDOWN((D80:I80)*단가,0)))</f>
        <v>11547462</v>
      </c>
      <c r="X41" s="154"/>
      <c r="Y41" s="170" t="str">
        <f>IF(A80&gt;0, "제 " &amp;A80&amp; " 호표","")</f>
        <v>제 21 호표</v>
      </c>
      <c r="Z41" s="150"/>
    </row>
    <row r="42" spans="2:26" ht="18" customHeight="1">
      <c r="B42" s="223" t="s">
        <v>1058</v>
      </c>
      <c r="C42" s="23"/>
      <c r="D42" s="626">
        <f t="shared" ref="D42:I42" si="6">SUBTOTAL(9,D43:D46)</f>
        <v>7.8</v>
      </c>
      <c r="E42" s="627">
        <f t="shared" si="6"/>
        <v>8.9</v>
      </c>
      <c r="F42" s="627">
        <f t="shared" si="6"/>
        <v>7.6</v>
      </c>
      <c r="G42" s="627">
        <f t="shared" si="6"/>
        <v>13</v>
      </c>
      <c r="H42" s="627">
        <f t="shared" si="6"/>
        <v>8.6999999999999993</v>
      </c>
      <c r="I42" s="628">
        <f t="shared" si="6"/>
        <v>7</v>
      </c>
      <c r="J42" s="74"/>
      <c r="L42" s="233">
        <v>0.9</v>
      </c>
      <c r="N42" s="296" t="s">
        <v>1053</v>
      </c>
      <c r="O42" s="37"/>
      <c r="P42" s="39"/>
      <c r="Q42" s="37"/>
      <c r="R42" s="117"/>
      <c r="S42" s="37"/>
      <c r="T42" s="37"/>
      <c r="U42" s="226"/>
      <c r="V42" s="231"/>
      <c r="W42" s="153">
        <f t="array" aca="1" ref="W42" ca="1">SUM((ROUNDDOWN((D81:I81)*단가,0)))</f>
        <v>6471870</v>
      </c>
      <c r="X42" s="154"/>
      <c r="Y42" s="170" t="str">
        <f>IF(A81&gt;0, "제 " &amp;A81&amp; " 호표","")</f>
        <v>제 22 호표</v>
      </c>
      <c r="Z42" s="150"/>
    </row>
    <row r="43" spans="2:26" ht="18" customHeight="1">
      <c r="B43" s="223" t="s">
        <v>1060</v>
      </c>
      <c r="C43" s="23"/>
      <c r="D43" s="626">
        <v>0.9</v>
      </c>
      <c r="E43" s="627">
        <v>1.45</v>
      </c>
      <c r="F43" s="627">
        <v>2.2999999999999998</v>
      </c>
      <c r="G43" s="627">
        <v>3.5</v>
      </c>
      <c r="H43" s="627">
        <v>4.3499999999999996</v>
      </c>
      <c r="I43" s="628">
        <v>3.5</v>
      </c>
      <c r="J43" s="74" t="s">
        <v>992</v>
      </c>
      <c r="L43" s="233">
        <v>0.9</v>
      </c>
      <c r="N43" s="292" t="s">
        <v>1055</v>
      </c>
      <c r="O43" s="37"/>
      <c r="P43" s="39"/>
      <c r="Q43" s="37"/>
      <c r="R43" s="117"/>
      <c r="S43" s="37"/>
      <c r="T43" s="37"/>
      <c r="U43" s="226"/>
      <c r="V43" s="231"/>
      <c r="W43" s="195">
        <f ca="1">SUBTOTAL(9,W44:W51)</f>
        <v>46492253</v>
      </c>
      <c r="X43" s="154"/>
      <c r="Y43" s="150"/>
      <c r="Z43" s="150"/>
    </row>
    <row r="44" spans="2:26" ht="18" customHeight="1">
      <c r="B44" s="223" t="s">
        <v>1062</v>
      </c>
      <c r="C44" s="23"/>
      <c r="D44" s="626">
        <v>0.9</v>
      </c>
      <c r="E44" s="627">
        <v>1.45</v>
      </c>
      <c r="F44" s="627">
        <v>2.2999999999999998</v>
      </c>
      <c r="G44" s="627">
        <v>3.5</v>
      </c>
      <c r="H44" s="627">
        <v>4.3499999999999996</v>
      </c>
      <c r="I44" s="628">
        <v>3.5</v>
      </c>
      <c r="J44" s="74" t="s">
        <v>992</v>
      </c>
      <c r="L44" s="233">
        <v>0.9</v>
      </c>
      <c r="N44" s="296" t="s">
        <v>1057</v>
      </c>
      <c r="O44" s="37"/>
      <c r="P44" s="39"/>
      <c r="Q44" s="37"/>
      <c r="R44" s="117"/>
      <c r="S44" s="37"/>
      <c r="T44" s="37"/>
      <c r="U44" s="226"/>
      <c r="V44" s="231"/>
      <c r="W44" s="153">
        <f t="array" aca="1" ref="W44" ca="1">SUM((ROUNDDOWN((D83:I83)*단가,0)))</f>
        <v>363584</v>
      </c>
      <c r="X44" s="154"/>
      <c r="Y44" s="170" t="str">
        <f>IF(A83&gt;0, "제 " &amp;A83&amp; " 호표","")</f>
        <v>제 23 호표</v>
      </c>
      <c r="Z44" s="150"/>
    </row>
    <row r="45" spans="2:26" ht="18" customHeight="1">
      <c r="B45" s="223" t="s">
        <v>999</v>
      </c>
      <c r="C45" s="23"/>
      <c r="D45" s="626">
        <v>3</v>
      </c>
      <c r="E45" s="627">
        <v>3</v>
      </c>
      <c r="F45" s="627">
        <v>1.5</v>
      </c>
      <c r="G45" s="627">
        <v>3</v>
      </c>
      <c r="H45" s="627">
        <v>0</v>
      </c>
      <c r="I45" s="628">
        <v>0</v>
      </c>
      <c r="J45" s="74" t="s">
        <v>992</v>
      </c>
      <c r="L45" s="233">
        <v>0.9</v>
      </c>
      <c r="N45" s="296" t="s">
        <v>1059</v>
      </c>
      <c r="O45" s="37"/>
      <c r="P45" s="39"/>
      <c r="Q45" s="37"/>
      <c r="R45" s="117"/>
      <c r="S45" s="37"/>
      <c r="T45" s="37"/>
      <c r="U45" s="226"/>
      <c r="V45" s="231"/>
      <c r="W45" s="153">
        <f ca="1">SUBTOTAL(9,W46:W49)</f>
        <v>43590142</v>
      </c>
      <c r="X45" s="154"/>
      <c r="Y45" s="170"/>
      <c r="Z45" s="150"/>
    </row>
    <row r="46" spans="2:26" ht="18" customHeight="1">
      <c r="B46" s="223" t="s">
        <v>1065</v>
      </c>
      <c r="C46" s="23"/>
      <c r="D46" s="626">
        <v>3</v>
      </c>
      <c r="E46" s="627">
        <v>3</v>
      </c>
      <c r="F46" s="627">
        <v>1.5</v>
      </c>
      <c r="G46" s="627">
        <v>3</v>
      </c>
      <c r="H46" s="627">
        <v>0</v>
      </c>
      <c r="I46" s="628">
        <v>0</v>
      </c>
      <c r="J46" s="74" t="s">
        <v>992</v>
      </c>
      <c r="L46" s="233">
        <v>0.9</v>
      </c>
      <c r="N46" s="296" t="s">
        <v>1061</v>
      </c>
      <c r="O46" s="37"/>
      <c r="P46" s="39"/>
      <c r="Q46" s="37"/>
      <c r="R46" s="117"/>
      <c r="S46" s="37"/>
      <c r="T46" s="37"/>
      <c r="U46" s="226"/>
      <c r="V46" s="231"/>
      <c r="W46" s="153">
        <f t="array" aca="1" ref="W46" ca="1">SUM((ROUNDDOWN((D85:I85)*단가,0)))</f>
        <v>11842890</v>
      </c>
      <c r="X46" s="154"/>
      <c r="Y46" s="170" t="str">
        <f t="shared" ref="Y46:Y57" si="7">IF(A85&gt;0, "제 " &amp;A85&amp; " 호표","")</f>
        <v>제 24 호표</v>
      </c>
      <c r="Z46" s="150"/>
    </row>
    <row r="47" spans="2:26" ht="18" customHeight="1">
      <c r="B47" s="223" t="s">
        <v>1067</v>
      </c>
      <c r="C47" s="43"/>
      <c r="D47" s="632">
        <v>0.15</v>
      </c>
      <c r="E47" s="633">
        <v>0.2</v>
      </c>
      <c r="F47" s="633">
        <v>0.2</v>
      </c>
      <c r="G47" s="633">
        <v>0.4</v>
      </c>
      <c r="H47" s="633">
        <v>0.6</v>
      </c>
      <c r="I47" s="634">
        <v>0.55000000000000004</v>
      </c>
      <c r="J47" s="239" t="s">
        <v>992</v>
      </c>
      <c r="L47" s="233">
        <v>0.9</v>
      </c>
      <c r="N47" s="296" t="s">
        <v>1063</v>
      </c>
      <c r="O47" s="37"/>
      <c r="P47" s="39"/>
      <c r="Q47" s="37"/>
      <c r="R47" s="117"/>
      <c r="S47" s="37"/>
      <c r="T47" s="37"/>
      <c r="U47" s="226"/>
      <c r="V47" s="231"/>
      <c r="W47" s="153">
        <f t="array" aca="1" ref="W47" ca="1">SUM((ROUNDDOWN((D86:I86)*단가,0)))</f>
        <v>11842890</v>
      </c>
      <c r="X47" s="154"/>
      <c r="Y47" s="170" t="str">
        <f t="shared" si="7"/>
        <v>제 25 호표</v>
      </c>
      <c r="Z47" s="150"/>
    </row>
    <row r="48" spans="2:26" ht="18" customHeight="1">
      <c r="B48" s="223" t="s">
        <v>1069</v>
      </c>
      <c r="C48" s="43"/>
      <c r="D48" s="632">
        <v>0.25</v>
      </c>
      <c r="E48" s="633">
        <v>0.4</v>
      </c>
      <c r="F48" s="633">
        <v>0.35</v>
      </c>
      <c r="G48" s="633">
        <v>0.85</v>
      </c>
      <c r="H48" s="633">
        <v>1.05</v>
      </c>
      <c r="I48" s="634">
        <v>0.9</v>
      </c>
      <c r="J48" s="239"/>
      <c r="L48" s="233">
        <v>0.9</v>
      </c>
      <c r="N48" s="296" t="s">
        <v>1064</v>
      </c>
      <c r="O48" s="37"/>
      <c r="P48" s="39"/>
      <c r="Q48" s="37"/>
      <c r="R48" s="117"/>
      <c r="S48" s="37"/>
      <c r="T48" s="37"/>
      <c r="U48" s="226"/>
      <c r="V48" s="231"/>
      <c r="W48" s="153">
        <f t="array" aca="1" ref="W48" ca="1">SUM((ROUNDDOWN((D87:I87)*단가,0)))</f>
        <v>9952181</v>
      </c>
      <c r="X48" s="154"/>
      <c r="Y48" s="170" t="str">
        <f t="shared" si="7"/>
        <v>제 26 호표</v>
      </c>
      <c r="Z48" s="150"/>
    </row>
    <row r="49" spans="1:26" ht="18" customHeight="1">
      <c r="B49" s="222" t="s">
        <v>1071</v>
      </c>
      <c r="C49" s="47"/>
      <c r="D49" s="629">
        <f t="shared" ref="D49:I49" si="8">SUBTOTAL(9,D50:D52)</f>
        <v>0.6</v>
      </c>
      <c r="E49" s="630">
        <f t="shared" si="8"/>
        <v>1</v>
      </c>
      <c r="F49" s="630">
        <f t="shared" si="8"/>
        <v>0.85</v>
      </c>
      <c r="G49" s="630">
        <f t="shared" si="8"/>
        <v>2.1</v>
      </c>
      <c r="H49" s="630">
        <f t="shared" si="8"/>
        <v>2.6</v>
      </c>
      <c r="I49" s="631">
        <f t="shared" si="8"/>
        <v>2.2000000000000002</v>
      </c>
      <c r="J49" s="74"/>
      <c r="L49" s="233"/>
      <c r="N49" s="296" t="s">
        <v>1066</v>
      </c>
      <c r="O49" s="37"/>
      <c r="P49" s="39"/>
      <c r="Q49" s="37"/>
      <c r="R49" s="117"/>
      <c r="S49" s="37"/>
      <c r="T49" s="37"/>
      <c r="U49" s="226"/>
      <c r="V49" s="231"/>
      <c r="W49" s="153">
        <f t="array" aca="1" ref="W49" ca="1">SUM((ROUNDDOWN((D88:I88)*단가,0)))</f>
        <v>9952181</v>
      </c>
      <c r="X49" s="154"/>
      <c r="Y49" s="170" t="str">
        <f t="shared" si="7"/>
        <v>제 27 호표</v>
      </c>
      <c r="Z49" s="150"/>
    </row>
    <row r="50" spans="1:26" ht="18" customHeight="1">
      <c r="B50" s="223" t="s">
        <v>1073</v>
      </c>
      <c r="C50" s="23"/>
      <c r="D50" s="626">
        <v>0.1</v>
      </c>
      <c r="E50" s="627">
        <v>0.2</v>
      </c>
      <c r="F50" s="627">
        <v>0.15</v>
      </c>
      <c r="G50" s="627">
        <v>0.4</v>
      </c>
      <c r="H50" s="627">
        <v>0.5</v>
      </c>
      <c r="I50" s="628">
        <v>0.4</v>
      </c>
      <c r="J50" s="74"/>
      <c r="L50" s="233">
        <v>0.9</v>
      </c>
      <c r="N50" s="296" t="s">
        <v>1068</v>
      </c>
      <c r="O50" s="37"/>
      <c r="P50" s="39"/>
      <c r="Q50" s="37"/>
      <c r="R50" s="117"/>
      <c r="S50" s="37"/>
      <c r="T50" s="37"/>
      <c r="U50" s="226"/>
      <c r="V50" s="231"/>
      <c r="W50" s="153">
        <f t="array" aca="1" ref="W50" ca="1">SUM((ROUNDDOWN((D89:I89)*단가,0)))</f>
        <v>1550211</v>
      </c>
      <c r="X50" s="154"/>
      <c r="Y50" s="170" t="str">
        <f t="shared" si="7"/>
        <v>제 28 호표</v>
      </c>
      <c r="Z50" s="150"/>
    </row>
    <row r="51" spans="1:26" ht="18" customHeight="1">
      <c r="B51" s="223" t="s">
        <v>1075</v>
      </c>
      <c r="C51" s="23"/>
      <c r="D51" s="626">
        <v>0.25</v>
      </c>
      <c r="E51" s="627">
        <v>0.4</v>
      </c>
      <c r="F51" s="627">
        <v>0.35</v>
      </c>
      <c r="G51" s="627">
        <v>0.85</v>
      </c>
      <c r="H51" s="627">
        <v>1.05</v>
      </c>
      <c r="I51" s="628">
        <v>0.9</v>
      </c>
      <c r="J51" s="389"/>
      <c r="L51" s="233">
        <v>0.9</v>
      </c>
      <c r="N51" s="296" t="s">
        <v>1070</v>
      </c>
      <c r="O51" s="37"/>
      <c r="P51" s="39"/>
      <c r="Q51" s="37"/>
      <c r="R51" s="117"/>
      <c r="S51" s="37"/>
      <c r="T51" s="37"/>
      <c r="U51" s="226"/>
      <c r="V51" s="231"/>
      <c r="W51" s="153">
        <f t="array" aca="1" ref="W51" ca="1">SUM((ROUNDDOWN((D90:I90)*단가,0)))</f>
        <v>988316</v>
      </c>
      <c r="X51" s="154"/>
      <c r="Y51" s="170" t="str">
        <f t="shared" si="7"/>
        <v>제 29 호표</v>
      </c>
      <c r="Z51" s="150"/>
    </row>
    <row r="52" spans="1:26" ht="18" customHeight="1">
      <c r="B52" s="223" t="s">
        <v>1077</v>
      </c>
      <c r="C52" s="23"/>
      <c r="D52" s="626">
        <v>0.25</v>
      </c>
      <c r="E52" s="627">
        <v>0.4</v>
      </c>
      <c r="F52" s="627">
        <v>0.35</v>
      </c>
      <c r="G52" s="627">
        <v>0.85</v>
      </c>
      <c r="H52" s="627">
        <v>1.05</v>
      </c>
      <c r="I52" s="628">
        <v>0.9</v>
      </c>
      <c r="J52" s="389"/>
      <c r="L52" s="233">
        <v>0.9</v>
      </c>
      <c r="N52" s="292" t="s">
        <v>1072</v>
      </c>
      <c r="O52" s="37"/>
      <c r="P52" s="39"/>
      <c r="Q52" s="37"/>
      <c r="R52" s="117"/>
      <c r="S52" s="37"/>
      <c r="T52" s="37"/>
      <c r="U52" s="226"/>
      <c r="V52" s="231"/>
      <c r="W52" s="195">
        <f ca="1">SUBTOTAL(9,W53:W55)</f>
        <v>2430089</v>
      </c>
      <c r="X52" s="196"/>
      <c r="Y52" s="150"/>
      <c r="Z52" s="150"/>
    </row>
    <row r="53" spans="1:26" ht="18" customHeight="1">
      <c r="B53" s="222" t="s">
        <v>1079</v>
      </c>
      <c r="C53" s="47"/>
      <c r="D53" s="635">
        <v>0.1</v>
      </c>
      <c r="E53" s="636">
        <v>0.15</v>
      </c>
      <c r="F53" s="636">
        <v>0.25</v>
      </c>
      <c r="G53" s="636">
        <v>0.35</v>
      </c>
      <c r="H53" s="636">
        <v>0.35</v>
      </c>
      <c r="I53" s="637">
        <v>0</v>
      </c>
      <c r="J53" s="74"/>
      <c r="L53" s="233">
        <v>0.9</v>
      </c>
      <c r="N53" s="296" t="s">
        <v>1074</v>
      </c>
      <c r="O53" s="37"/>
      <c r="P53" s="39"/>
      <c r="Q53" s="37"/>
      <c r="R53" s="117"/>
      <c r="S53" s="37"/>
      <c r="T53" s="37"/>
      <c r="U53" s="226"/>
      <c r="V53" s="231"/>
      <c r="W53" s="153">
        <f t="array" aca="1" ref="W53" ca="1">SUM((ROUNDDOWN((D92:I92)*단가,0)))</f>
        <v>453457</v>
      </c>
      <c r="X53" s="154"/>
      <c r="Y53" s="170" t="str">
        <f t="shared" si="7"/>
        <v>제 30 호표</v>
      </c>
      <c r="Z53" s="150"/>
    </row>
    <row r="54" spans="1:26" ht="18" customHeight="1" thickBot="1">
      <c r="B54" s="222" t="s">
        <v>1080</v>
      </c>
      <c r="C54" s="47"/>
      <c r="D54" s="635">
        <v>0.5</v>
      </c>
      <c r="E54" s="636">
        <v>1</v>
      </c>
      <c r="F54" s="636">
        <v>1</v>
      </c>
      <c r="G54" s="636">
        <v>0.5</v>
      </c>
      <c r="H54" s="636">
        <v>0</v>
      </c>
      <c r="I54" s="637">
        <v>0</v>
      </c>
      <c r="J54" s="74"/>
      <c r="L54" s="233">
        <v>0.9</v>
      </c>
      <c r="M54" s="171"/>
      <c r="N54" s="296" t="s">
        <v>1076</v>
      </c>
      <c r="O54" s="37"/>
      <c r="P54" s="39"/>
      <c r="Q54" s="37"/>
      <c r="R54" s="117"/>
      <c r="S54" s="37"/>
      <c r="T54" s="37"/>
      <c r="U54" s="226"/>
      <c r="V54" s="231"/>
      <c r="W54" s="153">
        <f t="array" aca="1" ref="W54" ca="1">SUM((ROUNDDOWN((D93:I93)*단가,0)))</f>
        <v>988316</v>
      </c>
      <c r="X54" s="154"/>
      <c r="Y54" s="170" t="str">
        <f t="shared" si="7"/>
        <v>제 31 호표</v>
      </c>
      <c r="Z54" s="150"/>
    </row>
    <row r="55" spans="1:26" ht="18" customHeight="1" thickBot="1">
      <c r="B55" s="14" t="s">
        <v>30</v>
      </c>
      <c r="C55" s="16"/>
      <c r="D55" s="14" t="s">
        <v>12</v>
      </c>
      <c r="E55" s="15"/>
      <c r="F55" s="15"/>
      <c r="G55" s="15"/>
      <c r="H55" s="15"/>
      <c r="I55" s="16"/>
      <c r="J55" s="175" t="s">
        <v>31</v>
      </c>
      <c r="M55" s="171"/>
      <c r="N55" s="296" t="s">
        <v>1078</v>
      </c>
      <c r="O55" s="37"/>
      <c r="P55" s="39"/>
      <c r="Q55" s="37"/>
      <c r="R55" s="117"/>
      <c r="S55" s="37"/>
      <c r="T55" s="37"/>
      <c r="U55" s="226"/>
      <c r="V55" s="231"/>
      <c r="W55" s="153">
        <f t="array" aca="1" ref="W55" ca="1">SUM((ROUNDDOWN((D94:I94)*단가,0)))</f>
        <v>988316</v>
      </c>
      <c r="X55" s="154"/>
      <c r="Y55" s="170" t="str">
        <f t="shared" si="7"/>
        <v>제 32 호표</v>
      </c>
      <c r="Z55" s="150"/>
    </row>
    <row r="56" spans="1:26" ht="18" customHeight="1">
      <c r="A56" s="326">
        <v>1</v>
      </c>
      <c r="B56" s="225" t="s">
        <v>922</v>
      </c>
      <c r="C56" s="72"/>
      <c r="D56" s="623">
        <f t="array" ref="D56:I56">ROUNDDOWN(D14:I14*L14,3)</f>
        <v>0.09</v>
      </c>
      <c r="E56" s="624">
        <v>0.18</v>
      </c>
      <c r="F56" s="624">
        <v>0.18</v>
      </c>
      <c r="G56" s="624">
        <v>0.09</v>
      </c>
      <c r="H56" s="624">
        <v>0</v>
      </c>
      <c r="I56" s="625">
        <v>0</v>
      </c>
      <c r="J56" s="73"/>
      <c r="M56" s="171"/>
      <c r="N56" s="292" t="s">
        <v>1008</v>
      </c>
      <c r="O56" s="37"/>
      <c r="P56" s="39"/>
      <c r="Q56" s="37"/>
      <c r="R56" s="117"/>
      <c r="S56" s="37"/>
      <c r="T56" s="37"/>
      <c r="U56" s="226"/>
      <c r="V56" s="231"/>
      <c r="W56" s="153">
        <f t="array" aca="1" ref="W56" ca="1">SUM((ROUNDDOWN((D95:I95)*단가,0)))</f>
        <v>329536</v>
      </c>
      <c r="X56" s="154"/>
      <c r="Y56" s="170" t="str">
        <f t="shared" si="7"/>
        <v>제 33 호표</v>
      </c>
      <c r="Z56" s="150"/>
    </row>
    <row r="57" spans="1:26" ht="18" customHeight="1">
      <c r="B57" s="222" t="s">
        <v>1010</v>
      </c>
      <c r="C57" s="47"/>
      <c r="D57" s="629">
        <f t="shared" ref="D57:I57" si="9">SUBTOTAL(9,D58:D61)</f>
        <v>0</v>
      </c>
      <c r="E57" s="630">
        <f t="shared" si="9"/>
        <v>0</v>
      </c>
      <c r="F57" s="630">
        <f t="shared" si="9"/>
        <v>0.15299999999999997</v>
      </c>
      <c r="G57" s="630">
        <f t="shared" si="9"/>
        <v>0.15299999999999997</v>
      </c>
      <c r="H57" s="630">
        <f t="shared" si="9"/>
        <v>0.36</v>
      </c>
      <c r="I57" s="631">
        <f t="shared" si="9"/>
        <v>0.36</v>
      </c>
      <c r="J57" s="74"/>
      <c r="M57" s="171"/>
      <c r="N57" s="292" t="s">
        <v>1080</v>
      </c>
      <c r="O57" s="37"/>
      <c r="P57" s="39"/>
      <c r="Q57" s="37"/>
      <c r="R57" s="117"/>
      <c r="S57" s="37"/>
      <c r="T57" s="37"/>
      <c r="U57" s="226"/>
      <c r="V57" s="231"/>
      <c r="W57" s="153">
        <f t="array" aca="1" ref="W57" ca="1">SUM((ROUNDDOWN((D96:I96)*단가,0)))</f>
        <v>958871</v>
      </c>
      <c r="X57" s="154"/>
      <c r="Y57" s="170" t="str">
        <f t="shared" si="7"/>
        <v>제 34 호표</v>
      </c>
      <c r="Z57" s="150"/>
    </row>
    <row r="58" spans="1:26" ht="18" customHeight="1">
      <c r="A58" s="326">
        <v>2</v>
      </c>
      <c r="B58" s="223" t="s">
        <v>1011</v>
      </c>
      <c r="C58" s="23"/>
      <c r="D58" s="626">
        <f t="array" ref="D58:I61">ROUNDDOWN(D16:I19*L16:L19,3)</f>
        <v>0</v>
      </c>
      <c r="E58" s="627">
        <v>0</v>
      </c>
      <c r="F58" s="627">
        <v>2.7E-2</v>
      </c>
      <c r="G58" s="627">
        <v>2.7E-2</v>
      </c>
      <c r="H58" s="627">
        <v>4.4999999999999998E-2</v>
      </c>
      <c r="I58" s="628">
        <v>4.4999999999999998E-2</v>
      </c>
      <c r="J58" s="74"/>
      <c r="M58" s="171"/>
      <c r="N58" s="379"/>
      <c r="P58" s="371"/>
      <c r="R58" s="357"/>
      <c r="S58" s="1"/>
      <c r="T58" s="1"/>
      <c r="U58" s="258"/>
      <c r="V58" s="380"/>
      <c r="W58" s="373"/>
      <c r="X58" s="374"/>
      <c r="Y58" s="378"/>
      <c r="Z58" s="378"/>
    </row>
    <row r="59" spans="1:26" ht="18" customHeight="1">
      <c r="A59" s="326">
        <v>3</v>
      </c>
      <c r="B59" s="223" t="s">
        <v>1012</v>
      </c>
      <c r="C59" s="23"/>
      <c r="D59" s="626">
        <v>0</v>
      </c>
      <c r="E59" s="627">
        <v>0</v>
      </c>
      <c r="F59" s="627">
        <v>0.09</v>
      </c>
      <c r="G59" s="627">
        <v>0.09</v>
      </c>
      <c r="H59" s="627">
        <v>0.22500000000000001</v>
      </c>
      <c r="I59" s="628">
        <v>0.22500000000000001</v>
      </c>
      <c r="J59" s="74"/>
      <c r="M59" s="171"/>
      <c r="N59" s="290" t="s">
        <v>10</v>
      </c>
      <c r="O59" s="129"/>
      <c r="P59" s="130"/>
      <c r="Q59" s="124"/>
      <c r="R59" s="131"/>
      <c r="S59" s="124"/>
      <c r="T59" s="124"/>
      <c r="U59" s="181"/>
      <c r="V59" s="181"/>
      <c r="W59" s="159">
        <f>SUBTOTAL(9,W60:W63)</f>
        <v>16000000</v>
      </c>
      <c r="X59" s="160"/>
      <c r="Y59" s="124"/>
      <c r="Z59" s="124"/>
    </row>
    <row r="60" spans="1:26" ht="18" customHeight="1">
      <c r="A60" s="326">
        <v>4</v>
      </c>
      <c r="B60" s="223" t="s">
        <v>1013</v>
      </c>
      <c r="C60" s="23"/>
      <c r="D60" s="626">
        <v>0</v>
      </c>
      <c r="E60" s="627">
        <v>0</v>
      </c>
      <c r="F60" s="627">
        <v>1.7999999999999999E-2</v>
      </c>
      <c r="G60" s="627">
        <v>1.7999999999999999E-2</v>
      </c>
      <c r="H60" s="627">
        <v>4.4999999999999998E-2</v>
      </c>
      <c r="I60" s="628">
        <v>4.4999999999999998E-2</v>
      </c>
      <c r="J60" s="389"/>
      <c r="M60" s="171"/>
      <c r="N60" s="291" t="str">
        <f>"여비("&amp;TEXT(T60,"#인 ×")&amp;TEXT(U60,"#일 ×")&amp;TEXT(V60,"###,###원)")</f>
        <v>여비(3인 ×10일 ×100,000원)</v>
      </c>
      <c r="O60" s="78"/>
      <c r="P60" s="52"/>
      <c r="Q60" s="51"/>
      <c r="T60" s="146">
        <v>3</v>
      </c>
      <c r="U60" s="146">
        <v>10</v>
      </c>
      <c r="V60" s="147">
        <v>100000</v>
      </c>
      <c r="W60" s="161">
        <f>T60*U60*V60</f>
        <v>3000000</v>
      </c>
      <c r="X60" s="162"/>
      <c r="Y60" s="51"/>
      <c r="Z60" s="51"/>
    </row>
    <row r="61" spans="1:26" ht="18" customHeight="1">
      <c r="A61" s="326">
        <v>5</v>
      </c>
      <c r="B61" s="223" t="s">
        <v>932</v>
      </c>
      <c r="C61" s="23"/>
      <c r="D61" s="626">
        <v>0</v>
      </c>
      <c r="E61" s="627">
        <v>0</v>
      </c>
      <c r="F61" s="627">
        <v>1.7999999999999999E-2</v>
      </c>
      <c r="G61" s="627">
        <v>1.7999999999999999E-2</v>
      </c>
      <c r="H61" s="627">
        <v>4.4999999999999998E-2</v>
      </c>
      <c r="I61" s="628">
        <v>4.4999999999999998E-2</v>
      </c>
      <c r="J61" s="389"/>
      <c r="M61" s="171"/>
      <c r="N61" s="292" t="s">
        <v>46</v>
      </c>
      <c r="O61" s="79"/>
      <c r="P61" s="39"/>
      <c r="Q61" s="37"/>
      <c r="R61" s="117"/>
      <c r="S61" s="37"/>
      <c r="T61" s="37"/>
      <c r="U61" s="180"/>
      <c r="V61" s="180"/>
      <c r="W61" s="157">
        <v>2000000</v>
      </c>
      <c r="X61" s="158"/>
      <c r="Y61" s="37"/>
      <c r="Z61" s="37"/>
    </row>
    <row r="62" spans="1:26" ht="18" customHeight="1">
      <c r="B62" s="222" t="s">
        <v>1014</v>
      </c>
      <c r="C62" s="47"/>
      <c r="D62" s="629">
        <f t="shared" ref="D62:I62" si="10">SUBTOTAL(9,D63:D65)</f>
        <v>0.09</v>
      </c>
      <c r="E62" s="630">
        <f t="shared" si="10"/>
        <v>0.315</v>
      </c>
      <c r="F62" s="630">
        <f t="shared" si="10"/>
        <v>0.45900000000000002</v>
      </c>
      <c r="G62" s="630">
        <f t="shared" si="10"/>
        <v>0.54900000000000004</v>
      </c>
      <c r="H62" s="630">
        <f t="shared" si="10"/>
        <v>0.72</v>
      </c>
      <c r="I62" s="631">
        <f t="shared" si="10"/>
        <v>0.36</v>
      </c>
      <c r="J62" s="74"/>
      <c r="M62" s="171"/>
      <c r="N62" s="293" t="s">
        <v>13</v>
      </c>
      <c r="O62" s="132"/>
      <c r="P62" s="38"/>
      <c r="Q62" s="38"/>
      <c r="R62" s="116"/>
      <c r="S62" s="38"/>
      <c r="T62" s="38"/>
      <c r="U62" s="183"/>
      <c r="V62" s="183"/>
      <c r="W62" s="155">
        <v>1000000</v>
      </c>
      <c r="X62" s="156"/>
      <c r="Y62" s="38"/>
      <c r="Z62" s="38"/>
    </row>
    <row r="63" spans="1:26" ht="18" customHeight="1">
      <c r="A63" s="326">
        <v>6</v>
      </c>
      <c r="B63" s="223" t="s">
        <v>966</v>
      </c>
      <c r="C63" s="23"/>
      <c r="D63" s="626">
        <f t="array" ref="D63:I63">ROUNDDOWN(D21:I21*L21,3)</f>
        <v>0</v>
      </c>
      <c r="E63" s="627">
        <v>0</v>
      </c>
      <c r="F63" s="627">
        <v>2.7E-2</v>
      </c>
      <c r="G63" s="627">
        <v>2.7E-2</v>
      </c>
      <c r="H63" s="627">
        <v>0.09</v>
      </c>
      <c r="I63" s="628">
        <v>0.09</v>
      </c>
      <c r="J63" s="74"/>
      <c r="M63" s="171"/>
      <c r="N63" s="293" t="s">
        <v>1081</v>
      </c>
      <c r="O63" s="132"/>
      <c r="P63" s="38"/>
      <c r="Q63" s="38"/>
      <c r="R63" s="116"/>
      <c r="S63" s="38"/>
      <c r="T63" s="38"/>
      <c r="U63" s="183"/>
      <c r="V63" s="183"/>
      <c r="W63" s="155">
        <v>10000000</v>
      </c>
      <c r="X63" s="156"/>
      <c r="Y63" s="38"/>
      <c r="Z63" s="38"/>
    </row>
    <row r="64" spans="1:26" ht="18" customHeight="1">
      <c r="A64" s="326">
        <v>7</v>
      </c>
      <c r="B64" s="223" t="s">
        <v>967</v>
      </c>
      <c r="C64" s="23"/>
      <c r="D64" s="626">
        <f t="array" ref="D64:I64">ROUNDDOWN(D22:I22*L22,3)</f>
        <v>0</v>
      </c>
      <c r="E64" s="627">
        <v>0</v>
      </c>
      <c r="F64" s="627">
        <v>2.7E-2</v>
      </c>
      <c r="G64" s="627">
        <v>2.7E-2</v>
      </c>
      <c r="H64" s="627">
        <v>0.09</v>
      </c>
      <c r="I64" s="628">
        <v>0.09</v>
      </c>
      <c r="J64" s="74"/>
      <c r="M64" s="171"/>
      <c r="N64" s="127" t="s">
        <v>47</v>
      </c>
      <c r="O64" s="123"/>
      <c r="P64" s="123"/>
      <c r="Q64" s="123"/>
      <c r="R64" s="123"/>
      <c r="S64" s="123"/>
      <c r="T64" s="123"/>
      <c r="U64" s="184"/>
      <c r="V64" s="184"/>
      <c r="W64" s="163">
        <f ca="1">SUBTOTAL(9,W65:W66)</f>
        <v>243141228</v>
      </c>
      <c r="X64" s="164"/>
      <c r="Y64" s="123"/>
      <c r="Z64" s="123"/>
    </row>
    <row r="65" spans="1:26" ht="18" customHeight="1">
      <c r="A65" s="326">
        <v>8</v>
      </c>
      <c r="B65" s="223" t="s">
        <v>968</v>
      </c>
      <c r="C65" s="23"/>
      <c r="D65" s="626">
        <f t="array" ref="D65:I65">ROUNDDOWN(D23:I23*$D$6*L23,3)</f>
        <v>0.09</v>
      </c>
      <c r="E65" s="627">
        <v>0.315</v>
      </c>
      <c r="F65" s="627">
        <v>0.40500000000000003</v>
      </c>
      <c r="G65" s="627">
        <v>0.495</v>
      </c>
      <c r="H65" s="627">
        <v>0.54</v>
      </c>
      <c r="I65" s="628">
        <v>0.18</v>
      </c>
      <c r="J65" s="74"/>
      <c r="M65" s="171"/>
      <c r="N65" s="133" t="s">
        <v>861</v>
      </c>
      <c r="O65" s="124"/>
      <c r="P65" s="134"/>
      <c r="Q65" s="124"/>
      <c r="R65" s="131"/>
      <c r="S65" s="124"/>
      <c r="T65" s="181"/>
      <c r="U65" s="181"/>
      <c r="V65" s="190">
        <v>1.1499999999999999</v>
      </c>
      <c r="W65" s="159">
        <f ca="1">ROUNDDOWN(W16*V65,0)</f>
        <v>155772932</v>
      </c>
      <c r="X65" s="160"/>
      <c r="Y65" s="124"/>
      <c r="Z65" s="124"/>
    </row>
    <row r="66" spans="1:26" ht="18" customHeight="1" thickBot="1">
      <c r="B66" s="222" t="s">
        <v>901</v>
      </c>
      <c r="C66" s="47"/>
      <c r="D66" s="629">
        <f t="shared" ref="D66:I66" si="11">SUBTOTAL(9,D67:D76)</f>
        <v>9.102999999999998</v>
      </c>
      <c r="E66" s="630">
        <f t="shared" si="11"/>
        <v>2.1150000000000002</v>
      </c>
      <c r="F66" s="630">
        <f t="shared" si="11"/>
        <v>10.992999999999997</v>
      </c>
      <c r="G66" s="630">
        <f t="shared" si="11"/>
        <v>27.218999999999998</v>
      </c>
      <c r="H66" s="630">
        <f t="shared" si="11"/>
        <v>5.4450000000000003</v>
      </c>
      <c r="I66" s="631">
        <f t="shared" si="11"/>
        <v>4.8150000000000004</v>
      </c>
      <c r="J66" s="74"/>
      <c r="M66" s="171"/>
      <c r="N66" s="135" t="s">
        <v>862</v>
      </c>
      <c r="O66" s="136"/>
      <c r="P66" s="137"/>
      <c r="Q66" s="136"/>
      <c r="R66" s="138"/>
      <c r="S66" s="136"/>
      <c r="T66" s="185"/>
      <c r="U66" s="185"/>
      <c r="V66" s="191">
        <v>0.3</v>
      </c>
      <c r="W66" s="165">
        <f ca="1">ROUNDDOWN((W16+W65)*V66,0)</f>
        <v>87368296</v>
      </c>
      <c r="X66" s="166"/>
      <c r="Y66" s="136"/>
      <c r="Z66" s="136"/>
    </row>
    <row r="67" spans="1:26" ht="18" customHeight="1">
      <c r="A67" s="326">
        <v>9</v>
      </c>
      <c r="B67" s="223" t="s">
        <v>970</v>
      </c>
      <c r="C67" s="23"/>
      <c r="D67" s="626">
        <f t="array" ref="D67:I67">ROUNDDOWN(D25:I25*L25,3)</f>
        <v>0.18</v>
      </c>
      <c r="E67" s="627">
        <v>0.495</v>
      </c>
      <c r="F67" s="627">
        <v>0.54</v>
      </c>
      <c r="G67" s="627">
        <v>0.72</v>
      </c>
      <c r="H67" s="627">
        <v>0.81</v>
      </c>
      <c r="I67" s="628">
        <v>0.36</v>
      </c>
      <c r="J67" s="74"/>
      <c r="M67" s="171"/>
    </row>
    <row r="68" spans="1:26" ht="18" customHeight="1">
      <c r="A68" s="326">
        <v>10</v>
      </c>
      <c r="B68" s="223" t="s">
        <v>971</v>
      </c>
      <c r="C68" s="23"/>
      <c r="D68" s="626">
        <f t="array" ref="D68:I68">ROUNDDOWN(D26:I26*$D$6*L26,3)</f>
        <v>0.315</v>
      </c>
      <c r="E68" s="627">
        <v>0.36</v>
      </c>
      <c r="F68" s="627">
        <v>0.63</v>
      </c>
      <c r="G68" s="627">
        <v>0.81</v>
      </c>
      <c r="H68" s="627">
        <v>1.2150000000000001</v>
      </c>
      <c r="I68" s="628">
        <v>1.2150000000000001</v>
      </c>
      <c r="J68" s="74"/>
      <c r="M68" s="171"/>
    </row>
    <row r="69" spans="1:26" ht="18" customHeight="1" thickBot="1">
      <c r="A69" s="326">
        <v>11</v>
      </c>
      <c r="B69" s="223" t="s">
        <v>973</v>
      </c>
      <c r="C69" s="23"/>
      <c r="D69" s="626">
        <f t="array" ref="D69:I69">ROUNDDOWN(D27:I27*L27,3)</f>
        <v>0.36</v>
      </c>
      <c r="E69" s="627">
        <v>0.45</v>
      </c>
      <c r="F69" s="627">
        <v>0.9</v>
      </c>
      <c r="G69" s="627">
        <v>0.9</v>
      </c>
      <c r="H69" s="627">
        <v>1.08</v>
      </c>
      <c r="I69" s="628">
        <v>0.99</v>
      </c>
      <c r="J69" s="389"/>
      <c r="M69" s="171"/>
      <c r="N69" s="66" t="s">
        <v>18</v>
      </c>
      <c r="O69" s="2"/>
      <c r="P69" s="2"/>
      <c r="Q69" s="2"/>
      <c r="R69" s="3"/>
      <c r="S69" s="4"/>
      <c r="T69" s="3"/>
      <c r="U69" s="4"/>
      <c r="V69" s="3"/>
      <c r="W69" s="4"/>
      <c r="X69" s="3"/>
      <c r="Y69" s="4"/>
      <c r="Z69" s="2"/>
    </row>
    <row r="70" spans="1:26" ht="18" customHeight="1">
      <c r="A70" s="326">
        <v>12</v>
      </c>
      <c r="B70" s="223" t="s">
        <v>974</v>
      </c>
      <c r="C70" s="23"/>
      <c r="D70" s="626">
        <f t="array" ref="D70:I70">ROUNDDOWN(D28:I28*$D$5*L28,3)</f>
        <v>3.8540000000000001</v>
      </c>
      <c r="E70" s="627">
        <v>0</v>
      </c>
      <c r="F70" s="627">
        <v>3.8540000000000001</v>
      </c>
      <c r="G70" s="627">
        <v>11.561999999999999</v>
      </c>
      <c r="H70" s="627">
        <v>0</v>
      </c>
      <c r="I70" s="628">
        <v>0</v>
      </c>
      <c r="J70" s="74"/>
      <c r="M70" s="171"/>
      <c r="N70" s="765" t="s">
        <v>19</v>
      </c>
      <c r="O70" s="755" t="s">
        <v>20</v>
      </c>
      <c r="P70" s="755" t="s">
        <v>21</v>
      </c>
      <c r="Q70" s="755" t="s">
        <v>16</v>
      </c>
      <c r="R70" s="5" t="s">
        <v>22</v>
      </c>
      <c r="S70" s="5"/>
      <c r="T70" s="5" t="s">
        <v>23</v>
      </c>
      <c r="U70" s="5"/>
      <c r="V70" s="5" t="s">
        <v>24</v>
      </c>
      <c r="W70" s="5"/>
      <c r="X70" s="5" t="s">
        <v>25</v>
      </c>
      <c r="Y70" s="5"/>
      <c r="Z70" s="755" t="s">
        <v>26</v>
      </c>
    </row>
    <row r="71" spans="1:26" ht="18" customHeight="1" thickBot="1">
      <c r="A71" s="326">
        <v>13</v>
      </c>
      <c r="B71" s="223" t="s">
        <v>975</v>
      </c>
      <c r="C71" s="23"/>
      <c r="D71" s="626">
        <f t="array" ref="D71:I71">ROUNDDOWN(D29:I29*D5*L29,3)</f>
        <v>3.8540000000000001</v>
      </c>
      <c r="E71" s="627">
        <v>0</v>
      </c>
      <c r="F71" s="627">
        <v>3.8540000000000001</v>
      </c>
      <c r="G71" s="627">
        <v>11.561999999999999</v>
      </c>
      <c r="H71" s="627">
        <v>0</v>
      </c>
      <c r="I71" s="628">
        <v>0</v>
      </c>
      <c r="J71" s="389"/>
      <c r="M71" s="171"/>
      <c r="N71" s="766"/>
      <c r="O71" s="756"/>
      <c r="P71" s="756"/>
      <c r="Q71" s="756"/>
      <c r="R71" s="67" t="s">
        <v>27</v>
      </c>
      <c r="S71" s="67" t="s">
        <v>28</v>
      </c>
      <c r="T71" s="67" t="s">
        <v>27</v>
      </c>
      <c r="U71" s="67" t="s">
        <v>28</v>
      </c>
      <c r="V71" s="67" t="s">
        <v>27</v>
      </c>
      <c r="W71" s="67" t="s">
        <v>28</v>
      </c>
      <c r="X71" s="67" t="s">
        <v>27</v>
      </c>
      <c r="Y71" s="67" t="s">
        <v>28</v>
      </c>
      <c r="Z71" s="756"/>
    </row>
    <row r="72" spans="1:26" ht="18" customHeight="1" thickTop="1">
      <c r="A72" s="326">
        <v>14</v>
      </c>
      <c r="B72" s="223" t="s">
        <v>979</v>
      </c>
      <c r="C72" s="23"/>
      <c r="D72" s="626">
        <f t="array" ref="D72:I72">ROUNDDOWN(D30:I30*$D$6*L30,3)</f>
        <v>0.22500000000000001</v>
      </c>
      <c r="E72" s="627">
        <v>0.36</v>
      </c>
      <c r="F72" s="627">
        <v>0.54</v>
      </c>
      <c r="G72" s="627">
        <v>0.67500000000000004</v>
      </c>
      <c r="H72" s="627">
        <v>1.08</v>
      </c>
      <c r="I72" s="628">
        <v>1.08</v>
      </c>
      <c r="J72" s="74"/>
      <c r="M72" s="171"/>
      <c r="N72" s="318" t="str">
        <f ca="1">"제 " &amp; Z72 &amp; " 호표  "&amp; OFFSET($A$1,MATCH(Z72,$A:$A,0)-1,1)</f>
        <v>제 1 호표  1. 작업계획 수립</v>
      </c>
      <c r="O72" s="221"/>
      <c r="P72" s="148"/>
      <c r="Q72" s="148"/>
      <c r="R72" s="149"/>
      <c r="S72" s="149"/>
      <c r="T72" s="149"/>
      <c r="U72" s="149"/>
      <c r="V72" s="149"/>
      <c r="W72" s="149"/>
      <c r="X72" s="149"/>
      <c r="Y72" s="149"/>
      <c r="Z72" s="325">
        <v>1</v>
      </c>
    </row>
    <row r="73" spans="1:26" ht="18" customHeight="1">
      <c r="A73" s="326">
        <v>15</v>
      </c>
      <c r="B73" s="223" t="s">
        <v>980</v>
      </c>
      <c r="C73" s="23"/>
      <c r="D73" s="626">
        <f t="array" ref="D73:I73">ROUNDDOWN(D31:I31*L31,3)</f>
        <v>0.09</v>
      </c>
      <c r="E73" s="627">
        <v>0.09</v>
      </c>
      <c r="F73" s="627">
        <v>0.13500000000000001</v>
      </c>
      <c r="G73" s="627">
        <v>0.27</v>
      </c>
      <c r="H73" s="627">
        <v>0.18</v>
      </c>
      <c r="I73" s="628">
        <v>0.18</v>
      </c>
      <c r="J73" s="389"/>
      <c r="M73" s="171"/>
      <c r="N73" s="140" t="s">
        <v>43</v>
      </c>
      <c r="O73" s="172">
        <v>3</v>
      </c>
      <c r="P73" s="219">
        <f ca="1">OFFSET($A$1,MATCH(Z72,$A:$A,0)-1,O73)</f>
        <v>0.09</v>
      </c>
      <c r="Q73" s="141" t="s">
        <v>29</v>
      </c>
      <c r="R73" s="142">
        <f t="shared" ref="R73:S78" ca="1" si="12">T73</f>
        <v>467217</v>
      </c>
      <c r="S73" s="142">
        <f t="shared" ca="1" si="12"/>
        <v>42049</v>
      </c>
      <c r="T73" s="142">
        <f ca="1">기술사</f>
        <v>467217</v>
      </c>
      <c r="U73" s="142">
        <f t="shared" ref="U73:U78" ca="1" si="13">ROUNDDOWN(P73*R73,0)</f>
        <v>42049</v>
      </c>
      <c r="V73" s="142"/>
      <c r="W73" s="142"/>
      <c r="X73" s="142"/>
      <c r="Y73" s="142"/>
      <c r="Z73" s="114"/>
    </row>
    <row r="74" spans="1:26" ht="18" customHeight="1">
      <c r="A74" s="326">
        <v>16</v>
      </c>
      <c r="B74" s="223" t="s">
        <v>981</v>
      </c>
      <c r="C74" s="23"/>
      <c r="D74" s="626">
        <f t="array" ref="D74:I75">ROUNDDOWN(D32:I33*$D$6*L32:L33,3)</f>
        <v>0.13500000000000001</v>
      </c>
      <c r="E74" s="627">
        <v>0.18</v>
      </c>
      <c r="F74" s="627">
        <v>0.27</v>
      </c>
      <c r="G74" s="627">
        <v>0.36</v>
      </c>
      <c r="H74" s="627">
        <v>0.54</v>
      </c>
      <c r="I74" s="628">
        <v>0.495</v>
      </c>
      <c r="J74" s="74"/>
      <c r="M74" s="171"/>
      <c r="N74" s="143" t="s">
        <v>32</v>
      </c>
      <c r="O74" s="173">
        <v>4</v>
      </c>
      <c r="P74" s="234">
        <f ca="1">OFFSET($A$1,MATCH(Z72,$A:$A,0)-1,O74)</f>
        <v>0.18</v>
      </c>
      <c r="Q74" s="144" t="s">
        <v>29</v>
      </c>
      <c r="R74" s="118">
        <f t="shared" ca="1" si="12"/>
        <v>373353</v>
      </c>
      <c r="S74" s="118">
        <f t="shared" ca="1" si="12"/>
        <v>67203</v>
      </c>
      <c r="T74" s="118">
        <f ca="1">특급</f>
        <v>373353</v>
      </c>
      <c r="U74" s="118">
        <f t="shared" ca="1" si="13"/>
        <v>67203</v>
      </c>
      <c r="V74" s="118"/>
      <c r="W74" s="118"/>
      <c r="X74" s="118"/>
      <c r="Y74" s="118"/>
      <c r="Z74" s="115"/>
    </row>
    <row r="75" spans="1:26" ht="18" customHeight="1">
      <c r="A75" s="326">
        <v>17</v>
      </c>
      <c r="B75" s="223" t="s">
        <v>982</v>
      </c>
      <c r="C75" s="23"/>
      <c r="D75" s="626">
        <v>0.09</v>
      </c>
      <c r="E75" s="627">
        <v>0.18</v>
      </c>
      <c r="F75" s="627">
        <v>0.27</v>
      </c>
      <c r="G75" s="627">
        <v>0.36</v>
      </c>
      <c r="H75" s="627">
        <v>0.54</v>
      </c>
      <c r="I75" s="628">
        <v>0.495</v>
      </c>
      <c r="J75" s="389"/>
      <c r="M75" s="171"/>
      <c r="N75" s="145" t="s">
        <v>39</v>
      </c>
      <c r="O75" s="173">
        <v>5</v>
      </c>
      <c r="P75" s="234">
        <f ca="1">OFFSET($A$1,MATCH(Z72,$A:$A,0)-1,O75)</f>
        <v>0.18</v>
      </c>
      <c r="Q75" s="144" t="s">
        <v>29</v>
      </c>
      <c r="R75" s="118">
        <f t="shared" ca="1" si="12"/>
        <v>310884</v>
      </c>
      <c r="S75" s="118">
        <f t="shared" ca="1" si="12"/>
        <v>55959</v>
      </c>
      <c r="T75" s="118">
        <f ca="1">고급</f>
        <v>310884</v>
      </c>
      <c r="U75" s="118">
        <f t="shared" ca="1" si="13"/>
        <v>55959</v>
      </c>
      <c r="V75" s="118"/>
      <c r="W75" s="118"/>
      <c r="X75" s="118"/>
      <c r="Y75" s="118"/>
      <c r="Z75" s="115"/>
    </row>
    <row r="76" spans="1:26" ht="18" customHeight="1">
      <c r="A76" s="326">
        <v>18</v>
      </c>
      <c r="B76" s="223" t="s">
        <v>984</v>
      </c>
      <c r="C76" s="23"/>
      <c r="D76" s="626">
        <f t="array" ref="D76:I76">ROUNDDOWN(D34:I34*L34,3)</f>
        <v>0</v>
      </c>
      <c r="E76" s="627">
        <v>0</v>
      </c>
      <c r="F76" s="627">
        <v>0</v>
      </c>
      <c r="G76" s="627">
        <v>0</v>
      </c>
      <c r="H76" s="627">
        <v>0</v>
      </c>
      <c r="I76" s="628">
        <v>0</v>
      </c>
      <c r="J76" s="389"/>
      <c r="L76" s="171"/>
      <c r="M76" s="171"/>
      <c r="N76" s="145" t="s">
        <v>40</v>
      </c>
      <c r="O76" s="173">
        <v>6</v>
      </c>
      <c r="P76" s="234">
        <f ca="1">OFFSET($A$1,MATCH(Z72,$A:$A,0)-1,O76)</f>
        <v>0.09</v>
      </c>
      <c r="Q76" s="144" t="s">
        <v>29</v>
      </c>
      <c r="R76" s="118">
        <f t="shared" ca="1" si="12"/>
        <v>295138</v>
      </c>
      <c r="S76" s="118">
        <f t="shared" ca="1" si="12"/>
        <v>26562</v>
      </c>
      <c r="T76" s="118">
        <f ca="1">중급</f>
        <v>295138</v>
      </c>
      <c r="U76" s="118">
        <f t="shared" ca="1" si="13"/>
        <v>26562</v>
      </c>
      <c r="V76" s="118"/>
      <c r="W76" s="118"/>
      <c r="X76" s="118"/>
      <c r="Y76" s="118"/>
      <c r="Z76" s="115"/>
    </row>
    <row r="77" spans="1:26" ht="18" customHeight="1">
      <c r="B77" s="222" t="s">
        <v>986</v>
      </c>
      <c r="C77" s="47"/>
      <c r="D77" s="629">
        <f t="shared" ref="D77:I77" si="14">SUBTOTAL(9,D78:D81)</f>
        <v>19.488</v>
      </c>
      <c r="E77" s="630">
        <f t="shared" si="14"/>
        <v>21.801000000000002</v>
      </c>
      <c r="F77" s="630">
        <f t="shared" si="14"/>
        <v>36.408999999999999</v>
      </c>
      <c r="G77" s="630">
        <f t="shared" si="14"/>
        <v>51.143999999999998</v>
      </c>
      <c r="H77" s="630">
        <f t="shared" si="14"/>
        <v>57.402000000000001</v>
      </c>
      <c r="I77" s="631">
        <f t="shared" si="14"/>
        <v>31.616999999999997</v>
      </c>
      <c r="J77" s="74"/>
      <c r="M77" s="171"/>
      <c r="N77" s="145" t="s">
        <v>41</v>
      </c>
      <c r="O77" s="173">
        <v>7</v>
      </c>
      <c r="P77" s="234">
        <f ca="1">OFFSET($A$1,MATCH(Z72,$A:$A,0)-1,O77)</f>
        <v>0</v>
      </c>
      <c r="Q77" s="144" t="s">
        <v>29</v>
      </c>
      <c r="R77" s="118">
        <f t="shared" ca="1" si="12"/>
        <v>235459</v>
      </c>
      <c r="S77" s="118">
        <f t="shared" ca="1" si="12"/>
        <v>0</v>
      </c>
      <c r="T77" s="118">
        <f ca="1">초급</f>
        <v>235459</v>
      </c>
      <c r="U77" s="118">
        <f t="shared" ca="1" si="13"/>
        <v>0</v>
      </c>
      <c r="V77" s="118"/>
      <c r="W77" s="118"/>
      <c r="X77" s="118"/>
      <c r="Y77" s="118"/>
      <c r="Z77" s="115"/>
    </row>
    <row r="78" spans="1:26" ht="18" customHeight="1">
      <c r="A78" s="326">
        <v>19</v>
      </c>
      <c r="B78" s="223" t="s">
        <v>987</v>
      </c>
      <c r="C78" s="23"/>
      <c r="D78" s="626">
        <f t="array" ref="D78:I78">ROUNDDOWN(D36:I36*L36,3)</f>
        <v>0.09</v>
      </c>
      <c r="E78" s="627">
        <v>0.09</v>
      </c>
      <c r="F78" s="627">
        <v>0.18</v>
      </c>
      <c r="G78" s="627">
        <v>0.27</v>
      </c>
      <c r="H78" s="627">
        <v>0.36</v>
      </c>
      <c r="I78" s="628">
        <v>0.27</v>
      </c>
      <c r="J78" s="74"/>
      <c r="M78" s="171"/>
      <c r="N78" s="319" t="s">
        <v>42</v>
      </c>
      <c r="O78" s="174">
        <v>8</v>
      </c>
      <c r="P78" s="235">
        <f ca="1">OFFSET($A$1,MATCH(Z72,$A:$A,0)-1,O78)</f>
        <v>0</v>
      </c>
      <c r="Q78" s="322" t="s">
        <v>29</v>
      </c>
      <c r="R78" s="323">
        <f t="shared" ca="1" si="12"/>
        <v>250087</v>
      </c>
      <c r="S78" s="323">
        <f t="shared" ca="1" si="12"/>
        <v>0</v>
      </c>
      <c r="T78" s="323">
        <f ca="1">보조원</f>
        <v>250087</v>
      </c>
      <c r="U78" s="323">
        <f t="shared" ca="1" si="13"/>
        <v>0</v>
      </c>
      <c r="V78" s="323"/>
      <c r="W78" s="323"/>
      <c r="X78" s="323"/>
      <c r="Y78" s="323"/>
      <c r="Z78" s="324"/>
    </row>
    <row r="79" spans="1:26" ht="18" customHeight="1">
      <c r="A79" s="326">
        <v>20</v>
      </c>
      <c r="B79" s="223" t="s">
        <v>988</v>
      </c>
      <c r="C79" s="23"/>
      <c r="D79" s="626">
        <f t="array" ref="D79:I80">ROUNDDOWN(D37:I38*$D$5*$D$6*L37:L38,3)</f>
        <v>11.819000000000001</v>
      </c>
      <c r="E79" s="627">
        <v>17.215</v>
      </c>
      <c r="F79" s="627">
        <v>23.382000000000001</v>
      </c>
      <c r="G79" s="627">
        <v>36.485999999999997</v>
      </c>
      <c r="H79" s="627">
        <v>48.048999999999999</v>
      </c>
      <c r="I79" s="628">
        <v>21.582999999999998</v>
      </c>
      <c r="J79" s="74"/>
      <c r="M79" s="171"/>
      <c r="N79" s="139" t="s">
        <v>17</v>
      </c>
      <c r="O79" s="68"/>
      <c r="P79" s="69"/>
      <c r="Q79" s="70"/>
      <c r="R79" s="71"/>
      <c r="S79" s="71">
        <f ca="1">SUBTOTAL(9,S73:S78)</f>
        <v>191773</v>
      </c>
      <c r="T79" s="71"/>
      <c r="U79" s="71">
        <f ca="1">SUBTOTAL(9,U73:U78)</f>
        <v>191773</v>
      </c>
      <c r="V79" s="71"/>
      <c r="W79" s="71"/>
      <c r="X79" s="71"/>
      <c r="Y79" s="71"/>
      <c r="Z79" s="68"/>
    </row>
    <row r="80" spans="1:26" ht="18" customHeight="1">
      <c r="A80" s="326">
        <v>21</v>
      </c>
      <c r="B80" s="223" t="s">
        <v>989</v>
      </c>
      <c r="C80" s="23"/>
      <c r="D80" s="626">
        <v>3.7250000000000001</v>
      </c>
      <c r="E80" s="627">
        <v>4.4960000000000004</v>
      </c>
      <c r="F80" s="627">
        <v>5.1390000000000002</v>
      </c>
      <c r="G80" s="627">
        <v>6.68</v>
      </c>
      <c r="H80" s="627">
        <v>8.9930000000000003</v>
      </c>
      <c r="I80" s="628">
        <v>9.7639999999999993</v>
      </c>
      <c r="J80" s="389"/>
      <c r="M80" s="171"/>
      <c r="N80" s="318" t="str">
        <f ca="1">"제 " &amp; Z80 &amp; " 호표  "&amp; OFFSET($A$1,MATCH(Z80,$A:$A,0)-1,1)</f>
        <v>제 2 호표  2-1. 사업 배경 및 목적</v>
      </c>
      <c r="O80" s="221"/>
      <c r="P80" s="148"/>
      <c r="Q80" s="148"/>
      <c r="R80" s="149"/>
      <c r="S80" s="149"/>
      <c r="T80" s="149"/>
      <c r="U80" s="149"/>
      <c r="V80" s="149"/>
      <c r="W80" s="149"/>
      <c r="X80" s="149"/>
      <c r="Y80" s="149"/>
      <c r="Z80" s="325">
        <f>Z72+1</f>
        <v>2</v>
      </c>
    </row>
    <row r="81" spans="1:26" ht="18" customHeight="1">
      <c r="A81" s="326">
        <v>22</v>
      </c>
      <c r="B81" s="223" t="s">
        <v>990</v>
      </c>
      <c r="C81" s="23"/>
      <c r="D81" s="626">
        <f t="array" ref="D81:I81">ROUNDDOWN(D39:I39*$D$5*L39,3)</f>
        <v>3.8540000000000001</v>
      </c>
      <c r="E81" s="627">
        <v>0</v>
      </c>
      <c r="F81" s="627">
        <v>7.7080000000000002</v>
      </c>
      <c r="G81" s="627">
        <v>7.7080000000000002</v>
      </c>
      <c r="H81" s="627">
        <v>0</v>
      </c>
      <c r="I81" s="628">
        <v>0</v>
      </c>
      <c r="J81" s="389"/>
      <c r="M81" s="171"/>
      <c r="N81" s="140" t="s">
        <v>43</v>
      </c>
      <c r="O81" s="172">
        <v>3</v>
      </c>
      <c r="P81" s="219">
        <f ca="1">OFFSET($A$1,MATCH(Z80,$A:$A,0)-1,O81)</f>
        <v>0</v>
      </c>
      <c r="Q81" s="141" t="s">
        <v>29</v>
      </c>
      <c r="R81" s="142">
        <f t="shared" ref="R81:S86" ca="1" si="15">T81</f>
        <v>467217</v>
      </c>
      <c r="S81" s="142">
        <f t="shared" ca="1" si="15"/>
        <v>0</v>
      </c>
      <c r="T81" s="142">
        <f ca="1">기술사</f>
        <v>467217</v>
      </c>
      <c r="U81" s="142">
        <f t="shared" ref="U81:U86" ca="1" si="16">ROUNDDOWN(P81*R81,0)</f>
        <v>0</v>
      </c>
      <c r="V81" s="142"/>
      <c r="W81" s="142"/>
      <c r="X81" s="142"/>
      <c r="Y81" s="142"/>
      <c r="Z81" s="114"/>
    </row>
    <row r="82" spans="1:26" ht="18" customHeight="1">
      <c r="B82" s="222" t="s">
        <v>994</v>
      </c>
      <c r="C82" s="47"/>
      <c r="D82" s="629">
        <f t="shared" ref="D82:I82" si="17">SUBTOTAL(9,D83:D90)</f>
        <v>20.740000000000006</v>
      </c>
      <c r="E82" s="630">
        <f t="shared" si="17"/>
        <v>23.829000000000004</v>
      </c>
      <c r="F82" s="630">
        <f t="shared" si="17"/>
        <v>20.534000000000002</v>
      </c>
      <c r="G82" s="630">
        <f t="shared" si="17"/>
        <v>35.463999999999999</v>
      </c>
      <c r="H82" s="630">
        <f t="shared" si="17"/>
        <v>25.2</v>
      </c>
      <c r="I82" s="631">
        <f t="shared" si="17"/>
        <v>20.478999999999999</v>
      </c>
      <c r="J82" s="74"/>
      <c r="L82" s="171"/>
      <c r="M82" s="171"/>
      <c r="N82" s="143" t="s">
        <v>32</v>
      </c>
      <c r="O82" s="173">
        <v>4</v>
      </c>
      <c r="P82" s="234">
        <f ca="1">OFFSET($A$1,MATCH(Z80,$A:$A,0)-1,O82)</f>
        <v>0</v>
      </c>
      <c r="Q82" s="144" t="s">
        <v>29</v>
      </c>
      <c r="R82" s="118">
        <f t="shared" ca="1" si="15"/>
        <v>373353</v>
      </c>
      <c r="S82" s="118">
        <f t="shared" ca="1" si="15"/>
        <v>0</v>
      </c>
      <c r="T82" s="118">
        <f ca="1">특급</f>
        <v>373353</v>
      </c>
      <c r="U82" s="118">
        <f t="shared" ca="1" si="16"/>
        <v>0</v>
      </c>
      <c r="V82" s="118"/>
      <c r="W82" s="118"/>
      <c r="X82" s="118"/>
      <c r="Y82" s="118"/>
      <c r="Z82" s="115"/>
    </row>
    <row r="83" spans="1:26" ht="18" customHeight="1">
      <c r="A83" s="326">
        <v>23</v>
      </c>
      <c r="B83" s="223" t="s">
        <v>995</v>
      </c>
      <c r="C83" s="23"/>
      <c r="D83" s="626">
        <f t="array" ref="D83:I83">ROUNDDOWN(D41:I41*L41,3)</f>
        <v>0.09</v>
      </c>
      <c r="E83" s="627">
        <v>0.09</v>
      </c>
      <c r="F83" s="627">
        <v>0.18</v>
      </c>
      <c r="G83" s="627">
        <v>0.27</v>
      </c>
      <c r="H83" s="627">
        <v>0.36</v>
      </c>
      <c r="I83" s="628">
        <v>0.27</v>
      </c>
      <c r="J83" s="74"/>
      <c r="L83" s="171"/>
      <c r="M83" s="171"/>
      <c r="N83" s="145" t="s">
        <v>39</v>
      </c>
      <c r="O83" s="173">
        <v>5</v>
      </c>
      <c r="P83" s="234">
        <f ca="1">OFFSET($A$1,MATCH(Z80,$A:$A,0)-1,O83)</f>
        <v>2.7E-2</v>
      </c>
      <c r="Q83" s="144" t="s">
        <v>29</v>
      </c>
      <c r="R83" s="118">
        <f t="shared" ca="1" si="15"/>
        <v>310884</v>
      </c>
      <c r="S83" s="118">
        <f t="shared" ca="1" si="15"/>
        <v>8393</v>
      </c>
      <c r="T83" s="118">
        <f ca="1">고급</f>
        <v>310884</v>
      </c>
      <c r="U83" s="118">
        <f t="shared" ca="1" si="16"/>
        <v>8393</v>
      </c>
      <c r="V83" s="118"/>
      <c r="W83" s="118"/>
      <c r="X83" s="118"/>
      <c r="Y83" s="118"/>
      <c r="Z83" s="115"/>
    </row>
    <row r="84" spans="1:26" ht="18" customHeight="1">
      <c r="B84" s="223" t="s">
        <v>996</v>
      </c>
      <c r="C84" s="23"/>
      <c r="D84" s="626">
        <f t="shared" ref="D84:I84" si="18">SUBTOTAL(9,D85:D88)</f>
        <v>20.04</v>
      </c>
      <c r="E84" s="627">
        <f t="shared" si="18"/>
        <v>22.866</v>
      </c>
      <c r="F84" s="627">
        <f t="shared" si="18"/>
        <v>19.526</v>
      </c>
      <c r="G84" s="627">
        <f t="shared" si="18"/>
        <v>33.402000000000001</v>
      </c>
      <c r="H84" s="627">
        <f t="shared" si="18"/>
        <v>22.353999999999999</v>
      </c>
      <c r="I84" s="628">
        <f t="shared" si="18"/>
        <v>17.986000000000001</v>
      </c>
      <c r="J84" s="74"/>
      <c r="L84" s="171"/>
      <c r="M84" s="171"/>
      <c r="N84" s="145" t="s">
        <v>40</v>
      </c>
      <c r="O84" s="173">
        <v>6</v>
      </c>
      <c r="P84" s="234">
        <f ca="1">OFFSET($A$1,MATCH(Z80,$A:$A,0)-1,O84)</f>
        <v>2.7E-2</v>
      </c>
      <c r="Q84" s="144" t="s">
        <v>29</v>
      </c>
      <c r="R84" s="118">
        <f t="shared" ca="1" si="15"/>
        <v>295138</v>
      </c>
      <c r="S84" s="118">
        <f t="shared" ca="1" si="15"/>
        <v>7968</v>
      </c>
      <c r="T84" s="118">
        <f ca="1">중급</f>
        <v>295138</v>
      </c>
      <c r="U84" s="118">
        <f t="shared" ca="1" si="16"/>
        <v>7968</v>
      </c>
      <c r="V84" s="118"/>
      <c r="W84" s="118"/>
      <c r="X84" s="118"/>
      <c r="Y84" s="118"/>
      <c r="Z84" s="115"/>
    </row>
    <row r="85" spans="1:26" ht="18" customHeight="1">
      <c r="A85" s="326">
        <v>24</v>
      </c>
      <c r="B85" s="223" t="s">
        <v>997</v>
      </c>
      <c r="C85" s="23"/>
      <c r="D85" s="626">
        <f t="array" ref="D85:I88">ROUNDDOWN(D43:I46*$D$5*$D$6*L43:L46,3)</f>
        <v>2.3119999999999998</v>
      </c>
      <c r="E85" s="627">
        <v>3.7250000000000001</v>
      </c>
      <c r="F85" s="627">
        <v>5.9089999999999998</v>
      </c>
      <c r="G85" s="627">
        <v>8.9930000000000003</v>
      </c>
      <c r="H85" s="627">
        <v>11.177</v>
      </c>
      <c r="I85" s="628">
        <v>8.9930000000000003</v>
      </c>
      <c r="J85" s="74"/>
      <c r="L85" s="171"/>
      <c r="M85" s="171"/>
      <c r="N85" s="145" t="s">
        <v>41</v>
      </c>
      <c r="O85" s="173">
        <v>7</v>
      </c>
      <c r="P85" s="234">
        <f ca="1">OFFSET($A$1,MATCH(Z80,$A:$A,0)-1,O85)</f>
        <v>4.4999999999999998E-2</v>
      </c>
      <c r="Q85" s="144" t="s">
        <v>29</v>
      </c>
      <c r="R85" s="118">
        <f t="shared" ca="1" si="15"/>
        <v>235459</v>
      </c>
      <c r="S85" s="118">
        <f t="shared" ca="1" si="15"/>
        <v>10595</v>
      </c>
      <c r="T85" s="118">
        <f ca="1">초급</f>
        <v>235459</v>
      </c>
      <c r="U85" s="118">
        <f t="shared" ca="1" si="16"/>
        <v>10595</v>
      </c>
      <c r="V85" s="118"/>
      <c r="W85" s="118"/>
      <c r="X85" s="118"/>
      <c r="Y85" s="118"/>
      <c r="Z85" s="115"/>
    </row>
    <row r="86" spans="1:26" ht="18" customHeight="1">
      <c r="A86" s="326">
        <v>25</v>
      </c>
      <c r="B86" s="223" t="s">
        <v>998</v>
      </c>
      <c r="C86" s="23"/>
      <c r="D86" s="626">
        <v>2.3119999999999998</v>
      </c>
      <c r="E86" s="627">
        <v>3.7250000000000001</v>
      </c>
      <c r="F86" s="627">
        <v>5.9089999999999998</v>
      </c>
      <c r="G86" s="627">
        <v>8.9930000000000003</v>
      </c>
      <c r="H86" s="627">
        <v>11.177</v>
      </c>
      <c r="I86" s="628">
        <v>8.9930000000000003</v>
      </c>
      <c r="J86" s="74"/>
      <c r="L86" s="171"/>
      <c r="M86" s="171"/>
      <c r="N86" s="319" t="s">
        <v>42</v>
      </c>
      <c r="O86" s="174">
        <v>8</v>
      </c>
      <c r="P86" s="235">
        <f ca="1">OFFSET($A$1,MATCH(Z80,$A:$A,0)-1,O86)</f>
        <v>4.4999999999999998E-2</v>
      </c>
      <c r="Q86" s="322" t="s">
        <v>29</v>
      </c>
      <c r="R86" s="323">
        <f t="shared" ca="1" si="15"/>
        <v>250087</v>
      </c>
      <c r="S86" s="323">
        <f t="shared" ca="1" si="15"/>
        <v>11253</v>
      </c>
      <c r="T86" s="323">
        <f ca="1">보조원</f>
        <v>250087</v>
      </c>
      <c r="U86" s="323">
        <f t="shared" ca="1" si="16"/>
        <v>11253</v>
      </c>
      <c r="V86" s="323"/>
      <c r="W86" s="323"/>
      <c r="X86" s="323"/>
      <c r="Y86" s="323"/>
      <c r="Z86" s="324"/>
    </row>
    <row r="87" spans="1:26" ht="18" customHeight="1">
      <c r="A87" s="326">
        <v>26</v>
      </c>
      <c r="B87" s="223" t="s">
        <v>999</v>
      </c>
      <c r="C87" s="23"/>
      <c r="D87" s="626">
        <v>7.7080000000000002</v>
      </c>
      <c r="E87" s="627">
        <v>7.7080000000000002</v>
      </c>
      <c r="F87" s="627">
        <v>3.8540000000000001</v>
      </c>
      <c r="G87" s="627">
        <v>7.7080000000000002</v>
      </c>
      <c r="H87" s="627">
        <v>0</v>
      </c>
      <c r="I87" s="628">
        <v>0</v>
      </c>
      <c r="J87" s="74"/>
      <c r="L87" s="171"/>
      <c r="M87" s="171"/>
      <c r="N87" s="139" t="s">
        <v>17</v>
      </c>
      <c r="O87" s="68"/>
      <c r="P87" s="69"/>
      <c r="Q87" s="70"/>
      <c r="R87" s="71"/>
      <c r="S87" s="71">
        <f ca="1">SUBTOTAL(9,S81:S86)</f>
        <v>38209</v>
      </c>
      <c r="T87" s="71"/>
      <c r="U87" s="71">
        <f ca="1">SUBTOTAL(9,U81:U86)</f>
        <v>38209</v>
      </c>
      <c r="V87" s="71"/>
      <c r="W87" s="71"/>
      <c r="X87" s="71"/>
      <c r="Y87" s="71"/>
      <c r="Z87" s="68"/>
    </row>
    <row r="88" spans="1:26" ht="18" customHeight="1">
      <c r="A88" s="326">
        <v>27</v>
      </c>
      <c r="B88" s="223" t="s">
        <v>1000</v>
      </c>
      <c r="C88" s="23"/>
      <c r="D88" s="626">
        <v>7.7080000000000002</v>
      </c>
      <c r="E88" s="627">
        <v>7.7080000000000002</v>
      </c>
      <c r="F88" s="627">
        <v>3.8540000000000001</v>
      </c>
      <c r="G88" s="627">
        <v>7.7080000000000002</v>
      </c>
      <c r="H88" s="627">
        <v>0</v>
      </c>
      <c r="I88" s="628">
        <v>0</v>
      </c>
      <c r="J88" s="74"/>
      <c r="L88" s="171"/>
      <c r="M88" s="171"/>
      <c r="N88" s="318" t="str">
        <f ca="1">"제 " &amp; Z88 &amp; " 호표  "&amp; OFFSET($A$1,MATCH(Z88,$A:$A,0)-1,1)</f>
        <v>제 3 호표  2-2. 사업 내용</v>
      </c>
      <c r="O88" s="221"/>
      <c r="P88" s="148"/>
      <c r="Q88" s="148"/>
      <c r="R88" s="149"/>
      <c r="S88" s="149"/>
      <c r="T88" s="149"/>
      <c r="U88" s="149"/>
      <c r="V88" s="149"/>
      <c r="W88" s="149"/>
      <c r="X88" s="149"/>
      <c r="Y88" s="149"/>
      <c r="Z88" s="325">
        <f>Z80+1</f>
        <v>3</v>
      </c>
    </row>
    <row r="89" spans="1:26" ht="18" customHeight="1">
      <c r="A89" s="326">
        <v>28</v>
      </c>
      <c r="B89" s="223" t="s">
        <v>1001</v>
      </c>
      <c r="C89" s="23"/>
      <c r="D89" s="626">
        <f t="array" ref="D89:I89">ROUNDDOWN(D47:I47*$D$5*$D$6*L47,3)</f>
        <v>0.38500000000000001</v>
      </c>
      <c r="E89" s="627">
        <v>0.51300000000000001</v>
      </c>
      <c r="F89" s="627">
        <v>0.51300000000000001</v>
      </c>
      <c r="G89" s="627">
        <v>1.0269999999999999</v>
      </c>
      <c r="H89" s="627">
        <v>1.5409999999999999</v>
      </c>
      <c r="I89" s="628">
        <v>1.413</v>
      </c>
      <c r="J89" s="74"/>
      <c r="L89" s="171"/>
      <c r="M89" s="171"/>
      <c r="N89" s="140" t="s">
        <v>43</v>
      </c>
      <c r="O89" s="172">
        <v>3</v>
      </c>
      <c r="P89" s="219">
        <f ca="1">OFFSET($A$1,MATCH(Z88,$A:$A,0)-1,O89)</f>
        <v>0</v>
      </c>
      <c r="Q89" s="141" t="s">
        <v>29</v>
      </c>
      <c r="R89" s="142">
        <f t="shared" ref="R89:S94" ca="1" si="19">T89</f>
        <v>467217</v>
      </c>
      <c r="S89" s="142">
        <f t="shared" ca="1" si="19"/>
        <v>0</v>
      </c>
      <c r="T89" s="142">
        <f ca="1">기술사</f>
        <v>467217</v>
      </c>
      <c r="U89" s="142">
        <f t="shared" ref="U89:U94" ca="1" si="20">ROUNDDOWN(P89*R89,0)</f>
        <v>0</v>
      </c>
      <c r="V89" s="142"/>
      <c r="W89" s="142"/>
      <c r="X89" s="142"/>
      <c r="Y89" s="142"/>
      <c r="Z89" s="114"/>
    </row>
    <row r="90" spans="1:26" ht="18" customHeight="1">
      <c r="A90" s="326">
        <v>29</v>
      </c>
      <c r="B90" s="223" t="s">
        <v>1002</v>
      </c>
      <c r="C90" s="23"/>
      <c r="D90" s="626">
        <f t="array" ref="D90:I90">ROUNDDOWN(D48:I48*L48,3)</f>
        <v>0.22500000000000001</v>
      </c>
      <c r="E90" s="627">
        <v>0.36</v>
      </c>
      <c r="F90" s="627">
        <v>0.315</v>
      </c>
      <c r="G90" s="627">
        <v>0.76500000000000001</v>
      </c>
      <c r="H90" s="627">
        <v>0.94499999999999995</v>
      </c>
      <c r="I90" s="628">
        <v>0.81</v>
      </c>
      <c r="J90" s="74"/>
      <c r="L90" s="171"/>
      <c r="M90" s="171"/>
      <c r="N90" s="143" t="s">
        <v>32</v>
      </c>
      <c r="O90" s="173">
        <v>4</v>
      </c>
      <c r="P90" s="234">
        <f ca="1">OFFSET($A$1,MATCH(Z88,$A:$A,0)-1,O90)</f>
        <v>0</v>
      </c>
      <c r="Q90" s="144" t="s">
        <v>29</v>
      </c>
      <c r="R90" s="118">
        <f t="shared" ca="1" si="19"/>
        <v>373353</v>
      </c>
      <c r="S90" s="118">
        <f t="shared" ca="1" si="19"/>
        <v>0</v>
      </c>
      <c r="T90" s="118">
        <f ca="1">특급</f>
        <v>373353</v>
      </c>
      <c r="U90" s="118">
        <f t="shared" ca="1" si="20"/>
        <v>0</v>
      </c>
      <c r="V90" s="118"/>
      <c r="W90" s="118"/>
      <c r="X90" s="118"/>
      <c r="Y90" s="118"/>
      <c r="Z90" s="115"/>
    </row>
    <row r="91" spans="1:26" ht="18" customHeight="1">
      <c r="B91" s="222" t="s">
        <v>1004</v>
      </c>
      <c r="C91" s="47"/>
      <c r="D91" s="629">
        <f t="shared" ref="D91:I91" si="21">SUBTOTAL(9,D92:D94)</f>
        <v>0.54</v>
      </c>
      <c r="E91" s="630">
        <f t="shared" si="21"/>
        <v>0.9</v>
      </c>
      <c r="F91" s="630">
        <f t="shared" si="21"/>
        <v>0.76500000000000001</v>
      </c>
      <c r="G91" s="630">
        <f t="shared" si="21"/>
        <v>1.8900000000000001</v>
      </c>
      <c r="H91" s="630">
        <f t="shared" si="21"/>
        <v>2.34</v>
      </c>
      <c r="I91" s="631">
        <f t="shared" si="21"/>
        <v>1.98</v>
      </c>
      <c r="J91" s="74"/>
      <c r="M91" s="171"/>
      <c r="N91" s="145" t="s">
        <v>39</v>
      </c>
      <c r="O91" s="173">
        <v>5</v>
      </c>
      <c r="P91" s="234">
        <f ca="1">OFFSET($A$1,MATCH(Z88,$A:$A,0)-1,O91)</f>
        <v>0.09</v>
      </c>
      <c r="Q91" s="144" t="s">
        <v>29</v>
      </c>
      <c r="R91" s="118">
        <f t="shared" ca="1" si="19"/>
        <v>310884</v>
      </c>
      <c r="S91" s="118">
        <f t="shared" ca="1" si="19"/>
        <v>27979</v>
      </c>
      <c r="T91" s="118">
        <f ca="1">고급</f>
        <v>310884</v>
      </c>
      <c r="U91" s="118">
        <f t="shared" ca="1" si="20"/>
        <v>27979</v>
      </c>
      <c r="V91" s="118"/>
      <c r="W91" s="118"/>
      <c r="X91" s="118"/>
      <c r="Y91" s="118"/>
      <c r="Z91" s="115"/>
    </row>
    <row r="92" spans="1:26" ht="18" customHeight="1">
      <c r="A92" s="326">
        <v>30</v>
      </c>
      <c r="B92" s="223" t="s">
        <v>1005</v>
      </c>
      <c r="C92" s="23"/>
      <c r="D92" s="626">
        <f t="array" ref="D92:I94">ROUNDDOWN(D50:I52*L50:L52,3)</f>
        <v>0.09</v>
      </c>
      <c r="E92" s="627">
        <v>0.18</v>
      </c>
      <c r="F92" s="627">
        <v>0.13500000000000001</v>
      </c>
      <c r="G92" s="627">
        <v>0.36</v>
      </c>
      <c r="H92" s="627">
        <v>0.45</v>
      </c>
      <c r="I92" s="628">
        <v>0.36</v>
      </c>
      <c r="J92" s="74"/>
      <c r="M92" s="171"/>
      <c r="N92" s="145" t="s">
        <v>40</v>
      </c>
      <c r="O92" s="173">
        <v>6</v>
      </c>
      <c r="P92" s="234">
        <f ca="1">OFFSET($A$1,MATCH(Z88,$A:$A,0)-1,O92)</f>
        <v>0.09</v>
      </c>
      <c r="Q92" s="144" t="s">
        <v>29</v>
      </c>
      <c r="R92" s="118">
        <f t="shared" ca="1" si="19"/>
        <v>295138</v>
      </c>
      <c r="S92" s="118">
        <f t="shared" ca="1" si="19"/>
        <v>26562</v>
      </c>
      <c r="T92" s="118">
        <f ca="1">중급</f>
        <v>295138</v>
      </c>
      <c r="U92" s="118">
        <f t="shared" ca="1" si="20"/>
        <v>26562</v>
      </c>
      <c r="V92" s="118"/>
      <c r="W92" s="118"/>
      <c r="X92" s="118"/>
      <c r="Y92" s="118"/>
      <c r="Z92" s="115"/>
    </row>
    <row r="93" spans="1:26" ht="18" customHeight="1">
      <c r="A93" s="326">
        <v>31</v>
      </c>
      <c r="B93" s="223" t="s">
        <v>1006</v>
      </c>
      <c r="C93" s="23"/>
      <c r="D93" s="626">
        <v>0.22500000000000001</v>
      </c>
      <c r="E93" s="627">
        <v>0.36</v>
      </c>
      <c r="F93" s="627">
        <v>0.315</v>
      </c>
      <c r="G93" s="627">
        <v>0.76500000000000001</v>
      </c>
      <c r="H93" s="627">
        <v>0.94499999999999995</v>
      </c>
      <c r="I93" s="628">
        <v>0.81</v>
      </c>
      <c r="J93" s="74"/>
      <c r="M93" s="171"/>
      <c r="N93" s="145" t="s">
        <v>41</v>
      </c>
      <c r="O93" s="173">
        <v>7</v>
      </c>
      <c r="P93" s="234">
        <f ca="1">OFFSET($A$1,MATCH(Z88,$A:$A,0)-1,O93)</f>
        <v>0.22500000000000001</v>
      </c>
      <c r="Q93" s="144" t="s">
        <v>29</v>
      </c>
      <c r="R93" s="118">
        <f t="shared" ca="1" si="19"/>
        <v>235459</v>
      </c>
      <c r="S93" s="118">
        <f t="shared" ca="1" si="19"/>
        <v>52978</v>
      </c>
      <c r="T93" s="118">
        <f ca="1">초급</f>
        <v>235459</v>
      </c>
      <c r="U93" s="118">
        <f t="shared" ca="1" si="20"/>
        <v>52978</v>
      </c>
      <c r="V93" s="118"/>
      <c r="W93" s="118"/>
      <c r="X93" s="118"/>
      <c r="Y93" s="118"/>
      <c r="Z93" s="115"/>
    </row>
    <row r="94" spans="1:26" ht="18" customHeight="1">
      <c r="A94" s="326">
        <v>32</v>
      </c>
      <c r="B94" s="223" t="s">
        <v>1007</v>
      </c>
      <c r="C94" s="23"/>
      <c r="D94" s="626">
        <v>0.22500000000000001</v>
      </c>
      <c r="E94" s="627">
        <v>0.36</v>
      </c>
      <c r="F94" s="627">
        <v>0.315</v>
      </c>
      <c r="G94" s="627">
        <v>0.76500000000000001</v>
      </c>
      <c r="H94" s="627">
        <v>0.94499999999999995</v>
      </c>
      <c r="I94" s="628">
        <v>0.81</v>
      </c>
      <c r="J94" s="74"/>
      <c r="M94" s="171"/>
      <c r="N94" s="319" t="s">
        <v>42</v>
      </c>
      <c r="O94" s="174">
        <v>8</v>
      </c>
      <c r="P94" s="235">
        <f ca="1">OFFSET($A$1,MATCH(Z88,$A:$A,0)-1,O94)</f>
        <v>0.22500000000000001</v>
      </c>
      <c r="Q94" s="322" t="s">
        <v>29</v>
      </c>
      <c r="R94" s="323">
        <f t="shared" ca="1" si="19"/>
        <v>250087</v>
      </c>
      <c r="S94" s="323">
        <f t="shared" ca="1" si="19"/>
        <v>56269</v>
      </c>
      <c r="T94" s="323">
        <f ca="1">보조원</f>
        <v>250087</v>
      </c>
      <c r="U94" s="323">
        <f t="shared" ca="1" si="20"/>
        <v>56269</v>
      </c>
      <c r="V94" s="323"/>
      <c r="W94" s="323"/>
      <c r="X94" s="323"/>
      <c r="Y94" s="323"/>
      <c r="Z94" s="324"/>
    </row>
    <row r="95" spans="1:26" ht="18" customHeight="1">
      <c r="A95" s="326">
        <v>33</v>
      </c>
      <c r="B95" s="222" t="s">
        <v>1008</v>
      </c>
      <c r="C95" s="47"/>
      <c r="D95" s="635">
        <f t="array" ref="D95:I95">ROUNDDOWN(D53:I53*L53,3)</f>
        <v>0.09</v>
      </c>
      <c r="E95" s="636">
        <v>0.13500000000000001</v>
      </c>
      <c r="F95" s="636">
        <v>0.22500000000000001</v>
      </c>
      <c r="G95" s="636">
        <v>0.315</v>
      </c>
      <c r="H95" s="636">
        <v>0.315</v>
      </c>
      <c r="I95" s="637">
        <v>0</v>
      </c>
      <c r="J95" s="74"/>
      <c r="M95" s="171"/>
      <c r="N95" s="139" t="s">
        <v>17</v>
      </c>
      <c r="O95" s="68"/>
      <c r="P95" s="69"/>
      <c r="Q95" s="70"/>
      <c r="R95" s="71"/>
      <c r="S95" s="71">
        <f ca="1">SUBTOTAL(9,S89:S94)</f>
        <v>163788</v>
      </c>
      <c r="T95" s="71"/>
      <c r="U95" s="71">
        <f ca="1">SUBTOTAL(9,U89:U94)</f>
        <v>163788</v>
      </c>
      <c r="V95" s="71"/>
      <c r="W95" s="71"/>
      <c r="X95" s="71"/>
      <c r="Y95" s="71"/>
      <c r="Z95" s="68"/>
    </row>
    <row r="96" spans="1:26" ht="18" customHeight="1" thickBot="1">
      <c r="A96" s="326">
        <v>34</v>
      </c>
      <c r="B96" s="638" t="s">
        <v>1009</v>
      </c>
      <c r="C96" s="639"/>
      <c r="D96" s="643">
        <f t="array" ref="D96:I96">ROUNDDOWN(D54:I54*L54,3)</f>
        <v>0.45</v>
      </c>
      <c r="E96" s="644">
        <v>0.9</v>
      </c>
      <c r="F96" s="644">
        <v>0.9</v>
      </c>
      <c r="G96" s="644">
        <v>0.45</v>
      </c>
      <c r="H96" s="644">
        <v>0</v>
      </c>
      <c r="I96" s="645">
        <v>0</v>
      </c>
      <c r="J96" s="176"/>
      <c r="L96" s="171"/>
      <c r="M96" s="171"/>
      <c r="N96" s="318" t="str">
        <f ca="1">"제 " &amp; Z96 &amp; " 호표  "&amp; OFFSET($A$1,MATCH(Z96,$A:$A,0)-1,1)</f>
        <v>제 4 호표  2-3. 사업 추진경위</v>
      </c>
      <c r="O96" s="221"/>
      <c r="P96" s="148"/>
      <c r="Q96" s="148"/>
      <c r="R96" s="149"/>
      <c r="S96" s="149"/>
      <c r="T96" s="149"/>
      <c r="U96" s="149"/>
      <c r="V96" s="149"/>
      <c r="W96" s="149"/>
      <c r="X96" s="149"/>
      <c r="Y96" s="149"/>
      <c r="Z96" s="325">
        <f>Z88+1</f>
        <v>4</v>
      </c>
    </row>
    <row r="97" spans="2:26" ht="18" customHeight="1">
      <c r="B97" s="80"/>
      <c r="C97" s="9"/>
      <c r="K97" s="171" t="s">
        <v>14</v>
      </c>
      <c r="L97" s="171"/>
      <c r="M97" s="171"/>
      <c r="N97" s="140" t="s">
        <v>43</v>
      </c>
      <c r="O97" s="172">
        <v>3</v>
      </c>
      <c r="P97" s="219">
        <f ca="1">OFFSET($A$1,MATCH(Z96,$A:$A,0)-1,O97)</f>
        <v>0</v>
      </c>
      <c r="Q97" s="141" t="s">
        <v>29</v>
      </c>
      <c r="R97" s="142">
        <f t="shared" ref="R97:S102" ca="1" si="22">T97</f>
        <v>467217</v>
      </c>
      <c r="S97" s="142">
        <f t="shared" ca="1" si="22"/>
        <v>0</v>
      </c>
      <c r="T97" s="142">
        <f ca="1">기술사</f>
        <v>467217</v>
      </c>
      <c r="U97" s="142">
        <f t="shared" ref="U97:U102" ca="1" si="23">ROUNDDOWN(P97*R97,0)</f>
        <v>0</v>
      </c>
      <c r="V97" s="142"/>
      <c r="W97" s="142"/>
      <c r="X97" s="142"/>
      <c r="Y97" s="142"/>
      <c r="Z97" s="114"/>
    </row>
    <row r="98" spans="2:26" ht="18" customHeight="1">
      <c r="K98" s="171" t="s">
        <v>14</v>
      </c>
      <c r="L98" s="171"/>
      <c r="M98" s="171"/>
      <c r="N98" s="143" t="s">
        <v>32</v>
      </c>
      <c r="O98" s="173">
        <v>4</v>
      </c>
      <c r="P98" s="234">
        <f ca="1">OFFSET($A$1,MATCH(Z96,$A:$A,0)-1,O98)</f>
        <v>0</v>
      </c>
      <c r="Q98" s="144" t="s">
        <v>29</v>
      </c>
      <c r="R98" s="118">
        <f t="shared" ca="1" si="22"/>
        <v>373353</v>
      </c>
      <c r="S98" s="118">
        <f t="shared" ca="1" si="22"/>
        <v>0</v>
      </c>
      <c r="T98" s="118">
        <f ca="1">특급</f>
        <v>373353</v>
      </c>
      <c r="U98" s="118">
        <f t="shared" ca="1" si="23"/>
        <v>0</v>
      </c>
      <c r="V98" s="118"/>
      <c r="W98" s="118"/>
      <c r="X98" s="118"/>
      <c r="Y98" s="118"/>
      <c r="Z98" s="115"/>
    </row>
    <row r="99" spans="2:26" ht="18" customHeight="1">
      <c r="C99" s="9"/>
      <c r="K99" s="171" t="s">
        <v>14</v>
      </c>
      <c r="L99" s="171"/>
      <c r="M99" s="171"/>
      <c r="N99" s="145" t="s">
        <v>39</v>
      </c>
      <c r="O99" s="173">
        <v>5</v>
      </c>
      <c r="P99" s="234">
        <f ca="1">OFFSET($A$1,MATCH(Z96,$A:$A,0)-1,O99)</f>
        <v>1.7999999999999999E-2</v>
      </c>
      <c r="Q99" s="144" t="s">
        <v>29</v>
      </c>
      <c r="R99" s="118">
        <f t="shared" ca="1" si="22"/>
        <v>310884</v>
      </c>
      <c r="S99" s="118">
        <f t="shared" ca="1" si="22"/>
        <v>5595</v>
      </c>
      <c r="T99" s="118">
        <f ca="1">고급</f>
        <v>310884</v>
      </c>
      <c r="U99" s="118">
        <f t="shared" ca="1" si="23"/>
        <v>5595</v>
      </c>
      <c r="V99" s="118"/>
      <c r="W99" s="118"/>
      <c r="X99" s="118"/>
      <c r="Y99" s="118"/>
      <c r="Z99" s="115"/>
    </row>
    <row r="100" spans="2:26" ht="18" customHeight="1">
      <c r="K100" s="171" t="s">
        <v>14</v>
      </c>
      <c r="L100" s="171"/>
      <c r="M100" s="171"/>
      <c r="N100" s="145" t="s">
        <v>40</v>
      </c>
      <c r="O100" s="173">
        <v>6</v>
      </c>
      <c r="P100" s="234">
        <f ca="1">OFFSET($A$1,MATCH(Z96,$A:$A,0)-1,O100)</f>
        <v>1.7999999999999999E-2</v>
      </c>
      <c r="Q100" s="144" t="s">
        <v>29</v>
      </c>
      <c r="R100" s="118">
        <f t="shared" ca="1" si="22"/>
        <v>295138</v>
      </c>
      <c r="S100" s="118">
        <f t="shared" ca="1" si="22"/>
        <v>5312</v>
      </c>
      <c r="T100" s="118">
        <f ca="1">중급</f>
        <v>295138</v>
      </c>
      <c r="U100" s="118">
        <f t="shared" ca="1" si="23"/>
        <v>5312</v>
      </c>
      <c r="V100" s="118"/>
      <c r="W100" s="118"/>
      <c r="X100" s="118"/>
      <c r="Y100" s="118"/>
      <c r="Z100" s="115"/>
    </row>
    <row r="101" spans="2:26" ht="18" customHeight="1">
      <c r="C101" s="9"/>
      <c r="K101" s="171" t="s">
        <v>14</v>
      </c>
      <c r="L101" s="171"/>
      <c r="M101" s="171"/>
      <c r="N101" s="145" t="s">
        <v>41</v>
      </c>
      <c r="O101" s="173">
        <v>7</v>
      </c>
      <c r="P101" s="234">
        <f ca="1">OFFSET($A$1,MATCH(Z96,$A:$A,0)-1,O101)</f>
        <v>4.4999999999999998E-2</v>
      </c>
      <c r="Q101" s="144" t="s">
        <v>29</v>
      </c>
      <c r="R101" s="118">
        <f t="shared" ca="1" si="22"/>
        <v>235459</v>
      </c>
      <c r="S101" s="118">
        <f t="shared" ca="1" si="22"/>
        <v>10595</v>
      </c>
      <c r="T101" s="118">
        <f ca="1">초급</f>
        <v>235459</v>
      </c>
      <c r="U101" s="118">
        <f t="shared" ca="1" si="23"/>
        <v>10595</v>
      </c>
      <c r="V101" s="118"/>
      <c r="W101" s="118"/>
      <c r="X101" s="118"/>
      <c r="Y101" s="118"/>
      <c r="Z101" s="115"/>
    </row>
    <row r="102" spans="2:26" ht="18" customHeight="1">
      <c r="C102" s="9"/>
      <c r="K102" s="171" t="s">
        <v>14</v>
      </c>
      <c r="L102" s="171"/>
      <c r="M102" s="171"/>
      <c r="N102" s="319" t="s">
        <v>42</v>
      </c>
      <c r="O102" s="174">
        <v>8</v>
      </c>
      <c r="P102" s="235">
        <f ca="1">OFFSET($A$1,MATCH(Z96,$A:$A,0)-1,O102)</f>
        <v>4.4999999999999998E-2</v>
      </c>
      <c r="Q102" s="322" t="s">
        <v>29</v>
      </c>
      <c r="R102" s="323">
        <f t="shared" ca="1" si="22"/>
        <v>250087</v>
      </c>
      <c r="S102" s="323">
        <f t="shared" ca="1" si="22"/>
        <v>11253</v>
      </c>
      <c r="T102" s="323">
        <f ca="1">보조원</f>
        <v>250087</v>
      </c>
      <c r="U102" s="323">
        <f t="shared" ca="1" si="23"/>
        <v>11253</v>
      </c>
      <c r="V102" s="323"/>
      <c r="W102" s="323"/>
      <c r="X102" s="323"/>
      <c r="Y102" s="323"/>
      <c r="Z102" s="324"/>
    </row>
    <row r="103" spans="2:26" ht="18" customHeight="1">
      <c r="K103" s="171" t="s">
        <v>14</v>
      </c>
      <c r="L103" s="171"/>
      <c r="M103" s="171"/>
      <c r="N103" s="139" t="s">
        <v>17</v>
      </c>
      <c r="O103" s="68"/>
      <c r="P103" s="69"/>
      <c r="Q103" s="70"/>
      <c r="R103" s="71"/>
      <c r="S103" s="71">
        <f ca="1">SUBTOTAL(9,S97:S102)</f>
        <v>32755</v>
      </c>
      <c r="T103" s="71"/>
      <c r="U103" s="71">
        <f ca="1">SUBTOTAL(9,U97:U102)</f>
        <v>32755</v>
      </c>
      <c r="V103" s="71"/>
      <c r="W103" s="71"/>
      <c r="X103" s="71"/>
      <c r="Y103" s="71"/>
      <c r="Z103" s="68"/>
    </row>
    <row r="104" spans="2:26" ht="18" customHeight="1">
      <c r="C104" s="9"/>
      <c r="K104" s="171" t="s">
        <v>14</v>
      </c>
      <c r="L104" s="171"/>
      <c r="M104" s="171"/>
      <c r="N104" s="318" t="str">
        <f ca="1">"제 " &amp; Z104 &amp; " 호표  "&amp; OFFSET($A$1,MATCH(Z104,$A:$A,0)-1,1)</f>
        <v>제 5 호표  2-4. 재해영향성검토실시근거 및 절차</v>
      </c>
      <c r="O104" s="221"/>
      <c r="P104" s="148"/>
      <c r="Q104" s="148"/>
      <c r="R104" s="149"/>
      <c r="S104" s="149"/>
      <c r="T104" s="149"/>
      <c r="U104" s="149"/>
      <c r="V104" s="149"/>
      <c r="W104" s="149"/>
      <c r="X104" s="149"/>
      <c r="Y104" s="149"/>
      <c r="Z104" s="325">
        <f>Z96+1</f>
        <v>5</v>
      </c>
    </row>
    <row r="105" spans="2:26" ht="18" customHeight="1">
      <c r="K105" s="171" t="s">
        <v>14</v>
      </c>
      <c r="L105" s="171"/>
      <c r="M105" s="171"/>
      <c r="N105" s="140" t="s">
        <v>43</v>
      </c>
      <c r="O105" s="172">
        <v>3</v>
      </c>
      <c r="P105" s="219">
        <f ca="1">OFFSET($A$1,MATCH(Z104,$A:$A,0)-1,O105)</f>
        <v>0</v>
      </c>
      <c r="Q105" s="141" t="s">
        <v>29</v>
      </c>
      <c r="R105" s="142">
        <f t="shared" ref="R105:S110" ca="1" si="24">T105</f>
        <v>467217</v>
      </c>
      <c r="S105" s="142">
        <f t="shared" ca="1" si="24"/>
        <v>0</v>
      </c>
      <c r="T105" s="142">
        <f ca="1">기술사</f>
        <v>467217</v>
      </c>
      <c r="U105" s="142">
        <f t="shared" ref="U105:U110" ca="1" si="25">ROUNDDOWN(P105*R105,0)</f>
        <v>0</v>
      </c>
      <c r="V105" s="142"/>
      <c r="W105" s="142"/>
      <c r="X105" s="142"/>
      <c r="Y105" s="142"/>
      <c r="Z105" s="114"/>
    </row>
    <row r="106" spans="2:26" ht="18" customHeight="1">
      <c r="K106" s="171" t="s">
        <v>14</v>
      </c>
      <c r="L106" s="171"/>
      <c r="M106" s="171"/>
      <c r="N106" s="143" t="s">
        <v>32</v>
      </c>
      <c r="O106" s="173">
        <v>4</v>
      </c>
      <c r="P106" s="234">
        <f ca="1">OFFSET($A$1,MATCH(Z104,$A:$A,0)-1,O106)</f>
        <v>0</v>
      </c>
      <c r="Q106" s="144" t="s">
        <v>29</v>
      </c>
      <c r="R106" s="118">
        <f t="shared" ca="1" si="24"/>
        <v>373353</v>
      </c>
      <c r="S106" s="118">
        <f t="shared" ca="1" si="24"/>
        <v>0</v>
      </c>
      <c r="T106" s="118">
        <f ca="1">특급</f>
        <v>373353</v>
      </c>
      <c r="U106" s="118">
        <f t="shared" ca="1" si="25"/>
        <v>0</v>
      </c>
      <c r="V106" s="118"/>
      <c r="W106" s="118"/>
      <c r="X106" s="118"/>
      <c r="Y106" s="118"/>
      <c r="Z106" s="115"/>
    </row>
    <row r="107" spans="2:26" ht="18" customHeight="1">
      <c r="K107" s="171" t="s">
        <v>14</v>
      </c>
      <c r="L107" s="171"/>
      <c r="M107" s="171"/>
      <c r="N107" s="145" t="s">
        <v>39</v>
      </c>
      <c r="O107" s="173">
        <v>5</v>
      </c>
      <c r="P107" s="234">
        <f ca="1">OFFSET($A$1,MATCH(Z104,$A:$A,0)-1,O107)</f>
        <v>1.7999999999999999E-2</v>
      </c>
      <c r="Q107" s="144" t="s">
        <v>29</v>
      </c>
      <c r="R107" s="118">
        <f t="shared" ca="1" si="24"/>
        <v>310884</v>
      </c>
      <c r="S107" s="118">
        <f t="shared" ca="1" si="24"/>
        <v>5595</v>
      </c>
      <c r="T107" s="118">
        <f ca="1">고급</f>
        <v>310884</v>
      </c>
      <c r="U107" s="118">
        <f t="shared" ca="1" si="25"/>
        <v>5595</v>
      </c>
      <c r="V107" s="118"/>
      <c r="W107" s="118"/>
      <c r="X107" s="118"/>
      <c r="Y107" s="118"/>
      <c r="Z107" s="115"/>
    </row>
    <row r="108" spans="2:26" ht="18" customHeight="1">
      <c r="K108" s="171" t="s">
        <v>14</v>
      </c>
      <c r="L108" s="171"/>
      <c r="M108" s="171"/>
      <c r="N108" s="145" t="s">
        <v>40</v>
      </c>
      <c r="O108" s="173">
        <v>6</v>
      </c>
      <c r="P108" s="234">
        <f ca="1">OFFSET($A$1,MATCH(Z104,$A:$A,0)-1,O108)</f>
        <v>1.7999999999999999E-2</v>
      </c>
      <c r="Q108" s="144" t="s">
        <v>29</v>
      </c>
      <c r="R108" s="118">
        <f t="shared" ca="1" si="24"/>
        <v>295138</v>
      </c>
      <c r="S108" s="118">
        <f t="shared" ca="1" si="24"/>
        <v>5312</v>
      </c>
      <c r="T108" s="118">
        <f ca="1">중급</f>
        <v>295138</v>
      </c>
      <c r="U108" s="118">
        <f t="shared" ca="1" si="25"/>
        <v>5312</v>
      </c>
      <c r="V108" s="118"/>
      <c r="W108" s="118"/>
      <c r="X108" s="118"/>
      <c r="Y108" s="118"/>
      <c r="Z108" s="115"/>
    </row>
    <row r="109" spans="2:26" ht="18" customHeight="1">
      <c r="K109" s="171" t="s">
        <v>14</v>
      </c>
      <c r="L109" s="171"/>
      <c r="M109" s="171"/>
      <c r="N109" s="145" t="s">
        <v>41</v>
      </c>
      <c r="O109" s="173">
        <v>7</v>
      </c>
      <c r="P109" s="234">
        <f ca="1">OFFSET($A$1,MATCH(Z104,$A:$A,0)-1,O109)</f>
        <v>4.4999999999999998E-2</v>
      </c>
      <c r="Q109" s="144" t="s">
        <v>29</v>
      </c>
      <c r="R109" s="118">
        <f t="shared" ca="1" si="24"/>
        <v>235459</v>
      </c>
      <c r="S109" s="118">
        <f t="shared" ca="1" si="24"/>
        <v>10595</v>
      </c>
      <c r="T109" s="118">
        <f ca="1">초급</f>
        <v>235459</v>
      </c>
      <c r="U109" s="118">
        <f t="shared" ca="1" si="25"/>
        <v>10595</v>
      </c>
      <c r="V109" s="118"/>
      <c r="W109" s="118"/>
      <c r="X109" s="118"/>
      <c r="Y109" s="118"/>
      <c r="Z109" s="115"/>
    </row>
    <row r="110" spans="2:26" ht="18" customHeight="1">
      <c r="C110" s="9"/>
      <c r="K110" s="171" t="s">
        <v>14</v>
      </c>
      <c r="L110" s="171"/>
      <c r="M110" s="171"/>
      <c r="N110" s="319" t="s">
        <v>42</v>
      </c>
      <c r="O110" s="174">
        <v>8</v>
      </c>
      <c r="P110" s="235">
        <f ca="1">OFFSET($A$1,MATCH(Z104,$A:$A,0)-1,O110)</f>
        <v>4.4999999999999998E-2</v>
      </c>
      <c r="Q110" s="322" t="s">
        <v>29</v>
      </c>
      <c r="R110" s="323">
        <f t="shared" ca="1" si="24"/>
        <v>250087</v>
      </c>
      <c r="S110" s="323">
        <f t="shared" ca="1" si="24"/>
        <v>11253</v>
      </c>
      <c r="T110" s="323">
        <f ca="1">보조원</f>
        <v>250087</v>
      </c>
      <c r="U110" s="323">
        <f t="shared" ca="1" si="25"/>
        <v>11253</v>
      </c>
      <c r="V110" s="323"/>
      <c r="W110" s="323"/>
      <c r="X110" s="323"/>
      <c r="Y110" s="323"/>
      <c r="Z110" s="324"/>
    </row>
    <row r="111" spans="2:26" ht="18" customHeight="1">
      <c r="C111" s="9"/>
      <c r="K111" s="171" t="s">
        <v>14</v>
      </c>
      <c r="L111" s="171"/>
      <c r="M111" s="171"/>
      <c r="N111" s="139" t="s">
        <v>17</v>
      </c>
      <c r="O111" s="68"/>
      <c r="P111" s="69"/>
      <c r="Q111" s="70"/>
      <c r="R111" s="71"/>
      <c r="S111" s="71">
        <f ca="1">SUBTOTAL(9,S105:S110)</f>
        <v>32755</v>
      </c>
      <c r="T111" s="71"/>
      <c r="U111" s="71">
        <f ca="1">SUBTOTAL(9,U105:U110)</f>
        <v>32755</v>
      </c>
      <c r="V111" s="71"/>
      <c r="W111" s="71"/>
      <c r="X111" s="71"/>
      <c r="Y111" s="71"/>
      <c r="Z111" s="68"/>
    </row>
    <row r="112" spans="2:26" ht="18" customHeight="1">
      <c r="K112" s="171" t="s">
        <v>14</v>
      </c>
      <c r="L112" s="171"/>
      <c r="M112" s="171"/>
      <c r="N112" s="318" t="str">
        <f ca="1">"제 " &amp; Z112 &amp; " 호표  "&amp; OFFSET($A$1,MATCH(Z112,$A:$A,0)-1,1)</f>
        <v>제 6 호표  3-1. 평가대상지역 설정 위한 기초조사</v>
      </c>
      <c r="O112" s="221"/>
      <c r="P112" s="148"/>
      <c r="Q112" s="148"/>
      <c r="R112" s="149"/>
      <c r="S112" s="149"/>
      <c r="T112" s="149"/>
      <c r="U112" s="149"/>
      <c r="V112" s="149"/>
      <c r="W112" s="149"/>
      <c r="X112" s="149"/>
      <c r="Y112" s="149"/>
      <c r="Z112" s="325">
        <f>Z104+1</f>
        <v>6</v>
      </c>
    </row>
    <row r="113" spans="11:26" ht="18" customHeight="1">
      <c r="K113" s="171" t="s">
        <v>14</v>
      </c>
      <c r="L113" s="171"/>
      <c r="M113" s="171"/>
      <c r="N113" s="140" t="s">
        <v>43</v>
      </c>
      <c r="O113" s="172">
        <v>3</v>
      </c>
      <c r="P113" s="219">
        <f ca="1">OFFSET($A$1,MATCH(Z112,$A:$A,0)-1,O113)</f>
        <v>0</v>
      </c>
      <c r="Q113" s="141" t="s">
        <v>29</v>
      </c>
      <c r="R113" s="142">
        <f t="shared" ref="R113:S118" ca="1" si="26">T113</f>
        <v>467217</v>
      </c>
      <c r="S113" s="142">
        <f t="shared" ca="1" si="26"/>
        <v>0</v>
      </c>
      <c r="T113" s="142">
        <f ca="1">기술사</f>
        <v>467217</v>
      </c>
      <c r="U113" s="142">
        <f t="shared" ref="U113:U118" ca="1" si="27">ROUNDDOWN(P113*R113,0)</f>
        <v>0</v>
      </c>
      <c r="V113" s="142"/>
      <c r="W113" s="142"/>
      <c r="X113" s="142"/>
      <c r="Y113" s="142"/>
      <c r="Z113" s="114"/>
    </row>
    <row r="114" spans="11:26" ht="18" customHeight="1">
      <c r="K114" s="171" t="s">
        <v>14</v>
      </c>
      <c r="L114" s="171"/>
      <c r="M114" s="171"/>
      <c r="N114" s="143" t="s">
        <v>32</v>
      </c>
      <c r="O114" s="173">
        <v>4</v>
      </c>
      <c r="P114" s="234">
        <f ca="1">OFFSET($A$1,MATCH(Z112,$A:$A,0)-1,O114)</f>
        <v>0</v>
      </c>
      <c r="Q114" s="144" t="s">
        <v>29</v>
      </c>
      <c r="R114" s="118">
        <f t="shared" ca="1" si="26"/>
        <v>373353</v>
      </c>
      <c r="S114" s="118">
        <f t="shared" ca="1" si="26"/>
        <v>0</v>
      </c>
      <c r="T114" s="118">
        <f ca="1">특급</f>
        <v>373353</v>
      </c>
      <c r="U114" s="118">
        <f t="shared" ca="1" si="27"/>
        <v>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39</v>
      </c>
      <c r="O115" s="173">
        <v>5</v>
      </c>
      <c r="P115" s="234">
        <f ca="1">OFFSET($A$1,MATCH(Z112,$A:$A,0)-1,O115)</f>
        <v>2.7E-2</v>
      </c>
      <c r="Q115" s="144" t="s">
        <v>29</v>
      </c>
      <c r="R115" s="118">
        <f t="shared" ca="1" si="26"/>
        <v>310884</v>
      </c>
      <c r="S115" s="118">
        <f t="shared" ca="1" si="26"/>
        <v>8393</v>
      </c>
      <c r="T115" s="118">
        <f ca="1">고급</f>
        <v>310884</v>
      </c>
      <c r="U115" s="118">
        <f t="shared" ca="1" si="27"/>
        <v>8393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145" t="s">
        <v>40</v>
      </c>
      <c r="O116" s="173">
        <v>6</v>
      </c>
      <c r="P116" s="234">
        <f ca="1">OFFSET($A$1,MATCH(Z112,$A:$A,0)-1,O116)</f>
        <v>2.7E-2</v>
      </c>
      <c r="Q116" s="144" t="s">
        <v>29</v>
      </c>
      <c r="R116" s="118">
        <f t="shared" ca="1" si="26"/>
        <v>295138</v>
      </c>
      <c r="S116" s="118">
        <f t="shared" ca="1" si="26"/>
        <v>7968</v>
      </c>
      <c r="T116" s="118">
        <f ca="1">중급</f>
        <v>295138</v>
      </c>
      <c r="U116" s="118">
        <f t="shared" ca="1" si="27"/>
        <v>7968</v>
      </c>
      <c r="V116" s="118"/>
      <c r="W116" s="118"/>
      <c r="X116" s="118"/>
      <c r="Y116" s="118"/>
      <c r="Z116" s="115"/>
    </row>
    <row r="117" spans="11:26" ht="18" customHeight="1">
      <c r="K117" s="171" t="s">
        <v>14</v>
      </c>
      <c r="L117" s="171"/>
      <c r="M117" s="171"/>
      <c r="N117" s="145" t="s">
        <v>41</v>
      </c>
      <c r="O117" s="173">
        <v>7</v>
      </c>
      <c r="P117" s="234">
        <f ca="1">OFFSET($A$1,MATCH(Z112,$A:$A,0)-1,O117)</f>
        <v>0.09</v>
      </c>
      <c r="Q117" s="144" t="s">
        <v>29</v>
      </c>
      <c r="R117" s="118">
        <f t="shared" ca="1" si="26"/>
        <v>235459</v>
      </c>
      <c r="S117" s="118">
        <f t="shared" ca="1" si="26"/>
        <v>21191</v>
      </c>
      <c r="T117" s="118">
        <f ca="1">초급</f>
        <v>235459</v>
      </c>
      <c r="U117" s="118">
        <f t="shared" ca="1" si="27"/>
        <v>21191</v>
      </c>
      <c r="V117" s="118"/>
      <c r="W117" s="118"/>
      <c r="X117" s="118"/>
      <c r="Y117" s="118"/>
      <c r="Z117" s="115"/>
    </row>
    <row r="118" spans="11:26" ht="18" customHeight="1">
      <c r="K118" s="171" t="s">
        <v>14</v>
      </c>
      <c r="L118" s="171"/>
      <c r="M118" s="171"/>
      <c r="N118" s="319" t="s">
        <v>42</v>
      </c>
      <c r="O118" s="174">
        <v>8</v>
      </c>
      <c r="P118" s="235">
        <f ca="1">OFFSET($A$1,MATCH(Z112,$A:$A,0)-1,O118)</f>
        <v>0.09</v>
      </c>
      <c r="Q118" s="322" t="s">
        <v>29</v>
      </c>
      <c r="R118" s="323">
        <f t="shared" ca="1" si="26"/>
        <v>250087</v>
      </c>
      <c r="S118" s="323">
        <f t="shared" ca="1" si="26"/>
        <v>22507</v>
      </c>
      <c r="T118" s="323">
        <f ca="1">보조원</f>
        <v>250087</v>
      </c>
      <c r="U118" s="323">
        <f t="shared" ca="1" si="27"/>
        <v>22507</v>
      </c>
      <c r="V118" s="323"/>
      <c r="W118" s="323"/>
      <c r="X118" s="323"/>
      <c r="Y118" s="323"/>
      <c r="Z118" s="324"/>
    </row>
    <row r="119" spans="11:26" ht="18" customHeight="1">
      <c r="K119" s="171" t="s">
        <v>14</v>
      </c>
      <c r="L119" s="171"/>
      <c r="M119" s="171"/>
      <c r="N119" s="139" t="s">
        <v>17</v>
      </c>
      <c r="O119" s="68"/>
      <c r="P119" s="69"/>
      <c r="Q119" s="70"/>
      <c r="R119" s="71"/>
      <c r="S119" s="71">
        <f ca="1">SUBTOTAL(9,S113:S118)</f>
        <v>60059</v>
      </c>
      <c r="T119" s="71"/>
      <c r="U119" s="71">
        <f ca="1">SUBTOTAL(9,U113:U118)</f>
        <v>60059</v>
      </c>
      <c r="V119" s="71"/>
      <c r="W119" s="71"/>
      <c r="X119" s="71"/>
      <c r="Y119" s="71"/>
      <c r="Z119" s="68"/>
    </row>
    <row r="120" spans="11:26" ht="18" customHeight="1">
      <c r="K120" s="171" t="s">
        <v>14</v>
      </c>
      <c r="L120" s="171"/>
      <c r="M120" s="171"/>
      <c r="N120" s="318" t="str">
        <f ca="1">"제 " &amp; Z120 &amp; " 호표  "&amp; OFFSET($A$1,MATCH(Z120,$A:$A,0)-1,1)</f>
        <v>제 7 호표  3-2. 평가대상지역 설정 방법</v>
      </c>
      <c r="O120" s="221"/>
      <c r="P120" s="148"/>
      <c r="Q120" s="148"/>
      <c r="R120" s="149"/>
      <c r="S120" s="149"/>
      <c r="T120" s="149"/>
      <c r="U120" s="149"/>
      <c r="V120" s="149"/>
      <c r="W120" s="149"/>
      <c r="X120" s="149"/>
      <c r="Y120" s="149"/>
      <c r="Z120" s="325">
        <f>Z112+1</f>
        <v>7</v>
      </c>
    </row>
    <row r="121" spans="11:26" ht="18" customHeight="1">
      <c r="K121" s="171" t="s">
        <v>14</v>
      </c>
      <c r="L121" s="171"/>
      <c r="M121" s="171"/>
      <c r="N121" s="140" t="s">
        <v>43</v>
      </c>
      <c r="O121" s="172">
        <v>3</v>
      </c>
      <c r="P121" s="219">
        <f ca="1">OFFSET($A$1,MATCH(Z120,$A:$A,0)-1,O121)</f>
        <v>0</v>
      </c>
      <c r="Q121" s="141" t="s">
        <v>29</v>
      </c>
      <c r="R121" s="142">
        <f t="shared" ref="R121:S126" ca="1" si="28">T121</f>
        <v>467217</v>
      </c>
      <c r="S121" s="142">
        <f t="shared" ca="1" si="28"/>
        <v>0</v>
      </c>
      <c r="T121" s="142">
        <f ca="1">기술사</f>
        <v>467217</v>
      </c>
      <c r="U121" s="142">
        <f t="shared" ref="U121:U126" ca="1" si="29">ROUNDDOWN(P121*R121,0)</f>
        <v>0</v>
      </c>
      <c r="V121" s="142"/>
      <c r="W121" s="142"/>
      <c r="X121" s="142"/>
      <c r="Y121" s="142"/>
      <c r="Z121" s="114"/>
    </row>
    <row r="122" spans="11:26" ht="18" customHeight="1">
      <c r="K122" s="171" t="s">
        <v>14</v>
      </c>
      <c r="L122" s="171"/>
      <c r="M122" s="171"/>
      <c r="N122" s="143" t="s">
        <v>32</v>
      </c>
      <c r="O122" s="173">
        <v>4</v>
      </c>
      <c r="P122" s="234">
        <f ca="1">OFFSET($A$1,MATCH(Z120,$A:$A,0)-1,O122)</f>
        <v>0</v>
      </c>
      <c r="Q122" s="144" t="s">
        <v>29</v>
      </c>
      <c r="R122" s="118">
        <f t="shared" ca="1" si="28"/>
        <v>373353</v>
      </c>
      <c r="S122" s="118">
        <f t="shared" ca="1" si="28"/>
        <v>0</v>
      </c>
      <c r="T122" s="118">
        <f ca="1">특급</f>
        <v>373353</v>
      </c>
      <c r="U122" s="118">
        <f t="shared" ca="1" si="29"/>
        <v>0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39</v>
      </c>
      <c r="O123" s="173">
        <v>5</v>
      </c>
      <c r="P123" s="234">
        <f ca="1">OFFSET($A$1,MATCH(Z120,$A:$A,0)-1,O123)</f>
        <v>2.7E-2</v>
      </c>
      <c r="Q123" s="144" t="s">
        <v>29</v>
      </c>
      <c r="R123" s="118">
        <f t="shared" ca="1" si="28"/>
        <v>310884</v>
      </c>
      <c r="S123" s="118">
        <f t="shared" ca="1" si="28"/>
        <v>8393</v>
      </c>
      <c r="T123" s="118">
        <f ca="1">고급</f>
        <v>310884</v>
      </c>
      <c r="U123" s="118">
        <f t="shared" ca="1" si="29"/>
        <v>8393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145" t="s">
        <v>40</v>
      </c>
      <c r="O124" s="173">
        <v>6</v>
      </c>
      <c r="P124" s="234">
        <f ca="1">OFFSET($A$1,MATCH(Z120,$A:$A,0)-1,O124)</f>
        <v>2.7E-2</v>
      </c>
      <c r="Q124" s="144" t="s">
        <v>29</v>
      </c>
      <c r="R124" s="118">
        <f t="shared" ca="1" si="28"/>
        <v>295138</v>
      </c>
      <c r="S124" s="118">
        <f t="shared" ca="1" si="28"/>
        <v>7968</v>
      </c>
      <c r="T124" s="118">
        <f ca="1">중급</f>
        <v>295138</v>
      </c>
      <c r="U124" s="118">
        <f t="shared" ca="1" si="29"/>
        <v>7968</v>
      </c>
      <c r="V124" s="118"/>
      <c r="W124" s="118"/>
      <c r="X124" s="118"/>
      <c r="Y124" s="118"/>
      <c r="Z124" s="115"/>
    </row>
    <row r="125" spans="11:26" ht="18" customHeight="1">
      <c r="K125" s="171" t="s">
        <v>14</v>
      </c>
      <c r="L125" s="171"/>
      <c r="M125" s="171"/>
      <c r="N125" s="145" t="s">
        <v>41</v>
      </c>
      <c r="O125" s="173">
        <v>7</v>
      </c>
      <c r="P125" s="234">
        <f ca="1">OFFSET($A$1,MATCH(Z120,$A:$A,0)-1,O125)</f>
        <v>0.09</v>
      </c>
      <c r="Q125" s="144" t="s">
        <v>29</v>
      </c>
      <c r="R125" s="118">
        <f t="shared" ca="1" si="28"/>
        <v>235459</v>
      </c>
      <c r="S125" s="118">
        <f t="shared" ca="1" si="28"/>
        <v>21191</v>
      </c>
      <c r="T125" s="118">
        <f ca="1">초급</f>
        <v>235459</v>
      </c>
      <c r="U125" s="118">
        <f t="shared" ca="1" si="29"/>
        <v>21191</v>
      </c>
      <c r="V125" s="118"/>
      <c r="W125" s="118"/>
      <c r="X125" s="118"/>
      <c r="Y125" s="118"/>
      <c r="Z125" s="115"/>
    </row>
    <row r="126" spans="11:26" ht="18" customHeight="1">
      <c r="K126" s="171" t="s">
        <v>14</v>
      </c>
      <c r="L126" s="171"/>
      <c r="M126" s="171"/>
      <c r="N126" s="319" t="s">
        <v>42</v>
      </c>
      <c r="O126" s="174">
        <v>8</v>
      </c>
      <c r="P126" s="235">
        <f ca="1">OFFSET($A$1,MATCH(Z120,$A:$A,0)-1,O126)</f>
        <v>0.09</v>
      </c>
      <c r="Q126" s="322" t="s">
        <v>29</v>
      </c>
      <c r="R126" s="323">
        <f t="shared" ca="1" si="28"/>
        <v>250087</v>
      </c>
      <c r="S126" s="323">
        <f t="shared" ca="1" si="28"/>
        <v>22507</v>
      </c>
      <c r="T126" s="323">
        <f ca="1">보조원</f>
        <v>250087</v>
      </c>
      <c r="U126" s="323">
        <f t="shared" ca="1" si="29"/>
        <v>22507</v>
      </c>
      <c r="V126" s="323"/>
      <c r="W126" s="323"/>
      <c r="X126" s="323"/>
      <c r="Y126" s="323"/>
      <c r="Z126" s="324"/>
    </row>
    <row r="127" spans="11:26" ht="18" customHeight="1">
      <c r="K127" s="171" t="s">
        <v>14</v>
      </c>
      <c r="L127" s="171"/>
      <c r="M127" s="171"/>
      <c r="N127" s="139" t="s">
        <v>17</v>
      </c>
      <c r="O127" s="68"/>
      <c r="P127" s="69"/>
      <c r="Q127" s="70"/>
      <c r="R127" s="71"/>
      <c r="S127" s="71">
        <f ca="1">SUBTOTAL(9,S121:S126)</f>
        <v>60059</v>
      </c>
      <c r="T127" s="71"/>
      <c r="U127" s="71">
        <f ca="1">SUBTOTAL(9,U121:U126)</f>
        <v>60059</v>
      </c>
      <c r="V127" s="71"/>
      <c r="W127" s="71"/>
      <c r="X127" s="71"/>
      <c r="Y127" s="71"/>
      <c r="Z127" s="68"/>
    </row>
    <row r="128" spans="11:26" ht="18" customHeight="1">
      <c r="K128" s="171" t="s">
        <v>14</v>
      </c>
      <c r="L128" s="171"/>
      <c r="M128" s="171"/>
      <c r="N128" s="318" t="str">
        <f ca="1">"제 " &amp; Z128 &amp; " 호표  "&amp; OFFSET($A$1,MATCH(Z128,$A:$A,0)-1,1)</f>
        <v>제 8 호표  3-2. 사업유형별 평가대상지역 설정</v>
      </c>
      <c r="O128" s="221"/>
      <c r="P128" s="148"/>
      <c r="Q128" s="148"/>
      <c r="R128" s="149"/>
      <c r="S128" s="149"/>
      <c r="T128" s="149"/>
      <c r="U128" s="149"/>
      <c r="V128" s="149"/>
      <c r="W128" s="149"/>
      <c r="X128" s="149"/>
      <c r="Y128" s="149"/>
      <c r="Z128" s="325">
        <f>Z120+1</f>
        <v>8</v>
      </c>
    </row>
    <row r="129" spans="11:26" ht="18" customHeight="1">
      <c r="K129" s="171" t="s">
        <v>14</v>
      </c>
      <c r="L129" s="171"/>
      <c r="M129" s="171"/>
      <c r="N129" s="140" t="s">
        <v>43</v>
      </c>
      <c r="O129" s="172">
        <v>3</v>
      </c>
      <c r="P129" s="219">
        <f ca="1">OFFSET($A$1,MATCH(Z128,$A:$A,0)-1,O129)</f>
        <v>0.09</v>
      </c>
      <c r="Q129" s="141" t="s">
        <v>29</v>
      </c>
      <c r="R129" s="142">
        <f t="shared" ref="R129:S134" ca="1" si="30">T129</f>
        <v>467217</v>
      </c>
      <c r="S129" s="142">
        <f t="shared" ca="1" si="30"/>
        <v>42049</v>
      </c>
      <c r="T129" s="142">
        <f ca="1">기술사</f>
        <v>467217</v>
      </c>
      <c r="U129" s="142">
        <f t="shared" ref="U129:U134" ca="1" si="31">ROUNDDOWN(P129*R129,0)</f>
        <v>42049</v>
      </c>
      <c r="V129" s="142"/>
      <c r="W129" s="142"/>
      <c r="X129" s="142"/>
      <c r="Y129" s="142"/>
      <c r="Z129" s="114"/>
    </row>
    <row r="130" spans="11:26" ht="18" customHeight="1">
      <c r="K130" s="171" t="s">
        <v>14</v>
      </c>
      <c r="L130" s="171"/>
      <c r="M130" s="171"/>
      <c r="N130" s="143" t="s">
        <v>32</v>
      </c>
      <c r="O130" s="173">
        <v>4</v>
      </c>
      <c r="P130" s="234">
        <f ca="1">OFFSET($A$1,MATCH(Z128,$A:$A,0)-1,O130)</f>
        <v>0.315</v>
      </c>
      <c r="Q130" s="144" t="s">
        <v>29</v>
      </c>
      <c r="R130" s="118">
        <f t="shared" ca="1" si="30"/>
        <v>373353</v>
      </c>
      <c r="S130" s="118">
        <f t="shared" ca="1" si="30"/>
        <v>117606</v>
      </c>
      <c r="T130" s="118">
        <f ca="1">특급</f>
        <v>373353</v>
      </c>
      <c r="U130" s="118">
        <f t="shared" ca="1" si="31"/>
        <v>117606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145" t="s">
        <v>39</v>
      </c>
      <c r="O131" s="173">
        <v>5</v>
      </c>
      <c r="P131" s="234">
        <f ca="1">OFFSET($A$1,MATCH(Z128,$A:$A,0)-1,O131)</f>
        <v>0.40500000000000003</v>
      </c>
      <c r="Q131" s="144" t="s">
        <v>29</v>
      </c>
      <c r="R131" s="118">
        <f t="shared" ca="1" si="30"/>
        <v>310884</v>
      </c>
      <c r="S131" s="118">
        <f t="shared" ca="1" si="30"/>
        <v>125908</v>
      </c>
      <c r="T131" s="118">
        <f ca="1">고급</f>
        <v>310884</v>
      </c>
      <c r="U131" s="118">
        <f t="shared" ca="1" si="31"/>
        <v>125908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145" t="s">
        <v>40</v>
      </c>
      <c r="O132" s="173">
        <v>6</v>
      </c>
      <c r="P132" s="234">
        <f ca="1">OFFSET($A$1,MATCH(Z128,$A:$A,0)-1,O132)</f>
        <v>0.495</v>
      </c>
      <c r="Q132" s="144" t="s">
        <v>29</v>
      </c>
      <c r="R132" s="118">
        <f t="shared" ca="1" si="30"/>
        <v>295138</v>
      </c>
      <c r="S132" s="118">
        <f t="shared" ca="1" si="30"/>
        <v>146093</v>
      </c>
      <c r="T132" s="118">
        <f ca="1">중급</f>
        <v>295138</v>
      </c>
      <c r="U132" s="118">
        <f t="shared" ca="1" si="31"/>
        <v>146093</v>
      </c>
      <c r="V132" s="118"/>
      <c r="W132" s="118"/>
      <c r="X132" s="118"/>
      <c r="Y132" s="118"/>
      <c r="Z132" s="115"/>
    </row>
    <row r="133" spans="11:26" ht="18" customHeight="1">
      <c r="K133" s="171" t="s">
        <v>14</v>
      </c>
      <c r="L133" s="171"/>
      <c r="M133" s="171"/>
      <c r="N133" s="145" t="s">
        <v>41</v>
      </c>
      <c r="O133" s="173">
        <v>7</v>
      </c>
      <c r="P133" s="234">
        <f ca="1">OFFSET($A$1,MATCH(Z128,$A:$A,0)-1,O133)</f>
        <v>0.54</v>
      </c>
      <c r="Q133" s="144" t="s">
        <v>29</v>
      </c>
      <c r="R133" s="118">
        <f t="shared" ca="1" si="30"/>
        <v>235459</v>
      </c>
      <c r="S133" s="118">
        <f t="shared" ca="1" si="30"/>
        <v>127147</v>
      </c>
      <c r="T133" s="118">
        <f ca="1">초급</f>
        <v>235459</v>
      </c>
      <c r="U133" s="118">
        <f t="shared" ca="1" si="31"/>
        <v>127147</v>
      </c>
      <c r="V133" s="118"/>
      <c r="W133" s="118"/>
      <c r="X133" s="118"/>
      <c r="Y133" s="118"/>
      <c r="Z133" s="115"/>
    </row>
    <row r="134" spans="11:26" ht="18" customHeight="1">
      <c r="K134" s="171" t="s">
        <v>14</v>
      </c>
      <c r="L134" s="171"/>
      <c r="M134" s="171"/>
      <c r="N134" s="319" t="s">
        <v>42</v>
      </c>
      <c r="O134" s="174">
        <v>8</v>
      </c>
      <c r="P134" s="235">
        <f ca="1">OFFSET($A$1,MATCH(Z128,$A:$A,0)-1,O134)</f>
        <v>0.18</v>
      </c>
      <c r="Q134" s="322" t="s">
        <v>29</v>
      </c>
      <c r="R134" s="323">
        <f t="shared" ca="1" si="30"/>
        <v>250087</v>
      </c>
      <c r="S134" s="323">
        <f t="shared" ca="1" si="30"/>
        <v>45015</v>
      </c>
      <c r="T134" s="323">
        <f ca="1">보조원</f>
        <v>250087</v>
      </c>
      <c r="U134" s="323">
        <f t="shared" ca="1" si="31"/>
        <v>45015</v>
      </c>
      <c r="V134" s="323"/>
      <c r="W134" s="323"/>
      <c r="X134" s="323"/>
      <c r="Y134" s="323"/>
      <c r="Z134" s="324"/>
    </row>
    <row r="135" spans="11:26" ht="18" customHeight="1">
      <c r="K135" s="171" t="s">
        <v>14</v>
      </c>
      <c r="L135" s="171"/>
      <c r="M135" s="171"/>
      <c r="N135" s="139" t="s">
        <v>17</v>
      </c>
      <c r="O135" s="68"/>
      <c r="P135" s="69"/>
      <c r="Q135" s="70"/>
      <c r="R135" s="71"/>
      <c r="S135" s="71">
        <f ca="1">SUBTOTAL(9,S129:S134)</f>
        <v>603818</v>
      </c>
      <c r="T135" s="71"/>
      <c r="U135" s="71">
        <f ca="1">SUBTOTAL(9,U129:U134)</f>
        <v>603818</v>
      </c>
      <c r="V135" s="71"/>
      <c r="W135" s="71"/>
      <c r="X135" s="71"/>
      <c r="Y135" s="71"/>
      <c r="Z135" s="68"/>
    </row>
    <row r="136" spans="11:26" ht="18" customHeight="1">
      <c r="K136" s="171" t="s">
        <v>14</v>
      </c>
      <c r="L136" s="171"/>
      <c r="M136" s="171"/>
      <c r="N136" s="318" t="str">
        <f ca="1">"제 " &amp; Z136 &amp; " 호표  "&amp; OFFSET($A$1,MATCH(Z136,$A:$A,0)-1,1)</f>
        <v>제 9 호표  4-1. 기초현황 조사의 기본방향</v>
      </c>
      <c r="O136" s="221"/>
      <c r="P136" s="148"/>
      <c r="Q136" s="148"/>
      <c r="R136" s="149"/>
      <c r="S136" s="149"/>
      <c r="T136" s="149"/>
      <c r="U136" s="149"/>
      <c r="V136" s="149"/>
      <c r="W136" s="149"/>
      <c r="X136" s="149"/>
      <c r="Y136" s="149"/>
      <c r="Z136" s="325">
        <f>Z128+1</f>
        <v>9</v>
      </c>
    </row>
    <row r="137" spans="11:26" ht="18" customHeight="1">
      <c r="K137" s="171" t="s">
        <v>14</v>
      </c>
      <c r="L137" s="171"/>
      <c r="M137" s="171"/>
      <c r="N137" s="140" t="s">
        <v>43</v>
      </c>
      <c r="O137" s="172">
        <v>3</v>
      </c>
      <c r="P137" s="219">
        <f ca="1">OFFSET($A$1,MATCH(Z136,$A:$A,0)-1,O137)</f>
        <v>0.18</v>
      </c>
      <c r="Q137" s="141" t="s">
        <v>29</v>
      </c>
      <c r="R137" s="142">
        <f t="shared" ref="R137:S142" ca="1" si="32">T137</f>
        <v>467217</v>
      </c>
      <c r="S137" s="142">
        <f t="shared" ca="1" si="32"/>
        <v>84099</v>
      </c>
      <c r="T137" s="142">
        <f ca="1">기술사</f>
        <v>467217</v>
      </c>
      <c r="U137" s="142">
        <f t="shared" ref="U137:U142" ca="1" si="33">ROUNDDOWN(P137*R137,0)</f>
        <v>84099</v>
      </c>
      <c r="V137" s="142"/>
      <c r="W137" s="142"/>
      <c r="X137" s="142"/>
      <c r="Y137" s="142"/>
      <c r="Z137" s="114"/>
    </row>
    <row r="138" spans="11:26" ht="18" customHeight="1">
      <c r="K138" s="171" t="s">
        <v>14</v>
      </c>
      <c r="L138" s="171"/>
      <c r="M138" s="171"/>
      <c r="N138" s="143" t="s">
        <v>32</v>
      </c>
      <c r="O138" s="173">
        <v>4</v>
      </c>
      <c r="P138" s="234">
        <f ca="1">OFFSET($A$1,MATCH(Z136,$A:$A,0)-1,O138)</f>
        <v>0.495</v>
      </c>
      <c r="Q138" s="144" t="s">
        <v>29</v>
      </c>
      <c r="R138" s="118">
        <f t="shared" ca="1" si="32"/>
        <v>373353</v>
      </c>
      <c r="S138" s="118">
        <f t="shared" ca="1" si="32"/>
        <v>184809</v>
      </c>
      <c r="T138" s="118">
        <f ca="1">특급</f>
        <v>373353</v>
      </c>
      <c r="U138" s="118">
        <f t="shared" ca="1" si="33"/>
        <v>184809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39</v>
      </c>
      <c r="O139" s="173">
        <v>5</v>
      </c>
      <c r="P139" s="234">
        <f ca="1">OFFSET($A$1,MATCH(Z136,$A:$A,0)-1,O139)</f>
        <v>0.54</v>
      </c>
      <c r="Q139" s="144" t="s">
        <v>29</v>
      </c>
      <c r="R139" s="118">
        <f t="shared" ca="1" si="32"/>
        <v>310884</v>
      </c>
      <c r="S139" s="118">
        <f t="shared" ca="1" si="32"/>
        <v>167877</v>
      </c>
      <c r="T139" s="118">
        <f ca="1">고급</f>
        <v>310884</v>
      </c>
      <c r="U139" s="118">
        <f t="shared" ca="1" si="33"/>
        <v>167877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145" t="s">
        <v>40</v>
      </c>
      <c r="O140" s="173">
        <v>6</v>
      </c>
      <c r="P140" s="234">
        <f ca="1">OFFSET($A$1,MATCH(Z136,$A:$A,0)-1,O140)</f>
        <v>0.72</v>
      </c>
      <c r="Q140" s="144" t="s">
        <v>29</v>
      </c>
      <c r="R140" s="118">
        <f t="shared" ca="1" si="32"/>
        <v>295138</v>
      </c>
      <c r="S140" s="118">
        <f t="shared" ca="1" si="32"/>
        <v>212499</v>
      </c>
      <c r="T140" s="118">
        <f ca="1">중급</f>
        <v>295138</v>
      </c>
      <c r="U140" s="118">
        <f t="shared" ca="1" si="33"/>
        <v>212499</v>
      </c>
      <c r="V140" s="118"/>
      <c r="W140" s="118"/>
      <c r="X140" s="118"/>
      <c r="Y140" s="118"/>
      <c r="Z140" s="115"/>
    </row>
    <row r="141" spans="11:26" ht="18" customHeight="1">
      <c r="K141" s="171" t="s">
        <v>14</v>
      </c>
      <c r="L141" s="171"/>
      <c r="M141" s="171"/>
      <c r="N141" s="145" t="s">
        <v>41</v>
      </c>
      <c r="O141" s="173">
        <v>7</v>
      </c>
      <c r="P141" s="234">
        <f ca="1">OFFSET($A$1,MATCH(Z136,$A:$A,0)-1,O141)</f>
        <v>0.81</v>
      </c>
      <c r="Q141" s="144" t="s">
        <v>29</v>
      </c>
      <c r="R141" s="118">
        <f t="shared" ca="1" si="32"/>
        <v>235459</v>
      </c>
      <c r="S141" s="118">
        <f t="shared" ca="1" si="32"/>
        <v>190721</v>
      </c>
      <c r="T141" s="118">
        <f ca="1">초급</f>
        <v>235459</v>
      </c>
      <c r="U141" s="118">
        <f t="shared" ca="1" si="33"/>
        <v>190721</v>
      </c>
      <c r="V141" s="118"/>
      <c r="W141" s="118"/>
      <c r="X141" s="118"/>
      <c r="Y141" s="118"/>
      <c r="Z141" s="115"/>
    </row>
    <row r="142" spans="11:26" ht="18" customHeight="1">
      <c r="K142" s="171" t="s">
        <v>14</v>
      </c>
      <c r="L142" s="171"/>
      <c r="M142" s="171"/>
      <c r="N142" s="319" t="s">
        <v>42</v>
      </c>
      <c r="O142" s="174">
        <v>8</v>
      </c>
      <c r="P142" s="235">
        <f ca="1">OFFSET($A$1,MATCH(Z136,$A:$A,0)-1,O142)</f>
        <v>0.36</v>
      </c>
      <c r="Q142" s="322" t="s">
        <v>29</v>
      </c>
      <c r="R142" s="323">
        <f t="shared" ca="1" si="32"/>
        <v>250087</v>
      </c>
      <c r="S142" s="323">
        <f t="shared" ca="1" si="32"/>
        <v>90031</v>
      </c>
      <c r="T142" s="323">
        <f ca="1">보조원</f>
        <v>250087</v>
      </c>
      <c r="U142" s="323">
        <f t="shared" ca="1" si="33"/>
        <v>90031</v>
      </c>
      <c r="V142" s="323"/>
      <c r="W142" s="323"/>
      <c r="X142" s="323"/>
      <c r="Y142" s="323"/>
      <c r="Z142" s="324"/>
    </row>
    <row r="143" spans="11:26" ht="18" customHeight="1">
      <c r="K143" s="171" t="s">
        <v>14</v>
      </c>
      <c r="L143" s="171"/>
      <c r="M143" s="171"/>
      <c r="N143" s="139" t="s">
        <v>17</v>
      </c>
      <c r="O143" s="68"/>
      <c r="P143" s="69"/>
      <c r="Q143" s="70"/>
      <c r="R143" s="71"/>
      <c r="S143" s="71">
        <f ca="1">SUBTOTAL(9,S137:S142)</f>
        <v>930036</v>
      </c>
      <c r="T143" s="71"/>
      <c r="U143" s="71">
        <f ca="1">SUBTOTAL(9,U137:U142)</f>
        <v>930036</v>
      </c>
      <c r="V143" s="71"/>
      <c r="W143" s="71"/>
      <c r="X143" s="71"/>
      <c r="Y143" s="71"/>
      <c r="Z143" s="68"/>
    </row>
    <row r="144" spans="11:26" ht="18" customHeight="1">
      <c r="K144" s="171" t="s">
        <v>14</v>
      </c>
      <c r="L144" s="171"/>
      <c r="M144" s="171"/>
      <c r="N144" s="318" t="str">
        <f ca="1">"제 " &amp; Z144 &amp; " 호표  "&amp; OFFSET($A$1,MATCH(Z144,$A:$A,0)-1,1)</f>
        <v>제 10 호표  4-2. 유역 및 배수계통 조사</v>
      </c>
      <c r="O144" s="221"/>
      <c r="P144" s="148"/>
      <c r="Q144" s="148"/>
      <c r="R144" s="149"/>
      <c r="S144" s="149"/>
      <c r="T144" s="149"/>
      <c r="U144" s="149"/>
      <c r="V144" s="149"/>
      <c r="W144" s="149"/>
      <c r="X144" s="149"/>
      <c r="Y144" s="149"/>
      <c r="Z144" s="325">
        <f>Z136+1</f>
        <v>10</v>
      </c>
    </row>
    <row r="145" spans="11:29" ht="18" customHeight="1">
      <c r="K145" s="171" t="s">
        <v>14</v>
      </c>
      <c r="L145" s="171"/>
      <c r="M145" s="171"/>
      <c r="N145" s="140" t="s">
        <v>43</v>
      </c>
      <c r="O145" s="172">
        <v>3</v>
      </c>
      <c r="P145" s="219">
        <f ca="1">OFFSET($A$1,MATCH(Z144,$A:$A,0)-1,O145)</f>
        <v>0.315</v>
      </c>
      <c r="Q145" s="141" t="s">
        <v>29</v>
      </c>
      <c r="R145" s="142">
        <f t="shared" ref="R145:S150" ca="1" si="34">T145</f>
        <v>467217</v>
      </c>
      <c r="S145" s="142">
        <f t="shared" ca="1" si="34"/>
        <v>147173</v>
      </c>
      <c r="T145" s="142">
        <f ca="1">기술사</f>
        <v>467217</v>
      </c>
      <c r="U145" s="142">
        <f t="shared" ref="U145:U150" ca="1" si="35">ROUNDDOWN(P145*R145,0)</f>
        <v>147173</v>
      </c>
      <c r="V145" s="142"/>
      <c r="W145" s="142"/>
      <c r="X145" s="142"/>
      <c r="Y145" s="142"/>
      <c r="Z145" s="114"/>
    </row>
    <row r="146" spans="11:29" ht="18" customHeight="1">
      <c r="K146" s="171" t="s">
        <v>14</v>
      </c>
      <c r="L146" s="171"/>
      <c r="M146" s="171"/>
      <c r="N146" s="143" t="s">
        <v>32</v>
      </c>
      <c r="O146" s="173">
        <v>4</v>
      </c>
      <c r="P146" s="234">
        <f ca="1">OFFSET($A$1,MATCH(Z144,$A:$A,0)-1,O146)</f>
        <v>0.36</v>
      </c>
      <c r="Q146" s="144" t="s">
        <v>29</v>
      </c>
      <c r="R146" s="118">
        <f t="shared" ca="1" si="34"/>
        <v>373353</v>
      </c>
      <c r="S146" s="118">
        <f t="shared" ca="1" si="34"/>
        <v>134407</v>
      </c>
      <c r="T146" s="118">
        <f ca="1">특급</f>
        <v>373353</v>
      </c>
      <c r="U146" s="118">
        <f t="shared" ca="1" si="35"/>
        <v>134407</v>
      </c>
      <c r="V146" s="118"/>
      <c r="W146" s="118"/>
      <c r="X146" s="118"/>
      <c r="Y146" s="118"/>
      <c r="Z146" s="115"/>
    </row>
    <row r="147" spans="11:29" ht="18" customHeight="1">
      <c r="K147" s="171" t="s">
        <v>14</v>
      </c>
      <c r="L147" s="171"/>
      <c r="M147" s="171"/>
      <c r="N147" s="145" t="s">
        <v>39</v>
      </c>
      <c r="O147" s="173">
        <v>5</v>
      </c>
      <c r="P147" s="234">
        <f ca="1">OFFSET($A$1,MATCH(Z144,$A:$A,0)-1,O147)</f>
        <v>0.63</v>
      </c>
      <c r="Q147" s="144" t="s">
        <v>29</v>
      </c>
      <c r="R147" s="118">
        <f t="shared" ca="1" si="34"/>
        <v>310884</v>
      </c>
      <c r="S147" s="118">
        <f t="shared" ca="1" si="34"/>
        <v>195856</v>
      </c>
      <c r="T147" s="118">
        <f ca="1">고급</f>
        <v>310884</v>
      </c>
      <c r="U147" s="118">
        <f t="shared" ca="1" si="35"/>
        <v>195856</v>
      </c>
      <c r="V147" s="118"/>
      <c r="W147" s="118"/>
      <c r="X147" s="118"/>
      <c r="Y147" s="118"/>
      <c r="Z147" s="115"/>
    </row>
    <row r="148" spans="11:29" ht="18" customHeight="1">
      <c r="K148" s="171" t="s">
        <v>14</v>
      </c>
      <c r="L148" s="171"/>
      <c r="M148" s="171"/>
      <c r="N148" s="145" t="s">
        <v>40</v>
      </c>
      <c r="O148" s="173">
        <v>6</v>
      </c>
      <c r="P148" s="234">
        <f ca="1">OFFSET($A$1,MATCH(Z144,$A:$A,0)-1,O148)</f>
        <v>0.81</v>
      </c>
      <c r="Q148" s="144" t="s">
        <v>29</v>
      </c>
      <c r="R148" s="118">
        <f t="shared" ca="1" si="34"/>
        <v>295138</v>
      </c>
      <c r="S148" s="118">
        <f t="shared" ca="1" si="34"/>
        <v>239061</v>
      </c>
      <c r="T148" s="118">
        <f ca="1">중급</f>
        <v>295138</v>
      </c>
      <c r="U148" s="118">
        <f t="shared" ca="1" si="35"/>
        <v>239061</v>
      </c>
      <c r="V148" s="118"/>
      <c r="W148" s="118"/>
      <c r="X148" s="118"/>
      <c r="Y148" s="118"/>
      <c r="Z148" s="115"/>
      <c r="AA148" s="171"/>
    </row>
    <row r="149" spans="11:29" ht="18" customHeight="1">
      <c r="K149" s="171" t="s">
        <v>14</v>
      </c>
      <c r="L149" s="171"/>
      <c r="M149" s="171"/>
      <c r="N149" s="145" t="s">
        <v>41</v>
      </c>
      <c r="O149" s="173">
        <v>7</v>
      </c>
      <c r="P149" s="234">
        <f ca="1">OFFSET($A$1,MATCH(Z144,$A:$A,0)-1,O149)</f>
        <v>1.2150000000000001</v>
      </c>
      <c r="Q149" s="144" t="s">
        <v>29</v>
      </c>
      <c r="R149" s="118">
        <f t="shared" ca="1" si="34"/>
        <v>235459</v>
      </c>
      <c r="S149" s="118">
        <f t="shared" ca="1" si="34"/>
        <v>286082</v>
      </c>
      <c r="T149" s="118">
        <f ca="1">초급</f>
        <v>235459</v>
      </c>
      <c r="U149" s="118">
        <f t="shared" ca="1" si="35"/>
        <v>286082</v>
      </c>
      <c r="V149" s="118"/>
      <c r="W149" s="118"/>
      <c r="X149" s="118"/>
      <c r="Y149" s="118"/>
      <c r="Z149" s="115"/>
      <c r="AA149" s="171"/>
    </row>
    <row r="150" spans="11:29" ht="18" customHeight="1">
      <c r="K150" s="171" t="s">
        <v>14</v>
      </c>
      <c r="L150" s="171"/>
      <c r="M150" s="171"/>
      <c r="N150" s="319" t="s">
        <v>42</v>
      </c>
      <c r="O150" s="174">
        <v>8</v>
      </c>
      <c r="P150" s="235">
        <f ca="1">OFFSET($A$1,MATCH(Z144,$A:$A,0)-1,O150)</f>
        <v>1.2150000000000001</v>
      </c>
      <c r="Q150" s="322" t="s">
        <v>29</v>
      </c>
      <c r="R150" s="323">
        <f t="shared" ca="1" si="34"/>
        <v>250087</v>
      </c>
      <c r="S150" s="323">
        <f t="shared" ca="1" si="34"/>
        <v>303855</v>
      </c>
      <c r="T150" s="323">
        <f ca="1">보조원</f>
        <v>250087</v>
      </c>
      <c r="U150" s="323">
        <f t="shared" ca="1" si="35"/>
        <v>303855</v>
      </c>
      <c r="V150" s="323"/>
      <c r="W150" s="323"/>
      <c r="X150" s="323"/>
      <c r="Y150" s="323"/>
      <c r="Z150" s="324"/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39" t="s">
        <v>17</v>
      </c>
      <c r="O151" s="68"/>
      <c r="P151" s="69"/>
      <c r="Q151" s="70"/>
      <c r="R151" s="71"/>
      <c r="S151" s="71">
        <f ca="1">SUBTOTAL(9,S145:S150)</f>
        <v>1306434</v>
      </c>
      <c r="T151" s="71"/>
      <c r="U151" s="71">
        <f ca="1">SUBTOTAL(9,U145:U150)</f>
        <v>1306434</v>
      </c>
      <c r="V151" s="71"/>
      <c r="W151" s="71"/>
      <c r="X151" s="71"/>
      <c r="Y151" s="71"/>
      <c r="Z151" s="68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318" t="str">
        <f ca="1">"제 " &amp; Z152 &amp; " 호표  "&amp; OFFSET($A$1,MATCH(Z152,$A:$A,0)-1,1)</f>
        <v>제 11 호표  4-3. 수문특성 조사</v>
      </c>
      <c r="O152" s="221"/>
      <c r="P152" s="148"/>
      <c r="Q152" s="148"/>
      <c r="R152" s="149"/>
      <c r="S152" s="149"/>
      <c r="T152" s="149"/>
      <c r="U152" s="149"/>
      <c r="V152" s="149"/>
      <c r="W152" s="149"/>
      <c r="X152" s="149"/>
      <c r="Y152" s="149"/>
      <c r="Z152" s="325">
        <f>Z144+1</f>
        <v>11</v>
      </c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0" t="s">
        <v>43</v>
      </c>
      <c r="O153" s="172">
        <v>3</v>
      </c>
      <c r="P153" s="219">
        <f ca="1">OFFSET($A$1,MATCH(Z152,$A:$A,0)-1,O153)</f>
        <v>0.36</v>
      </c>
      <c r="Q153" s="141" t="s">
        <v>29</v>
      </c>
      <c r="R153" s="142">
        <f t="shared" ref="R153:S158" ca="1" si="36">T153</f>
        <v>467217</v>
      </c>
      <c r="S153" s="142">
        <f t="shared" ca="1" si="36"/>
        <v>168198</v>
      </c>
      <c r="T153" s="142">
        <f ca="1">기술사</f>
        <v>467217</v>
      </c>
      <c r="U153" s="142">
        <f t="shared" ref="U153:U158" ca="1" si="37">ROUNDDOWN(P153*R153,0)</f>
        <v>168198</v>
      </c>
      <c r="V153" s="142"/>
      <c r="W153" s="142"/>
      <c r="X153" s="142"/>
      <c r="Y153" s="142"/>
      <c r="Z153" s="114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3" t="s">
        <v>32</v>
      </c>
      <c r="O154" s="173">
        <v>4</v>
      </c>
      <c r="P154" s="234">
        <f ca="1">OFFSET($A$1,MATCH(Z152,$A:$A,0)-1,O154)</f>
        <v>0.45</v>
      </c>
      <c r="Q154" s="144" t="s">
        <v>29</v>
      </c>
      <c r="R154" s="118">
        <f t="shared" ca="1" si="36"/>
        <v>373353</v>
      </c>
      <c r="S154" s="118">
        <f t="shared" ca="1" si="36"/>
        <v>168008</v>
      </c>
      <c r="T154" s="118">
        <f ca="1">특급</f>
        <v>373353</v>
      </c>
      <c r="U154" s="118">
        <f t="shared" ca="1" si="37"/>
        <v>168008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39</v>
      </c>
      <c r="O155" s="173">
        <v>5</v>
      </c>
      <c r="P155" s="234">
        <f ca="1">OFFSET($A$1,MATCH(Z152,$A:$A,0)-1,O155)</f>
        <v>0.9</v>
      </c>
      <c r="Q155" s="144" t="s">
        <v>29</v>
      </c>
      <c r="R155" s="118">
        <f t="shared" ca="1" si="36"/>
        <v>310884</v>
      </c>
      <c r="S155" s="118">
        <f t="shared" ca="1" si="36"/>
        <v>279795</v>
      </c>
      <c r="T155" s="118">
        <f ca="1">고급</f>
        <v>310884</v>
      </c>
      <c r="U155" s="118">
        <f t="shared" ca="1" si="37"/>
        <v>279795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145" t="s">
        <v>40</v>
      </c>
      <c r="O156" s="173">
        <v>6</v>
      </c>
      <c r="P156" s="234">
        <f ca="1">OFFSET($A$1,MATCH(Z152,$A:$A,0)-1,O156)</f>
        <v>0.9</v>
      </c>
      <c r="Q156" s="144" t="s">
        <v>29</v>
      </c>
      <c r="R156" s="118">
        <f t="shared" ca="1" si="36"/>
        <v>295138</v>
      </c>
      <c r="S156" s="118">
        <f t="shared" ca="1" si="36"/>
        <v>265624</v>
      </c>
      <c r="T156" s="118">
        <f ca="1">중급</f>
        <v>295138</v>
      </c>
      <c r="U156" s="118">
        <f t="shared" ca="1" si="37"/>
        <v>265624</v>
      </c>
      <c r="V156" s="118"/>
      <c r="W156" s="118"/>
      <c r="X156" s="118"/>
      <c r="Y156" s="118"/>
      <c r="Z156" s="115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45" t="s">
        <v>41</v>
      </c>
      <c r="O157" s="173">
        <v>7</v>
      </c>
      <c r="P157" s="234">
        <f ca="1">OFFSET($A$1,MATCH(Z152,$A:$A,0)-1,O157)</f>
        <v>1.08</v>
      </c>
      <c r="Q157" s="144" t="s">
        <v>29</v>
      </c>
      <c r="R157" s="118">
        <f t="shared" ca="1" si="36"/>
        <v>235459</v>
      </c>
      <c r="S157" s="118">
        <f t="shared" ca="1" si="36"/>
        <v>254295</v>
      </c>
      <c r="T157" s="118">
        <f ca="1">초급</f>
        <v>235459</v>
      </c>
      <c r="U157" s="118">
        <f t="shared" ca="1" si="37"/>
        <v>254295</v>
      </c>
      <c r="V157" s="118"/>
      <c r="W157" s="118"/>
      <c r="X157" s="118"/>
      <c r="Y157" s="118"/>
      <c r="Z157" s="115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319" t="s">
        <v>42</v>
      </c>
      <c r="O158" s="174">
        <v>8</v>
      </c>
      <c r="P158" s="235">
        <f ca="1">OFFSET($A$1,MATCH(Z152,$A:$A,0)-1,O158)</f>
        <v>0.99</v>
      </c>
      <c r="Q158" s="322" t="s">
        <v>29</v>
      </c>
      <c r="R158" s="323">
        <f t="shared" ca="1" si="36"/>
        <v>250087</v>
      </c>
      <c r="S158" s="323">
        <f t="shared" ca="1" si="36"/>
        <v>247586</v>
      </c>
      <c r="T158" s="323">
        <f ca="1">보조원</f>
        <v>250087</v>
      </c>
      <c r="U158" s="323">
        <f t="shared" ca="1" si="37"/>
        <v>247586</v>
      </c>
      <c r="V158" s="323"/>
      <c r="W158" s="323"/>
      <c r="X158" s="323"/>
      <c r="Y158" s="323"/>
      <c r="Z158" s="324"/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39" t="s">
        <v>17</v>
      </c>
      <c r="O159" s="68"/>
      <c r="P159" s="69"/>
      <c r="Q159" s="70"/>
      <c r="R159" s="71"/>
      <c r="S159" s="71">
        <f ca="1">SUBTOTAL(9,S153:S158)</f>
        <v>1383506</v>
      </c>
      <c r="T159" s="71"/>
      <c r="U159" s="71">
        <f ca="1">SUBTOTAL(9,U153:U158)</f>
        <v>1383506</v>
      </c>
      <c r="V159" s="71"/>
      <c r="W159" s="71"/>
      <c r="X159" s="71"/>
      <c r="Y159" s="71"/>
      <c r="Z159" s="68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318" t="str">
        <f ca="1">"제 " &amp; Z160 &amp; " 호표  "&amp; OFFSET($A$1,MATCH(Z160,$A:$A,0)-1,1)</f>
        <v>제 12 호표  4-4. 토질,지질 현황 조사</v>
      </c>
      <c r="O160" s="221"/>
      <c r="P160" s="148"/>
      <c r="Q160" s="148"/>
      <c r="R160" s="149"/>
      <c r="S160" s="149"/>
      <c r="T160" s="149"/>
      <c r="U160" s="149"/>
      <c r="V160" s="149"/>
      <c r="W160" s="149"/>
      <c r="X160" s="149"/>
      <c r="Y160" s="149"/>
      <c r="Z160" s="325">
        <f>Z152+1</f>
        <v>12</v>
      </c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0" t="s">
        <v>43</v>
      </c>
      <c r="O161" s="172">
        <v>3</v>
      </c>
      <c r="P161" s="219">
        <f ca="1">OFFSET($A$1,MATCH(Z160,$A:$A,0)-1,O161)</f>
        <v>3.8540000000000001</v>
      </c>
      <c r="Q161" s="141" t="s">
        <v>29</v>
      </c>
      <c r="R161" s="142">
        <f t="shared" ref="R161:S166" ca="1" si="38">T161</f>
        <v>467217</v>
      </c>
      <c r="S161" s="142">
        <f t="shared" ca="1" si="38"/>
        <v>1800654</v>
      </c>
      <c r="T161" s="142">
        <f ca="1">기술사</f>
        <v>467217</v>
      </c>
      <c r="U161" s="142">
        <f t="shared" ref="U161:U166" ca="1" si="39">ROUNDDOWN(P161*R161,0)</f>
        <v>1800654</v>
      </c>
      <c r="V161" s="142"/>
      <c r="W161" s="142"/>
      <c r="X161" s="142"/>
      <c r="Y161" s="142"/>
      <c r="Z161" s="114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3" t="s">
        <v>32</v>
      </c>
      <c r="O162" s="173">
        <v>4</v>
      </c>
      <c r="P162" s="234">
        <f ca="1">OFFSET($A$1,MATCH(Z160,$A:$A,0)-1,O162)</f>
        <v>0</v>
      </c>
      <c r="Q162" s="144" t="s">
        <v>29</v>
      </c>
      <c r="R162" s="118">
        <f t="shared" ca="1" si="38"/>
        <v>373353</v>
      </c>
      <c r="S162" s="118">
        <f t="shared" ca="1" si="38"/>
        <v>0</v>
      </c>
      <c r="T162" s="118">
        <f ca="1">특급</f>
        <v>373353</v>
      </c>
      <c r="U162" s="118">
        <f t="shared" ca="1" si="39"/>
        <v>0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39</v>
      </c>
      <c r="O163" s="173">
        <v>5</v>
      </c>
      <c r="P163" s="234">
        <f ca="1">OFFSET($A$1,MATCH(Z160,$A:$A,0)-1,O163)</f>
        <v>3.8540000000000001</v>
      </c>
      <c r="Q163" s="144" t="s">
        <v>29</v>
      </c>
      <c r="R163" s="118">
        <f t="shared" ca="1" si="38"/>
        <v>310884</v>
      </c>
      <c r="S163" s="118">
        <f t="shared" ca="1" si="38"/>
        <v>1198146</v>
      </c>
      <c r="T163" s="118">
        <f ca="1">고급</f>
        <v>310884</v>
      </c>
      <c r="U163" s="118">
        <f t="shared" ca="1" si="39"/>
        <v>1198146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145" t="s">
        <v>40</v>
      </c>
      <c r="O164" s="173">
        <v>6</v>
      </c>
      <c r="P164" s="234">
        <f ca="1">OFFSET($A$1,MATCH(Z160,$A:$A,0)-1,O164)</f>
        <v>11.561999999999999</v>
      </c>
      <c r="Q164" s="144" t="s">
        <v>29</v>
      </c>
      <c r="R164" s="118">
        <f t="shared" ca="1" si="38"/>
        <v>295138</v>
      </c>
      <c r="S164" s="118">
        <f t="shared" ca="1" si="38"/>
        <v>3412385</v>
      </c>
      <c r="T164" s="118">
        <f ca="1">중급</f>
        <v>295138</v>
      </c>
      <c r="U164" s="118">
        <f t="shared" ca="1" si="39"/>
        <v>3412385</v>
      </c>
      <c r="V164" s="118"/>
      <c r="W164" s="118"/>
      <c r="X164" s="118"/>
      <c r="Y164" s="118"/>
      <c r="Z164" s="115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145" t="s">
        <v>41</v>
      </c>
      <c r="O165" s="173">
        <v>7</v>
      </c>
      <c r="P165" s="234">
        <f ca="1">OFFSET($A$1,MATCH(Z160,$A:$A,0)-1,O165)</f>
        <v>0</v>
      </c>
      <c r="Q165" s="144" t="s">
        <v>29</v>
      </c>
      <c r="R165" s="118">
        <f t="shared" ca="1" si="38"/>
        <v>235459</v>
      </c>
      <c r="S165" s="118">
        <f t="shared" ca="1" si="38"/>
        <v>0</v>
      </c>
      <c r="T165" s="118">
        <f ca="1">초급</f>
        <v>235459</v>
      </c>
      <c r="U165" s="118">
        <f t="shared" ca="1" si="39"/>
        <v>0</v>
      </c>
      <c r="V165" s="118"/>
      <c r="W165" s="118"/>
      <c r="X165" s="118"/>
      <c r="Y165" s="118"/>
      <c r="Z165" s="115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319" t="s">
        <v>42</v>
      </c>
      <c r="O166" s="174">
        <v>8</v>
      </c>
      <c r="P166" s="235">
        <f ca="1">OFFSET($A$1,MATCH(Z160,$A:$A,0)-1,O166)</f>
        <v>0</v>
      </c>
      <c r="Q166" s="322" t="s">
        <v>29</v>
      </c>
      <c r="R166" s="323">
        <f t="shared" ca="1" si="38"/>
        <v>250087</v>
      </c>
      <c r="S166" s="323">
        <f t="shared" ca="1" si="38"/>
        <v>0</v>
      </c>
      <c r="T166" s="323">
        <f ca="1">보조원</f>
        <v>250087</v>
      </c>
      <c r="U166" s="323">
        <f t="shared" ca="1" si="39"/>
        <v>0</v>
      </c>
      <c r="V166" s="323"/>
      <c r="W166" s="323"/>
      <c r="X166" s="323"/>
      <c r="Y166" s="323"/>
      <c r="Z166" s="324"/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139" t="s">
        <v>17</v>
      </c>
      <c r="O167" s="68"/>
      <c r="P167" s="69"/>
      <c r="Q167" s="70"/>
      <c r="R167" s="71"/>
      <c r="S167" s="71">
        <f ca="1">SUBTOTAL(9,S161:S166)</f>
        <v>6411185</v>
      </c>
      <c r="T167" s="71"/>
      <c r="U167" s="71">
        <f ca="1">SUBTOTAL(9,U161:U166)</f>
        <v>6411185</v>
      </c>
      <c r="V167" s="71"/>
      <c r="W167" s="71"/>
      <c r="X167" s="71"/>
      <c r="Y167" s="71"/>
      <c r="Z167" s="68"/>
      <c r="AA167" s="171"/>
      <c r="AB167" s="171"/>
      <c r="AC167" s="171"/>
    </row>
    <row r="168" spans="11:29" ht="18" customHeight="1">
      <c r="K168" s="171" t="s">
        <v>14</v>
      </c>
      <c r="L168" s="171"/>
      <c r="M168" s="171"/>
      <c r="N168" s="318" t="str">
        <f ca="1">"제 " &amp; Z168 &amp; " 호표  "&amp; OFFSET($A$1,MATCH(Z168,$A:$A,0)-1,1)</f>
        <v>제 13 호표  4-5. 사면현황조사</v>
      </c>
      <c r="O168" s="221"/>
      <c r="P168" s="148"/>
      <c r="Q168" s="148"/>
      <c r="R168" s="149"/>
      <c r="S168" s="149"/>
      <c r="T168" s="149"/>
      <c r="U168" s="149"/>
      <c r="V168" s="149"/>
      <c r="W168" s="149"/>
      <c r="X168" s="149"/>
      <c r="Y168" s="149"/>
      <c r="Z168" s="325">
        <f>Z160+1</f>
        <v>13</v>
      </c>
      <c r="AA168" s="171"/>
      <c r="AB168" s="171"/>
      <c r="AC168" s="171"/>
    </row>
    <row r="169" spans="11:29" ht="18" customHeight="1">
      <c r="K169" s="171" t="s">
        <v>14</v>
      </c>
      <c r="L169" s="171"/>
      <c r="M169" s="171"/>
      <c r="N169" s="140" t="s">
        <v>43</v>
      </c>
      <c r="O169" s="172">
        <v>3</v>
      </c>
      <c r="P169" s="219">
        <f ca="1">OFFSET($A$1,MATCH(Z168,$A:$A,0)-1,O169)</f>
        <v>3.8540000000000001</v>
      </c>
      <c r="Q169" s="141" t="s">
        <v>29</v>
      </c>
      <c r="R169" s="142">
        <f t="shared" ref="R169:S174" ca="1" si="40">T169</f>
        <v>467217</v>
      </c>
      <c r="S169" s="142">
        <f t="shared" ca="1" si="40"/>
        <v>1800654</v>
      </c>
      <c r="T169" s="142">
        <f ca="1">기술사</f>
        <v>467217</v>
      </c>
      <c r="U169" s="142">
        <f t="shared" ref="U169:U174" ca="1" si="41">ROUNDDOWN(P169*R169,0)</f>
        <v>1800654</v>
      </c>
      <c r="V169" s="142"/>
      <c r="W169" s="142"/>
      <c r="X169" s="142"/>
      <c r="Y169" s="142"/>
      <c r="Z169" s="114"/>
      <c r="AA169" s="171"/>
      <c r="AB169" s="171"/>
      <c r="AC169" s="171"/>
    </row>
    <row r="170" spans="11:29" ht="18" customHeight="1">
      <c r="K170" s="171" t="s">
        <v>14</v>
      </c>
      <c r="L170" s="171"/>
      <c r="M170" s="171"/>
      <c r="N170" s="143" t="s">
        <v>32</v>
      </c>
      <c r="O170" s="173">
        <v>4</v>
      </c>
      <c r="P170" s="234">
        <f ca="1">OFFSET($A$1,MATCH(Z168,$A:$A,0)-1,O170)</f>
        <v>0</v>
      </c>
      <c r="Q170" s="144" t="s">
        <v>29</v>
      </c>
      <c r="R170" s="118">
        <f t="shared" ca="1" si="40"/>
        <v>373353</v>
      </c>
      <c r="S170" s="118">
        <f t="shared" ca="1" si="40"/>
        <v>0</v>
      </c>
      <c r="T170" s="118">
        <f ca="1">특급</f>
        <v>373353</v>
      </c>
      <c r="U170" s="118">
        <f t="shared" ca="1" si="41"/>
        <v>0</v>
      </c>
      <c r="V170" s="118"/>
      <c r="W170" s="118"/>
      <c r="X170" s="118"/>
      <c r="Y170" s="118"/>
      <c r="Z170" s="115"/>
      <c r="AA170" s="171"/>
      <c r="AB170" s="171"/>
      <c r="AC170" s="171"/>
    </row>
    <row r="171" spans="11:29" ht="18" customHeight="1">
      <c r="K171" s="171" t="s">
        <v>14</v>
      </c>
      <c r="L171" s="171"/>
      <c r="M171" s="171"/>
      <c r="N171" s="145" t="s">
        <v>39</v>
      </c>
      <c r="O171" s="173">
        <v>5</v>
      </c>
      <c r="P171" s="234">
        <f ca="1">OFFSET($A$1,MATCH(Z168,$A:$A,0)-1,O171)</f>
        <v>3.8540000000000001</v>
      </c>
      <c r="Q171" s="144" t="s">
        <v>29</v>
      </c>
      <c r="R171" s="118">
        <f t="shared" ca="1" si="40"/>
        <v>310884</v>
      </c>
      <c r="S171" s="118">
        <f t="shared" ca="1" si="40"/>
        <v>1198146</v>
      </c>
      <c r="T171" s="118">
        <f ca="1">고급</f>
        <v>310884</v>
      </c>
      <c r="U171" s="118">
        <f t="shared" ca="1" si="41"/>
        <v>1198146</v>
      </c>
      <c r="V171" s="118"/>
      <c r="W171" s="118"/>
      <c r="X171" s="118"/>
      <c r="Y171" s="118"/>
      <c r="Z171" s="115"/>
      <c r="AA171" s="171"/>
      <c r="AB171" s="171"/>
      <c r="AC171" s="171"/>
    </row>
    <row r="172" spans="11:29" ht="18" customHeight="1">
      <c r="K172" s="171" t="s">
        <v>14</v>
      </c>
      <c r="L172" s="171"/>
      <c r="M172" s="171"/>
      <c r="N172" s="145" t="s">
        <v>40</v>
      </c>
      <c r="O172" s="173">
        <v>6</v>
      </c>
      <c r="P172" s="234">
        <f ca="1">OFFSET($A$1,MATCH(Z168,$A:$A,0)-1,O172)</f>
        <v>11.561999999999999</v>
      </c>
      <c r="Q172" s="144" t="s">
        <v>29</v>
      </c>
      <c r="R172" s="118">
        <f t="shared" ca="1" si="40"/>
        <v>295138</v>
      </c>
      <c r="S172" s="118">
        <f t="shared" ca="1" si="40"/>
        <v>3412385</v>
      </c>
      <c r="T172" s="118">
        <f ca="1">중급</f>
        <v>295138</v>
      </c>
      <c r="U172" s="118">
        <f t="shared" ca="1" si="41"/>
        <v>3412385</v>
      </c>
      <c r="V172" s="118"/>
      <c r="W172" s="118"/>
      <c r="X172" s="118"/>
      <c r="Y172" s="118"/>
      <c r="Z172" s="115"/>
      <c r="AA172" s="171"/>
      <c r="AB172" s="171"/>
      <c r="AC172" s="171"/>
    </row>
    <row r="173" spans="11:29" ht="18" customHeight="1">
      <c r="K173" s="171" t="s">
        <v>14</v>
      </c>
      <c r="L173" s="171"/>
      <c r="M173" s="171"/>
      <c r="N173" s="145" t="s">
        <v>41</v>
      </c>
      <c r="O173" s="173">
        <v>7</v>
      </c>
      <c r="P173" s="234">
        <f ca="1">OFFSET($A$1,MATCH(Z168,$A:$A,0)-1,O173)</f>
        <v>0</v>
      </c>
      <c r="Q173" s="144" t="s">
        <v>29</v>
      </c>
      <c r="R173" s="118">
        <f t="shared" ca="1" si="40"/>
        <v>235459</v>
      </c>
      <c r="S173" s="118">
        <f t="shared" ca="1" si="40"/>
        <v>0</v>
      </c>
      <c r="T173" s="118">
        <f ca="1">초급</f>
        <v>235459</v>
      </c>
      <c r="U173" s="118">
        <f t="shared" ca="1" si="41"/>
        <v>0</v>
      </c>
      <c r="V173" s="118"/>
      <c r="W173" s="118"/>
      <c r="X173" s="118"/>
      <c r="Y173" s="118"/>
      <c r="Z173" s="115"/>
      <c r="AA173" s="171"/>
      <c r="AB173" s="171"/>
      <c r="AC173" s="171"/>
    </row>
    <row r="174" spans="11:29" ht="18" customHeight="1">
      <c r="K174" s="171" t="s">
        <v>14</v>
      </c>
      <c r="L174" s="171"/>
      <c r="M174" s="171"/>
      <c r="N174" s="319" t="s">
        <v>42</v>
      </c>
      <c r="O174" s="174">
        <v>8</v>
      </c>
      <c r="P174" s="235">
        <f ca="1">OFFSET($A$1,MATCH(Z168,$A:$A,0)-1,O174)</f>
        <v>0</v>
      </c>
      <c r="Q174" s="322" t="s">
        <v>29</v>
      </c>
      <c r="R174" s="323">
        <f t="shared" ca="1" si="40"/>
        <v>250087</v>
      </c>
      <c r="S174" s="323">
        <f t="shared" ca="1" si="40"/>
        <v>0</v>
      </c>
      <c r="T174" s="323">
        <f ca="1">보조원</f>
        <v>250087</v>
      </c>
      <c r="U174" s="323">
        <f t="shared" ca="1" si="41"/>
        <v>0</v>
      </c>
      <c r="V174" s="323"/>
      <c r="W174" s="323"/>
      <c r="X174" s="323"/>
      <c r="Y174" s="323"/>
      <c r="Z174" s="324"/>
      <c r="AA174" s="171"/>
      <c r="AB174" s="171"/>
      <c r="AC174" s="171"/>
    </row>
    <row r="175" spans="11:29" ht="18" customHeight="1">
      <c r="K175" s="171" t="s">
        <v>14</v>
      </c>
      <c r="L175" s="171"/>
      <c r="M175" s="171"/>
      <c r="N175" s="139" t="s">
        <v>17</v>
      </c>
      <c r="O175" s="68"/>
      <c r="P175" s="69"/>
      <c r="Q175" s="70"/>
      <c r="R175" s="71"/>
      <c r="S175" s="71">
        <f ca="1">SUBTOTAL(9,S169:S174)</f>
        <v>6411185</v>
      </c>
      <c r="T175" s="71"/>
      <c r="U175" s="71">
        <f ca="1">SUBTOTAL(9,U169:U174)</f>
        <v>6411185</v>
      </c>
      <c r="V175" s="71"/>
      <c r="W175" s="71"/>
      <c r="X175" s="71"/>
      <c r="Y175" s="71"/>
      <c r="Z175" s="68"/>
      <c r="AA175" s="171"/>
      <c r="AB175" s="171"/>
      <c r="AC175" s="171"/>
    </row>
    <row r="176" spans="11:29" ht="18" customHeight="1">
      <c r="K176" s="171" t="s">
        <v>14</v>
      </c>
      <c r="L176" s="171"/>
      <c r="M176" s="171"/>
      <c r="N176" s="318" t="str">
        <f ca="1">"제 " &amp; Z176 &amp; " 호표  "&amp; OFFSET($A$1,MATCH(Z176,$A:$A,0)-1,1)</f>
        <v>제 14 호표  4-6. 재해발생 현황 조사</v>
      </c>
      <c r="O176" s="221"/>
      <c r="P176" s="148"/>
      <c r="Q176" s="148"/>
      <c r="R176" s="149"/>
      <c r="S176" s="149"/>
      <c r="T176" s="149"/>
      <c r="U176" s="149"/>
      <c r="V176" s="149"/>
      <c r="W176" s="149"/>
      <c r="X176" s="149"/>
      <c r="Y176" s="149"/>
      <c r="Z176" s="325">
        <f>Z168+1</f>
        <v>14</v>
      </c>
      <c r="AB176" s="171"/>
      <c r="AC176" s="171"/>
    </row>
    <row r="177" spans="11:29" ht="18" customHeight="1">
      <c r="K177" s="171" t="s">
        <v>14</v>
      </c>
      <c r="L177" s="171"/>
      <c r="M177" s="171"/>
      <c r="N177" s="140" t="s">
        <v>43</v>
      </c>
      <c r="O177" s="172">
        <v>3</v>
      </c>
      <c r="P177" s="219">
        <f ca="1">OFFSET($A$1,MATCH(Z176,$A:$A,0)-1,O177)</f>
        <v>0.22500000000000001</v>
      </c>
      <c r="Q177" s="141" t="s">
        <v>29</v>
      </c>
      <c r="R177" s="142">
        <f t="shared" ref="R177:S182" ca="1" si="42">T177</f>
        <v>467217</v>
      </c>
      <c r="S177" s="142">
        <f t="shared" ca="1" si="42"/>
        <v>105123</v>
      </c>
      <c r="T177" s="142">
        <f ca="1">기술사</f>
        <v>467217</v>
      </c>
      <c r="U177" s="142">
        <f t="shared" ref="U177:U182" ca="1" si="43">ROUNDDOWN(P177*R177,0)</f>
        <v>105123</v>
      </c>
      <c r="V177" s="142"/>
      <c r="W177" s="142"/>
      <c r="X177" s="142"/>
      <c r="Y177" s="142"/>
      <c r="Z177" s="114"/>
      <c r="AB177" s="171"/>
      <c r="AC177" s="171"/>
    </row>
    <row r="178" spans="11:29" ht="18" customHeight="1">
      <c r="K178" s="171" t="s">
        <v>14</v>
      </c>
      <c r="L178" s="171"/>
      <c r="M178" s="171"/>
      <c r="N178" s="143" t="s">
        <v>32</v>
      </c>
      <c r="O178" s="173">
        <v>4</v>
      </c>
      <c r="P178" s="234">
        <f ca="1">OFFSET($A$1,MATCH(Z176,$A:$A,0)-1,O178)</f>
        <v>0.36</v>
      </c>
      <c r="Q178" s="144" t="s">
        <v>29</v>
      </c>
      <c r="R178" s="118">
        <f t="shared" ca="1" si="42"/>
        <v>373353</v>
      </c>
      <c r="S178" s="118">
        <f t="shared" ca="1" si="42"/>
        <v>134407</v>
      </c>
      <c r="T178" s="118">
        <f ca="1">특급</f>
        <v>373353</v>
      </c>
      <c r="U178" s="118">
        <f t="shared" ca="1" si="43"/>
        <v>134407</v>
      </c>
      <c r="V178" s="118"/>
      <c r="W178" s="118"/>
      <c r="X178" s="118"/>
      <c r="Y178" s="118"/>
      <c r="Z178" s="115"/>
    </row>
    <row r="179" spans="11:29" ht="18" customHeight="1">
      <c r="K179" s="171" t="s">
        <v>14</v>
      </c>
      <c r="L179" s="171"/>
      <c r="M179" s="171"/>
      <c r="N179" s="145" t="s">
        <v>39</v>
      </c>
      <c r="O179" s="173">
        <v>5</v>
      </c>
      <c r="P179" s="234">
        <f ca="1">OFFSET($A$1,MATCH(Z176,$A:$A,0)-1,O179)</f>
        <v>0.54</v>
      </c>
      <c r="Q179" s="144" t="s">
        <v>29</v>
      </c>
      <c r="R179" s="118">
        <f t="shared" ca="1" si="42"/>
        <v>310884</v>
      </c>
      <c r="S179" s="118">
        <f t="shared" ca="1" si="42"/>
        <v>167877</v>
      </c>
      <c r="T179" s="118">
        <f ca="1">고급</f>
        <v>310884</v>
      </c>
      <c r="U179" s="118">
        <f t="shared" ca="1" si="43"/>
        <v>167877</v>
      </c>
      <c r="V179" s="118"/>
      <c r="W179" s="118"/>
      <c r="X179" s="118"/>
      <c r="Y179" s="118"/>
      <c r="Z179" s="115"/>
    </row>
    <row r="180" spans="11:29" ht="18" customHeight="1">
      <c r="K180" s="171" t="s">
        <v>14</v>
      </c>
      <c r="L180" s="171"/>
      <c r="M180" s="171"/>
      <c r="N180" s="145" t="s">
        <v>40</v>
      </c>
      <c r="O180" s="173">
        <v>6</v>
      </c>
      <c r="P180" s="234">
        <f ca="1">OFFSET($A$1,MATCH(Z176,$A:$A,0)-1,O180)</f>
        <v>0.67500000000000004</v>
      </c>
      <c r="Q180" s="144" t="s">
        <v>29</v>
      </c>
      <c r="R180" s="118">
        <f t="shared" ca="1" si="42"/>
        <v>295138</v>
      </c>
      <c r="S180" s="118">
        <f t="shared" ca="1" si="42"/>
        <v>199218</v>
      </c>
      <c r="T180" s="118">
        <f ca="1">중급</f>
        <v>295138</v>
      </c>
      <c r="U180" s="118">
        <f t="shared" ca="1" si="43"/>
        <v>199218</v>
      </c>
      <c r="V180" s="118"/>
      <c r="W180" s="118"/>
      <c r="X180" s="118"/>
      <c r="Y180" s="118"/>
      <c r="Z180" s="115"/>
    </row>
    <row r="181" spans="11:29" ht="18" customHeight="1">
      <c r="K181" s="171" t="s">
        <v>14</v>
      </c>
      <c r="L181" s="171"/>
      <c r="M181" s="171"/>
      <c r="N181" s="145" t="s">
        <v>41</v>
      </c>
      <c r="O181" s="173">
        <v>7</v>
      </c>
      <c r="P181" s="234">
        <f ca="1">OFFSET($A$1,MATCH(Z176,$A:$A,0)-1,O181)</f>
        <v>1.08</v>
      </c>
      <c r="Q181" s="144" t="s">
        <v>29</v>
      </c>
      <c r="R181" s="118">
        <f t="shared" ca="1" si="42"/>
        <v>235459</v>
      </c>
      <c r="S181" s="118">
        <f t="shared" ca="1" si="42"/>
        <v>254295</v>
      </c>
      <c r="T181" s="118">
        <f ca="1">초급</f>
        <v>235459</v>
      </c>
      <c r="U181" s="118">
        <f t="shared" ca="1" si="43"/>
        <v>254295</v>
      </c>
      <c r="V181" s="118"/>
      <c r="W181" s="118"/>
      <c r="X181" s="118"/>
      <c r="Y181" s="118"/>
      <c r="Z181" s="115"/>
    </row>
    <row r="182" spans="11:29" ht="18" customHeight="1">
      <c r="K182" s="171" t="s">
        <v>14</v>
      </c>
      <c r="L182" s="171"/>
      <c r="M182" s="171"/>
      <c r="N182" s="319" t="s">
        <v>42</v>
      </c>
      <c r="O182" s="174">
        <v>8</v>
      </c>
      <c r="P182" s="235">
        <f ca="1">OFFSET($A$1,MATCH(Z176,$A:$A,0)-1,O182)</f>
        <v>1.08</v>
      </c>
      <c r="Q182" s="322" t="s">
        <v>29</v>
      </c>
      <c r="R182" s="323">
        <f t="shared" ca="1" si="42"/>
        <v>250087</v>
      </c>
      <c r="S182" s="323">
        <f t="shared" ca="1" si="42"/>
        <v>270093</v>
      </c>
      <c r="T182" s="323">
        <f ca="1">보조원</f>
        <v>250087</v>
      </c>
      <c r="U182" s="323">
        <f t="shared" ca="1" si="43"/>
        <v>270093</v>
      </c>
      <c r="V182" s="323"/>
      <c r="W182" s="323"/>
      <c r="X182" s="323"/>
      <c r="Y182" s="323"/>
      <c r="Z182" s="324"/>
    </row>
    <row r="183" spans="11:29" ht="18" customHeight="1">
      <c r="K183" s="171" t="s">
        <v>14</v>
      </c>
      <c r="L183" s="171"/>
      <c r="M183" s="171"/>
      <c r="N183" s="139" t="s">
        <v>17</v>
      </c>
      <c r="O183" s="68"/>
      <c r="P183" s="69"/>
      <c r="Q183" s="70"/>
      <c r="R183" s="71"/>
      <c r="S183" s="71">
        <f ca="1">SUBTOTAL(9,S177:S182)</f>
        <v>1131013</v>
      </c>
      <c r="T183" s="71"/>
      <c r="U183" s="71">
        <f ca="1">SUBTOTAL(9,U177:U182)</f>
        <v>1131013</v>
      </c>
      <c r="V183" s="71"/>
      <c r="W183" s="71"/>
      <c r="X183" s="71"/>
      <c r="Y183" s="71"/>
      <c r="Z183" s="68"/>
    </row>
    <row r="184" spans="11:29" ht="18" customHeight="1">
      <c r="K184" s="171" t="s">
        <v>14</v>
      </c>
      <c r="L184" s="171"/>
      <c r="M184" s="171"/>
      <c r="N184" s="318" t="str">
        <f ca="1">"제 " &amp; Z184 &amp; " 호표  "&amp; OFFSET($A$1,MATCH(Z184,$A:$A,0)-1,1)</f>
        <v>제 15 호표  4-7. 재해관련 지구지정 현황 조사</v>
      </c>
      <c r="O184" s="221"/>
      <c r="P184" s="148"/>
      <c r="Q184" s="148"/>
      <c r="R184" s="149"/>
      <c r="S184" s="149"/>
      <c r="T184" s="149"/>
      <c r="U184" s="149"/>
      <c r="V184" s="149"/>
      <c r="W184" s="149"/>
      <c r="X184" s="149"/>
      <c r="Y184" s="149"/>
      <c r="Z184" s="325">
        <f>Z176+1</f>
        <v>15</v>
      </c>
    </row>
    <row r="185" spans="11:29" ht="18" customHeight="1">
      <c r="K185" s="171" t="s">
        <v>14</v>
      </c>
      <c r="L185" s="171"/>
      <c r="M185" s="171"/>
      <c r="N185" s="140" t="s">
        <v>43</v>
      </c>
      <c r="O185" s="172">
        <v>3</v>
      </c>
      <c r="P185" s="219">
        <f ca="1">OFFSET($A$1,MATCH(Z184,$A:$A,0)-1,O185)</f>
        <v>0.09</v>
      </c>
      <c r="Q185" s="141" t="s">
        <v>29</v>
      </c>
      <c r="R185" s="142">
        <f t="shared" ref="R185:S190" ca="1" si="44">T185</f>
        <v>467217</v>
      </c>
      <c r="S185" s="142">
        <f t="shared" ca="1" si="44"/>
        <v>42049</v>
      </c>
      <c r="T185" s="142">
        <f ca="1">기술사</f>
        <v>467217</v>
      </c>
      <c r="U185" s="142">
        <f t="shared" ref="U185:U190" ca="1" si="45">ROUNDDOWN(P185*R185,0)</f>
        <v>42049</v>
      </c>
      <c r="V185" s="142"/>
      <c r="W185" s="142"/>
      <c r="X185" s="142"/>
      <c r="Y185" s="142"/>
      <c r="Z185" s="114"/>
    </row>
    <row r="186" spans="11:29" ht="18" customHeight="1">
      <c r="K186" s="171" t="s">
        <v>14</v>
      </c>
      <c r="L186" s="171"/>
      <c r="M186" s="171"/>
      <c r="N186" s="143" t="s">
        <v>32</v>
      </c>
      <c r="O186" s="173">
        <v>4</v>
      </c>
      <c r="P186" s="234">
        <f ca="1">OFFSET($A$1,MATCH(Z184,$A:$A,0)-1,O186)</f>
        <v>0.09</v>
      </c>
      <c r="Q186" s="144" t="s">
        <v>29</v>
      </c>
      <c r="R186" s="118">
        <f t="shared" ca="1" si="44"/>
        <v>373353</v>
      </c>
      <c r="S186" s="118">
        <f t="shared" ca="1" si="44"/>
        <v>33601</v>
      </c>
      <c r="T186" s="118">
        <f ca="1">특급</f>
        <v>373353</v>
      </c>
      <c r="U186" s="118">
        <f t="shared" ca="1" si="45"/>
        <v>33601</v>
      </c>
      <c r="V186" s="118"/>
      <c r="W186" s="118"/>
      <c r="X186" s="118"/>
      <c r="Y186" s="118"/>
      <c r="Z186" s="115"/>
    </row>
    <row r="187" spans="11:29" ht="18" customHeight="1">
      <c r="K187" s="171" t="s">
        <v>14</v>
      </c>
      <c r="L187" s="171"/>
      <c r="M187" s="171"/>
      <c r="N187" s="145" t="s">
        <v>39</v>
      </c>
      <c r="O187" s="173">
        <v>5</v>
      </c>
      <c r="P187" s="234">
        <f ca="1">OFFSET($A$1,MATCH(Z184,$A:$A,0)-1,O187)</f>
        <v>0.13500000000000001</v>
      </c>
      <c r="Q187" s="144" t="s">
        <v>29</v>
      </c>
      <c r="R187" s="118">
        <f t="shared" ca="1" si="44"/>
        <v>310884</v>
      </c>
      <c r="S187" s="118">
        <f t="shared" ca="1" si="44"/>
        <v>41969</v>
      </c>
      <c r="T187" s="118">
        <f ca="1">고급</f>
        <v>310884</v>
      </c>
      <c r="U187" s="118">
        <f t="shared" ca="1" si="45"/>
        <v>41969</v>
      </c>
      <c r="V187" s="118"/>
      <c r="W187" s="118"/>
      <c r="X187" s="118"/>
      <c r="Y187" s="118"/>
      <c r="Z187" s="115"/>
    </row>
    <row r="188" spans="11:29" ht="18" customHeight="1">
      <c r="K188" s="171" t="s">
        <v>14</v>
      </c>
      <c r="L188" s="171"/>
      <c r="M188" s="171"/>
      <c r="N188" s="145" t="s">
        <v>40</v>
      </c>
      <c r="O188" s="173">
        <v>6</v>
      </c>
      <c r="P188" s="234">
        <f ca="1">OFFSET($A$1,MATCH(Z184,$A:$A,0)-1,O188)</f>
        <v>0.27</v>
      </c>
      <c r="Q188" s="144" t="s">
        <v>29</v>
      </c>
      <c r="R188" s="118">
        <f t="shared" ca="1" si="44"/>
        <v>295138</v>
      </c>
      <c r="S188" s="118">
        <f t="shared" ca="1" si="44"/>
        <v>79687</v>
      </c>
      <c r="T188" s="118">
        <f ca="1">중급</f>
        <v>295138</v>
      </c>
      <c r="U188" s="118">
        <f t="shared" ca="1" si="45"/>
        <v>79687</v>
      </c>
      <c r="V188" s="118"/>
      <c r="W188" s="118"/>
      <c r="X188" s="118"/>
      <c r="Y188" s="118"/>
      <c r="Z188" s="115"/>
    </row>
    <row r="189" spans="11:29" ht="18" customHeight="1">
      <c r="K189" s="171" t="s">
        <v>14</v>
      </c>
      <c r="L189" s="171"/>
      <c r="M189" s="171"/>
      <c r="N189" s="145" t="s">
        <v>41</v>
      </c>
      <c r="O189" s="173">
        <v>7</v>
      </c>
      <c r="P189" s="234">
        <f ca="1">OFFSET($A$1,MATCH(Z184,$A:$A,0)-1,O189)</f>
        <v>0.18</v>
      </c>
      <c r="Q189" s="144" t="s">
        <v>29</v>
      </c>
      <c r="R189" s="118">
        <f t="shared" ca="1" si="44"/>
        <v>235459</v>
      </c>
      <c r="S189" s="118">
        <f t="shared" ca="1" si="44"/>
        <v>42382</v>
      </c>
      <c r="T189" s="118">
        <f ca="1">초급</f>
        <v>235459</v>
      </c>
      <c r="U189" s="118">
        <f t="shared" ca="1" si="45"/>
        <v>42382</v>
      </c>
      <c r="V189" s="118"/>
      <c r="W189" s="118"/>
      <c r="X189" s="118"/>
      <c r="Y189" s="118"/>
      <c r="Z189" s="115"/>
    </row>
    <row r="190" spans="11:29" ht="18" customHeight="1">
      <c r="K190" s="171" t="s">
        <v>14</v>
      </c>
      <c r="L190" s="171"/>
      <c r="M190" s="171"/>
      <c r="N190" s="319" t="s">
        <v>42</v>
      </c>
      <c r="O190" s="174">
        <v>8</v>
      </c>
      <c r="P190" s="235">
        <f ca="1">OFFSET($A$1,MATCH(Z184,$A:$A,0)-1,O190)</f>
        <v>0.18</v>
      </c>
      <c r="Q190" s="322" t="s">
        <v>29</v>
      </c>
      <c r="R190" s="323">
        <f t="shared" ca="1" si="44"/>
        <v>250087</v>
      </c>
      <c r="S190" s="323">
        <f t="shared" ca="1" si="44"/>
        <v>45015</v>
      </c>
      <c r="T190" s="323">
        <f ca="1">보조원</f>
        <v>250087</v>
      </c>
      <c r="U190" s="323">
        <f t="shared" ca="1" si="45"/>
        <v>45015</v>
      </c>
      <c r="V190" s="323"/>
      <c r="W190" s="323"/>
      <c r="X190" s="323"/>
      <c r="Y190" s="323"/>
      <c r="Z190" s="324"/>
    </row>
    <row r="191" spans="11:29" ht="18" customHeight="1">
      <c r="K191" s="171" t="s">
        <v>14</v>
      </c>
      <c r="L191" s="171"/>
      <c r="M191" s="171"/>
      <c r="N191" s="139" t="s">
        <v>17</v>
      </c>
      <c r="O191" s="68"/>
      <c r="P191" s="69"/>
      <c r="Q191" s="70"/>
      <c r="R191" s="71"/>
      <c r="S191" s="71">
        <f ca="1">SUBTOTAL(9,S185:S190)</f>
        <v>284703</v>
      </c>
      <c r="T191" s="71"/>
      <c r="U191" s="71">
        <f ca="1">SUBTOTAL(9,U185:U190)</f>
        <v>284703</v>
      </c>
      <c r="V191" s="71"/>
      <c r="W191" s="71"/>
      <c r="X191" s="71"/>
      <c r="Y191" s="71"/>
      <c r="Z191" s="68"/>
    </row>
    <row r="192" spans="11:29" ht="18" customHeight="1">
      <c r="K192" s="171" t="s">
        <v>14</v>
      </c>
      <c r="L192" s="171"/>
      <c r="M192" s="171"/>
      <c r="N192" s="318" t="str">
        <f ca="1">"제 " &amp; Z192 &amp; " 호표  "&amp; OFFSET($A$1,MATCH(Z192,$A:$A,0)-1,1)</f>
        <v>제 16 호표  4-8. 방재시설 현황 조사</v>
      </c>
      <c r="O192" s="221"/>
      <c r="P192" s="148"/>
      <c r="Q192" s="148"/>
      <c r="R192" s="149"/>
      <c r="S192" s="149"/>
      <c r="T192" s="149"/>
      <c r="U192" s="149"/>
      <c r="V192" s="149"/>
      <c r="W192" s="149"/>
      <c r="X192" s="149"/>
      <c r="Y192" s="149"/>
      <c r="Z192" s="325">
        <f>Z184+1</f>
        <v>16</v>
      </c>
    </row>
    <row r="193" spans="11:26" ht="18" customHeight="1">
      <c r="K193" s="171" t="s">
        <v>14</v>
      </c>
      <c r="L193" s="171"/>
      <c r="M193" s="171"/>
      <c r="N193" s="140" t="s">
        <v>43</v>
      </c>
      <c r="O193" s="172">
        <v>3</v>
      </c>
      <c r="P193" s="219">
        <f ca="1">OFFSET($A$1,MATCH(Z192,$A:$A,0)-1,O193)</f>
        <v>0.13500000000000001</v>
      </c>
      <c r="Q193" s="141" t="s">
        <v>29</v>
      </c>
      <c r="R193" s="142">
        <f t="shared" ref="R193:S198" ca="1" si="46">T193</f>
        <v>467217</v>
      </c>
      <c r="S193" s="142">
        <f t="shared" ca="1" si="46"/>
        <v>63074</v>
      </c>
      <c r="T193" s="142">
        <f ca="1">기술사</f>
        <v>467217</v>
      </c>
      <c r="U193" s="142">
        <f t="shared" ref="U193:U198" ca="1" si="47">ROUNDDOWN(P193*R193,0)</f>
        <v>63074</v>
      </c>
      <c r="V193" s="142"/>
      <c r="W193" s="142"/>
      <c r="X193" s="142"/>
      <c r="Y193" s="142"/>
      <c r="Z193" s="114"/>
    </row>
    <row r="194" spans="11:26" ht="18" customHeight="1">
      <c r="K194" s="171" t="s">
        <v>14</v>
      </c>
      <c r="L194" s="171"/>
      <c r="M194" s="171"/>
      <c r="N194" s="143" t="s">
        <v>32</v>
      </c>
      <c r="O194" s="173">
        <v>4</v>
      </c>
      <c r="P194" s="234">
        <f ca="1">OFFSET($A$1,MATCH(Z192,$A:$A,0)-1,O194)</f>
        <v>0.18</v>
      </c>
      <c r="Q194" s="144" t="s">
        <v>29</v>
      </c>
      <c r="R194" s="118">
        <f t="shared" ca="1" si="46"/>
        <v>373353</v>
      </c>
      <c r="S194" s="118">
        <f t="shared" ca="1" si="46"/>
        <v>67203</v>
      </c>
      <c r="T194" s="118">
        <f ca="1">특급</f>
        <v>373353</v>
      </c>
      <c r="U194" s="118">
        <f t="shared" ca="1" si="47"/>
        <v>67203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39</v>
      </c>
      <c r="O195" s="173">
        <v>5</v>
      </c>
      <c r="P195" s="234">
        <f ca="1">OFFSET($A$1,MATCH(Z192,$A:$A,0)-1,O195)</f>
        <v>0.27</v>
      </c>
      <c r="Q195" s="144" t="s">
        <v>29</v>
      </c>
      <c r="R195" s="118">
        <f t="shared" ca="1" si="46"/>
        <v>310884</v>
      </c>
      <c r="S195" s="118">
        <f t="shared" ca="1" si="46"/>
        <v>83938</v>
      </c>
      <c r="T195" s="118">
        <f ca="1">고급</f>
        <v>310884</v>
      </c>
      <c r="U195" s="118">
        <f t="shared" ca="1" si="47"/>
        <v>83938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145" t="s">
        <v>40</v>
      </c>
      <c r="O196" s="173">
        <v>6</v>
      </c>
      <c r="P196" s="234">
        <f ca="1">OFFSET($A$1,MATCH(Z192,$A:$A,0)-1,O196)</f>
        <v>0.36</v>
      </c>
      <c r="Q196" s="144" t="s">
        <v>29</v>
      </c>
      <c r="R196" s="118">
        <f t="shared" ca="1" si="46"/>
        <v>295138</v>
      </c>
      <c r="S196" s="118">
        <f t="shared" ca="1" si="46"/>
        <v>106249</v>
      </c>
      <c r="T196" s="118">
        <f ca="1">중급</f>
        <v>295138</v>
      </c>
      <c r="U196" s="118">
        <f t="shared" ca="1" si="47"/>
        <v>106249</v>
      </c>
      <c r="V196" s="118"/>
      <c r="W196" s="118"/>
      <c r="X196" s="118"/>
      <c r="Y196" s="118"/>
      <c r="Z196" s="115"/>
    </row>
    <row r="197" spans="11:26" ht="18" customHeight="1">
      <c r="K197" s="171" t="s">
        <v>14</v>
      </c>
      <c r="L197" s="171"/>
      <c r="M197" s="171"/>
      <c r="N197" s="145" t="s">
        <v>41</v>
      </c>
      <c r="O197" s="173">
        <v>7</v>
      </c>
      <c r="P197" s="234">
        <f ca="1">OFFSET($A$1,MATCH(Z192,$A:$A,0)-1,O197)</f>
        <v>0.54</v>
      </c>
      <c r="Q197" s="144" t="s">
        <v>29</v>
      </c>
      <c r="R197" s="118">
        <f t="shared" ca="1" si="46"/>
        <v>235459</v>
      </c>
      <c r="S197" s="118">
        <f t="shared" ca="1" si="46"/>
        <v>127147</v>
      </c>
      <c r="T197" s="118">
        <f ca="1">초급</f>
        <v>235459</v>
      </c>
      <c r="U197" s="118">
        <f t="shared" ca="1" si="47"/>
        <v>127147</v>
      </c>
      <c r="V197" s="118"/>
      <c r="W197" s="118"/>
      <c r="X197" s="118"/>
      <c r="Y197" s="118"/>
      <c r="Z197" s="115"/>
    </row>
    <row r="198" spans="11:26" ht="18" customHeight="1">
      <c r="K198" s="171" t="s">
        <v>14</v>
      </c>
      <c r="L198" s="171"/>
      <c r="M198" s="171"/>
      <c r="N198" s="319" t="s">
        <v>42</v>
      </c>
      <c r="O198" s="174">
        <v>8</v>
      </c>
      <c r="P198" s="235">
        <f ca="1">OFFSET($A$1,MATCH(Z192,$A:$A,0)-1,O198)</f>
        <v>0.495</v>
      </c>
      <c r="Q198" s="322" t="s">
        <v>29</v>
      </c>
      <c r="R198" s="323">
        <f t="shared" ca="1" si="46"/>
        <v>250087</v>
      </c>
      <c r="S198" s="323">
        <f t="shared" ca="1" si="46"/>
        <v>123793</v>
      </c>
      <c r="T198" s="323">
        <f ca="1">보조원</f>
        <v>250087</v>
      </c>
      <c r="U198" s="323">
        <f t="shared" ca="1" si="47"/>
        <v>123793</v>
      </c>
      <c r="V198" s="323"/>
      <c r="W198" s="323"/>
      <c r="X198" s="323"/>
      <c r="Y198" s="323"/>
      <c r="Z198" s="324"/>
    </row>
    <row r="199" spans="11:26" ht="18" customHeight="1">
      <c r="K199" s="171" t="s">
        <v>14</v>
      </c>
      <c r="L199" s="171"/>
      <c r="M199" s="171"/>
      <c r="N199" s="139" t="s">
        <v>17</v>
      </c>
      <c r="O199" s="68"/>
      <c r="P199" s="69"/>
      <c r="Q199" s="70"/>
      <c r="R199" s="71"/>
      <c r="S199" s="71">
        <f ca="1">SUBTOTAL(9,S193:S198)</f>
        <v>571404</v>
      </c>
      <c r="T199" s="71"/>
      <c r="U199" s="71">
        <f ca="1">SUBTOTAL(9,U193:U198)</f>
        <v>571404</v>
      </c>
      <c r="V199" s="71"/>
      <c r="W199" s="71"/>
      <c r="X199" s="71"/>
      <c r="Y199" s="71"/>
      <c r="Z199" s="68"/>
    </row>
    <row r="200" spans="11:26" ht="18" customHeight="1">
      <c r="K200" s="171" t="s">
        <v>14</v>
      </c>
      <c r="L200" s="171"/>
      <c r="M200" s="171"/>
      <c r="N200" s="318" t="str">
        <f ca="1">"제 " &amp; Z200 &amp; " 호표  "&amp; OFFSET($A$1,MATCH(Z200,$A:$A,0)-1,1)</f>
        <v>제 17 호표  4-9. 관련계획 조사</v>
      </c>
      <c r="O200" s="221"/>
      <c r="P200" s="148"/>
      <c r="Q200" s="148"/>
      <c r="R200" s="149"/>
      <c r="S200" s="149"/>
      <c r="T200" s="149"/>
      <c r="U200" s="149"/>
      <c r="V200" s="149"/>
      <c r="W200" s="149"/>
      <c r="X200" s="149"/>
      <c r="Y200" s="149"/>
      <c r="Z200" s="325">
        <f>Z192+1</f>
        <v>17</v>
      </c>
    </row>
    <row r="201" spans="11:26" ht="18" customHeight="1">
      <c r="K201" s="171" t="s">
        <v>14</v>
      </c>
      <c r="L201" s="171"/>
      <c r="M201" s="171"/>
      <c r="N201" s="140" t="s">
        <v>43</v>
      </c>
      <c r="O201" s="172">
        <v>3</v>
      </c>
      <c r="P201" s="219">
        <f ca="1">OFFSET($A$1,MATCH(Z200,$A:$A,0)-1,O201)</f>
        <v>0.09</v>
      </c>
      <c r="Q201" s="141" t="s">
        <v>29</v>
      </c>
      <c r="R201" s="142">
        <f t="shared" ref="R201:S206" ca="1" si="48">T201</f>
        <v>467217</v>
      </c>
      <c r="S201" s="142">
        <f t="shared" ca="1" si="48"/>
        <v>42049</v>
      </c>
      <c r="T201" s="142">
        <f ca="1">기술사</f>
        <v>467217</v>
      </c>
      <c r="U201" s="142">
        <f t="shared" ref="U201:U206" ca="1" si="49">ROUNDDOWN(P201*R201,0)</f>
        <v>42049</v>
      </c>
      <c r="V201" s="142"/>
      <c r="W201" s="142"/>
      <c r="X201" s="142"/>
      <c r="Y201" s="142"/>
      <c r="Z201" s="114"/>
    </row>
    <row r="202" spans="11:26" ht="18" customHeight="1">
      <c r="K202" s="171" t="s">
        <v>14</v>
      </c>
      <c r="L202" s="171"/>
      <c r="M202" s="171"/>
      <c r="N202" s="143" t="s">
        <v>32</v>
      </c>
      <c r="O202" s="173">
        <v>4</v>
      </c>
      <c r="P202" s="234">
        <f ca="1">OFFSET($A$1,MATCH(Z200,$A:$A,0)-1,O202)</f>
        <v>0.18</v>
      </c>
      <c r="Q202" s="144" t="s">
        <v>29</v>
      </c>
      <c r="R202" s="118">
        <f t="shared" ca="1" si="48"/>
        <v>373353</v>
      </c>
      <c r="S202" s="118">
        <f t="shared" ca="1" si="48"/>
        <v>67203</v>
      </c>
      <c r="T202" s="118">
        <f ca="1">특급</f>
        <v>373353</v>
      </c>
      <c r="U202" s="118">
        <f t="shared" ca="1" si="49"/>
        <v>67203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39</v>
      </c>
      <c r="O203" s="173">
        <v>5</v>
      </c>
      <c r="P203" s="234">
        <f ca="1">OFFSET($A$1,MATCH(Z200,$A:$A,0)-1,O203)</f>
        <v>0.27</v>
      </c>
      <c r="Q203" s="144" t="s">
        <v>29</v>
      </c>
      <c r="R203" s="118">
        <f t="shared" ca="1" si="48"/>
        <v>310884</v>
      </c>
      <c r="S203" s="118">
        <f t="shared" ca="1" si="48"/>
        <v>83938</v>
      </c>
      <c r="T203" s="118">
        <f ca="1">고급</f>
        <v>310884</v>
      </c>
      <c r="U203" s="118">
        <f t="shared" ca="1" si="49"/>
        <v>83938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145" t="s">
        <v>40</v>
      </c>
      <c r="O204" s="173">
        <v>6</v>
      </c>
      <c r="P204" s="234">
        <f ca="1">OFFSET($A$1,MATCH(Z200,$A:$A,0)-1,O204)</f>
        <v>0.36</v>
      </c>
      <c r="Q204" s="144" t="s">
        <v>29</v>
      </c>
      <c r="R204" s="118">
        <f t="shared" ca="1" si="48"/>
        <v>295138</v>
      </c>
      <c r="S204" s="118">
        <f t="shared" ca="1" si="48"/>
        <v>106249</v>
      </c>
      <c r="T204" s="118">
        <f ca="1">중급</f>
        <v>295138</v>
      </c>
      <c r="U204" s="118">
        <f t="shared" ca="1" si="49"/>
        <v>106249</v>
      </c>
      <c r="V204" s="118"/>
      <c r="W204" s="118"/>
      <c r="X204" s="118"/>
      <c r="Y204" s="118"/>
      <c r="Z204" s="115"/>
    </row>
    <row r="205" spans="11:26" ht="18" customHeight="1">
      <c r="K205" s="171" t="s">
        <v>14</v>
      </c>
      <c r="L205" s="171"/>
      <c r="M205" s="171"/>
      <c r="N205" s="145" t="s">
        <v>41</v>
      </c>
      <c r="O205" s="173">
        <v>7</v>
      </c>
      <c r="P205" s="234">
        <f ca="1">OFFSET($A$1,MATCH(Z200,$A:$A,0)-1,O205)</f>
        <v>0.54</v>
      </c>
      <c r="Q205" s="144" t="s">
        <v>29</v>
      </c>
      <c r="R205" s="118">
        <f t="shared" ca="1" si="48"/>
        <v>235459</v>
      </c>
      <c r="S205" s="118">
        <f t="shared" ca="1" si="48"/>
        <v>127147</v>
      </c>
      <c r="T205" s="118">
        <f ca="1">초급</f>
        <v>235459</v>
      </c>
      <c r="U205" s="118">
        <f t="shared" ca="1" si="49"/>
        <v>127147</v>
      </c>
      <c r="V205" s="118"/>
      <c r="W205" s="118"/>
      <c r="X205" s="118"/>
      <c r="Y205" s="118"/>
      <c r="Z205" s="115"/>
    </row>
    <row r="206" spans="11:26" ht="18" customHeight="1">
      <c r="K206" s="171" t="s">
        <v>14</v>
      </c>
      <c r="L206" s="171"/>
      <c r="M206" s="171"/>
      <c r="N206" s="319" t="s">
        <v>42</v>
      </c>
      <c r="O206" s="174">
        <v>8</v>
      </c>
      <c r="P206" s="235">
        <f ca="1">OFFSET($A$1,MATCH(Z200,$A:$A,0)-1,O206)</f>
        <v>0.495</v>
      </c>
      <c r="Q206" s="322" t="s">
        <v>29</v>
      </c>
      <c r="R206" s="323">
        <f t="shared" ca="1" si="48"/>
        <v>250087</v>
      </c>
      <c r="S206" s="323">
        <f t="shared" ca="1" si="48"/>
        <v>123793</v>
      </c>
      <c r="T206" s="323">
        <f ca="1">보조원</f>
        <v>250087</v>
      </c>
      <c r="U206" s="323">
        <f t="shared" ca="1" si="49"/>
        <v>123793</v>
      </c>
      <c r="V206" s="323"/>
      <c r="W206" s="323"/>
      <c r="X206" s="323"/>
      <c r="Y206" s="323"/>
      <c r="Z206" s="324"/>
    </row>
    <row r="207" spans="11:26" ht="18" customHeight="1">
      <c r="K207" s="171" t="s">
        <v>14</v>
      </c>
      <c r="L207" s="171"/>
      <c r="M207" s="171"/>
      <c r="N207" s="139" t="s">
        <v>17</v>
      </c>
      <c r="O207" s="68"/>
      <c r="P207" s="69"/>
      <c r="Q207" s="70"/>
      <c r="R207" s="71"/>
      <c r="S207" s="71">
        <f ca="1">SUBTOTAL(9,S201:S206)</f>
        <v>550379</v>
      </c>
      <c r="T207" s="71"/>
      <c r="U207" s="71">
        <f ca="1">SUBTOTAL(9,U201:U206)</f>
        <v>550379</v>
      </c>
      <c r="V207" s="71"/>
      <c r="W207" s="71"/>
      <c r="X207" s="71"/>
      <c r="Y207" s="71"/>
      <c r="Z207" s="68"/>
    </row>
    <row r="208" spans="11:26" ht="18" customHeight="1">
      <c r="K208" s="171" t="s">
        <v>14</v>
      </c>
      <c r="L208" s="171"/>
      <c r="M208" s="171"/>
      <c r="N208" s="318" t="str">
        <f ca="1">"제 " &amp; Z208 &amp; " 호표  "&amp; OFFSET($A$1,MATCH(Z208,$A:$A,0)-1,1)</f>
        <v>제 18 호표  4-10. 드론 촬영</v>
      </c>
      <c r="O208" s="221"/>
      <c r="P208" s="148"/>
      <c r="Q208" s="148"/>
      <c r="R208" s="149"/>
      <c r="S208" s="149"/>
      <c r="T208" s="149"/>
      <c r="U208" s="149"/>
      <c r="V208" s="149"/>
      <c r="W208" s="149"/>
      <c r="X208" s="149"/>
      <c r="Y208" s="149"/>
      <c r="Z208" s="325">
        <f>Z200+1</f>
        <v>18</v>
      </c>
    </row>
    <row r="209" spans="11:26" ht="18" customHeight="1">
      <c r="K209" s="171" t="s">
        <v>14</v>
      </c>
      <c r="L209" s="171"/>
      <c r="M209" s="171"/>
      <c r="N209" s="140" t="s">
        <v>43</v>
      </c>
      <c r="O209" s="172">
        <v>3</v>
      </c>
      <c r="P209" s="219">
        <f ca="1">OFFSET($A$1,MATCH(Z208,$A:$A,0)-1,O209)</f>
        <v>0</v>
      </c>
      <c r="Q209" s="141" t="s">
        <v>29</v>
      </c>
      <c r="R209" s="142">
        <f t="shared" ref="R209:S214" ca="1" si="50">T209</f>
        <v>467217</v>
      </c>
      <c r="S209" s="142">
        <f t="shared" ca="1" si="50"/>
        <v>0</v>
      </c>
      <c r="T209" s="142">
        <f ca="1">기술사</f>
        <v>467217</v>
      </c>
      <c r="U209" s="142">
        <f t="shared" ref="U209:U214" ca="1" si="51">ROUNDDOWN(P209*R209,0)</f>
        <v>0</v>
      </c>
      <c r="V209" s="142"/>
      <c r="W209" s="142"/>
      <c r="X209" s="142"/>
      <c r="Y209" s="142"/>
      <c r="Z209" s="114"/>
    </row>
    <row r="210" spans="11:26" ht="18" customHeight="1">
      <c r="K210" s="171" t="s">
        <v>14</v>
      </c>
      <c r="L210" s="171"/>
      <c r="M210" s="171"/>
      <c r="N210" s="143" t="s">
        <v>32</v>
      </c>
      <c r="O210" s="173">
        <v>4</v>
      </c>
      <c r="P210" s="234">
        <f ca="1">OFFSET($A$1,MATCH(Z208,$A:$A,0)-1,O210)</f>
        <v>0</v>
      </c>
      <c r="Q210" s="144" t="s">
        <v>29</v>
      </c>
      <c r="R210" s="118">
        <f t="shared" ca="1" si="50"/>
        <v>373353</v>
      </c>
      <c r="S210" s="118">
        <f t="shared" ca="1" si="50"/>
        <v>0</v>
      </c>
      <c r="T210" s="118">
        <f ca="1">특급</f>
        <v>373353</v>
      </c>
      <c r="U210" s="118">
        <f t="shared" ca="1" si="51"/>
        <v>0</v>
      </c>
      <c r="V210" s="118"/>
      <c r="W210" s="118"/>
      <c r="X210" s="118"/>
      <c r="Y210" s="118"/>
      <c r="Z210" s="115"/>
    </row>
    <row r="211" spans="11:26" ht="18" customHeight="1">
      <c r="K211" s="171" t="s">
        <v>14</v>
      </c>
      <c r="L211" s="171"/>
      <c r="M211" s="171"/>
      <c r="N211" s="145" t="s">
        <v>39</v>
      </c>
      <c r="O211" s="173">
        <v>5</v>
      </c>
      <c r="P211" s="234">
        <f ca="1">OFFSET($A$1,MATCH(Z208,$A:$A,0)-1,O211)</f>
        <v>0</v>
      </c>
      <c r="Q211" s="144" t="s">
        <v>29</v>
      </c>
      <c r="R211" s="118">
        <f t="shared" ca="1" si="50"/>
        <v>310884</v>
      </c>
      <c r="S211" s="118">
        <f t="shared" ca="1" si="50"/>
        <v>0</v>
      </c>
      <c r="T211" s="118">
        <f ca="1">고급</f>
        <v>310884</v>
      </c>
      <c r="U211" s="118">
        <f t="shared" ca="1" si="51"/>
        <v>0</v>
      </c>
      <c r="V211" s="118"/>
      <c r="W211" s="118"/>
      <c r="X211" s="118"/>
      <c r="Y211" s="118"/>
      <c r="Z211" s="115"/>
    </row>
    <row r="212" spans="11:26" ht="18" customHeight="1">
      <c r="K212" s="171" t="s">
        <v>14</v>
      </c>
      <c r="L212" s="171"/>
      <c r="M212" s="171"/>
      <c r="N212" s="145" t="s">
        <v>40</v>
      </c>
      <c r="O212" s="173">
        <v>6</v>
      </c>
      <c r="P212" s="234">
        <f ca="1">OFFSET($A$1,MATCH(Z208,$A:$A,0)-1,O212)</f>
        <v>0</v>
      </c>
      <c r="Q212" s="144" t="s">
        <v>29</v>
      </c>
      <c r="R212" s="118">
        <f t="shared" ca="1" si="50"/>
        <v>295138</v>
      </c>
      <c r="S212" s="118">
        <f t="shared" ca="1" si="50"/>
        <v>0</v>
      </c>
      <c r="T212" s="118">
        <f ca="1">중급</f>
        <v>295138</v>
      </c>
      <c r="U212" s="118">
        <f t="shared" ca="1" si="51"/>
        <v>0</v>
      </c>
      <c r="V212" s="118"/>
      <c r="W212" s="118"/>
      <c r="X212" s="118"/>
      <c r="Y212" s="118"/>
      <c r="Z212" s="115"/>
    </row>
    <row r="213" spans="11:26" ht="18" customHeight="1">
      <c r="K213" s="171" t="s">
        <v>14</v>
      </c>
      <c r="L213" s="171"/>
      <c r="M213" s="171"/>
      <c r="N213" s="145" t="s">
        <v>41</v>
      </c>
      <c r="O213" s="173">
        <v>7</v>
      </c>
      <c r="P213" s="234">
        <f ca="1">OFFSET($A$1,MATCH(Z208,$A:$A,0)-1,O213)</f>
        <v>0</v>
      </c>
      <c r="Q213" s="144" t="s">
        <v>29</v>
      </c>
      <c r="R213" s="118">
        <f t="shared" ca="1" si="50"/>
        <v>235459</v>
      </c>
      <c r="S213" s="118">
        <f t="shared" ca="1" si="50"/>
        <v>0</v>
      </c>
      <c r="T213" s="118">
        <f ca="1">초급</f>
        <v>235459</v>
      </c>
      <c r="U213" s="118">
        <f t="shared" ca="1" si="51"/>
        <v>0</v>
      </c>
      <c r="V213" s="118"/>
      <c r="W213" s="118"/>
      <c r="X213" s="118"/>
      <c r="Y213" s="118"/>
      <c r="Z213" s="115"/>
    </row>
    <row r="214" spans="11:26" ht="18" customHeight="1">
      <c r="K214" s="171" t="s">
        <v>14</v>
      </c>
      <c r="L214" s="171"/>
      <c r="M214" s="171"/>
      <c r="N214" s="319" t="s">
        <v>42</v>
      </c>
      <c r="O214" s="174">
        <v>8</v>
      </c>
      <c r="P214" s="235">
        <f ca="1">OFFSET($A$1,MATCH(Z208,$A:$A,0)-1,O214)</f>
        <v>0</v>
      </c>
      <c r="Q214" s="322" t="s">
        <v>29</v>
      </c>
      <c r="R214" s="323">
        <f t="shared" ca="1" si="50"/>
        <v>250087</v>
      </c>
      <c r="S214" s="323">
        <f t="shared" ca="1" si="50"/>
        <v>0</v>
      </c>
      <c r="T214" s="323">
        <f ca="1">보조원</f>
        <v>250087</v>
      </c>
      <c r="U214" s="323">
        <f t="shared" ca="1" si="51"/>
        <v>0</v>
      </c>
      <c r="V214" s="323"/>
      <c r="W214" s="323"/>
      <c r="X214" s="323"/>
      <c r="Y214" s="323"/>
      <c r="Z214" s="324"/>
    </row>
    <row r="215" spans="11:26" ht="18" customHeight="1">
      <c r="K215" s="171" t="s">
        <v>14</v>
      </c>
      <c r="L215" s="171"/>
      <c r="M215" s="171"/>
      <c r="N215" s="139" t="s">
        <v>17</v>
      </c>
      <c r="O215" s="68"/>
      <c r="P215" s="69"/>
      <c r="Q215" s="70"/>
      <c r="R215" s="71"/>
      <c r="S215" s="71">
        <f ca="1">SUBTOTAL(9,S209:S214)</f>
        <v>0</v>
      </c>
      <c r="T215" s="71"/>
      <c r="U215" s="71">
        <f ca="1">SUBTOTAL(9,U209:U214)</f>
        <v>0</v>
      </c>
      <c r="V215" s="71"/>
      <c r="W215" s="71"/>
      <c r="X215" s="71"/>
      <c r="Y215" s="71"/>
      <c r="Z215" s="68"/>
    </row>
    <row r="216" spans="11:26" ht="18" customHeight="1">
      <c r="K216" s="171" t="s">
        <v>14</v>
      </c>
      <c r="L216" s="171"/>
      <c r="M216" s="171"/>
      <c r="N216" s="318" t="str">
        <f ca="1">"제 " &amp; Z216 &amp; " 호표  "&amp; OFFSET($A$1,MATCH(Z216,$A:$A,0)-1,1)</f>
        <v>제 19 호표  5-1. 재해영향 유발요인 선정 및 설계빈도 결정</v>
      </c>
      <c r="O216" s="221"/>
      <c r="P216" s="148"/>
      <c r="Q216" s="148"/>
      <c r="R216" s="149"/>
      <c r="S216" s="149"/>
      <c r="T216" s="149"/>
      <c r="U216" s="149"/>
      <c r="V216" s="149"/>
      <c r="W216" s="149"/>
      <c r="X216" s="149"/>
      <c r="Y216" s="149"/>
      <c r="Z216" s="325">
        <f>Z208+1</f>
        <v>19</v>
      </c>
    </row>
    <row r="217" spans="11:26" ht="18" customHeight="1">
      <c r="K217" s="171" t="s">
        <v>14</v>
      </c>
      <c r="L217" s="171"/>
      <c r="M217" s="171"/>
      <c r="N217" s="140" t="s">
        <v>43</v>
      </c>
      <c r="O217" s="172">
        <v>3</v>
      </c>
      <c r="P217" s="219">
        <f ca="1">OFFSET($A$1,MATCH(Z216,$A:$A,0)-1,O217)</f>
        <v>0.09</v>
      </c>
      <c r="Q217" s="141" t="s">
        <v>29</v>
      </c>
      <c r="R217" s="142">
        <f t="shared" ref="R217:S222" ca="1" si="52">T217</f>
        <v>467217</v>
      </c>
      <c r="S217" s="142">
        <f t="shared" ca="1" si="52"/>
        <v>42049</v>
      </c>
      <c r="T217" s="142">
        <f ca="1">기술사</f>
        <v>467217</v>
      </c>
      <c r="U217" s="142">
        <f t="shared" ref="U217:U222" ca="1" si="53">ROUNDDOWN(P217*R217,0)</f>
        <v>42049</v>
      </c>
      <c r="V217" s="142"/>
      <c r="W217" s="142"/>
      <c r="X217" s="142"/>
      <c r="Y217" s="142"/>
      <c r="Z217" s="114"/>
    </row>
    <row r="218" spans="11:26" ht="18" customHeight="1">
      <c r="K218" s="171" t="s">
        <v>14</v>
      </c>
      <c r="L218" s="171"/>
      <c r="M218" s="171"/>
      <c r="N218" s="143" t="s">
        <v>32</v>
      </c>
      <c r="O218" s="173">
        <v>4</v>
      </c>
      <c r="P218" s="234">
        <f ca="1">OFFSET($A$1,MATCH(Z216,$A:$A,0)-1,O218)</f>
        <v>0.09</v>
      </c>
      <c r="Q218" s="144" t="s">
        <v>29</v>
      </c>
      <c r="R218" s="118">
        <f t="shared" ca="1" si="52"/>
        <v>373353</v>
      </c>
      <c r="S218" s="118">
        <f t="shared" ca="1" si="52"/>
        <v>33601</v>
      </c>
      <c r="T218" s="118">
        <f ca="1">특급</f>
        <v>373353</v>
      </c>
      <c r="U218" s="118">
        <f t="shared" ca="1" si="53"/>
        <v>33601</v>
      </c>
      <c r="V218" s="118"/>
      <c r="W218" s="118"/>
      <c r="X218" s="118"/>
      <c r="Y218" s="118"/>
      <c r="Z218" s="115"/>
    </row>
    <row r="219" spans="11:26" ht="18" customHeight="1">
      <c r="K219" s="171" t="s">
        <v>14</v>
      </c>
      <c r="L219" s="171"/>
      <c r="M219" s="171"/>
      <c r="N219" s="145" t="s">
        <v>39</v>
      </c>
      <c r="O219" s="173">
        <v>5</v>
      </c>
      <c r="P219" s="234">
        <f ca="1">OFFSET($A$1,MATCH(Z216,$A:$A,0)-1,O219)</f>
        <v>0.18</v>
      </c>
      <c r="Q219" s="144" t="s">
        <v>29</v>
      </c>
      <c r="R219" s="118">
        <f t="shared" ca="1" si="52"/>
        <v>310884</v>
      </c>
      <c r="S219" s="118">
        <f t="shared" ca="1" si="52"/>
        <v>55959</v>
      </c>
      <c r="T219" s="118">
        <f ca="1">고급</f>
        <v>310884</v>
      </c>
      <c r="U219" s="118">
        <f t="shared" ca="1" si="53"/>
        <v>55959</v>
      </c>
      <c r="V219" s="118"/>
      <c r="W219" s="118"/>
      <c r="X219" s="118"/>
      <c r="Y219" s="118"/>
      <c r="Z219" s="115"/>
    </row>
    <row r="220" spans="11:26" ht="18" customHeight="1">
      <c r="K220" s="171" t="s">
        <v>14</v>
      </c>
      <c r="L220" s="171"/>
      <c r="M220" s="171"/>
      <c r="N220" s="145" t="s">
        <v>40</v>
      </c>
      <c r="O220" s="173">
        <v>6</v>
      </c>
      <c r="P220" s="234">
        <f ca="1">OFFSET($A$1,MATCH(Z216,$A:$A,0)-1,O220)</f>
        <v>0.27</v>
      </c>
      <c r="Q220" s="144" t="s">
        <v>29</v>
      </c>
      <c r="R220" s="118">
        <f t="shared" ca="1" si="52"/>
        <v>295138</v>
      </c>
      <c r="S220" s="118">
        <f t="shared" ca="1" si="52"/>
        <v>79687</v>
      </c>
      <c r="T220" s="118">
        <f ca="1">중급</f>
        <v>295138</v>
      </c>
      <c r="U220" s="118">
        <f t="shared" ca="1" si="53"/>
        <v>79687</v>
      </c>
      <c r="V220" s="118"/>
      <c r="W220" s="118"/>
      <c r="X220" s="118"/>
      <c r="Y220" s="118"/>
      <c r="Z220" s="115"/>
    </row>
    <row r="221" spans="11:26" ht="18" customHeight="1">
      <c r="K221" s="171" t="s">
        <v>14</v>
      </c>
      <c r="L221" s="171"/>
      <c r="M221" s="171"/>
      <c r="N221" s="145" t="s">
        <v>41</v>
      </c>
      <c r="O221" s="173">
        <v>7</v>
      </c>
      <c r="P221" s="234">
        <f ca="1">OFFSET($A$1,MATCH(Z216,$A:$A,0)-1,O221)</f>
        <v>0.36</v>
      </c>
      <c r="Q221" s="144" t="s">
        <v>29</v>
      </c>
      <c r="R221" s="118">
        <f t="shared" ca="1" si="52"/>
        <v>235459</v>
      </c>
      <c r="S221" s="118">
        <f t="shared" ca="1" si="52"/>
        <v>84765</v>
      </c>
      <c r="T221" s="118">
        <f ca="1">초급</f>
        <v>235459</v>
      </c>
      <c r="U221" s="118">
        <f t="shared" ca="1" si="53"/>
        <v>84765</v>
      </c>
      <c r="V221" s="118"/>
      <c r="W221" s="118"/>
      <c r="X221" s="118"/>
      <c r="Y221" s="118"/>
      <c r="Z221" s="115"/>
    </row>
    <row r="222" spans="11:26" ht="18" customHeight="1">
      <c r="K222" s="171" t="s">
        <v>14</v>
      </c>
      <c r="L222" s="171"/>
      <c r="M222" s="171"/>
      <c r="N222" s="319" t="s">
        <v>42</v>
      </c>
      <c r="O222" s="174">
        <v>8</v>
      </c>
      <c r="P222" s="235">
        <f ca="1">OFFSET($A$1,MATCH(Z216,$A:$A,0)-1,O222)</f>
        <v>0.27</v>
      </c>
      <c r="Q222" s="322" t="s">
        <v>29</v>
      </c>
      <c r="R222" s="323">
        <f t="shared" ca="1" si="52"/>
        <v>250087</v>
      </c>
      <c r="S222" s="323">
        <f t="shared" ca="1" si="52"/>
        <v>67523</v>
      </c>
      <c r="T222" s="323">
        <f ca="1">보조원</f>
        <v>250087</v>
      </c>
      <c r="U222" s="323">
        <f t="shared" ca="1" si="53"/>
        <v>67523</v>
      </c>
      <c r="V222" s="323"/>
      <c r="W222" s="323"/>
      <c r="X222" s="323"/>
      <c r="Y222" s="323"/>
      <c r="Z222" s="324"/>
    </row>
    <row r="223" spans="11:26" ht="18" customHeight="1">
      <c r="K223" s="171" t="s">
        <v>14</v>
      </c>
      <c r="L223" s="171"/>
      <c r="M223" s="171"/>
      <c r="N223" s="139" t="s">
        <v>17</v>
      </c>
      <c r="O223" s="68"/>
      <c r="P223" s="69"/>
      <c r="Q223" s="70"/>
      <c r="R223" s="71"/>
      <c r="S223" s="71">
        <f ca="1">SUBTOTAL(9,S217:S222)</f>
        <v>363584</v>
      </c>
      <c r="T223" s="71"/>
      <c r="U223" s="71">
        <f ca="1">SUBTOTAL(9,U217:U222)</f>
        <v>363584</v>
      </c>
      <c r="V223" s="71"/>
      <c r="W223" s="71"/>
      <c r="X223" s="71"/>
      <c r="Y223" s="71"/>
      <c r="Z223" s="68"/>
    </row>
    <row r="224" spans="11:26" ht="18" customHeight="1">
      <c r="K224" s="171" t="s">
        <v>14</v>
      </c>
      <c r="L224" s="171"/>
      <c r="M224" s="171"/>
      <c r="N224" s="318" t="str">
        <f ca="1">"제 " &amp; Z224 &amp; " 호표  "&amp; OFFSET($A$1,MATCH(Z224,$A:$A,0)-1,1)</f>
        <v>제 20 호표  5-2. 홍수유출해석</v>
      </c>
      <c r="O224" s="221"/>
      <c r="P224" s="148"/>
      <c r="Q224" s="148"/>
      <c r="R224" s="149"/>
      <c r="S224" s="149"/>
      <c r="T224" s="149"/>
      <c r="U224" s="149"/>
      <c r="V224" s="149"/>
      <c r="W224" s="149"/>
      <c r="X224" s="149"/>
      <c r="Y224" s="149"/>
      <c r="Z224" s="325">
        <f>Z216+1</f>
        <v>20</v>
      </c>
    </row>
    <row r="225" spans="11:26" ht="18" customHeight="1">
      <c r="K225" s="171" t="s">
        <v>14</v>
      </c>
      <c r="L225" s="171"/>
      <c r="M225" s="171"/>
      <c r="N225" s="140" t="s">
        <v>43</v>
      </c>
      <c r="O225" s="172">
        <v>3</v>
      </c>
      <c r="P225" s="219">
        <f ca="1">OFFSET($A$1,MATCH(Z224,$A:$A,0)-1,O225)</f>
        <v>11.819000000000001</v>
      </c>
      <c r="Q225" s="141" t="s">
        <v>29</v>
      </c>
      <c r="R225" s="142">
        <f t="shared" ref="R225:R230" ca="1" si="54">T225</f>
        <v>467217</v>
      </c>
      <c r="S225" s="142">
        <f t="shared" ref="S225:S230" ca="1" si="55">U225</f>
        <v>5522037</v>
      </c>
      <c r="T225" s="142">
        <f ca="1">기술사</f>
        <v>467217</v>
      </c>
      <c r="U225" s="142">
        <f t="shared" ref="U225:U230" ca="1" si="56">ROUNDDOWN(P225*R225,0)</f>
        <v>5522037</v>
      </c>
      <c r="V225" s="142"/>
      <c r="W225" s="142"/>
      <c r="X225" s="142"/>
      <c r="Y225" s="142"/>
      <c r="Z225" s="114"/>
    </row>
    <row r="226" spans="11:26" ht="18" customHeight="1">
      <c r="K226" s="171" t="s">
        <v>14</v>
      </c>
      <c r="L226" s="171"/>
      <c r="M226" s="171"/>
      <c r="N226" s="143" t="s">
        <v>32</v>
      </c>
      <c r="O226" s="173">
        <v>4</v>
      </c>
      <c r="P226" s="234">
        <f ca="1">OFFSET($A$1,MATCH(Z224,$A:$A,0)-1,O226)</f>
        <v>17.215</v>
      </c>
      <c r="Q226" s="144" t="s">
        <v>29</v>
      </c>
      <c r="R226" s="118">
        <f t="shared" ca="1" si="54"/>
        <v>373353</v>
      </c>
      <c r="S226" s="118">
        <f t="shared" ca="1" si="55"/>
        <v>6427271</v>
      </c>
      <c r="T226" s="118">
        <f ca="1">특급</f>
        <v>373353</v>
      </c>
      <c r="U226" s="118">
        <f t="shared" ca="1" si="56"/>
        <v>6427271</v>
      </c>
      <c r="V226" s="118"/>
      <c r="W226" s="118"/>
      <c r="X226" s="118"/>
      <c r="Y226" s="118"/>
      <c r="Z226" s="115"/>
    </row>
    <row r="227" spans="11:26" ht="18" customHeight="1">
      <c r="K227" s="171" t="s">
        <v>14</v>
      </c>
      <c r="L227" s="171"/>
      <c r="M227" s="171"/>
      <c r="N227" s="145" t="s">
        <v>39</v>
      </c>
      <c r="O227" s="173">
        <v>5</v>
      </c>
      <c r="P227" s="234">
        <f ca="1">OFFSET($A$1,MATCH(Z224,$A:$A,0)-1,O227)</f>
        <v>23.382000000000001</v>
      </c>
      <c r="Q227" s="144" t="s">
        <v>29</v>
      </c>
      <c r="R227" s="118">
        <f t="shared" ca="1" si="54"/>
        <v>310884</v>
      </c>
      <c r="S227" s="118">
        <f t="shared" ca="1" si="55"/>
        <v>7269089</v>
      </c>
      <c r="T227" s="118">
        <f ca="1">고급</f>
        <v>310884</v>
      </c>
      <c r="U227" s="118">
        <f t="shared" ca="1" si="56"/>
        <v>7269089</v>
      </c>
      <c r="V227" s="118"/>
      <c r="W227" s="118"/>
      <c r="X227" s="118"/>
      <c r="Y227" s="118"/>
      <c r="Z227" s="115"/>
    </row>
    <row r="228" spans="11:26" ht="18" customHeight="1">
      <c r="K228" s="171" t="s">
        <v>14</v>
      </c>
      <c r="L228" s="171"/>
      <c r="M228" s="171"/>
      <c r="N228" s="145" t="s">
        <v>40</v>
      </c>
      <c r="O228" s="173">
        <v>6</v>
      </c>
      <c r="P228" s="234">
        <f ca="1">OFFSET($A$1,MATCH(Z224,$A:$A,0)-1,O228)</f>
        <v>36.485999999999997</v>
      </c>
      <c r="Q228" s="144" t="s">
        <v>29</v>
      </c>
      <c r="R228" s="118">
        <f t="shared" ca="1" si="54"/>
        <v>295138</v>
      </c>
      <c r="S228" s="118">
        <f t="shared" ca="1" si="55"/>
        <v>10768405</v>
      </c>
      <c r="T228" s="118">
        <f ca="1">중급</f>
        <v>295138</v>
      </c>
      <c r="U228" s="118">
        <f t="shared" ca="1" si="56"/>
        <v>10768405</v>
      </c>
      <c r="V228" s="118"/>
      <c r="W228" s="118"/>
      <c r="X228" s="118"/>
      <c r="Y228" s="118"/>
      <c r="Z228" s="115"/>
    </row>
    <row r="229" spans="11:26" ht="18" customHeight="1">
      <c r="K229" s="171" t="s">
        <v>14</v>
      </c>
      <c r="L229" s="171"/>
      <c r="M229" s="171"/>
      <c r="N229" s="145" t="s">
        <v>41</v>
      </c>
      <c r="O229" s="173">
        <v>7</v>
      </c>
      <c r="P229" s="234">
        <f ca="1">OFFSET($A$1,MATCH(Z224,$A:$A,0)-1,O229)</f>
        <v>48.048999999999999</v>
      </c>
      <c r="Q229" s="144" t="s">
        <v>29</v>
      </c>
      <c r="R229" s="118">
        <f t="shared" ca="1" si="54"/>
        <v>235459</v>
      </c>
      <c r="S229" s="118">
        <f t="shared" ca="1" si="55"/>
        <v>11313569</v>
      </c>
      <c r="T229" s="118">
        <f ca="1">초급</f>
        <v>235459</v>
      </c>
      <c r="U229" s="118">
        <f t="shared" ca="1" si="56"/>
        <v>11313569</v>
      </c>
      <c r="V229" s="118"/>
      <c r="W229" s="118"/>
      <c r="X229" s="118"/>
      <c r="Y229" s="118"/>
      <c r="Z229" s="115"/>
    </row>
    <row r="230" spans="11:26" ht="18" customHeight="1">
      <c r="K230" s="171" t="s">
        <v>14</v>
      </c>
      <c r="L230" s="171"/>
      <c r="M230" s="171"/>
      <c r="N230" s="319" t="s">
        <v>42</v>
      </c>
      <c r="O230" s="174">
        <v>8</v>
      </c>
      <c r="P230" s="235">
        <f ca="1">OFFSET($A$1,MATCH(Z224,$A:$A,0)-1,O230)</f>
        <v>21.582999999999998</v>
      </c>
      <c r="Q230" s="322" t="s">
        <v>29</v>
      </c>
      <c r="R230" s="323">
        <f t="shared" ca="1" si="54"/>
        <v>250087</v>
      </c>
      <c r="S230" s="323">
        <f t="shared" ca="1" si="55"/>
        <v>5397627</v>
      </c>
      <c r="T230" s="323">
        <f ca="1">보조원</f>
        <v>250087</v>
      </c>
      <c r="U230" s="323">
        <f t="shared" ca="1" si="56"/>
        <v>5397627</v>
      </c>
      <c r="V230" s="323"/>
      <c r="W230" s="323"/>
      <c r="X230" s="323"/>
      <c r="Y230" s="323"/>
      <c r="Z230" s="324"/>
    </row>
    <row r="231" spans="11:26" ht="18" customHeight="1">
      <c r="K231" s="171" t="s">
        <v>14</v>
      </c>
      <c r="L231" s="171"/>
      <c r="M231" s="171"/>
      <c r="N231" s="139" t="s">
        <v>17</v>
      </c>
      <c r="O231" s="68"/>
      <c r="P231" s="69"/>
      <c r="Q231" s="70"/>
      <c r="R231" s="71"/>
      <c r="S231" s="71">
        <f ca="1">SUBTOTAL(9,S225:S230)</f>
        <v>46697998</v>
      </c>
      <c r="T231" s="71"/>
      <c r="U231" s="71">
        <f ca="1">SUBTOTAL(9,U225:U230)</f>
        <v>46697998</v>
      </c>
      <c r="V231" s="71"/>
      <c r="W231" s="71"/>
      <c r="X231" s="71"/>
      <c r="Y231" s="71"/>
      <c r="Z231" s="68"/>
    </row>
    <row r="232" spans="11:26" ht="18" customHeight="1">
      <c r="K232" s="171" t="s">
        <v>14</v>
      </c>
      <c r="L232" s="171"/>
      <c r="M232" s="171"/>
      <c r="N232" s="318" t="str">
        <f ca="1">"제 " &amp; Z232 &amp; " 호표  "&amp; OFFSET($A$1,MATCH(Z232,$A:$A,0)-1,1)</f>
        <v>제 21 호표  5-3. 토사유출해석</v>
      </c>
      <c r="O232" s="221"/>
      <c r="P232" s="148"/>
      <c r="Q232" s="148"/>
      <c r="R232" s="149"/>
      <c r="S232" s="149"/>
      <c r="T232" s="149"/>
      <c r="U232" s="149"/>
      <c r="V232" s="149"/>
      <c r="W232" s="149"/>
      <c r="X232" s="149"/>
      <c r="Y232" s="149"/>
      <c r="Z232" s="325">
        <f>Z224+1</f>
        <v>21</v>
      </c>
    </row>
    <row r="233" spans="11:26" ht="18" customHeight="1">
      <c r="K233" s="171" t="s">
        <v>14</v>
      </c>
      <c r="L233" s="171"/>
      <c r="M233" s="171"/>
      <c r="N233" s="140" t="s">
        <v>43</v>
      </c>
      <c r="O233" s="172">
        <v>3</v>
      </c>
      <c r="P233" s="219">
        <f ca="1">OFFSET($A$1,MATCH(Z232,$A:$A,0)-1,O233)</f>
        <v>3.7250000000000001</v>
      </c>
      <c r="Q233" s="141" t="s">
        <v>29</v>
      </c>
      <c r="R233" s="142">
        <f t="shared" ref="R233:R238" ca="1" si="57">T233</f>
        <v>467217</v>
      </c>
      <c r="S233" s="142">
        <f t="shared" ref="S233:S238" ca="1" si="58">U233</f>
        <v>1740383</v>
      </c>
      <c r="T233" s="142">
        <f ca="1">기술사</f>
        <v>467217</v>
      </c>
      <c r="U233" s="142">
        <f t="shared" ref="U233:U238" ca="1" si="59">ROUNDDOWN(P233*R233,0)</f>
        <v>1740383</v>
      </c>
      <c r="V233" s="142"/>
      <c r="W233" s="142"/>
      <c r="X233" s="142"/>
      <c r="Y233" s="142"/>
      <c r="Z233" s="114"/>
    </row>
    <row r="234" spans="11:26" ht="18" customHeight="1">
      <c r="K234" s="171" t="s">
        <v>14</v>
      </c>
      <c r="L234" s="171"/>
      <c r="M234" s="171"/>
      <c r="N234" s="143" t="s">
        <v>32</v>
      </c>
      <c r="O234" s="173">
        <v>4</v>
      </c>
      <c r="P234" s="234">
        <f ca="1">OFFSET($A$1,MATCH(Z232,$A:$A,0)-1,O234)</f>
        <v>4.4960000000000004</v>
      </c>
      <c r="Q234" s="144" t="s">
        <v>29</v>
      </c>
      <c r="R234" s="118">
        <f t="shared" ca="1" si="57"/>
        <v>373353</v>
      </c>
      <c r="S234" s="118">
        <f t="shared" ca="1" si="58"/>
        <v>1678595</v>
      </c>
      <c r="T234" s="118">
        <f ca="1">특급</f>
        <v>373353</v>
      </c>
      <c r="U234" s="118">
        <f t="shared" ca="1" si="59"/>
        <v>1678595</v>
      </c>
      <c r="V234" s="118"/>
      <c r="W234" s="118"/>
      <c r="X234" s="118"/>
      <c r="Y234" s="118"/>
      <c r="Z234" s="115"/>
    </row>
    <row r="235" spans="11:26" ht="18" customHeight="1">
      <c r="K235" s="171" t="s">
        <v>14</v>
      </c>
      <c r="L235" s="171"/>
      <c r="M235" s="171"/>
      <c r="N235" s="145" t="s">
        <v>39</v>
      </c>
      <c r="O235" s="173">
        <v>5</v>
      </c>
      <c r="P235" s="234">
        <f ca="1">OFFSET($A$1,MATCH(Z232,$A:$A,0)-1,O235)</f>
        <v>5.1390000000000002</v>
      </c>
      <c r="Q235" s="144" t="s">
        <v>29</v>
      </c>
      <c r="R235" s="118">
        <f t="shared" ca="1" si="57"/>
        <v>310884</v>
      </c>
      <c r="S235" s="118">
        <f t="shared" ca="1" si="58"/>
        <v>1597632</v>
      </c>
      <c r="T235" s="118">
        <f ca="1">고급</f>
        <v>310884</v>
      </c>
      <c r="U235" s="118">
        <f t="shared" ca="1" si="59"/>
        <v>1597632</v>
      </c>
      <c r="V235" s="118"/>
      <c r="W235" s="118"/>
      <c r="X235" s="118"/>
      <c r="Y235" s="118"/>
      <c r="Z235" s="115"/>
    </row>
    <row r="236" spans="11:26" ht="18" customHeight="1">
      <c r="K236" s="171" t="s">
        <v>14</v>
      </c>
      <c r="L236" s="171"/>
      <c r="M236" s="171"/>
      <c r="N236" s="145" t="s">
        <v>40</v>
      </c>
      <c r="O236" s="173">
        <v>6</v>
      </c>
      <c r="P236" s="234">
        <f ca="1">OFFSET($A$1,MATCH(Z232,$A:$A,0)-1,O236)</f>
        <v>6.68</v>
      </c>
      <c r="Q236" s="144" t="s">
        <v>29</v>
      </c>
      <c r="R236" s="118">
        <f t="shared" ca="1" si="57"/>
        <v>295138</v>
      </c>
      <c r="S236" s="118">
        <f t="shared" ca="1" si="58"/>
        <v>1971521</v>
      </c>
      <c r="T236" s="118">
        <f ca="1">중급</f>
        <v>295138</v>
      </c>
      <c r="U236" s="118">
        <f t="shared" ca="1" si="59"/>
        <v>1971521</v>
      </c>
      <c r="V236" s="118"/>
      <c r="W236" s="118"/>
      <c r="X236" s="118"/>
      <c r="Y236" s="118"/>
      <c r="Z236" s="115"/>
    </row>
    <row r="237" spans="11:26" ht="18" customHeight="1">
      <c r="K237" s="171" t="s">
        <v>14</v>
      </c>
      <c r="L237" s="171"/>
      <c r="M237" s="171"/>
      <c r="N237" s="145" t="s">
        <v>41</v>
      </c>
      <c r="O237" s="173">
        <v>7</v>
      </c>
      <c r="P237" s="234">
        <f ca="1">OFFSET($A$1,MATCH(Z232,$A:$A,0)-1,O237)</f>
        <v>8.9930000000000003</v>
      </c>
      <c r="Q237" s="144" t="s">
        <v>29</v>
      </c>
      <c r="R237" s="118">
        <f t="shared" ca="1" si="57"/>
        <v>235459</v>
      </c>
      <c r="S237" s="118">
        <f t="shared" ca="1" si="58"/>
        <v>2117482</v>
      </c>
      <c r="T237" s="118">
        <f ca="1">초급</f>
        <v>235459</v>
      </c>
      <c r="U237" s="118">
        <f t="shared" ca="1" si="59"/>
        <v>2117482</v>
      </c>
      <c r="V237" s="118"/>
      <c r="W237" s="118"/>
      <c r="X237" s="118"/>
      <c r="Y237" s="118"/>
      <c r="Z237" s="115"/>
    </row>
    <row r="238" spans="11:26" ht="18" customHeight="1">
      <c r="K238" s="171" t="s">
        <v>14</v>
      </c>
      <c r="L238" s="171"/>
      <c r="M238" s="171"/>
      <c r="N238" s="319" t="s">
        <v>42</v>
      </c>
      <c r="O238" s="174">
        <v>8</v>
      </c>
      <c r="P238" s="235">
        <f ca="1">OFFSET($A$1,MATCH(Z232,$A:$A,0)-1,O238)</f>
        <v>9.7639999999999993</v>
      </c>
      <c r="Q238" s="322" t="s">
        <v>29</v>
      </c>
      <c r="R238" s="323">
        <f t="shared" ca="1" si="57"/>
        <v>250087</v>
      </c>
      <c r="S238" s="323">
        <f t="shared" ca="1" si="58"/>
        <v>2441849</v>
      </c>
      <c r="T238" s="323">
        <f ca="1">보조원</f>
        <v>250087</v>
      </c>
      <c r="U238" s="323">
        <f t="shared" ca="1" si="59"/>
        <v>2441849</v>
      </c>
      <c r="V238" s="323"/>
      <c r="W238" s="323"/>
      <c r="X238" s="323"/>
      <c r="Y238" s="323"/>
      <c r="Z238" s="324"/>
    </row>
    <row r="239" spans="11:26" ht="18" customHeight="1">
      <c r="K239" s="171" t="s">
        <v>14</v>
      </c>
      <c r="L239" s="171"/>
      <c r="M239" s="171"/>
      <c r="N239" s="139" t="s">
        <v>17</v>
      </c>
      <c r="O239" s="68"/>
      <c r="P239" s="69"/>
      <c r="Q239" s="70"/>
      <c r="R239" s="71"/>
      <c r="S239" s="71">
        <f ca="1">SUBTOTAL(9,S233:S238)</f>
        <v>11547462</v>
      </c>
      <c r="T239" s="71"/>
      <c r="U239" s="71">
        <f ca="1">SUBTOTAL(9,U233:U238)</f>
        <v>11547462</v>
      </c>
      <c r="V239" s="71"/>
      <c r="W239" s="71"/>
      <c r="X239" s="71"/>
      <c r="Y239" s="71"/>
      <c r="Z239" s="68"/>
    </row>
    <row r="240" spans="11:26" ht="18" customHeight="1">
      <c r="K240" s="171" t="s">
        <v>14</v>
      </c>
      <c r="L240" s="171"/>
      <c r="M240" s="171"/>
      <c r="N240" s="318" t="str">
        <f ca="1">"제 " &amp; Z240 &amp; " 호표  "&amp; OFFSET($A$1,MATCH(Z240,$A:$A,0)-1,1)</f>
        <v>제 22 호표  5-4. 사면 관련 재해위험도 평가 및 사면안정해석</v>
      </c>
      <c r="O240" s="221"/>
      <c r="P240" s="148"/>
      <c r="Q240" s="148"/>
      <c r="R240" s="149"/>
      <c r="S240" s="149"/>
      <c r="T240" s="149"/>
      <c r="U240" s="149"/>
      <c r="V240" s="149"/>
      <c r="W240" s="149"/>
      <c r="X240" s="149"/>
      <c r="Y240" s="149"/>
      <c r="Z240" s="325">
        <f>Z232+1</f>
        <v>22</v>
      </c>
    </row>
    <row r="241" spans="11:26" ht="18" customHeight="1">
      <c r="K241" s="171" t="s">
        <v>14</v>
      </c>
      <c r="L241" s="171"/>
      <c r="M241" s="171"/>
      <c r="N241" s="140" t="s">
        <v>43</v>
      </c>
      <c r="O241" s="172">
        <v>3</v>
      </c>
      <c r="P241" s="219">
        <f ca="1">OFFSET($A$1,MATCH(Z240,$A:$A,0)-1,O241)</f>
        <v>3.8540000000000001</v>
      </c>
      <c r="Q241" s="141" t="s">
        <v>29</v>
      </c>
      <c r="R241" s="142">
        <f t="shared" ref="R241:R246" ca="1" si="60">T241</f>
        <v>467217</v>
      </c>
      <c r="S241" s="142">
        <f t="shared" ref="S241:S246" ca="1" si="61">U241</f>
        <v>1800654</v>
      </c>
      <c r="T241" s="142">
        <f ca="1">기술사</f>
        <v>467217</v>
      </c>
      <c r="U241" s="142">
        <f t="shared" ref="U241:U246" ca="1" si="62">ROUNDDOWN(P241*R241,0)</f>
        <v>1800654</v>
      </c>
      <c r="V241" s="142"/>
      <c r="W241" s="142"/>
      <c r="X241" s="142"/>
      <c r="Y241" s="142"/>
      <c r="Z241" s="114"/>
    </row>
    <row r="242" spans="11:26" ht="18" customHeight="1">
      <c r="K242" s="171" t="s">
        <v>14</v>
      </c>
      <c r="L242" s="171"/>
      <c r="M242" s="171"/>
      <c r="N242" s="143" t="s">
        <v>32</v>
      </c>
      <c r="O242" s="173">
        <v>4</v>
      </c>
      <c r="P242" s="234">
        <f ca="1">OFFSET($A$1,MATCH(Z240,$A:$A,0)-1,O242)</f>
        <v>0</v>
      </c>
      <c r="Q242" s="144" t="s">
        <v>29</v>
      </c>
      <c r="R242" s="118">
        <f t="shared" ca="1" si="60"/>
        <v>373353</v>
      </c>
      <c r="S242" s="118">
        <f t="shared" ca="1" si="61"/>
        <v>0</v>
      </c>
      <c r="T242" s="118">
        <f ca="1">특급</f>
        <v>373353</v>
      </c>
      <c r="U242" s="118">
        <f t="shared" ca="1" si="62"/>
        <v>0</v>
      </c>
      <c r="V242" s="118"/>
      <c r="W242" s="118"/>
      <c r="X242" s="118"/>
      <c r="Y242" s="118"/>
      <c r="Z242" s="115"/>
    </row>
    <row r="243" spans="11:26" ht="18" customHeight="1">
      <c r="K243" s="171" t="s">
        <v>14</v>
      </c>
      <c r="L243" s="171"/>
      <c r="M243" s="171"/>
      <c r="N243" s="145" t="s">
        <v>39</v>
      </c>
      <c r="O243" s="173">
        <v>5</v>
      </c>
      <c r="P243" s="234">
        <f ca="1">OFFSET($A$1,MATCH(Z240,$A:$A,0)-1,O243)</f>
        <v>7.7080000000000002</v>
      </c>
      <c r="Q243" s="144" t="s">
        <v>29</v>
      </c>
      <c r="R243" s="118">
        <f t="shared" ca="1" si="60"/>
        <v>310884</v>
      </c>
      <c r="S243" s="118">
        <f t="shared" ca="1" si="61"/>
        <v>2396293</v>
      </c>
      <c r="T243" s="118">
        <f ca="1">고급</f>
        <v>310884</v>
      </c>
      <c r="U243" s="118">
        <f t="shared" ca="1" si="62"/>
        <v>2396293</v>
      </c>
      <c r="V243" s="118"/>
      <c r="W243" s="118"/>
      <c r="X243" s="118"/>
      <c r="Y243" s="118"/>
      <c r="Z243" s="115"/>
    </row>
    <row r="244" spans="11:26" ht="18" customHeight="1">
      <c r="K244" s="171" t="s">
        <v>14</v>
      </c>
      <c r="L244" s="171"/>
      <c r="M244" s="171"/>
      <c r="N244" s="145" t="s">
        <v>40</v>
      </c>
      <c r="O244" s="173">
        <v>6</v>
      </c>
      <c r="P244" s="234">
        <f ca="1">OFFSET($A$1,MATCH(Z240,$A:$A,0)-1,O244)</f>
        <v>7.7080000000000002</v>
      </c>
      <c r="Q244" s="144" t="s">
        <v>29</v>
      </c>
      <c r="R244" s="118">
        <f t="shared" ca="1" si="60"/>
        <v>295138</v>
      </c>
      <c r="S244" s="118">
        <f t="shared" ca="1" si="61"/>
        <v>2274923</v>
      </c>
      <c r="T244" s="118">
        <f ca="1">중급</f>
        <v>295138</v>
      </c>
      <c r="U244" s="118">
        <f t="shared" ca="1" si="62"/>
        <v>2274923</v>
      </c>
      <c r="V244" s="118"/>
      <c r="W244" s="118"/>
      <c r="X244" s="118"/>
      <c r="Y244" s="118"/>
      <c r="Z244" s="115"/>
    </row>
    <row r="245" spans="11:26" ht="18" customHeight="1">
      <c r="K245" s="171" t="s">
        <v>14</v>
      </c>
      <c r="L245" s="171"/>
      <c r="M245" s="171"/>
      <c r="N245" s="145" t="s">
        <v>41</v>
      </c>
      <c r="O245" s="173">
        <v>7</v>
      </c>
      <c r="P245" s="234">
        <f ca="1">OFFSET($A$1,MATCH(Z240,$A:$A,0)-1,O245)</f>
        <v>0</v>
      </c>
      <c r="Q245" s="144" t="s">
        <v>29</v>
      </c>
      <c r="R245" s="118">
        <f t="shared" ca="1" si="60"/>
        <v>235459</v>
      </c>
      <c r="S245" s="118">
        <f t="shared" ca="1" si="61"/>
        <v>0</v>
      </c>
      <c r="T245" s="118">
        <f ca="1">초급</f>
        <v>235459</v>
      </c>
      <c r="U245" s="118">
        <f t="shared" ca="1" si="62"/>
        <v>0</v>
      </c>
      <c r="V245" s="118"/>
      <c r="W245" s="118"/>
      <c r="X245" s="118"/>
      <c r="Y245" s="118"/>
      <c r="Z245" s="115"/>
    </row>
    <row r="246" spans="11:26" ht="18" customHeight="1">
      <c r="K246" s="171" t="s">
        <v>14</v>
      </c>
      <c r="L246" s="171"/>
      <c r="M246" s="171"/>
      <c r="N246" s="319" t="s">
        <v>42</v>
      </c>
      <c r="O246" s="174">
        <v>8</v>
      </c>
      <c r="P246" s="235">
        <f ca="1">OFFSET($A$1,MATCH(Z240,$A:$A,0)-1,O246)</f>
        <v>0</v>
      </c>
      <c r="Q246" s="322" t="s">
        <v>29</v>
      </c>
      <c r="R246" s="323">
        <f t="shared" ca="1" si="60"/>
        <v>250087</v>
      </c>
      <c r="S246" s="323">
        <f t="shared" ca="1" si="61"/>
        <v>0</v>
      </c>
      <c r="T246" s="323">
        <f ca="1">보조원</f>
        <v>250087</v>
      </c>
      <c r="U246" s="323">
        <f t="shared" ca="1" si="62"/>
        <v>0</v>
      </c>
      <c r="V246" s="323"/>
      <c r="W246" s="323"/>
      <c r="X246" s="323"/>
      <c r="Y246" s="323"/>
      <c r="Z246" s="324"/>
    </row>
    <row r="247" spans="11:26" ht="18" customHeight="1">
      <c r="K247" s="171" t="s">
        <v>14</v>
      </c>
      <c r="L247" s="171"/>
      <c r="M247" s="171"/>
      <c r="N247" s="139" t="s">
        <v>17</v>
      </c>
      <c r="O247" s="68"/>
      <c r="P247" s="69"/>
      <c r="Q247" s="70"/>
      <c r="R247" s="71"/>
      <c r="S247" s="71">
        <f ca="1">SUBTOTAL(9,S241:S246)</f>
        <v>6471870</v>
      </c>
      <c r="T247" s="71"/>
      <c r="U247" s="71">
        <f ca="1">SUBTOTAL(9,U241:U246)</f>
        <v>6471870</v>
      </c>
      <c r="V247" s="71"/>
      <c r="W247" s="71"/>
      <c r="X247" s="71"/>
      <c r="Y247" s="71"/>
      <c r="Z247" s="68"/>
    </row>
    <row r="248" spans="11:26" ht="18" customHeight="1">
      <c r="K248" s="171" t="s">
        <v>14</v>
      </c>
      <c r="L248" s="171"/>
      <c r="M248" s="171"/>
      <c r="N248" s="318" t="str">
        <f ca="1">"제 " &amp; Z248 &amp; " 호표  "&amp; OFFSET($A$1,MATCH(Z248,$A:$A,0)-1,1)</f>
        <v>제 23 호표  6-1. 저감대책 수립 및 저감방안 반영 기본방향</v>
      </c>
      <c r="O248" s="221"/>
      <c r="P248" s="148"/>
      <c r="Q248" s="148"/>
      <c r="R248" s="149"/>
      <c r="S248" s="149"/>
      <c r="T248" s="149"/>
      <c r="U248" s="149"/>
      <c r="V248" s="149"/>
      <c r="W248" s="149"/>
      <c r="X248" s="149"/>
      <c r="Y248" s="149"/>
      <c r="Z248" s="325">
        <f>Z240+1</f>
        <v>23</v>
      </c>
    </row>
    <row r="249" spans="11:26" ht="18" customHeight="1">
      <c r="K249" s="171" t="s">
        <v>14</v>
      </c>
      <c r="L249" s="171"/>
      <c r="M249" s="171"/>
      <c r="N249" s="140" t="s">
        <v>43</v>
      </c>
      <c r="O249" s="172">
        <v>3</v>
      </c>
      <c r="P249" s="219">
        <f ca="1">OFFSET($A$1,MATCH(Z248,$A:$A,0)-1,O249)</f>
        <v>0.09</v>
      </c>
      <c r="Q249" s="141" t="s">
        <v>29</v>
      </c>
      <c r="R249" s="142">
        <f t="shared" ref="R249:R254" ca="1" si="63">T249</f>
        <v>467217</v>
      </c>
      <c r="S249" s="142">
        <f t="shared" ref="S249:S254" ca="1" si="64">U249</f>
        <v>42049</v>
      </c>
      <c r="T249" s="142">
        <f ca="1">기술사</f>
        <v>467217</v>
      </c>
      <c r="U249" s="142">
        <f t="shared" ref="U249:U254" ca="1" si="65">ROUNDDOWN(P249*R249,0)</f>
        <v>42049</v>
      </c>
      <c r="V249" s="142"/>
      <c r="W249" s="142"/>
      <c r="X249" s="142"/>
      <c r="Y249" s="142"/>
      <c r="Z249" s="114"/>
    </row>
    <row r="250" spans="11:26" ht="18" customHeight="1">
      <c r="K250" s="171" t="s">
        <v>14</v>
      </c>
      <c r="L250" s="171"/>
      <c r="M250" s="171"/>
      <c r="N250" s="143" t="s">
        <v>32</v>
      </c>
      <c r="O250" s="173">
        <v>4</v>
      </c>
      <c r="P250" s="234">
        <f ca="1">OFFSET($A$1,MATCH(Z248,$A:$A,0)-1,O250)</f>
        <v>0.09</v>
      </c>
      <c r="Q250" s="144" t="s">
        <v>29</v>
      </c>
      <c r="R250" s="118">
        <f t="shared" ca="1" si="63"/>
        <v>373353</v>
      </c>
      <c r="S250" s="118">
        <f t="shared" ca="1" si="64"/>
        <v>33601</v>
      </c>
      <c r="T250" s="118">
        <f ca="1">특급</f>
        <v>373353</v>
      </c>
      <c r="U250" s="118">
        <f t="shared" ca="1" si="65"/>
        <v>33601</v>
      </c>
      <c r="V250" s="118"/>
      <c r="W250" s="118"/>
      <c r="X250" s="118"/>
      <c r="Y250" s="118"/>
      <c r="Z250" s="115"/>
    </row>
    <row r="251" spans="11:26" ht="18" customHeight="1">
      <c r="K251" s="171" t="s">
        <v>14</v>
      </c>
      <c r="L251" s="171"/>
      <c r="M251" s="171"/>
      <c r="N251" s="145" t="s">
        <v>39</v>
      </c>
      <c r="O251" s="173">
        <v>5</v>
      </c>
      <c r="P251" s="234">
        <f ca="1">OFFSET($A$1,MATCH(Z248,$A:$A,0)-1,O251)</f>
        <v>0.18</v>
      </c>
      <c r="Q251" s="144" t="s">
        <v>29</v>
      </c>
      <c r="R251" s="118">
        <f t="shared" ca="1" si="63"/>
        <v>310884</v>
      </c>
      <c r="S251" s="118">
        <f t="shared" ca="1" si="64"/>
        <v>55959</v>
      </c>
      <c r="T251" s="118">
        <f ca="1">고급</f>
        <v>310884</v>
      </c>
      <c r="U251" s="118">
        <f t="shared" ca="1" si="65"/>
        <v>55959</v>
      </c>
      <c r="V251" s="118"/>
      <c r="W251" s="118"/>
      <c r="X251" s="118"/>
      <c r="Y251" s="118"/>
      <c r="Z251" s="115"/>
    </row>
    <row r="252" spans="11:26" ht="18" customHeight="1">
      <c r="K252" s="171" t="s">
        <v>14</v>
      </c>
      <c r="L252" s="171"/>
      <c r="M252" s="171"/>
      <c r="N252" s="145" t="s">
        <v>40</v>
      </c>
      <c r="O252" s="173">
        <v>6</v>
      </c>
      <c r="P252" s="234">
        <f ca="1">OFFSET($A$1,MATCH(Z248,$A:$A,0)-1,O252)</f>
        <v>0.27</v>
      </c>
      <c r="Q252" s="144" t="s">
        <v>29</v>
      </c>
      <c r="R252" s="118">
        <f t="shared" ca="1" si="63"/>
        <v>295138</v>
      </c>
      <c r="S252" s="118">
        <f t="shared" ca="1" si="64"/>
        <v>79687</v>
      </c>
      <c r="T252" s="118">
        <f ca="1">중급</f>
        <v>295138</v>
      </c>
      <c r="U252" s="118">
        <f t="shared" ca="1" si="65"/>
        <v>79687</v>
      </c>
      <c r="V252" s="118"/>
      <c r="W252" s="118"/>
      <c r="X252" s="118"/>
      <c r="Y252" s="118"/>
      <c r="Z252" s="115"/>
    </row>
    <row r="253" spans="11:26" ht="18" customHeight="1">
      <c r="K253" s="171" t="s">
        <v>14</v>
      </c>
      <c r="L253" s="171"/>
      <c r="M253" s="171"/>
      <c r="N253" s="145" t="s">
        <v>41</v>
      </c>
      <c r="O253" s="173">
        <v>7</v>
      </c>
      <c r="P253" s="234">
        <f ca="1">OFFSET($A$1,MATCH(Z248,$A:$A,0)-1,O253)</f>
        <v>0.36</v>
      </c>
      <c r="Q253" s="144" t="s">
        <v>29</v>
      </c>
      <c r="R253" s="118">
        <f t="shared" ca="1" si="63"/>
        <v>235459</v>
      </c>
      <c r="S253" s="118">
        <f t="shared" ca="1" si="64"/>
        <v>84765</v>
      </c>
      <c r="T253" s="118">
        <f ca="1">초급</f>
        <v>235459</v>
      </c>
      <c r="U253" s="118">
        <f t="shared" ca="1" si="65"/>
        <v>84765</v>
      </c>
      <c r="V253" s="118"/>
      <c r="W253" s="118"/>
      <c r="X253" s="118"/>
      <c r="Y253" s="118"/>
      <c r="Z253" s="115"/>
    </row>
    <row r="254" spans="11:26" ht="18" customHeight="1">
      <c r="K254" s="171" t="s">
        <v>14</v>
      </c>
      <c r="L254" s="171"/>
      <c r="M254" s="171"/>
      <c r="N254" s="319" t="s">
        <v>42</v>
      </c>
      <c r="O254" s="174">
        <v>8</v>
      </c>
      <c r="P254" s="235">
        <f ca="1">OFFSET($A$1,MATCH(Z248,$A:$A,0)-1,O254)</f>
        <v>0.27</v>
      </c>
      <c r="Q254" s="322" t="s">
        <v>29</v>
      </c>
      <c r="R254" s="323">
        <f t="shared" ca="1" si="63"/>
        <v>250087</v>
      </c>
      <c r="S254" s="323">
        <f t="shared" ca="1" si="64"/>
        <v>67523</v>
      </c>
      <c r="T254" s="323">
        <f ca="1">보조원</f>
        <v>250087</v>
      </c>
      <c r="U254" s="323">
        <f t="shared" ca="1" si="65"/>
        <v>67523</v>
      </c>
      <c r="V254" s="323"/>
      <c r="W254" s="323"/>
      <c r="X254" s="323"/>
      <c r="Y254" s="323"/>
      <c r="Z254" s="324"/>
    </row>
    <row r="255" spans="11:26" ht="18" customHeight="1">
      <c r="K255" s="171" t="s">
        <v>14</v>
      </c>
      <c r="L255" s="171"/>
      <c r="M255" s="171"/>
      <c r="N255" s="139" t="s">
        <v>17</v>
      </c>
      <c r="O255" s="68"/>
      <c r="P255" s="69"/>
      <c r="Q255" s="70"/>
      <c r="R255" s="71"/>
      <c r="S255" s="71">
        <f ca="1">SUBTOTAL(9,S249:S254)</f>
        <v>363584</v>
      </c>
      <c r="T255" s="71"/>
      <c r="U255" s="71">
        <f ca="1">SUBTOTAL(9,U249:U254)</f>
        <v>363584</v>
      </c>
      <c r="V255" s="71"/>
      <c r="W255" s="71"/>
      <c r="X255" s="71"/>
      <c r="Y255" s="71"/>
      <c r="Z255" s="68"/>
    </row>
    <row r="256" spans="11:26" ht="18" customHeight="1">
      <c r="K256" s="171" t="s">
        <v>14</v>
      </c>
      <c r="L256" s="171"/>
      <c r="M256" s="171"/>
      <c r="N256" s="318" t="str">
        <f ca="1">"제 " &amp; Z256 &amp; " 호표  "&amp; OFFSET($A$1,MATCH(Z256,$A:$A,0)-1,1)</f>
        <v>제 24 호표   1) 개발 중 홍수 및 토사유출 저감대책</v>
      </c>
      <c r="O256" s="221"/>
      <c r="P256" s="148"/>
      <c r="Q256" s="148"/>
      <c r="R256" s="149"/>
      <c r="S256" s="149"/>
      <c r="T256" s="149"/>
      <c r="U256" s="149"/>
      <c r="V256" s="149"/>
      <c r="W256" s="149"/>
      <c r="X256" s="149"/>
      <c r="Y256" s="149"/>
      <c r="Z256" s="325">
        <f>Z248+1</f>
        <v>24</v>
      </c>
    </row>
    <row r="257" spans="11:26" ht="18" customHeight="1">
      <c r="K257" s="171" t="s">
        <v>14</v>
      </c>
      <c r="L257" s="171"/>
      <c r="M257" s="171"/>
      <c r="N257" s="140" t="s">
        <v>43</v>
      </c>
      <c r="O257" s="172">
        <v>3</v>
      </c>
      <c r="P257" s="219">
        <f ca="1">OFFSET($A$1,MATCH(Z256,$A:$A,0)-1,O257)</f>
        <v>2.3119999999999998</v>
      </c>
      <c r="Q257" s="141" t="s">
        <v>29</v>
      </c>
      <c r="R257" s="142">
        <f t="shared" ref="R257:R262" ca="1" si="66">T257</f>
        <v>467217</v>
      </c>
      <c r="S257" s="142">
        <f t="shared" ref="S257:S262" ca="1" si="67">U257</f>
        <v>1080205</v>
      </c>
      <c r="T257" s="142">
        <f ca="1">기술사</f>
        <v>467217</v>
      </c>
      <c r="U257" s="142">
        <f t="shared" ref="U257:U262" ca="1" si="68">ROUNDDOWN(P257*R257,0)</f>
        <v>1080205</v>
      </c>
      <c r="V257" s="142"/>
      <c r="W257" s="142"/>
      <c r="X257" s="142"/>
      <c r="Y257" s="142"/>
      <c r="Z257" s="114"/>
    </row>
    <row r="258" spans="11:26" ht="18" customHeight="1">
      <c r="K258" s="171" t="s">
        <v>14</v>
      </c>
      <c r="L258" s="171"/>
      <c r="M258" s="171"/>
      <c r="N258" s="143" t="s">
        <v>32</v>
      </c>
      <c r="O258" s="173">
        <v>4</v>
      </c>
      <c r="P258" s="234">
        <f ca="1">OFFSET($A$1,MATCH(Z256,$A:$A,0)-1,O258)</f>
        <v>3.7250000000000001</v>
      </c>
      <c r="Q258" s="144" t="s">
        <v>29</v>
      </c>
      <c r="R258" s="118">
        <f t="shared" ca="1" si="66"/>
        <v>373353</v>
      </c>
      <c r="S258" s="118">
        <f t="shared" ca="1" si="67"/>
        <v>1390739</v>
      </c>
      <c r="T258" s="118">
        <f ca="1">특급</f>
        <v>373353</v>
      </c>
      <c r="U258" s="118">
        <f t="shared" ca="1" si="68"/>
        <v>1390739</v>
      </c>
      <c r="V258" s="118"/>
      <c r="W258" s="118"/>
      <c r="X258" s="118"/>
      <c r="Y258" s="118"/>
      <c r="Z258" s="115"/>
    </row>
    <row r="259" spans="11:26" ht="18" customHeight="1">
      <c r="K259" s="171" t="s">
        <v>14</v>
      </c>
      <c r="L259" s="171"/>
      <c r="M259" s="171"/>
      <c r="N259" s="145" t="s">
        <v>39</v>
      </c>
      <c r="O259" s="173">
        <v>5</v>
      </c>
      <c r="P259" s="234">
        <f ca="1">OFFSET($A$1,MATCH(Z256,$A:$A,0)-1,O259)</f>
        <v>5.9089999999999998</v>
      </c>
      <c r="Q259" s="144" t="s">
        <v>29</v>
      </c>
      <c r="R259" s="118">
        <f t="shared" ca="1" si="66"/>
        <v>310884</v>
      </c>
      <c r="S259" s="118">
        <f t="shared" ca="1" si="67"/>
        <v>1837013</v>
      </c>
      <c r="T259" s="118">
        <f ca="1">고급</f>
        <v>310884</v>
      </c>
      <c r="U259" s="118">
        <f t="shared" ca="1" si="68"/>
        <v>1837013</v>
      </c>
      <c r="V259" s="118"/>
      <c r="W259" s="118"/>
      <c r="X259" s="118"/>
      <c r="Y259" s="118"/>
      <c r="Z259" s="115"/>
    </row>
    <row r="260" spans="11:26" ht="18" customHeight="1">
      <c r="K260" s="171" t="s">
        <v>14</v>
      </c>
      <c r="L260" s="171"/>
      <c r="M260" s="171"/>
      <c r="N260" s="145" t="s">
        <v>40</v>
      </c>
      <c r="O260" s="173">
        <v>6</v>
      </c>
      <c r="P260" s="234">
        <f ca="1">OFFSET($A$1,MATCH(Z256,$A:$A,0)-1,O260)</f>
        <v>8.9930000000000003</v>
      </c>
      <c r="Q260" s="144" t="s">
        <v>29</v>
      </c>
      <c r="R260" s="118">
        <f t="shared" ca="1" si="66"/>
        <v>295138</v>
      </c>
      <c r="S260" s="118">
        <f t="shared" ca="1" si="67"/>
        <v>2654176</v>
      </c>
      <c r="T260" s="118">
        <f ca="1">중급</f>
        <v>295138</v>
      </c>
      <c r="U260" s="118">
        <f t="shared" ca="1" si="68"/>
        <v>2654176</v>
      </c>
      <c r="V260" s="118"/>
      <c r="W260" s="118"/>
      <c r="X260" s="118"/>
      <c r="Y260" s="118"/>
      <c r="Z260" s="115"/>
    </row>
    <row r="261" spans="11:26" ht="18" customHeight="1">
      <c r="K261" s="171" t="s">
        <v>14</v>
      </c>
      <c r="L261" s="171"/>
      <c r="M261" s="171"/>
      <c r="N261" s="145" t="s">
        <v>41</v>
      </c>
      <c r="O261" s="173">
        <v>7</v>
      </c>
      <c r="P261" s="234">
        <f ca="1">OFFSET($A$1,MATCH(Z256,$A:$A,0)-1,O261)</f>
        <v>11.177</v>
      </c>
      <c r="Q261" s="144" t="s">
        <v>29</v>
      </c>
      <c r="R261" s="118">
        <f t="shared" ca="1" si="66"/>
        <v>235459</v>
      </c>
      <c r="S261" s="118">
        <f t="shared" ca="1" si="67"/>
        <v>2631725</v>
      </c>
      <c r="T261" s="118">
        <f ca="1">초급</f>
        <v>235459</v>
      </c>
      <c r="U261" s="118">
        <f t="shared" ca="1" si="68"/>
        <v>2631725</v>
      </c>
      <c r="V261" s="118"/>
      <c r="W261" s="118"/>
      <c r="X261" s="118"/>
      <c r="Y261" s="118"/>
      <c r="Z261" s="115"/>
    </row>
    <row r="262" spans="11:26" ht="18" customHeight="1">
      <c r="K262" s="171" t="s">
        <v>14</v>
      </c>
      <c r="L262" s="171"/>
      <c r="M262" s="171"/>
      <c r="N262" s="319" t="s">
        <v>42</v>
      </c>
      <c r="O262" s="174">
        <v>8</v>
      </c>
      <c r="P262" s="235">
        <f ca="1">OFFSET($A$1,MATCH(Z256,$A:$A,0)-1,O262)</f>
        <v>8.9930000000000003</v>
      </c>
      <c r="Q262" s="322" t="s">
        <v>29</v>
      </c>
      <c r="R262" s="323">
        <f t="shared" ca="1" si="66"/>
        <v>250087</v>
      </c>
      <c r="S262" s="323">
        <f t="shared" ca="1" si="67"/>
        <v>2249032</v>
      </c>
      <c r="T262" s="323">
        <f ca="1">보조원</f>
        <v>250087</v>
      </c>
      <c r="U262" s="323">
        <f t="shared" ca="1" si="68"/>
        <v>2249032</v>
      </c>
      <c r="V262" s="323"/>
      <c r="W262" s="323"/>
      <c r="X262" s="323"/>
      <c r="Y262" s="323"/>
      <c r="Z262" s="324"/>
    </row>
    <row r="263" spans="11:26" ht="18" customHeight="1">
      <c r="K263" s="171" t="s">
        <v>14</v>
      </c>
      <c r="L263" s="171"/>
      <c r="M263" s="171"/>
      <c r="N263" s="139" t="s">
        <v>17</v>
      </c>
      <c r="O263" s="68"/>
      <c r="P263" s="69"/>
      <c r="Q263" s="70"/>
      <c r="R263" s="71"/>
      <c r="S263" s="71">
        <f ca="1">SUBTOTAL(9,S257:S262)</f>
        <v>11842890</v>
      </c>
      <c r="T263" s="71"/>
      <c r="U263" s="71">
        <f ca="1">SUBTOTAL(9,U257:U262)</f>
        <v>11842890</v>
      </c>
      <c r="V263" s="71"/>
      <c r="W263" s="71"/>
      <c r="X263" s="71"/>
      <c r="Y263" s="71"/>
      <c r="Z263" s="68"/>
    </row>
    <row r="264" spans="11:26" ht="18" customHeight="1">
      <c r="K264" s="171" t="s">
        <v>14</v>
      </c>
      <c r="L264" s="171"/>
      <c r="M264" s="171"/>
      <c r="N264" s="318" t="str">
        <f ca="1">"제 " &amp; Z264 &amp; " 호표  "&amp; OFFSET($A$1,MATCH(Z264,$A:$A,0)-1,1)</f>
        <v>제 25 호표   2) 개발 후 홍수유출 저감대책</v>
      </c>
      <c r="O264" s="221"/>
      <c r="P264" s="148"/>
      <c r="Q264" s="148"/>
      <c r="R264" s="149"/>
      <c r="S264" s="149"/>
      <c r="T264" s="149"/>
      <c r="U264" s="149"/>
      <c r="V264" s="149"/>
      <c r="W264" s="149"/>
      <c r="X264" s="149"/>
      <c r="Y264" s="149"/>
      <c r="Z264" s="325">
        <f>Z256+1</f>
        <v>25</v>
      </c>
    </row>
    <row r="265" spans="11:26" ht="18" customHeight="1">
      <c r="K265" s="171" t="s">
        <v>14</v>
      </c>
      <c r="L265" s="171"/>
      <c r="M265" s="171"/>
      <c r="N265" s="140" t="s">
        <v>43</v>
      </c>
      <c r="O265" s="172">
        <v>3</v>
      </c>
      <c r="P265" s="219">
        <f ca="1">OFFSET($A$1,MATCH(Z264,$A:$A,0)-1,O265)</f>
        <v>2.3119999999999998</v>
      </c>
      <c r="Q265" s="141" t="s">
        <v>29</v>
      </c>
      <c r="R265" s="142">
        <f t="shared" ref="R265:R270" ca="1" si="69">T265</f>
        <v>467217</v>
      </c>
      <c r="S265" s="142">
        <f t="shared" ref="S265:S270" ca="1" si="70">U265</f>
        <v>1080205</v>
      </c>
      <c r="T265" s="142">
        <f ca="1">기술사</f>
        <v>467217</v>
      </c>
      <c r="U265" s="142">
        <f t="shared" ref="U265:U270" ca="1" si="71">ROUNDDOWN(P265*R265,0)</f>
        <v>1080205</v>
      </c>
      <c r="V265" s="142"/>
      <c r="W265" s="142"/>
      <c r="X265" s="142"/>
      <c r="Y265" s="142"/>
      <c r="Z265" s="114"/>
    </row>
    <row r="266" spans="11:26" ht="18" customHeight="1">
      <c r="K266" s="171" t="s">
        <v>14</v>
      </c>
      <c r="L266" s="171"/>
      <c r="M266" s="171"/>
      <c r="N266" s="143" t="s">
        <v>32</v>
      </c>
      <c r="O266" s="173">
        <v>4</v>
      </c>
      <c r="P266" s="234">
        <f ca="1">OFFSET($A$1,MATCH(Z264,$A:$A,0)-1,O266)</f>
        <v>3.7250000000000001</v>
      </c>
      <c r="Q266" s="144" t="s">
        <v>29</v>
      </c>
      <c r="R266" s="118">
        <f t="shared" ca="1" si="69"/>
        <v>373353</v>
      </c>
      <c r="S266" s="118">
        <f t="shared" ca="1" si="70"/>
        <v>1390739</v>
      </c>
      <c r="T266" s="118">
        <f ca="1">특급</f>
        <v>373353</v>
      </c>
      <c r="U266" s="118">
        <f t="shared" ca="1" si="71"/>
        <v>1390739</v>
      </c>
      <c r="V266" s="118"/>
      <c r="W266" s="118"/>
      <c r="X266" s="118"/>
      <c r="Y266" s="118"/>
      <c r="Z266" s="115"/>
    </row>
    <row r="267" spans="11:26" ht="18" customHeight="1">
      <c r="K267" s="171" t="s">
        <v>14</v>
      </c>
      <c r="L267" s="171"/>
      <c r="M267" s="171"/>
      <c r="N267" s="145" t="s">
        <v>39</v>
      </c>
      <c r="O267" s="173">
        <v>5</v>
      </c>
      <c r="P267" s="234">
        <f ca="1">OFFSET($A$1,MATCH(Z264,$A:$A,0)-1,O267)</f>
        <v>5.9089999999999998</v>
      </c>
      <c r="Q267" s="144" t="s">
        <v>29</v>
      </c>
      <c r="R267" s="118">
        <f t="shared" ca="1" si="69"/>
        <v>310884</v>
      </c>
      <c r="S267" s="118">
        <f t="shared" ca="1" si="70"/>
        <v>1837013</v>
      </c>
      <c r="T267" s="118">
        <f ca="1">고급</f>
        <v>310884</v>
      </c>
      <c r="U267" s="118">
        <f t="shared" ca="1" si="71"/>
        <v>1837013</v>
      </c>
      <c r="V267" s="118"/>
      <c r="W267" s="118"/>
      <c r="X267" s="118"/>
      <c r="Y267" s="118"/>
      <c r="Z267" s="115"/>
    </row>
    <row r="268" spans="11:26" ht="18" customHeight="1">
      <c r="K268" s="171" t="s">
        <v>14</v>
      </c>
      <c r="L268" s="171"/>
      <c r="M268" s="171"/>
      <c r="N268" s="145" t="s">
        <v>40</v>
      </c>
      <c r="O268" s="173">
        <v>6</v>
      </c>
      <c r="P268" s="234">
        <f ca="1">OFFSET($A$1,MATCH(Z264,$A:$A,0)-1,O268)</f>
        <v>8.9930000000000003</v>
      </c>
      <c r="Q268" s="144" t="s">
        <v>29</v>
      </c>
      <c r="R268" s="118">
        <f t="shared" ca="1" si="69"/>
        <v>295138</v>
      </c>
      <c r="S268" s="118">
        <f t="shared" ca="1" si="70"/>
        <v>2654176</v>
      </c>
      <c r="T268" s="118">
        <f ca="1">중급</f>
        <v>295138</v>
      </c>
      <c r="U268" s="118">
        <f t="shared" ca="1" si="71"/>
        <v>2654176</v>
      </c>
      <c r="V268" s="118"/>
      <c r="W268" s="118"/>
      <c r="X268" s="118"/>
      <c r="Y268" s="118"/>
      <c r="Z268" s="115"/>
    </row>
    <row r="269" spans="11:26" ht="18" customHeight="1">
      <c r="K269" s="171" t="s">
        <v>14</v>
      </c>
      <c r="L269" s="171"/>
      <c r="M269" s="171"/>
      <c r="N269" s="145" t="s">
        <v>41</v>
      </c>
      <c r="O269" s="173">
        <v>7</v>
      </c>
      <c r="P269" s="234">
        <f ca="1">OFFSET($A$1,MATCH(Z264,$A:$A,0)-1,O269)</f>
        <v>11.177</v>
      </c>
      <c r="Q269" s="144" t="s">
        <v>29</v>
      </c>
      <c r="R269" s="118">
        <f t="shared" ca="1" si="69"/>
        <v>235459</v>
      </c>
      <c r="S269" s="118">
        <f t="shared" ca="1" si="70"/>
        <v>2631725</v>
      </c>
      <c r="T269" s="118">
        <f ca="1">초급</f>
        <v>235459</v>
      </c>
      <c r="U269" s="118">
        <f t="shared" ca="1" si="71"/>
        <v>2631725</v>
      </c>
      <c r="V269" s="118"/>
      <c r="W269" s="118"/>
      <c r="X269" s="118"/>
      <c r="Y269" s="118"/>
      <c r="Z269" s="115"/>
    </row>
    <row r="270" spans="11:26" ht="18" customHeight="1">
      <c r="K270" s="171" t="s">
        <v>14</v>
      </c>
      <c r="L270" s="171"/>
      <c r="M270" s="171"/>
      <c r="N270" s="319" t="s">
        <v>42</v>
      </c>
      <c r="O270" s="174">
        <v>8</v>
      </c>
      <c r="P270" s="235">
        <f ca="1">OFFSET($A$1,MATCH(Z264,$A:$A,0)-1,O270)</f>
        <v>8.9930000000000003</v>
      </c>
      <c r="Q270" s="322" t="s">
        <v>29</v>
      </c>
      <c r="R270" s="323">
        <f t="shared" ca="1" si="69"/>
        <v>250087</v>
      </c>
      <c r="S270" s="323">
        <f t="shared" ca="1" si="70"/>
        <v>2249032</v>
      </c>
      <c r="T270" s="323">
        <f ca="1">보조원</f>
        <v>250087</v>
      </c>
      <c r="U270" s="323">
        <f t="shared" ca="1" si="71"/>
        <v>2249032</v>
      </c>
      <c r="V270" s="323"/>
      <c r="W270" s="323"/>
      <c r="X270" s="323"/>
      <c r="Y270" s="323"/>
      <c r="Z270" s="324"/>
    </row>
    <row r="271" spans="11:26" ht="18" customHeight="1">
      <c r="K271" s="171" t="s">
        <v>14</v>
      </c>
      <c r="L271" s="171"/>
      <c r="M271" s="171"/>
      <c r="N271" s="139" t="s">
        <v>17</v>
      </c>
      <c r="O271" s="68"/>
      <c r="P271" s="69"/>
      <c r="Q271" s="70"/>
      <c r="R271" s="71"/>
      <c r="S271" s="71">
        <f ca="1">SUBTOTAL(9,S265:S270)</f>
        <v>11842890</v>
      </c>
      <c r="T271" s="71"/>
      <c r="U271" s="71">
        <f ca="1">SUBTOTAL(9,U265:U270)</f>
        <v>11842890</v>
      </c>
      <c r="V271" s="71"/>
      <c r="W271" s="71"/>
      <c r="X271" s="71"/>
      <c r="Y271" s="71"/>
      <c r="Z271" s="68"/>
    </row>
    <row r="272" spans="11:26" ht="18" customHeight="1">
      <c r="K272" s="171" t="s">
        <v>14</v>
      </c>
      <c r="L272" s="171"/>
      <c r="M272" s="171"/>
      <c r="N272" s="318" t="str">
        <f ca="1">"제 " &amp; Z272 &amp; " 호표  "&amp; OFFSET($A$1,MATCH(Z272,$A:$A,0)-1,1)</f>
        <v>제 26 호표   3) 개발 중 사면 관련 저감대책</v>
      </c>
      <c r="O272" s="221"/>
      <c r="P272" s="148"/>
      <c r="Q272" s="148"/>
      <c r="R272" s="149"/>
      <c r="S272" s="149"/>
      <c r="T272" s="149"/>
      <c r="U272" s="149"/>
      <c r="V272" s="149"/>
      <c r="W272" s="149"/>
      <c r="X272" s="149"/>
      <c r="Y272" s="149"/>
      <c r="Z272" s="325">
        <f>Z264+1</f>
        <v>26</v>
      </c>
    </row>
    <row r="273" spans="11:26" ht="18" customHeight="1">
      <c r="K273" s="171" t="s">
        <v>14</v>
      </c>
      <c r="L273" s="171"/>
      <c r="M273" s="171"/>
      <c r="N273" s="140" t="s">
        <v>43</v>
      </c>
      <c r="O273" s="172">
        <v>3</v>
      </c>
      <c r="P273" s="219">
        <f ca="1">OFFSET($A$1,MATCH(Z272,$A:$A,0)-1,O273)</f>
        <v>7.7080000000000002</v>
      </c>
      <c r="Q273" s="141" t="s">
        <v>29</v>
      </c>
      <c r="R273" s="142">
        <f t="shared" ref="R273:R278" ca="1" si="72">T273</f>
        <v>467217</v>
      </c>
      <c r="S273" s="142">
        <f t="shared" ref="S273:S278" ca="1" si="73">U273</f>
        <v>3601308</v>
      </c>
      <c r="T273" s="142">
        <f ca="1">기술사</f>
        <v>467217</v>
      </c>
      <c r="U273" s="142">
        <f t="shared" ref="U273:U278" ca="1" si="74">ROUNDDOWN(P273*R273,0)</f>
        <v>3601308</v>
      </c>
      <c r="V273" s="142"/>
      <c r="W273" s="142"/>
      <c r="X273" s="142"/>
      <c r="Y273" s="142"/>
      <c r="Z273" s="114"/>
    </row>
    <row r="274" spans="11:26" ht="18" customHeight="1">
      <c r="K274" s="171" t="s">
        <v>14</v>
      </c>
      <c r="L274" s="171"/>
      <c r="M274" s="171"/>
      <c r="N274" s="143" t="s">
        <v>32</v>
      </c>
      <c r="O274" s="173">
        <v>4</v>
      </c>
      <c r="P274" s="234">
        <f ca="1">OFFSET($A$1,MATCH(Z272,$A:$A,0)-1,O274)</f>
        <v>7.7080000000000002</v>
      </c>
      <c r="Q274" s="144" t="s">
        <v>29</v>
      </c>
      <c r="R274" s="118">
        <f t="shared" ca="1" si="72"/>
        <v>373353</v>
      </c>
      <c r="S274" s="118">
        <f t="shared" ca="1" si="73"/>
        <v>2877804</v>
      </c>
      <c r="T274" s="118">
        <f ca="1">특급</f>
        <v>373353</v>
      </c>
      <c r="U274" s="118">
        <f t="shared" ca="1" si="74"/>
        <v>2877804</v>
      </c>
      <c r="V274" s="118"/>
      <c r="W274" s="118"/>
      <c r="X274" s="118"/>
      <c r="Y274" s="118"/>
      <c r="Z274" s="115"/>
    </row>
    <row r="275" spans="11:26" ht="18" customHeight="1">
      <c r="K275" s="171" t="s">
        <v>14</v>
      </c>
      <c r="L275" s="171"/>
      <c r="M275" s="171"/>
      <c r="N275" s="145" t="s">
        <v>39</v>
      </c>
      <c r="O275" s="173">
        <v>5</v>
      </c>
      <c r="P275" s="234">
        <f ca="1">OFFSET($A$1,MATCH(Z272,$A:$A,0)-1,O275)</f>
        <v>3.8540000000000001</v>
      </c>
      <c r="Q275" s="144" t="s">
        <v>29</v>
      </c>
      <c r="R275" s="118">
        <f t="shared" ca="1" si="72"/>
        <v>310884</v>
      </c>
      <c r="S275" s="118">
        <f t="shared" ca="1" si="73"/>
        <v>1198146</v>
      </c>
      <c r="T275" s="118">
        <f ca="1">고급</f>
        <v>310884</v>
      </c>
      <c r="U275" s="118">
        <f t="shared" ca="1" si="74"/>
        <v>1198146</v>
      </c>
      <c r="V275" s="118"/>
      <c r="W275" s="118"/>
      <c r="X275" s="118"/>
      <c r="Y275" s="118"/>
      <c r="Z275" s="115"/>
    </row>
    <row r="276" spans="11:26" ht="18" customHeight="1">
      <c r="K276" s="171" t="s">
        <v>14</v>
      </c>
      <c r="L276" s="171"/>
      <c r="M276" s="171"/>
      <c r="N276" s="145" t="s">
        <v>40</v>
      </c>
      <c r="O276" s="173">
        <v>6</v>
      </c>
      <c r="P276" s="234">
        <f ca="1">OFFSET($A$1,MATCH(Z272,$A:$A,0)-1,O276)</f>
        <v>7.7080000000000002</v>
      </c>
      <c r="Q276" s="144" t="s">
        <v>29</v>
      </c>
      <c r="R276" s="118">
        <f t="shared" ca="1" si="72"/>
        <v>295138</v>
      </c>
      <c r="S276" s="118">
        <f t="shared" ca="1" si="73"/>
        <v>2274923</v>
      </c>
      <c r="T276" s="118">
        <f ca="1">중급</f>
        <v>295138</v>
      </c>
      <c r="U276" s="118">
        <f t="shared" ca="1" si="74"/>
        <v>2274923</v>
      </c>
      <c r="V276" s="118"/>
      <c r="W276" s="118"/>
      <c r="X276" s="118"/>
      <c r="Y276" s="118"/>
      <c r="Z276" s="115"/>
    </row>
    <row r="277" spans="11:26" ht="18" customHeight="1">
      <c r="K277" s="171" t="s">
        <v>14</v>
      </c>
      <c r="L277" s="171"/>
      <c r="M277" s="171"/>
      <c r="N277" s="145" t="s">
        <v>41</v>
      </c>
      <c r="O277" s="173">
        <v>7</v>
      </c>
      <c r="P277" s="234">
        <f ca="1">OFFSET($A$1,MATCH(Z272,$A:$A,0)-1,O277)</f>
        <v>0</v>
      </c>
      <c r="Q277" s="144" t="s">
        <v>29</v>
      </c>
      <c r="R277" s="118">
        <f t="shared" ca="1" si="72"/>
        <v>235459</v>
      </c>
      <c r="S277" s="118">
        <f t="shared" ca="1" si="73"/>
        <v>0</v>
      </c>
      <c r="T277" s="118">
        <f ca="1">초급</f>
        <v>235459</v>
      </c>
      <c r="U277" s="118">
        <f t="shared" ca="1" si="74"/>
        <v>0</v>
      </c>
      <c r="V277" s="118"/>
      <c r="W277" s="118"/>
      <c r="X277" s="118"/>
      <c r="Y277" s="118"/>
      <c r="Z277" s="115"/>
    </row>
    <row r="278" spans="11:26" ht="18" customHeight="1">
      <c r="K278" s="171" t="s">
        <v>14</v>
      </c>
      <c r="L278" s="171"/>
      <c r="M278" s="171"/>
      <c r="N278" s="319" t="s">
        <v>42</v>
      </c>
      <c r="O278" s="174">
        <v>8</v>
      </c>
      <c r="P278" s="235">
        <f ca="1">OFFSET($A$1,MATCH(Z272,$A:$A,0)-1,O278)</f>
        <v>0</v>
      </c>
      <c r="Q278" s="322" t="s">
        <v>29</v>
      </c>
      <c r="R278" s="323">
        <f t="shared" ca="1" si="72"/>
        <v>250087</v>
      </c>
      <c r="S278" s="323">
        <f t="shared" ca="1" si="73"/>
        <v>0</v>
      </c>
      <c r="T278" s="323">
        <f ca="1">보조원</f>
        <v>250087</v>
      </c>
      <c r="U278" s="323">
        <f t="shared" ca="1" si="74"/>
        <v>0</v>
      </c>
      <c r="V278" s="323"/>
      <c r="W278" s="323"/>
      <c r="X278" s="323"/>
      <c r="Y278" s="323"/>
      <c r="Z278" s="324"/>
    </row>
    <row r="279" spans="11:26" ht="18" customHeight="1">
      <c r="K279" s="171" t="s">
        <v>14</v>
      </c>
      <c r="L279" s="171"/>
      <c r="M279" s="171"/>
      <c r="N279" s="139" t="s">
        <v>17</v>
      </c>
      <c r="O279" s="68"/>
      <c r="P279" s="69"/>
      <c r="Q279" s="70"/>
      <c r="R279" s="71"/>
      <c r="S279" s="71">
        <f ca="1">SUBTOTAL(9,S273:S278)</f>
        <v>9952181</v>
      </c>
      <c r="T279" s="71"/>
      <c r="U279" s="71">
        <f ca="1">SUBTOTAL(9,U273:U278)</f>
        <v>9952181</v>
      </c>
      <c r="V279" s="71"/>
      <c r="W279" s="71"/>
      <c r="X279" s="71"/>
      <c r="Y279" s="71"/>
      <c r="Z279" s="68"/>
    </row>
    <row r="280" spans="11:26" ht="18" customHeight="1">
      <c r="K280" s="171" t="s">
        <v>14</v>
      </c>
      <c r="L280" s="171"/>
      <c r="M280" s="171"/>
      <c r="N280" s="318" t="str">
        <f ca="1">"제 " &amp; Z280 &amp; " 호표  "&amp; OFFSET($A$1,MATCH(Z280,$A:$A,0)-1,1)</f>
        <v>제 27 호표   4) 개발 후 사면 관련 저감대책</v>
      </c>
      <c r="O280" s="221"/>
      <c r="P280" s="148"/>
      <c r="Q280" s="148"/>
      <c r="R280" s="149"/>
      <c r="S280" s="149"/>
      <c r="T280" s="149"/>
      <c r="U280" s="149"/>
      <c r="V280" s="149"/>
      <c r="W280" s="149"/>
      <c r="X280" s="149"/>
      <c r="Y280" s="149"/>
      <c r="Z280" s="325">
        <f>Z272+1</f>
        <v>27</v>
      </c>
    </row>
    <row r="281" spans="11:26" ht="18" customHeight="1">
      <c r="K281" s="171" t="s">
        <v>14</v>
      </c>
      <c r="L281" s="171"/>
      <c r="M281" s="171"/>
      <c r="N281" s="140" t="s">
        <v>43</v>
      </c>
      <c r="O281" s="172">
        <v>3</v>
      </c>
      <c r="P281" s="219">
        <f ca="1">OFFSET($A$1,MATCH(Z280,$A:$A,0)-1,O281)</f>
        <v>7.7080000000000002</v>
      </c>
      <c r="Q281" s="141" t="s">
        <v>29</v>
      </c>
      <c r="R281" s="142">
        <f t="shared" ref="R281:R286" ca="1" si="75">T281</f>
        <v>467217</v>
      </c>
      <c r="S281" s="142">
        <f t="shared" ref="S281:S286" ca="1" si="76">U281</f>
        <v>3601308</v>
      </c>
      <c r="T281" s="142">
        <f ca="1">기술사</f>
        <v>467217</v>
      </c>
      <c r="U281" s="142">
        <f t="shared" ref="U281:U286" ca="1" si="77">ROUNDDOWN(P281*R281,0)</f>
        <v>3601308</v>
      </c>
      <c r="V281" s="142"/>
      <c r="W281" s="142"/>
      <c r="X281" s="142"/>
      <c r="Y281" s="142"/>
      <c r="Z281" s="114"/>
    </row>
    <row r="282" spans="11:26" ht="18" customHeight="1">
      <c r="K282" s="171" t="s">
        <v>14</v>
      </c>
      <c r="L282" s="171"/>
      <c r="M282" s="171"/>
      <c r="N282" s="143" t="s">
        <v>32</v>
      </c>
      <c r="O282" s="173">
        <v>4</v>
      </c>
      <c r="P282" s="234">
        <f ca="1">OFFSET($A$1,MATCH(Z280,$A:$A,0)-1,O282)</f>
        <v>7.7080000000000002</v>
      </c>
      <c r="Q282" s="144" t="s">
        <v>29</v>
      </c>
      <c r="R282" s="118">
        <f t="shared" ca="1" si="75"/>
        <v>373353</v>
      </c>
      <c r="S282" s="118">
        <f t="shared" ca="1" si="76"/>
        <v>2877804</v>
      </c>
      <c r="T282" s="118">
        <f ca="1">특급</f>
        <v>373353</v>
      </c>
      <c r="U282" s="118">
        <f t="shared" ca="1" si="77"/>
        <v>2877804</v>
      </c>
      <c r="V282" s="118"/>
      <c r="W282" s="118"/>
      <c r="X282" s="118"/>
      <c r="Y282" s="118"/>
      <c r="Z282" s="115"/>
    </row>
    <row r="283" spans="11:26" ht="18" customHeight="1">
      <c r="K283" s="171" t="s">
        <v>14</v>
      </c>
      <c r="L283" s="171"/>
      <c r="M283" s="171"/>
      <c r="N283" s="145" t="s">
        <v>39</v>
      </c>
      <c r="O283" s="173">
        <v>5</v>
      </c>
      <c r="P283" s="234">
        <f ca="1">OFFSET($A$1,MATCH(Z280,$A:$A,0)-1,O283)</f>
        <v>3.8540000000000001</v>
      </c>
      <c r="Q283" s="144" t="s">
        <v>29</v>
      </c>
      <c r="R283" s="118">
        <f t="shared" ca="1" si="75"/>
        <v>310884</v>
      </c>
      <c r="S283" s="118">
        <f t="shared" ca="1" si="76"/>
        <v>1198146</v>
      </c>
      <c r="T283" s="118">
        <f ca="1">고급</f>
        <v>310884</v>
      </c>
      <c r="U283" s="118">
        <f t="shared" ca="1" si="77"/>
        <v>1198146</v>
      </c>
      <c r="V283" s="118"/>
      <c r="W283" s="118"/>
      <c r="X283" s="118"/>
      <c r="Y283" s="118"/>
      <c r="Z283" s="115"/>
    </row>
    <row r="284" spans="11:26" ht="18" customHeight="1">
      <c r="K284" s="171" t="s">
        <v>14</v>
      </c>
      <c r="L284" s="171"/>
      <c r="M284" s="171"/>
      <c r="N284" s="145" t="s">
        <v>40</v>
      </c>
      <c r="O284" s="173">
        <v>6</v>
      </c>
      <c r="P284" s="234">
        <f ca="1">OFFSET($A$1,MATCH(Z280,$A:$A,0)-1,O284)</f>
        <v>7.7080000000000002</v>
      </c>
      <c r="Q284" s="144" t="s">
        <v>29</v>
      </c>
      <c r="R284" s="118">
        <f t="shared" ca="1" si="75"/>
        <v>295138</v>
      </c>
      <c r="S284" s="118">
        <f t="shared" ca="1" si="76"/>
        <v>2274923</v>
      </c>
      <c r="T284" s="118">
        <f ca="1">중급</f>
        <v>295138</v>
      </c>
      <c r="U284" s="118">
        <f t="shared" ca="1" si="77"/>
        <v>2274923</v>
      </c>
      <c r="V284" s="118"/>
      <c r="W284" s="118"/>
      <c r="X284" s="118"/>
      <c r="Y284" s="118"/>
      <c r="Z284" s="115"/>
    </row>
    <row r="285" spans="11:26" ht="18" customHeight="1">
      <c r="K285" s="171" t="s">
        <v>14</v>
      </c>
      <c r="L285" s="171"/>
      <c r="M285" s="171"/>
      <c r="N285" s="145" t="s">
        <v>41</v>
      </c>
      <c r="O285" s="173">
        <v>7</v>
      </c>
      <c r="P285" s="234">
        <f ca="1">OFFSET($A$1,MATCH(Z280,$A:$A,0)-1,O285)</f>
        <v>0</v>
      </c>
      <c r="Q285" s="144" t="s">
        <v>29</v>
      </c>
      <c r="R285" s="118">
        <f t="shared" ca="1" si="75"/>
        <v>235459</v>
      </c>
      <c r="S285" s="118">
        <f t="shared" ca="1" si="76"/>
        <v>0</v>
      </c>
      <c r="T285" s="118">
        <f ca="1">초급</f>
        <v>235459</v>
      </c>
      <c r="U285" s="118">
        <f t="shared" ca="1" si="77"/>
        <v>0</v>
      </c>
      <c r="V285" s="118"/>
      <c r="W285" s="118"/>
      <c r="X285" s="118"/>
      <c r="Y285" s="118"/>
      <c r="Z285" s="115"/>
    </row>
    <row r="286" spans="11:26" ht="18" customHeight="1">
      <c r="K286" s="171" t="s">
        <v>14</v>
      </c>
      <c r="L286" s="171"/>
      <c r="M286" s="171"/>
      <c r="N286" s="319" t="s">
        <v>42</v>
      </c>
      <c r="O286" s="174">
        <v>8</v>
      </c>
      <c r="P286" s="235">
        <f ca="1">OFFSET($A$1,MATCH(Z280,$A:$A,0)-1,O286)</f>
        <v>0</v>
      </c>
      <c r="Q286" s="322" t="s">
        <v>29</v>
      </c>
      <c r="R286" s="323">
        <f t="shared" ca="1" si="75"/>
        <v>250087</v>
      </c>
      <c r="S286" s="323">
        <f t="shared" ca="1" si="76"/>
        <v>0</v>
      </c>
      <c r="T286" s="323">
        <f ca="1">보조원</f>
        <v>250087</v>
      </c>
      <c r="U286" s="323">
        <f t="shared" ca="1" si="77"/>
        <v>0</v>
      </c>
      <c r="V286" s="323"/>
      <c r="W286" s="323"/>
      <c r="X286" s="323"/>
      <c r="Y286" s="323"/>
      <c r="Z286" s="324"/>
    </row>
    <row r="287" spans="11:26" ht="18" customHeight="1">
      <c r="K287" s="171" t="s">
        <v>14</v>
      </c>
      <c r="L287" s="171"/>
      <c r="M287" s="171"/>
      <c r="N287" s="139" t="s">
        <v>17</v>
      </c>
      <c r="O287" s="68"/>
      <c r="P287" s="69"/>
      <c r="Q287" s="70"/>
      <c r="R287" s="71"/>
      <c r="S287" s="71">
        <f ca="1">SUBTOTAL(9,S281:S286)</f>
        <v>9952181</v>
      </c>
      <c r="T287" s="71"/>
      <c r="U287" s="71">
        <f ca="1">SUBTOTAL(9,U281:U286)</f>
        <v>9952181</v>
      </c>
      <c r="V287" s="71"/>
      <c r="W287" s="71"/>
      <c r="X287" s="71"/>
      <c r="Y287" s="71"/>
      <c r="Z287" s="68"/>
    </row>
    <row r="288" spans="11:26" ht="18" customHeight="1">
      <c r="K288" s="171" t="s">
        <v>14</v>
      </c>
      <c r="L288" s="171"/>
      <c r="M288" s="171"/>
      <c r="N288" s="318" t="str">
        <f ca="1">"제 " &amp; Z288 &amp; " 호표  "&amp; OFFSET($A$1,MATCH(Z288,$A:$A,0)-1,1)</f>
        <v>제 28 호표  6-3. 저감방안 반영</v>
      </c>
      <c r="O288" s="221"/>
      <c r="P288" s="148"/>
      <c r="Q288" s="148"/>
      <c r="R288" s="149"/>
      <c r="S288" s="149"/>
      <c r="T288" s="149"/>
      <c r="U288" s="149"/>
      <c r="V288" s="149"/>
      <c r="W288" s="149"/>
      <c r="X288" s="149"/>
      <c r="Y288" s="149"/>
      <c r="Z288" s="325">
        <f>Z280+1</f>
        <v>28</v>
      </c>
    </row>
    <row r="289" spans="11:26" ht="18" customHeight="1">
      <c r="K289" s="171" t="s">
        <v>14</v>
      </c>
      <c r="L289" s="171"/>
      <c r="M289" s="171"/>
      <c r="N289" s="140" t="s">
        <v>43</v>
      </c>
      <c r="O289" s="172">
        <v>3</v>
      </c>
      <c r="P289" s="219">
        <f ca="1">OFFSET($A$1,MATCH(Z288,$A:$A,0)-1,O289)</f>
        <v>0.38500000000000001</v>
      </c>
      <c r="Q289" s="141" t="s">
        <v>29</v>
      </c>
      <c r="R289" s="142">
        <f t="shared" ref="R289:R294" ca="1" si="78">T289</f>
        <v>467217</v>
      </c>
      <c r="S289" s="142">
        <f t="shared" ref="S289:S294" ca="1" si="79">U289</f>
        <v>179878</v>
      </c>
      <c r="T289" s="142">
        <f ca="1">기술사</f>
        <v>467217</v>
      </c>
      <c r="U289" s="142">
        <f t="shared" ref="U289:U294" ca="1" si="80">ROUNDDOWN(P289*R289,0)</f>
        <v>179878</v>
      </c>
      <c r="V289" s="142"/>
      <c r="W289" s="142"/>
      <c r="X289" s="142"/>
      <c r="Y289" s="142"/>
      <c r="Z289" s="114"/>
    </row>
    <row r="290" spans="11:26" ht="18" customHeight="1">
      <c r="K290" s="171" t="s">
        <v>14</v>
      </c>
      <c r="L290" s="171"/>
      <c r="M290" s="171"/>
      <c r="N290" s="143" t="s">
        <v>32</v>
      </c>
      <c r="O290" s="173">
        <v>4</v>
      </c>
      <c r="P290" s="234">
        <f ca="1">OFFSET($A$1,MATCH(Z288,$A:$A,0)-1,O290)</f>
        <v>0.51300000000000001</v>
      </c>
      <c r="Q290" s="144" t="s">
        <v>29</v>
      </c>
      <c r="R290" s="118">
        <f t="shared" ca="1" si="78"/>
        <v>373353</v>
      </c>
      <c r="S290" s="118">
        <f t="shared" ca="1" si="79"/>
        <v>191530</v>
      </c>
      <c r="T290" s="118">
        <f ca="1">특급</f>
        <v>373353</v>
      </c>
      <c r="U290" s="118">
        <f t="shared" ca="1" si="80"/>
        <v>191530</v>
      </c>
      <c r="V290" s="118"/>
      <c r="W290" s="118"/>
      <c r="X290" s="118"/>
      <c r="Y290" s="118"/>
      <c r="Z290" s="115"/>
    </row>
    <row r="291" spans="11:26" ht="18" customHeight="1">
      <c r="K291" s="171" t="s">
        <v>14</v>
      </c>
      <c r="L291" s="171"/>
      <c r="M291" s="171"/>
      <c r="N291" s="145" t="s">
        <v>39</v>
      </c>
      <c r="O291" s="173">
        <v>5</v>
      </c>
      <c r="P291" s="234">
        <f ca="1">OFFSET($A$1,MATCH(Z288,$A:$A,0)-1,O291)</f>
        <v>0.51300000000000001</v>
      </c>
      <c r="Q291" s="144" t="s">
        <v>29</v>
      </c>
      <c r="R291" s="118">
        <f t="shared" ca="1" si="78"/>
        <v>310884</v>
      </c>
      <c r="S291" s="118">
        <f t="shared" ca="1" si="79"/>
        <v>159483</v>
      </c>
      <c r="T291" s="118">
        <f ca="1">고급</f>
        <v>310884</v>
      </c>
      <c r="U291" s="118">
        <f t="shared" ca="1" si="80"/>
        <v>159483</v>
      </c>
      <c r="V291" s="118"/>
      <c r="W291" s="118"/>
      <c r="X291" s="118"/>
      <c r="Y291" s="118"/>
      <c r="Z291" s="115"/>
    </row>
    <row r="292" spans="11:26" ht="18" customHeight="1">
      <c r="K292" s="171" t="s">
        <v>14</v>
      </c>
      <c r="L292" s="171"/>
      <c r="M292" s="171"/>
      <c r="N292" s="145" t="s">
        <v>40</v>
      </c>
      <c r="O292" s="173">
        <v>6</v>
      </c>
      <c r="P292" s="234">
        <f ca="1">OFFSET($A$1,MATCH(Z288,$A:$A,0)-1,O292)</f>
        <v>1.0269999999999999</v>
      </c>
      <c r="Q292" s="144" t="s">
        <v>29</v>
      </c>
      <c r="R292" s="118">
        <f t="shared" ca="1" si="78"/>
        <v>295138</v>
      </c>
      <c r="S292" s="118">
        <f t="shared" ca="1" si="79"/>
        <v>303106</v>
      </c>
      <c r="T292" s="118">
        <f ca="1">중급</f>
        <v>295138</v>
      </c>
      <c r="U292" s="118">
        <f t="shared" ca="1" si="80"/>
        <v>303106</v>
      </c>
      <c r="V292" s="118"/>
      <c r="W292" s="118"/>
      <c r="X292" s="118"/>
      <c r="Y292" s="118"/>
      <c r="Z292" s="115"/>
    </row>
    <row r="293" spans="11:26" ht="18" customHeight="1">
      <c r="K293" s="171" t="s">
        <v>14</v>
      </c>
      <c r="L293" s="171"/>
      <c r="M293" s="171"/>
      <c r="N293" s="145" t="s">
        <v>41</v>
      </c>
      <c r="O293" s="173">
        <v>7</v>
      </c>
      <c r="P293" s="234">
        <f ca="1">OFFSET($A$1,MATCH(Z288,$A:$A,0)-1,O293)</f>
        <v>1.5409999999999999</v>
      </c>
      <c r="Q293" s="144" t="s">
        <v>29</v>
      </c>
      <c r="R293" s="118">
        <f t="shared" ca="1" si="78"/>
        <v>235459</v>
      </c>
      <c r="S293" s="118">
        <f t="shared" ca="1" si="79"/>
        <v>362842</v>
      </c>
      <c r="T293" s="118">
        <f ca="1">초급</f>
        <v>235459</v>
      </c>
      <c r="U293" s="118">
        <f t="shared" ca="1" si="80"/>
        <v>362842</v>
      </c>
      <c r="V293" s="118"/>
      <c r="W293" s="118"/>
      <c r="X293" s="118"/>
      <c r="Y293" s="118"/>
      <c r="Z293" s="115"/>
    </row>
    <row r="294" spans="11:26" ht="18" customHeight="1">
      <c r="K294" s="171" t="s">
        <v>14</v>
      </c>
      <c r="L294" s="171"/>
      <c r="M294" s="171"/>
      <c r="N294" s="319" t="s">
        <v>42</v>
      </c>
      <c r="O294" s="174">
        <v>8</v>
      </c>
      <c r="P294" s="235">
        <f ca="1">OFFSET($A$1,MATCH(Z288,$A:$A,0)-1,O294)</f>
        <v>1.413</v>
      </c>
      <c r="Q294" s="322" t="s">
        <v>29</v>
      </c>
      <c r="R294" s="323">
        <f t="shared" ca="1" si="78"/>
        <v>250087</v>
      </c>
      <c r="S294" s="323">
        <f t="shared" ca="1" si="79"/>
        <v>353372</v>
      </c>
      <c r="T294" s="323">
        <f ca="1">보조원</f>
        <v>250087</v>
      </c>
      <c r="U294" s="323">
        <f t="shared" ca="1" si="80"/>
        <v>353372</v>
      </c>
      <c r="V294" s="323"/>
      <c r="W294" s="323"/>
      <c r="X294" s="323"/>
      <c r="Y294" s="323"/>
      <c r="Z294" s="324"/>
    </row>
    <row r="295" spans="11:26" ht="18" customHeight="1">
      <c r="K295" s="171" t="s">
        <v>14</v>
      </c>
      <c r="L295" s="171"/>
      <c r="M295" s="171"/>
      <c r="N295" s="139" t="s">
        <v>17</v>
      </c>
      <c r="O295" s="68"/>
      <c r="P295" s="69"/>
      <c r="Q295" s="70"/>
      <c r="R295" s="71"/>
      <c r="S295" s="71">
        <f ca="1">SUBTOTAL(9,S289:S294)</f>
        <v>1550211</v>
      </c>
      <c r="T295" s="71"/>
      <c r="U295" s="71">
        <f ca="1">SUBTOTAL(9,U289:U294)</f>
        <v>1550211</v>
      </c>
      <c r="V295" s="71"/>
      <c r="W295" s="71"/>
      <c r="X295" s="71"/>
      <c r="Y295" s="71"/>
      <c r="Z295" s="68"/>
    </row>
    <row r="296" spans="11:26" ht="18" customHeight="1">
      <c r="K296" s="171" t="s">
        <v>14</v>
      </c>
      <c r="L296" s="171"/>
      <c r="M296" s="171"/>
      <c r="N296" s="318" t="str">
        <f ca="1">"제 " &amp; Z296 &amp; " 호표  "&amp; OFFSET($A$1,MATCH(Z296,$A:$A,0)-1,1)</f>
        <v>제 29 호표  6-4. 저감대책 수립 및 저감방안 반영 종합</v>
      </c>
      <c r="O296" s="221"/>
      <c r="P296" s="148"/>
      <c r="Q296" s="148"/>
      <c r="R296" s="149"/>
      <c r="S296" s="149"/>
      <c r="T296" s="149"/>
      <c r="U296" s="149"/>
      <c r="V296" s="149"/>
      <c r="W296" s="149"/>
      <c r="X296" s="149"/>
      <c r="Y296" s="149"/>
      <c r="Z296" s="325">
        <f>Z288+1</f>
        <v>29</v>
      </c>
    </row>
    <row r="297" spans="11:26" ht="18" customHeight="1">
      <c r="K297" s="171" t="s">
        <v>14</v>
      </c>
      <c r="L297" s="171"/>
      <c r="M297" s="171"/>
      <c r="N297" s="140" t="s">
        <v>43</v>
      </c>
      <c r="O297" s="172">
        <v>3</v>
      </c>
      <c r="P297" s="219">
        <f ca="1">OFFSET($A$1,MATCH(Z296,$A:$A,0)-1,O297)</f>
        <v>0.22500000000000001</v>
      </c>
      <c r="Q297" s="141" t="s">
        <v>29</v>
      </c>
      <c r="R297" s="142">
        <f t="shared" ref="R297:R302" ca="1" si="81">T297</f>
        <v>467217</v>
      </c>
      <c r="S297" s="142">
        <f t="shared" ref="S297:S302" ca="1" si="82">U297</f>
        <v>105123</v>
      </c>
      <c r="T297" s="142">
        <f ca="1">기술사</f>
        <v>467217</v>
      </c>
      <c r="U297" s="142">
        <f t="shared" ref="U297:U302" ca="1" si="83">ROUNDDOWN(P297*R297,0)</f>
        <v>105123</v>
      </c>
      <c r="V297" s="142"/>
      <c r="W297" s="142"/>
      <c r="X297" s="142"/>
      <c r="Y297" s="142"/>
      <c r="Z297" s="114"/>
    </row>
    <row r="298" spans="11:26" ht="18" customHeight="1">
      <c r="K298" s="171" t="s">
        <v>14</v>
      </c>
      <c r="L298" s="171"/>
      <c r="M298" s="171"/>
      <c r="N298" s="143" t="s">
        <v>32</v>
      </c>
      <c r="O298" s="173">
        <v>4</v>
      </c>
      <c r="P298" s="234">
        <f ca="1">OFFSET($A$1,MATCH(Z296,$A:$A,0)-1,O298)</f>
        <v>0.36</v>
      </c>
      <c r="Q298" s="144" t="s">
        <v>29</v>
      </c>
      <c r="R298" s="118">
        <f t="shared" ca="1" si="81"/>
        <v>373353</v>
      </c>
      <c r="S298" s="118">
        <f t="shared" ca="1" si="82"/>
        <v>134407</v>
      </c>
      <c r="T298" s="118">
        <f ca="1">특급</f>
        <v>373353</v>
      </c>
      <c r="U298" s="118">
        <f t="shared" ca="1" si="83"/>
        <v>134407</v>
      </c>
      <c r="V298" s="118"/>
      <c r="W298" s="118"/>
      <c r="X298" s="118"/>
      <c r="Y298" s="118"/>
      <c r="Z298" s="115"/>
    </row>
    <row r="299" spans="11:26" ht="18" customHeight="1">
      <c r="K299" s="171" t="s">
        <v>14</v>
      </c>
      <c r="L299" s="171"/>
      <c r="M299" s="171"/>
      <c r="N299" s="145" t="s">
        <v>39</v>
      </c>
      <c r="O299" s="173">
        <v>5</v>
      </c>
      <c r="P299" s="234">
        <f ca="1">OFFSET($A$1,MATCH(Z296,$A:$A,0)-1,O299)</f>
        <v>0.315</v>
      </c>
      <c r="Q299" s="144" t="s">
        <v>29</v>
      </c>
      <c r="R299" s="118">
        <f t="shared" ca="1" si="81"/>
        <v>310884</v>
      </c>
      <c r="S299" s="118">
        <f t="shared" ca="1" si="82"/>
        <v>97928</v>
      </c>
      <c r="T299" s="118">
        <f ca="1">고급</f>
        <v>310884</v>
      </c>
      <c r="U299" s="118">
        <f t="shared" ca="1" si="83"/>
        <v>97928</v>
      </c>
      <c r="V299" s="118"/>
      <c r="W299" s="118"/>
      <c r="X299" s="118"/>
      <c r="Y299" s="118"/>
      <c r="Z299" s="115"/>
    </row>
    <row r="300" spans="11:26" ht="18" customHeight="1">
      <c r="K300" s="171" t="s">
        <v>14</v>
      </c>
      <c r="L300" s="171"/>
      <c r="M300" s="171"/>
      <c r="N300" s="145" t="s">
        <v>40</v>
      </c>
      <c r="O300" s="173">
        <v>6</v>
      </c>
      <c r="P300" s="234">
        <f ca="1">OFFSET($A$1,MATCH(Z296,$A:$A,0)-1,O300)</f>
        <v>0.76500000000000001</v>
      </c>
      <c r="Q300" s="144" t="s">
        <v>29</v>
      </c>
      <c r="R300" s="118">
        <f t="shared" ca="1" si="81"/>
        <v>295138</v>
      </c>
      <c r="S300" s="118">
        <f t="shared" ca="1" si="82"/>
        <v>225780</v>
      </c>
      <c r="T300" s="118">
        <f ca="1">중급</f>
        <v>295138</v>
      </c>
      <c r="U300" s="118">
        <f t="shared" ca="1" si="83"/>
        <v>225780</v>
      </c>
      <c r="V300" s="118"/>
      <c r="W300" s="118"/>
      <c r="X300" s="118"/>
      <c r="Y300" s="118"/>
      <c r="Z300" s="115"/>
    </row>
    <row r="301" spans="11:26" ht="18" customHeight="1">
      <c r="K301" s="171" t="s">
        <v>14</v>
      </c>
      <c r="L301" s="171"/>
      <c r="M301" s="171"/>
      <c r="N301" s="145" t="s">
        <v>41</v>
      </c>
      <c r="O301" s="173">
        <v>7</v>
      </c>
      <c r="P301" s="234">
        <f ca="1">OFFSET($A$1,MATCH(Z296,$A:$A,0)-1,O301)</f>
        <v>0.94499999999999995</v>
      </c>
      <c r="Q301" s="144" t="s">
        <v>29</v>
      </c>
      <c r="R301" s="118">
        <f t="shared" ca="1" si="81"/>
        <v>235459</v>
      </c>
      <c r="S301" s="118">
        <f t="shared" ca="1" si="82"/>
        <v>222508</v>
      </c>
      <c r="T301" s="118">
        <f ca="1">초급</f>
        <v>235459</v>
      </c>
      <c r="U301" s="118">
        <f t="shared" ca="1" si="83"/>
        <v>222508</v>
      </c>
      <c r="V301" s="118"/>
      <c r="W301" s="118"/>
      <c r="X301" s="118"/>
      <c r="Y301" s="118"/>
      <c r="Z301" s="115"/>
    </row>
    <row r="302" spans="11:26" ht="18" customHeight="1">
      <c r="K302" s="171" t="s">
        <v>14</v>
      </c>
      <c r="L302" s="171"/>
      <c r="M302" s="171"/>
      <c r="N302" s="319" t="s">
        <v>42</v>
      </c>
      <c r="O302" s="174">
        <v>8</v>
      </c>
      <c r="P302" s="235">
        <f ca="1">OFFSET($A$1,MATCH(Z296,$A:$A,0)-1,O302)</f>
        <v>0.81</v>
      </c>
      <c r="Q302" s="322" t="s">
        <v>29</v>
      </c>
      <c r="R302" s="323">
        <f t="shared" ca="1" si="81"/>
        <v>250087</v>
      </c>
      <c r="S302" s="323">
        <f t="shared" ca="1" si="82"/>
        <v>202570</v>
      </c>
      <c r="T302" s="323">
        <f ca="1">보조원</f>
        <v>250087</v>
      </c>
      <c r="U302" s="323">
        <f t="shared" ca="1" si="83"/>
        <v>202570</v>
      </c>
      <c r="V302" s="323"/>
      <c r="W302" s="323"/>
      <c r="X302" s="323"/>
      <c r="Y302" s="323"/>
      <c r="Z302" s="324"/>
    </row>
    <row r="303" spans="11:26" ht="18" customHeight="1">
      <c r="K303" s="171" t="s">
        <v>14</v>
      </c>
      <c r="L303" s="171"/>
      <c r="M303" s="171"/>
      <c r="N303" s="139" t="s">
        <v>17</v>
      </c>
      <c r="O303" s="68"/>
      <c r="P303" s="69"/>
      <c r="Q303" s="70"/>
      <c r="R303" s="71"/>
      <c r="S303" s="71">
        <f ca="1">SUBTOTAL(9,S297:S302)</f>
        <v>988316</v>
      </c>
      <c r="T303" s="71"/>
      <c r="U303" s="71">
        <f ca="1">SUBTOTAL(9,U297:U302)</f>
        <v>988316</v>
      </c>
      <c r="V303" s="71"/>
      <c r="W303" s="71"/>
      <c r="X303" s="71"/>
      <c r="Y303" s="71"/>
      <c r="Z303" s="68"/>
    </row>
    <row r="304" spans="11:26" ht="18" customHeight="1">
      <c r="K304" s="171" t="s">
        <v>14</v>
      </c>
      <c r="L304" s="171"/>
      <c r="M304" s="171"/>
      <c r="N304" s="318" t="str">
        <f ca="1">"제 " &amp; Z304 &amp; " 호표  "&amp; OFFSET($A$1,MATCH(Z304,$A:$A,0)-1,1)</f>
        <v>제 30 호표  7-1. 유지관리계획 기본방향</v>
      </c>
      <c r="O304" s="221"/>
      <c r="P304" s="148"/>
      <c r="Q304" s="148"/>
      <c r="R304" s="149"/>
      <c r="S304" s="149"/>
      <c r="T304" s="149"/>
      <c r="U304" s="149"/>
      <c r="V304" s="149"/>
      <c r="W304" s="149"/>
      <c r="X304" s="149"/>
      <c r="Y304" s="149"/>
      <c r="Z304" s="325">
        <f>Z296+1</f>
        <v>30</v>
      </c>
    </row>
    <row r="305" spans="11:26" ht="18" customHeight="1">
      <c r="K305" s="171" t="s">
        <v>14</v>
      </c>
      <c r="L305" s="171"/>
      <c r="M305" s="171"/>
      <c r="N305" s="140" t="s">
        <v>43</v>
      </c>
      <c r="O305" s="172">
        <v>3</v>
      </c>
      <c r="P305" s="219">
        <f ca="1">OFFSET($A$1,MATCH(Z304,$A:$A,0)-1,O305)</f>
        <v>0.09</v>
      </c>
      <c r="Q305" s="141" t="s">
        <v>29</v>
      </c>
      <c r="R305" s="142">
        <f t="shared" ref="R305:R310" ca="1" si="84">T305</f>
        <v>467217</v>
      </c>
      <c r="S305" s="142">
        <f t="shared" ref="S305:S310" ca="1" si="85">U305</f>
        <v>42049</v>
      </c>
      <c r="T305" s="142">
        <f ca="1">기술사</f>
        <v>467217</v>
      </c>
      <c r="U305" s="142">
        <f t="shared" ref="U305:U310" ca="1" si="86">ROUNDDOWN(P305*R305,0)</f>
        <v>42049</v>
      </c>
      <c r="V305" s="142"/>
      <c r="W305" s="142"/>
      <c r="X305" s="142"/>
      <c r="Y305" s="142"/>
      <c r="Z305" s="114"/>
    </row>
    <row r="306" spans="11:26" ht="18" customHeight="1">
      <c r="K306" s="171" t="s">
        <v>14</v>
      </c>
      <c r="L306" s="171"/>
      <c r="M306" s="171"/>
      <c r="N306" s="143" t="s">
        <v>32</v>
      </c>
      <c r="O306" s="173">
        <v>4</v>
      </c>
      <c r="P306" s="234">
        <f ca="1">OFFSET($A$1,MATCH(Z304,$A:$A,0)-1,O306)</f>
        <v>0.18</v>
      </c>
      <c r="Q306" s="144" t="s">
        <v>29</v>
      </c>
      <c r="R306" s="118">
        <f t="shared" ca="1" si="84"/>
        <v>373353</v>
      </c>
      <c r="S306" s="118">
        <f t="shared" ca="1" si="85"/>
        <v>67203</v>
      </c>
      <c r="T306" s="118">
        <f ca="1">특급</f>
        <v>373353</v>
      </c>
      <c r="U306" s="118">
        <f t="shared" ca="1" si="86"/>
        <v>67203</v>
      </c>
      <c r="V306" s="118"/>
      <c r="W306" s="118"/>
      <c r="X306" s="118"/>
      <c r="Y306" s="118"/>
      <c r="Z306" s="115"/>
    </row>
    <row r="307" spans="11:26" ht="18" customHeight="1">
      <c r="K307" s="171" t="s">
        <v>14</v>
      </c>
      <c r="L307" s="171"/>
      <c r="M307" s="171"/>
      <c r="N307" s="145" t="s">
        <v>39</v>
      </c>
      <c r="O307" s="173">
        <v>5</v>
      </c>
      <c r="P307" s="234">
        <f ca="1">OFFSET($A$1,MATCH(Z304,$A:$A,0)-1,O307)</f>
        <v>0.13500000000000001</v>
      </c>
      <c r="Q307" s="144" t="s">
        <v>29</v>
      </c>
      <c r="R307" s="118">
        <f t="shared" ca="1" si="84"/>
        <v>310884</v>
      </c>
      <c r="S307" s="118">
        <f t="shared" ca="1" si="85"/>
        <v>41969</v>
      </c>
      <c r="T307" s="118">
        <f ca="1">고급</f>
        <v>310884</v>
      </c>
      <c r="U307" s="118">
        <f t="shared" ca="1" si="86"/>
        <v>41969</v>
      </c>
      <c r="V307" s="118"/>
      <c r="W307" s="118"/>
      <c r="X307" s="118"/>
      <c r="Y307" s="118"/>
      <c r="Z307" s="115"/>
    </row>
    <row r="308" spans="11:26" ht="18" customHeight="1">
      <c r="K308" s="171" t="s">
        <v>14</v>
      </c>
      <c r="L308" s="171"/>
      <c r="M308" s="171"/>
      <c r="N308" s="145" t="s">
        <v>40</v>
      </c>
      <c r="O308" s="173">
        <v>6</v>
      </c>
      <c r="P308" s="234">
        <f ca="1">OFFSET($A$1,MATCH(Z304,$A:$A,0)-1,O308)</f>
        <v>0.36</v>
      </c>
      <c r="Q308" s="144" t="s">
        <v>29</v>
      </c>
      <c r="R308" s="118">
        <f t="shared" ca="1" si="84"/>
        <v>295138</v>
      </c>
      <c r="S308" s="118">
        <f t="shared" ca="1" si="85"/>
        <v>106249</v>
      </c>
      <c r="T308" s="118">
        <f ca="1">중급</f>
        <v>295138</v>
      </c>
      <c r="U308" s="118">
        <f t="shared" ca="1" si="86"/>
        <v>106249</v>
      </c>
      <c r="V308" s="118"/>
      <c r="W308" s="118"/>
      <c r="X308" s="118"/>
      <c r="Y308" s="118"/>
      <c r="Z308" s="115"/>
    </row>
    <row r="309" spans="11:26" ht="18" customHeight="1">
      <c r="K309" s="171" t="s">
        <v>14</v>
      </c>
      <c r="L309" s="171"/>
      <c r="M309" s="171"/>
      <c r="N309" s="145" t="s">
        <v>41</v>
      </c>
      <c r="O309" s="173">
        <v>7</v>
      </c>
      <c r="P309" s="234">
        <f ca="1">OFFSET($A$1,MATCH(Z304,$A:$A,0)-1,O309)</f>
        <v>0.45</v>
      </c>
      <c r="Q309" s="144" t="s">
        <v>29</v>
      </c>
      <c r="R309" s="118">
        <f t="shared" ca="1" si="84"/>
        <v>235459</v>
      </c>
      <c r="S309" s="118">
        <f t="shared" ca="1" si="85"/>
        <v>105956</v>
      </c>
      <c r="T309" s="118">
        <f ca="1">초급</f>
        <v>235459</v>
      </c>
      <c r="U309" s="118">
        <f t="shared" ca="1" si="86"/>
        <v>105956</v>
      </c>
      <c r="V309" s="118"/>
      <c r="W309" s="118"/>
      <c r="X309" s="118"/>
      <c r="Y309" s="118"/>
      <c r="Z309" s="115"/>
    </row>
    <row r="310" spans="11:26" ht="18" customHeight="1">
      <c r="K310" s="171" t="s">
        <v>14</v>
      </c>
      <c r="L310" s="171"/>
      <c r="M310" s="171"/>
      <c r="N310" s="319" t="s">
        <v>42</v>
      </c>
      <c r="O310" s="174">
        <v>8</v>
      </c>
      <c r="P310" s="235">
        <f ca="1">OFFSET($A$1,MATCH(Z304,$A:$A,0)-1,O310)</f>
        <v>0.36</v>
      </c>
      <c r="Q310" s="322" t="s">
        <v>29</v>
      </c>
      <c r="R310" s="323">
        <f t="shared" ca="1" si="84"/>
        <v>250087</v>
      </c>
      <c r="S310" s="323">
        <f t="shared" ca="1" si="85"/>
        <v>90031</v>
      </c>
      <c r="T310" s="323">
        <f ca="1">보조원</f>
        <v>250087</v>
      </c>
      <c r="U310" s="323">
        <f t="shared" ca="1" si="86"/>
        <v>90031</v>
      </c>
      <c r="V310" s="323"/>
      <c r="W310" s="323"/>
      <c r="X310" s="323"/>
      <c r="Y310" s="323"/>
      <c r="Z310" s="324"/>
    </row>
    <row r="311" spans="11:26" ht="18" customHeight="1">
      <c r="K311" s="171" t="s">
        <v>14</v>
      </c>
      <c r="L311" s="171"/>
      <c r="M311" s="171"/>
      <c r="N311" s="139" t="s">
        <v>17</v>
      </c>
      <c r="O311" s="68"/>
      <c r="P311" s="69"/>
      <c r="Q311" s="70"/>
      <c r="R311" s="71"/>
      <c r="S311" s="71">
        <f ca="1">SUBTOTAL(9,S305:S310)</f>
        <v>453457</v>
      </c>
      <c r="T311" s="71"/>
      <c r="U311" s="71">
        <f ca="1">SUBTOTAL(9,U305:U310)</f>
        <v>453457</v>
      </c>
      <c r="V311" s="71"/>
      <c r="W311" s="71"/>
      <c r="X311" s="71"/>
      <c r="Y311" s="71"/>
      <c r="Z311" s="68"/>
    </row>
    <row r="312" spans="11:26" ht="18" customHeight="1">
      <c r="K312" s="171" t="s">
        <v>14</v>
      </c>
      <c r="L312" s="171"/>
      <c r="M312" s="171"/>
      <c r="N312" s="318" t="str">
        <f ca="1">"제 " &amp; Z312 &amp; " 호표  "&amp; OFFSET($A$1,MATCH(Z312,$A:$A,0)-1,1)</f>
        <v>제 31 호표  7-2. 개발 중 유지관리계획</v>
      </c>
      <c r="O312" s="221"/>
      <c r="P312" s="148"/>
      <c r="Q312" s="148"/>
      <c r="R312" s="149"/>
      <c r="S312" s="149"/>
      <c r="T312" s="149"/>
      <c r="U312" s="149"/>
      <c r="V312" s="149"/>
      <c r="W312" s="149"/>
      <c r="X312" s="149"/>
      <c r="Y312" s="149"/>
      <c r="Z312" s="325">
        <f>Z304+1</f>
        <v>31</v>
      </c>
    </row>
    <row r="313" spans="11:26" ht="18" customHeight="1">
      <c r="K313" s="171" t="s">
        <v>14</v>
      </c>
      <c r="L313" s="171"/>
      <c r="M313" s="171"/>
      <c r="N313" s="140" t="s">
        <v>43</v>
      </c>
      <c r="O313" s="172">
        <v>3</v>
      </c>
      <c r="P313" s="219">
        <f ca="1">OFFSET($A$1,MATCH(Z312,$A:$A,0)-1,O313)</f>
        <v>0.22500000000000001</v>
      </c>
      <c r="Q313" s="141" t="s">
        <v>29</v>
      </c>
      <c r="R313" s="142">
        <f t="shared" ref="R313:R318" ca="1" si="87">T313</f>
        <v>467217</v>
      </c>
      <c r="S313" s="142">
        <f t="shared" ref="S313:S318" ca="1" si="88">U313</f>
        <v>105123</v>
      </c>
      <c r="T313" s="142">
        <f ca="1">기술사</f>
        <v>467217</v>
      </c>
      <c r="U313" s="142">
        <f t="shared" ref="U313:U318" ca="1" si="89">ROUNDDOWN(P313*R313,0)</f>
        <v>105123</v>
      </c>
      <c r="V313" s="142"/>
      <c r="W313" s="142"/>
      <c r="X313" s="142"/>
      <c r="Y313" s="142"/>
      <c r="Z313" s="114"/>
    </row>
    <row r="314" spans="11:26" ht="18" customHeight="1">
      <c r="K314" s="171" t="s">
        <v>14</v>
      </c>
      <c r="L314" s="171"/>
      <c r="M314" s="171"/>
      <c r="N314" s="143" t="s">
        <v>32</v>
      </c>
      <c r="O314" s="173">
        <v>4</v>
      </c>
      <c r="P314" s="234">
        <f ca="1">OFFSET($A$1,MATCH(Z312,$A:$A,0)-1,O314)</f>
        <v>0.36</v>
      </c>
      <c r="Q314" s="144" t="s">
        <v>29</v>
      </c>
      <c r="R314" s="118">
        <f t="shared" ca="1" si="87"/>
        <v>373353</v>
      </c>
      <c r="S314" s="118">
        <f t="shared" ca="1" si="88"/>
        <v>134407</v>
      </c>
      <c r="T314" s="118">
        <f ca="1">특급</f>
        <v>373353</v>
      </c>
      <c r="U314" s="118">
        <f t="shared" ca="1" si="89"/>
        <v>134407</v>
      </c>
      <c r="V314" s="118"/>
      <c r="W314" s="118"/>
      <c r="X314" s="118"/>
      <c r="Y314" s="118"/>
      <c r="Z314" s="115"/>
    </row>
    <row r="315" spans="11:26" ht="18" customHeight="1">
      <c r="K315" s="171" t="s">
        <v>14</v>
      </c>
      <c r="L315" s="171"/>
      <c r="M315" s="171"/>
      <c r="N315" s="145" t="s">
        <v>39</v>
      </c>
      <c r="O315" s="173">
        <v>5</v>
      </c>
      <c r="P315" s="234">
        <f ca="1">OFFSET($A$1,MATCH(Z312,$A:$A,0)-1,O315)</f>
        <v>0.315</v>
      </c>
      <c r="Q315" s="144" t="s">
        <v>29</v>
      </c>
      <c r="R315" s="118">
        <f t="shared" ca="1" si="87"/>
        <v>310884</v>
      </c>
      <c r="S315" s="118">
        <f t="shared" ca="1" si="88"/>
        <v>97928</v>
      </c>
      <c r="T315" s="118">
        <f ca="1">고급</f>
        <v>310884</v>
      </c>
      <c r="U315" s="118">
        <f t="shared" ca="1" si="89"/>
        <v>97928</v>
      </c>
      <c r="V315" s="118"/>
      <c r="W315" s="118"/>
      <c r="X315" s="118"/>
      <c r="Y315" s="118"/>
      <c r="Z315" s="115"/>
    </row>
    <row r="316" spans="11:26" ht="18" customHeight="1">
      <c r="K316" s="171" t="s">
        <v>14</v>
      </c>
      <c r="L316" s="171"/>
      <c r="M316" s="171"/>
      <c r="N316" s="145" t="s">
        <v>40</v>
      </c>
      <c r="O316" s="173">
        <v>6</v>
      </c>
      <c r="P316" s="234">
        <f ca="1">OFFSET($A$1,MATCH(Z312,$A:$A,0)-1,O316)</f>
        <v>0.76500000000000001</v>
      </c>
      <c r="Q316" s="144" t="s">
        <v>29</v>
      </c>
      <c r="R316" s="118">
        <f t="shared" ca="1" si="87"/>
        <v>295138</v>
      </c>
      <c r="S316" s="118">
        <f t="shared" ca="1" si="88"/>
        <v>225780</v>
      </c>
      <c r="T316" s="118">
        <f ca="1">중급</f>
        <v>295138</v>
      </c>
      <c r="U316" s="118">
        <f t="shared" ca="1" si="89"/>
        <v>225780</v>
      </c>
      <c r="V316" s="118"/>
      <c r="W316" s="118"/>
      <c r="X316" s="118"/>
      <c r="Y316" s="118"/>
      <c r="Z316" s="115"/>
    </row>
    <row r="317" spans="11:26" ht="18" customHeight="1">
      <c r="K317" s="171" t="s">
        <v>14</v>
      </c>
      <c r="L317" s="171"/>
      <c r="M317" s="171"/>
      <c r="N317" s="145" t="s">
        <v>41</v>
      </c>
      <c r="O317" s="173">
        <v>7</v>
      </c>
      <c r="P317" s="234">
        <f ca="1">OFFSET($A$1,MATCH(Z312,$A:$A,0)-1,O317)</f>
        <v>0.94499999999999995</v>
      </c>
      <c r="Q317" s="144" t="s">
        <v>29</v>
      </c>
      <c r="R317" s="118">
        <f t="shared" ca="1" si="87"/>
        <v>235459</v>
      </c>
      <c r="S317" s="118">
        <f t="shared" ca="1" si="88"/>
        <v>222508</v>
      </c>
      <c r="T317" s="118">
        <f ca="1">초급</f>
        <v>235459</v>
      </c>
      <c r="U317" s="118">
        <f t="shared" ca="1" si="89"/>
        <v>222508</v>
      </c>
      <c r="V317" s="118"/>
      <c r="W317" s="118"/>
      <c r="X317" s="118"/>
      <c r="Y317" s="118"/>
      <c r="Z317" s="115"/>
    </row>
    <row r="318" spans="11:26" ht="18" customHeight="1">
      <c r="K318" s="171" t="s">
        <v>14</v>
      </c>
      <c r="L318" s="171"/>
      <c r="M318" s="171"/>
      <c r="N318" s="319" t="s">
        <v>42</v>
      </c>
      <c r="O318" s="174">
        <v>8</v>
      </c>
      <c r="P318" s="235">
        <f ca="1">OFFSET($A$1,MATCH(Z312,$A:$A,0)-1,O318)</f>
        <v>0.81</v>
      </c>
      <c r="Q318" s="322" t="s">
        <v>29</v>
      </c>
      <c r="R318" s="323">
        <f t="shared" ca="1" si="87"/>
        <v>250087</v>
      </c>
      <c r="S318" s="323">
        <f t="shared" ca="1" si="88"/>
        <v>202570</v>
      </c>
      <c r="T318" s="323">
        <f ca="1">보조원</f>
        <v>250087</v>
      </c>
      <c r="U318" s="323">
        <f t="shared" ca="1" si="89"/>
        <v>202570</v>
      </c>
      <c r="V318" s="323"/>
      <c r="W318" s="323"/>
      <c r="X318" s="323"/>
      <c r="Y318" s="323"/>
      <c r="Z318" s="324"/>
    </row>
    <row r="319" spans="11:26" ht="18" customHeight="1">
      <c r="K319" s="171" t="s">
        <v>14</v>
      </c>
      <c r="L319" s="171"/>
      <c r="M319" s="171"/>
      <c r="N319" s="139" t="s">
        <v>17</v>
      </c>
      <c r="O319" s="68"/>
      <c r="P319" s="69"/>
      <c r="Q319" s="70"/>
      <c r="R319" s="71"/>
      <c r="S319" s="71">
        <f ca="1">SUBTOTAL(9,S313:S318)</f>
        <v>988316</v>
      </c>
      <c r="T319" s="71"/>
      <c r="U319" s="71">
        <f ca="1">SUBTOTAL(9,U313:U318)</f>
        <v>988316</v>
      </c>
      <c r="V319" s="71"/>
      <c r="W319" s="71"/>
      <c r="X319" s="71"/>
      <c r="Y319" s="71"/>
      <c r="Z319" s="68"/>
    </row>
    <row r="320" spans="11:26" ht="18" customHeight="1">
      <c r="K320" s="171" t="s">
        <v>14</v>
      </c>
      <c r="L320" s="171"/>
      <c r="M320" s="171"/>
      <c r="N320" s="318" t="str">
        <f ca="1">"제 " &amp; Z320 &amp; " 호표  "&amp; OFFSET($A$1,MATCH(Z320,$A:$A,0)-1,1)</f>
        <v>제 32 호표  7-3. 개발 후 유지관리계획</v>
      </c>
      <c r="O320" s="221"/>
      <c r="P320" s="148"/>
      <c r="Q320" s="148"/>
      <c r="R320" s="149"/>
      <c r="S320" s="149"/>
      <c r="T320" s="149"/>
      <c r="U320" s="149"/>
      <c r="V320" s="149"/>
      <c r="W320" s="149"/>
      <c r="X320" s="149"/>
      <c r="Y320" s="149"/>
      <c r="Z320" s="325">
        <f>Z312+1</f>
        <v>32</v>
      </c>
    </row>
    <row r="321" spans="11:26" ht="18" customHeight="1">
      <c r="K321" s="171" t="s">
        <v>14</v>
      </c>
      <c r="L321" s="171"/>
      <c r="M321" s="171"/>
      <c r="N321" s="140" t="s">
        <v>43</v>
      </c>
      <c r="O321" s="172">
        <v>3</v>
      </c>
      <c r="P321" s="219">
        <f ca="1">OFFSET($A$1,MATCH(Z320,$A:$A,0)-1,O321)</f>
        <v>0.22500000000000001</v>
      </c>
      <c r="Q321" s="141" t="s">
        <v>29</v>
      </c>
      <c r="R321" s="142">
        <f t="shared" ref="R321:R326" ca="1" si="90">T321</f>
        <v>467217</v>
      </c>
      <c r="S321" s="142">
        <f t="shared" ref="S321:S326" ca="1" si="91">U321</f>
        <v>105123</v>
      </c>
      <c r="T321" s="142">
        <f ca="1">기술사</f>
        <v>467217</v>
      </c>
      <c r="U321" s="142">
        <f t="shared" ref="U321:U326" ca="1" si="92">ROUNDDOWN(P321*R321,0)</f>
        <v>105123</v>
      </c>
      <c r="V321" s="142"/>
      <c r="W321" s="142"/>
      <c r="X321" s="142"/>
      <c r="Y321" s="142"/>
      <c r="Z321" s="114"/>
    </row>
    <row r="322" spans="11:26" ht="18" customHeight="1">
      <c r="K322" s="171" t="s">
        <v>14</v>
      </c>
      <c r="L322" s="171"/>
      <c r="M322" s="171"/>
      <c r="N322" s="143" t="s">
        <v>32</v>
      </c>
      <c r="O322" s="173">
        <v>4</v>
      </c>
      <c r="P322" s="234">
        <f ca="1">OFFSET($A$1,MATCH(Z320,$A:$A,0)-1,O322)</f>
        <v>0.36</v>
      </c>
      <c r="Q322" s="144" t="s">
        <v>29</v>
      </c>
      <c r="R322" s="118">
        <f t="shared" ca="1" si="90"/>
        <v>373353</v>
      </c>
      <c r="S322" s="118">
        <f t="shared" ca="1" si="91"/>
        <v>134407</v>
      </c>
      <c r="T322" s="118">
        <f ca="1">특급</f>
        <v>373353</v>
      </c>
      <c r="U322" s="118">
        <f t="shared" ca="1" si="92"/>
        <v>134407</v>
      </c>
      <c r="V322" s="118"/>
      <c r="W322" s="118"/>
      <c r="X322" s="118"/>
      <c r="Y322" s="118"/>
      <c r="Z322" s="115"/>
    </row>
    <row r="323" spans="11:26" ht="18" customHeight="1">
      <c r="K323" s="171" t="s">
        <v>14</v>
      </c>
      <c r="L323" s="171"/>
      <c r="M323" s="171"/>
      <c r="N323" s="145" t="s">
        <v>39</v>
      </c>
      <c r="O323" s="173">
        <v>5</v>
      </c>
      <c r="P323" s="234">
        <f ca="1">OFFSET($A$1,MATCH(Z320,$A:$A,0)-1,O323)</f>
        <v>0.315</v>
      </c>
      <c r="Q323" s="144" t="s">
        <v>29</v>
      </c>
      <c r="R323" s="118">
        <f t="shared" ca="1" si="90"/>
        <v>310884</v>
      </c>
      <c r="S323" s="118">
        <f t="shared" ca="1" si="91"/>
        <v>97928</v>
      </c>
      <c r="T323" s="118">
        <f ca="1">고급</f>
        <v>310884</v>
      </c>
      <c r="U323" s="118">
        <f t="shared" ca="1" si="92"/>
        <v>97928</v>
      </c>
      <c r="V323" s="118"/>
      <c r="W323" s="118"/>
      <c r="X323" s="118"/>
      <c r="Y323" s="118"/>
      <c r="Z323" s="115"/>
    </row>
    <row r="324" spans="11:26" ht="18" customHeight="1">
      <c r="K324" s="171" t="s">
        <v>14</v>
      </c>
      <c r="L324" s="171"/>
      <c r="M324" s="171"/>
      <c r="N324" s="145" t="s">
        <v>40</v>
      </c>
      <c r="O324" s="173">
        <v>6</v>
      </c>
      <c r="P324" s="234">
        <f ca="1">OFFSET($A$1,MATCH(Z320,$A:$A,0)-1,O324)</f>
        <v>0.76500000000000001</v>
      </c>
      <c r="Q324" s="144" t="s">
        <v>29</v>
      </c>
      <c r="R324" s="118">
        <f t="shared" ca="1" si="90"/>
        <v>295138</v>
      </c>
      <c r="S324" s="118">
        <f t="shared" ca="1" si="91"/>
        <v>225780</v>
      </c>
      <c r="T324" s="118">
        <f ca="1">중급</f>
        <v>295138</v>
      </c>
      <c r="U324" s="118">
        <f t="shared" ca="1" si="92"/>
        <v>225780</v>
      </c>
      <c r="V324" s="118"/>
      <c r="W324" s="118"/>
      <c r="X324" s="118"/>
      <c r="Y324" s="118"/>
      <c r="Z324" s="115"/>
    </row>
    <row r="325" spans="11:26" ht="18" customHeight="1">
      <c r="K325" s="171" t="s">
        <v>14</v>
      </c>
      <c r="L325" s="171"/>
      <c r="M325" s="171"/>
      <c r="N325" s="145" t="s">
        <v>41</v>
      </c>
      <c r="O325" s="173">
        <v>7</v>
      </c>
      <c r="P325" s="234">
        <f ca="1">OFFSET($A$1,MATCH(Z320,$A:$A,0)-1,O325)</f>
        <v>0.94499999999999995</v>
      </c>
      <c r="Q325" s="144" t="s">
        <v>29</v>
      </c>
      <c r="R325" s="118">
        <f t="shared" ca="1" si="90"/>
        <v>235459</v>
      </c>
      <c r="S325" s="118">
        <f t="shared" ca="1" si="91"/>
        <v>222508</v>
      </c>
      <c r="T325" s="118">
        <f ca="1">초급</f>
        <v>235459</v>
      </c>
      <c r="U325" s="118">
        <f t="shared" ca="1" si="92"/>
        <v>222508</v>
      </c>
      <c r="V325" s="118"/>
      <c r="W325" s="118"/>
      <c r="X325" s="118"/>
      <c r="Y325" s="118"/>
      <c r="Z325" s="115"/>
    </row>
    <row r="326" spans="11:26" ht="18" customHeight="1">
      <c r="K326" s="171" t="s">
        <v>14</v>
      </c>
      <c r="L326" s="171"/>
      <c r="M326" s="171"/>
      <c r="N326" s="319" t="s">
        <v>42</v>
      </c>
      <c r="O326" s="174">
        <v>8</v>
      </c>
      <c r="P326" s="235">
        <f ca="1">OFFSET($A$1,MATCH(Z320,$A:$A,0)-1,O326)</f>
        <v>0.81</v>
      </c>
      <c r="Q326" s="322" t="s">
        <v>29</v>
      </c>
      <c r="R326" s="323">
        <f t="shared" ca="1" si="90"/>
        <v>250087</v>
      </c>
      <c r="S326" s="323">
        <f t="shared" ca="1" si="91"/>
        <v>202570</v>
      </c>
      <c r="T326" s="323">
        <f ca="1">보조원</f>
        <v>250087</v>
      </c>
      <c r="U326" s="323">
        <f t="shared" ca="1" si="92"/>
        <v>202570</v>
      </c>
      <c r="V326" s="323"/>
      <c r="W326" s="323"/>
      <c r="X326" s="323"/>
      <c r="Y326" s="323"/>
      <c r="Z326" s="324"/>
    </row>
    <row r="327" spans="11:26" ht="18" customHeight="1">
      <c r="K327" s="171" t="s">
        <v>14</v>
      </c>
      <c r="L327" s="171"/>
      <c r="M327" s="171"/>
      <c r="N327" s="139" t="s">
        <v>17</v>
      </c>
      <c r="O327" s="68"/>
      <c r="P327" s="69"/>
      <c r="Q327" s="70"/>
      <c r="R327" s="71"/>
      <c r="S327" s="71">
        <f ca="1">SUBTOTAL(9,S321:S326)</f>
        <v>988316</v>
      </c>
      <c r="T327" s="71"/>
      <c r="U327" s="71">
        <f ca="1">SUBTOTAL(9,U321:U326)</f>
        <v>988316</v>
      </c>
      <c r="V327" s="71"/>
      <c r="W327" s="71"/>
      <c r="X327" s="71"/>
      <c r="Y327" s="71"/>
      <c r="Z327" s="68"/>
    </row>
    <row r="328" spans="11:26" ht="18" customHeight="1">
      <c r="K328" s="171" t="s">
        <v>14</v>
      </c>
      <c r="L328" s="171"/>
      <c r="M328" s="171"/>
      <c r="N328" s="318" t="str">
        <f ca="1">"제 " &amp; Z328 &amp; " 호표  "&amp; OFFSET($A$1,MATCH(Z328,$A:$A,0)-1,1)</f>
        <v>제 33 호표  8. 결론</v>
      </c>
      <c r="O328" s="221"/>
      <c r="P328" s="148"/>
      <c r="Q328" s="148"/>
      <c r="R328" s="149"/>
      <c r="S328" s="149"/>
      <c r="T328" s="149"/>
      <c r="U328" s="149"/>
      <c r="V328" s="149"/>
      <c r="W328" s="149"/>
      <c r="X328" s="149"/>
      <c r="Y328" s="149"/>
      <c r="Z328" s="325">
        <f>Z320+1</f>
        <v>33</v>
      </c>
    </row>
    <row r="329" spans="11:26" ht="18" customHeight="1">
      <c r="K329" s="171" t="s">
        <v>14</v>
      </c>
      <c r="L329" s="171"/>
      <c r="M329" s="171"/>
      <c r="N329" s="140" t="s">
        <v>43</v>
      </c>
      <c r="O329" s="172">
        <v>3</v>
      </c>
      <c r="P329" s="219">
        <f ca="1">OFFSET($A$1,MATCH(Z328,$A:$A,0)-1,O329)</f>
        <v>0.09</v>
      </c>
      <c r="Q329" s="141" t="s">
        <v>29</v>
      </c>
      <c r="R329" s="142">
        <f t="shared" ref="R329:R334" ca="1" si="93">T329</f>
        <v>467217</v>
      </c>
      <c r="S329" s="142">
        <f t="shared" ref="S329:S334" ca="1" si="94">U329</f>
        <v>42049</v>
      </c>
      <c r="T329" s="142">
        <f ca="1">기술사</f>
        <v>467217</v>
      </c>
      <c r="U329" s="142">
        <f t="shared" ref="U329:U334" ca="1" si="95">ROUNDDOWN(P329*R329,0)</f>
        <v>42049</v>
      </c>
      <c r="V329" s="142"/>
      <c r="W329" s="142"/>
      <c r="X329" s="142"/>
      <c r="Y329" s="142"/>
      <c r="Z329" s="114"/>
    </row>
    <row r="330" spans="11:26" ht="18" customHeight="1">
      <c r="K330" s="171" t="s">
        <v>14</v>
      </c>
      <c r="L330" s="171"/>
      <c r="M330" s="171"/>
      <c r="N330" s="143" t="s">
        <v>32</v>
      </c>
      <c r="O330" s="173">
        <v>4</v>
      </c>
      <c r="P330" s="234">
        <f ca="1">OFFSET($A$1,MATCH(Z328,$A:$A,0)-1,O330)</f>
        <v>0.13500000000000001</v>
      </c>
      <c r="Q330" s="144" t="s">
        <v>29</v>
      </c>
      <c r="R330" s="118">
        <f t="shared" ca="1" si="93"/>
        <v>373353</v>
      </c>
      <c r="S330" s="118">
        <f t="shared" ca="1" si="94"/>
        <v>50402</v>
      </c>
      <c r="T330" s="118">
        <f ca="1">특급</f>
        <v>373353</v>
      </c>
      <c r="U330" s="118">
        <f t="shared" ca="1" si="95"/>
        <v>50402</v>
      </c>
      <c r="V330" s="118"/>
      <c r="W330" s="118"/>
      <c r="X330" s="118"/>
      <c r="Y330" s="118"/>
      <c r="Z330" s="115"/>
    </row>
    <row r="331" spans="11:26" ht="18" customHeight="1">
      <c r="K331" s="171" t="s">
        <v>14</v>
      </c>
      <c r="L331" s="171"/>
      <c r="M331" s="171"/>
      <c r="N331" s="145" t="s">
        <v>39</v>
      </c>
      <c r="O331" s="173">
        <v>5</v>
      </c>
      <c r="P331" s="234">
        <f ca="1">OFFSET($A$1,MATCH(Z328,$A:$A,0)-1,O331)</f>
        <v>0.22500000000000001</v>
      </c>
      <c r="Q331" s="144" t="s">
        <v>29</v>
      </c>
      <c r="R331" s="118">
        <f t="shared" ca="1" si="93"/>
        <v>310884</v>
      </c>
      <c r="S331" s="118">
        <f t="shared" ca="1" si="94"/>
        <v>69948</v>
      </c>
      <c r="T331" s="118">
        <f ca="1">고급</f>
        <v>310884</v>
      </c>
      <c r="U331" s="118">
        <f t="shared" ca="1" si="95"/>
        <v>69948</v>
      </c>
      <c r="V331" s="118"/>
      <c r="W331" s="118"/>
      <c r="X331" s="118"/>
      <c r="Y331" s="118"/>
      <c r="Z331" s="115"/>
    </row>
    <row r="332" spans="11:26" ht="18" customHeight="1">
      <c r="K332" s="171" t="s">
        <v>14</v>
      </c>
      <c r="L332" s="171"/>
      <c r="M332" s="171"/>
      <c r="N332" s="145" t="s">
        <v>40</v>
      </c>
      <c r="O332" s="173">
        <v>6</v>
      </c>
      <c r="P332" s="234">
        <f ca="1">OFFSET($A$1,MATCH(Z328,$A:$A,0)-1,O332)</f>
        <v>0.315</v>
      </c>
      <c r="Q332" s="144" t="s">
        <v>29</v>
      </c>
      <c r="R332" s="118">
        <f t="shared" ca="1" si="93"/>
        <v>295138</v>
      </c>
      <c r="S332" s="118">
        <f t="shared" ca="1" si="94"/>
        <v>92968</v>
      </c>
      <c r="T332" s="118">
        <f ca="1">중급</f>
        <v>295138</v>
      </c>
      <c r="U332" s="118">
        <f t="shared" ca="1" si="95"/>
        <v>92968</v>
      </c>
      <c r="V332" s="118"/>
      <c r="W332" s="118"/>
      <c r="X332" s="118"/>
      <c r="Y332" s="118"/>
      <c r="Z332" s="115"/>
    </row>
    <row r="333" spans="11:26" ht="18" customHeight="1">
      <c r="K333" s="171" t="s">
        <v>14</v>
      </c>
      <c r="L333" s="171"/>
      <c r="M333" s="171"/>
      <c r="N333" s="145" t="s">
        <v>41</v>
      </c>
      <c r="O333" s="173">
        <v>7</v>
      </c>
      <c r="P333" s="234">
        <f ca="1">OFFSET($A$1,MATCH(Z328,$A:$A,0)-1,O333)</f>
        <v>0.315</v>
      </c>
      <c r="Q333" s="144" t="s">
        <v>29</v>
      </c>
      <c r="R333" s="118">
        <f t="shared" ca="1" si="93"/>
        <v>235459</v>
      </c>
      <c r="S333" s="118">
        <f t="shared" ca="1" si="94"/>
        <v>74169</v>
      </c>
      <c r="T333" s="118">
        <f ca="1">초급</f>
        <v>235459</v>
      </c>
      <c r="U333" s="118">
        <f t="shared" ca="1" si="95"/>
        <v>74169</v>
      </c>
      <c r="V333" s="118"/>
      <c r="W333" s="118"/>
      <c r="X333" s="118"/>
      <c r="Y333" s="118"/>
      <c r="Z333" s="115"/>
    </row>
    <row r="334" spans="11:26" ht="18" customHeight="1">
      <c r="K334" s="171" t="s">
        <v>14</v>
      </c>
      <c r="L334" s="171"/>
      <c r="M334" s="171"/>
      <c r="N334" s="319" t="s">
        <v>42</v>
      </c>
      <c r="O334" s="174">
        <v>8</v>
      </c>
      <c r="P334" s="235">
        <f ca="1">OFFSET($A$1,MATCH(Z328,$A:$A,0)-1,O334)</f>
        <v>0</v>
      </c>
      <c r="Q334" s="322" t="s">
        <v>29</v>
      </c>
      <c r="R334" s="323">
        <f t="shared" ca="1" si="93"/>
        <v>250087</v>
      </c>
      <c r="S334" s="323">
        <f t="shared" ca="1" si="94"/>
        <v>0</v>
      </c>
      <c r="T334" s="323">
        <f ca="1">보조원</f>
        <v>250087</v>
      </c>
      <c r="U334" s="323">
        <f t="shared" ca="1" si="95"/>
        <v>0</v>
      </c>
      <c r="V334" s="323"/>
      <c r="W334" s="323"/>
      <c r="X334" s="323"/>
      <c r="Y334" s="323"/>
      <c r="Z334" s="324"/>
    </row>
    <row r="335" spans="11:26" ht="18" customHeight="1">
      <c r="K335" s="171" t="s">
        <v>14</v>
      </c>
      <c r="L335" s="171"/>
      <c r="M335" s="171"/>
      <c r="N335" s="139" t="s">
        <v>17</v>
      </c>
      <c r="O335" s="68"/>
      <c r="P335" s="69"/>
      <c r="Q335" s="70"/>
      <c r="R335" s="71"/>
      <c r="S335" s="71">
        <f ca="1">SUBTOTAL(9,S329:S334)</f>
        <v>329536</v>
      </c>
      <c r="T335" s="71"/>
      <c r="U335" s="71">
        <f ca="1">SUBTOTAL(9,U329:U334)</f>
        <v>329536</v>
      </c>
      <c r="V335" s="71"/>
      <c r="W335" s="71"/>
      <c r="X335" s="71"/>
      <c r="Y335" s="71"/>
      <c r="Z335" s="68"/>
    </row>
    <row r="336" spans="11:26" ht="18" customHeight="1">
      <c r="K336" s="171" t="s">
        <v>14</v>
      </c>
      <c r="L336" s="171"/>
      <c r="M336" s="171"/>
      <c r="N336" s="318" t="str">
        <f ca="1">"제 " &amp; Z336 &amp; " 호표  "&amp; OFFSET($A$1,MATCH(Z336,$A:$A,0)-1,1)</f>
        <v>제 34 호표  9. 협의서 작성(부록내용 및 기타사항 포함)</v>
      </c>
      <c r="O336" s="221"/>
      <c r="P336" s="148"/>
      <c r="Q336" s="148"/>
      <c r="R336" s="149"/>
      <c r="S336" s="149"/>
      <c r="T336" s="149"/>
      <c r="U336" s="149"/>
      <c r="V336" s="149"/>
      <c r="W336" s="149"/>
      <c r="X336" s="149"/>
      <c r="Y336" s="149"/>
      <c r="Z336" s="325">
        <f>Z328+1</f>
        <v>34</v>
      </c>
    </row>
    <row r="337" spans="11:26" ht="18" customHeight="1">
      <c r="K337" s="171" t="s">
        <v>14</v>
      </c>
      <c r="L337" s="171"/>
      <c r="M337" s="171"/>
      <c r="N337" s="140" t="s">
        <v>43</v>
      </c>
      <c r="O337" s="172">
        <v>3</v>
      </c>
      <c r="P337" s="219">
        <f ca="1">OFFSET($A$1,MATCH(Z336,$A:$A,0)-1,O337)</f>
        <v>0.45</v>
      </c>
      <c r="Q337" s="141" t="s">
        <v>29</v>
      </c>
      <c r="R337" s="142">
        <f t="shared" ref="R337:R342" ca="1" si="96">T337</f>
        <v>467217</v>
      </c>
      <c r="S337" s="142">
        <f t="shared" ref="S337:S342" ca="1" si="97">U337</f>
        <v>210247</v>
      </c>
      <c r="T337" s="142">
        <f ca="1">기술사</f>
        <v>467217</v>
      </c>
      <c r="U337" s="142">
        <f t="shared" ref="U337:U342" ca="1" si="98">ROUNDDOWN(P337*R337,0)</f>
        <v>210247</v>
      </c>
      <c r="V337" s="142"/>
      <c r="W337" s="142"/>
      <c r="X337" s="142"/>
      <c r="Y337" s="142"/>
      <c r="Z337" s="114"/>
    </row>
    <row r="338" spans="11:26" ht="18" customHeight="1">
      <c r="K338" s="171" t="s">
        <v>14</v>
      </c>
      <c r="L338" s="171"/>
      <c r="M338" s="171"/>
      <c r="N338" s="143" t="s">
        <v>32</v>
      </c>
      <c r="O338" s="173">
        <v>4</v>
      </c>
      <c r="P338" s="234">
        <f ca="1">OFFSET($A$1,MATCH(Z336,$A:$A,0)-1,O338)</f>
        <v>0.9</v>
      </c>
      <c r="Q338" s="144" t="s">
        <v>29</v>
      </c>
      <c r="R338" s="118">
        <f t="shared" ca="1" si="96"/>
        <v>373353</v>
      </c>
      <c r="S338" s="118">
        <f t="shared" ca="1" si="97"/>
        <v>336017</v>
      </c>
      <c r="T338" s="118">
        <f ca="1">특급</f>
        <v>373353</v>
      </c>
      <c r="U338" s="118">
        <f t="shared" ca="1" si="98"/>
        <v>336017</v>
      </c>
      <c r="V338" s="118"/>
      <c r="W338" s="118"/>
      <c r="X338" s="118"/>
      <c r="Y338" s="118"/>
      <c r="Z338" s="115"/>
    </row>
    <row r="339" spans="11:26" ht="18" customHeight="1">
      <c r="K339" s="171" t="s">
        <v>14</v>
      </c>
      <c r="L339" s="171"/>
      <c r="M339" s="171"/>
      <c r="N339" s="145" t="s">
        <v>39</v>
      </c>
      <c r="O339" s="173">
        <v>5</v>
      </c>
      <c r="P339" s="234">
        <f ca="1">OFFSET($A$1,MATCH(Z336,$A:$A,0)-1,O339)</f>
        <v>0.9</v>
      </c>
      <c r="Q339" s="144" t="s">
        <v>29</v>
      </c>
      <c r="R339" s="118">
        <f t="shared" ca="1" si="96"/>
        <v>310884</v>
      </c>
      <c r="S339" s="118">
        <f t="shared" ca="1" si="97"/>
        <v>279795</v>
      </c>
      <c r="T339" s="118">
        <f ca="1">고급</f>
        <v>310884</v>
      </c>
      <c r="U339" s="118">
        <f t="shared" ca="1" si="98"/>
        <v>279795</v>
      </c>
      <c r="V339" s="118"/>
      <c r="W339" s="118"/>
      <c r="X339" s="118"/>
      <c r="Y339" s="118"/>
      <c r="Z339" s="115"/>
    </row>
    <row r="340" spans="11:26" ht="18" customHeight="1">
      <c r="K340" s="171" t="s">
        <v>14</v>
      </c>
      <c r="L340" s="171"/>
      <c r="M340" s="171"/>
      <c r="N340" s="145" t="s">
        <v>40</v>
      </c>
      <c r="O340" s="173">
        <v>6</v>
      </c>
      <c r="P340" s="234">
        <f ca="1">OFFSET($A$1,MATCH(Z336,$A:$A,0)-1,O340)</f>
        <v>0.45</v>
      </c>
      <c r="Q340" s="144" t="s">
        <v>29</v>
      </c>
      <c r="R340" s="118">
        <f t="shared" ca="1" si="96"/>
        <v>295138</v>
      </c>
      <c r="S340" s="118">
        <f t="shared" ca="1" si="97"/>
        <v>132812</v>
      </c>
      <c r="T340" s="118">
        <f ca="1">중급</f>
        <v>295138</v>
      </c>
      <c r="U340" s="118">
        <f t="shared" ca="1" si="98"/>
        <v>132812</v>
      </c>
      <c r="V340" s="118"/>
      <c r="W340" s="118"/>
      <c r="X340" s="118"/>
      <c r="Y340" s="118"/>
      <c r="Z340" s="115"/>
    </row>
    <row r="341" spans="11:26" ht="18" customHeight="1">
      <c r="K341" s="171" t="s">
        <v>14</v>
      </c>
      <c r="L341" s="171"/>
      <c r="M341" s="171"/>
      <c r="N341" s="145" t="s">
        <v>41</v>
      </c>
      <c r="O341" s="173">
        <v>7</v>
      </c>
      <c r="P341" s="234">
        <f ca="1">OFFSET($A$1,MATCH(Z336,$A:$A,0)-1,O341)</f>
        <v>0</v>
      </c>
      <c r="Q341" s="144" t="s">
        <v>29</v>
      </c>
      <c r="R341" s="118">
        <f t="shared" ca="1" si="96"/>
        <v>235459</v>
      </c>
      <c r="S341" s="118">
        <f t="shared" ca="1" si="97"/>
        <v>0</v>
      </c>
      <c r="T341" s="118">
        <f ca="1">초급</f>
        <v>235459</v>
      </c>
      <c r="U341" s="118">
        <f t="shared" ca="1" si="98"/>
        <v>0</v>
      </c>
      <c r="V341" s="118"/>
      <c r="W341" s="118"/>
      <c r="X341" s="118"/>
      <c r="Y341" s="118"/>
      <c r="Z341" s="115"/>
    </row>
    <row r="342" spans="11:26" ht="18" customHeight="1">
      <c r="K342" s="171" t="s">
        <v>14</v>
      </c>
      <c r="L342" s="171"/>
      <c r="M342" s="171"/>
      <c r="N342" s="319" t="s">
        <v>42</v>
      </c>
      <c r="O342" s="174">
        <v>8</v>
      </c>
      <c r="P342" s="235">
        <f ca="1">OFFSET($A$1,MATCH(Z336,$A:$A,0)-1,O342)</f>
        <v>0</v>
      </c>
      <c r="Q342" s="322" t="s">
        <v>29</v>
      </c>
      <c r="R342" s="323">
        <f t="shared" ca="1" si="96"/>
        <v>250087</v>
      </c>
      <c r="S342" s="323">
        <f t="shared" ca="1" si="97"/>
        <v>0</v>
      </c>
      <c r="T342" s="323">
        <f ca="1">보조원</f>
        <v>250087</v>
      </c>
      <c r="U342" s="323">
        <f t="shared" ca="1" si="98"/>
        <v>0</v>
      </c>
      <c r="V342" s="323"/>
      <c r="W342" s="323"/>
      <c r="X342" s="323"/>
      <c r="Y342" s="323"/>
      <c r="Z342" s="324"/>
    </row>
    <row r="343" spans="11:26" ht="18" customHeight="1">
      <c r="K343" s="171" t="s">
        <v>14</v>
      </c>
      <c r="L343" s="171"/>
      <c r="M343" s="171"/>
      <c r="N343" s="139" t="s">
        <v>17</v>
      </c>
      <c r="O343" s="68"/>
      <c r="P343" s="69"/>
      <c r="Q343" s="70"/>
      <c r="R343" s="71"/>
      <c r="S343" s="71">
        <f ca="1">SUBTOTAL(9,S337:S342)</f>
        <v>958871</v>
      </c>
      <c r="T343" s="71"/>
      <c r="U343" s="71">
        <f ca="1">SUBTOTAL(9,U337:U342)</f>
        <v>958871</v>
      </c>
      <c r="V343" s="71"/>
      <c r="W343" s="71"/>
      <c r="X343" s="71"/>
      <c r="Y343" s="71"/>
      <c r="Z343" s="68"/>
    </row>
    <row r="344" spans="11:26" ht="18" customHeight="1">
      <c r="K344" s="171" t="s">
        <v>14</v>
      </c>
      <c r="L344" s="171"/>
      <c r="M344" s="171"/>
    </row>
    <row r="345" spans="11:26" ht="18" customHeight="1">
      <c r="K345" s="171" t="s">
        <v>14</v>
      </c>
      <c r="L345" s="171"/>
      <c r="M345" s="171"/>
    </row>
    <row r="346" spans="11:26" ht="18" customHeight="1">
      <c r="K346" s="171" t="s">
        <v>14</v>
      </c>
      <c r="L346" s="171"/>
      <c r="M346" s="171"/>
    </row>
    <row r="347" spans="11:26" ht="18" customHeight="1">
      <c r="K347" s="171" t="s">
        <v>14</v>
      </c>
      <c r="L347" s="171"/>
      <c r="M347" s="171"/>
    </row>
    <row r="348" spans="11:26" ht="18" customHeight="1">
      <c r="K348" s="171" t="s">
        <v>14</v>
      </c>
      <c r="L348" s="171"/>
      <c r="M348" s="171"/>
    </row>
    <row r="349" spans="11:26" ht="18" customHeight="1">
      <c r="K349" s="171" t="s">
        <v>14</v>
      </c>
      <c r="L349" s="171"/>
      <c r="M349" s="171"/>
    </row>
    <row r="350" spans="11:26" ht="18" customHeight="1">
      <c r="K350" s="171" t="s">
        <v>14</v>
      </c>
      <c r="L350" s="171"/>
      <c r="M350" s="171"/>
    </row>
    <row r="351" spans="11:26" ht="18" customHeight="1">
      <c r="K351" s="171" t="s">
        <v>14</v>
      </c>
      <c r="L351" s="171"/>
      <c r="M351" s="171"/>
    </row>
    <row r="352" spans="11:26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L642" s="171"/>
      <c r="M642" s="171"/>
    </row>
    <row r="643" spans="11:13" ht="18" customHeight="1">
      <c r="L643" s="171"/>
      <c r="M643" s="171"/>
    </row>
    <row r="644" spans="11:13" ht="18" customHeight="1">
      <c r="L644" s="171"/>
      <c r="M644" s="171"/>
    </row>
    <row r="645" spans="11:13" ht="18" customHeight="1">
      <c r="L645" s="171"/>
      <c r="M645" s="171"/>
    </row>
    <row r="646" spans="11:13" ht="18" customHeight="1">
      <c r="L646" s="171"/>
      <c r="M646" s="171"/>
    </row>
    <row r="647" spans="11:13" ht="18" customHeight="1">
      <c r="L647" s="171"/>
      <c r="M647" s="171"/>
    </row>
    <row r="648" spans="11:13" ht="18" customHeight="1">
      <c r="L648" s="171"/>
      <c r="M648" s="171"/>
    </row>
    <row r="649" spans="11:13" ht="18" customHeight="1">
      <c r="L649" s="171"/>
      <c r="M649" s="171"/>
    </row>
    <row r="650" spans="11:13" ht="18" customHeight="1">
      <c r="L650" s="171"/>
      <c r="M650" s="171"/>
    </row>
    <row r="651" spans="11:13" ht="18" customHeight="1">
      <c r="L651" s="171"/>
      <c r="M651" s="171"/>
    </row>
    <row r="652" spans="11:13" ht="18" customHeight="1">
      <c r="L652" s="171"/>
      <c r="M652" s="171"/>
    </row>
    <row r="653" spans="11:13" ht="18" customHeight="1">
      <c r="L653" s="171"/>
      <c r="M653" s="171"/>
    </row>
    <row r="654" spans="11:13" ht="18" customHeight="1">
      <c r="L654" s="171"/>
      <c r="M654" s="171"/>
    </row>
    <row r="655" spans="11:13" ht="18" customHeight="1">
      <c r="L655" s="171"/>
      <c r="M655" s="171"/>
    </row>
    <row r="656" spans="11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  <c r="M755" s="171"/>
    </row>
    <row r="756" spans="12:13" ht="18" customHeight="1">
      <c r="L756" s="171"/>
      <c r="M756" s="171"/>
    </row>
    <row r="757" spans="12:13" ht="18" customHeight="1">
      <c r="L757" s="171"/>
      <c r="M757" s="171"/>
    </row>
    <row r="758" spans="12:13" ht="18" customHeight="1">
      <c r="L758" s="171"/>
      <c r="M758" s="171"/>
    </row>
    <row r="759" spans="12:13" ht="18" customHeight="1">
      <c r="L759" s="171"/>
      <c r="M759" s="171"/>
    </row>
    <row r="760" spans="12:13" ht="18" customHeight="1">
      <c r="L760" s="171"/>
      <c r="M760" s="171"/>
    </row>
    <row r="761" spans="12:13" ht="18" customHeight="1">
      <c r="L761" s="171"/>
      <c r="M761" s="171"/>
    </row>
    <row r="762" spans="12:13" ht="18" customHeight="1">
      <c r="L762" s="171"/>
      <c r="M762" s="171"/>
    </row>
    <row r="763" spans="12:13" ht="18" customHeight="1">
      <c r="L763" s="171"/>
      <c r="M763" s="171"/>
    </row>
    <row r="764" spans="12:13" ht="18" customHeight="1">
      <c r="L764" s="171"/>
      <c r="M764" s="171"/>
    </row>
    <row r="765" spans="12:13" ht="18" customHeight="1">
      <c r="L765" s="171"/>
      <c r="M765" s="171"/>
    </row>
    <row r="766" spans="12:13" ht="18" customHeight="1">
      <c r="L766" s="171"/>
    </row>
    <row r="767" spans="12:13" ht="18" customHeight="1">
      <c r="L767" s="171"/>
    </row>
    <row r="768" spans="12:13" ht="18" customHeight="1">
      <c r="L768" s="171"/>
    </row>
    <row r="769" spans="12:12" ht="18" customHeight="1">
      <c r="L769" s="171"/>
    </row>
    <row r="770" spans="12:12" ht="18" customHeight="1">
      <c r="L770" s="171"/>
    </row>
    <row r="771" spans="12:12" ht="18" customHeight="1">
      <c r="L771" s="171"/>
    </row>
    <row r="772" spans="12:12" ht="18" customHeight="1">
      <c r="L772" s="171"/>
    </row>
    <row r="773" spans="12:12" ht="18" customHeight="1">
      <c r="L773" s="171"/>
    </row>
    <row r="774" spans="12:12" ht="18" customHeight="1">
      <c r="L774" s="171"/>
    </row>
    <row r="775" spans="12:12" ht="18" customHeight="1">
      <c r="L775" s="171"/>
    </row>
    <row r="776" spans="12:12" ht="18" customHeight="1">
      <c r="L776" s="171"/>
    </row>
    <row r="777" spans="12:12" ht="18" customHeight="1">
      <c r="L777" s="171"/>
    </row>
    <row r="778" spans="12:12" ht="18" customHeight="1">
      <c r="L778" s="171"/>
    </row>
    <row r="779" spans="12:12" ht="18" customHeight="1">
      <c r="L779" s="171"/>
    </row>
    <row r="780" spans="12:12" ht="18" customHeight="1">
      <c r="L780" s="171"/>
    </row>
    <row r="781" spans="12:12" ht="18" customHeight="1">
      <c r="L781" s="171"/>
    </row>
    <row r="782" spans="12:12" ht="18" customHeight="1">
      <c r="L782" s="171"/>
    </row>
    <row r="783" spans="12:12" ht="18" customHeight="1">
      <c r="L783" s="171"/>
    </row>
    <row r="784" spans="12:12" ht="18" customHeight="1">
      <c r="L784" s="171"/>
    </row>
    <row r="785" spans="12:12" ht="18" customHeight="1">
      <c r="L785" s="171"/>
    </row>
    <row r="786" spans="12:12" ht="18" customHeight="1">
      <c r="L786" s="171"/>
    </row>
    <row r="787" spans="12:12" ht="18" customHeight="1">
      <c r="L787" s="171"/>
    </row>
    <row r="788" spans="12:12" ht="18" customHeight="1">
      <c r="L788" s="171"/>
    </row>
    <row r="789" spans="12:12" ht="18" customHeight="1">
      <c r="L789" s="171"/>
    </row>
    <row r="790" spans="12:12" ht="18" customHeight="1">
      <c r="L790" s="171"/>
    </row>
    <row r="791" spans="12:12" ht="18" customHeight="1">
      <c r="L791" s="171"/>
    </row>
    <row r="792" spans="12:12" ht="18" customHeight="1">
      <c r="L792" s="171"/>
    </row>
    <row r="793" spans="12:12" ht="18" customHeight="1">
      <c r="L793" s="171"/>
    </row>
    <row r="794" spans="12:12" ht="18" customHeight="1">
      <c r="L794" s="171"/>
    </row>
    <row r="795" spans="12:12" ht="18" customHeight="1">
      <c r="L795" s="171"/>
    </row>
  </sheetData>
  <mergeCells count="16">
    <mergeCell ref="O70:O71"/>
    <mergeCell ref="P70:P71"/>
    <mergeCell ref="Q70:Q71"/>
    <mergeCell ref="Z70:Z71"/>
    <mergeCell ref="B6:C6"/>
    <mergeCell ref="D6:E6"/>
    <mergeCell ref="B12:C13"/>
    <mergeCell ref="J12:J13"/>
    <mergeCell ref="L12:L13"/>
    <mergeCell ref="N70:N71"/>
    <mergeCell ref="B3:C3"/>
    <mergeCell ref="D3:E3"/>
    <mergeCell ref="B4:C4"/>
    <mergeCell ref="D4:E4"/>
    <mergeCell ref="B5:C5"/>
    <mergeCell ref="D5:E5"/>
  </mergeCells>
  <phoneticPr fontId="14" type="noConversion"/>
  <conditionalFormatting sqref="V17:V58">
    <cfRule type="cellIs" dxfId="4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9" min="13" max="28" man="1"/>
    <brk id="76" min="13" max="28" man="1"/>
    <brk id="97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5697" r:id="rId4" name="Group Box 1">
              <controlPr defaultSize="0" autoFill="0" autoPict="0">
                <anchor moveWithCells="1" sizeWithCells="1">
                  <from>
                    <xdr:col>5</xdr:col>
                    <xdr:colOff>590550</xdr:colOff>
                    <xdr:row>0</xdr:row>
                    <xdr:rowOff>66675</xdr:rowOff>
                  </from>
                  <to>
                    <xdr:col>8</xdr:col>
                    <xdr:colOff>390525</xdr:colOff>
                    <xdr:row>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98" r:id="rId5" name="Option Button 2">
              <controlPr defaultSize="0" autoFill="0" autoLine="0" autoPict="0">
                <anchor moveWithCells="1" sizeWithCells="1">
                  <from>
                    <xdr:col>6</xdr:col>
                    <xdr:colOff>85725</xdr:colOff>
                    <xdr:row>0</xdr:row>
                    <xdr:rowOff>133350</xdr:rowOff>
                  </from>
                  <to>
                    <xdr:col>7</xdr:col>
                    <xdr:colOff>209550</xdr:colOff>
                    <xdr:row>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5699" r:id="rId6" name="Option Button 3">
              <controlPr locked="0" defaultSize="0" autoFill="0" autoLine="0" autoPict="0">
                <anchor moveWithCells="1" sizeWithCells="1">
                  <from>
                    <xdr:col>7</xdr:col>
                    <xdr:colOff>190500</xdr:colOff>
                    <xdr:row>0</xdr:row>
                    <xdr:rowOff>133350</xdr:rowOff>
                  </from>
                  <to>
                    <xdr:col>8</xdr:col>
                    <xdr:colOff>323850</xdr:colOff>
                    <xdr:row>1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 codeName="Sheet19">
    <tabColor rgb="FF7030A0"/>
    <pageSetUpPr fitToPage="1"/>
  </sheetPr>
  <dimension ref="A1:AC765"/>
  <sheetViews>
    <sheetView showGridLines="0" zoomScale="85" zoomScaleNormal="85" zoomScaleSheetLayoutView="75" workbookViewId="0">
      <selection activeCell="P6" sqref="P6"/>
    </sheetView>
  </sheetViews>
  <sheetFormatPr defaultColWidth="12" defaultRowHeight="18" customHeight="1"/>
  <cols>
    <col min="1" max="1" width="4.5" style="326" customWidth="1"/>
    <col min="2" max="2" width="3.6640625" style="1" customWidth="1"/>
    <col min="3" max="3" width="48.1640625" style="1" customWidth="1"/>
    <col min="4" max="9" width="10.5" style="1" customWidth="1"/>
    <col min="10" max="10" width="14.33203125" style="1" customWidth="1"/>
    <col min="11" max="11" width="5.33203125" style="1" customWidth="1"/>
    <col min="12" max="12" width="8.6640625" style="1" bestFit="1" customWidth="1"/>
    <col min="13" max="13" width="5.33203125" style="1" customWidth="1"/>
    <col min="14" max="14" width="25.16406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6640625" style="6" bestFit="1" customWidth="1"/>
    <col min="20" max="20" width="14.83203125" style="6" bestFit="1" customWidth="1"/>
    <col min="21" max="21" width="17.6640625" style="6" bestFit="1" customWidth="1"/>
    <col min="22" max="22" width="14.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18.6640625" style="1" customWidth="1"/>
    <col min="29" max="16384" width="12" style="1"/>
  </cols>
  <sheetData>
    <row r="1" spans="1:26" ht="22.5">
      <c r="B1" s="7" t="s">
        <v>882</v>
      </c>
    </row>
    <row r="2" spans="1:26" ht="19.5" thickBot="1">
      <c r="B2" s="66" t="s">
        <v>1</v>
      </c>
      <c r="F2" s="440">
        <v>1</v>
      </c>
    </row>
    <row r="3" spans="1:26" ht="18" customHeight="1" thickBot="1">
      <c r="B3" s="773" t="s">
        <v>376</v>
      </c>
      <c r="C3" s="774"/>
      <c r="D3" s="775">
        <v>10</v>
      </c>
      <c r="E3" s="776"/>
      <c r="F3" s="44" t="str">
        <f>CHOOSE(F2,"만㎡","㎞")</f>
        <v>만㎡</v>
      </c>
      <c r="G3" s="442" t="s">
        <v>883</v>
      </c>
      <c r="H3" s="365"/>
      <c r="I3" s="366"/>
      <c r="J3" s="367"/>
    </row>
    <row r="4" spans="1:26" ht="18" customHeight="1" thickTop="1">
      <c r="B4" s="777" t="s">
        <v>377</v>
      </c>
      <c r="C4" s="778"/>
      <c r="D4" s="779">
        <v>99</v>
      </c>
      <c r="E4" s="780"/>
      <c r="F4" s="65" t="str">
        <f>F3</f>
        <v>만㎡</v>
      </c>
      <c r="G4" s="437" t="s">
        <v>884</v>
      </c>
      <c r="H4" s="437"/>
      <c r="I4" s="437"/>
      <c r="J4" s="438" t="s">
        <v>886</v>
      </c>
    </row>
    <row r="5" spans="1:26" ht="18" customHeight="1" thickBot="1">
      <c r="B5" s="777" t="s">
        <v>916</v>
      </c>
      <c r="C5" s="814"/>
      <c r="D5" s="815">
        <f>CHOOSE(F5,ROUND((1+(LOG((D4/D3),5))),3),(D4/D3)^2)</f>
        <v>2.4239999999999999</v>
      </c>
      <c r="E5" s="816"/>
      <c r="F5" s="441">
        <v>1</v>
      </c>
      <c r="G5" s="363" t="s">
        <v>885</v>
      </c>
      <c r="H5" s="363"/>
      <c r="I5" s="363"/>
      <c r="J5" s="369" t="s">
        <v>887</v>
      </c>
      <c r="X5" s="1"/>
      <c r="Y5" s="1"/>
    </row>
    <row r="6" spans="1:26" ht="18" customHeight="1" thickBot="1">
      <c r="A6" s="358"/>
      <c r="B6" s="781" t="s">
        <v>888</v>
      </c>
      <c r="C6" s="782"/>
      <c r="D6" s="819">
        <f>(J6/1)^0.3</f>
        <v>1</v>
      </c>
      <c r="E6" s="802"/>
      <c r="F6" s="622">
        <v>4</v>
      </c>
      <c r="G6" s="1" t="s">
        <v>889</v>
      </c>
      <c r="J6" s="439">
        <v>1</v>
      </c>
    </row>
    <row r="7" spans="1:26" ht="18" customHeight="1">
      <c r="B7" s="9" t="s">
        <v>890</v>
      </c>
      <c r="C7" s="9"/>
      <c r="D7" s="64"/>
      <c r="E7" s="64"/>
      <c r="G7" s="36"/>
      <c r="R7" s="1"/>
      <c r="S7" s="1"/>
      <c r="T7" s="1"/>
    </row>
    <row r="8" spans="1:26" ht="18" customHeight="1">
      <c r="B8" s="9"/>
      <c r="C8" s="9"/>
      <c r="D8" s="64"/>
      <c r="E8" s="64"/>
      <c r="G8" s="36"/>
      <c r="R8" s="1"/>
      <c r="S8" s="1"/>
      <c r="T8" s="1"/>
    </row>
    <row r="9" spans="1:26" ht="18" customHeight="1">
      <c r="C9" s="9"/>
      <c r="D9" s="64"/>
      <c r="E9" s="64"/>
      <c r="G9" s="36"/>
      <c r="R9" s="1"/>
      <c r="S9" s="1"/>
      <c r="T9" s="1"/>
    </row>
    <row r="10" spans="1:26" ht="18" customHeight="1">
      <c r="B10" s="9"/>
      <c r="C10" s="9"/>
      <c r="D10" s="64"/>
      <c r="E10" s="64"/>
      <c r="G10" s="36"/>
      <c r="R10" s="1"/>
      <c r="S10" s="1"/>
      <c r="T10" s="1"/>
    </row>
    <row r="11" spans="1:26" ht="18" customHeight="1">
      <c r="B11" s="9"/>
      <c r="C11" s="9"/>
      <c r="D11" s="64"/>
      <c r="E11" s="64"/>
      <c r="G11" s="36"/>
      <c r="R11" s="1"/>
      <c r="S11" s="1"/>
      <c r="T11" s="1"/>
    </row>
    <row r="12" spans="1:26" ht="18" customHeight="1">
      <c r="G12" s="36"/>
      <c r="W12" s="188" t="s">
        <v>3</v>
      </c>
      <c r="X12" s="189"/>
    </row>
    <row r="13" spans="1:26" ht="18" customHeight="1" thickBot="1">
      <c r="B13" s="66" t="s">
        <v>4</v>
      </c>
      <c r="C13" s="9"/>
      <c r="D13" s="64"/>
      <c r="E13" s="64"/>
      <c r="G13" s="36"/>
      <c r="N13" s="66" t="s">
        <v>5</v>
      </c>
    </row>
    <row r="14" spans="1:26" ht="18" customHeight="1" thickBot="1">
      <c r="B14" s="9"/>
      <c r="N14" s="151" t="s">
        <v>44</v>
      </c>
      <c r="O14" s="119"/>
      <c r="P14" s="119"/>
      <c r="Q14" s="120"/>
      <c r="R14" s="120"/>
      <c r="S14" s="120"/>
      <c r="T14" s="120"/>
      <c r="U14" s="121"/>
      <c r="V14" s="121"/>
      <c r="W14" s="186">
        <f ca="1">SUBTOTAL(9,W15:W48)</f>
        <v>63268823</v>
      </c>
      <c r="X14" s="187"/>
      <c r="Y14" s="177"/>
      <c r="Z14" s="167"/>
    </row>
    <row r="15" spans="1:26" ht="18" customHeight="1">
      <c r="B15" s="757" t="s">
        <v>30</v>
      </c>
      <c r="C15" s="758"/>
      <c r="D15" s="14" t="s">
        <v>6</v>
      </c>
      <c r="E15" s="15"/>
      <c r="F15" s="15"/>
      <c r="G15" s="15"/>
      <c r="H15" s="15"/>
      <c r="I15" s="16"/>
      <c r="J15" s="761" t="s">
        <v>31</v>
      </c>
      <c r="L15" s="763" t="s">
        <v>7</v>
      </c>
      <c r="N15" s="127" t="s">
        <v>8</v>
      </c>
      <c r="O15" s="122"/>
      <c r="P15" s="122"/>
      <c r="Q15" s="123"/>
      <c r="R15" s="123"/>
      <c r="S15" s="123"/>
      <c r="T15" s="123"/>
      <c r="U15" s="184"/>
      <c r="V15" s="184"/>
      <c r="W15" s="163">
        <f ca="1">SUBTOTAL(9,W16:W45)</f>
        <v>26489740</v>
      </c>
      <c r="X15" s="164"/>
      <c r="Y15" s="178" t="s">
        <v>9</v>
      </c>
      <c r="Z15" s="179"/>
    </row>
    <row r="16" spans="1:26" ht="18" customHeight="1" thickBot="1">
      <c r="B16" s="759"/>
      <c r="C16" s="760"/>
      <c r="D16" s="17" t="s">
        <v>33</v>
      </c>
      <c r="E16" s="19" t="s">
        <v>34</v>
      </c>
      <c r="F16" s="19" t="s">
        <v>35</v>
      </c>
      <c r="G16" s="19" t="s">
        <v>36</v>
      </c>
      <c r="H16" s="19" t="s">
        <v>37</v>
      </c>
      <c r="I16" s="18" t="s">
        <v>38</v>
      </c>
      <c r="J16" s="762"/>
      <c r="L16" s="764"/>
      <c r="N16" s="290" t="s">
        <v>45</v>
      </c>
      <c r="O16" s="124"/>
      <c r="P16" s="125"/>
      <c r="Q16" s="126"/>
      <c r="R16" s="126"/>
      <c r="S16" s="126"/>
      <c r="T16" s="126"/>
      <c r="U16" s="181"/>
      <c r="V16" s="218"/>
      <c r="W16" s="159">
        <f ca="1">SUBTOTAL(9,W17:W40)</f>
        <v>20489740</v>
      </c>
      <c r="X16" s="160"/>
      <c r="Y16" s="168"/>
      <c r="Z16" s="168"/>
    </row>
    <row r="17" spans="2:26" ht="18" customHeight="1">
      <c r="B17" s="225" t="s">
        <v>922</v>
      </c>
      <c r="C17" s="72"/>
      <c r="D17" s="623">
        <v>0.1</v>
      </c>
      <c r="E17" s="624">
        <v>0.2</v>
      </c>
      <c r="F17" s="624">
        <v>0.2</v>
      </c>
      <c r="G17" s="624">
        <v>0.1</v>
      </c>
      <c r="H17" s="624">
        <v>0</v>
      </c>
      <c r="I17" s="625">
        <v>0</v>
      </c>
      <c r="J17" s="73"/>
      <c r="L17" s="232">
        <v>1</v>
      </c>
      <c r="N17" s="294" t="s">
        <v>923</v>
      </c>
      <c r="O17" s="169"/>
      <c r="P17" s="169"/>
      <c r="Q17" s="169"/>
      <c r="R17" s="169"/>
      <c r="S17" s="169"/>
      <c r="T17" s="169"/>
      <c r="U17" s="226"/>
      <c r="V17" s="248"/>
      <c r="W17" s="193">
        <f t="array" aca="1" ref="W17" ca="1">SUM((ROUNDDOWN((D42:I42)*단가,0)))</f>
        <v>213080</v>
      </c>
      <c r="X17" s="194"/>
      <c r="Y17" s="170" t="str">
        <f>IF(A42&gt;0, "제 " &amp;A42&amp; " 호표","")</f>
        <v>제 1 호표</v>
      </c>
      <c r="Z17" s="170"/>
    </row>
    <row r="18" spans="2:26" ht="18" customHeight="1">
      <c r="B18" s="222" t="s">
        <v>924</v>
      </c>
      <c r="C18" s="47"/>
      <c r="D18" s="629">
        <f t="shared" ref="D18:I18" si="0">SUBTOTAL(9,D19:D22)</f>
        <v>0</v>
      </c>
      <c r="E18" s="630">
        <f t="shared" si="0"/>
        <v>0</v>
      </c>
      <c r="F18" s="630">
        <f t="shared" si="0"/>
        <v>0.16999999999999998</v>
      </c>
      <c r="G18" s="630">
        <f t="shared" si="0"/>
        <v>0.16999999999999998</v>
      </c>
      <c r="H18" s="630">
        <f t="shared" si="0"/>
        <v>0.39999999999999997</v>
      </c>
      <c r="I18" s="631">
        <f t="shared" si="0"/>
        <v>0.39999999999999997</v>
      </c>
      <c r="J18" s="74"/>
      <c r="L18" s="233"/>
      <c r="N18" s="292" t="s">
        <v>925</v>
      </c>
      <c r="O18" s="37"/>
      <c r="P18" s="39"/>
      <c r="Q18" s="37"/>
      <c r="R18" s="117"/>
      <c r="S18" s="37"/>
      <c r="T18" s="37"/>
      <c r="U18" s="226"/>
      <c r="V18" s="231"/>
      <c r="W18" s="195">
        <f ca="1">SUBTOTAL(9,W19:W22)</f>
        <v>297232</v>
      </c>
      <c r="X18" s="196"/>
      <c r="Y18" s="150"/>
      <c r="Z18" s="150"/>
    </row>
    <row r="19" spans="2:26" ht="18" customHeight="1">
      <c r="B19" s="223" t="s">
        <v>926</v>
      </c>
      <c r="C19" s="23"/>
      <c r="D19" s="626">
        <v>0</v>
      </c>
      <c r="E19" s="627">
        <v>0</v>
      </c>
      <c r="F19" s="627">
        <v>0.03</v>
      </c>
      <c r="G19" s="627">
        <v>0.03</v>
      </c>
      <c r="H19" s="627">
        <v>0.05</v>
      </c>
      <c r="I19" s="628">
        <v>0.05</v>
      </c>
      <c r="J19" s="74"/>
      <c r="L19" s="233">
        <v>1</v>
      </c>
      <c r="N19" s="296" t="s">
        <v>927</v>
      </c>
      <c r="O19" s="37"/>
      <c r="P19" s="39"/>
      <c r="Q19" s="37"/>
      <c r="R19" s="117"/>
      <c r="S19" s="37"/>
      <c r="T19" s="37"/>
      <c r="U19" s="226"/>
      <c r="V19" s="231"/>
      <c r="W19" s="153">
        <f t="array" aca="1" ref="W19" ca="1">SUM((ROUNDDOWN((D44:I44)*단가,0)))</f>
        <v>42456</v>
      </c>
      <c r="X19" s="154"/>
      <c r="Y19" s="170" t="str">
        <f>IF(A44&gt;0, "제 " &amp;A44&amp; " 호표","")</f>
        <v>제 2 호표</v>
      </c>
      <c r="Z19" s="150"/>
    </row>
    <row r="20" spans="2:26" ht="18" customHeight="1">
      <c r="B20" s="223" t="s">
        <v>928</v>
      </c>
      <c r="C20" s="23"/>
      <c r="D20" s="626">
        <v>0</v>
      </c>
      <c r="E20" s="627">
        <v>0</v>
      </c>
      <c r="F20" s="627">
        <v>0.1</v>
      </c>
      <c r="G20" s="627">
        <v>0.1</v>
      </c>
      <c r="H20" s="627">
        <v>0.25</v>
      </c>
      <c r="I20" s="628">
        <v>0.25</v>
      </c>
      <c r="J20" s="74"/>
      <c r="L20" s="233">
        <v>1</v>
      </c>
      <c r="N20" s="296" t="s">
        <v>929</v>
      </c>
      <c r="O20" s="37"/>
      <c r="P20" s="39"/>
      <c r="Q20" s="37"/>
      <c r="R20" s="117"/>
      <c r="S20" s="37"/>
      <c r="T20" s="37"/>
      <c r="U20" s="226"/>
      <c r="V20" s="231"/>
      <c r="W20" s="153">
        <f t="array" aca="1" ref="W20" ca="1">SUM((ROUNDDOWN((D45:I45)*단가,0)))</f>
        <v>181986</v>
      </c>
      <c r="X20" s="154"/>
      <c r="Y20" s="170" t="str">
        <f>IF(A45&gt;0, "제 " &amp;A45&amp; " 호표","")</f>
        <v>제 3 호표</v>
      </c>
      <c r="Z20" s="150"/>
    </row>
    <row r="21" spans="2:26" ht="18" customHeight="1">
      <c r="B21" s="223" t="s">
        <v>930</v>
      </c>
      <c r="C21" s="23"/>
      <c r="D21" s="626">
        <v>0</v>
      </c>
      <c r="E21" s="627">
        <v>0</v>
      </c>
      <c r="F21" s="627">
        <v>0.02</v>
      </c>
      <c r="G21" s="627">
        <v>0.02</v>
      </c>
      <c r="H21" s="627">
        <v>0.05</v>
      </c>
      <c r="I21" s="628">
        <v>0.05</v>
      </c>
      <c r="J21" s="389"/>
      <c r="L21" s="233">
        <v>1</v>
      </c>
      <c r="N21" s="296" t="s">
        <v>931</v>
      </c>
      <c r="O21" s="37"/>
      <c r="P21" s="39"/>
      <c r="Q21" s="37"/>
      <c r="R21" s="117"/>
      <c r="S21" s="37"/>
      <c r="T21" s="37"/>
      <c r="U21" s="226"/>
      <c r="V21" s="231"/>
      <c r="W21" s="153">
        <f t="array" aca="1" ref="W21" ca="1">SUM((ROUNDDOWN((D46:I46)*단가,0)))</f>
        <v>36395</v>
      </c>
      <c r="X21" s="154"/>
      <c r="Y21" s="170" t="str">
        <f>IF(A46&gt;0, "제 " &amp;A46&amp; " 호표","")</f>
        <v>제 4 호표</v>
      </c>
      <c r="Z21" s="150"/>
    </row>
    <row r="22" spans="2:26" ht="18" customHeight="1">
      <c r="B22" s="223" t="s">
        <v>932</v>
      </c>
      <c r="C22" s="23"/>
      <c r="D22" s="626">
        <v>0</v>
      </c>
      <c r="E22" s="627">
        <v>0</v>
      </c>
      <c r="F22" s="627">
        <v>0.02</v>
      </c>
      <c r="G22" s="627">
        <v>0.02</v>
      </c>
      <c r="H22" s="627">
        <v>0.05</v>
      </c>
      <c r="I22" s="628">
        <v>0.05</v>
      </c>
      <c r="J22" s="389"/>
      <c r="L22" s="233">
        <v>1</v>
      </c>
      <c r="N22" s="296" t="s">
        <v>933</v>
      </c>
      <c r="O22" s="37"/>
      <c r="P22" s="39"/>
      <c r="Q22" s="37"/>
      <c r="R22" s="117"/>
      <c r="S22" s="37"/>
      <c r="T22" s="37"/>
      <c r="U22" s="226"/>
      <c r="V22" s="231"/>
      <c r="W22" s="153">
        <f t="array" aca="1" ref="W22" ca="1">SUM((ROUNDDOWN((D47:I47)*단가,0)))</f>
        <v>36395</v>
      </c>
      <c r="X22" s="154"/>
      <c r="Y22" s="170" t="str">
        <f>IF(A47&gt;0, "제 " &amp;A47&amp; " 호표","")</f>
        <v>제 5 호표</v>
      </c>
      <c r="Z22" s="150"/>
    </row>
    <row r="23" spans="2:26" ht="18" customHeight="1">
      <c r="B23" s="222" t="s">
        <v>934</v>
      </c>
      <c r="C23" s="47"/>
      <c r="D23" s="629">
        <f t="shared" ref="D23:I23" si="1">SUBTOTAL(9,D24:D25)</f>
        <v>0.2</v>
      </c>
      <c r="E23" s="630">
        <f t="shared" si="1"/>
        <v>0.44999999999999996</v>
      </c>
      <c r="F23" s="630">
        <f t="shared" si="1"/>
        <v>0.65</v>
      </c>
      <c r="G23" s="630">
        <f t="shared" si="1"/>
        <v>0.85000000000000009</v>
      </c>
      <c r="H23" s="630">
        <f t="shared" si="1"/>
        <v>1</v>
      </c>
      <c r="I23" s="631">
        <f t="shared" si="1"/>
        <v>0.5</v>
      </c>
      <c r="J23" s="74"/>
      <c r="L23" s="233"/>
      <c r="N23" s="292" t="s">
        <v>935</v>
      </c>
      <c r="O23" s="37"/>
      <c r="P23" s="39"/>
      <c r="Q23" s="37"/>
      <c r="R23" s="117"/>
      <c r="S23" s="37"/>
      <c r="T23" s="37"/>
      <c r="U23" s="226"/>
      <c r="V23" s="231"/>
      <c r="W23" s="195">
        <f ca="1">SUBTOTAL(9,W24:W25)</f>
        <v>1074890</v>
      </c>
      <c r="X23" s="196"/>
      <c r="Y23" s="150"/>
      <c r="Z23" s="150"/>
    </row>
    <row r="24" spans="2:26" ht="18" customHeight="1">
      <c r="B24" s="223" t="s">
        <v>936</v>
      </c>
      <c r="C24" s="23"/>
      <c r="D24" s="626">
        <v>0.1</v>
      </c>
      <c r="E24" s="627">
        <v>0.1</v>
      </c>
      <c r="F24" s="627">
        <v>0.2</v>
      </c>
      <c r="G24" s="627">
        <v>0.3</v>
      </c>
      <c r="H24" s="627">
        <v>0.4</v>
      </c>
      <c r="I24" s="628">
        <v>0.3</v>
      </c>
      <c r="J24" s="74"/>
      <c r="L24" s="233">
        <v>1</v>
      </c>
      <c r="N24" s="296" t="s">
        <v>937</v>
      </c>
      <c r="O24" s="37"/>
      <c r="P24" s="39"/>
      <c r="Q24" s="37"/>
      <c r="R24" s="117"/>
      <c r="S24" s="37"/>
      <c r="T24" s="37"/>
      <c r="U24" s="226"/>
      <c r="V24" s="231"/>
      <c r="W24" s="153">
        <f t="array" aca="1" ref="W24" ca="1">SUM((ROUNDDOWN((D49:I49)*단가,0)))</f>
        <v>403982</v>
      </c>
      <c r="X24" s="154"/>
      <c r="Y24" s="170" t="str">
        <f>IF(A49&gt;0, "제 " &amp;A49&amp; " 호표","")</f>
        <v>제 6 호표</v>
      </c>
      <c r="Z24" s="150"/>
    </row>
    <row r="25" spans="2:26" ht="18" customHeight="1">
      <c r="B25" s="223" t="s">
        <v>938</v>
      </c>
      <c r="C25" s="23"/>
      <c r="D25" s="626">
        <v>0.1</v>
      </c>
      <c r="E25" s="627">
        <v>0.35</v>
      </c>
      <c r="F25" s="627">
        <v>0.45</v>
      </c>
      <c r="G25" s="627">
        <v>0.55000000000000004</v>
      </c>
      <c r="H25" s="627">
        <v>0.6</v>
      </c>
      <c r="I25" s="628">
        <v>0.2</v>
      </c>
      <c r="J25" s="74"/>
      <c r="L25" s="233">
        <v>1</v>
      </c>
      <c r="N25" s="296" t="s">
        <v>939</v>
      </c>
      <c r="O25" s="37"/>
      <c r="P25" s="39"/>
      <c r="Q25" s="37"/>
      <c r="R25" s="117"/>
      <c r="S25" s="37"/>
      <c r="T25" s="37"/>
      <c r="U25" s="226"/>
      <c r="V25" s="231"/>
      <c r="W25" s="153">
        <f t="array" aca="1" ref="W25" ca="1">SUM((ROUNDDOWN((D50:I50)*단가,0)))</f>
        <v>670908</v>
      </c>
      <c r="X25" s="154"/>
      <c r="Y25" s="170" t="str">
        <f>IF(A50&gt;0, "제 " &amp;A50&amp; " 호표","")</f>
        <v>제 7 호표</v>
      </c>
      <c r="Z25" s="150"/>
    </row>
    <row r="26" spans="2:26" ht="18" customHeight="1">
      <c r="B26" s="222" t="s">
        <v>901</v>
      </c>
      <c r="C26" s="47"/>
      <c r="D26" s="629">
        <f t="shared" ref="D26:I26" si="2">SUBTOTAL(9,D27:D32)</f>
        <v>1.6</v>
      </c>
      <c r="E26" s="630">
        <f t="shared" si="2"/>
        <v>2.4500000000000002</v>
      </c>
      <c r="F26" s="630">
        <f t="shared" si="2"/>
        <v>3.95</v>
      </c>
      <c r="G26" s="630">
        <f t="shared" si="2"/>
        <v>4.6500000000000004</v>
      </c>
      <c r="H26" s="630">
        <f t="shared" si="2"/>
        <v>5.5</v>
      </c>
      <c r="I26" s="631">
        <f t="shared" si="2"/>
        <v>5.0999999999999996</v>
      </c>
      <c r="J26" s="74"/>
      <c r="L26" s="233"/>
      <c r="N26" s="292" t="s">
        <v>940</v>
      </c>
      <c r="O26" s="37"/>
      <c r="P26" s="39"/>
      <c r="Q26" s="37"/>
      <c r="R26" s="117"/>
      <c r="S26" s="37"/>
      <c r="T26" s="37"/>
      <c r="U26" s="226"/>
      <c r="V26" s="231"/>
      <c r="W26" s="195">
        <f ca="1">SUBTOTAL(9,W27:W32)</f>
        <v>5295868</v>
      </c>
      <c r="X26" s="196"/>
      <c r="Y26" s="150"/>
      <c r="Z26" s="150"/>
    </row>
    <row r="27" spans="2:26" ht="18" customHeight="1">
      <c r="B27" s="223" t="s">
        <v>902</v>
      </c>
      <c r="C27" s="23"/>
      <c r="D27" s="626">
        <v>0.2</v>
      </c>
      <c r="E27" s="627">
        <v>0.55000000000000004</v>
      </c>
      <c r="F27" s="627">
        <v>0.6</v>
      </c>
      <c r="G27" s="627">
        <v>0.8</v>
      </c>
      <c r="H27" s="627">
        <v>0.9</v>
      </c>
      <c r="I27" s="628">
        <v>0.4</v>
      </c>
      <c r="J27" s="74"/>
      <c r="L27" s="233">
        <v>1</v>
      </c>
      <c r="N27" s="296" t="s">
        <v>941</v>
      </c>
      <c r="O27" s="37"/>
      <c r="P27" s="39"/>
      <c r="Q27" s="37"/>
      <c r="R27" s="117"/>
      <c r="S27" s="37"/>
      <c r="T27" s="37"/>
      <c r="U27" s="226"/>
      <c r="V27" s="231"/>
      <c r="W27" s="153">
        <f t="array" aca="1" ref="W27" ca="1">SUM((ROUNDDOWN((D52:I52)*단가,0)))</f>
        <v>1033374</v>
      </c>
      <c r="X27" s="154"/>
      <c r="Y27" s="170" t="str">
        <f t="shared" ref="Y27:Y40" si="3">IF(A52&gt;0, "제 " &amp;A52&amp; " 호표","")</f>
        <v>제 8 호표</v>
      </c>
      <c r="Z27" s="150"/>
    </row>
    <row r="28" spans="2:26" ht="18" customHeight="1">
      <c r="B28" s="223" t="s">
        <v>942</v>
      </c>
      <c r="C28" s="23"/>
      <c r="D28" s="626">
        <v>0.25</v>
      </c>
      <c r="E28" s="627">
        <v>0.4</v>
      </c>
      <c r="F28" s="627">
        <v>0.6</v>
      </c>
      <c r="G28" s="627">
        <v>0.75</v>
      </c>
      <c r="H28" s="627">
        <v>1.2</v>
      </c>
      <c r="I28" s="628">
        <v>1.2</v>
      </c>
      <c r="J28" s="74"/>
      <c r="L28" s="233">
        <v>1</v>
      </c>
      <c r="N28" s="296" t="s">
        <v>943</v>
      </c>
      <c r="O28" s="37"/>
      <c r="P28" s="39"/>
      <c r="Q28" s="37"/>
      <c r="R28" s="117"/>
      <c r="S28" s="37"/>
      <c r="T28" s="37"/>
      <c r="U28" s="226"/>
      <c r="V28" s="231"/>
      <c r="W28" s="153">
        <f t="array" aca="1" ref="W28" ca="1">SUM((ROUNDDOWN((D53:I53)*단가,0)))</f>
        <v>1256682</v>
      </c>
      <c r="X28" s="154"/>
      <c r="Y28" s="170" t="str">
        <f t="shared" si="3"/>
        <v>제 9 호표</v>
      </c>
      <c r="Z28" s="150"/>
    </row>
    <row r="29" spans="2:26" ht="18" customHeight="1">
      <c r="B29" s="223" t="s">
        <v>944</v>
      </c>
      <c r="C29" s="23"/>
      <c r="D29" s="626">
        <v>0.2</v>
      </c>
      <c r="E29" s="627">
        <v>0.3</v>
      </c>
      <c r="F29" s="627">
        <v>0.45</v>
      </c>
      <c r="G29" s="627">
        <v>0.7</v>
      </c>
      <c r="H29" s="627">
        <v>0.4</v>
      </c>
      <c r="I29" s="628">
        <v>0.75</v>
      </c>
      <c r="J29" s="389"/>
      <c r="L29" s="233">
        <v>1</v>
      </c>
      <c r="N29" s="296" t="s">
        <v>945</v>
      </c>
      <c r="O29" s="37"/>
      <c r="P29" s="39"/>
      <c r="Q29" s="37"/>
      <c r="R29" s="117"/>
      <c r="S29" s="37"/>
      <c r="T29" s="37"/>
      <c r="U29" s="226"/>
      <c r="V29" s="231"/>
      <c r="W29" s="153">
        <f t="array" aca="1" ref="W29" ca="1">SUM((ROUNDDOWN((D54:I54)*단가,0)))</f>
        <v>833689</v>
      </c>
      <c r="X29" s="154"/>
      <c r="Y29" s="170" t="str">
        <f t="shared" si="3"/>
        <v>제 10 호표</v>
      </c>
      <c r="Z29" s="150"/>
    </row>
    <row r="30" spans="2:26" ht="18" customHeight="1">
      <c r="B30" s="223" t="s">
        <v>905</v>
      </c>
      <c r="C30" s="23"/>
      <c r="D30" s="626">
        <v>0.15</v>
      </c>
      <c r="E30" s="627">
        <v>0.2</v>
      </c>
      <c r="F30" s="627">
        <v>0.3</v>
      </c>
      <c r="G30" s="627">
        <v>0.4</v>
      </c>
      <c r="H30" s="627">
        <v>0.6</v>
      </c>
      <c r="I30" s="628">
        <v>0.55000000000000004</v>
      </c>
      <c r="J30" s="389"/>
      <c r="L30" s="233">
        <v>1</v>
      </c>
      <c r="N30" s="296" t="s">
        <v>946</v>
      </c>
      <c r="O30" s="37"/>
      <c r="P30" s="39"/>
      <c r="Q30" s="37"/>
      <c r="R30" s="117"/>
      <c r="S30" s="37"/>
      <c r="T30" s="37"/>
      <c r="U30" s="226"/>
      <c r="V30" s="231"/>
      <c r="W30" s="153">
        <f t="array" aca="1" ref="W30" ca="1">SUM((ROUNDDOWN((D55:I55)*단가,0)))</f>
        <v>634894</v>
      </c>
      <c r="X30" s="154"/>
      <c r="Y30" s="170" t="str">
        <f t="shared" si="3"/>
        <v>제 11 호표</v>
      </c>
      <c r="Z30" s="150"/>
    </row>
    <row r="31" spans="2:26" ht="18" customHeight="1">
      <c r="B31" s="223" t="s">
        <v>947</v>
      </c>
      <c r="C31" s="23"/>
      <c r="D31" s="626">
        <v>0.4</v>
      </c>
      <c r="E31" s="627">
        <v>0.5</v>
      </c>
      <c r="F31" s="627">
        <v>1</v>
      </c>
      <c r="G31" s="627">
        <v>1</v>
      </c>
      <c r="H31" s="627">
        <v>1.2</v>
      </c>
      <c r="I31" s="628">
        <v>1.1000000000000001</v>
      </c>
      <c r="J31" s="389" t="s">
        <v>920</v>
      </c>
      <c r="L31" s="233">
        <v>0</v>
      </c>
      <c r="N31" s="296" t="s">
        <v>948</v>
      </c>
      <c r="O31" s="37"/>
      <c r="P31" s="39"/>
      <c r="Q31" s="37"/>
      <c r="R31" s="117"/>
      <c r="S31" s="37"/>
      <c r="T31" s="37"/>
      <c r="U31" s="226"/>
      <c r="V31" s="231"/>
      <c r="W31" s="153">
        <f t="array" aca="1" ref="W31" ca="1">SUM((ROUNDDOWN((D56:I56)*단가,0)))</f>
        <v>0</v>
      </c>
      <c r="X31" s="154"/>
      <c r="Y31" s="170" t="str">
        <f t="shared" si="3"/>
        <v>제 12 호표</v>
      </c>
      <c r="Z31" s="150"/>
    </row>
    <row r="32" spans="2:26" ht="18" customHeight="1">
      <c r="B32" s="223" t="s">
        <v>949</v>
      </c>
      <c r="C32" s="23"/>
      <c r="D32" s="626">
        <v>0.4</v>
      </c>
      <c r="E32" s="627">
        <v>0.5</v>
      </c>
      <c r="F32" s="627">
        <v>1</v>
      </c>
      <c r="G32" s="627">
        <v>1</v>
      </c>
      <c r="H32" s="627">
        <v>1.2</v>
      </c>
      <c r="I32" s="628">
        <v>1.1000000000000001</v>
      </c>
      <c r="J32" s="389"/>
      <c r="L32" s="233">
        <v>1</v>
      </c>
      <c r="N32" s="296" t="s">
        <v>950</v>
      </c>
      <c r="O32" s="37"/>
      <c r="P32" s="39"/>
      <c r="Q32" s="37"/>
      <c r="R32" s="117"/>
      <c r="S32" s="37"/>
      <c r="T32" s="37"/>
      <c r="U32" s="226"/>
      <c r="V32" s="231"/>
      <c r="W32" s="153">
        <f t="array" aca="1" ref="W32" ca="1">SUM((ROUNDDOWN((D57:I57)*단가,0)))</f>
        <v>1537229</v>
      </c>
      <c r="X32" s="154"/>
      <c r="Y32" s="170" t="str">
        <f t="shared" si="3"/>
        <v>제 13 호표</v>
      </c>
      <c r="Z32" s="150"/>
    </row>
    <row r="33" spans="1:26" ht="18" customHeight="1">
      <c r="B33" s="222" t="s">
        <v>908</v>
      </c>
      <c r="C33" s="47"/>
      <c r="D33" s="629">
        <f t="shared" ref="D33:I33" si="4">SUBTOTAL(9,D34:D39)</f>
        <v>1.9500000000000002</v>
      </c>
      <c r="E33" s="630">
        <f t="shared" si="4"/>
        <v>2.9</v>
      </c>
      <c r="F33" s="630">
        <f t="shared" si="4"/>
        <v>4.43</v>
      </c>
      <c r="G33" s="630">
        <f t="shared" si="4"/>
        <v>5.68</v>
      </c>
      <c r="H33" s="630">
        <f t="shared" si="4"/>
        <v>6.4</v>
      </c>
      <c r="I33" s="631">
        <f t="shared" si="4"/>
        <v>4</v>
      </c>
      <c r="J33" s="74"/>
      <c r="L33" s="233"/>
      <c r="N33" s="292" t="s">
        <v>951</v>
      </c>
      <c r="O33" s="37"/>
      <c r="P33" s="39"/>
      <c r="Q33" s="37"/>
      <c r="R33" s="117"/>
      <c r="S33" s="37"/>
      <c r="T33" s="37"/>
      <c r="U33" s="226"/>
      <c r="V33" s="231"/>
      <c r="W33" s="195">
        <f ca="1">SUBTOTAL(9,W34:W39)</f>
        <v>12543256</v>
      </c>
      <c r="X33" s="154"/>
      <c r="Y33" s="150"/>
      <c r="Z33" s="150"/>
    </row>
    <row r="34" spans="1:26" ht="18" customHeight="1">
      <c r="B34" s="223" t="s">
        <v>952</v>
      </c>
      <c r="C34" s="23"/>
      <c r="D34" s="626">
        <f t="shared" ref="D34:I34" si="5">SUBTOTAL(9,D35:D38)</f>
        <v>1.35</v>
      </c>
      <c r="E34" s="627">
        <f t="shared" si="5"/>
        <v>1.9</v>
      </c>
      <c r="F34" s="627">
        <f t="shared" si="5"/>
        <v>2.2999999999999998</v>
      </c>
      <c r="G34" s="627">
        <f t="shared" si="5"/>
        <v>3.45</v>
      </c>
      <c r="H34" s="627">
        <f t="shared" si="5"/>
        <v>4.55</v>
      </c>
      <c r="I34" s="628">
        <f t="shared" si="5"/>
        <v>2.7</v>
      </c>
      <c r="J34" s="74"/>
      <c r="L34" s="233">
        <v>1</v>
      </c>
      <c r="N34" s="296" t="s">
        <v>953</v>
      </c>
      <c r="O34" s="37"/>
      <c r="P34" s="39"/>
      <c r="Q34" s="37"/>
      <c r="R34" s="117"/>
      <c r="S34" s="37"/>
      <c r="T34" s="37"/>
      <c r="U34" s="226"/>
      <c r="V34" s="231"/>
      <c r="W34" s="153">
        <f ca="1">SUBTOTAL(9,W35:W38)</f>
        <v>9808522</v>
      </c>
      <c r="X34" s="154"/>
      <c r="Y34" s="170" t="str">
        <f t="shared" si="3"/>
        <v/>
      </c>
      <c r="Z34" s="150"/>
    </row>
    <row r="35" spans="1:26" ht="18" customHeight="1">
      <c r="B35" s="223" t="s">
        <v>954</v>
      </c>
      <c r="C35" s="23"/>
      <c r="D35" s="626">
        <v>0.6</v>
      </c>
      <c r="E35" s="627">
        <v>0.85</v>
      </c>
      <c r="F35" s="627">
        <v>1</v>
      </c>
      <c r="G35" s="627">
        <v>1.55</v>
      </c>
      <c r="H35" s="627">
        <v>2.25</v>
      </c>
      <c r="I35" s="628">
        <v>1.3</v>
      </c>
      <c r="J35" s="74" t="s">
        <v>918</v>
      </c>
      <c r="L35" s="233">
        <v>1</v>
      </c>
      <c r="N35" s="296" t="s">
        <v>955</v>
      </c>
      <c r="O35" s="37"/>
      <c r="P35" s="39"/>
      <c r="Q35" s="37"/>
      <c r="R35" s="117"/>
      <c r="S35" s="37"/>
      <c r="T35" s="37"/>
      <c r="U35" s="226"/>
      <c r="V35" s="231"/>
      <c r="W35" s="153">
        <f t="array" aca="1" ref="W35" ca="1">SUM((ROUNDDOWN((D60:I60)*단가,0)))</f>
        <v>5383072</v>
      </c>
      <c r="X35" s="154"/>
      <c r="Y35" s="170" t="str">
        <f t="shared" si="3"/>
        <v>제 14 호표</v>
      </c>
      <c r="Z35" s="150"/>
    </row>
    <row r="36" spans="1:26" ht="18" customHeight="1">
      <c r="B36" s="223" t="s">
        <v>956</v>
      </c>
      <c r="C36" s="23"/>
      <c r="D36" s="626">
        <v>0.25</v>
      </c>
      <c r="E36" s="627">
        <v>0.35</v>
      </c>
      <c r="F36" s="627">
        <v>0.4</v>
      </c>
      <c r="G36" s="627">
        <v>0.65</v>
      </c>
      <c r="H36" s="627">
        <v>0.9</v>
      </c>
      <c r="I36" s="628">
        <v>0.55000000000000004</v>
      </c>
      <c r="J36" s="74" t="s">
        <v>917</v>
      </c>
      <c r="L36" s="233">
        <v>1</v>
      </c>
      <c r="N36" s="296" t="s">
        <v>957</v>
      </c>
      <c r="O36" s="37"/>
      <c r="P36" s="39"/>
      <c r="Q36" s="37"/>
      <c r="R36" s="117"/>
      <c r="S36" s="37"/>
      <c r="T36" s="37"/>
      <c r="U36" s="226"/>
      <c r="V36" s="231"/>
      <c r="W36" s="153">
        <f t="array" aca="1" ref="W36" ca="1">SUM((ROUNDDOWN((D61:I61)*단가,0)))</f>
        <v>2212725</v>
      </c>
      <c r="X36" s="154"/>
      <c r="Y36" s="170" t="str">
        <f t="shared" si="3"/>
        <v>제 15 호표</v>
      </c>
      <c r="Z36" s="150"/>
    </row>
    <row r="37" spans="1:26" ht="18" customHeight="1">
      <c r="B37" s="223" t="s">
        <v>958</v>
      </c>
      <c r="C37" s="23"/>
      <c r="D37" s="626">
        <v>0.25</v>
      </c>
      <c r="E37" s="627">
        <v>0.35</v>
      </c>
      <c r="F37" s="627">
        <v>0.4</v>
      </c>
      <c r="G37" s="627">
        <v>0.65</v>
      </c>
      <c r="H37" s="627">
        <v>0.9</v>
      </c>
      <c r="I37" s="628">
        <v>0.55000000000000004</v>
      </c>
      <c r="J37" s="74" t="s">
        <v>917</v>
      </c>
      <c r="L37" s="233">
        <v>1</v>
      </c>
      <c r="N37" s="296" t="s">
        <v>959</v>
      </c>
      <c r="O37" s="37"/>
      <c r="P37" s="39"/>
      <c r="Q37" s="37"/>
      <c r="R37" s="117"/>
      <c r="S37" s="37"/>
      <c r="T37" s="37"/>
      <c r="U37" s="226"/>
      <c r="V37" s="231"/>
      <c r="W37" s="153">
        <f t="array" aca="1" ref="W37" ca="1">SUM((ROUNDDOWN((D62:I62)*단가,0)))</f>
        <v>2212725</v>
      </c>
      <c r="X37" s="154"/>
      <c r="Y37" s="170" t="str">
        <f t="shared" si="3"/>
        <v>제 16 호표</v>
      </c>
      <c r="Z37" s="150"/>
    </row>
    <row r="38" spans="1:26" ht="18" customHeight="1">
      <c r="B38" s="223" t="s">
        <v>960</v>
      </c>
      <c r="C38" s="23"/>
      <c r="D38" s="626">
        <v>0.25</v>
      </c>
      <c r="E38" s="627">
        <v>0.35</v>
      </c>
      <c r="F38" s="627">
        <v>0.5</v>
      </c>
      <c r="G38" s="627">
        <v>0.6</v>
      </c>
      <c r="H38" s="627">
        <v>0.5</v>
      </c>
      <c r="I38" s="628">
        <v>0.3</v>
      </c>
      <c r="J38" s="74" t="s">
        <v>919</v>
      </c>
      <c r="L38" s="233">
        <v>0</v>
      </c>
      <c r="N38" s="296" t="s">
        <v>961</v>
      </c>
      <c r="O38" s="37"/>
      <c r="P38" s="39"/>
      <c r="Q38" s="37"/>
      <c r="R38" s="117"/>
      <c r="S38" s="37"/>
      <c r="T38" s="37"/>
      <c r="U38" s="226"/>
      <c r="V38" s="231"/>
      <c r="W38" s="153">
        <f t="array" aca="1" ref="W38" ca="1">SUM((ROUNDDOWN((D63:I63)*단가,0)))</f>
        <v>0</v>
      </c>
      <c r="X38" s="154"/>
      <c r="Y38" s="170" t="str">
        <f t="shared" si="3"/>
        <v>제 17 호표</v>
      </c>
      <c r="Z38" s="150"/>
    </row>
    <row r="39" spans="1:26" ht="18" customHeight="1">
      <c r="B39" s="223" t="s">
        <v>962</v>
      </c>
      <c r="C39" s="43"/>
      <c r="D39" s="632">
        <v>0.6</v>
      </c>
      <c r="E39" s="633">
        <v>1</v>
      </c>
      <c r="F39" s="633">
        <v>2.13</v>
      </c>
      <c r="G39" s="633">
        <v>2.23</v>
      </c>
      <c r="H39" s="633">
        <v>1.85</v>
      </c>
      <c r="I39" s="634">
        <v>1.3</v>
      </c>
      <c r="J39" s="239"/>
      <c r="L39" s="233">
        <v>1</v>
      </c>
      <c r="N39" s="296" t="s">
        <v>963</v>
      </c>
      <c r="O39" s="37"/>
      <c r="P39" s="39"/>
      <c r="Q39" s="37"/>
      <c r="R39" s="117"/>
      <c r="S39" s="37"/>
      <c r="T39" s="37"/>
      <c r="U39" s="226"/>
      <c r="V39" s="231"/>
      <c r="W39" s="153">
        <f t="array" aca="1" ref="W39" ca="1">SUM((ROUNDDOWN((D64:I64)*단가,0)))</f>
        <v>2734734</v>
      </c>
      <c r="X39" s="154"/>
      <c r="Y39" s="170" t="str">
        <f t="shared" si="3"/>
        <v>제 18 호표</v>
      </c>
      <c r="Z39" s="150"/>
    </row>
    <row r="40" spans="1:26" ht="18" customHeight="1" thickBot="1">
      <c r="B40" s="222" t="s">
        <v>964</v>
      </c>
      <c r="C40" s="47"/>
      <c r="D40" s="635">
        <v>0.5</v>
      </c>
      <c r="E40" s="636">
        <v>1</v>
      </c>
      <c r="F40" s="636">
        <v>1</v>
      </c>
      <c r="G40" s="636">
        <v>0.5</v>
      </c>
      <c r="H40" s="636">
        <v>0</v>
      </c>
      <c r="I40" s="637">
        <v>0</v>
      </c>
      <c r="J40" s="74"/>
      <c r="L40" s="233">
        <v>1</v>
      </c>
      <c r="N40" s="292" t="s">
        <v>915</v>
      </c>
      <c r="O40" s="37"/>
      <c r="P40" s="39"/>
      <c r="Q40" s="37"/>
      <c r="R40" s="117"/>
      <c r="S40" s="37"/>
      <c r="T40" s="37"/>
      <c r="U40" s="226"/>
      <c r="V40" s="231"/>
      <c r="W40" s="153">
        <f t="array" aca="1" ref="W40" ca="1">SUM((ROUNDDOWN((D65:I65)*단가,0)))</f>
        <v>1065414</v>
      </c>
      <c r="X40" s="154"/>
      <c r="Y40" s="170" t="str">
        <f t="shared" si="3"/>
        <v>제 19 호표</v>
      </c>
      <c r="Z40" s="150"/>
    </row>
    <row r="41" spans="1:26" ht="18" customHeight="1" thickBot="1">
      <c r="B41" s="14" t="s">
        <v>30</v>
      </c>
      <c r="C41" s="16"/>
      <c r="D41" s="14" t="s">
        <v>12</v>
      </c>
      <c r="E41" s="15"/>
      <c r="F41" s="15"/>
      <c r="G41" s="15"/>
      <c r="H41" s="15"/>
      <c r="I41" s="16"/>
      <c r="J41" s="175" t="s">
        <v>31</v>
      </c>
      <c r="N41" s="379"/>
      <c r="P41" s="371"/>
      <c r="R41" s="357"/>
      <c r="S41" s="1"/>
      <c r="T41" s="1"/>
      <c r="U41" s="258"/>
      <c r="V41" s="380"/>
      <c r="W41" s="373"/>
      <c r="X41" s="374"/>
      <c r="Y41" s="378"/>
      <c r="Z41" s="378"/>
    </row>
    <row r="42" spans="1:26" ht="18" customHeight="1">
      <c r="A42" s="326">
        <v>1</v>
      </c>
      <c r="B42" s="225" t="s">
        <v>891</v>
      </c>
      <c r="C42" s="72"/>
      <c r="D42" s="203">
        <f t="array" ref="D42:I42">ROUNDDOWN(D17:I17*L17,3)</f>
        <v>0.1</v>
      </c>
      <c r="E42" s="204">
        <v>0.2</v>
      </c>
      <c r="F42" s="204">
        <v>0.2</v>
      </c>
      <c r="G42" s="204">
        <v>0.1</v>
      </c>
      <c r="H42" s="204">
        <v>0</v>
      </c>
      <c r="I42" s="205">
        <v>0</v>
      </c>
      <c r="J42" s="73"/>
      <c r="N42" s="290" t="s">
        <v>10</v>
      </c>
      <c r="O42" s="129"/>
      <c r="P42" s="130"/>
      <c r="Q42" s="124"/>
      <c r="R42" s="131"/>
      <c r="S42" s="124"/>
      <c r="T42" s="124"/>
      <c r="U42" s="181"/>
      <c r="V42" s="181"/>
      <c r="W42" s="159">
        <f>SUBTOTAL(9,W43:W45)</f>
        <v>6000000</v>
      </c>
      <c r="X42" s="160"/>
      <c r="Y42" s="124"/>
      <c r="Z42" s="124"/>
    </row>
    <row r="43" spans="1:26" ht="18" customHeight="1">
      <c r="B43" s="222" t="s">
        <v>892</v>
      </c>
      <c r="C43" s="47"/>
      <c r="D43" s="48">
        <f t="shared" ref="D43:I43" si="6">SUBTOTAL(9,D44:D47)</f>
        <v>0</v>
      </c>
      <c r="E43" s="49">
        <f t="shared" si="6"/>
        <v>0</v>
      </c>
      <c r="F43" s="49">
        <f t="shared" si="6"/>
        <v>0.16999999999999998</v>
      </c>
      <c r="G43" s="49">
        <f t="shared" si="6"/>
        <v>0.16999999999999998</v>
      </c>
      <c r="H43" s="49">
        <f t="shared" si="6"/>
        <v>0.39999999999999997</v>
      </c>
      <c r="I43" s="50">
        <f t="shared" si="6"/>
        <v>0.39999999999999997</v>
      </c>
      <c r="J43" s="74"/>
      <c r="N43" s="291" t="str">
        <f>"여비("&amp;TEXT(T43,"#인 ×")&amp;TEXT(U43,"#일 ×")&amp;TEXT(V43,"###,###원)")</f>
        <v>여비(3인 ×10일 ×100,000원)</v>
      </c>
      <c r="O43" s="78"/>
      <c r="P43" s="52"/>
      <c r="Q43" s="51"/>
      <c r="T43" s="146">
        <v>3</v>
      </c>
      <c r="U43" s="146">
        <v>10</v>
      </c>
      <c r="V43" s="147">
        <v>100000</v>
      </c>
      <c r="W43" s="161">
        <f>T43*U43*V43</f>
        <v>3000000</v>
      </c>
      <c r="X43" s="162"/>
      <c r="Y43" s="51"/>
      <c r="Z43" s="51"/>
    </row>
    <row r="44" spans="1:26" ht="18" customHeight="1">
      <c r="A44" s="326">
        <v>2</v>
      </c>
      <c r="B44" s="223" t="s">
        <v>893</v>
      </c>
      <c r="C44" s="23"/>
      <c r="D44" s="197">
        <f t="array" ref="D44:I47">ROUNDDOWN(D19:I22*L19:L22,3)</f>
        <v>0</v>
      </c>
      <c r="E44" s="198">
        <v>0</v>
      </c>
      <c r="F44" s="198">
        <v>0.03</v>
      </c>
      <c r="G44" s="198">
        <v>0.03</v>
      </c>
      <c r="H44" s="198">
        <v>0.05</v>
      </c>
      <c r="I44" s="199">
        <v>0.05</v>
      </c>
      <c r="J44" s="74"/>
      <c r="N44" s="292" t="s">
        <v>46</v>
      </c>
      <c r="O44" s="79"/>
      <c r="P44" s="39"/>
      <c r="Q44" s="37"/>
      <c r="R44" s="117"/>
      <c r="S44" s="37"/>
      <c r="T44" s="37"/>
      <c r="U44" s="180"/>
      <c r="V44" s="180"/>
      <c r="W44" s="157">
        <v>2000000</v>
      </c>
      <c r="X44" s="158"/>
      <c r="Y44" s="37"/>
      <c r="Z44" s="37"/>
    </row>
    <row r="45" spans="1:26" ht="18" customHeight="1">
      <c r="A45" s="326">
        <v>3</v>
      </c>
      <c r="B45" s="223" t="s">
        <v>895</v>
      </c>
      <c r="C45" s="23"/>
      <c r="D45" s="197">
        <v>0</v>
      </c>
      <c r="E45" s="198">
        <v>0</v>
      </c>
      <c r="F45" s="198">
        <v>0.1</v>
      </c>
      <c r="G45" s="198">
        <v>0.1</v>
      </c>
      <c r="H45" s="198">
        <v>0.25</v>
      </c>
      <c r="I45" s="199">
        <v>0.25</v>
      </c>
      <c r="J45" s="74"/>
      <c r="N45" s="293" t="s">
        <v>13</v>
      </c>
      <c r="O45" s="132"/>
      <c r="P45" s="38"/>
      <c r="Q45" s="38"/>
      <c r="R45" s="116"/>
      <c r="S45" s="38"/>
      <c r="T45" s="38"/>
      <c r="U45" s="183"/>
      <c r="V45" s="183"/>
      <c r="W45" s="155">
        <v>1000000</v>
      </c>
      <c r="X45" s="156"/>
      <c r="Y45" s="38"/>
      <c r="Z45" s="38"/>
    </row>
    <row r="46" spans="1:26" ht="18" customHeight="1">
      <c r="A46" s="326">
        <v>4</v>
      </c>
      <c r="B46" s="223" t="s">
        <v>894</v>
      </c>
      <c r="C46" s="23"/>
      <c r="D46" s="197">
        <v>0</v>
      </c>
      <c r="E46" s="198">
        <v>0</v>
      </c>
      <c r="F46" s="198">
        <v>0.02</v>
      </c>
      <c r="G46" s="198">
        <v>0.02</v>
      </c>
      <c r="H46" s="198">
        <v>0.05</v>
      </c>
      <c r="I46" s="199">
        <v>0.05</v>
      </c>
      <c r="J46" s="389"/>
      <c r="N46" s="127" t="s">
        <v>47</v>
      </c>
      <c r="O46" s="123"/>
      <c r="P46" s="123"/>
      <c r="Q46" s="123"/>
      <c r="R46" s="123"/>
      <c r="S46" s="123"/>
      <c r="T46" s="123"/>
      <c r="U46" s="184"/>
      <c r="V46" s="184"/>
      <c r="W46" s="163">
        <f ca="1">SUBTOTAL(9,W47:W48)</f>
        <v>36779083</v>
      </c>
      <c r="X46" s="164"/>
      <c r="Y46" s="123"/>
      <c r="Z46" s="123"/>
    </row>
    <row r="47" spans="1:26" ht="18" customHeight="1">
      <c r="A47" s="326">
        <v>5</v>
      </c>
      <c r="B47" s="223" t="s">
        <v>897</v>
      </c>
      <c r="C47" s="23"/>
      <c r="D47" s="197">
        <v>0</v>
      </c>
      <c r="E47" s="198">
        <v>0</v>
      </c>
      <c r="F47" s="198">
        <v>0.02</v>
      </c>
      <c r="G47" s="198">
        <v>0.02</v>
      </c>
      <c r="H47" s="198">
        <v>0.05</v>
      </c>
      <c r="I47" s="199">
        <v>0.05</v>
      </c>
      <c r="J47" s="389"/>
      <c r="N47" s="133" t="s">
        <v>861</v>
      </c>
      <c r="O47" s="124"/>
      <c r="P47" s="134"/>
      <c r="Q47" s="124"/>
      <c r="R47" s="131"/>
      <c r="S47" s="124"/>
      <c r="T47" s="181"/>
      <c r="U47" s="181"/>
      <c r="V47" s="190">
        <v>1.1499999999999999</v>
      </c>
      <c r="W47" s="159">
        <f ca="1">ROUNDDOWN(W16*V47,0)</f>
        <v>23563201</v>
      </c>
      <c r="X47" s="160"/>
      <c r="Y47" s="124"/>
      <c r="Z47" s="124"/>
    </row>
    <row r="48" spans="1:26" ht="18" customHeight="1" thickBot="1">
      <c r="B48" s="222" t="s">
        <v>898</v>
      </c>
      <c r="C48" s="47"/>
      <c r="D48" s="48">
        <f t="shared" ref="D48:I48" si="7">SUBTOTAL(9,D49:D50)</f>
        <v>0.2</v>
      </c>
      <c r="E48" s="49">
        <f t="shared" si="7"/>
        <v>0.44999999999999996</v>
      </c>
      <c r="F48" s="49">
        <f t="shared" si="7"/>
        <v>0.65</v>
      </c>
      <c r="G48" s="49">
        <f t="shared" si="7"/>
        <v>0.85000000000000009</v>
      </c>
      <c r="H48" s="49">
        <f t="shared" si="7"/>
        <v>1</v>
      </c>
      <c r="I48" s="50">
        <f t="shared" si="7"/>
        <v>0.5</v>
      </c>
      <c r="J48" s="74"/>
      <c r="N48" s="135" t="s">
        <v>862</v>
      </c>
      <c r="O48" s="136"/>
      <c r="P48" s="137"/>
      <c r="Q48" s="136"/>
      <c r="R48" s="138"/>
      <c r="S48" s="136"/>
      <c r="T48" s="185"/>
      <c r="U48" s="185"/>
      <c r="V48" s="191">
        <v>0.3</v>
      </c>
      <c r="W48" s="165">
        <f ca="1">ROUNDDOWN((W16+W47)*V48,0)</f>
        <v>13215882</v>
      </c>
      <c r="X48" s="166"/>
      <c r="Y48" s="136"/>
      <c r="Z48" s="136"/>
    </row>
    <row r="49" spans="1:26" ht="18" customHeight="1">
      <c r="A49" s="326">
        <v>6</v>
      </c>
      <c r="B49" s="223" t="s">
        <v>899</v>
      </c>
      <c r="C49" s="23"/>
      <c r="D49" s="197">
        <f t="array" ref="D49:I50">ROUNDDOWN(D24:I25*L24:L25,3)</f>
        <v>0.1</v>
      </c>
      <c r="E49" s="198">
        <v>0.1</v>
      </c>
      <c r="F49" s="198">
        <v>0.2</v>
      </c>
      <c r="G49" s="198">
        <v>0.3</v>
      </c>
      <c r="H49" s="198">
        <v>0.4</v>
      </c>
      <c r="I49" s="199">
        <v>0.3</v>
      </c>
      <c r="J49" s="74"/>
    </row>
    <row r="50" spans="1:26" ht="18" customHeight="1">
      <c r="A50" s="326">
        <v>7</v>
      </c>
      <c r="B50" s="223" t="s">
        <v>900</v>
      </c>
      <c r="C50" s="23"/>
      <c r="D50" s="197">
        <v>0.1</v>
      </c>
      <c r="E50" s="198">
        <v>0.35</v>
      </c>
      <c r="F50" s="198">
        <v>0.45</v>
      </c>
      <c r="G50" s="198">
        <v>0.55000000000000004</v>
      </c>
      <c r="H50" s="198">
        <v>0.6</v>
      </c>
      <c r="I50" s="199">
        <v>0.2</v>
      </c>
      <c r="J50" s="74"/>
    </row>
    <row r="51" spans="1:26" ht="18" customHeight="1" thickBot="1">
      <c r="B51" s="222" t="s">
        <v>901</v>
      </c>
      <c r="C51" s="47"/>
      <c r="D51" s="48">
        <f t="shared" ref="D51:I51" si="8">SUBTOTAL(9,D52:D57)</f>
        <v>1.2000000000000002</v>
      </c>
      <c r="E51" s="49">
        <f t="shared" si="8"/>
        <v>1.95</v>
      </c>
      <c r="F51" s="49">
        <f t="shared" si="8"/>
        <v>2.95</v>
      </c>
      <c r="G51" s="49">
        <f t="shared" si="8"/>
        <v>3.65</v>
      </c>
      <c r="H51" s="49">
        <f t="shared" si="8"/>
        <v>4.3</v>
      </c>
      <c r="I51" s="50">
        <f t="shared" si="8"/>
        <v>4</v>
      </c>
      <c r="J51" s="74"/>
      <c r="N51" s="66" t="s">
        <v>18</v>
      </c>
      <c r="O51" s="2"/>
      <c r="P51" s="2"/>
      <c r="Q51" s="2"/>
      <c r="R51" s="3"/>
      <c r="S51" s="4"/>
      <c r="T51" s="3"/>
      <c r="U51" s="4"/>
      <c r="V51" s="3"/>
      <c r="W51" s="4"/>
      <c r="X51" s="3"/>
      <c r="Y51" s="4"/>
      <c r="Z51" s="2"/>
    </row>
    <row r="52" spans="1:26" ht="18" customHeight="1">
      <c r="A52" s="326">
        <v>8</v>
      </c>
      <c r="B52" s="223" t="s">
        <v>902</v>
      </c>
      <c r="C52" s="23"/>
      <c r="D52" s="197">
        <f t="array" ref="D52:I57">ROUNDDOWN(D27:I32*L27:L32,3)</f>
        <v>0.2</v>
      </c>
      <c r="E52" s="198">
        <v>0.55000000000000004</v>
      </c>
      <c r="F52" s="198">
        <v>0.6</v>
      </c>
      <c r="G52" s="198">
        <v>0.8</v>
      </c>
      <c r="H52" s="198">
        <v>0.9</v>
      </c>
      <c r="I52" s="199">
        <v>0.4</v>
      </c>
      <c r="J52" s="74"/>
      <c r="N52" s="765" t="s">
        <v>19</v>
      </c>
      <c r="O52" s="755" t="s">
        <v>20</v>
      </c>
      <c r="P52" s="755" t="s">
        <v>21</v>
      </c>
      <c r="Q52" s="755" t="s">
        <v>16</v>
      </c>
      <c r="R52" s="5" t="s">
        <v>22</v>
      </c>
      <c r="S52" s="5"/>
      <c r="T52" s="5" t="s">
        <v>23</v>
      </c>
      <c r="U52" s="5"/>
      <c r="V52" s="5" t="s">
        <v>24</v>
      </c>
      <c r="W52" s="5"/>
      <c r="X52" s="5" t="s">
        <v>25</v>
      </c>
      <c r="Y52" s="5"/>
      <c r="Z52" s="755" t="s">
        <v>26</v>
      </c>
    </row>
    <row r="53" spans="1:26" ht="18" customHeight="1" thickBot="1">
      <c r="A53" s="326">
        <v>9</v>
      </c>
      <c r="B53" s="223" t="s">
        <v>903</v>
      </c>
      <c r="C53" s="23"/>
      <c r="D53" s="197">
        <v>0.25</v>
      </c>
      <c r="E53" s="198">
        <v>0.4</v>
      </c>
      <c r="F53" s="198">
        <v>0.6</v>
      </c>
      <c r="G53" s="198">
        <v>0.75</v>
      </c>
      <c r="H53" s="198">
        <v>1.2</v>
      </c>
      <c r="I53" s="199">
        <v>1.2</v>
      </c>
      <c r="J53" s="74"/>
      <c r="N53" s="766"/>
      <c r="O53" s="756"/>
      <c r="P53" s="756"/>
      <c r="Q53" s="756"/>
      <c r="R53" s="67" t="s">
        <v>27</v>
      </c>
      <c r="S53" s="67" t="s">
        <v>28</v>
      </c>
      <c r="T53" s="67" t="s">
        <v>27</v>
      </c>
      <c r="U53" s="67" t="s">
        <v>28</v>
      </c>
      <c r="V53" s="67" t="s">
        <v>27</v>
      </c>
      <c r="W53" s="67" t="s">
        <v>28</v>
      </c>
      <c r="X53" s="67" t="s">
        <v>27</v>
      </c>
      <c r="Y53" s="67" t="s">
        <v>28</v>
      </c>
      <c r="Z53" s="756"/>
    </row>
    <row r="54" spans="1:26" ht="18" customHeight="1" thickTop="1">
      <c r="A54" s="326">
        <v>10</v>
      </c>
      <c r="B54" s="223" t="s">
        <v>904</v>
      </c>
      <c r="C54" s="23"/>
      <c r="D54" s="197">
        <v>0.2</v>
      </c>
      <c r="E54" s="198">
        <v>0.3</v>
      </c>
      <c r="F54" s="198">
        <v>0.45</v>
      </c>
      <c r="G54" s="198">
        <v>0.7</v>
      </c>
      <c r="H54" s="198">
        <v>0.4</v>
      </c>
      <c r="I54" s="199">
        <v>0.75</v>
      </c>
      <c r="J54" s="389"/>
      <c r="M54" s="171"/>
      <c r="N54" s="318" t="str">
        <f ca="1">"제 " &amp; Z54 &amp; " 호표  "&amp; OFFSET($A$1,MATCH(Z54,$A:$A,0)-1,1)</f>
        <v>제 1 호표  1. 작업계획 수립</v>
      </c>
      <c r="O54" s="221"/>
      <c r="P54" s="148"/>
      <c r="Q54" s="148"/>
      <c r="R54" s="149"/>
      <c r="S54" s="149"/>
      <c r="T54" s="149"/>
      <c r="U54" s="149"/>
      <c r="V54" s="149"/>
      <c r="W54" s="149"/>
      <c r="X54" s="149"/>
      <c r="Y54" s="149"/>
      <c r="Z54" s="325">
        <v>1</v>
      </c>
    </row>
    <row r="55" spans="1:26" ht="18" customHeight="1">
      <c r="A55" s="326">
        <v>11</v>
      </c>
      <c r="B55" s="223" t="s">
        <v>905</v>
      </c>
      <c r="C55" s="23"/>
      <c r="D55" s="197">
        <v>0.15</v>
      </c>
      <c r="E55" s="198">
        <v>0.2</v>
      </c>
      <c r="F55" s="198">
        <v>0.3</v>
      </c>
      <c r="G55" s="198">
        <v>0.4</v>
      </c>
      <c r="H55" s="198">
        <v>0.6</v>
      </c>
      <c r="I55" s="199">
        <v>0.55000000000000004</v>
      </c>
      <c r="J55" s="74"/>
      <c r="M55" s="171"/>
      <c r="N55" s="140" t="s">
        <v>43</v>
      </c>
      <c r="O55" s="172">
        <v>3</v>
      </c>
      <c r="P55" s="219">
        <f ca="1">OFFSET($A$1,MATCH(Z54,$A:$A,0)-1,O55)</f>
        <v>0.1</v>
      </c>
      <c r="Q55" s="141" t="s">
        <v>29</v>
      </c>
      <c r="R55" s="142">
        <f t="shared" ref="R55:S60" ca="1" si="9">T55</f>
        <v>467217</v>
      </c>
      <c r="S55" s="142">
        <f t="shared" ca="1" si="9"/>
        <v>46721</v>
      </c>
      <c r="T55" s="142">
        <f ca="1">기술사</f>
        <v>467217</v>
      </c>
      <c r="U55" s="142">
        <f t="shared" ref="U55:U60" ca="1" si="10">ROUNDDOWN(P55*R55,0)</f>
        <v>46721</v>
      </c>
      <c r="V55" s="142"/>
      <c r="W55" s="142"/>
      <c r="X55" s="142"/>
      <c r="Y55" s="142"/>
      <c r="Z55" s="114"/>
    </row>
    <row r="56" spans="1:26" ht="18" customHeight="1">
      <c r="A56" s="326">
        <v>12</v>
      </c>
      <c r="B56" s="223" t="s">
        <v>906</v>
      </c>
      <c r="C56" s="23"/>
      <c r="D56" s="197">
        <v>0</v>
      </c>
      <c r="E56" s="198">
        <v>0</v>
      </c>
      <c r="F56" s="198">
        <v>0</v>
      </c>
      <c r="G56" s="198">
        <v>0</v>
      </c>
      <c r="H56" s="198">
        <v>0</v>
      </c>
      <c r="I56" s="199">
        <v>0</v>
      </c>
      <c r="J56" s="389"/>
      <c r="M56" s="171"/>
      <c r="N56" s="143" t="s">
        <v>32</v>
      </c>
      <c r="O56" s="173">
        <v>4</v>
      </c>
      <c r="P56" s="234">
        <f ca="1">OFFSET($A$1,MATCH(Z54,$A:$A,0)-1,O56)</f>
        <v>0.2</v>
      </c>
      <c r="Q56" s="144" t="s">
        <v>29</v>
      </c>
      <c r="R56" s="118">
        <f t="shared" ca="1" si="9"/>
        <v>373353</v>
      </c>
      <c r="S56" s="118">
        <f t="shared" ca="1" si="9"/>
        <v>74670</v>
      </c>
      <c r="T56" s="118">
        <f ca="1">특급</f>
        <v>373353</v>
      </c>
      <c r="U56" s="118">
        <f t="shared" ca="1" si="10"/>
        <v>74670</v>
      </c>
      <c r="V56" s="118"/>
      <c r="W56" s="118"/>
      <c r="X56" s="118"/>
      <c r="Y56" s="118"/>
      <c r="Z56" s="115"/>
    </row>
    <row r="57" spans="1:26" ht="18" customHeight="1">
      <c r="A57" s="326">
        <v>13</v>
      </c>
      <c r="B57" s="223" t="s">
        <v>907</v>
      </c>
      <c r="C57" s="23"/>
      <c r="D57" s="197">
        <v>0.4</v>
      </c>
      <c r="E57" s="198">
        <v>0.5</v>
      </c>
      <c r="F57" s="198">
        <v>1</v>
      </c>
      <c r="G57" s="198">
        <v>1</v>
      </c>
      <c r="H57" s="198">
        <v>1.2</v>
      </c>
      <c r="I57" s="199">
        <v>1.1000000000000001</v>
      </c>
      <c r="J57" s="389"/>
      <c r="L57" s="171"/>
      <c r="M57" s="171"/>
      <c r="N57" s="145" t="s">
        <v>39</v>
      </c>
      <c r="O57" s="173">
        <v>5</v>
      </c>
      <c r="P57" s="234">
        <f ca="1">OFFSET($A$1,MATCH(Z54,$A:$A,0)-1,O57)</f>
        <v>0.2</v>
      </c>
      <c r="Q57" s="144" t="s">
        <v>29</v>
      </c>
      <c r="R57" s="118">
        <f t="shared" ca="1" si="9"/>
        <v>310884</v>
      </c>
      <c r="S57" s="118">
        <f t="shared" ca="1" si="9"/>
        <v>62176</v>
      </c>
      <c r="T57" s="118">
        <f ca="1">고급</f>
        <v>310884</v>
      </c>
      <c r="U57" s="118">
        <f t="shared" ca="1" si="10"/>
        <v>62176</v>
      </c>
      <c r="V57" s="118"/>
      <c r="W57" s="118"/>
      <c r="X57" s="118"/>
      <c r="Y57" s="118"/>
      <c r="Z57" s="115"/>
    </row>
    <row r="58" spans="1:26" ht="18" customHeight="1">
      <c r="B58" s="222" t="s">
        <v>908</v>
      </c>
      <c r="C58" s="47"/>
      <c r="D58" s="48">
        <f t="shared" ref="D58:I58" si="11">SUBTOTAL(9,D59:D64)</f>
        <v>3.266</v>
      </c>
      <c r="E58" s="49">
        <f t="shared" si="11"/>
        <v>4.7560000000000002</v>
      </c>
      <c r="F58" s="49">
        <f t="shared" si="11"/>
        <v>6.492</v>
      </c>
      <c r="G58" s="49">
        <f t="shared" si="11"/>
        <v>9.1370000000000005</v>
      </c>
      <c r="H58" s="49">
        <f t="shared" si="11"/>
        <v>11.665999999999999</v>
      </c>
      <c r="I58" s="50">
        <f t="shared" si="11"/>
        <v>7.117</v>
      </c>
      <c r="J58" s="74"/>
      <c r="L58" s="171"/>
      <c r="M58" s="171"/>
      <c r="N58" s="145" t="s">
        <v>40</v>
      </c>
      <c r="O58" s="173">
        <v>6</v>
      </c>
      <c r="P58" s="234">
        <f ca="1">OFFSET($A$1,MATCH(Z54,$A:$A,0)-1,O58)</f>
        <v>0.1</v>
      </c>
      <c r="Q58" s="144" t="s">
        <v>29</v>
      </c>
      <c r="R58" s="118">
        <f t="shared" ca="1" si="9"/>
        <v>295138</v>
      </c>
      <c r="S58" s="118">
        <f t="shared" ca="1" si="9"/>
        <v>29513</v>
      </c>
      <c r="T58" s="118">
        <f ca="1">중급</f>
        <v>295138</v>
      </c>
      <c r="U58" s="118">
        <f t="shared" ca="1" si="10"/>
        <v>29513</v>
      </c>
      <c r="V58" s="118"/>
      <c r="W58" s="118"/>
      <c r="X58" s="118"/>
      <c r="Y58" s="118"/>
      <c r="Z58" s="115"/>
    </row>
    <row r="59" spans="1:26" ht="18" customHeight="1">
      <c r="B59" s="223" t="s">
        <v>909</v>
      </c>
      <c r="C59" s="23"/>
      <c r="D59" s="197">
        <f t="shared" ref="D59:I59" si="12">SUBTOTAL(9,D60:D63)</f>
        <v>2.6659999999999999</v>
      </c>
      <c r="E59" s="198">
        <f t="shared" si="12"/>
        <v>3.7559999999999998</v>
      </c>
      <c r="F59" s="198">
        <f t="shared" si="12"/>
        <v>4.3620000000000001</v>
      </c>
      <c r="G59" s="198">
        <f t="shared" si="12"/>
        <v>6.907</v>
      </c>
      <c r="H59" s="198">
        <f t="shared" si="12"/>
        <v>9.8159999999999989</v>
      </c>
      <c r="I59" s="199">
        <f t="shared" si="12"/>
        <v>5.8170000000000002</v>
      </c>
      <c r="J59" s="74"/>
      <c r="L59" s="171"/>
      <c r="M59" s="171"/>
      <c r="N59" s="145" t="s">
        <v>41</v>
      </c>
      <c r="O59" s="173">
        <v>7</v>
      </c>
      <c r="P59" s="234">
        <f ca="1">OFFSET($A$1,MATCH(Z54,$A:$A,0)-1,O59)</f>
        <v>0</v>
      </c>
      <c r="Q59" s="144" t="s">
        <v>29</v>
      </c>
      <c r="R59" s="118">
        <f t="shared" ca="1" si="9"/>
        <v>235459</v>
      </c>
      <c r="S59" s="118">
        <f t="shared" ca="1" si="9"/>
        <v>0</v>
      </c>
      <c r="T59" s="118">
        <f ca="1">초급</f>
        <v>235459</v>
      </c>
      <c r="U59" s="118">
        <f t="shared" ca="1" si="10"/>
        <v>0</v>
      </c>
      <c r="V59" s="118"/>
      <c r="W59" s="118"/>
      <c r="X59" s="118"/>
      <c r="Y59" s="118"/>
      <c r="Z59" s="115"/>
    </row>
    <row r="60" spans="1:26" ht="18" customHeight="1">
      <c r="A60" s="326">
        <v>14</v>
      </c>
      <c r="B60" s="223" t="s">
        <v>910</v>
      </c>
      <c r="C60" s="23"/>
      <c r="D60" s="197">
        <f t="array" ref="D60:I63">ROUNDDOWN(D35:I38*$D$5*L35:L38,3)</f>
        <v>1.454</v>
      </c>
      <c r="E60" s="198">
        <v>2.06</v>
      </c>
      <c r="F60" s="198">
        <v>2.4239999999999999</v>
      </c>
      <c r="G60" s="198">
        <v>3.7570000000000001</v>
      </c>
      <c r="H60" s="198">
        <v>5.4539999999999997</v>
      </c>
      <c r="I60" s="199">
        <v>3.1509999999999998</v>
      </c>
      <c r="J60" s="74"/>
      <c r="L60" s="171"/>
      <c r="M60" s="171"/>
      <c r="N60" s="319" t="s">
        <v>42</v>
      </c>
      <c r="O60" s="174">
        <v>8</v>
      </c>
      <c r="P60" s="235">
        <f ca="1">OFFSET($A$1,MATCH(Z54,$A:$A,0)-1,O60)</f>
        <v>0</v>
      </c>
      <c r="Q60" s="322" t="s">
        <v>29</v>
      </c>
      <c r="R60" s="323">
        <f t="shared" ca="1" si="9"/>
        <v>250087</v>
      </c>
      <c r="S60" s="323">
        <f t="shared" ca="1" si="9"/>
        <v>0</v>
      </c>
      <c r="T60" s="323">
        <f ca="1">보조원</f>
        <v>250087</v>
      </c>
      <c r="U60" s="323">
        <f t="shared" ca="1" si="10"/>
        <v>0</v>
      </c>
      <c r="V60" s="323"/>
      <c r="W60" s="323"/>
      <c r="X60" s="323"/>
      <c r="Y60" s="323"/>
      <c r="Z60" s="324"/>
    </row>
    <row r="61" spans="1:26" ht="18" customHeight="1">
      <c r="A61" s="326">
        <v>15</v>
      </c>
      <c r="B61" s="223" t="s">
        <v>911</v>
      </c>
      <c r="C61" s="23"/>
      <c r="D61" s="197">
        <v>0.60599999999999998</v>
      </c>
      <c r="E61" s="198">
        <v>0.84799999999999998</v>
      </c>
      <c r="F61" s="198">
        <v>0.96899999999999997</v>
      </c>
      <c r="G61" s="198">
        <v>1.575</v>
      </c>
      <c r="H61" s="198">
        <v>2.181</v>
      </c>
      <c r="I61" s="199">
        <v>1.333</v>
      </c>
      <c r="J61" s="74"/>
      <c r="L61" s="171"/>
      <c r="M61" s="171"/>
      <c r="N61" s="139" t="s">
        <v>17</v>
      </c>
      <c r="O61" s="68"/>
      <c r="P61" s="69"/>
      <c r="Q61" s="70"/>
      <c r="R61" s="71"/>
      <c r="S61" s="71">
        <f ca="1">SUBTOTAL(9,S55:S60)</f>
        <v>213080</v>
      </c>
      <c r="T61" s="71"/>
      <c r="U61" s="71">
        <f ca="1">SUBTOTAL(9,U55:U60)</f>
        <v>213080</v>
      </c>
      <c r="V61" s="71"/>
      <c r="W61" s="71"/>
      <c r="X61" s="71"/>
      <c r="Y61" s="71"/>
      <c r="Z61" s="68"/>
    </row>
    <row r="62" spans="1:26" ht="18" customHeight="1">
      <c r="A62" s="326">
        <v>16</v>
      </c>
      <c r="B62" s="223" t="s">
        <v>912</v>
      </c>
      <c r="C62" s="23"/>
      <c r="D62" s="197">
        <v>0.60599999999999998</v>
      </c>
      <c r="E62" s="198">
        <v>0.84799999999999998</v>
      </c>
      <c r="F62" s="198">
        <v>0.96899999999999997</v>
      </c>
      <c r="G62" s="198">
        <v>1.575</v>
      </c>
      <c r="H62" s="198">
        <v>2.181</v>
      </c>
      <c r="I62" s="199">
        <v>1.333</v>
      </c>
      <c r="J62" s="74"/>
      <c r="L62" s="171"/>
      <c r="M62" s="171"/>
      <c r="N62" s="318" t="str">
        <f ca="1">"제 " &amp; Z62 &amp; " 호표  "&amp; OFFSET($A$1,MATCH(Z62,$A:$A,0)-1,1)</f>
        <v>제 2 호표  2-1. 계획의 배경 및 목적</v>
      </c>
      <c r="O62" s="221"/>
      <c r="P62" s="148"/>
      <c r="Q62" s="148"/>
      <c r="R62" s="149"/>
      <c r="S62" s="149"/>
      <c r="T62" s="149"/>
      <c r="U62" s="149"/>
      <c r="V62" s="149"/>
      <c r="W62" s="149"/>
      <c r="X62" s="149"/>
      <c r="Y62" s="149"/>
      <c r="Z62" s="325">
        <f>Z54+1</f>
        <v>2</v>
      </c>
    </row>
    <row r="63" spans="1:26" ht="18" customHeight="1">
      <c r="A63" s="326">
        <v>17</v>
      </c>
      <c r="B63" s="223" t="s">
        <v>913</v>
      </c>
      <c r="C63" s="23"/>
      <c r="D63" s="197">
        <v>0</v>
      </c>
      <c r="E63" s="198">
        <v>0</v>
      </c>
      <c r="F63" s="198">
        <v>0</v>
      </c>
      <c r="G63" s="198">
        <v>0</v>
      </c>
      <c r="H63" s="198">
        <v>0</v>
      </c>
      <c r="I63" s="199">
        <v>0</v>
      </c>
      <c r="J63" s="74"/>
      <c r="L63" s="171"/>
      <c r="M63" s="171"/>
      <c r="N63" s="140" t="s">
        <v>43</v>
      </c>
      <c r="O63" s="172">
        <v>3</v>
      </c>
      <c r="P63" s="219">
        <f ca="1">OFFSET($A$1,MATCH(Z62,$A:$A,0)-1,O63)</f>
        <v>0</v>
      </c>
      <c r="Q63" s="141" t="s">
        <v>29</v>
      </c>
      <c r="R63" s="142">
        <f t="shared" ref="R63:S68" ca="1" si="13">T63</f>
        <v>467217</v>
      </c>
      <c r="S63" s="142">
        <f t="shared" ca="1" si="13"/>
        <v>0</v>
      </c>
      <c r="T63" s="142">
        <f ca="1">기술사</f>
        <v>467217</v>
      </c>
      <c r="U63" s="142">
        <f t="shared" ref="U63:U68" ca="1" si="14">ROUNDDOWN(P63*R63,0)</f>
        <v>0</v>
      </c>
      <c r="V63" s="142"/>
      <c r="W63" s="142"/>
      <c r="X63" s="142"/>
      <c r="Y63" s="142"/>
      <c r="Z63" s="114"/>
    </row>
    <row r="64" spans="1:26" ht="18" customHeight="1">
      <c r="A64" s="326">
        <v>18</v>
      </c>
      <c r="B64" s="223" t="s">
        <v>914</v>
      </c>
      <c r="C64" s="23"/>
      <c r="D64" s="197">
        <f t="array" ref="D64:I64">ROUNDDOWN(D39:I39*L39,3)</f>
        <v>0.6</v>
      </c>
      <c r="E64" s="198">
        <v>1</v>
      </c>
      <c r="F64" s="198">
        <v>2.13</v>
      </c>
      <c r="G64" s="198">
        <v>2.23</v>
      </c>
      <c r="H64" s="198">
        <v>1.85</v>
      </c>
      <c r="I64" s="199">
        <v>1.3</v>
      </c>
      <c r="J64" s="74"/>
      <c r="L64" s="171"/>
      <c r="M64" s="171"/>
      <c r="N64" s="143" t="s">
        <v>32</v>
      </c>
      <c r="O64" s="173">
        <v>4</v>
      </c>
      <c r="P64" s="234">
        <f ca="1">OFFSET($A$1,MATCH(Z62,$A:$A,0)-1,O64)</f>
        <v>0</v>
      </c>
      <c r="Q64" s="144" t="s">
        <v>29</v>
      </c>
      <c r="R64" s="118">
        <f t="shared" ca="1" si="13"/>
        <v>373353</v>
      </c>
      <c r="S64" s="118">
        <f t="shared" ca="1" si="13"/>
        <v>0</v>
      </c>
      <c r="T64" s="118">
        <f ca="1">특급</f>
        <v>373353</v>
      </c>
      <c r="U64" s="118">
        <f t="shared" ca="1" si="14"/>
        <v>0</v>
      </c>
      <c r="V64" s="118"/>
      <c r="W64" s="118"/>
      <c r="X64" s="118"/>
      <c r="Y64" s="118"/>
      <c r="Z64" s="115"/>
    </row>
    <row r="65" spans="1:26" ht="18" customHeight="1" thickBot="1">
      <c r="A65" s="326">
        <v>19</v>
      </c>
      <c r="B65" s="638" t="s">
        <v>921</v>
      </c>
      <c r="C65" s="639"/>
      <c r="D65" s="640">
        <f t="array" ref="D65:I65">ROUNDDOWN(D40:I40*L40,3)</f>
        <v>0.5</v>
      </c>
      <c r="E65" s="641">
        <v>1</v>
      </c>
      <c r="F65" s="641">
        <v>1</v>
      </c>
      <c r="G65" s="641">
        <v>0.5</v>
      </c>
      <c r="H65" s="641">
        <v>0</v>
      </c>
      <c r="I65" s="642">
        <v>0</v>
      </c>
      <c r="J65" s="176"/>
      <c r="L65" s="171"/>
      <c r="M65" s="171"/>
      <c r="N65" s="145" t="s">
        <v>39</v>
      </c>
      <c r="O65" s="173">
        <v>5</v>
      </c>
      <c r="P65" s="234">
        <f ca="1">OFFSET($A$1,MATCH(Z62,$A:$A,0)-1,O65)</f>
        <v>0.03</v>
      </c>
      <c r="Q65" s="144" t="s">
        <v>29</v>
      </c>
      <c r="R65" s="118">
        <f t="shared" ca="1" si="13"/>
        <v>310884</v>
      </c>
      <c r="S65" s="118">
        <f t="shared" ca="1" si="13"/>
        <v>9326</v>
      </c>
      <c r="T65" s="118">
        <f ca="1">고급</f>
        <v>310884</v>
      </c>
      <c r="U65" s="118">
        <f t="shared" ca="1" si="14"/>
        <v>9326</v>
      </c>
      <c r="V65" s="118"/>
      <c r="W65" s="118"/>
      <c r="X65" s="118"/>
      <c r="Y65" s="118"/>
      <c r="Z65" s="115"/>
    </row>
    <row r="66" spans="1:26" ht="18" customHeight="1">
      <c r="B66" s="80" t="s">
        <v>15</v>
      </c>
      <c r="C66" s="9" t="s">
        <v>278</v>
      </c>
      <c r="K66" s="171" t="s">
        <v>14</v>
      </c>
      <c r="L66" s="171"/>
      <c r="M66" s="171"/>
      <c r="N66" s="145" t="s">
        <v>40</v>
      </c>
      <c r="O66" s="173">
        <v>6</v>
      </c>
      <c r="P66" s="234">
        <f ca="1">OFFSET($A$1,MATCH(Z62,$A:$A,0)-1,O66)</f>
        <v>0.03</v>
      </c>
      <c r="Q66" s="144" t="s">
        <v>29</v>
      </c>
      <c r="R66" s="118">
        <f t="shared" ca="1" si="13"/>
        <v>295138</v>
      </c>
      <c r="S66" s="118">
        <f t="shared" ca="1" si="13"/>
        <v>8854</v>
      </c>
      <c r="T66" s="118">
        <f ca="1">중급</f>
        <v>295138</v>
      </c>
      <c r="U66" s="118">
        <f t="shared" ca="1" si="14"/>
        <v>8854</v>
      </c>
      <c r="V66" s="118"/>
      <c r="W66" s="118"/>
      <c r="X66" s="118"/>
      <c r="Y66" s="118"/>
      <c r="Z66" s="115"/>
    </row>
    <row r="67" spans="1:26" ht="18" customHeight="1">
      <c r="C67" s="1" t="s">
        <v>279</v>
      </c>
      <c r="K67" s="171" t="s">
        <v>14</v>
      </c>
      <c r="L67" s="171"/>
      <c r="M67" s="171"/>
      <c r="N67" s="145" t="s">
        <v>41</v>
      </c>
      <c r="O67" s="173">
        <v>7</v>
      </c>
      <c r="P67" s="234">
        <f ca="1">OFFSET($A$1,MATCH(Z62,$A:$A,0)-1,O67)</f>
        <v>0.05</v>
      </c>
      <c r="Q67" s="144" t="s">
        <v>29</v>
      </c>
      <c r="R67" s="118">
        <f t="shared" ca="1" si="13"/>
        <v>235459</v>
      </c>
      <c r="S67" s="118">
        <f t="shared" ca="1" si="13"/>
        <v>11772</v>
      </c>
      <c r="T67" s="118">
        <f ca="1">초급</f>
        <v>235459</v>
      </c>
      <c r="U67" s="118">
        <f t="shared" ca="1" si="14"/>
        <v>11772</v>
      </c>
      <c r="V67" s="118"/>
      <c r="W67" s="118"/>
      <c r="X67" s="118"/>
      <c r="Y67" s="118"/>
      <c r="Z67" s="115"/>
    </row>
    <row r="68" spans="1:26" ht="18" customHeight="1">
      <c r="C68" s="9" t="s">
        <v>280</v>
      </c>
      <c r="K68" s="171" t="s">
        <v>14</v>
      </c>
      <c r="L68" s="171"/>
      <c r="M68" s="171"/>
      <c r="N68" s="319" t="s">
        <v>42</v>
      </c>
      <c r="O68" s="174">
        <v>8</v>
      </c>
      <c r="P68" s="235">
        <f ca="1">OFFSET($A$1,MATCH(Z62,$A:$A,0)-1,O68)</f>
        <v>0.05</v>
      </c>
      <c r="Q68" s="322" t="s">
        <v>29</v>
      </c>
      <c r="R68" s="323">
        <f t="shared" ca="1" si="13"/>
        <v>250087</v>
      </c>
      <c r="S68" s="323">
        <f t="shared" ca="1" si="13"/>
        <v>12504</v>
      </c>
      <c r="T68" s="323">
        <f ca="1">보조원</f>
        <v>250087</v>
      </c>
      <c r="U68" s="323">
        <f t="shared" ca="1" si="14"/>
        <v>12504</v>
      </c>
      <c r="V68" s="323"/>
      <c r="W68" s="323"/>
      <c r="X68" s="323"/>
      <c r="Y68" s="323"/>
      <c r="Z68" s="324"/>
    </row>
    <row r="69" spans="1:26" ht="18" customHeight="1">
      <c r="C69" s="1" t="s">
        <v>281</v>
      </c>
      <c r="K69" s="171" t="s">
        <v>14</v>
      </c>
      <c r="L69" s="171"/>
      <c r="M69" s="171"/>
      <c r="N69" s="139" t="s">
        <v>17</v>
      </c>
      <c r="O69" s="68"/>
      <c r="P69" s="69"/>
      <c r="Q69" s="70"/>
      <c r="R69" s="71"/>
      <c r="S69" s="71">
        <f ca="1">SUBTOTAL(9,S63:S68)</f>
        <v>42456</v>
      </c>
      <c r="T69" s="71"/>
      <c r="U69" s="71">
        <f ca="1">SUBTOTAL(9,U63:U68)</f>
        <v>42456</v>
      </c>
      <c r="V69" s="71"/>
      <c r="W69" s="71"/>
      <c r="X69" s="71"/>
      <c r="Y69" s="71"/>
      <c r="Z69" s="68"/>
    </row>
    <row r="70" spans="1:26" ht="18" customHeight="1">
      <c r="C70" s="9" t="s">
        <v>229</v>
      </c>
      <c r="K70" s="171" t="s">
        <v>14</v>
      </c>
      <c r="L70" s="171"/>
      <c r="M70" s="171"/>
      <c r="N70" s="318" t="str">
        <f ca="1">"제 " &amp; Z70 &amp; " 호표  "&amp; OFFSET($A$1,MATCH(Z70,$A:$A,0)-1,1)</f>
        <v>제 3 호표  2-2. 계획 내용</v>
      </c>
      <c r="O70" s="221"/>
      <c r="P70" s="148"/>
      <c r="Q70" s="148"/>
      <c r="R70" s="149"/>
      <c r="S70" s="149"/>
      <c r="T70" s="149"/>
      <c r="U70" s="149"/>
      <c r="V70" s="149"/>
      <c r="W70" s="149"/>
      <c r="X70" s="149"/>
      <c r="Y70" s="149"/>
      <c r="Z70" s="325">
        <f>Z62+1</f>
        <v>3</v>
      </c>
    </row>
    <row r="71" spans="1:26" ht="18" customHeight="1">
      <c r="C71" s="9" t="s">
        <v>230</v>
      </c>
      <c r="K71" s="171" t="s">
        <v>14</v>
      </c>
      <c r="L71" s="171"/>
      <c r="M71" s="171"/>
      <c r="N71" s="140" t="s">
        <v>43</v>
      </c>
      <c r="O71" s="172">
        <v>3</v>
      </c>
      <c r="P71" s="219">
        <f ca="1">OFFSET($A$1,MATCH(Z70,$A:$A,0)-1,O71)</f>
        <v>0</v>
      </c>
      <c r="Q71" s="141" t="s">
        <v>29</v>
      </c>
      <c r="R71" s="142">
        <f t="shared" ref="R71:S76" ca="1" si="15">T71</f>
        <v>467217</v>
      </c>
      <c r="S71" s="142">
        <f t="shared" ca="1" si="15"/>
        <v>0</v>
      </c>
      <c r="T71" s="142">
        <f ca="1">기술사</f>
        <v>467217</v>
      </c>
      <c r="U71" s="142">
        <f t="shared" ref="U71:U76" ca="1" si="16">ROUNDDOWN(P71*R71,0)</f>
        <v>0</v>
      </c>
      <c r="V71" s="142"/>
      <c r="W71" s="142"/>
      <c r="X71" s="142"/>
      <c r="Y71" s="142"/>
      <c r="Z71" s="114"/>
    </row>
    <row r="72" spans="1:26" ht="18" customHeight="1">
      <c r="C72" s="1" t="s">
        <v>282</v>
      </c>
      <c r="K72" s="171" t="s">
        <v>14</v>
      </c>
      <c r="L72" s="171"/>
      <c r="M72" s="171"/>
      <c r="N72" s="143" t="s">
        <v>32</v>
      </c>
      <c r="O72" s="173">
        <v>4</v>
      </c>
      <c r="P72" s="234">
        <f ca="1">OFFSET($A$1,MATCH(Z70,$A:$A,0)-1,O72)</f>
        <v>0</v>
      </c>
      <c r="Q72" s="144" t="s">
        <v>29</v>
      </c>
      <c r="R72" s="118">
        <f t="shared" ca="1" si="15"/>
        <v>373353</v>
      </c>
      <c r="S72" s="118">
        <f t="shared" ca="1" si="15"/>
        <v>0</v>
      </c>
      <c r="T72" s="118">
        <f ca="1">특급</f>
        <v>373353</v>
      </c>
      <c r="U72" s="118">
        <f t="shared" ca="1" si="16"/>
        <v>0</v>
      </c>
      <c r="V72" s="118"/>
      <c r="W72" s="118"/>
      <c r="X72" s="118"/>
      <c r="Y72" s="118"/>
      <c r="Z72" s="115"/>
    </row>
    <row r="73" spans="1:26" ht="18" customHeight="1">
      <c r="C73" s="9" t="s">
        <v>283</v>
      </c>
      <c r="K73" s="171" t="s">
        <v>14</v>
      </c>
      <c r="L73" s="171"/>
      <c r="M73" s="171"/>
      <c r="N73" s="145" t="s">
        <v>39</v>
      </c>
      <c r="O73" s="173">
        <v>5</v>
      </c>
      <c r="P73" s="234">
        <f ca="1">OFFSET($A$1,MATCH(Z70,$A:$A,0)-1,O73)</f>
        <v>0.1</v>
      </c>
      <c r="Q73" s="144" t="s">
        <v>29</v>
      </c>
      <c r="R73" s="118">
        <f t="shared" ca="1" si="15"/>
        <v>310884</v>
      </c>
      <c r="S73" s="118">
        <f t="shared" ca="1" si="15"/>
        <v>31088</v>
      </c>
      <c r="T73" s="118">
        <f ca="1">고급</f>
        <v>310884</v>
      </c>
      <c r="U73" s="118">
        <f t="shared" ca="1" si="16"/>
        <v>31088</v>
      </c>
      <c r="V73" s="118"/>
      <c r="W73" s="118"/>
      <c r="X73" s="118"/>
      <c r="Y73" s="118"/>
      <c r="Z73" s="115"/>
    </row>
    <row r="74" spans="1:26" ht="18" customHeight="1">
      <c r="K74" s="171" t="s">
        <v>14</v>
      </c>
      <c r="L74" s="171"/>
      <c r="M74" s="171"/>
      <c r="N74" s="145" t="s">
        <v>40</v>
      </c>
      <c r="O74" s="173">
        <v>6</v>
      </c>
      <c r="P74" s="234">
        <f ca="1">OFFSET($A$1,MATCH(Z70,$A:$A,0)-1,O74)</f>
        <v>0.1</v>
      </c>
      <c r="Q74" s="144" t="s">
        <v>29</v>
      </c>
      <c r="R74" s="118">
        <f t="shared" ca="1" si="15"/>
        <v>295138</v>
      </c>
      <c r="S74" s="118">
        <f t="shared" ca="1" si="15"/>
        <v>29513</v>
      </c>
      <c r="T74" s="118">
        <f ca="1">중급</f>
        <v>295138</v>
      </c>
      <c r="U74" s="118">
        <f t="shared" ca="1" si="16"/>
        <v>29513</v>
      </c>
      <c r="V74" s="118"/>
      <c r="W74" s="118"/>
      <c r="X74" s="118"/>
      <c r="Y74" s="118"/>
      <c r="Z74" s="115"/>
    </row>
    <row r="75" spans="1:26" ht="18" customHeight="1">
      <c r="K75" s="171" t="s">
        <v>14</v>
      </c>
      <c r="L75" s="171"/>
      <c r="M75" s="171"/>
      <c r="N75" s="145" t="s">
        <v>41</v>
      </c>
      <c r="O75" s="173">
        <v>7</v>
      </c>
      <c r="P75" s="234">
        <f ca="1">OFFSET($A$1,MATCH(Z70,$A:$A,0)-1,O75)</f>
        <v>0.25</v>
      </c>
      <c r="Q75" s="144" t="s">
        <v>29</v>
      </c>
      <c r="R75" s="118">
        <f t="shared" ca="1" si="15"/>
        <v>235459</v>
      </c>
      <c r="S75" s="118">
        <f t="shared" ca="1" si="15"/>
        <v>58864</v>
      </c>
      <c r="T75" s="118">
        <f ca="1">초급</f>
        <v>235459</v>
      </c>
      <c r="U75" s="118">
        <f t="shared" ca="1" si="16"/>
        <v>58864</v>
      </c>
      <c r="V75" s="118"/>
      <c r="W75" s="118"/>
      <c r="X75" s="118"/>
      <c r="Y75" s="118"/>
      <c r="Z75" s="115"/>
    </row>
    <row r="76" spans="1:26" ht="18" customHeight="1">
      <c r="K76" s="171" t="s">
        <v>14</v>
      </c>
      <c r="L76" s="171"/>
      <c r="M76" s="171"/>
      <c r="N76" s="319" t="s">
        <v>42</v>
      </c>
      <c r="O76" s="174">
        <v>8</v>
      </c>
      <c r="P76" s="235">
        <f ca="1">OFFSET($A$1,MATCH(Z70,$A:$A,0)-1,O76)</f>
        <v>0.25</v>
      </c>
      <c r="Q76" s="322" t="s">
        <v>29</v>
      </c>
      <c r="R76" s="323">
        <f t="shared" ca="1" si="15"/>
        <v>250087</v>
      </c>
      <c r="S76" s="323">
        <f t="shared" ca="1" si="15"/>
        <v>62521</v>
      </c>
      <c r="T76" s="323">
        <f ca="1">보조원</f>
        <v>250087</v>
      </c>
      <c r="U76" s="323">
        <f t="shared" ca="1" si="16"/>
        <v>62521</v>
      </c>
      <c r="V76" s="323"/>
      <c r="W76" s="323"/>
      <c r="X76" s="323"/>
      <c r="Y76" s="323"/>
      <c r="Z76" s="324"/>
    </row>
    <row r="77" spans="1:26" ht="18" customHeight="1">
      <c r="K77" s="171" t="s">
        <v>14</v>
      </c>
      <c r="L77" s="171"/>
      <c r="M77" s="171"/>
      <c r="N77" s="139" t="s">
        <v>17</v>
      </c>
      <c r="O77" s="68"/>
      <c r="P77" s="69"/>
      <c r="Q77" s="70"/>
      <c r="R77" s="71"/>
      <c r="S77" s="71">
        <f ca="1">SUBTOTAL(9,S71:S76)</f>
        <v>181986</v>
      </c>
      <c r="T77" s="71"/>
      <c r="U77" s="71">
        <f ca="1">SUBTOTAL(9,U71:U76)</f>
        <v>181986</v>
      </c>
      <c r="V77" s="71"/>
      <c r="W77" s="71"/>
      <c r="X77" s="71"/>
      <c r="Y77" s="71"/>
      <c r="Z77" s="68"/>
    </row>
    <row r="78" spans="1:26" ht="18" customHeight="1">
      <c r="K78" s="171" t="s">
        <v>14</v>
      </c>
      <c r="L78" s="171"/>
      <c r="M78" s="171"/>
      <c r="N78" s="318" t="str">
        <f ca="1">"제 " &amp; Z78 &amp; " 호표  "&amp; OFFSET($A$1,MATCH(Z78,$A:$A,0)-1,1)</f>
        <v>제 4 호표  2-3. 계획 추진경위</v>
      </c>
      <c r="O78" s="221"/>
      <c r="P78" s="148"/>
      <c r="Q78" s="148"/>
      <c r="R78" s="149"/>
      <c r="S78" s="149"/>
      <c r="T78" s="149"/>
      <c r="U78" s="149"/>
      <c r="V78" s="149"/>
      <c r="W78" s="149"/>
      <c r="X78" s="149"/>
      <c r="Y78" s="149"/>
      <c r="Z78" s="325">
        <f>Z70+1</f>
        <v>4</v>
      </c>
    </row>
    <row r="79" spans="1:26" ht="18" customHeight="1">
      <c r="C79" s="9"/>
      <c r="K79" s="171" t="s">
        <v>14</v>
      </c>
      <c r="L79" s="171"/>
      <c r="M79" s="171"/>
      <c r="N79" s="140" t="s">
        <v>43</v>
      </c>
      <c r="O79" s="172">
        <v>3</v>
      </c>
      <c r="P79" s="219">
        <f ca="1">OFFSET($A$1,MATCH(Z78,$A:$A,0)-1,O79)</f>
        <v>0</v>
      </c>
      <c r="Q79" s="141" t="s">
        <v>29</v>
      </c>
      <c r="R79" s="142">
        <f t="shared" ref="R79:S84" ca="1" si="17">T79</f>
        <v>467217</v>
      </c>
      <c r="S79" s="142">
        <f t="shared" ca="1" si="17"/>
        <v>0</v>
      </c>
      <c r="T79" s="142">
        <f ca="1">기술사</f>
        <v>467217</v>
      </c>
      <c r="U79" s="142">
        <f t="shared" ref="U79:U84" ca="1" si="18">ROUNDDOWN(P79*R79,0)</f>
        <v>0</v>
      </c>
      <c r="V79" s="142"/>
      <c r="W79" s="142"/>
      <c r="X79" s="142"/>
      <c r="Y79" s="142"/>
      <c r="Z79" s="114"/>
    </row>
    <row r="80" spans="1:26" ht="18" customHeight="1">
      <c r="C80" s="9"/>
      <c r="K80" s="171" t="s">
        <v>14</v>
      </c>
      <c r="L80" s="171"/>
      <c r="M80" s="171"/>
      <c r="N80" s="143" t="s">
        <v>32</v>
      </c>
      <c r="O80" s="173">
        <v>4</v>
      </c>
      <c r="P80" s="234">
        <f ca="1">OFFSET($A$1,MATCH(Z78,$A:$A,0)-1,O80)</f>
        <v>0</v>
      </c>
      <c r="Q80" s="144" t="s">
        <v>29</v>
      </c>
      <c r="R80" s="118">
        <f t="shared" ca="1" si="17"/>
        <v>373353</v>
      </c>
      <c r="S80" s="118">
        <f t="shared" ca="1" si="17"/>
        <v>0</v>
      </c>
      <c r="T80" s="118">
        <f ca="1">특급</f>
        <v>373353</v>
      </c>
      <c r="U80" s="118">
        <f t="shared" ca="1" si="18"/>
        <v>0</v>
      </c>
      <c r="V80" s="118"/>
      <c r="W80" s="118"/>
      <c r="X80" s="118"/>
      <c r="Y80" s="118"/>
      <c r="Z80" s="115"/>
    </row>
    <row r="81" spans="11:26" ht="18" customHeight="1">
      <c r="K81" s="171" t="s">
        <v>14</v>
      </c>
      <c r="L81" s="171"/>
      <c r="M81" s="171"/>
      <c r="N81" s="145" t="s">
        <v>39</v>
      </c>
      <c r="O81" s="173">
        <v>5</v>
      </c>
      <c r="P81" s="234">
        <f ca="1">OFFSET($A$1,MATCH(Z78,$A:$A,0)-1,O81)</f>
        <v>0.02</v>
      </c>
      <c r="Q81" s="144" t="s">
        <v>29</v>
      </c>
      <c r="R81" s="118">
        <f t="shared" ca="1" si="17"/>
        <v>310884</v>
      </c>
      <c r="S81" s="118">
        <f t="shared" ca="1" si="17"/>
        <v>6217</v>
      </c>
      <c r="T81" s="118">
        <f ca="1">고급</f>
        <v>310884</v>
      </c>
      <c r="U81" s="118">
        <f t="shared" ca="1" si="18"/>
        <v>6217</v>
      </c>
      <c r="V81" s="118"/>
      <c r="W81" s="118"/>
      <c r="X81" s="118"/>
      <c r="Y81" s="118"/>
      <c r="Z81" s="115"/>
    </row>
    <row r="82" spans="11:26" ht="18" customHeight="1">
      <c r="K82" s="171" t="s">
        <v>14</v>
      </c>
      <c r="L82" s="171"/>
      <c r="M82" s="171"/>
      <c r="N82" s="145" t="s">
        <v>40</v>
      </c>
      <c r="O82" s="173">
        <v>6</v>
      </c>
      <c r="P82" s="234">
        <f ca="1">OFFSET($A$1,MATCH(Z78,$A:$A,0)-1,O82)</f>
        <v>0.02</v>
      </c>
      <c r="Q82" s="144" t="s">
        <v>29</v>
      </c>
      <c r="R82" s="118">
        <f t="shared" ca="1" si="17"/>
        <v>295138</v>
      </c>
      <c r="S82" s="118">
        <f t="shared" ca="1" si="17"/>
        <v>5902</v>
      </c>
      <c r="T82" s="118">
        <f ca="1">중급</f>
        <v>295138</v>
      </c>
      <c r="U82" s="118">
        <f t="shared" ca="1" si="18"/>
        <v>5902</v>
      </c>
      <c r="V82" s="118"/>
      <c r="W82" s="118"/>
      <c r="X82" s="118"/>
      <c r="Y82" s="118"/>
      <c r="Z82" s="115"/>
    </row>
    <row r="83" spans="11:26" ht="18" customHeight="1">
      <c r="K83" s="171" t="s">
        <v>14</v>
      </c>
      <c r="L83" s="171"/>
      <c r="M83" s="171"/>
      <c r="N83" s="145" t="s">
        <v>41</v>
      </c>
      <c r="O83" s="173">
        <v>7</v>
      </c>
      <c r="P83" s="234">
        <f ca="1">OFFSET($A$1,MATCH(Z78,$A:$A,0)-1,O83)</f>
        <v>0.05</v>
      </c>
      <c r="Q83" s="144" t="s">
        <v>29</v>
      </c>
      <c r="R83" s="118">
        <f t="shared" ca="1" si="17"/>
        <v>235459</v>
      </c>
      <c r="S83" s="118">
        <f t="shared" ca="1" si="17"/>
        <v>11772</v>
      </c>
      <c r="T83" s="118">
        <f ca="1">초급</f>
        <v>235459</v>
      </c>
      <c r="U83" s="118">
        <f t="shared" ca="1" si="18"/>
        <v>11772</v>
      </c>
      <c r="V83" s="118"/>
      <c r="W83" s="118"/>
      <c r="X83" s="118"/>
      <c r="Y83" s="118"/>
      <c r="Z83" s="115"/>
    </row>
    <row r="84" spans="11:26" ht="18" customHeight="1">
      <c r="K84" s="171" t="s">
        <v>14</v>
      </c>
      <c r="L84" s="171"/>
      <c r="M84" s="171"/>
      <c r="N84" s="319" t="s">
        <v>42</v>
      </c>
      <c r="O84" s="174">
        <v>8</v>
      </c>
      <c r="P84" s="235">
        <f ca="1">OFFSET($A$1,MATCH(Z78,$A:$A,0)-1,O84)</f>
        <v>0.05</v>
      </c>
      <c r="Q84" s="322" t="s">
        <v>29</v>
      </c>
      <c r="R84" s="323">
        <f t="shared" ca="1" si="17"/>
        <v>250087</v>
      </c>
      <c r="S84" s="323">
        <f t="shared" ca="1" si="17"/>
        <v>12504</v>
      </c>
      <c r="T84" s="323">
        <f ca="1">보조원</f>
        <v>250087</v>
      </c>
      <c r="U84" s="323">
        <f t="shared" ca="1" si="18"/>
        <v>12504</v>
      </c>
      <c r="V84" s="323"/>
      <c r="W84" s="323"/>
      <c r="X84" s="323"/>
      <c r="Y84" s="323"/>
      <c r="Z84" s="324"/>
    </row>
    <row r="85" spans="11:26" ht="18" customHeight="1">
      <c r="K85" s="171" t="s">
        <v>14</v>
      </c>
      <c r="L85" s="171"/>
      <c r="M85" s="171"/>
      <c r="N85" s="139" t="s">
        <v>17</v>
      </c>
      <c r="O85" s="68"/>
      <c r="P85" s="69"/>
      <c r="Q85" s="70"/>
      <c r="R85" s="71"/>
      <c r="S85" s="71">
        <f ca="1">SUBTOTAL(9,S79:S84)</f>
        <v>36395</v>
      </c>
      <c r="T85" s="71"/>
      <c r="U85" s="71">
        <f ca="1">SUBTOTAL(9,U79:U84)</f>
        <v>36395</v>
      </c>
      <c r="V85" s="71"/>
      <c r="W85" s="71"/>
      <c r="X85" s="71"/>
      <c r="Y85" s="71"/>
      <c r="Z85" s="68"/>
    </row>
    <row r="86" spans="11:26" ht="18" customHeight="1">
      <c r="K86" s="171" t="s">
        <v>14</v>
      </c>
      <c r="L86" s="171"/>
      <c r="M86" s="171"/>
      <c r="N86" s="318" t="str">
        <f ca="1">"제 " &amp; Z86 &amp; " 호표  "&amp; OFFSET($A$1,MATCH(Z86,$A:$A,0)-1,1)</f>
        <v>제 5 호표  2-4. 재해영향성검토실시근거 및 절차</v>
      </c>
      <c r="O86" s="221"/>
      <c r="P86" s="148"/>
      <c r="Q86" s="148"/>
      <c r="R86" s="149"/>
      <c r="S86" s="149"/>
      <c r="T86" s="149"/>
      <c r="U86" s="149"/>
      <c r="V86" s="149"/>
      <c r="W86" s="149"/>
      <c r="X86" s="149"/>
      <c r="Y86" s="149"/>
      <c r="Z86" s="325">
        <f>Z78+1</f>
        <v>5</v>
      </c>
    </row>
    <row r="87" spans="11:26" ht="18" customHeight="1">
      <c r="K87" s="171" t="s">
        <v>14</v>
      </c>
      <c r="L87" s="171"/>
      <c r="M87" s="171"/>
      <c r="N87" s="140" t="s">
        <v>43</v>
      </c>
      <c r="O87" s="172">
        <v>3</v>
      </c>
      <c r="P87" s="219">
        <f ca="1">OFFSET($A$1,MATCH(Z86,$A:$A,0)-1,O87)</f>
        <v>0</v>
      </c>
      <c r="Q87" s="141" t="s">
        <v>29</v>
      </c>
      <c r="R87" s="142">
        <f t="shared" ref="R87:S92" ca="1" si="19">T87</f>
        <v>467217</v>
      </c>
      <c r="S87" s="142">
        <f t="shared" ca="1" si="19"/>
        <v>0</v>
      </c>
      <c r="T87" s="142">
        <f ca="1">기술사</f>
        <v>467217</v>
      </c>
      <c r="U87" s="142">
        <f t="shared" ref="U87:U92" ca="1" si="20">ROUNDDOWN(P87*R87,0)</f>
        <v>0</v>
      </c>
      <c r="V87" s="142"/>
      <c r="W87" s="142"/>
      <c r="X87" s="142"/>
      <c r="Y87" s="142"/>
      <c r="Z87" s="114"/>
    </row>
    <row r="88" spans="11:26" ht="18" customHeight="1">
      <c r="K88" s="171" t="s">
        <v>14</v>
      </c>
      <c r="L88" s="171"/>
      <c r="M88" s="171"/>
      <c r="N88" s="143" t="s">
        <v>32</v>
      </c>
      <c r="O88" s="173">
        <v>4</v>
      </c>
      <c r="P88" s="234">
        <f ca="1">OFFSET($A$1,MATCH(Z86,$A:$A,0)-1,O88)</f>
        <v>0</v>
      </c>
      <c r="Q88" s="144" t="s">
        <v>29</v>
      </c>
      <c r="R88" s="118">
        <f t="shared" ca="1" si="19"/>
        <v>373353</v>
      </c>
      <c r="S88" s="118">
        <f t="shared" ca="1" si="19"/>
        <v>0</v>
      </c>
      <c r="T88" s="118">
        <f ca="1">특급</f>
        <v>373353</v>
      </c>
      <c r="U88" s="118">
        <f t="shared" ca="1" si="20"/>
        <v>0</v>
      </c>
      <c r="V88" s="118"/>
      <c r="W88" s="118"/>
      <c r="X88" s="118"/>
      <c r="Y88" s="118"/>
      <c r="Z88" s="115"/>
    </row>
    <row r="89" spans="11:26" ht="18" customHeight="1">
      <c r="K89" s="171" t="s">
        <v>14</v>
      </c>
      <c r="L89" s="171"/>
      <c r="M89" s="171"/>
      <c r="N89" s="145" t="s">
        <v>39</v>
      </c>
      <c r="O89" s="173">
        <v>5</v>
      </c>
      <c r="P89" s="234">
        <f ca="1">OFFSET($A$1,MATCH(Z86,$A:$A,0)-1,O89)</f>
        <v>0.02</v>
      </c>
      <c r="Q89" s="144" t="s">
        <v>29</v>
      </c>
      <c r="R89" s="118">
        <f t="shared" ca="1" si="19"/>
        <v>310884</v>
      </c>
      <c r="S89" s="118">
        <f t="shared" ca="1" si="19"/>
        <v>6217</v>
      </c>
      <c r="T89" s="118">
        <f ca="1">고급</f>
        <v>310884</v>
      </c>
      <c r="U89" s="118">
        <f t="shared" ca="1" si="20"/>
        <v>6217</v>
      </c>
      <c r="V89" s="118"/>
      <c r="W89" s="118"/>
      <c r="X89" s="118"/>
      <c r="Y89" s="118"/>
      <c r="Z89" s="115"/>
    </row>
    <row r="90" spans="11:26" ht="18" customHeight="1">
      <c r="K90" s="171" t="s">
        <v>14</v>
      </c>
      <c r="L90" s="171"/>
      <c r="M90" s="171"/>
      <c r="N90" s="145" t="s">
        <v>40</v>
      </c>
      <c r="O90" s="173">
        <v>6</v>
      </c>
      <c r="P90" s="234">
        <f ca="1">OFFSET($A$1,MATCH(Z86,$A:$A,0)-1,O90)</f>
        <v>0.02</v>
      </c>
      <c r="Q90" s="144" t="s">
        <v>29</v>
      </c>
      <c r="R90" s="118">
        <f t="shared" ca="1" si="19"/>
        <v>295138</v>
      </c>
      <c r="S90" s="118">
        <f t="shared" ca="1" si="19"/>
        <v>5902</v>
      </c>
      <c r="T90" s="118">
        <f ca="1">중급</f>
        <v>295138</v>
      </c>
      <c r="U90" s="118">
        <f t="shared" ca="1" si="20"/>
        <v>5902</v>
      </c>
      <c r="V90" s="118"/>
      <c r="W90" s="118"/>
      <c r="X90" s="118"/>
      <c r="Y90" s="118"/>
      <c r="Z90" s="115"/>
    </row>
    <row r="91" spans="11:26" ht="18" customHeight="1">
      <c r="K91" s="171" t="s">
        <v>14</v>
      </c>
      <c r="L91" s="171"/>
      <c r="M91" s="171"/>
      <c r="N91" s="145" t="s">
        <v>41</v>
      </c>
      <c r="O91" s="173">
        <v>7</v>
      </c>
      <c r="P91" s="234">
        <f ca="1">OFFSET($A$1,MATCH(Z86,$A:$A,0)-1,O91)</f>
        <v>0.05</v>
      </c>
      <c r="Q91" s="144" t="s">
        <v>29</v>
      </c>
      <c r="R91" s="118">
        <f t="shared" ca="1" si="19"/>
        <v>235459</v>
      </c>
      <c r="S91" s="118">
        <f t="shared" ca="1" si="19"/>
        <v>11772</v>
      </c>
      <c r="T91" s="118">
        <f ca="1">초급</f>
        <v>235459</v>
      </c>
      <c r="U91" s="118">
        <f t="shared" ca="1" si="20"/>
        <v>11772</v>
      </c>
      <c r="V91" s="118"/>
      <c r="W91" s="118"/>
      <c r="X91" s="118"/>
      <c r="Y91" s="118"/>
      <c r="Z91" s="115"/>
    </row>
    <row r="92" spans="11:26" ht="18" customHeight="1">
      <c r="K92" s="171" t="s">
        <v>14</v>
      </c>
      <c r="L92" s="171"/>
      <c r="M92" s="171"/>
      <c r="N92" s="319" t="s">
        <v>42</v>
      </c>
      <c r="O92" s="174">
        <v>8</v>
      </c>
      <c r="P92" s="235">
        <f ca="1">OFFSET($A$1,MATCH(Z86,$A:$A,0)-1,O92)</f>
        <v>0.05</v>
      </c>
      <c r="Q92" s="322" t="s">
        <v>29</v>
      </c>
      <c r="R92" s="323">
        <f t="shared" ca="1" si="19"/>
        <v>250087</v>
      </c>
      <c r="S92" s="323">
        <f t="shared" ca="1" si="19"/>
        <v>12504</v>
      </c>
      <c r="T92" s="323">
        <f ca="1">보조원</f>
        <v>250087</v>
      </c>
      <c r="U92" s="323">
        <f t="shared" ca="1" si="20"/>
        <v>12504</v>
      </c>
      <c r="V92" s="323"/>
      <c r="W92" s="323"/>
      <c r="X92" s="323"/>
      <c r="Y92" s="323"/>
      <c r="Z92" s="324"/>
    </row>
    <row r="93" spans="11:26" ht="18" customHeight="1">
      <c r="K93" s="171" t="s">
        <v>14</v>
      </c>
      <c r="L93" s="171"/>
      <c r="M93" s="171"/>
      <c r="N93" s="139" t="s">
        <v>17</v>
      </c>
      <c r="O93" s="68"/>
      <c r="P93" s="69"/>
      <c r="Q93" s="70"/>
      <c r="R93" s="71"/>
      <c r="S93" s="71">
        <f ca="1">SUBTOTAL(9,S87:S92)</f>
        <v>36395</v>
      </c>
      <c r="T93" s="71"/>
      <c r="U93" s="71">
        <f ca="1">SUBTOTAL(9,U87:U92)</f>
        <v>36395</v>
      </c>
      <c r="V93" s="71"/>
      <c r="W93" s="71"/>
      <c r="X93" s="71"/>
      <c r="Y93" s="71"/>
      <c r="Z93" s="68"/>
    </row>
    <row r="94" spans="11:26" ht="18" customHeight="1">
      <c r="K94" s="171" t="s">
        <v>14</v>
      </c>
      <c r="L94" s="171"/>
      <c r="M94" s="171"/>
      <c r="N94" s="318" t="str">
        <f ca="1">"제 " &amp; Z94 &amp; " 호표  "&amp; OFFSET($A$1,MATCH(Z94,$A:$A,0)-1,1)</f>
        <v>제 6 호표  3-1. 대상지역 설정방법</v>
      </c>
      <c r="O94" s="221"/>
      <c r="P94" s="148"/>
      <c r="Q94" s="148"/>
      <c r="R94" s="149"/>
      <c r="S94" s="149"/>
      <c r="T94" s="149"/>
      <c r="U94" s="149"/>
      <c r="V94" s="149"/>
      <c r="W94" s="149"/>
      <c r="X94" s="149"/>
      <c r="Y94" s="149"/>
      <c r="Z94" s="325">
        <f>Z86+1</f>
        <v>6</v>
      </c>
    </row>
    <row r="95" spans="11:26" ht="18" customHeight="1">
      <c r="K95" s="171" t="s">
        <v>14</v>
      </c>
      <c r="L95" s="171"/>
      <c r="M95" s="171"/>
      <c r="N95" s="140" t="s">
        <v>43</v>
      </c>
      <c r="O95" s="172">
        <v>3</v>
      </c>
      <c r="P95" s="219">
        <f ca="1">OFFSET($A$1,MATCH(Z94,$A:$A,0)-1,O95)</f>
        <v>0.1</v>
      </c>
      <c r="Q95" s="141" t="s">
        <v>29</v>
      </c>
      <c r="R95" s="142">
        <f t="shared" ref="R95:S100" ca="1" si="21">T95</f>
        <v>467217</v>
      </c>
      <c r="S95" s="142">
        <f t="shared" ca="1" si="21"/>
        <v>46721</v>
      </c>
      <c r="T95" s="142">
        <f ca="1">기술사</f>
        <v>467217</v>
      </c>
      <c r="U95" s="142">
        <f t="shared" ref="U95:U100" ca="1" si="22">ROUNDDOWN(P95*R95,0)</f>
        <v>46721</v>
      </c>
      <c r="V95" s="142"/>
      <c r="W95" s="142"/>
      <c r="X95" s="142"/>
      <c r="Y95" s="142"/>
      <c r="Z95" s="114"/>
    </row>
    <row r="96" spans="11:26" ht="18" customHeight="1">
      <c r="K96" s="171" t="s">
        <v>14</v>
      </c>
      <c r="L96" s="171"/>
      <c r="M96" s="171"/>
      <c r="N96" s="143" t="s">
        <v>32</v>
      </c>
      <c r="O96" s="173">
        <v>4</v>
      </c>
      <c r="P96" s="234">
        <f ca="1">OFFSET($A$1,MATCH(Z94,$A:$A,0)-1,O96)</f>
        <v>0.1</v>
      </c>
      <c r="Q96" s="144" t="s">
        <v>29</v>
      </c>
      <c r="R96" s="118">
        <f t="shared" ca="1" si="21"/>
        <v>373353</v>
      </c>
      <c r="S96" s="118">
        <f t="shared" ca="1" si="21"/>
        <v>37335</v>
      </c>
      <c r="T96" s="118">
        <f ca="1">특급</f>
        <v>373353</v>
      </c>
      <c r="U96" s="118">
        <f t="shared" ca="1" si="22"/>
        <v>37335</v>
      </c>
      <c r="V96" s="118"/>
      <c r="W96" s="118"/>
      <c r="X96" s="118"/>
      <c r="Y96" s="118"/>
      <c r="Z96" s="115"/>
    </row>
    <row r="97" spans="11:26" ht="18" customHeight="1">
      <c r="K97" s="171" t="s">
        <v>14</v>
      </c>
      <c r="L97" s="171"/>
      <c r="M97" s="171"/>
      <c r="N97" s="145" t="s">
        <v>39</v>
      </c>
      <c r="O97" s="173">
        <v>5</v>
      </c>
      <c r="P97" s="234">
        <f ca="1">OFFSET($A$1,MATCH(Z94,$A:$A,0)-1,O97)</f>
        <v>0.2</v>
      </c>
      <c r="Q97" s="144" t="s">
        <v>29</v>
      </c>
      <c r="R97" s="118">
        <f t="shared" ca="1" si="21"/>
        <v>310884</v>
      </c>
      <c r="S97" s="118">
        <f t="shared" ca="1" si="21"/>
        <v>62176</v>
      </c>
      <c r="T97" s="118">
        <f ca="1">고급</f>
        <v>310884</v>
      </c>
      <c r="U97" s="118">
        <f t="shared" ca="1" si="22"/>
        <v>62176</v>
      </c>
      <c r="V97" s="118"/>
      <c r="W97" s="118"/>
      <c r="X97" s="118"/>
      <c r="Y97" s="118"/>
      <c r="Z97" s="115"/>
    </row>
    <row r="98" spans="11:26" ht="18" customHeight="1">
      <c r="K98" s="171" t="s">
        <v>14</v>
      </c>
      <c r="L98" s="171"/>
      <c r="M98" s="171"/>
      <c r="N98" s="145" t="s">
        <v>40</v>
      </c>
      <c r="O98" s="173">
        <v>6</v>
      </c>
      <c r="P98" s="234">
        <f ca="1">OFFSET($A$1,MATCH(Z94,$A:$A,0)-1,O98)</f>
        <v>0.3</v>
      </c>
      <c r="Q98" s="144" t="s">
        <v>29</v>
      </c>
      <c r="R98" s="118">
        <f t="shared" ca="1" si="21"/>
        <v>295138</v>
      </c>
      <c r="S98" s="118">
        <f t="shared" ca="1" si="21"/>
        <v>88541</v>
      </c>
      <c r="T98" s="118">
        <f ca="1">중급</f>
        <v>295138</v>
      </c>
      <c r="U98" s="118">
        <f t="shared" ca="1" si="22"/>
        <v>88541</v>
      </c>
      <c r="V98" s="118"/>
      <c r="W98" s="118"/>
      <c r="X98" s="118"/>
      <c r="Y98" s="118"/>
      <c r="Z98" s="115"/>
    </row>
    <row r="99" spans="11:26" ht="18" customHeight="1">
      <c r="K99" s="171" t="s">
        <v>14</v>
      </c>
      <c r="L99" s="171"/>
      <c r="M99" s="171"/>
      <c r="N99" s="145" t="s">
        <v>41</v>
      </c>
      <c r="O99" s="173">
        <v>7</v>
      </c>
      <c r="P99" s="234">
        <f ca="1">OFFSET($A$1,MATCH(Z94,$A:$A,0)-1,O99)</f>
        <v>0.4</v>
      </c>
      <c r="Q99" s="144" t="s">
        <v>29</v>
      </c>
      <c r="R99" s="118">
        <f t="shared" ca="1" si="21"/>
        <v>235459</v>
      </c>
      <c r="S99" s="118">
        <f t="shared" ca="1" si="21"/>
        <v>94183</v>
      </c>
      <c r="T99" s="118">
        <f ca="1">초급</f>
        <v>235459</v>
      </c>
      <c r="U99" s="118">
        <f t="shared" ca="1" si="22"/>
        <v>94183</v>
      </c>
      <c r="V99" s="118"/>
      <c r="W99" s="118"/>
      <c r="X99" s="118"/>
      <c r="Y99" s="118"/>
      <c r="Z99" s="115"/>
    </row>
    <row r="100" spans="11:26" ht="18" customHeight="1">
      <c r="K100" s="171" t="s">
        <v>14</v>
      </c>
      <c r="L100" s="171"/>
      <c r="M100" s="171"/>
      <c r="N100" s="319" t="s">
        <v>42</v>
      </c>
      <c r="O100" s="174">
        <v>8</v>
      </c>
      <c r="P100" s="235">
        <f ca="1">OFFSET($A$1,MATCH(Z94,$A:$A,0)-1,O100)</f>
        <v>0.3</v>
      </c>
      <c r="Q100" s="322" t="s">
        <v>29</v>
      </c>
      <c r="R100" s="323">
        <f t="shared" ca="1" si="21"/>
        <v>250087</v>
      </c>
      <c r="S100" s="323">
        <f t="shared" ca="1" si="21"/>
        <v>75026</v>
      </c>
      <c r="T100" s="323">
        <f ca="1">보조원</f>
        <v>250087</v>
      </c>
      <c r="U100" s="323">
        <f t="shared" ca="1" si="22"/>
        <v>75026</v>
      </c>
      <c r="V100" s="323"/>
      <c r="W100" s="323"/>
      <c r="X100" s="323"/>
      <c r="Y100" s="323"/>
      <c r="Z100" s="324"/>
    </row>
    <row r="101" spans="11:26" ht="18" customHeight="1">
      <c r="K101" s="171" t="s">
        <v>14</v>
      </c>
      <c r="L101" s="171"/>
      <c r="M101" s="171"/>
      <c r="N101" s="139" t="s">
        <v>17</v>
      </c>
      <c r="O101" s="68"/>
      <c r="P101" s="69"/>
      <c r="Q101" s="70"/>
      <c r="R101" s="71"/>
      <c r="S101" s="71">
        <f ca="1">SUBTOTAL(9,S95:S100)</f>
        <v>403982</v>
      </c>
      <c r="T101" s="71"/>
      <c r="U101" s="71">
        <f ca="1">SUBTOTAL(9,U95:U100)</f>
        <v>403982</v>
      </c>
      <c r="V101" s="71"/>
      <c r="W101" s="71"/>
      <c r="X101" s="71"/>
      <c r="Y101" s="71"/>
      <c r="Z101" s="68"/>
    </row>
    <row r="102" spans="11:26" ht="18" customHeight="1">
      <c r="K102" s="171" t="s">
        <v>14</v>
      </c>
      <c r="L102" s="171"/>
      <c r="M102" s="171"/>
      <c r="N102" s="318" t="str">
        <f ca="1">"제 " &amp; Z102 &amp; " 호표  "&amp; OFFSET($A$1,MATCH(Z102,$A:$A,0)-1,1)</f>
        <v>제 7 호표  3-2. 검토 대상지역</v>
      </c>
      <c r="O102" s="221"/>
      <c r="P102" s="148"/>
      <c r="Q102" s="148"/>
      <c r="R102" s="149"/>
      <c r="S102" s="149"/>
      <c r="T102" s="149"/>
      <c r="U102" s="149"/>
      <c r="V102" s="149"/>
      <c r="W102" s="149"/>
      <c r="X102" s="149"/>
      <c r="Y102" s="149"/>
      <c r="Z102" s="325">
        <f>Z94+1</f>
        <v>7</v>
      </c>
    </row>
    <row r="103" spans="11:26" ht="18" customHeight="1">
      <c r="K103" s="171" t="s">
        <v>14</v>
      </c>
      <c r="L103" s="171"/>
      <c r="M103" s="171"/>
      <c r="N103" s="140" t="s">
        <v>43</v>
      </c>
      <c r="O103" s="172">
        <v>3</v>
      </c>
      <c r="P103" s="219">
        <f ca="1">OFFSET($A$1,MATCH(Z102,$A:$A,0)-1,O103)</f>
        <v>0.1</v>
      </c>
      <c r="Q103" s="141" t="s">
        <v>29</v>
      </c>
      <c r="R103" s="142">
        <f t="shared" ref="R103:S108" ca="1" si="23">T103</f>
        <v>467217</v>
      </c>
      <c r="S103" s="142">
        <f t="shared" ca="1" si="23"/>
        <v>46721</v>
      </c>
      <c r="T103" s="142">
        <f ca="1">기술사</f>
        <v>467217</v>
      </c>
      <c r="U103" s="142">
        <f t="shared" ref="U103:U108" ca="1" si="24">ROUNDDOWN(P103*R103,0)</f>
        <v>46721</v>
      </c>
      <c r="V103" s="142"/>
      <c r="W103" s="142"/>
      <c r="X103" s="142"/>
      <c r="Y103" s="142"/>
      <c r="Z103" s="114"/>
    </row>
    <row r="104" spans="11:26" ht="18" customHeight="1">
      <c r="K104" s="171" t="s">
        <v>14</v>
      </c>
      <c r="L104" s="171"/>
      <c r="M104" s="171"/>
      <c r="N104" s="143" t="s">
        <v>32</v>
      </c>
      <c r="O104" s="173">
        <v>4</v>
      </c>
      <c r="P104" s="234">
        <f ca="1">OFFSET($A$1,MATCH(Z102,$A:$A,0)-1,O104)</f>
        <v>0.35</v>
      </c>
      <c r="Q104" s="144" t="s">
        <v>29</v>
      </c>
      <c r="R104" s="118">
        <f t="shared" ca="1" si="23"/>
        <v>373353</v>
      </c>
      <c r="S104" s="118">
        <f t="shared" ca="1" si="23"/>
        <v>130673</v>
      </c>
      <c r="T104" s="118">
        <f ca="1">특급</f>
        <v>373353</v>
      </c>
      <c r="U104" s="118">
        <f t="shared" ca="1" si="24"/>
        <v>130673</v>
      </c>
      <c r="V104" s="118"/>
      <c r="W104" s="118"/>
      <c r="X104" s="118"/>
      <c r="Y104" s="118"/>
      <c r="Z104" s="115"/>
    </row>
    <row r="105" spans="11:26" ht="18" customHeight="1">
      <c r="K105" s="171" t="s">
        <v>14</v>
      </c>
      <c r="L105" s="171"/>
      <c r="M105" s="171"/>
      <c r="N105" s="145" t="s">
        <v>39</v>
      </c>
      <c r="O105" s="173">
        <v>5</v>
      </c>
      <c r="P105" s="234">
        <f ca="1">OFFSET($A$1,MATCH(Z102,$A:$A,0)-1,O105)</f>
        <v>0.45</v>
      </c>
      <c r="Q105" s="144" t="s">
        <v>29</v>
      </c>
      <c r="R105" s="118">
        <f t="shared" ca="1" si="23"/>
        <v>310884</v>
      </c>
      <c r="S105" s="118">
        <f t="shared" ca="1" si="23"/>
        <v>139897</v>
      </c>
      <c r="T105" s="118">
        <f ca="1">고급</f>
        <v>310884</v>
      </c>
      <c r="U105" s="118">
        <f t="shared" ca="1" si="24"/>
        <v>139897</v>
      </c>
      <c r="V105" s="118"/>
      <c r="W105" s="118"/>
      <c r="X105" s="118"/>
      <c r="Y105" s="118"/>
      <c r="Z105" s="115"/>
    </row>
    <row r="106" spans="11:26" ht="18" customHeight="1">
      <c r="K106" s="171" t="s">
        <v>14</v>
      </c>
      <c r="L106" s="171"/>
      <c r="M106" s="171"/>
      <c r="N106" s="145" t="s">
        <v>40</v>
      </c>
      <c r="O106" s="173">
        <v>6</v>
      </c>
      <c r="P106" s="234">
        <f ca="1">OFFSET($A$1,MATCH(Z102,$A:$A,0)-1,O106)</f>
        <v>0.55000000000000004</v>
      </c>
      <c r="Q106" s="144" t="s">
        <v>29</v>
      </c>
      <c r="R106" s="118">
        <f t="shared" ca="1" si="23"/>
        <v>295138</v>
      </c>
      <c r="S106" s="118">
        <f t="shared" ca="1" si="23"/>
        <v>162325</v>
      </c>
      <c r="T106" s="118">
        <f ca="1">중급</f>
        <v>295138</v>
      </c>
      <c r="U106" s="118">
        <f t="shared" ca="1" si="24"/>
        <v>162325</v>
      </c>
      <c r="V106" s="118"/>
      <c r="W106" s="118"/>
      <c r="X106" s="118"/>
      <c r="Y106" s="118"/>
      <c r="Z106" s="115"/>
    </row>
    <row r="107" spans="11:26" ht="18" customHeight="1">
      <c r="K107" s="171" t="s">
        <v>14</v>
      </c>
      <c r="L107" s="171"/>
      <c r="M107" s="171"/>
      <c r="N107" s="145" t="s">
        <v>41</v>
      </c>
      <c r="O107" s="173">
        <v>7</v>
      </c>
      <c r="P107" s="234">
        <f ca="1">OFFSET($A$1,MATCH(Z102,$A:$A,0)-1,O107)</f>
        <v>0.6</v>
      </c>
      <c r="Q107" s="144" t="s">
        <v>29</v>
      </c>
      <c r="R107" s="118">
        <f t="shared" ca="1" si="23"/>
        <v>235459</v>
      </c>
      <c r="S107" s="118">
        <f t="shared" ca="1" si="23"/>
        <v>141275</v>
      </c>
      <c r="T107" s="118">
        <f ca="1">초급</f>
        <v>235459</v>
      </c>
      <c r="U107" s="118">
        <f t="shared" ca="1" si="24"/>
        <v>141275</v>
      </c>
      <c r="V107" s="118"/>
      <c r="W107" s="118"/>
      <c r="X107" s="118"/>
      <c r="Y107" s="118"/>
      <c r="Z107" s="115"/>
    </row>
    <row r="108" spans="11:26" ht="18" customHeight="1">
      <c r="K108" s="171" t="s">
        <v>14</v>
      </c>
      <c r="L108" s="171"/>
      <c r="M108" s="171"/>
      <c r="N108" s="319" t="s">
        <v>42</v>
      </c>
      <c r="O108" s="174">
        <v>8</v>
      </c>
      <c r="P108" s="235">
        <f ca="1">OFFSET($A$1,MATCH(Z102,$A:$A,0)-1,O108)</f>
        <v>0.2</v>
      </c>
      <c r="Q108" s="322" t="s">
        <v>29</v>
      </c>
      <c r="R108" s="323">
        <f t="shared" ca="1" si="23"/>
        <v>250087</v>
      </c>
      <c r="S108" s="323">
        <f t="shared" ca="1" si="23"/>
        <v>50017</v>
      </c>
      <c r="T108" s="323">
        <f ca="1">보조원</f>
        <v>250087</v>
      </c>
      <c r="U108" s="323">
        <f t="shared" ca="1" si="24"/>
        <v>50017</v>
      </c>
      <c r="V108" s="323"/>
      <c r="W108" s="323"/>
      <c r="X108" s="323"/>
      <c r="Y108" s="323"/>
      <c r="Z108" s="324"/>
    </row>
    <row r="109" spans="11:26" ht="18" customHeight="1">
      <c r="K109" s="171" t="s">
        <v>14</v>
      </c>
      <c r="L109" s="171"/>
      <c r="M109" s="171"/>
      <c r="N109" s="139" t="s">
        <v>17</v>
      </c>
      <c r="O109" s="68"/>
      <c r="P109" s="69"/>
      <c r="Q109" s="70"/>
      <c r="R109" s="71"/>
      <c r="S109" s="71">
        <f ca="1">SUBTOTAL(9,S103:S108)</f>
        <v>670908</v>
      </c>
      <c r="T109" s="71"/>
      <c r="U109" s="71">
        <f ca="1">SUBTOTAL(9,U103:U108)</f>
        <v>670908</v>
      </c>
      <c r="V109" s="71"/>
      <c r="W109" s="71"/>
      <c r="X109" s="71"/>
      <c r="Y109" s="71"/>
      <c r="Z109" s="68"/>
    </row>
    <row r="110" spans="11:26" ht="18" customHeight="1">
      <c r="K110" s="171" t="s">
        <v>14</v>
      </c>
      <c r="L110" s="171"/>
      <c r="M110" s="171"/>
      <c r="N110" s="318" t="str">
        <f ca="1">"제 " &amp; Z110 &amp; " 호표  "&amp; OFFSET($A$1,MATCH(Z110,$A:$A,0)-1,1)</f>
        <v>제 8 호표  4-1. 기초현황 조사의 기본방향</v>
      </c>
      <c r="O110" s="221"/>
      <c r="P110" s="148"/>
      <c r="Q110" s="148"/>
      <c r="R110" s="149"/>
      <c r="S110" s="149"/>
      <c r="T110" s="149"/>
      <c r="U110" s="149"/>
      <c r="V110" s="149"/>
      <c r="W110" s="149"/>
      <c r="X110" s="149"/>
      <c r="Y110" s="149"/>
      <c r="Z110" s="325">
        <f>Z102+1</f>
        <v>8</v>
      </c>
    </row>
    <row r="111" spans="11:26" ht="18" customHeight="1">
      <c r="K111" s="171" t="s">
        <v>14</v>
      </c>
      <c r="L111" s="171"/>
      <c r="M111" s="171"/>
      <c r="N111" s="140" t="s">
        <v>43</v>
      </c>
      <c r="O111" s="172">
        <v>3</v>
      </c>
      <c r="P111" s="219">
        <f ca="1">OFFSET($A$1,MATCH(Z110,$A:$A,0)-1,O111)</f>
        <v>0.2</v>
      </c>
      <c r="Q111" s="141" t="s">
        <v>29</v>
      </c>
      <c r="R111" s="142">
        <f t="shared" ref="R111:S116" ca="1" si="25">T111</f>
        <v>467217</v>
      </c>
      <c r="S111" s="142">
        <f t="shared" ca="1" si="25"/>
        <v>93443</v>
      </c>
      <c r="T111" s="142">
        <f ca="1">기술사</f>
        <v>467217</v>
      </c>
      <c r="U111" s="142">
        <f t="shared" ref="U111:U116" ca="1" si="26">ROUNDDOWN(P111*R111,0)</f>
        <v>93443</v>
      </c>
      <c r="V111" s="142"/>
      <c r="W111" s="142"/>
      <c r="X111" s="142"/>
      <c r="Y111" s="142"/>
      <c r="Z111" s="114"/>
    </row>
    <row r="112" spans="11:26" ht="18" customHeight="1">
      <c r="K112" s="171" t="s">
        <v>14</v>
      </c>
      <c r="L112" s="171"/>
      <c r="M112" s="171"/>
      <c r="N112" s="143" t="s">
        <v>32</v>
      </c>
      <c r="O112" s="173">
        <v>4</v>
      </c>
      <c r="P112" s="234">
        <f ca="1">OFFSET($A$1,MATCH(Z110,$A:$A,0)-1,O112)</f>
        <v>0.55000000000000004</v>
      </c>
      <c r="Q112" s="144" t="s">
        <v>29</v>
      </c>
      <c r="R112" s="118">
        <f t="shared" ca="1" si="25"/>
        <v>373353</v>
      </c>
      <c r="S112" s="118">
        <f t="shared" ca="1" si="25"/>
        <v>205344</v>
      </c>
      <c r="T112" s="118">
        <f ca="1">특급</f>
        <v>373353</v>
      </c>
      <c r="U112" s="118">
        <f t="shared" ca="1" si="26"/>
        <v>205344</v>
      </c>
      <c r="V112" s="118"/>
      <c r="W112" s="118"/>
      <c r="X112" s="118"/>
      <c r="Y112" s="118"/>
      <c r="Z112" s="115"/>
    </row>
    <row r="113" spans="11:26" ht="18" customHeight="1">
      <c r="K113" s="171" t="s">
        <v>14</v>
      </c>
      <c r="L113" s="171"/>
      <c r="M113" s="171"/>
      <c r="N113" s="145" t="s">
        <v>39</v>
      </c>
      <c r="O113" s="173">
        <v>5</v>
      </c>
      <c r="P113" s="234">
        <f ca="1">OFFSET($A$1,MATCH(Z110,$A:$A,0)-1,O113)</f>
        <v>0.6</v>
      </c>
      <c r="Q113" s="144" t="s">
        <v>29</v>
      </c>
      <c r="R113" s="118">
        <f t="shared" ca="1" si="25"/>
        <v>310884</v>
      </c>
      <c r="S113" s="118">
        <f t="shared" ca="1" si="25"/>
        <v>186530</v>
      </c>
      <c r="T113" s="118">
        <f ca="1">고급</f>
        <v>310884</v>
      </c>
      <c r="U113" s="118">
        <f t="shared" ca="1" si="26"/>
        <v>186530</v>
      </c>
      <c r="V113" s="118"/>
      <c r="W113" s="118"/>
      <c r="X113" s="118"/>
      <c r="Y113" s="118"/>
      <c r="Z113" s="115"/>
    </row>
    <row r="114" spans="11:26" ht="18" customHeight="1">
      <c r="K114" s="171" t="s">
        <v>14</v>
      </c>
      <c r="L114" s="171"/>
      <c r="M114" s="171"/>
      <c r="N114" s="145" t="s">
        <v>40</v>
      </c>
      <c r="O114" s="173">
        <v>6</v>
      </c>
      <c r="P114" s="234">
        <f ca="1">OFFSET($A$1,MATCH(Z110,$A:$A,0)-1,O114)</f>
        <v>0.8</v>
      </c>
      <c r="Q114" s="144" t="s">
        <v>29</v>
      </c>
      <c r="R114" s="118">
        <f t="shared" ca="1" si="25"/>
        <v>295138</v>
      </c>
      <c r="S114" s="118">
        <f t="shared" ca="1" si="25"/>
        <v>236110</v>
      </c>
      <c r="T114" s="118">
        <f ca="1">중급</f>
        <v>295138</v>
      </c>
      <c r="U114" s="118">
        <f t="shared" ca="1" si="26"/>
        <v>236110</v>
      </c>
      <c r="V114" s="118"/>
      <c r="W114" s="118"/>
      <c r="X114" s="118"/>
      <c r="Y114" s="118"/>
      <c r="Z114" s="115"/>
    </row>
    <row r="115" spans="11:26" ht="18" customHeight="1">
      <c r="K115" s="171" t="s">
        <v>14</v>
      </c>
      <c r="L115" s="171"/>
      <c r="M115" s="171"/>
      <c r="N115" s="145" t="s">
        <v>41</v>
      </c>
      <c r="O115" s="173">
        <v>7</v>
      </c>
      <c r="P115" s="234">
        <f ca="1">OFFSET($A$1,MATCH(Z110,$A:$A,0)-1,O115)</f>
        <v>0.9</v>
      </c>
      <c r="Q115" s="144" t="s">
        <v>29</v>
      </c>
      <c r="R115" s="118">
        <f t="shared" ca="1" si="25"/>
        <v>235459</v>
      </c>
      <c r="S115" s="118">
        <f t="shared" ca="1" si="25"/>
        <v>211913</v>
      </c>
      <c r="T115" s="118">
        <f ca="1">초급</f>
        <v>235459</v>
      </c>
      <c r="U115" s="118">
        <f t="shared" ca="1" si="26"/>
        <v>211913</v>
      </c>
      <c r="V115" s="118"/>
      <c r="W115" s="118"/>
      <c r="X115" s="118"/>
      <c r="Y115" s="118"/>
      <c r="Z115" s="115"/>
    </row>
    <row r="116" spans="11:26" ht="18" customHeight="1">
      <c r="K116" s="171" t="s">
        <v>14</v>
      </c>
      <c r="L116" s="171"/>
      <c r="M116" s="171"/>
      <c r="N116" s="319" t="s">
        <v>42</v>
      </c>
      <c r="O116" s="174">
        <v>8</v>
      </c>
      <c r="P116" s="235">
        <f ca="1">OFFSET($A$1,MATCH(Z110,$A:$A,0)-1,O116)</f>
        <v>0.4</v>
      </c>
      <c r="Q116" s="322" t="s">
        <v>29</v>
      </c>
      <c r="R116" s="323">
        <f t="shared" ca="1" si="25"/>
        <v>250087</v>
      </c>
      <c r="S116" s="323">
        <f t="shared" ca="1" si="25"/>
        <v>100034</v>
      </c>
      <c r="T116" s="323">
        <f ca="1">보조원</f>
        <v>250087</v>
      </c>
      <c r="U116" s="323">
        <f t="shared" ca="1" si="26"/>
        <v>100034</v>
      </c>
      <c r="V116" s="323"/>
      <c r="W116" s="323"/>
      <c r="X116" s="323"/>
      <c r="Y116" s="323"/>
      <c r="Z116" s="324"/>
    </row>
    <row r="117" spans="11:26" ht="18" customHeight="1">
      <c r="K117" s="171" t="s">
        <v>14</v>
      </c>
      <c r="L117" s="171"/>
      <c r="M117" s="171"/>
      <c r="N117" s="139" t="s">
        <v>17</v>
      </c>
      <c r="O117" s="68"/>
      <c r="P117" s="69"/>
      <c r="Q117" s="70"/>
      <c r="R117" s="71"/>
      <c r="S117" s="71">
        <f ca="1">SUBTOTAL(9,S111:S116)</f>
        <v>1033374</v>
      </c>
      <c r="T117" s="71"/>
      <c r="U117" s="71">
        <f ca="1">SUBTOTAL(9,U111:U116)</f>
        <v>1033374</v>
      </c>
      <c r="V117" s="71"/>
      <c r="W117" s="71"/>
      <c r="X117" s="71"/>
      <c r="Y117" s="71"/>
      <c r="Z117" s="68"/>
    </row>
    <row r="118" spans="11:26" ht="18" customHeight="1">
      <c r="K118" s="171" t="s">
        <v>14</v>
      </c>
      <c r="L118" s="171"/>
      <c r="M118" s="171"/>
      <c r="N118" s="318" t="str">
        <f ca="1">"제 " &amp; Z118 &amp; " 호표  "&amp; OFFSET($A$1,MATCH(Z118,$A:$A,0)-1,1)</f>
        <v>제 9 호표  4-2. 재해발생 현황 조사</v>
      </c>
      <c r="O118" s="221"/>
      <c r="P118" s="148"/>
      <c r="Q118" s="148"/>
      <c r="R118" s="149"/>
      <c r="S118" s="149"/>
      <c r="T118" s="149"/>
      <c r="U118" s="149"/>
      <c r="V118" s="149"/>
      <c r="W118" s="149"/>
      <c r="X118" s="149"/>
      <c r="Y118" s="149"/>
      <c r="Z118" s="325">
        <f>Z110+1</f>
        <v>9</v>
      </c>
    </row>
    <row r="119" spans="11:26" ht="18" customHeight="1">
      <c r="K119" s="171" t="s">
        <v>14</v>
      </c>
      <c r="L119" s="171"/>
      <c r="M119" s="171"/>
      <c r="N119" s="140" t="s">
        <v>43</v>
      </c>
      <c r="O119" s="172">
        <v>3</v>
      </c>
      <c r="P119" s="219">
        <f ca="1">OFFSET($A$1,MATCH(Z118,$A:$A,0)-1,O119)</f>
        <v>0.25</v>
      </c>
      <c r="Q119" s="141" t="s">
        <v>29</v>
      </c>
      <c r="R119" s="142">
        <f t="shared" ref="R119:S124" ca="1" si="27">T119</f>
        <v>467217</v>
      </c>
      <c r="S119" s="142">
        <f t="shared" ca="1" si="27"/>
        <v>116804</v>
      </c>
      <c r="T119" s="142">
        <f ca="1">기술사</f>
        <v>467217</v>
      </c>
      <c r="U119" s="142">
        <f t="shared" ref="U119:U124" ca="1" si="28">ROUNDDOWN(P119*R119,0)</f>
        <v>116804</v>
      </c>
      <c r="V119" s="142"/>
      <c r="W119" s="142"/>
      <c r="X119" s="142"/>
      <c r="Y119" s="142"/>
      <c r="Z119" s="114"/>
    </row>
    <row r="120" spans="11:26" ht="18" customHeight="1">
      <c r="K120" s="171" t="s">
        <v>14</v>
      </c>
      <c r="L120" s="171"/>
      <c r="M120" s="171"/>
      <c r="N120" s="143" t="s">
        <v>32</v>
      </c>
      <c r="O120" s="173">
        <v>4</v>
      </c>
      <c r="P120" s="234">
        <f ca="1">OFFSET($A$1,MATCH(Z118,$A:$A,0)-1,O120)</f>
        <v>0.4</v>
      </c>
      <c r="Q120" s="144" t="s">
        <v>29</v>
      </c>
      <c r="R120" s="118">
        <f t="shared" ca="1" si="27"/>
        <v>373353</v>
      </c>
      <c r="S120" s="118">
        <f t="shared" ca="1" si="27"/>
        <v>149341</v>
      </c>
      <c r="T120" s="118">
        <f ca="1">특급</f>
        <v>373353</v>
      </c>
      <c r="U120" s="118">
        <f t="shared" ca="1" si="28"/>
        <v>149341</v>
      </c>
      <c r="V120" s="118"/>
      <c r="W120" s="118"/>
      <c r="X120" s="118"/>
      <c r="Y120" s="118"/>
      <c r="Z120" s="115"/>
    </row>
    <row r="121" spans="11:26" ht="18" customHeight="1">
      <c r="K121" s="171" t="s">
        <v>14</v>
      </c>
      <c r="L121" s="171"/>
      <c r="M121" s="171"/>
      <c r="N121" s="145" t="s">
        <v>39</v>
      </c>
      <c r="O121" s="173">
        <v>5</v>
      </c>
      <c r="P121" s="234">
        <f ca="1">OFFSET($A$1,MATCH(Z118,$A:$A,0)-1,O121)</f>
        <v>0.6</v>
      </c>
      <c r="Q121" s="144" t="s">
        <v>29</v>
      </c>
      <c r="R121" s="118">
        <f t="shared" ca="1" si="27"/>
        <v>310884</v>
      </c>
      <c r="S121" s="118">
        <f t="shared" ca="1" si="27"/>
        <v>186530</v>
      </c>
      <c r="T121" s="118">
        <f ca="1">고급</f>
        <v>310884</v>
      </c>
      <c r="U121" s="118">
        <f t="shared" ca="1" si="28"/>
        <v>186530</v>
      </c>
      <c r="V121" s="118"/>
      <c r="W121" s="118"/>
      <c r="X121" s="118"/>
      <c r="Y121" s="118"/>
      <c r="Z121" s="115"/>
    </row>
    <row r="122" spans="11:26" ht="18" customHeight="1">
      <c r="K122" s="171" t="s">
        <v>14</v>
      </c>
      <c r="L122" s="171"/>
      <c r="M122" s="171"/>
      <c r="N122" s="145" t="s">
        <v>40</v>
      </c>
      <c r="O122" s="173">
        <v>6</v>
      </c>
      <c r="P122" s="234">
        <f ca="1">OFFSET($A$1,MATCH(Z118,$A:$A,0)-1,O122)</f>
        <v>0.75</v>
      </c>
      <c r="Q122" s="144" t="s">
        <v>29</v>
      </c>
      <c r="R122" s="118">
        <f t="shared" ca="1" si="27"/>
        <v>295138</v>
      </c>
      <c r="S122" s="118">
        <f t="shared" ca="1" si="27"/>
        <v>221353</v>
      </c>
      <c r="T122" s="118">
        <f ca="1">중급</f>
        <v>295138</v>
      </c>
      <c r="U122" s="118">
        <f t="shared" ca="1" si="28"/>
        <v>221353</v>
      </c>
      <c r="V122" s="118"/>
      <c r="W122" s="118"/>
      <c r="X122" s="118"/>
      <c r="Y122" s="118"/>
      <c r="Z122" s="115"/>
    </row>
    <row r="123" spans="11:26" ht="18" customHeight="1">
      <c r="K123" s="171" t="s">
        <v>14</v>
      </c>
      <c r="L123" s="171"/>
      <c r="M123" s="171"/>
      <c r="N123" s="145" t="s">
        <v>41</v>
      </c>
      <c r="O123" s="173">
        <v>7</v>
      </c>
      <c r="P123" s="234">
        <f ca="1">OFFSET($A$1,MATCH(Z118,$A:$A,0)-1,O123)</f>
        <v>1.2</v>
      </c>
      <c r="Q123" s="144" t="s">
        <v>29</v>
      </c>
      <c r="R123" s="118">
        <f t="shared" ca="1" si="27"/>
        <v>235459</v>
      </c>
      <c r="S123" s="118">
        <f t="shared" ca="1" si="27"/>
        <v>282550</v>
      </c>
      <c r="T123" s="118">
        <f ca="1">초급</f>
        <v>235459</v>
      </c>
      <c r="U123" s="118">
        <f t="shared" ca="1" si="28"/>
        <v>282550</v>
      </c>
      <c r="V123" s="118"/>
      <c r="W123" s="118"/>
      <c r="X123" s="118"/>
      <c r="Y123" s="118"/>
      <c r="Z123" s="115"/>
    </row>
    <row r="124" spans="11:26" ht="18" customHeight="1">
      <c r="K124" s="171" t="s">
        <v>14</v>
      </c>
      <c r="L124" s="171"/>
      <c r="M124" s="171"/>
      <c r="N124" s="319" t="s">
        <v>42</v>
      </c>
      <c r="O124" s="174">
        <v>8</v>
      </c>
      <c r="P124" s="235">
        <f ca="1">OFFSET($A$1,MATCH(Z118,$A:$A,0)-1,O124)</f>
        <v>1.2</v>
      </c>
      <c r="Q124" s="322" t="s">
        <v>29</v>
      </c>
      <c r="R124" s="323">
        <f t="shared" ca="1" si="27"/>
        <v>250087</v>
      </c>
      <c r="S124" s="323">
        <f t="shared" ca="1" si="27"/>
        <v>300104</v>
      </c>
      <c r="T124" s="323">
        <f ca="1">보조원</f>
        <v>250087</v>
      </c>
      <c r="U124" s="323">
        <f t="shared" ca="1" si="28"/>
        <v>300104</v>
      </c>
      <c r="V124" s="323"/>
      <c r="W124" s="323"/>
      <c r="X124" s="323"/>
      <c r="Y124" s="323"/>
      <c r="Z124" s="324"/>
    </row>
    <row r="125" spans="11:26" ht="18" customHeight="1">
      <c r="K125" s="171" t="s">
        <v>14</v>
      </c>
      <c r="L125" s="171"/>
      <c r="M125" s="171"/>
      <c r="N125" s="139" t="s">
        <v>17</v>
      </c>
      <c r="O125" s="68"/>
      <c r="P125" s="69"/>
      <c r="Q125" s="70"/>
      <c r="R125" s="71"/>
      <c r="S125" s="71">
        <f ca="1">SUBTOTAL(9,S119:S124)</f>
        <v>1256682</v>
      </c>
      <c r="T125" s="71"/>
      <c r="U125" s="71">
        <f ca="1">SUBTOTAL(9,U119:U124)</f>
        <v>1256682</v>
      </c>
      <c r="V125" s="71"/>
      <c r="W125" s="71"/>
      <c r="X125" s="71"/>
      <c r="Y125" s="71"/>
      <c r="Z125" s="68"/>
    </row>
    <row r="126" spans="11:26" ht="18" customHeight="1">
      <c r="K126" s="171" t="s">
        <v>14</v>
      </c>
      <c r="L126" s="171"/>
      <c r="M126" s="171"/>
      <c r="N126" s="318" t="str">
        <f ca="1">"제 " &amp; Z126 &amp; " 호표  "&amp; OFFSET($A$1,MATCH(Z126,$A:$A,0)-1,1)</f>
        <v>제 10 호표  4-3. 관련계획 및 재해관련 지구지정 현황 조사</v>
      </c>
      <c r="O126" s="221"/>
      <c r="P126" s="148"/>
      <c r="Q126" s="148"/>
      <c r="R126" s="149"/>
      <c r="S126" s="149"/>
      <c r="T126" s="149"/>
      <c r="U126" s="149"/>
      <c r="V126" s="149"/>
      <c r="W126" s="149"/>
      <c r="X126" s="149"/>
      <c r="Y126" s="149"/>
      <c r="Z126" s="325">
        <f>Z118+1</f>
        <v>10</v>
      </c>
    </row>
    <row r="127" spans="11:26" ht="18" customHeight="1">
      <c r="K127" s="171" t="s">
        <v>14</v>
      </c>
      <c r="L127" s="171"/>
      <c r="M127" s="171"/>
      <c r="N127" s="140" t="s">
        <v>43</v>
      </c>
      <c r="O127" s="172">
        <v>3</v>
      </c>
      <c r="P127" s="219">
        <f ca="1">OFFSET($A$1,MATCH(Z126,$A:$A,0)-1,O127)</f>
        <v>0.2</v>
      </c>
      <c r="Q127" s="141" t="s">
        <v>29</v>
      </c>
      <c r="R127" s="142">
        <f t="shared" ref="R127:S132" ca="1" si="29">T127</f>
        <v>467217</v>
      </c>
      <c r="S127" s="142">
        <f t="shared" ca="1" si="29"/>
        <v>93443</v>
      </c>
      <c r="T127" s="142">
        <f ca="1">기술사</f>
        <v>467217</v>
      </c>
      <c r="U127" s="142">
        <f t="shared" ref="U127:U132" ca="1" si="30">ROUNDDOWN(P127*R127,0)</f>
        <v>93443</v>
      </c>
      <c r="V127" s="142"/>
      <c r="W127" s="142"/>
      <c r="X127" s="142"/>
      <c r="Y127" s="142"/>
      <c r="Z127" s="114"/>
    </row>
    <row r="128" spans="11:26" ht="18" customHeight="1">
      <c r="K128" s="171" t="s">
        <v>14</v>
      </c>
      <c r="L128" s="171"/>
      <c r="M128" s="171"/>
      <c r="N128" s="143" t="s">
        <v>32</v>
      </c>
      <c r="O128" s="173">
        <v>4</v>
      </c>
      <c r="P128" s="234">
        <f ca="1">OFFSET($A$1,MATCH(Z126,$A:$A,0)-1,O128)</f>
        <v>0.3</v>
      </c>
      <c r="Q128" s="144" t="s">
        <v>29</v>
      </c>
      <c r="R128" s="118">
        <f t="shared" ca="1" si="29"/>
        <v>373353</v>
      </c>
      <c r="S128" s="118">
        <f t="shared" ca="1" si="29"/>
        <v>112005</v>
      </c>
      <c r="T128" s="118">
        <f ca="1">특급</f>
        <v>373353</v>
      </c>
      <c r="U128" s="118">
        <f t="shared" ca="1" si="30"/>
        <v>112005</v>
      </c>
      <c r="V128" s="118"/>
      <c r="W128" s="118"/>
      <c r="X128" s="118"/>
      <c r="Y128" s="118"/>
      <c r="Z128" s="115"/>
    </row>
    <row r="129" spans="11:26" ht="18" customHeight="1">
      <c r="K129" s="171" t="s">
        <v>14</v>
      </c>
      <c r="L129" s="171"/>
      <c r="M129" s="171"/>
      <c r="N129" s="145" t="s">
        <v>39</v>
      </c>
      <c r="O129" s="173">
        <v>5</v>
      </c>
      <c r="P129" s="234">
        <f ca="1">OFFSET($A$1,MATCH(Z126,$A:$A,0)-1,O129)</f>
        <v>0.45</v>
      </c>
      <c r="Q129" s="144" t="s">
        <v>29</v>
      </c>
      <c r="R129" s="118">
        <f t="shared" ca="1" si="29"/>
        <v>310884</v>
      </c>
      <c r="S129" s="118">
        <f t="shared" ca="1" si="29"/>
        <v>139897</v>
      </c>
      <c r="T129" s="118">
        <f ca="1">고급</f>
        <v>310884</v>
      </c>
      <c r="U129" s="118">
        <f t="shared" ca="1" si="30"/>
        <v>139897</v>
      </c>
      <c r="V129" s="118"/>
      <c r="W129" s="118"/>
      <c r="X129" s="118"/>
      <c r="Y129" s="118"/>
      <c r="Z129" s="115"/>
    </row>
    <row r="130" spans="11:26" ht="18" customHeight="1">
      <c r="K130" s="171" t="s">
        <v>14</v>
      </c>
      <c r="L130" s="171"/>
      <c r="M130" s="171"/>
      <c r="N130" s="145" t="s">
        <v>40</v>
      </c>
      <c r="O130" s="173">
        <v>6</v>
      </c>
      <c r="P130" s="234">
        <f ca="1">OFFSET($A$1,MATCH(Z126,$A:$A,0)-1,O130)</f>
        <v>0.7</v>
      </c>
      <c r="Q130" s="144" t="s">
        <v>29</v>
      </c>
      <c r="R130" s="118">
        <f t="shared" ca="1" si="29"/>
        <v>295138</v>
      </c>
      <c r="S130" s="118">
        <f t="shared" ca="1" si="29"/>
        <v>206596</v>
      </c>
      <c r="T130" s="118">
        <f ca="1">중급</f>
        <v>295138</v>
      </c>
      <c r="U130" s="118">
        <f t="shared" ca="1" si="30"/>
        <v>206596</v>
      </c>
      <c r="V130" s="118"/>
      <c r="W130" s="118"/>
      <c r="X130" s="118"/>
      <c r="Y130" s="118"/>
      <c r="Z130" s="115"/>
    </row>
    <row r="131" spans="11:26" ht="18" customHeight="1">
      <c r="K131" s="171" t="s">
        <v>14</v>
      </c>
      <c r="L131" s="171"/>
      <c r="M131" s="171"/>
      <c r="N131" s="145" t="s">
        <v>41</v>
      </c>
      <c r="O131" s="173">
        <v>7</v>
      </c>
      <c r="P131" s="234">
        <f ca="1">OFFSET($A$1,MATCH(Z126,$A:$A,0)-1,O131)</f>
        <v>0.4</v>
      </c>
      <c r="Q131" s="144" t="s">
        <v>29</v>
      </c>
      <c r="R131" s="118">
        <f t="shared" ca="1" si="29"/>
        <v>235459</v>
      </c>
      <c r="S131" s="118">
        <f t="shared" ca="1" si="29"/>
        <v>94183</v>
      </c>
      <c r="T131" s="118">
        <f ca="1">초급</f>
        <v>235459</v>
      </c>
      <c r="U131" s="118">
        <f t="shared" ca="1" si="30"/>
        <v>94183</v>
      </c>
      <c r="V131" s="118"/>
      <c r="W131" s="118"/>
      <c r="X131" s="118"/>
      <c r="Y131" s="118"/>
      <c r="Z131" s="115"/>
    </row>
    <row r="132" spans="11:26" ht="18" customHeight="1">
      <c r="K132" s="171" t="s">
        <v>14</v>
      </c>
      <c r="L132" s="171"/>
      <c r="M132" s="171"/>
      <c r="N132" s="319" t="s">
        <v>42</v>
      </c>
      <c r="O132" s="174">
        <v>8</v>
      </c>
      <c r="P132" s="235">
        <f ca="1">OFFSET($A$1,MATCH(Z126,$A:$A,0)-1,O132)</f>
        <v>0.75</v>
      </c>
      <c r="Q132" s="322" t="s">
        <v>29</v>
      </c>
      <c r="R132" s="323">
        <f t="shared" ca="1" si="29"/>
        <v>250087</v>
      </c>
      <c r="S132" s="323">
        <f t="shared" ca="1" si="29"/>
        <v>187565</v>
      </c>
      <c r="T132" s="323">
        <f ca="1">보조원</f>
        <v>250087</v>
      </c>
      <c r="U132" s="323">
        <f t="shared" ca="1" si="30"/>
        <v>187565</v>
      </c>
      <c r="V132" s="323"/>
      <c r="W132" s="323"/>
      <c r="X132" s="323"/>
      <c r="Y132" s="323"/>
      <c r="Z132" s="324"/>
    </row>
    <row r="133" spans="11:26" ht="18" customHeight="1">
      <c r="K133" s="171" t="s">
        <v>14</v>
      </c>
      <c r="L133" s="171"/>
      <c r="M133" s="171"/>
      <c r="N133" s="139" t="s">
        <v>17</v>
      </c>
      <c r="O133" s="68"/>
      <c r="P133" s="69"/>
      <c r="Q133" s="70"/>
      <c r="R133" s="71"/>
      <c r="S133" s="71">
        <f ca="1">SUBTOTAL(9,S127:S132)</f>
        <v>833689</v>
      </c>
      <c r="T133" s="71"/>
      <c r="U133" s="71">
        <f ca="1">SUBTOTAL(9,U127:U132)</f>
        <v>833689</v>
      </c>
      <c r="V133" s="71"/>
      <c r="W133" s="71"/>
      <c r="X133" s="71"/>
      <c r="Y133" s="71"/>
      <c r="Z133" s="68"/>
    </row>
    <row r="134" spans="11:26" ht="18" customHeight="1">
      <c r="K134" s="171" t="s">
        <v>14</v>
      </c>
      <c r="L134" s="171"/>
      <c r="M134" s="171"/>
      <c r="N134" s="318" t="str">
        <f ca="1">"제 " &amp; Z134 &amp; " 호표  "&amp; OFFSET($A$1,MATCH(Z134,$A:$A,0)-1,1)</f>
        <v>제 11 호표  4-4. 방재시설 현황 조사</v>
      </c>
      <c r="O134" s="221"/>
      <c r="P134" s="148"/>
      <c r="Q134" s="148"/>
      <c r="R134" s="149"/>
      <c r="S134" s="149"/>
      <c r="T134" s="149"/>
      <c r="U134" s="149"/>
      <c r="V134" s="149"/>
      <c r="W134" s="149"/>
      <c r="X134" s="149"/>
      <c r="Y134" s="149"/>
      <c r="Z134" s="325">
        <f>Z126+1</f>
        <v>11</v>
      </c>
    </row>
    <row r="135" spans="11:26" ht="18" customHeight="1">
      <c r="K135" s="171" t="s">
        <v>14</v>
      </c>
      <c r="L135" s="171"/>
      <c r="M135" s="171"/>
      <c r="N135" s="140" t="s">
        <v>43</v>
      </c>
      <c r="O135" s="172">
        <v>3</v>
      </c>
      <c r="P135" s="219">
        <f ca="1">OFFSET($A$1,MATCH(Z134,$A:$A,0)-1,O135)</f>
        <v>0.15</v>
      </c>
      <c r="Q135" s="141" t="s">
        <v>29</v>
      </c>
      <c r="R135" s="142">
        <f t="shared" ref="R135:S140" ca="1" si="31">T135</f>
        <v>467217</v>
      </c>
      <c r="S135" s="142">
        <f t="shared" ca="1" si="31"/>
        <v>70082</v>
      </c>
      <c r="T135" s="142">
        <f ca="1">기술사</f>
        <v>467217</v>
      </c>
      <c r="U135" s="142">
        <f t="shared" ref="U135:U140" ca="1" si="32">ROUNDDOWN(P135*R135,0)</f>
        <v>70082</v>
      </c>
      <c r="V135" s="142"/>
      <c r="W135" s="142"/>
      <c r="X135" s="142"/>
      <c r="Y135" s="142"/>
      <c r="Z135" s="114"/>
    </row>
    <row r="136" spans="11:26" ht="18" customHeight="1">
      <c r="K136" s="171" t="s">
        <v>14</v>
      </c>
      <c r="L136" s="171"/>
      <c r="M136" s="171"/>
      <c r="N136" s="143" t="s">
        <v>32</v>
      </c>
      <c r="O136" s="173">
        <v>4</v>
      </c>
      <c r="P136" s="234">
        <f ca="1">OFFSET($A$1,MATCH(Z134,$A:$A,0)-1,O136)</f>
        <v>0.2</v>
      </c>
      <c r="Q136" s="144" t="s">
        <v>29</v>
      </c>
      <c r="R136" s="118">
        <f t="shared" ca="1" si="31"/>
        <v>373353</v>
      </c>
      <c r="S136" s="118">
        <f t="shared" ca="1" si="31"/>
        <v>74670</v>
      </c>
      <c r="T136" s="118">
        <f ca="1">특급</f>
        <v>373353</v>
      </c>
      <c r="U136" s="118">
        <f t="shared" ca="1" si="32"/>
        <v>74670</v>
      </c>
      <c r="V136" s="118"/>
      <c r="W136" s="118"/>
      <c r="X136" s="118"/>
      <c r="Y136" s="118"/>
      <c r="Z136" s="115"/>
    </row>
    <row r="137" spans="11:26" ht="18" customHeight="1">
      <c r="K137" s="171" t="s">
        <v>14</v>
      </c>
      <c r="L137" s="171"/>
      <c r="M137" s="171"/>
      <c r="N137" s="145" t="s">
        <v>39</v>
      </c>
      <c r="O137" s="173">
        <v>5</v>
      </c>
      <c r="P137" s="234">
        <f ca="1">OFFSET($A$1,MATCH(Z134,$A:$A,0)-1,O137)</f>
        <v>0.3</v>
      </c>
      <c r="Q137" s="144" t="s">
        <v>29</v>
      </c>
      <c r="R137" s="118">
        <f t="shared" ca="1" si="31"/>
        <v>310884</v>
      </c>
      <c r="S137" s="118">
        <f t="shared" ca="1" si="31"/>
        <v>93265</v>
      </c>
      <c r="T137" s="118">
        <f ca="1">고급</f>
        <v>310884</v>
      </c>
      <c r="U137" s="118">
        <f t="shared" ca="1" si="32"/>
        <v>93265</v>
      </c>
      <c r="V137" s="118"/>
      <c r="W137" s="118"/>
      <c r="X137" s="118"/>
      <c r="Y137" s="118"/>
      <c r="Z137" s="115"/>
    </row>
    <row r="138" spans="11:26" ht="18" customHeight="1">
      <c r="K138" s="171" t="s">
        <v>14</v>
      </c>
      <c r="L138" s="171"/>
      <c r="M138" s="171"/>
      <c r="N138" s="145" t="s">
        <v>40</v>
      </c>
      <c r="O138" s="173">
        <v>6</v>
      </c>
      <c r="P138" s="234">
        <f ca="1">OFFSET($A$1,MATCH(Z134,$A:$A,0)-1,O138)</f>
        <v>0.4</v>
      </c>
      <c r="Q138" s="144" t="s">
        <v>29</v>
      </c>
      <c r="R138" s="118">
        <f t="shared" ca="1" si="31"/>
        <v>295138</v>
      </c>
      <c r="S138" s="118">
        <f t="shared" ca="1" si="31"/>
        <v>118055</v>
      </c>
      <c r="T138" s="118">
        <f ca="1">중급</f>
        <v>295138</v>
      </c>
      <c r="U138" s="118">
        <f t="shared" ca="1" si="32"/>
        <v>118055</v>
      </c>
      <c r="V138" s="118"/>
      <c r="W138" s="118"/>
      <c r="X138" s="118"/>
      <c r="Y138" s="118"/>
      <c r="Z138" s="115"/>
    </row>
    <row r="139" spans="11:26" ht="18" customHeight="1">
      <c r="K139" s="171" t="s">
        <v>14</v>
      </c>
      <c r="L139" s="171"/>
      <c r="M139" s="171"/>
      <c r="N139" s="145" t="s">
        <v>41</v>
      </c>
      <c r="O139" s="173">
        <v>7</v>
      </c>
      <c r="P139" s="234">
        <f ca="1">OFFSET($A$1,MATCH(Z134,$A:$A,0)-1,O139)</f>
        <v>0.6</v>
      </c>
      <c r="Q139" s="144" t="s">
        <v>29</v>
      </c>
      <c r="R139" s="118">
        <f t="shared" ca="1" si="31"/>
        <v>235459</v>
      </c>
      <c r="S139" s="118">
        <f t="shared" ca="1" si="31"/>
        <v>141275</v>
      </c>
      <c r="T139" s="118">
        <f ca="1">초급</f>
        <v>235459</v>
      </c>
      <c r="U139" s="118">
        <f t="shared" ca="1" si="32"/>
        <v>141275</v>
      </c>
      <c r="V139" s="118"/>
      <c r="W139" s="118"/>
      <c r="X139" s="118"/>
      <c r="Y139" s="118"/>
      <c r="Z139" s="115"/>
    </row>
    <row r="140" spans="11:26" ht="18" customHeight="1">
      <c r="K140" s="171" t="s">
        <v>14</v>
      </c>
      <c r="L140" s="171"/>
      <c r="M140" s="171"/>
      <c r="N140" s="319" t="s">
        <v>42</v>
      </c>
      <c r="O140" s="174">
        <v>8</v>
      </c>
      <c r="P140" s="235">
        <f ca="1">OFFSET($A$1,MATCH(Z134,$A:$A,0)-1,O140)</f>
        <v>0.55000000000000004</v>
      </c>
      <c r="Q140" s="322" t="s">
        <v>29</v>
      </c>
      <c r="R140" s="323">
        <f t="shared" ca="1" si="31"/>
        <v>250087</v>
      </c>
      <c r="S140" s="323">
        <f t="shared" ca="1" si="31"/>
        <v>137547</v>
      </c>
      <c r="T140" s="323">
        <f ca="1">보조원</f>
        <v>250087</v>
      </c>
      <c r="U140" s="323">
        <f t="shared" ca="1" si="32"/>
        <v>137547</v>
      </c>
      <c r="V140" s="323"/>
      <c r="W140" s="323"/>
      <c r="X140" s="323"/>
      <c r="Y140" s="323"/>
      <c r="Z140" s="324"/>
    </row>
    <row r="141" spans="11:26" ht="18" customHeight="1">
      <c r="K141" s="171" t="s">
        <v>14</v>
      </c>
      <c r="L141" s="171"/>
      <c r="M141" s="171"/>
      <c r="N141" s="139" t="s">
        <v>17</v>
      </c>
      <c r="O141" s="68"/>
      <c r="P141" s="69"/>
      <c r="Q141" s="70"/>
      <c r="R141" s="71"/>
      <c r="S141" s="71">
        <f ca="1">SUBTOTAL(9,S135:S140)</f>
        <v>634894</v>
      </c>
      <c r="T141" s="71"/>
      <c r="U141" s="71">
        <f ca="1">SUBTOTAL(9,U135:U140)</f>
        <v>634894</v>
      </c>
      <c r="V141" s="71"/>
      <c r="W141" s="71"/>
      <c r="X141" s="71"/>
      <c r="Y141" s="71"/>
      <c r="Z141" s="68"/>
    </row>
    <row r="142" spans="11:26" ht="18" customHeight="1">
      <c r="K142" s="171" t="s">
        <v>14</v>
      </c>
      <c r="L142" s="171"/>
      <c r="M142" s="171"/>
      <c r="N142" s="318" t="str">
        <f ca="1">"제 " &amp; Z142 &amp; " 호표  "&amp; OFFSET($A$1,MATCH(Z142,$A:$A,0)-1,1)</f>
        <v>제 12 호표  4-5. 현장조사(필요시)</v>
      </c>
      <c r="O142" s="221"/>
      <c r="P142" s="148"/>
      <c r="Q142" s="148"/>
      <c r="R142" s="149"/>
      <c r="S142" s="149"/>
      <c r="T142" s="149"/>
      <c r="U142" s="149"/>
      <c r="V142" s="149"/>
      <c r="W142" s="149"/>
      <c r="X142" s="149"/>
      <c r="Y142" s="149"/>
      <c r="Z142" s="325">
        <f>Z134+1</f>
        <v>12</v>
      </c>
    </row>
    <row r="143" spans="11:26" ht="18" customHeight="1">
      <c r="K143" s="171" t="s">
        <v>14</v>
      </c>
      <c r="L143" s="171"/>
      <c r="M143" s="171"/>
      <c r="N143" s="140" t="s">
        <v>43</v>
      </c>
      <c r="O143" s="172">
        <v>3</v>
      </c>
      <c r="P143" s="219">
        <f ca="1">OFFSET($A$1,MATCH(Z142,$A:$A,0)-1,O143)</f>
        <v>0</v>
      </c>
      <c r="Q143" s="141" t="s">
        <v>29</v>
      </c>
      <c r="R143" s="142">
        <f t="shared" ref="R143:S148" ca="1" si="33">T143</f>
        <v>467217</v>
      </c>
      <c r="S143" s="142">
        <f t="shared" ca="1" si="33"/>
        <v>0</v>
      </c>
      <c r="T143" s="142">
        <f ca="1">기술사</f>
        <v>467217</v>
      </c>
      <c r="U143" s="142">
        <f t="shared" ref="U143:U148" ca="1" si="34">ROUNDDOWN(P143*R143,0)</f>
        <v>0</v>
      </c>
      <c r="V143" s="142"/>
      <c r="W143" s="142"/>
      <c r="X143" s="142"/>
      <c r="Y143" s="142"/>
      <c r="Z143" s="114"/>
    </row>
    <row r="144" spans="11:26" ht="18" customHeight="1">
      <c r="K144" s="171" t="s">
        <v>14</v>
      </c>
      <c r="L144" s="171"/>
      <c r="M144" s="171"/>
      <c r="N144" s="143" t="s">
        <v>32</v>
      </c>
      <c r="O144" s="173">
        <v>4</v>
      </c>
      <c r="P144" s="234">
        <f ca="1">OFFSET($A$1,MATCH(Z142,$A:$A,0)-1,O144)</f>
        <v>0</v>
      </c>
      <c r="Q144" s="144" t="s">
        <v>29</v>
      </c>
      <c r="R144" s="118">
        <f t="shared" ca="1" si="33"/>
        <v>373353</v>
      </c>
      <c r="S144" s="118">
        <f t="shared" ca="1" si="33"/>
        <v>0</v>
      </c>
      <c r="T144" s="118">
        <f ca="1">특급</f>
        <v>373353</v>
      </c>
      <c r="U144" s="118">
        <f t="shared" ca="1" si="34"/>
        <v>0</v>
      </c>
      <c r="V144" s="118"/>
      <c r="W144" s="118"/>
      <c r="X144" s="118"/>
      <c r="Y144" s="118"/>
      <c r="Z144" s="115"/>
    </row>
    <row r="145" spans="11:29" ht="18" customHeight="1">
      <c r="K145" s="171" t="s">
        <v>14</v>
      </c>
      <c r="L145" s="171"/>
      <c r="M145" s="171"/>
      <c r="N145" s="145" t="s">
        <v>39</v>
      </c>
      <c r="O145" s="173">
        <v>5</v>
      </c>
      <c r="P145" s="234">
        <f ca="1">OFFSET($A$1,MATCH(Z142,$A:$A,0)-1,O145)</f>
        <v>0</v>
      </c>
      <c r="Q145" s="144" t="s">
        <v>29</v>
      </c>
      <c r="R145" s="118">
        <f t="shared" ca="1" si="33"/>
        <v>310884</v>
      </c>
      <c r="S145" s="118">
        <f t="shared" ca="1" si="33"/>
        <v>0</v>
      </c>
      <c r="T145" s="118">
        <f ca="1">고급</f>
        <v>310884</v>
      </c>
      <c r="U145" s="118">
        <f t="shared" ca="1" si="34"/>
        <v>0</v>
      </c>
      <c r="V145" s="118"/>
      <c r="W145" s="118"/>
      <c r="X145" s="118"/>
      <c r="Y145" s="118"/>
      <c r="Z145" s="115"/>
    </row>
    <row r="146" spans="11:29" ht="18" customHeight="1">
      <c r="K146" s="171" t="s">
        <v>14</v>
      </c>
      <c r="L146" s="171"/>
      <c r="M146" s="171"/>
      <c r="N146" s="145" t="s">
        <v>40</v>
      </c>
      <c r="O146" s="173">
        <v>6</v>
      </c>
      <c r="P146" s="234">
        <f ca="1">OFFSET($A$1,MATCH(Z142,$A:$A,0)-1,O146)</f>
        <v>0</v>
      </c>
      <c r="Q146" s="144" t="s">
        <v>29</v>
      </c>
      <c r="R146" s="118">
        <f t="shared" ca="1" si="33"/>
        <v>295138</v>
      </c>
      <c r="S146" s="118">
        <f t="shared" ca="1" si="33"/>
        <v>0</v>
      </c>
      <c r="T146" s="118">
        <f ca="1">중급</f>
        <v>295138</v>
      </c>
      <c r="U146" s="118">
        <f t="shared" ca="1" si="34"/>
        <v>0</v>
      </c>
      <c r="V146" s="118"/>
      <c r="W146" s="118"/>
      <c r="X146" s="118"/>
      <c r="Y146" s="118"/>
      <c r="Z146" s="115"/>
    </row>
    <row r="147" spans="11:29" ht="18" customHeight="1">
      <c r="K147" s="171" t="s">
        <v>14</v>
      </c>
      <c r="L147" s="171"/>
      <c r="M147" s="171"/>
      <c r="N147" s="145" t="s">
        <v>41</v>
      </c>
      <c r="O147" s="173">
        <v>7</v>
      </c>
      <c r="P147" s="234">
        <f ca="1">OFFSET($A$1,MATCH(Z142,$A:$A,0)-1,O147)</f>
        <v>0</v>
      </c>
      <c r="Q147" s="144" t="s">
        <v>29</v>
      </c>
      <c r="R147" s="118">
        <f t="shared" ca="1" si="33"/>
        <v>235459</v>
      </c>
      <c r="S147" s="118">
        <f t="shared" ca="1" si="33"/>
        <v>0</v>
      </c>
      <c r="T147" s="118">
        <f ca="1">초급</f>
        <v>235459</v>
      </c>
      <c r="U147" s="118">
        <f t="shared" ca="1" si="34"/>
        <v>0</v>
      </c>
      <c r="V147" s="118"/>
      <c r="W147" s="118"/>
      <c r="X147" s="118"/>
      <c r="Y147" s="118"/>
      <c r="Z147" s="115"/>
    </row>
    <row r="148" spans="11:29" ht="18" customHeight="1">
      <c r="K148" s="171" t="s">
        <v>14</v>
      </c>
      <c r="L148" s="171"/>
      <c r="M148" s="171"/>
      <c r="N148" s="319" t="s">
        <v>42</v>
      </c>
      <c r="O148" s="174">
        <v>8</v>
      </c>
      <c r="P148" s="235">
        <f ca="1">OFFSET($A$1,MATCH(Z142,$A:$A,0)-1,O148)</f>
        <v>0</v>
      </c>
      <c r="Q148" s="322" t="s">
        <v>29</v>
      </c>
      <c r="R148" s="323">
        <f t="shared" ca="1" si="33"/>
        <v>250087</v>
      </c>
      <c r="S148" s="323">
        <f t="shared" ca="1" si="33"/>
        <v>0</v>
      </c>
      <c r="T148" s="323">
        <f ca="1">보조원</f>
        <v>250087</v>
      </c>
      <c r="U148" s="323">
        <f t="shared" ca="1" si="34"/>
        <v>0</v>
      </c>
      <c r="V148" s="323"/>
      <c r="W148" s="323"/>
      <c r="X148" s="323"/>
      <c r="Y148" s="323"/>
      <c r="Z148" s="324"/>
      <c r="AA148" s="171"/>
    </row>
    <row r="149" spans="11:29" ht="18" customHeight="1">
      <c r="K149" s="171" t="s">
        <v>14</v>
      </c>
      <c r="L149" s="171"/>
      <c r="M149" s="171"/>
      <c r="N149" s="139" t="s">
        <v>17</v>
      </c>
      <c r="O149" s="68"/>
      <c r="P149" s="69"/>
      <c r="Q149" s="70"/>
      <c r="R149" s="71"/>
      <c r="S149" s="71">
        <f ca="1">SUBTOTAL(9,S143:S148)</f>
        <v>0</v>
      </c>
      <c r="T149" s="71"/>
      <c r="U149" s="71">
        <f ca="1">SUBTOTAL(9,U143:U148)</f>
        <v>0</v>
      </c>
      <c r="V149" s="71"/>
      <c r="W149" s="71"/>
      <c r="X149" s="71"/>
      <c r="Y149" s="71"/>
      <c r="Z149" s="68"/>
      <c r="AA149" s="171"/>
    </row>
    <row r="150" spans="11:29" ht="18" customHeight="1">
      <c r="K150" s="171" t="s">
        <v>14</v>
      </c>
      <c r="L150" s="171"/>
      <c r="M150" s="171"/>
      <c r="N150" s="318" t="str">
        <f ca="1">"제 " &amp; Z150 &amp; " 호표  "&amp; OFFSET($A$1,MATCH(Z150,$A:$A,0)-1,1)</f>
        <v>제 13 호표  4-6. 조사결과 종합</v>
      </c>
      <c r="O150" s="221"/>
      <c r="P150" s="148"/>
      <c r="Q150" s="148"/>
      <c r="R150" s="149"/>
      <c r="S150" s="149"/>
      <c r="T150" s="149"/>
      <c r="U150" s="149"/>
      <c r="V150" s="149"/>
      <c r="W150" s="149"/>
      <c r="X150" s="149"/>
      <c r="Y150" s="149"/>
      <c r="Z150" s="325">
        <f>Z142+1</f>
        <v>13</v>
      </c>
      <c r="AA150" s="171"/>
      <c r="AB150" s="171"/>
      <c r="AC150" s="171"/>
    </row>
    <row r="151" spans="11:29" ht="18" customHeight="1">
      <c r="K151" s="171" t="s">
        <v>14</v>
      </c>
      <c r="L151" s="171"/>
      <c r="M151" s="171"/>
      <c r="N151" s="140" t="s">
        <v>43</v>
      </c>
      <c r="O151" s="172">
        <v>3</v>
      </c>
      <c r="P151" s="219">
        <f ca="1">OFFSET($A$1,MATCH(Z150,$A:$A,0)-1,O151)</f>
        <v>0.4</v>
      </c>
      <c r="Q151" s="141" t="s">
        <v>29</v>
      </c>
      <c r="R151" s="142">
        <f t="shared" ref="R151:S156" ca="1" si="35">T151</f>
        <v>467217</v>
      </c>
      <c r="S151" s="142">
        <f t="shared" ca="1" si="35"/>
        <v>186886</v>
      </c>
      <c r="T151" s="142">
        <f ca="1">기술사</f>
        <v>467217</v>
      </c>
      <c r="U151" s="142">
        <f t="shared" ref="U151:U156" ca="1" si="36">ROUNDDOWN(P151*R151,0)</f>
        <v>186886</v>
      </c>
      <c r="V151" s="142"/>
      <c r="W151" s="142"/>
      <c r="X151" s="142"/>
      <c r="Y151" s="142"/>
      <c r="Z151" s="114"/>
      <c r="AA151" s="171"/>
      <c r="AB151" s="171"/>
      <c r="AC151" s="171"/>
    </row>
    <row r="152" spans="11:29" ht="18" customHeight="1">
      <c r="K152" s="171" t="s">
        <v>14</v>
      </c>
      <c r="L152" s="171"/>
      <c r="M152" s="171"/>
      <c r="N152" s="143" t="s">
        <v>32</v>
      </c>
      <c r="O152" s="173">
        <v>4</v>
      </c>
      <c r="P152" s="234">
        <f ca="1">OFFSET($A$1,MATCH(Z150,$A:$A,0)-1,O152)</f>
        <v>0.5</v>
      </c>
      <c r="Q152" s="144" t="s">
        <v>29</v>
      </c>
      <c r="R152" s="118">
        <f t="shared" ca="1" si="35"/>
        <v>373353</v>
      </c>
      <c r="S152" s="118">
        <f t="shared" ca="1" si="35"/>
        <v>186676</v>
      </c>
      <c r="T152" s="118">
        <f ca="1">특급</f>
        <v>373353</v>
      </c>
      <c r="U152" s="118">
        <f t="shared" ca="1" si="36"/>
        <v>186676</v>
      </c>
      <c r="V152" s="118"/>
      <c r="W152" s="118"/>
      <c r="X152" s="118"/>
      <c r="Y152" s="118"/>
      <c r="Z152" s="115"/>
      <c r="AA152" s="171"/>
      <c r="AB152" s="171"/>
      <c r="AC152" s="171"/>
    </row>
    <row r="153" spans="11:29" ht="18" customHeight="1">
      <c r="K153" s="171" t="s">
        <v>14</v>
      </c>
      <c r="L153" s="171"/>
      <c r="M153" s="171"/>
      <c r="N153" s="145" t="s">
        <v>39</v>
      </c>
      <c r="O153" s="173">
        <v>5</v>
      </c>
      <c r="P153" s="234">
        <f ca="1">OFFSET($A$1,MATCH(Z150,$A:$A,0)-1,O153)</f>
        <v>1</v>
      </c>
      <c r="Q153" s="144" t="s">
        <v>29</v>
      </c>
      <c r="R153" s="118">
        <f t="shared" ca="1" si="35"/>
        <v>310884</v>
      </c>
      <c r="S153" s="118">
        <f t="shared" ca="1" si="35"/>
        <v>310884</v>
      </c>
      <c r="T153" s="118">
        <f ca="1">고급</f>
        <v>310884</v>
      </c>
      <c r="U153" s="118">
        <f t="shared" ca="1" si="36"/>
        <v>310884</v>
      </c>
      <c r="V153" s="118"/>
      <c r="W153" s="118"/>
      <c r="X153" s="118"/>
      <c r="Y153" s="118"/>
      <c r="Z153" s="115"/>
      <c r="AA153" s="171"/>
      <c r="AB153" s="171"/>
      <c r="AC153" s="171"/>
    </row>
    <row r="154" spans="11:29" ht="18" customHeight="1">
      <c r="K154" s="171" t="s">
        <v>14</v>
      </c>
      <c r="L154" s="171"/>
      <c r="M154" s="171"/>
      <c r="N154" s="145" t="s">
        <v>40</v>
      </c>
      <c r="O154" s="173">
        <v>6</v>
      </c>
      <c r="P154" s="234">
        <f ca="1">OFFSET($A$1,MATCH(Z150,$A:$A,0)-1,O154)</f>
        <v>1</v>
      </c>
      <c r="Q154" s="144" t="s">
        <v>29</v>
      </c>
      <c r="R154" s="118">
        <f t="shared" ca="1" si="35"/>
        <v>295138</v>
      </c>
      <c r="S154" s="118">
        <f t="shared" ca="1" si="35"/>
        <v>295138</v>
      </c>
      <c r="T154" s="118">
        <f ca="1">중급</f>
        <v>295138</v>
      </c>
      <c r="U154" s="118">
        <f t="shared" ca="1" si="36"/>
        <v>295138</v>
      </c>
      <c r="V154" s="118"/>
      <c r="W154" s="118"/>
      <c r="X154" s="118"/>
      <c r="Y154" s="118"/>
      <c r="Z154" s="115"/>
      <c r="AA154" s="171"/>
      <c r="AB154" s="171"/>
      <c r="AC154" s="171"/>
    </row>
    <row r="155" spans="11:29" ht="18" customHeight="1">
      <c r="K155" s="171" t="s">
        <v>14</v>
      </c>
      <c r="L155" s="171"/>
      <c r="M155" s="171"/>
      <c r="N155" s="145" t="s">
        <v>41</v>
      </c>
      <c r="O155" s="173">
        <v>7</v>
      </c>
      <c r="P155" s="234">
        <f ca="1">OFFSET($A$1,MATCH(Z150,$A:$A,0)-1,O155)</f>
        <v>1.2</v>
      </c>
      <c r="Q155" s="144" t="s">
        <v>29</v>
      </c>
      <c r="R155" s="118">
        <f t="shared" ca="1" si="35"/>
        <v>235459</v>
      </c>
      <c r="S155" s="118">
        <f t="shared" ca="1" si="35"/>
        <v>282550</v>
      </c>
      <c r="T155" s="118">
        <f ca="1">초급</f>
        <v>235459</v>
      </c>
      <c r="U155" s="118">
        <f t="shared" ca="1" si="36"/>
        <v>282550</v>
      </c>
      <c r="V155" s="118"/>
      <c r="W155" s="118"/>
      <c r="X155" s="118"/>
      <c r="Y155" s="118"/>
      <c r="Z155" s="115"/>
      <c r="AA155" s="171"/>
      <c r="AB155" s="171"/>
      <c r="AC155" s="171"/>
    </row>
    <row r="156" spans="11:29" ht="18" customHeight="1">
      <c r="K156" s="171" t="s">
        <v>14</v>
      </c>
      <c r="L156" s="171"/>
      <c r="M156" s="171"/>
      <c r="N156" s="319" t="s">
        <v>42</v>
      </c>
      <c r="O156" s="174">
        <v>8</v>
      </c>
      <c r="P156" s="235">
        <f ca="1">OFFSET($A$1,MATCH(Z150,$A:$A,0)-1,O156)</f>
        <v>1.1000000000000001</v>
      </c>
      <c r="Q156" s="322" t="s">
        <v>29</v>
      </c>
      <c r="R156" s="323">
        <f t="shared" ca="1" si="35"/>
        <v>250087</v>
      </c>
      <c r="S156" s="323">
        <f t="shared" ca="1" si="35"/>
        <v>275095</v>
      </c>
      <c r="T156" s="323">
        <f ca="1">보조원</f>
        <v>250087</v>
      </c>
      <c r="U156" s="323">
        <f t="shared" ca="1" si="36"/>
        <v>275095</v>
      </c>
      <c r="V156" s="323"/>
      <c r="W156" s="323"/>
      <c r="X156" s="323"/>
      <c r="Y156" s="323"/>
      <c r="Z156" s="324"/>
      <c r="AA156" s="171"/>
      <c r="AB156" s="171"/>
      <c r="AC156" s="171"/>
    </row>
    <row r="157" spans="11:29" ht="18" customHeight="1">
      <c r="K157" s="171" t="s">
        <v>14</v>
      </c>
      <c r="L157" s="171"/>
      <c r="M157" s="171"/>
      <c r="N157" s="139" t="s">
        <v>17</v>
      </c>
      <c r="O157" s="68"/>
      <c r="P157" s="69"/>
      <c r="Q157" s="70"/>
      <c r="R157" s="71"/>
      <c r="S157" s="71">
        <f ca="1">SUBTOTAL(9,S151:S156)</f>
        <v>1537229</v>
      </c>
      <c r="T157" s="71"/>
      <c r="U157" s="71">
        <f ca="1">SUBTOTAL(9,U151:U156)</f>
        <v>1537229</v>
      </c>
      <c r="V157" s="71"/>
      <c r="W157" s="71"/>
      <c r="X157" s="71"/>
      <c r="Y157" s="71"/>
      <c r="Z157" s="68"/>
      <c r="AA157" s="171"/>
      <c r="AB157" s="171"/>
      <c r="AC157" s="171"/>
    </row>
    <row r="158" spans="11:29" ht="18" customHeight="1">
      <c r="K158" s="171" t="s">
        <v>14</v>
      </c>
      <c r="L158" s="171"/>
      <c r="M158" s="171"/>
      <c r="N158" s="318" t="str">
        <f ca="1">"제 " &amp; Z158 &amp; " 호표  "&amp; OFFSET($A$1,MATCH(Z158,$A:$A,0)-1,1)</f>
        <v>제 14 호표   1) 하천재해 및 내수재해</v>
      </c>
      <c r="O158" s="221"/>
      <c r="P158" s="148"/>
      <c r="Q158" s="148"/>
      <c r="R158" s="149"/>
      <c r="S158" s="149"/>
      <c r="T158" s="149"/>
      <c r="U158" s="149"/>
      <c r="V158" s="149"/>
      <c r="W158" s="149"/>
      <c r="X158" s="149"/>
      <c r="Y158" s="149"/>
      <c r="Z158" s="325">
        <f>Z150+1</f>
        <v>14</v>
      </c>
      <c r="AA158" s="171"/>
      <c r="AB158" s="171"/>
      <c r="AC158" s="171"/>
    </row>
    <row r="159" spans="11:29" ht="18" customHeight="1">
      <c r="K159" s="171" t="s">
        <v>14</v>
      </c>
      <c r="L159" s="171"/>
      <c r="M159" s="171"/>
      <c r="N159" s="140" t="s">
        <v>43</v>
      </c>
      <c r="O159" s="172">
        <v>3</v>
      </c>
      <c r="P159" s="219">
        <f ca="1">OFFSET($A$1,MATCH(Z158,$A:$A,0)-1,O159)</f>
        <v>1.454</v>
      </c>
      <c r="Q159" s="141" t="s">
        <v>29</v>
      </c>
      <c r="R159" s="142">
        <f t="shared" ref="R159:S164" ca="1" si="37">T159</f>
        <v>467217</v>
      </c>
      <c r="S159" s="142">
        <f t="shared" ca="1" si="37"/>
        <v>679333</v>
      </c>
      <c r="T159" s="142">
        <f ca="1">기술사</f>
        <v>467217</v>
      </c>
      <c r="U159" s="142">
        <f t="shared" ref="U159:U164" ca="1" si="38">ROUNDDOWN(P159*R159,0)</f>
        <v>679333</v>
      </c>
      <c r="V159" s="142"/>
      <c r="W159" s="142"/>
      <c r="X159" s="142"/>
      <c r="Y159" s="142"/>
      <c r="Z159" s="114"/>
      <c r="AA159" s="171"/>
      <c r="AB159" s="171"/>
      <c r="AC159" s="171"/>
    </row>
    <row r="160" spans="11:29" ht="18" customHeight="1">
      <c r="K160" s="171" t="s">
        <v>14</v>
      </c>
      <c r="L160" s="171"/>
      <c r="M160" s="171"/>
      <c r="N160" s="143" t="s">
        <v>32</v>
      </c>
      <c r="O160" s="173">
        <v>4</v>
      </c>
      <c r="P160" s="234">
        <f ca="1">OFFSET($A$1,MATCH(Z158,$A:$A,0)-1,O160)</f>
        <v>2.06</v>
      </c>
      <c r="Q160" s="144" t="s">
        <v>29</v>
      </c>
      <c r="R160" s="118">
        <f t="shared" ca="1" si="37"/>
        <v>373353</v>
      </c>
      <c r="S160" s="118">
        <f t="shared" ca="1" si="37"/>
        <v>769107</v>
      </c>
      <c r="T160" s="118">
        <f ca="1">특급</f>
        <v>373353</v>
      </c>
      <c r="U160" s="118">
        <f t="shared" ca="1" si="38"/>
        <v>769107</v>
      </c>
      <c r="V160" s="118"/>
      <c r="W160" s="118"/>
      <c r="X160" s="118"/>
      <c r="Y160" s="118"/>
      <c r="Z160" s="115"/>
      <c r="AA160" s="171"/>
      <c r="AB160" s="171"/>
      <c r="AC160" s="171"/>
    </row>
    <row r="161" spans="11:29" ht="18" customHeight="1">
      <c r="K161" s="171" t="s">
        <v>14</v>
      </c>
      <c r="L161" s="171"/>
      <c r="M161" s="171"/>
      <c r="N161" s="145" t="s">
        <v>39</v>
      </c>
      <c r="O161" s="173">
        <v>5</v>
      </c>
      <c r="P161" s="234">
        <f ca="1">OFFSET($A$1,MATCH(Z158,$A:$A,0)-1,O161)</f>
        <v>2.4239999999999999</v>
      </c>
      <c r="Q161" s="144" t="s">
        <v>29</v>
      </c>
      <c r="R161" s="118">
        <f t="shared" ca="1" si="37"/>
        <v>310884</v>
      </c>
      <c r="S161" s="118">
        <f t="shared" ca="1" si="37"/>
        <v>753582</v>
      </c>
      <c r="T161" s="118">
        <f ca="1">고급</f>
        <v>310884</v>
      </c>
      <c r="U161" s="118">
        <f t="shared" ca="1" si="38"/>
        <v>753582</v>
      </c>
      <c r="V161" s="118"/>
      <c r="W161" s="118"/>
      <c r="X161" s="118"/>
      <c r="Y161" s="118"/>
      <c r="Z161" s="115"/>
      <c r="AA161" s="171"/>
      <c r="AB161" s="171"/>
      <c r="AC161" s="171"/>
    </row>
    <row r="162" spans="11:29" ht="18" customHeight="1">
      <c r="K162" s="171" t="s">
        <v>14</v>
      </c>
      <c r="L162" s="171"/>
      <c r="M162" s="171"/>
      <c r="N162" s="145" t="s">
        <v>40</v>
      </c>
      <c r="O162" s="173">
        <v>6</v>
      </c>
      <c r="P162" s="234">
        <f ca="1">OFFSET($A$1,MATCH(Z158,$A:$A,0)-1,O162)</f>
        <v>3.7570000000000001</v>
      </c>
      <c r="Q162" s="144" t="s">
        <v>29</v>
      </c>
      <c r="R162" s="118">
        <f t="shared" ca="1" si="37"/>
        <v>295138</v>
      </c>
      <c r="S162" s="118">
        <f t="shared" ca="1" si="37"/>
        <v>1108833</v>
      </c>
      <c r="T162" s="118">
        <f ca="1">중급</f>
        <v>295138</v>
      </c>
      <c r="U162" s="118">
        <f t="shared" ca="1" si="38"/>
        <v>1108833</v>
      </c>
      <c r="V162" s="118"/>
      <c r="W162" s="118"/>
      <c r="X162" s="118"/>
      <c r="Y162" s="118"/>
      <c r="Z162" s="115"/>
      <c r="AA162" s="171"/>
      <c r="AB162" s="171"/>
      <c r="AC162" s="171"/>
    </row>
    <row r="163" spans="11:29" ht="18" customHeight="1">
      <c r="K163" s="171" t="s">
        <v>14</v>
      </c>
      <c r="L163" s="171"/>
      <c r="M163" s="171"/>
      <c r="N163" s="145" t="s">
        <v>41</v>
      </c>
      <c r="O163" s="173">
        <v>7</v>
      </c>
      <c r="P163" s="234">
        <f ca="1">OFFSET($A$1,MATCH(Z158,$A:$A,0)-1,O163)</f>
        <v>5.4539999999999997</v>
      </c>
      <c r="Q163" s="144" t="s">
        <v>29</v>
      </c>
      <c r="R163" s="118">
        <f t="shared" ca="1" si="37"/>
        <v>235459</v>
      </c>
      <c r="S163" s="118">
        <f t="shared" ca="1" si="37"/>
        <v>1284193</v>
      </c>
      <c r="T163" s="118">
        <f ca="1">초급</f>
        <v>235459</v>
      </c>
      <c r="U163" s="118">
        <f t="shared" ca="1" si="38"/>
        <v>1284193</v>
      </c>
      <c r="V163" s="118"/>
      <c r="W163" s="118"/>
      <c r="X163" s="118"/>
      <c r="Y163" s="118"/>
      <c r="Z163" s="115"/>
      <c r="AA163" s="171"/>
      <c r="AB163" s="171"/>
      <c r="AC163" s="171"/>
    </row>
    <row r="164" spans="11:29" ht="18" customHeight="1">
      <c r="K164" s="171" t="s">
        <v>14</v>
      </c>
      <c r="L164" s="171"/>
      <c r="M164" s="171"/>
      <c r="N164" s="319" t="s">
        <v>42</v>
      </c>
      <c r="O164" s="174">
        <v>8</v>
      </c>
      <c r="P164" s="235">
        <f ca="1">OFFSET($A$1,MATCH(Z158,$A:$A,0)-1,O164)</f>
        <v>3.1509999999999998</v>
      </c>
      <c r="Q164" s="322" t="s">
        <v>29</v>
      </c>
      <c r="R164" s="323">
        <f t="shared" ca="1" si="37"/>
        <v>250087</v>
      </c>
      <c r="S164" s="323">
        <f t="shared" ca="1" si="37"/>
        <v>788024</v>
      </c>
      <c r="T164" s="323">
        <f ca="1">보조원</f>
        <v>250087</v>
      </c>
      <c r="U164" s="323">
        <f t="shared" ca="1" si="38"/>
        <v>788024</v>
      </c>
      <c r="V164" s="323"/>
      <c r="W164" s="323"/>
      <c r="X164" s="323"/>
      <c r="Y164" s="323"/>
      <c r="Z164" s="324"/>
      <c r="AA164" s="171"/>
      <c r="AB164" s="171"/>
      <c r="AC164" s="171"/>
    </row>
    <row r="165" spans="11:29" ht="18" customHeight="1">
      <c r="K165" s="171" t="s">
        <v>14</v>
      </c>
      <c r="L165" s="171"/>
      <c r="M165" s="171"/>
      <c r="N165" s="139" t="s">
        <v>17</v>
      </c>
      <c r="O165" s="68"/>
      <c r="P165" s="69"/>
      <c r="Q165" s="70"/>
      <c r="R165" s="71"/>
      <c r="S165" s="71">
        <f ca="1">SUBTOTAL(9,S159:S164)</f>
        <v>5383072</v>
      </c>
      <c r="T165" s="71"/>
      <c r="U165" s="71">
        <f ca="1">SUBTOTAL(9,U159:U164)</f>
        <v>5383072</v>
      </c>
      <c r="V165" s="71"/>
      <c r="W165" s="71"/>
      <c r="X165" s="71"/>
      <c r="Y165" s="71"/>
      <c r="Z165" s="68"/>
      <c r="AA165" s="171"/>
      <c r="AB165" s="171"/>
      <c r="AC165" s="171"/>
    </row>
    <row r="166" spans="11:29" ht="18" customHeight="1">
      <c r="K166" s="171" t="s">
        <v>14</v>
      </c>
      <c r="L166" s="171"/>
      <c r="M166" s="171"/>
      <c r="N166" s="318" t="str">
        <f ca="1">"제 " &amp; Z166 &amp; " 호표  "&amp; OFFSET($A$1,MATCH(Z166,$A:$A,0)-1,1)</f>
        <v>제 15 호표   2) 사면재해 및 토사재해</v>
      </c>
      <c r="O166" s="221"/>
      <c r="P166" s="148"/>
      <c r="Q166" s="148"/>
      <c r="R166" s="149"/>
      <c r="S166" s="149"/>
      <c r="T166" s="149"/>
      <c r="U166" s="149"/>
      <c r="V166" s="149"/>
      <c r="W166" s="149"/>
      <c r="X166" s="149"/>
      <c r="Y166" s="149"/>
      <c r="Z166" s="325">
        <f>Z158+1</f>
        <v>15</v>
      </c>
      <c r="AA166" s="171"/>
      <c r="AB166" s="171"/>
      <c r="AC166" s="171"/>
    </row>
    <row r="167" spans="11:29" ht="18" customHeight="1">
      <c r="K167" s="171" t="s">
        <v>14</v>
      </c>
      <c r="L167" s="171"/>
      <c r="M167" s="171"/>
      <c r="N167" s="140" t="s">
        <v>43</v>
      </c>
      <c r="O167" s="172">
        <v>3</v>
      </c>
      <c r="P167" s="219">
        <f ca="1">OFFSET($A$1,MATCH(Z166,$A:$A,0)-1,O167)</f>
        <v>0.60599999999999998</v>
      </c>
      <c r="Q167" s="141" t="s">
        <v>29</v>
      </c>
      <c r="R167" s="142">
        <f t="shared" ref="R167:S172" ca="1" si="39">T167</f>
        <v>467217</v>
      </c>
      <c r="S167" s="142">
        <f t="shared" ca="1" si="39"/>
        <v>283133</v>
      </c>
      <c r="T167" s="142">
        <f ca="1">기술사</f>
        <v>467217</v>
      </c>
      <c r="U167" s="142">
        <f t="shared" ref="U167:U172" ca="1" si="40">ROUNDDOWN(P167*R167,0)</f>
        <v>283133</v>
      </c>
      <c r="V167" s="142"/>
      <c r="W167" s="142"/>
      <c r="X167" s="142"/>
      <c r="Y167" s="142"/>
      <c r="Z167" s="114"/>
      <c r="AA167" s="171"/>
      <c r="AB167" s="171"/>
      <c r="AC167" s="171"/>
    </row>
    <row r="168" spans="11:29" ht="18" customHeight="1">
      <c r="K168" s="171" t="s">
        <v>14</v>
      </c>
      <c r="L168" s="171"/>
      <c r="M168" s="171"/>
      <c r="N168" s="143" t="s">
        <v>32</v>
      </c>
      <c r="O168" s="173">
        <v>4</v>
      </c>
      <c r="P168" s="234">
        <f ca="1">OFFSET($A$1,MATCH(Z166,$A:$A,0)-1,O168)</f>
        <v>0.84799999999999998</v>
      </c>
      <c r="Q168" s="144" t="s">
        <v>29</v>
      </c>
      <c r="R168" s="118">
        <f t="shared" ca="1" si="39"/>
        <v>373353</v>
      </c>
      <c r="S168" s="118">
        <f t="shared" ca="1" si="39"/>
        <v>316603</v>
      </c>
      <c r="T168" s="118">
        <f ca="1">특급</f>
        <v>373353</v>
      </c>
      <c r="U168" s="118">
        <f t="shared" ca="1" si="40"/>
        <v>316603</v>
      </c>
      <c r="V168" s="118"/>
      <c r="W168" s="118"/>
      <c r="X168" s="118"/>
      <c r="Y168" s="118"/>
      <c r="Z168" s="115"/>
      <c r="AA168" s="171"/>
      <c r="AB168" s="171"/>
      <c r="AC168" s="171"/>
    </row>
    <row r="169" spans="11:29" ht="18" customHeight="1">
      <c r="K169" s="171" t="s">
        <v>14</v>
      </c>
      <c r="L169" s="171"/>
      <c r="M169" s="171"/>
      <c r="N169" s="145" t="s">
        <v>39</v>
      </c>
      <c r="O169" s="173">
        <v>5</v>
      </c>
      <c r="P169" s="234">
        <f ca="1">OFFSET($A$1,MATCH(Z166,$A:$A,0)-1,O169)</f>
        <v>0.96899999999999997</v>
      </c>
      <c r="Q169" s="144" t="s">
        <v>29</v>
      </c>
      <c r="R169" s="118">
        <f t="shared" ca="1" si="39"/>
        <v>310884</v>
      </c>
      <c r="S169" s="118">
        <f t="shared" ca="1" si="39"/>
        <v>301246</v>
      </c>
      <c r="T169" s="118">
        <f ca="1">고급</f>
        <v>310884</v>
      </c>
      <c r="U169" s="118">
        <f t="shared" ca="1" si="40"/>
        <v>301246</v>
      </c>
      <c r="V169" s="118"/>
      <c r="W169" s="118"/>
      <c r="X169" s="118"/>
      <c r="Y169" s="118"/>
      <c r="Z169" s="115"/>
      <c r="AA169" s="171"/>
      <c r="AB169" s="171"/>
      <c r="AC169" s="171"/>
    </row>
    <row r="170" spans="11:29" ht="18" customHeight="1">
      <c r="K170" s="171" t="s">
        <v>14</v>
      </c>
      <c r="L170" s="171"/>
      <c r="M170" s="171"/>
      <c r="N170" s="145" t="s">
        <v>40</v>
      </c>
      <c r="O170" s="173">
        <v>6</v>
      </c>
      <c r="P170" s="234">
        <f ca="1">OFFSET($A$1,MATCH(Z166,$A:$A,0)-1,O170)</f>
        <v>1.575</v>
      </c>
      <c r="Q170" s="144" t="s">
        <v>29</v>
      </c>
      <c r="R170" s="118">
        <f t="shared" ca="1" si="39"/>
        <v>295138</v>
      </c>
      <c r="S170" s="118">
        <f t="shared" ca="1" si="39"/>
        <v>464842</v>
      </c>
      <c r="T170" s="118">
        <f ca="1">중급</f>
        <v>295138</v>
      </c>
      <c r="U170" s="118">
        <f t="shared" ca="1" si="40"/>
        <v>464842</v>
      </c>
      <c r="V170" s="118"/>
      <c r="W170" s="118"/>
      <c r="X170" s="118"/>
      <c r="Y170" s="118"/>
      <c r="Z170" s="115"/>
      <c r="AA170" s="171"/>
      <c r="AB170" s="171"/>
      <c r="AC170" s="171"/>
    </row>
    <row r="171" spans="11:29" ht="18" customHeight="1">
      <c r="K171" s="171" t="s">
        <v>14</v>
      </c>
      <c r="L171" s="171"/>
      <c r="M171" s="171"/>
      <c r="N171" s="145" t="s">
        <v>41</v>
      </c>
      <c r="O171" s="173">
        <v>7</v>
      </c>
      <c r="P171" s="234">
        <f ca="1">OFFSET($A$1,MATCH(Z166,$A:$A,0)-1,O171)</f>
        <v>2.181</v>
      </c>
      <c r="Q171" s="144" t="s">
        <v>29</v>
      </c>
      <c r="R171" s="118">
        <f t="shared" ca="1" si="39"/>
        <v>235459</v>
      </c>
      <c r="S171" s="118">
        <f t="shared" ca="1" si="39"/>
        <v>513536</v>
      </c>
      <c r="T171" s="118">
        <f ca="1">초급</f>
        <v>235459</v>
      </c>
      <c r="U171" s="118">
        <f t="shared" ca="1" si="40"/>
        <v>513536</v>
      </c>
      <c r="V171" s="118"/>
      <c r="W171" s="118"/>
      <c r="X171" s="118"/>
      <c r="Y171" s="118"/>
      <c r="Z171" s="115"/>
      <c r="AA171" s="171"/>
      <c r="AB171" s="171"/>
      <c r="AC171" s="171"/>
    </row>
    <row r="172" spans="11:29" ht="18" customHeight="1">
      <c r="K172" s="171" t="s">
        <v>14</v>
      </c>
      <c r="L172" s="171"/>
      <c r="M172" s="171"/>
      <c r="N172" s="319" t="s">
        <v>42</v>
      </c>
      <c r="O172" s="174">
        <v>8</v>
      </c>
      <c r="P172" s="235">
        <f ca="1">OFFSET($A$1,MATCH(Z166,$A:$A,0)-1,O172)</f>
        <v>1.333</v>
      </c>
      <c r="Q172" s="322" t="s">
        <v>29</v>
      </c>
      <c r="R172" s="323">
        <f t="shared" ca="1" si="39"/>
        <v>250087</v>
      </c>
      <c r="S172" s="323">
        <f t="shared" ca="1" si="39"/>
        <v>333365</v>
      </c>
      <c r="T172" s="323">
        <f ca="1">보조원</f>
        <v>250087</v>
      </c>
      <c r="U172" s="323">
        <f t="shared" ca="1" si="40"/>
        <v>333365</v>
      </c>
      <c r="V172" s="323"/>
      <c r="W172" s="323"/>
      <c r="X172" s="323"/>
      <c r="Y172" s="323"/>
      <c r="Z172" s="324"/>
      <c r="AA172" s="171"/>
      <c r="AB172" s="171"/>
      <c r="AC172" s="171"/>
    </row>
    <row r="173" spans="11:29" ht="18" customHeight="1">
      <c r="K173" s="171" t="s">
        <v>14</v>
      </c>
      <c r="L173" s="171"/>
      <c r="M173" s="171"/>
      <c r="N173" s="139" t="s">
        <v>17</v>
      </c>
      <c r="O173" s="68"/>
      <c r="P173" s="69"/>
      <c r="Q173" s="70"/>
      <c r="R173" s="71"/>
      <c r="S173" s="71">
        <f ca="1">SUBTOTAL(9,S167:S172)</f>
        <v>2212725</v>
      </c>
      <c r="T173" s="71"/>
      <c r="U173" s="71">
        <f ca="1">SUBTOTAL(9,U167:U172)</f>
        <v>2212725</v>
      </c>
      <c r="V173" s="71"/>
      <c r="W173" s="71"/>
      <c r="X173" s="71"/>
      <c r="Y173" s="71"/>
      <c r="Z173" s="68"/>
      <c r="AA173" s="171"/>
      <c r="AB173" s="171"/>
      <c r="AC173" s="171"/>
    </row>
    <row r="174" spans="11:29" ht="18" customHeight="1">
      <c r="K174" s="171" t="s">
        <v>14</v>
      </c>
      <c r="L174" s="171"/>
      <c r="M174" s="171"/>
      <c r="N174" s="318" t="str">
        <f ca="1">"제 " &amp; Z174 &amp; " 호표  "&amp; OFFSET($A$1,MATCH(Z174,$A:$A,0)-1,1)</f>
        <v>제 16 호표   3) 지반재해 및 지진재해</v>
      </c>
      <c r="O174" s="221"/>
      <c r="P174" s="148"/>
      <c r="Q174" s="148"/>
      <c r="R174" s="149"/>
      <c r="S174" s="149"/>
      <c r="T174" s="149"/>
      <c r="U174" s="149"/>
      <c r="V174" s="149"/>
      <c r="W174" s="149"/>
      <c r="X174" s="149"/>
      <c r="Y174" s="149"/>
      <c r="Z174" s="325">
        <f>Z166+1</f>
        <v>16</v>
      </c>
      <c r="AA174" s="171"/>
      <c r="AB174" s="171"/>
      <c r="AC174" s="171"/>
    </row>
    <row r="175" spans="11:29" ht="18" customHeight="1">
      <c r="K175" s="171" t="s">
        <v>14</v>
      </c>
      <c r="L175" s="171"/>
      <c r="M175" s="171"/>
      <c r="N175" s="140" t="s">
        <v>43</v>
      </c>
      <c r="O175" s="172">
        <v>3</v>
      </c>
      <c r="P175" s="219">
        <f ca="1">OFFSET($A$1,MATCH(Z174,$A:$A,0)-1,O175)</f>
        <v>0.60599999999999998</v>
      </c>
      <c r="Q175" s="141" t="s">
        <v>29</v>
      </c>
      <c r="R175" s="142">
        <f t="shared" ref="R175:S180" ca="1" si="41">T175</f>
        <v>467217</v>
      </c>
      <c r="S175" s="142">
        <f t="shared" ca="1" si="41"/>
        <v>283133</v>
      </c>
      <c r="T175" s="142">
        <f ca="1">기술사</f>
        <v>467217</v>
      </c>
      <c r="U175" s="142">
        <f t="shared" ref="U175:U180" ca="1" si="42">ROUNDDOWN(P175*R175,0)</f>
        <v>283133</v>
      </c>
      <c r="V175" s="142"/>
      <c r="W175" s="142"/>
      <c r="X175" s="142"/>
      <c r="Y175" s="142"/>
      <c r="Z175" s="114"/>
      <c r="AA175" s="171"/>
      <c r="AB175" s="171"/>
      <c r="AC175" s="171"/>
    </row>
    <row r="176" spans="11:29" ht="18" customHeight="1">
      <c r="K176" s="171" t="s">
        <v>14</v>
      </c>
      <c r="L176" s="171"/>
      <c r="M176" s="171"/>
      <c r="N176" s="143" t="s">
        <v>32</v>
      </c>
      <c r="O176" s="173">
        <v>4</v>
      </c>
      <c r="P176" s="234">
        <f ca="1">OFFSET($A$1,MATCH(Z174,$A:$A,0)-1,O176)</f>
        <v>0.84799999999999998</v>
      </c>
      <c r="Q176" s="144" t="s">
        <v>29</v>
      </c>
      <c r="R176" s="118">
        <f t="shared" ca="1" si="41"/>
        <v>373353</v>
      </c>
      <c r="S176" s="118">
        <f t="shared" ca="1" si="41"/>
        <v>316603</v>
      </c>
      <c r="T176" s="118">
        <f ca="1">특급</f>
        <v>373353</v>
      </c>
      <c r="U176" s="118">
        <f t="shared" ca="1" si="42"/>
        <v>316603</v>
      </c>
      <c r="V176" s="118"/>
      <c r="W176" s="118"/>
      <c r="X176" s="118"/>
      <c r="Y176" s="118"/>
      <c r="Z176" s="115"/>
      <c r="AB176" s="171"/>
      <c r="AC176" s="171"/>
    </row>
    <row r="177" spans="11:29" ht="18" customHeight="1">
      <c r="K177" s="171" t="s">
        <v>14</v>
      </c>
      <c r="L177" s="171"/>
      <c r="M177" s="171"/>
      <c r="N177" s="145" t="s">
        <v>39</v>
      </c>
      <c r="O177" s="173">
        <v>5</v>
      </c>
      <c r="P177" s="234">
        <f ca="1">OFFSET($A$1,MATCH(Z174,$A:$A,0)-1,O177)</f>
        <v>0.96899999999999997</v>
      </c>
      <c r="Q177" s="144" t="s">
        <v>29</v>
      </c>
      <c r="R177" s="118">
        <f t="shared" ca="1" si="41"/>
        <v>310884</v>
      </c>
      <c r="S177" s="118">
        <f t="shared" ca="1" si="41"/>
        <v>301246</v>
      </c>
      <c r="T177" s="118">
        <f ca="1">고급</f>
        <v>310884</v>
      </c>
      <c r="U177" s="118">
        <f t="shared" ca="1" si="42"/>
        <v>301246</v>
      </c>
      <c r="V177" s="118"/>
      <c r="W177" s="118"/>
      <c r="X177" s="118"/>
      <c r="Y177" s="118"/>
      <c r="Z177" s="115"/>
      <c r="AB177" s="171"/>
      <c r="AC177" s="171"/>
    </row>
    <row r="178" spans="11:29" ht="18" customHeight="1">
      <c r="K178" s="171" t="s">
        <v>14</v>
      </c>
      <c r="L178" s="171"/>
      <c r="M178" s="171"/>
      <c r="N178" s="145" t="s">
        <v>40</v>
      </c>
      <c r="O178" s="173">
        <v>6</v>
      </c>
      <c r="P178" s="234">
        <f ca="1">OFFSET($A$1,MATCH(Z174,$A:$A,0)-1,O178)</f>
        <v>1.575</v>
      </c>
      <c r="Q178" s="144" t="s">
        <v>29</v>
      </c>
      <c r="R178" s="118">
        <f t="shared" ca="1" si="41"/>
        <v>295138</v>
      </c>
      <c r="S178" s="118">
        <f t="shared" ca="1" si="41"/>
        <v>464842</v>
      </c>
      <c r="T178" s="118">
        <f ca="1">중급</f>
        <v>295138</v>
      </c>
      <c r="U178" s="118">
        <f t="shared" ca="1" si="42"/>
        <v>464842</v>
      </c>
      <c r="V178" s="118"/>
      <c r="W178" s="118"/>
      <c r="X178" s="118"/>
      <c r="Y178" s="118"/>
      <c r="Z178" s="115"/>
    </row>
    <row r="179" spans="11:29" ht="18" customHeight="1">
      <c r="K179" s="171" t="s">
        <v>14</v>
      </c>
      <c r="L179" s="171"/>
      <c r="M179" s="171"/>
      <c r="N179" s="145" t="s">
        <v>41</v>
      </c>
      <c r="O179" s="173">
        <v>7</v>
      </c>
      <c r="P179" s="234">
        <f ca="1">OFFSET($A$1,MATCH(Z174,$A:$A,0)-1,O179)</f>
        <v>2.181</v>
      </c>
      <c r="Q179" s="144" t="s">
        <v>29</v>
      </c>
      <c r="R179" s="118">
        <f t="shared" ca="1" si="41"/>
        <v>235459</v>
      </c>
      <c r="S179" s="118">
        <f t="shared" ca="1" si="41"/>
        <v>513536</v>
      </c>
      <c r="T179" s="118">
        <f ca="1">초급</f>
        <v>235459</v>
      </c>
      <c r="U179" s="118">
        <f t="shared" ca="1" si="42"/>
        <v>513536</v>
      </c>
      <c r="V179" s="118"/>
      <c r="W179" s="118"/>
      <c r="X179" s="118"/>
      <c r="Y179" s="118"/>
      <c r="Z179" s="115"/>
    </row>
    <row r="180" spans="11:29" ht="18" customHeight="1">
      <c r="K180" s="171" t="s">
        <v>14</v>
      </c>
      <c r="L180" s="171"/>
      <c r="M180" s="171"/>
      <c r="N180" s="319" t="s">
        <v>42</v>
      </c>
      <c r="O180" s="174">
        <v>8</v>
      </c>
      <c r="P180" s="235">
        <f ca="1">OFFSET($A$1,MATCH(Z174,$A:$A,0)-1,O180)</f>
        <v>1.333</v>
      </c>
      <c r="Q180" s="322" t="s">
        <v>29</v>
      </c>
      <c r="R180" s="323">
        <f t="shared" ca="1" si="41"/>
        <v>250087</v>
      </c>
      <c r="S180" s="323">
        <f t="shared" ca="1" si="41"/>
        <v>333365</v>
      </c>
      <c r="T180" s="323">
        <f ca="1">보조원</f>
        <v>250087</v>
      </c>
      <c r="U180" s="323">
        <f t="shared" ca="1" si="42"/>
        <v>333365</v>
      </c>
      <c r="V180" s="323"/>
      <c r="W180" s="323"/>
      <c r="X180" s="323"/>
      <c r="Y180" s="323"/>
      <c r="Z180" s="324"/>
    </row>
    <row r="181" spans="11:29" ht="18" customHeight="1">
      <c r="K181" s="171" t="s">
        <v>14</v>
      </c>
      <c r="L181" s="171"/>
      <c r="M181" s="171"/>
      <c r="N181" s="139" t="s">
        <v>17</v>
      </c>
      <c r="O181" s="68"/>
      <c r="P181" s="69"/>
      <c r="Q181" s="70"/>
      <c r="R181" s="71"/>
      <c r="S181" s="71">
        <f ca="1">SUBTOTAL(9,S175:S180)</f>
        <v>2212725</v>
      </c>
      <c r="T181" s="71"/>
      <c r="U181" s="71">
        <f ca="1">SUBTOTAL(9,U175:U180)</f>
        <v>2212725</v>
      </c>
      <c r="V181" s="71"/>
      <c r="W181" s="71"/>
      <c r="X181" s="71"/>
      <c r="Y181" s="71"/>
      <c r="Z181" s="68"/>
    </row>
    <row r="182" spans="11:29" ht="18" customHeight="1">
      <c r="K182" s="171" t="s">
        <v>14</v>
      </c>
      <c r="L182" s="171"/>
      <c r="M182" s="171"/>
      <c r="N182" s="318" t="str">
        <f ca="1">"제 " &amp; Z182 &amp; " 호표  "&amp; OFFSET($A$1,MATCH(Z182,$A:$A,0)-1,1)</f>
        <v>제 17 호표   4) 해안재해 및 바람재해 등</v>
      </c>
      <c r="O182" s="221"/>
      <c r="P182" s="148"/>
      <c r="Q182" s="148"/>
      <c r="R182" s="149"/>
      <c r="S182" s="149"/>
      <c r="T182" s="149"/>
      <c r="U182" s="149"/>
      <c r="V182" s="149"/>
      <c r="W182" s="149"/>
      <c r="X182" s="149"/>
      <c r="Y182" s="149"/>
      <c r="Z182" s="325">
        <f>Z174+1</f>
        <v>17</v>
      </c>
    </row>
    <row r="183" spans="11:29" ht="18" customHeight="1">
      <c r="K183" s="171" t="s">
        <v>14</v>
      </c>
      <c r="L183" s="171"/>
      <c r="M183" s="171"/>
      <c r="N183" s="140" t="s">
        <v>43</v>
      </c>
      <c r="O183" s="172">
        <v>3</v>
      </c>
      <c r="P183" s="219">
        <f ca="1">OFFSET($A$1,MATCH(Z182,$A:$A,0)-1,O183)</f>
        <v>0</v>
      </c>
      <c r="Q183" s="141" t="s">
        <v>29</v>
      </c>
      <c r="R183" s="142">
        <f t="shared" ref="R183:S188" ca="1" si="43">T183</f>
        <v>467217</v>
      </c>
      <c r="S183" s="142">
        <f t="shared" ca="1" si="43"/>
        <v>0</v>
      </c>
      <c r="T183" s="142">
        <f ca="1">기술사</f>
        <v>467217</v>
      </c>
      <c r="U183" s="142">
        <f t="shared" ref="U183:U188" ca="1" si="44">ROUNDDOWN(P183*R183,0)</f>
        <v>0</v>
      </c>
      <c r="V183" s="142"/>
      <c r="W183" s="142"/>
      <c r="X183" s="142"/>
      <c r="Y183" s="142"/>
      <c r="Z183" s="114"/>
    </row>
    <row r="184" spans="11:29" ht="18" customHeight="1">
      <c r="K184" s="171" t="s">
        <v>14</v>
      </c>
      <c r="L184" s="171"/>
      <c r="M184" s="171"/>
      <c r="N184" s="143" t="s">
        <v>32</v>
      </c>
      <c r="O184" s="173">
        <v>4</v>
      </c>
      <c r="P184" s="234">
        <f ca="1">OFFSET($A$1,MATCH(Z182,$A:$A,0)-1,O184)</f>
        <v>0</v>
      </c>
      <c r="Q184" s="144" t="s">
        <v>29</v>
      </c>
      <c r="R184" s="118">
        <f t="shared" ca="1" si="43"/>
        <v>373353</v>
      </c>
      <c r="S184" s="118">
        <f t="shared" ca="1" si="43"/>
        <v>0</v>
      </c>
      <c r="T184" s="118">
        <f ca="1">특급</f>
        <v>373353</v>
      </c>
      <c r="U184" s="118">
        <f t="shared" ca="1" si="44"/>
        <v>0</v>
      </c>
      <c r="V184" s="118"/>
      <c r="W184" s="118"/>
      <c r="X184" s="118"/>
      <c r="Y184" s="118"/>
      <c r="Z184" s="115"/>
    </row>
    <row r="185" spans="11:29" ht="18" customHeight="1">
      <c r="K185" s="171" t="s">
        <v>14</v>
      </c>
      <c r="L185" s="171"/>
      <c r="M185" s="171"/>
      <c r="N185" s="145" t="s">
        <v>39</v>
      </c>
      <c r="O185" s="173">
        <v>5</v>
      </c>
      <c r="P185" s="234">
        <f ca="1">OFFSET($A$1,MATCH(Z182,$A:$A,0)-1,O185)</f>
        <v>0</v>
      </c>
      <c r="Q185" s="144" t="s">
        <v>29</v>
      </c>
      <c r="R185" s="118">
        <f t="shared" ca="1" si="43"/>
        <v>310884</v>
      </c>
      <c r="S185" s="118">
        <f t="shared" ca="1" si="43"/>
        <v>0</v>
      </c>
      <c r="T185" s="118">
        <f ca="1">고급</f>
        <v>310884</v>
      </c>
      <c r="U185" s="118">
        <f t="shared" ca="1" si="44"/>
        <v>0</v>
      </c>
      <c r="V185" s="118"/>
      <c r="W185" s="118"/>
      <c r="X185" s="118"/>
      <c r="Y185" s="118"/>
      <c r="Z185" s="115"/>
    </row>
    <row r="186" spans="11:29" ht="18" customHeight="1">
      <c r="K186" s="171" t="s">
        <v>14</v>
      </c>
      <c r="L186" s="171"/>
      <c r="M186" s="171"/>
      <c r="N186" s="145" t="s">
        <v>40</v>
      </c>
      <c r="O186" s="173">
        <v>6</v>
      </c>
      <c r="P186" s="234">
        <f ca="1">OFFSET($A$1,MATCH(Z182,$A:$A,0)-1,O186)</f>
        <v>0</v>
      </c>
      <c r="Q186" s="144" t="s">
        <v>29</v>
      </c>
      <c r="R186" s="118">
        <f t="shared" ca="1" si="43"/>
        <v>295138</v>
      </c>
      <c r="S186" s="118">
        <f t="shared" ca="1" si="43"/>
        <v>0</v>
      </c>
      <c r="T186" s="118">
        <f ca="1">중급</f>
        <v>295138</v>
      </c>
      <c r="U186" s="118">
        <f t="shared" ca="1" si="44"/>
        <v>0</v>
      </c>
      <c r="V186" s="118"/>
      <c r="W186" s="118"/>
      <c r="X186" s="118"/>
      <c r="Y186" s="118"/>
      <c r="Z186" s="115"/>
    </row>
    <row r="187" spans="11:29" ht="18" customHeight="1">
      <c r="K187" s="171" t="s">
        <v>14</v>
      </c>
      <c r="L187" s="171"/>
      <c r="M187" s="171"/>
      <c r="N187" s="145" t="s">
        <v>41</v>
      </c>
      <c r="O187" s="173">
        <v>7</v>
      </c>
      <c r="P187" s="234">
        <f ca="1">OFFSET($A$1,MATCH(Z182,$A:$A,0)-1,O187)</f>
        <v>0</v>
      </c>
      <c r="Q187" s="144" t="s">
        <v>29</v>
      </c>
      <c r="R187" s="118">
        <f t="shared" ca="1" si="43"/>
        <v>235459</v>
      </c>
      <c r="S187" s="118">
        <f t="shared" ca="1" si="43"/>
        <v>0</v>
      </c>
      <c r="T187" s="118">
        <f ca="1">초급</f>
        <v>235459</v>
      </c>
      <c r="U187" s="118">
        <f t="shared" ca="1" si="44"/>
        <v>0</v>
      </c>
      <c r="V187" s="118"/>
      <c r="W187" s="118"/>
      <c r="X187" s="118"/>
      <c r="Y187" s="118"/>
      <c r="Z187" s="115"/>
    </row>
    <row r="188" spans="11:29" ht="18" customHeight="1">
      <c r="K188" s="171" t="s">
        <v>14</v>
      </c>
      <c r="L188" s="171"/>
      <c r="M188" s="171"/>
      <c r="N188" s="319" t="s">
        <v>42</v>
      </c>
      <c r="O188" s="174">
        <v>8</v>
      </c>
      <c r="P188" s="235">
        <f ca="1">OFFSET($A$1,MATCH(Z182,$A:$A,0)-1,O188)</f>
        <v>0</v>
      </c>
      <c r="Q188" s="322" t="s">
        <v>29</v>
      </c>
      <c r="R188" s="323">
        <f t="shared" ca="1" si="43"/>
        <v>250087</v>
      </c>
      <c r="S188" s="323">
        <f t="shared" ca="1" si="43"/>
        <v>0</v>
      </c>
      <c r="T188" s="323">
        <f ca="1">보조원</f>
        <v>250087</v>
      </c>
      <c r="U188" s="323">
        <f t="shared" ca="1" si="44"/>
        <v>0</v>
      </c>
      <c r="V188" s="323"/>
      <c r="W188" s="323"/>
      <c r="X188" s="323"/>
      <c r="Y188" s="323"/>
      <c r="Z188" s="324"/>
    </row>
    <row r="189" spans="11:29" ht="18" customHeight="1">
      <c r="K189" s="171" t="s">
        <v>14</v>
      </c>
      <c r="L189" s="171"/>
      <c r="M189" s="171"/>
      <c r="N189" s="139" t="s">
        <v>17</v>
      </c>
      <c r="O189" s="68"/>
      <c r="P189" s="69"/>
      <c r="Q189" s="70"/>
      <c r="R189" s="71"/>
      <c r="S189" s="71">
        <f ca="1">SUBTOTAL(9,S183:S188)</f>
        <v>0</v>
      </c>
      <c r="T189" s="71"/>
      <c r="U189" s="71">
        <f ca="1">SUBTOTAL(9,U183:U188)</f>
        <v>0</v>
      </c>
      <c r="V189" s="71"/>
      <c r="W189" s="71"/>
      <c r="X189" s="71"/>
      <c r="Y189" s="71"/>
      <c r="Z189" s="68"/>
    </row>
    <row r="190" spans="11:29" ht="18" customHeight="1">
      <c r="K190" s="171" t="s">
        <v>14</v>
      </c>
      <c r="L190" s="171"/>
      <c r="M190" s="171"/>
      <c r="N190" s="318" t="str">
        <f ca="1">"제 " &amp; Z190 &amp; " 호표  "&amp; OFFSET($A$1,MATCH(Z190,$A:$A,0)-1,1)</f>
        <v>제 18 호표  5-2. 행정계획 및 개발사업 반영 제안</v>
      </c>
      <c r="O190" s="221"/>
      <c r="P190" s="148"/>
      <c r="Q190" s="148"/>
      <c r="R190" s="149"/>
      <c r="S190" s="149"/>
      <c r="T190" s="149"/>
      <c r="U190" s="149"/>
      <c r="V190" s="149"/>
      <c r="W190" s="149"/>
      <c r="X190" s="149"/>
      <c r="Y190" s="149"/>
      <c r="Z190" s="325">
        <f>Z182+1</f>
        <v>18</v>
      </c>
    </row>
    <row r="191" spans="11:29" ht="18" customHeight="1">
      <c r="K191" s="171" t="s">
        <v>14</v>
      </c>
      <c r="L191" s="171"/>
      <c r="M191" s="171"/>
      <c r="N191" s="140" t="s">
        <v>43</v>
      </c>
      <c r="O191" s="172">
        <v>3</v>
      </c>
      <c r="P191" s="219">
        <f ca="1">OFFSET($A$1,MATCH(Z190,$A:$A,0)-1,O191)</f>
        <v>0.6</v>
      </c>
      <c r="Q191" s="141" t="s">
        <v>29</v>
      </c>
      <c r="R191" s="142">
        <f t="shared" ref="R191:S196" ca="1" si="45">T191</f>
        <v>467217</v>
      </c>
      <c r="S191" s="142">
        <f t="shared" ca="1" si="45"/>
        <v>280330</v>
      </c>
      <c r="T191" s="142">
        <f ca="1">기술사</f>
        <v>467217</v>
      </c>
      <c r="U191" s="142">
        <f t="shared" ref="U191:U196" ca="1" si="46">ROUNDDOWN(P191*R191,0)</f>
        <v>280330</v>
      </c>
      <c r="V191" s="142"/>
      <c r="W191" s="142"/>
      <c r="X191" s="142"/>
      <c r="Y191" s="142"/>
      <c r="Z191" s="114"/>
    </row>
    <row r="192" spans="11:29" ht="18" customHeight="1">
      <c r="K192" s="171" t="s">
        <v>14</v>
      </c>
      <c r="L192" s="171"/>
      <c r="M192" s="171"/>
      <c r="N192" s="143" t="s">
        <v>32</v>
      </c>
      <c r="O192" s="173">
        <v>4</v>
      </c>
      <c r="P192" s="234">
        <f ca="1">OFFSET($A$1,MATCH(Z190,$A:$A,0)-1,O192)</f>
        <v>1</v>
      </c>
      <c r="Q192" s="144" t="s">
        <v>29</v>
      </c>
      <c r="R192" s="118">
        <f t="shared" ca="1" si="45"/>
        <v>373353</v>
      </c>
      <c r="S192" s="118">
        <f t="shared" ca="1" si="45"/>
        <v>373353</v>
      </c>
      <c r="T192" s="118">
        <f ca="1">특급</f>
        <v>373353</v>
      </c>
      <c r="U192" s="118">
        <f t="shared" ca="1" si="46"/>
        <v>373353</v>
      </c>
      <c r="V192" s="118"/>
      <c r="W192" s="118"/>
      <c r="X192" s="118"/>
      <c r="Y192" s="118"/>
      <c r="Z192" s="115"/>
    </row>
    <row r="193" spans="11:26" ht="18" customHeight="1">
      <c r="K193" s="171" t="s">
        <v>14</v>
      </c>
      <c r="L193" s="171"/>
      <c r="M193" s="171"/>
      <c r="N193" s="145" t="s">
        <v>39</v>
      </c>
      <c r="O193" s="173">
        <v>5</v>
      </c>
      <c r="P193" s="234">
        <f ca="1">OFFSET($A$1,MATCH(Z190,$A:$A,0)-1,O193)</f>
        <v>2.13</v>
      </c>
      <c r="Q193" s="144" t="s">
        <v>29</v>
      </c>
      <c r="R193" s="118">
        <f t="shared" ca="1" si="45"/>
        <v>310884</v>
      </c>
      <c r="S193" s="118">
        <f t="shared" ca="1" si="45"/>
        <v>662182</v>
      </c>
      <c r="T193" s="118">
        <f ca="1">고급</f>
        <v>310884</v>
      </c>
      <c r="U193" s="118">
        <f t="shared" ca="1" si="46"/>
        <v>662182</v>
      </c>
      <c r="V193" s="118"/>
      <c r="W193" s="118"/>
      <c r="X193" s="118"/>
      <c r="Y193" s="118"/>
      <c r="Z193" s="115"/>
    </row>
    <row r="194" spans="11:26" ht="18" customHeight="1">
      <c r="K194" s="171" t="s">
        <v>14</v>
      </c>
      <c r="L194" s="171"/>
      <c r="M194" s="171"/>
      <c r="N194" s="145" t="s">
        <v>40</v>
      </c>
      <c r="O194" s="173">
        <v>6</v>
      </c>
      <c r="P194" s="234">
        <f ca="1">OFFSET($A$1,MATCH(Z190,$A:$A,0)-1,O194)</f>
        <v>2.23</v>
      </c>
      <c r="Q194" s="144" t="s">
        <v>29</v>
      </c>
      <c r="R194" s="118">
        <f t="shared" ca="1" si="45"/>
        <v>295138</v>
      </c>
      <c r="S194" s="118">
        <f t="shared" ca="1" si="45"/>
        <v>658157</v>
      </c>
      <c r="T194" s="118">
        <f ca="1">중급</f>
        <v>295138</v>
      </c>
      <c r="U194" s="118">
        <f t="shared" ca="1" si="46"/>
        <v>658157</v>
      </c>
      <c r="V194" s="118"/>
      <c r="W194" s="118"/>
      <c r="X194" s="118"/>
      <c r="Y194" s="118"/>
      <c r="Z194" s="115"/>
    </row>
    <row r="195" spans="11:26" ht="18" customHeight="1">
      <c r="K195" s="171" t="s">
        <v>14</v>
      </c>
      <c r="L195" s="171"/>
      <c r="M195" s="171"/>
      <c r="N195" s="145" t="s">
        <v>41</v>
      </c>
      <c r="O195" s="173">
        <v>7</v>
      </c>
      <c r="P195" s="234">
        <f ca="1">OFFSET($A$1,MATCH(Z190,$A:$A,0)-1,O195)</f>
        <v>1.85</v>
      </c>
      <c r="Q195" s="144" t="s">
        <v>29</v>
      </c>
      <c r="R195" s="118">
        <f t="shared" ca="1" si="45"/>
        <v>235459</v>
      </c>
      <c r="S195" s="118">
        <f t="shared" ca="1" si="45"/>
        <v>435599</v>
      </c>
      <c r="T195" s="118">
        <f ca="1">초급</f>
        <v>235459</v>
      </c>
      <c r="U195" s="118">
        <f t="shared" ca="1" si="46"/>
        <v>435599</v>
      </c>
      <c r="V195" s="118"/>
      <c r="W195" s="118"/>
      <c r="X195" s="118"/>
      <c r="Y195" s="118"/>
      <c r="Z195" s="115"/>
    </row>
    <row r="196" spans="11:26" ht="18" customHeight="1">
      <c r="K196" s="171" t="s">
        <v>14</v>
      </c>
      <c r="L196" s="171"/>
      <c r="M196" s="171"/>
      <c r="N196" s="319" t="s">
        <v>42</v>
      </c>
      <c r="O196" s="174">
        <v>8</v>
      </c>
      <c r="P196" s="235">
        <f ca="1">OFFSET($A$1,MATCH(Z190,$A:$A,0)-1,O196)</f>
        <v>1.3</v>
      </c>
      <c r="Q196" s="322" t="s">
        <v>29</v>
      </c>
      <c r="R196" s="323">
        <f t="shared" ca="1" si="45"/>
        <v>250087</v>
      </c>
      <c r="S196" s="323">
        <f t="shared" ca="1" si="45"/>
        <v>325113</v>
      </c>
      <c r="T196" s="323">
        <f ca="1">보조원</f>
        <v>250087</v>
      </c>
      <c r="U196" s="323">
        <f t="shared" ca="1" si="46"/>
        <v>325113</v>
      </c>
      <c r="V196" s="323"/>
      <c r="W196" s="323"/>
      <c r="X196" s="323"/>
      <c r="Y196" s="323"/>
      <c r="Z196" s="324"/>
    </row>
    <row r="197" spans="11:26" ht="18" customHeight="1">
      <c r="K197" s="171" t="s">
        <v>14</v>
      </c>
      <c r="L197" s="171"/>
      <c r="M197" s="171"/>
      <c r="N197" s="139" t="s">
        <v>17</v>
      </c>
      <c r="O197" s="68"/>
      <c r="P197" s="69"/>
      <c r="Q197" s="70"/>
      <c r="R197" s="71"/>
      <c r="S197" s="71">
        <f ca="1">SUBTOTAL(9,S191:S196)</f>
        <v>2734734</v>
      </c>
      <c r="T197" s="71"/>
      <c r="U197" s="71">
        <f ca="1">SUBTOTAL(9,U191:U196)</f>
        <v>2734734</v>
      </c>
      <c r="V197" s="71"/>
      <c r="W197" s="71"/>
      <c r="X197" s="71"/>
      <c r="Y197" s="71"/>
      <c r="Z197" s="68"/>
    </row>
    <row r="198" spans="11:26" ht="18" customHeight="1">
      <c r="K198" s="171" t="s">
        <v>14</v>
      </c>
      <c r="L198" s="171"/>
      <c r="M198" s="171"/>
      <c r="N198" s="318" t="str">
        <f ca="1">"제 " &amp; Z198 &amp; " 호표  "&amp; OFFSET($A$1,MATCH(Z198,$A:$A,0)-1,1)</f>
        <v>제 19 호표  6. 협의서 작성(부록내용 및 기타사항 포함)</v>
      </c>
      <c r="O198" s="221"/>
      <c r="P198" s="148"/>
      <c r="Q198" s="148"/>
      <c r="R198" s="149"/>
      <c r="S198" s="149"/>
      <c r="T198" s="149"/>
      <c r="U198" s="149"/>
      <c r="V198" s="149"/>
      <c r="W198" s="149"/>
      <c r="X198" s="149"/>
      <c r="Y198" s="149"/>
      <c r="Z198" s="325">
        <f>Z190+1</f>
        <v>19</v>
      </c>
    </row>
    <row r="199" spans="11:26" ht="18" customHeight="1">
      <c r="K199" s="171" t="s">
        <v>14</v>
      </c>
      <c r="L199" s="171"/>
      <c r="M199" s="171"/>
      <c r="N199" s="140" t="s">
        <v>43</v>
      </c>
      <c r="O199" s="172">
        <v>3</v>
      </c>
      <c r="P199" s="219">
        <f ca="1">OFFSET($A$1,MATCH(Z198,$A:$A,0)-1,O199)</f>
        <v>0.5</v>
      </c>
      <c r="Q199" s="141" t="s">
        <v>29</v>
      </c>
      <c r="R199" s="142">
        <f t="shared" ref="R199:S204" ca="1" si="47">T199</f>
        <v>467217</v>
      </c>
      <c r="S199" s="142">
        <f t="shared" ca="1" si="47"/>
        <v>233608</v>
      </c>
      <c r="T199" s="142">
        <f ca="1">기술사</f>
        <v>467217</v>
      </c>
      <c r="U199" s="142">
        <f t="shared" ref="U199:U204" ca="1" si="48">ROUNDDOWN(P199*R199,0)</f>
        <v>233608</v>
      </c>
      <c r="V199" s="142"/>
      <c r="W199" s="142"/>
      <c r="X199" s="142"/>
      <c r="Y199" s="142"/>
      <c r="Z199" s="114"/>
    </row>
    <row r="200" spans="11:26" ht="18" customHeight="1">
      <c r="K200" s="171" t="s">
        <v>14</v>
      </c>
      <c r="L200" s="171"/>
      <c r="M200" s="171"/>
      <c r="N200" s="143" t="s">
        <v>32</v>
      </c>
      <c r="O200" s="173">
        <v>4</v>
      </c>
      <c r="P200" s="234">
        <f ca="1">OFFSET($A$1,MATCH(Z198,$A:$A,0)-1,O200)</f>
        <v>1</v>
      </c>
      <c r="Q200" s="144" t="s">
        <v>29</v>
      </c>
      <c r="R200" s="118">
        <f t="shared" ca="1" si="47"/>
        <v>373353</v>
      </c>
      <c r="S200" s="118">
        <f t="shared" ca="1" si="47"/>
        <v>373353</v>
      </c>
      <c r="T200" s="118">
        <f ca="1">특급</f>
        <v>373353</v>
      </c>
      <c r="U200" s="118">
        <f t="shared" ca="1" si="48"/>
        <v>373353</v>
      </c>
      <c r="V200" s="118"/>
      <c r="W200" s="118"/>
      <c r="X200" s="118"/>
      <c r="Y200" s="118"/>
      <c r="Z200" s="115"/>
    </row>
    <row r="201" spans="11:26" ht="18" customHeight="1">
      <c r="K201" s="171" t="s">
        <v>14</v>
      </c>
      <c r="L201" s="171"/>
      <c r="M201" s="171"/>
      <c r="N201" s="145" t="s">
        <v>39</v>
      </c>
      <c r="O201" s="173">
        <v>5</v>
      </c>
      <c r="P201" s="234">
        <f ca="1">OFFSET($A$1,MATCH(Z198,$A:$A,0)-1,O201)</f>
        <v>1</v>
      </c>
      <c r="Q201" s="144" t="s">
        <v>29</v>
      </c>
      <c r="R201" s="118">
        <f t="shared" ca="1" si="47"/>
        <v>310884</v>
      </c>
      <c r="S201" s="118">
        <f t="shared" ca="1" si="47"/>
        <v>310884</v>
      </c>
      <c r="T201" s="118">
        <f ca="1">고급</f>
        <v>310884</v>
      </c>
      <c r="U201" s="118">
        <f t="shared" ca="1" si="48"/>
        <v>310884</v>
      </c>
      <c r="V201" s="118"/>
      <c r="W201" s="118"/>
      <c r="X201" s="118"/>
      <c r="Y201" s="118"/>
      <c r="Z201" s="115"/>
    </row>
    <row r="202" spans="11:26" ht="18" customHeight="1">
      <c r="K202" s="171" t="s">
        <v>14</v>
      </c>
      <c r="L202" s="171"/>
      <c r="M202" s="171"/>
      <c r="N202" s="145" t="s">
        <v>40</v>
      </c>
      <c r="O202" s="173">
        <v>6</v>
      </c>
      <c r="P202" s="234">
        <f ca="1">OFFSET($A$1,MATCH(Z198,$A:$A,0)-1,O202)</f>
        <v>0.5</v>
      </c>
      <c r="Q202" s="144" t="s">
        <v>29</v>
      </c>
      <c r="R202" s="118">
        <f t="shared" ca="1" si="47"/>
        <v>295138</v>
      </c>
      <c r="S202" s="118">
        <f t="shared" ca="1" si="47"/>
        <v>147569</v>
      </c>
      <c r="T202" s="118">
        <f ca="1">중급</f>
        <v>295138</v>
      </c>
      <c r="U202" s="118">
        <f t="shared" ca="1" si="48"/>
        <v>147569</v>
      </c>
      <c r="V202" s="118"/>
      <c r="W202" s="118"/>
      <c r="X202" s="118"/>
      <c r="Y202" s="118"/>
      <c r="Z202" s="115"/>
    </row>
    <row r="203" spans="11:26" ht="18" customHeight="1">
      <c r="K203" s="171" t="s">
        <v>14</v>
      </c>
      <c r="L203" s="171"/>
      <c r="M203" s="171"/>
      <c r="N203" s="145" t="s">
        <v>41</v>
      </c>
      <c r="O203" s="173">
        <v>7</v>
      </c>
      <c r="P203" s="234">
        <f ca="1">OFFSET($A$1,MATCH(Z198,$A:$A,0)-1,O203)</f>
        <v>0</v>
      </c>
      <c r="Q203" s="144" t="s">
        <v>29</v>
      </c>
      <c r="R203" s="118">
        <f t="shared" ca="1" si="47"/>
        <v>235459</v>
      </c>
      <c r="S203" s="118">
        <f t="shared" ca="1" si="47"/>
        <v>0</v>
      </c>
      <c r="T203" s="118">
        <f ca="1">초급</f>
        <v>235459</v>
      </c>
      <c r="U203" s="118">
        <f t="shared" ca="1" si="48"/>
        <v>0</v>
      </c>
      <c r="V203" s="118"/>
      <c r="W203" s="118"/>
      <c r="X203" s="118"/>
      <c r="Y203" s="118"/>
      <c r="Z203" s="115"/>
    </row>
    <row r="204" spans="11:26" ht="18" customHeight="1">
      <c r="K204" s="171" t="s">
        <v>14</v>
      </c>
      <c r="L204" s="171"/>
      <c r="M204" s="171"/>
      <c r="N204" s="319" t="s">
        <v>42</v>
      </c>
      <c r="O204" s="174">
        <v>8</v>
      </c>
      <c r="P204" s="235">
        <f ca="1">OFFSET($A$1,MATCH(Z198,$A:$A,0)-1,O204)</f>
        <v>0</v>
      </c>
      <c r="Q204" s="322" t="s">
        <v>29</v>
      </c>
      <c r="R204" s="323">
        <f t="shared" ca="1" si="47"/>
        <v>250087</v>
      </c>
      <c r="S204" s="323">
        <f t="shared" ca="1" si="47"/>
        <v>0</v>
      </c>
      <c r="T204" s="323">
        <f ca="1">보조원</f>
        <v>250087</v>
      </c>
      <c r="U204" s="323">
        <f t="shared" ca="1" si="48"/>
        <v>0</v>
      </c>
      <c r="V204" s="323"/>
      <c r="W204" s="323"/>
      <c r="X204" s="323"/>
      <c r="Y204" s="323"/>
      <c r="Z204" s="324"/>
    </row>
    <row r="205" spans="11:26" ht="18" customHeight="1">
      <c r="K205" s="171" t="s">
        <v>14</v>
      </c>
      <c r="L205" s="171"/>
      <c r="M205" s="171"/>
      <c r="N205" s="139" t="s">
        <v>17</v>
      </c>
      <c r="O205" s="68"/>
      <c r="P205" s="69"/>
      <c r="Q205" s="70"/>
      <c r="R205" s="71"/>
      <c r="S205" s="71">
        <f ca="1">SUBTOTAL(9,S199:S204)</f>
        <v>1065414</v>
      </c>
      <c r="T205" s="71"/>
      <c r="U205" s="71">
        <f ca="1">SUBTOTAL(9,U199:U204)</f>
        <v>1065414</v>
      </c>
      <c r="V205" s="71"/>
      <c r="W205" s="71"/>
      <c r="X205" s="71"/>
      <c r="Y205" s="71"/>
      <c r="Z205" s="68"/>
    </row>
    <row r="206" spans="11:26" ht="18" customHeight="1">
      <c r="K206" s="171" t="s">
        <v>14</v>
      </c>
      <c r="L206" s="171"/>
      <c r="M206" s="171"/>
    </row>
    <row r="207" spans="11:26" ht="18" customHeight="1">
      <c r="K207" s="171" t="s">
        <v>14</v>
      </c>
      <c r="L207" s="171"/>
      <c r="M207" s="171"/>
    </row>
    <row r="208" spans="11:26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L611" s="171"/>
      <c r="M611" s="171"/>
    </row>
    <row r="612" spans="11:13" ht="18" customHeight="1">
      <c r="L612" s="171"/>
      <c r="M612" s="171"/>
    </row>
    <row r="613" spans="11:13" ht="18" customHeight="1">
      <c r="L613" s="171"/>
      <c r="M613" s="171"/>
    </row>
    <row r="614" spans="11:13" ht="18" customHeight="1">
      <c r="L614" s="171"/>
      <c r="M614" s="171"/>
    </row>
    <row r="615" spans="11:13" ht="18" customHeight="1">
      <c r="L615" s="171"/>
      <c r="M615" s="171"/>
    </row>
    <row r="616" spans="11:13" ht="18" customHeight="1">
      <c r="L616" s="171"/>
      <c r="M616" s="171"/>
    </row>
    <row r="617" spans="11:13" ht="18" customHeight="1">
      <c r="L617" s="171"/>
      <c r="M617" s="171"/>
    </row>
    <row r="618" spans="11:13" ht="18" customHeight="1">
      <c r="L618" s="171"/>
      <c r="M618" s="171"/>
    </row>
    <row r="619" spans="11:13" ht="18" customHeight="1">
      <c r="L619" s="171"/>
      <c r="M619" s="171"/>
    </row>
    <row r="620" spans="11:13" ht="18" customHeight="1">
      <c r="L620" s="171"/>
      <c r="M620" s="171"/>
    </row>
    <row r="621" spans="11:13" ht="18" customHeight="1">
      <c r="L621" s="171"/>
      <c r="M621" s="171"/>
    </row>
    <row r="622" spans="11:13" ht="18" customHeight="1">
      <c r="L622" s="171"/>
      <c r="M622" s="171"/>
    </row>
    <row r="623" spans="11:13" ht="18" customHeight="1">
      <c r="L623" s="171"/>
      <c r="M623" s="171"/>
    </row>
    <row r="624" spans="11:13" ht="18" customHeight="1">
      <c r="L624" s="171"/>
      <c r="M624" s="171"/>
    </row>
    <row r="625" spans="12:13" ht="18" customHeight="1">
      <c r="L625" s="171"/>
      <c r="M625" s="171"/>
    </row>
    <row r="626" spans="12:13" ht="18" customHeight="1">
      <c r="L626" s="171"/>
      <c r="M626" s="171"/>
    </row>
    <row r="627" spans="12:13" ht="18" customHeight="1">
      <c r="L627" s="171"/>
      <c r="M627" s="171"/>
    </row>
    <row r="628" spans="12:13" ht="18" customHeight="1">
      <c r="L628" s="171"/>
      <c r="M628" s="171"/>
    </row>
    <row r="629" spans="12:13" ht="18" customHeight="1">
      <c r="L629" s="171"/>
      <c r="M629" s="171"/>
    </row>
    <row r="630" spans="12:13" ht="18" customHeight="1">
      <c r="L630" s="171"/>
      <c r="M630" s="171"/>
    </row>
    <row r="631" spans="12:13" ht="18" customHeight="1">
      <c r="L631" s="171"/>
      <c r="M631" s="171"/>
    </row>
    <row r="632" spans="12:13" ht="18" customHeight="1">
      <c r="L632" s="171"/>
      <c r="M632" s="171"/>
    </row>
    <row r="633" spans="12:13" ht="18" customHeight="1">
      <c r="L633" s="171"/>
      <c r="M633" s="171"/>
    </row>
    <row r="634" spans="12:13" ht="18" customHeight="1">
      <c r="L634" s="171"/>
      <c r="M634" s="171"/>
    </row>
    <row r="635" spans="12:13" ht="18" customHeight="1">
      <c r="L635" s="171"/>
      <c r="M635" s="171"/>
    </row>
    <row r="636" spans="12:13" ht="18" customHeight="1">
      <c r="L636" s="171"/>
      <c r="M636" s="171"/>
    </row>
    <row r="637" spans="12:13" ht="18" customHeight="1">
      <c r="L637" s="171"/>
      <c r="M637" s="171"/>
    </row>
    <row r="638" spans="12:13" ht="18" customHeight="1">
      <c r="L638" s="171"/>
      <c r="M638" s="171"/>
    </row>
    <row r="639" spans="12:13" ht="18" customHeight="1">
      <c r="L639" s="171"/>
      <c r="M639" s="171"/>
    </row>
    <row r="640" spans="12:13" ht="18" customHeight="1">
      <c r="L640" s="171"/>
      <c r="M640" s="171"/>
    </row>
    <row r="641" spans="12:13" ht="18" customHeight="1">
      <c r="L641" s="171"/>
      <c r="M641" s="171"/>
    </row>
    <row r="642" spans="12:13" ht="18" customHeight="1">
      <c r="L642" s="171"/>
      <c r="M642" s="171"/>
    </row>
    <row r="643" spans="12:13" ht="18" customHeight="1">
      <c r="L643" s="171"/>
      <c r="M643" s="171"/>
    </row>
    <row r="644" spans="12:13" ht="18" customHeight="1">
      <c r="L644" s="171"/>
      <c r="M644" s="171"/>
    </row>
    <row r="645" spans="12:13" ht="18" customHeight="1">
      <c r="L645" s="171"/>
      <c r="M645" s="171"/>
    </row>
    <row r="646" spans="12:13" ht="18" customHeight="1">
      <c r="L646" s="171"/>
      <c r="M646" s="171"/>
    </row>
    <row r="647" spans="12:13" ht="18" customHeight="1">
      <c r="L647" s="171"/>
      <c r="M647" s="171"/>
    </row>
    <row r="648" spans="12:13" ht="18" customHeight="1">
      <c r="L648" s="171"/>
      <c r="M648" s="171"/>
    </row>
    <row r="649" spans="12:13" ht="18" customHeight="1">
      <c r="L649" s="171"/>
      <c r="M649" s="171"/>
    </row>
    <row r="650" spans="12:13" ht="18" customHeight="1">
      <c r="L650" s="171"/>
      <c r="M650" s="171"/>
    </row>
    <row r="651" spans="12:13" ht="18" customHeight="1">
      <c r="L651" s="171"/>
      <c r="M651" s="171"/>
    </row>
    <row r="652" spans="12:13" ht="18" customHeight="1">
      <c r="L652" s="171"/>
      <c r="M652" s="171"/>
    </row>
    <row r="653" spans="12:13" ht="18" customHeight="1">
      <c r="L653" s="171"/>
      <c r="M653" s="171"/>
    </row>
    <row r="654" spans="12:13" ht="18" customHeight="1">
      <c r="L654" s="171"/>
      <c r="M654" s="171"/>
    </row>
    <row r="655" spans="12:13" ht="18" customHeight="1">
      <c r="L655" s="171"/>
      <c r="M655" s="171"/>
    </row>
    <row r="656" spans="12:13" ht="18" customHeight="1">
      <c r="L656" s="171"/>
      <c r="M656" s="171"/>
    </row>
    <row r="657" spans="12:13" ht="18" customHeight="1">
      <c r="L657" s="171"/>
      <c r="M657" s="171"/>
    </row>
    <row r="658" spans="12:13" ht="18" customHeight="1">
      <c r="L658" s="171"/>
      <c r="M658" s="171"/>
    </row>
    <row r="659" spans="12:13" ht="18" customHeight="1">
      <c r="L659" s="171"/>
      <c r="M659" s="171"/>
    </row>
    <row r="660" spans="12:13" ht="18" customHeight="1">
      <c r="L660" s="171"/>
      <c r="M660" s="171"/>
    </row>
    <row r="661" spans="12:13" ht="18" customHeight="1">
      <c r="L661" s="171"/>
      <c r="M661" s="171"/>
    </row>
    <row r="662" spans="12:13" ht="18" customHeight="1">
      <c r="L662" s="171"/>
      <c r="M662" s="171"/>
    </row>
    <row r="663" spans="12:13" ht="18" customHeight="1">
      <c r="L663" s="171"/>
      <c r="M663" s="171"/>
    </row>
    <row r="664" spans="12:13" ht="18" customHeight="1">
      <c r="L664" s="171"/>
      <c r="M664" s="171"/>
    </row>
    <row r="665" spans="12:13" ht="18" customHeight="1">
      <c r="L665" s="171"/>
      <c r="M665" s="171"/>
    </row>
    <row r="666" spans="12:13" ht="18" customHeight="1">
      <c r="L666" s="171"/>
      <c r="M666" s="171"/>
    </row>
    <row r="667" spans="12:13" ht="18" customHeight="1">
      <c r="L667" s="171"/>
      <c r="M667" s="171"/>
    </row>
    <row r="668" spans="12:13" ht="18" customHeight="1">
      <c r="L668" s="171"/>
      <c r="M668" s="171"/>
    </row>
    <row r="669" spans="12:13" ht="18" customHeight="1">
      <c r="L669" s="171"/>
      <c r="M669" s="171"/>
    </row>
    <row r="670" spans="12:13" ht="18" customHeight="1">
      <c r="L670" s="171"/>
      <c r="M670" s="171"/>
    </row>
    <row r="671" spans="12:13" ht="18" customHeight="1">
      <c r="L671" s="171"/>
      <c r="M671" s="171"/>
    </row>
    <row r="672" spans="12:13" ht="18" customHeight="1">
      <c r="L672" s="171"/>
      <c r="M672" s="171"/>
    </row>
    <row r="673" spans="12:13" ht="18" customHeight="1">
      <c r="L673" s="171"/>
      <c r="M673" s="171"/>
    </row>
    <row r="674" spans="12:13" ht="18" customHeight="1">
      <c r="L674" s="171"/>
      <c r="M674" s="171"/>
    </row>
    <row r="675" spans="12:13" ht="18" customHeight="1">
      <c r="L675" s="171"/>
      <c r="M675" s="171"/>
    </row>
    <row r="676" spans="12:13" ht="18" customHeight="1">
      <c r="L676" s="171"/>
      <c r="M676" s="171"/>
    </row>
    <row r="677" spans="12:13" ht="18" customHeight="1">
      <c r="L677" s="171"/>
      <c r="M677" s="171"/>
    </row>
    <row r="678" spans="12:13" ht="18" customHeight="1">
      <c r="L678" s="171"/>
      <c r="M678" s="171"/>
    </row>
    <row r="679" spans="12:13" ht="18" customHeight="1">
      <c r="L679" s="171"/>
      <c r="M679" s="171"/>
    </row>
    <row r="680" spans="12:13" ht="18" customHeight="1">
      <c r="L680" s="171"/>
      <c r="M680" s="171"/>
    </row>
    <row r="681" spans="12:13" ht="18" customHeight="1">
      <c r="L681" s="171"/>
      <c r="M681" s="171"/>
    </row>
    <row r="682" spans="12:13" ht="18" customHeight="1">
      <c r="L682" s="171"/>
      <c r="M682" s="171"/>
    </row>
    <row r="683" spans="12:13" ht="18" customHeight="1">
      <c r="L683" s="171"/>
      <c r="M683" s="171"/>
    </row>
    <row r="684" spans="12:13" ht="18" customHeight="1">
      <c r="L684" s="171"/>
      <c r="M684" s="171"/>
    </row>
    <row r="685" spans="12:13" ht="18" customHeight="1">
      <c r="L685" s="171"/>
      <c r="M685" s="171"/>
    </row>
    <row r="686" spans="12:13" ht="18" customHeight="1">
      <c r="L686" s="171"/>
      <c r="M686" s="171"/>
    </row>
    <row r="687" spans="12:13" ht="18" customHeight="1">
      <c r="L687" s="171"/>
      <c r="M687" s="171"/>
    </row>
    <row r="688" spans="12:13" ht="18" customHeight="1">
      <c r="L688" s="171"/>
      <c r="M688" s="171"/>
    </row>
    <row r="689" spans="12:13" ht="18" customHeight="1">
      <c r="L689" s="171"/>
      <c r="M689" s="171"/>
    </row>
    <row r="690" spans="12:13" ht="18" customHeight="1">
      <c r="L690" s="171"/>
      <c r="M690" s="171"/>
    </row>
    <row r="691" spans="12:13" ht="18" customHeight="1">
      <c r="L691" s="171"/>
      <c r="M691" s="171"/>
    </row>
    <row r="692" spans="12:13" ht="18" customHeight="1">
      <c r="L692" s="171"/>
      <c r="M692" s="171"/>
    </row>
    <row r="693" spans="12:13" ht="18" customHeight="1">
      <c r="L693" s="171"/>
      <c r="M693" s="171"/>
    </row>
    <row r="694" spans="12:13" ht="18" customHeight="1">
      <c r="L694" s="171"/>
      <c r="M694" s="171"/>
    </row>
    <row r="695" spans="12:13" ht="18" customHeight="1">
      <c r="L695" s="171"/>
      <c r="M695" s="171"/>
    </row>
    <row r="696" spans="12:13" ht="18" customHeight="1">
      <c r="L696" s="171"/>
      <c r="M696" s="171"/>
    </row>
    <row r="697" spans="12:13" ht="18" customHeight="1">
      <c r="L697" s="171"/>
      <c r="M697" s="171"/>
    </row>
    <row r="698" spans="12:13" ht="18" customHeight="1">
      <c r="L698" s="171"/>
      <c r="M698" s="171"/>
    </row>
    <row r="699" spans="12:13" ht="18" customHeight="1">
      <c r="L699" s="171"/>
      <c r="M699" s="171"/>
    </row>
    <row r="700" spans="12:13" ht="18" customHeight="1">
      <c r="L700" s="171"/>
      <c r="M700" s="171"/>
    </row>
    <row r="701" spans="12:13" ht="18" customHeight="1">
      <c r="L701" s="171"/>
      <c r="M701" s="171"/>
    </row>
    <row r="702" spans="12:13" ht="18" customHeight="1">
      <c r="L702" s="171"/>
      <c r="M702" s="171"/>
    </row>
    <row r="703" spans="12:13" ht="18" customHeight="1">
      <c r="L703" s="171"/>
      <c r="M703" s="171"/>
    </row>
    <row r="704" spans="12:13" ht="18" customHeight="1">
      <c r="L704" s="171"/>
      <c r="M704" s="171"/>
    </row>
    <row r="705" spans="12:13" ht="18" customHeight="1">
      <c r="L705" s="171"/>
      <c r="M705" s="171"/>
    </row>
    <row r="706" spans="12:13" ht="18" customHeight="1">
      <c r="L706" s="171"/>
      <c r="M706" s="171"/>
    </row>
    <row r="707" spans="12:13" ht="18" customHeight="1">
      <c r="L707" s="171"/>
      <c r="M707" s="171"/>
    </row>
    <row r="708" spans="12:13" ht="18" customHeight="1">
      <c r="L708" s="171"/>
      <c r="M708" s="171"/>
    </row>
    <row r="709" spans="12:13" ht="18" customHeight="1">
      <c r="L709" s="171"/>
      <c r="M709" s="171"/>
    </row>
    <row r="710" spans="12:13" ht="18" customHeight="1">
      <c r="L710" s="171"/>
      <c r="M710" s="171"/>
    </row>
    <row r="711" spans="12:13" ht="18" customHeight="1">
      <c r="L711" s="171"/>
      <c r="M711" s="171"/>
    </row>
    <row r="712" spans="12:13" ht="18" customHeight="1">
      <c r="L712" s="171"/>
      <c r="M712" s="171"/>
    </row>
    <row r="713" spans="12:13" ht="18" customHeight="1">
      <c r="L713" s="171"/>
      <c r="M713" s="171"/>
    </row>
    <row r="714" spans="12:13" ht="18" customHeight="1">
      <c r="L714" s="171"/>
      <c r="M714" s="171"/>
    </row>
    <row r="715" spans="12:13" ht="18" customHeight="1">
      <c r="L715" s="171"/>
      <c r="M715" s="171"/>
    </row>
    <row r="716" spans="12:13" ht="18" customHeight="1">
      <c r="L716" s="171"/>
      <c r="M716" s="171"/>
    </row>
    <row r="717" spans="12:13" ht="18" customHeight="1">
      <c r="L717" s="171"/>
      <c r="M717" s="171"/>
    </row>
    <row r="718" spans="12:13" ht="18" customHeight="1">
      <c r="L718" s="171"/>
      <c r="M718" s="171"/>
    </row>
    <row r="719" spans="12:13" ht="18" customHeight="1">
      <c r="L719" s="171"/>
      <c r="M719" s="171"/>
    </row>
    <row r="720" spans="12:13" ht="18" customHeight="1">
      <c r="L720" s="171"/>
      <c r="M720" s="171"/>
    </row>
    <row r="721" spans="12:13" ht="18" customHeight="1">
      <c r="L721" s="171"/>
      <c r="M721" s="171"/>
    </row>
    <row r="722" spans="12:13" ht="18" customHeight="1">
      <c r="L722" s="171"/>
      <c r="M722" s="171"/>
    </row>
    <row r="723" spans="12:13" ht="18" customHeight="1">
      <c r="L723" s="171"/>
      <c r="M723" s="171"/>
    </row>
    <row r="724" spans="12:13" ht="18" customHeight="1">
      <c r="L724" s="171"/>
      <c r="M724" s="171"/>
    </row>
    <row r="725" spans="12:13" ht="18" customHeight="1">
      <c r="L725" s="171"/>
      <c r="M725" s="171"/>
    </row>
    <row r="726" spans="12:13" ht="18" customHeight="1">
      <c r="L726" s="171"/>
      <c r="M726" s="171"/>
    </row>
    <row r="727" spans="12:13" ht="18" customHeight="1">
      <c r="L727" s="171"/>
      <c r="M727" s="171"/>
    </row>
    <row r="728" spans="12:13" ht="18" customHeight="1">
      <c r="L728" s="171"/>
      <c r="M728" s="171"/>
    </row>
    <row r="729" spans="12:13" ht="18" customHeight="1">
      <c r="L729" s="171"/>
      <c r="M729" s="171"/>
    </row>
    <row r="730" spans="12:13" ht="18" customHeight="1">
      <c r="L730" s="171"/>
      <c r="M730" s="171"/>
    </row>
    <row r="731" spans="12:13" ht="18" customHeight="1">
      <c r="L731" s="171"/>
      <c r="M731" s="171"/>
    </row>
    <row r="732" spans="12:13" ht="18" customHeight="1">
      <c r="L732" s="171"/>
      <c r="M732" s="171"/>
    </row>
    <row r="733" spans="12:13" ht="18" customHeight="1">
      <c r="L733" s="171"/>
      <c r="M733" s="171"/>
    </row>
    <row r="734" spans="12:13" ht="18" customHeight="1">
      <c r="L734" s="171"/>
      <c r="M734" s="171"/>
    </row>
    <row r="735" spans="12:13" ht="18" customHeight="1">
      <c r="L735" s="171"/>
      <c r="M735" s="171"/>
    </row>
    <row r="736" spans="12:13" ht="18" customHeight="1">
      <c r="L736" s="171"/>
      <c r="M736" s="171"/>
    </row>
    <row r="737" spans="12:13" ht="18" customHeight="1">
      <c r="L737" s="171"/>
      <c r="M737" s="171"/>
    </row>
    <row r="738" spans="12:13" ht="18" customHeight="1">
      <c r="L738" s="171"/>
      <c r="M738" s="171"/>
    </row>
    <row r="739" spans="12:13" ht="18" customHeight="1">
      <c r="L739" s="171"/>
      <c r="M739" s="171"/>
    </row>
    <row r="740" spans="12:13" ht="18" customHeight="1">
      <c r="L740" s="171"/>
      <c r="M740" s="171"/>
    </row>
    <row r="741" spans="12:13" ht="18" customHeight="1">
      <c r="L741" s="171"/>
      <c r="M741" s="171"/>
    </row>
    <row r="742" spans="12:13" ht="18" customHeight="1">
      <c r="L742" s="171"/>
      <c r="M742" s="171"/>
    </row>
    <row r="743" spans="12:13" ht="18" customHeight="1">
      <c r="L743" s="171"/>
      <c r="M743" s="171"/>
    </row>
    <row r="744" spans="12:13" ht="18" customHeight="1">
      <c r="L744" s="171"/>
      <c r="M744" s="171"/>
    </row>
    <row r="745" spans="12:13" ht="18" customHeight="1">
      <c r="L745" s="171"/>
      <c r="M745" s="171"/>
    </row>
    <row r="746" spans="12:13" ht="18" customHeight="1">
      <c r="L746" s="171"/>
      <c r="M746" s="171"/>
    </row>
    <row r="747" spans="12:13" ht="18" customHeight="1">
      <c r="L747" s="171"/>
      <c r="M747" s="171"/>
    </row>
    <row r="748" spans="12:13" ht="18" customHeight="1">
      <c r="L748" s="171"/>
      <c r="M748" s="171"/>
    </row>
    <row r="749" spans="12:13" ht="18" customHeight="1">
      <c r="L749" s="171"/>
      <c r="M749" s="171"/>
    </row>
    <row r="750" spans="12:13" ht="18" customHeight="1">
      <c r="L750" s="171"/>
      <c r="M750" s="171"/>
    </row>
    <row r="751" spans="12:13" ht="18" customHeight="1">
      <c r="L751" s="171"/>
      <c r="M751" s="171"/>
    </row>
    <row r="752" spans="12:13" ht="18" customHeight="1">
      <c r="L752" s="171"/>
      <c r="M752" s="171"/>
    </row>
    <row r="753" spans="12:13" ht="18" customHeight="1">
      <c r="L753" s="171"/>
      <c r="M753" s="171"/>
    </row>
    <row r="754" spans="12:13" ht="18" customHeight="1">
      <c r="L754" s="171"/>
      <c r="M754" s="171"/>
    </row>
    <row r="755" spans="12:13" ht="18" customHeight="1">
      <c r="L755" s="171"/>
      <c r="M755" s="171"/>
    </row>
    <row r="756" spans="12:13" ht="18" customHeight="1">
      <c r="L756" s="171"/>
      <c r="M756" s="171"/>
    </row>
    <row r="757" spans="12:13" ht="18" customHeight="1">
      <c r="L757" s="171"/>
      <c r="M757" s="171"/>
    </row>
    <row r="758" spans="12:13" ht="18" customHeight="1">
      <c r="L758" s="171"/>
      <c r="M758" s="171"/>
    </row>
    <row r="759" spans="12:13" ht="18" customHeight="1">
      <c r="L759" s="171"/>
      <c r="M759" s="171"/>
    </row>
    <row r="760" spans="12:13" ht="18" customHeight="1">
      <c r="L760" s="171"/>
      <c r="M760" s="171"/>
    </row>
    <row r="761" spans="12:13" ht="18" customHeight="1">
      <c r="L761" s="171"/>
      <c r="M761" s="171"/>
    </row>
    <row r="762" spans="12:13" ht="18" customHeight="1">
      <c r="L762" s="171"/>
      <c r="M762" s="171"/>
    </row>
    <row r="763" spans="12:13" ht="18" customHeight="1">
      <c r="L763" s="171"/>
      <c r="M763" s="171"/>
    </row>
    <row r="764" spans="12:13" ht="18" customHeight="1">
      <c r="L764" s="171"/>
      <c r="M764" s="171"/>
    </row>
    <row r="765" spans="12:13" ht="18" customHeight="1">
      <c r="M765" s="171"/>
    </row>
  </sheetData>
  <mergeCells count="16">
    <mergeCell ref="N52:N53"/>
    <mergeCell ref="O52:O53"/>
    <mergeCell ref="P52:P53"/>
    <mergeCell ref="Q52:Q53"/>
    <mergeCell ref="Z52:Z53"/>
    <mergeCell ref="B6:C6"/>
    <mergeCell ref="D6:E6"/>
    <mergeCell ref="B15:C16"/>
    <mergeCell ref="J15:J16"/>
    <mergeCell ref="L15:L16"/>
    <mergeCell ref="B3:C3"/>
    <mergeCell ref="D3:E3"/>
    <mergeCell ref="B4:C4"/>
    <mergeCell ref="D4:E4"/>
    <mergeCell ref="B5:C5"/>
    <mergeCell ref="D5:E5"/>
  </mergeCells>
  <phoneticPr fontId="14" type="noConversion"/>
  <conditionalFormatting sqref="V17:V41">
    <cfRule type="cellIs" dxfId="3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9" min="13" max="28" man="1"/>
    <brk id="76" min="13" max="28" man="1"/>
    <brk id="97" min="13" max="28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84673" r:id="rId4" name="Group Box 1">
              <controlPr defaultSize="0" autoFill="0" autoPict="0">
                <anchor moveWithCells="1" sizeWithCells="1">
                  <from>
                    <xdr:col>5</xdr:col>
                    <xdr:colOff>590550</xdr:colOff>
                    <xdr:row>0</xdr:row>
                    <xdr:rowOff>66675</xdr:rowOff>
                  </from>
                  <to>
                    <xdr:col>8</xdr:col>
                    <xdr:colOff>390525</xdr:colOff>
                    <xdr:row>1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74" r:id="rId5" name="Option Button 2">
              <controlPr defaultSize="0" autoFill="0" autoLine="0" autoPict="0">
                <anchor moveWithCells="1" sizeWithCells="1">
                  <from>
                    <xdr:col>6</xdr:col>
                    <xdr:colOff>85725</xdr:colOff>
                    <xdr:row>0</xdr:row>
                    <xdr:rowOff>133350</xdr:rowOff>
                  </from>
                  <to>
                    <xdr:col>7</xdr:col>
                    <xdr:colOff>209550</xdr:colOff>
                    <xdr:row>1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75" r:id="rId6" name="Option Button 3">
              <controlPr locked="0" defaultSize="0" autoFill="0" autoLine="0" autoPict="0">
                <anchor moveWithCells="1" sizeWithCells="1">
                  <from>
                    <xdr:col>7</xdr:col>
                    <xdr:colOff>190500</xdr:colOff>
                    <xdr:row>0</xdr:row>
                    <xdr:rowOff>133350</xdr:rowOff>
                  </from>
                  <to>
                    <xdr:col>8</xdr:col>
                    <xdr:colOff>323850</xdr:colOff>
                    <xdr:row>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84676" r:id="rId7" name="Drop Down 4">
              <controlPr defaultSize="0" autoLine="0" autoPict="0">
                <anchor moveWithCells="1">
                  <from>
                    <xdr:col>10</xdr:col>
                    <xdr:colOff>19050</xdr:colOff>
                    <xdr:row>1</xdr:row>
                    <xdr:rowOff>238125</xdr:rowOff>
                  </from>
                  <to>
                    <xdr:col>14</xdr:col>
                    <xdr:colOff>104775</xdr:colOff>
                    <xdr:row>2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 codeName="Sheet102">
    <tabColor theme="5" tint="0.39997558519241921"/>
    <pageSetUpPr fitToPage="1"/>
  </sheetPr>
  <dimension ref="A1:Z756"/>
  <sheetViews>
    <sheetView showGridLines="0" zoomScaleNormal="100" zoomScaleSheetLayoutView="75" workbookViewId="0">
      <selection activeCell="P57" sqref="P57"/>
    </sheetView>
  </sheetViews>
  <sheetFormatPr defaultColWidth="12" defaultRowHeight="18" customHeight="1"/>
  <cols>
    <col min="1" max="1" width="4.33203125" style="315" customWidth="1"/>
    <col min="2" max="2" width="3.6640625" style="1" customWidth="1"/>
    <col min="3" max="3" width="48.1640625" style="1" customWidth="1"/>
    <col min="4" max="9" width="10.5" style="1" customWidth="1"/>
    <col min="10" max="10" width="10.6640625" style="1" customWidth="1"/>
    <col min="11" max="11" width="2.6640625" style="1" customWidth="1"/>
    <col min="12" max="12" width="9" style="1" customWidth="1"/>
    <col min="13" max="13" width="2.6640625" style="1" customWidth="1"/>
    <col min="14" max="14" width="20.832031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5" style="6" bestFit="1" customWidth="1"/>
    <col min="20" max="20" width="14.6640625" style="6" bestFit="1" customWidth="1"/>
    <col min="21" max="21" width="17.5" style="6" bestFit="1" customWidth="1"/>
    <col min="22" max="22" width="13.3320312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7" t="s">
        <v>656</v>
      </c>
    </row>
    <row r="2" spans="1:26" ht="19.5" thickBot="1">
      <c r="B2" s="66" t="s">
        <v>1</v>
      </c>
    </row>
    <row r="3" spans="1:26" ht="18" customHeight="1">
      <c r="B3" s="773" t="s">
        <v>48</v>
      </c>
      <c r="C3" s="774"/>
      <c r="D3" s="845">
        <v>50</v>
      </c>
      <c r="E3" s="845"/>
      <c r="F3" s="44" t="s">
        <v>53</v>
      </c>
    </row>
    <row r="4" spans="1:26" ht="18" customHeight="1">
      <c r="B4" s="777" t="s">
        <v>54</v>
      </c>
      <c r="C4" s="778"/>
      <c r="D4" s="846">
        <v>90</v>
      </c>
      <c r="E4" s="846"/>
      <c r="F4" s="65" t="s">
        <v>53</v>
      </c>
    </row>
    <row r="5" spans="1:26" ht="18" customHeight="1" thickBot="1">
      <c r="A5" s="326"/>
      <c r="B5" s="781" t="s">
        <v>62</v>
      </c>
      <c r="C5" s="782"/>
      <c r="D5" s="784">
        <f>ROUND((IF(D4&lt;=10,10,D4)/D3)^0.5,3)</f>
        <v>1.3420000000000001</v>
      </c>
      <c r="E5" s="784"/>
      <c r="F5" s="45"/>
      <c r="G5" s="36"/>
    </row>
    <row r="6" spans="1:26" ht="18" customHeight="1">
      <c r="A6" s="326"/>
      <c r="B6" s="9" t="s">
        <v>653</v>
      </c>
      <c r="C6" s="9"/>
      <c r="D6" s="64"/>
      <c r="E6" s="64"/>
      <c r="G6" s="36"/>
      <c r="R6" s="1"/>
      <c r="S6" s="1"/>
      <c r="T6" s="1"/>
    </row>
    <row r="7" spans="1:26" ht="18" customHeight="1">
      <c r="A7" s="326"/>
      <c r="G7" s="36"/>
      <c r="W7" s="188" t="s">
        <v>3</v>
      </c>
      <c r="X7" s="189"/>
    </row>
    <row r="8" spans="1:26" ht="18" customHeight="1" thickBot="1">
      <c r="A8" s="326"/>
      <c r="B8" s="66" t="s">
        <v>4</v>
      </c>
      <c r="C8" s="9"/>
      <c r="D8" s="64"/>
      <c r="E8" s="64"/>
      <c r="G8" s="36"/>
      <c r="N8" s="66" t="s">
        <v>5</v>
      </c>
    </row>
    <row r="9" spans="1:26" ht="18" customHeight="1" thickBot="1">
      <c r="A9" s="326"/>
      <c r="B9" s="9"/>
      <c r="N9" s="151" t="s">
        <v>44</v>
      </c>
      <c r="O9" s="119"/>
      <c r="P9" s="119"/>
      <c r="Q9" s="120"/>
      <c r="R9" s="120"/>
      <c r="S9" s="120"/>
      <c r="T9" s="120"/>
      <c r="U9" s="121"/>
      <c r="V9" s="121"/>
      <c r="W9" s="186">
        <f ca="1">SUBTOTAL(9,W10:W34)</f>
        <v>90016600</v>
      </c>
      <c r="X9" s="187"/>
      <c r="Y9" s="177"/>
      <c r="Z9" s="167"/>
    </row>
    <row r="10" spans="1:26" ht="18" customHeight="1">
      <c r="A10" s="326"/>
      <c r="B10" s="757" t="s">
        <v>30</v>
      </c>
      <c r="C10" s="758"/>
      <c r="D10" s="14" t="s">
        <v>6</v>
      </c>
      <c r="E10" s="15"/>
      <c r="F10" s="15"/>
      <c r="G10" s="15"/>
      <c r="H10" s="15"/>
      <c r="I10" s="16"/>
      <c r="J10" s="761" t="s">
        <v>31</v>
      </c>
      <c r="L10" s="763" t="s">
        <v>7</v>
      </c>
      <c r="N10" s="127" t="s">
        <v>8</v>
      </c>
      <c r="O10" s="122"/>
      <c r="P10" s="122"/>
      <c r="Q10" s="123"/>
      <c r="R10" s="123"/>
      <c r="S10" s="123"/>
      <c r="T10" s="123"/>
      <c r="U10" s="184"/>
      <c r="V10" s="184"/>
      <c r="W10" s="163">
        <f ca="1">SUBTOTAL(9,W11:W31)</f>
        <v>33169625</v>
      </c>
      <c r="X10" s="164"/>
      <c r="Y10" s="178" t="s">
        <v>9</v>
      </c>
      <c r="Z10" s="179"/>
    </row>
    <row r="11" spans="1:26" ht="18" customHeight="1" thickBot="1">
      <c r="A11" s="326"/>
      <c r="B11" s="820"/>
      <c r="C11" s="821"/>
      <c r="D11" s="17" t="s">
        <v>33</v>
      </c>
      <c r="E11" s="19" t="s">
        <v>34</v>
      </c>
      <c r="F11" s="19" t="s">
        <v>35</v>
      </c>
      <c r="G11" s="19" t="s">
        <v>36</v>
      </c>
      <c r="H11" s="19" t="s">
        <v>37</v>
      </c>
      <c r="I11" s="18" t="s">
        <v>38</v>
      </c>
      <c r="J11" s="762"/>
      <c r="L11" s="764"/>
      <c r="N11" s="290" t="s">
        <v>45</v>
      </c>
      <c r="O11" s="124"/>
      <c r="P11" s="125"/>
      <c r="Q11" s="126"/>
      <c r="R11" s="126"/>
      <c r="S11" s="126"/>
      <c r="T11" s="126"/>
      <c r="U11" s="181"/>
      <c r="V11" s="181"/>
      <c r="W11" s="159">
        <f ca="1">SUBTOTAL(9,W12:W27)</f>
        <v>31669625</v>
      </c>
      <c r="X11" s="160"/>
      <c r="Y11" s="220"/>
      <c r="Z11" s="168"/>
    </row>
    <row r="12" spans="1:26" ht="18" customHeight="1">
      <c r="A12" s="326"/>
      <c r="B12" s="225" t="s">
        <v>655</v>
      </c>
      <c r="C12" s="72"/>
      <c r="D12" s="30">
        <f t="shared" ref="D12:I12" si="0">SUBTOTAL(9,D13:D15)</f>
        <v>0.30000000000000004</v>
      </c>
      <c r="E12" s="31">
        <f t="shared" si="0"/>
        <v>0.60000000000000009</v>
      </c>
      <c r="F12" s="31">
        <f t="shared" si="0"/>
        <v>1.1000000000000001</v>
      </c>
      <c r="G12" s="31">
        <f t="shared" si="0"/>
        <v>1.7</v>
      </c>
      <c r="H12" s="31">
        <f t="shared" si="0"/>
        <v>3</v>
      </c>
      <c r="I12" s="32">
        <f t="shared" si="0"/>
        <v>3.5</v>
      </c>
      <c r="J12" s="73"/>
      <c r="L12" s="232"/>
      <c r="N12" s="354" t="s">
        <v>654</v>
      </c>
      <c r="O12" s="169"/>
      <c r="P12" s="169"/>
      <c r="Q12" s="169"/>
      <c r="R12" s="169"/>
      <c r="S12" s="169"/>
      <c r="T12" s="169"/>
      <c r="U12" s="265"/>
      <c r="V12" s="248"/>
      <c r="W12" s="193">
        <f ca="1">SUBTOTAL(9,W13:W15)</f>
        <v>765028</v>
      </c>
      <c r="X12" s="194"/>
      <c r="Y12" s="170" t="str">
        <f t="shared" ref="Y12:Y21" si="1">IF(A29&gt;0, "제 " &amp;A29&amp; " 호표","")</f>
        <v/>
      </c>
      <c r="Z12" s="170"/>
    </row>
    <row r="13" spans="1:26" ht="18" customHeight="1">
      <c r="A13" s="326"/>
      <c r="B13" s="223" t="s">
        <v>139</v>
      </c>
      <c r="C13" s="23"/>
      <c r="D13" s="20">
        <v>0.1</v>
      </c>
      <c r="E13" s="21">
        <v>0.2</v>
      </c>
      <c r="F13" s="21">
        <v>0.3</v>
      </c>
      <c r="G13" s="21">
        <v>0.5</v>
      </c>
      <c r="H13" s="21">
        <v>0.9</v>
      </c>
      <c r="I13" s="22">
        <v>1</v>
      </c>
      <c r="J13" s="74"/>
      <c r="L13" s="233">
        <v>0</v>
      </c>
      <c r="N13" s="292" t="s">
        <v>138</v>
      </c>
      <c r="O13" s="37"/>
      <c r="P13" s="37"/>
      <c r="Q13" s="37"/>
      <c r="R13" s="37"/>
      <c r="S13" s="37"/>
      <c r="T13" s="37"/>
      <c r="U13" s="265"/>
      <c r="V13" s="248"/>
      <c r="W13" s="153">
        <f t="array" aca="1" ref="W13" ca="1">SUM((ROUNDDOWN((D30:I30)*단가,0)))</f>
        <v>0</v>
      </c>
      <c r="X13" s="113"/>
      <c r="Y13" s="263" t="str">
        <f t="shared" si="1"/>
        <v>제 1 호표</v>
      </c>
      <c r="Z13" s="37"/>
    </row>
    <row r="14" spans="1:26" ht="18" customHeight="1">
      <c r="A14" s="326"/>
      <c r="B14" s="223" t="s">
        <v>141</v>
      </c>
      <c r="C14" s="23"/>
      <c r="D14" s="20">
        <v>0.1</v>
      </c>
      <c r="E14" s="21">
        <v>0.2</v>
      </c>
      <c r="F14" s="21">
        <v>0.3</v>
      </c>
      <c r="G14" s="21">
        <v>0.5</v>
      </c>
      <c r="H14" s="21">
        <v>0.9</v>
      </c>
      <c r="I14" s="22">
        <v>1</v>
      </c>
      <c r="J14" s="74"/>
      <c r="L14" s="233">
        <v>0</v>
      </c>
      <c r="N14" s="292" t="s">
        <v>140</v>
      </c>
      <c r="O14" s="37"/>
      <c r="P14" s="37"/>
      <c r="Q14" s="37"/>
      <c r="R14" s="37"/>
      <c r="S14" s="37"/>
      <c r="T14" s="37"/>
      <c r="U14" s="265"/>
      <c r="V14" s="248"/>
      <c r="W14" s="153">
        <f t="array" aca="1" ref="W14" ca="1">SUM((ROUNDDOWN((D31:I31)*단가,0)))</f>
        <v>0</v>
      </c>
      <c r="X14" s="154"/>
      <c r="Y14" s="263" t="str">
        <f t="shared" si="1"/>
        <v>제 2 호표</v>
      </c>
      <c r="Z14" s="150"/>
    </row>
    <row r="15" spans="1:26" ht="18" customHeight="1">
      <c r="A15" s="326"/>
      <c r="B15" s="223" t="s">
        <v>121</v>
      </c>
      <c r="C15" s="23"/>
      <c r="D15" s="40">
        <v>0.1</v>
      </c>
      <c r="E15" s="21">
        <v>0.2</v>
      </c>
      <c r="F15" s="21">
        <v>0.5</v>
      </c>
      <c r="G15" s="21">
        <v>0.7</v>
      </c>
      <c r="H15" s="21">
        <v>1.2</v>
      </c>
      <c r="I15" s="22">
        <v>1.5</v>
      </c>
      <c r="J15" s="74"/>
      <c r="L15" s="233">
        <v>0.5</v>
      </c>
      <c r="N15" s="292" t="s">
        <v>120</v>
      </c>
      <c r="O15" s="37"/>
      <c r="P15" s="37"/>
      <c r="Q15" s="37"/>
      <c r="R15" s="37"/>
      <c r="S15" s="37"/>
      <c r="T15" s="37"/>
      <c r="U15" s="265"/>
      <c r="V15" s="248"/>
      <c r="W15" s="153">
        <f t="array" aca="1" ref="W15" ca="1">SUM((ROUNDDOWN((D32:I32)*단가,0)))</f>
        <v>765028</v>
      </c>
      <c r="X15" s="154"/>
      <c r="Y15" s="263" t="str">
        <f t="shared" si="1"/>
        <v>제 3 호표</v>
      </c>
      <c r="Z15" s="150"/>
    </row>
    <row r="16" spans="1:26" ht="18" customHeight="1">
      <c r="A16" s="326"/>
      <c r="B16" s="222" t="s">
        <v>658</v>
      </c>
      <c r="C16" s="47"/>
      <c r="D16" s="33">
        <f t="shared" ref="D16:I16" si="2">SUBTOTAL(9,D17:D21)</f>
        <v>0.8</v>
      </c>
      <c r="E16" s="34">
        <f t="shared" si="2"/>
        <v>3.6000000000000005</v>
      </c>
      <c r="F16" s="34">
        <f t="shared" si="2"/>
        <v>9.7000000000000011</v>
      </c>
      <c r="G16" s="34">
        <f t="shared" si="2"/>
        <v>14</v>
      </c>
      <c r="H16" s="34">
        <f t="shared" si="2"/>
        <v>26.500000000000004</v>
      </c>
      <c r="I16" s="35">
        <f t="shared" si="2"/>
        <v>30.6</v>
      </c>
      <c r="J16" s="74"/>
      <c r="L16" s="233"/>
      <c r="N16" s="79" t="s">
        <v>657</v>
      </c>
      <c r="O16" s="37"/>
      <c r="P16" s="39"/>
      <c r="Q16" s="37"/>
      <c r="R16" s="117"/>
      <c r="S16" s="37"/>
      <c r="T16" s="37"/>
      <c r="U16" s="265"/>
      <c r="V16" s="248"/>
      <c r="W16" s="195">
        <f ca="1">SUBTOTAL(9,W17:W21)</f>
        <v>25478953</v>
      </c>
      <c r="X16" s="196"/>
      <c r="Y16" s="263" t="str">
        <f t="shared" si="1"/>
        <v/>
      </c>
      <c r="Z16" s="150"/>
    </row>
    <row r="17" spans="1:26" ht="18" customHeight="1">
      <c r="A17" s="326"/>
      <c r="B17" s="223" t="s">
        <v>660</v>
      </c>
      <c r="C17" s="23"/>
      <c r="D17" s="20">
        <v>0.4</v>
      </c>
      <c r="E17" s="21">
        <v>0.7</v>
      </c>
      <c r="F17" s="21">
        <v>1.4</v>
      </c>
      <c r="G17" s="21">
        <v>2</v>
      </c>
      <c r="H17" s="21">
        <v>3.8</v>
      </c>
      <c r="I17" s="22">
        <v>4.3</v>
      </c>
      <c r="J17" s="74"/>
      <c r="L17" s="233">
        <v>1</v>
      </c>
      <c r="N17" s="292" t="s">
        <v>659</v>
      </c>
      <c r="O17" s="37"/>
      <c r="P17" s="39"/>
      <c r="Q17" s="37"/>
      <c r="R17" s="117"/>
      <c r="S17" s="37"/>
      <c r="T17" s="37"/>
      <c r="U17" s="265"/>
      <c r="V17" s="248"/>
      <c r="W17" s="153">
        <f t="array" aca="1" ref="W17" ca="1">SUM((ROUNDDOWN((D34:I34)*단가,0)))</f>
        <v>4620602</v>
      </c>
      <c r="X17" s="154"/>
      <c r="Y17" s="263" t="str">
        <f t="shared" si="1"/>
        <v>제 4 호표</v>
      </c>
      <c r="Z17" s="150"/>
    </row>
    <row r="18" spans="1:26" ht="18" customHeight="1">
      <c r="A18" s="326"/>
      <c r="B18" s="223" t="s">
        <v>662</v>
      </c>
      <c r="C18" s="23"/>
      <c r="D18" s="20">
        <v>0</v>
      </c>
      <c r="E18" s="21">
        <v>0.8</v>
      </c>
      <c r="F18" s="21">
        <v>4.0999999999999996</v>
      </c>
      <c r="G18" s="21">
        <v>6</v>
      </c>
      <c r="H18" s="21">
        <v>11.3</v>
      </c>
      <c r="I18" s="22">
        <v>13</v>
      </c>
      <c r="J18" s="74"/>
      <c r="L18" s="233">
        <v>0.7</v>
      </c>
      <c r="N18" s="292" t="s">
        <v>661</v>
      </c>
      <c r="O18" s="37"/>
      <c r="P18" s="39"/>
      <c r="Q18" s="37"/>
      <c r="R18" s="117"/>
      <c r="S18" s="37"/>
      <c r="T18" s="37"/>
      <c r="U18" s="226"/>
      <c r="V18" s="248"/>
      <c r="W18" s="153">
        <f t="array" aca="1" ref="W18" ca="1">SUM((ROUNDDOWN((D35:I35)*단가,0)))</f>
        <v>8694458</v>
      </c>
      <c r="X18" s="154"/>
      <c r="Y18" s="263" t="str">
        <f t="shared" si="1"/>
        <v>제 5 호표</v>
      </c>
      <c r="Z18" s="150"/>
    </row>
    <row r="19" spans="1:26" ht="18" customHeight="1">
      <c r="A19" s="326"/>
      <c r="B19" s="223" t="s">
        <v>143</v>
      </c>
      <c r="C19" s="23"/>
      <c r="D19" s="20">
        <v>0.4</v>
      </c>
      <c r="E19" s="21">
        <v>0.7</v>
      </c>
      <c r="F19" s="21">
        <v>1.4</v>
      </c>
      <c r="G19" s="21">
        <v>2</v>
      </c>
      <c r="H19" s="21">
        <v>3.8</v>
      </c>
      <c r="I19" s="22">
        <v>4.3</v>
      </c>
      <c r="J19" s="74"/>
      <c r="L19" s="233">
        <v>1</v>
      </c>
      <c r="N19" s="292" t="s">
        <v>142</v>
      </c>
      <c r="O19" s="37"/>
      <c r="P19" s="39"/>
      <c r="Q19" s="37"/>
      <c r="R19" s="117"/>
      <c r="S19" s="37"/>
      <c r="T19" s="37"/>
      <c r="U19" s="226"/>
      <c r="V19" s="248"/>
      <c r="W19" s="153">
        <f t="array" aca="1" ref="W19" ca="1">SUM((ROUNDDOWN((D36:I36)*단가,0)))</f>
        <v>4620602</v>
      </c>
      <c r="X19" s="154"/>
      <c r="Y19" s="263" t="str">
        <f t="shared" si="1"/>
        <v>제 6 호표</v>
      </c>
      <c r="Z19" s="150"/>
    </row>
    <row r="20" spans="1:26" ht="18" customHeight="1">
      <c r="A20" s="326"/>
      <c r="B20" s="223" t="s">
        <v>664</v>
      </c>
      <c r="C20" s="23"/>
      <c r="D20" s="20">
        <v>0</v>
      </c>
      <c r="E20" s="21">
        <v>0.7</v>
      </c>
      <c r="F20" s="21">
        <v>1.4</v>
      </c>
      <c r="G20" s="21">
        <v>2</v>
      </c>
      <c r="H20" s="21">
        <v>3.8</v>
      </c>
      <c r="I20" s="22">
        <v>4.5</v>
      </c>
      <c r="J20" s="74"/>
      <c r="L20" s="233">
        <v>0.7</v>
      </c>
      <c r="N20" s="292" t="s">
        <v>663</v>
      </c>
      <c r="O20" s="37"/>
      <c r="P20" s="39"/>
      <c r="Q20" s="37"/>
      <c r="R20" s="117"/>
      <c r="S20" s="37"/>
      <c r="T20" s="37"/>
      <c r="U20" s="226"/>
      <c r="V20" s="248"/>
      <c r="W20" s="153">
        <f t="array" aca="1" ref="W20" ca="1">SUM((ROUNDDOWN((D37:I37)*단가,0)))</f>
        <v>3105843</v>
      </c>
      <c r="X20" s="196"/>
      <c r="Y20" s="263" t="str">
        <f t="shared" si="1"/>
        <v>제 7 호표</v>
      </c>
      <c r="Z20" s="150"/>
    </row>
    <row r="21" spans="1:26" ht="18" customHeight="1">
      <c r="A21" s="326"/>
      <c r="B21" s="223" t="s">
        <v>666</v>
      </c>
      <c r="C21" s="23"/>
      <c r="D21" s="20">
        <v>0</v>
      </c>
      <c r="E21" s="21">
        <v>0.7</v>
      </c>
      <c r="F21" s="21">
        <v>1.4</v>
      </c>
      <c r="G21" s="21">
        <v>2</v>
      </c>
      <c r="H21" s="21">
        <v>3.8</v>
      </c>
      <c r="I21" s="22">
        <v>4.5</v>
      </c>
      <c r="J21" s="74"/>
      <c r="L21" s="233">
        <v>1</v>
      </c>
      <c r="N21" s="292" t="s">
        <v>665</v>
      </c>
      <c r="O21" s="37"/>
      <c r="P21" s="39"/>
      <c r="Q21" s="37"/>
      <c r="R21" s="117"/>
      <c r="S21" s="37"/>
      <c r="T21" s="37"/>
      <c r="U21" s="226"/>
      <c r="V21" s="248"/>
      <c r="W21" s="153">
        <f t="array" aca="1" ref="W21" ca="1">SUM((ROUNDDOWN((D38:I38)*단가,0)))</f>
        <v>4437448</v>
      </c>
      <c r="X21" s="154"/>
      <c r="Y21" s="263" t="str">
        <f t="shared" si="1"/>
        <v>제 8 호표</v>
      </c>
      <c r="Z21" s="150"/>
    </row>
    <row r="22" spans="1:26" ht="18" customHeight="1" thickBot="1">
      <c r="A22" s="326"/>
      <c r="B22" s="53" t="s">
        <v>11</v>
      </c>
      <c r="C22" s="54"/>
      <c r="D22" s="55">
        <f t="shared" ref="D22:I22" si="3">SUBTOTAL(9,D12:D21)</f>
        <v>1.1000000000000001</v>
      </c>
      <c r="E22" s="56">
        <f t="shared" si="3"/>
        <v>4.2</v>
      </c>
      <c r="F22" s="56">
        <f t="shared" si="3"/>
        <v>10.8</v>
      </c>
      <c r="G22" s="56">
        <f t="shared" si="3"/>
        <v>15.7</v>
      </c>
      <c r="H22" s="56">
        <f t="shared" si="3"/>
        <v>29.500000000000004</v>
      </c>
      <c r="I22" s="57">
        <f t="shared" si="3"/>
        <v>34.1</v>
      </c>
      <c r="J22" s="260"/>
      <c r="N22" s="79" t="s">
        <v>459</v>
      </c>
      <c r="O22" s="37"/>
      <c r="P22" s="39"/>
      <c r="Q22" s="37"/>
      <c r="R22" s="117"/>
      <c r="S22" s="37"/>
      <c r="T22" s="37"/>
      <c r="U22" s="265"/>
      <c r="V22" s="248"/>
      <c r="W22" s="195">
        <f ca="1">SUBTOTAL(9,W23:W26)</f>
        <v>5425644</v>
      </c>
      <c r="X22" s="196"/>
      <c r="Y22" s="263" t="str">
        <f>IF(A40&gt;0, "제 " &amp;A40&amp; " 호표","")</f>
        <v/>
      </c>
      <c r="Z22" s="150"/>
    </row>
    <row r="23" spans="1:26" ht="18" customHeight="1">
      <c r="A23" s="355"/>
      <c r="B23" s="222" t="s">
        <v>454</v>
      </c>
      <c r="C23" s="222"/>
      <c r="D23" s="33">
        <f t="shared" ref="D23:I23" si="4">SUBTOTAL(9,D24:D27)</f>
        <v>8</v>
      </c>
      <c r="E23" s="34">
        <f t="shared" si="4"/>
        <v>8</v>
      </c>
      <c r="F23" s="34">
        <f t="shared" si="4"/>
        <v>8</v>
      </c>
      <c r="G23" s="34">
        <f t="shared" si="4"/>
        <v>16</v>
      </c>
      <c r="H23" s="34">
        <f t="shared" si="4"/>
        <v>16</v>
      </c>
      <c r="I23" s="35">
        <f t="shared" si="4"/>
        <v>16</v>
      </c>
      <c r="J23" s="74"/>
      <c r="L23" s="233"/>
      <c r="N23" s="292" t="s">
        <v>460</v>
      </c>
      <c r="O23" s="37"/>
      <c r="P23" s="39"/>
      <c r="Q23" s="37"/>
      <c r="R23" s="117"/>
      <c r="S23" s="37"/>
      <c r="T23" s="37"/>
      <c r="U23" s="265"/>
      <c r="V23" s="248"/>
      <c r="W23" s="153">
        <f t="array" aca="1" ref="W23" ca="1">SUM((ROUNDDOWN((D40:I40)*단가,0)))</f>
        <v>5425644</v>
      </c>
      <c r="X23" s="154"/>
      <c r="Y23" s="263" t="str">
        <f>IF(A41&gt;0, "제 " &amp;A41&amp; " 호표","")</f>
        <v>제 9 호표</v>
      </c>
      <c r="Z23" s="150"/>
    </row>
    <row r="24" spans="1:26" ht="18" customHeight="1">
      <c r="A24" s="355"/>
      <c r="B24" s="223" t="s">
        <v>455</v>
      </c>
      <c r="C24" s="237"/>
      <c r="D24" s="20">
        <v>2</v>
      </c>
      <c r="E24" s="21">
        <v>2</v>
      </c>
      <c r="F24" s="21">
        <v>2</v>
      </c>
      <c r="G24" s="21">
        <v>4</v>
      </c>
      <c r="H24" s="21">
        <v>4</v>
      </c>
      <c r="I24" s="22">
        <v>4</v>
      </c>
      <c r="J24" s="789" t="s">
        <v>185</v>
      </c>
      <c r="L24" s="233">
        <v>0</v>
      </c>
      <c r="N24" s="292" t="s">
        <v>461</v>
      </c>
      <c r="O24" s="37"/>
      <c r="P24" s="39"/>
      <c r="Q24" s="37"/>
      <c r="R24" s="117"/>
      <c r="S24" s="37"/>
      <c r="T24" s="37"/>
      <c r="U24" s="226"/>
      <c r="V24" s="248"/>
      <c r="W24" s="153">
        <f t="array" aca="1" ref="W24" ca="1">SUM((ROUNDDOWN((D41:I41)*단가,0)))</f>
        <v>0</v>
      </c>
      <c r="X24" s="154"/>
      <c r="Y24" s="263" t="str">
        <f>IF(A42&gt;0, "제 " &amp;A42&amp; " 호표","")</f>
        <v>제 10 호표</v>
      </c>
      <c r="Z24" s="150"/>
    </row>
    <row r="25" spans="1:26" ht="18" customHeight="1">
      <c r="A25" s="355"/>
      <c r="B25" s="223" t="s">
        <v>456</v>
      </c>
      <c r="C25" s="237"/>
      <c r="D25" s="20">
        <v>2</v>
      </c>
      <c r="E25" s="21">
        <v>2</v>
      </c>
      <c r="F25" s="21">
        <v>2</v>
      </c>
      <c r="G25" s="21">
        <v>4</v>
      </c>
      <c r="H25" s="21">
        <v>4</v>
      </c>
      <c r="I25" s="22">
        <v>4</v>
      </c>
      <c r="J25" s="787"/>
      <c r="L25" s="233">
        <v>0</v>
      </c>
      <c r="N25" s="292" t="s">
        <v>462</v>
      </c>
      <c r="O25" s="37"/>
      <c r="P25" s="39"/>
      <c r="Q25" s="37"/>
      <c r="R25" s="117"/>
      <c r="S25" s="37"/>
      <c r="T25" s="37"/>
      <c r="U25" s="226"/>
      <c r="V25" s="248"/>
      <c r="W25" s="153">
        <f t="array" aca="1" ref="W25" ca="1">SUM((ROUNDDOWN((D42:I42)*단가,0)))</f>
        <v>0</v>
      </c>
      <c r="X25" s="154"/>
      <c r="Y25" s="263" t="str">
        <f>IF(A43&gt;0, "제 " &amp;A43&amp; " 호표","")</f>
        <v>제 11 호표</v>
      </c>
      <c r="Z25" s="150"/>
    </row>
    <row r="26" spans="1:26" ht="18" customHeight="1">
      <c r="A26" s="355"/>
      <c r="B26" s="223" t="s">
        <v>457</v>
      </c>
      <c r="C26" s="237"/>
      <c r="D26" s="20">
        <v>2</v>
      </c>
      <c r="E26" s="21">
        <v>2</v>
      </c>
      <c r="F26" s="21">
        <v>2</v>
      </c>
      <c r="G26" s="21">
        <v>4</v>
      </c>
      <c r="H26" s="21">
        <v>4</v>
      </c>
      <c r="I26" s="22">
        <v>4</v>
      </c>
      <c r="J26" s="787"/>
      <c r="L26" s="233">
        <v>0</v>
      </c>
      <c r="N26" s="292" t="s">
        <v>463</v>
      </c>
      <c r="O26" s="37"/>
      <c r="P26" s="39"/>
      <c r="Q26" s="37"/>
      <c r="R26" s="117"/>
      <c r="S26" s="37"/>
      <c r="T26" s="37"/>
      <c r="U26" s="226"/>
      <c r="V26" s="248"/>
      <c r="W26" s="153">
        <f t="array" aca="1" ref="W26" ca="1">SUM((ROUNDDOWN((D43:I43)*단가,0)))</f>
        <v>0</v>
      </c>
      <c r="X26" s="196"/>
      <c r="Y26" s="263" t="str">
        <f>IF(A44&gt;0, "제 " &amp;A44&amp; " 호표","")</f>
        <v>제 12 호표</v>
      </c>
      <c r="Z26" s="150"/>
    </row>
    <row r="27" spans="1:26" ht="18" customHeight="1" thickBot="1">
      <c r="A27" s="326"/>
      <c r="B27" s="259" t="s">
        <v>458</v>
      </c>
      <c r="C27" s="264"/>
      <c r="D27" s="40">
        <v>2</v>
      </c>
      <c r="E27" s="41">
        <v>2</v>
      </c>
      <c r="F27" s="41">
        <v>2</v>
      </c>
      <c r="G27" s="41">
        <v>4</v>
      </c>
      <c r="H27" s="41">
        <v>4</v>
      </c>
      <c r="I27" s="42">
        <v>4</v>
      </c>
      <c r="J27" s="788"/>
      <c r="L27" s="233">
        <v>1</v>
      </c>
      <c r="N27" s="376"/>
      <c r="O27" s="37"/>
      <c r="P27" s="39"/>
      <c r="Q27" s="37"/>
      <c r="R27" s="117"/>
      <c r="S27" s="37"/>
      <c r="T27" s="37"/>
      <c r="U27" s="180"/>
      <c r="V27" s="192"/>
      <c r="W27" s="153"/>
      <c r="X27" s="196"/>
      <c r="Y27" s="150"/>
      <c r="Z27" s="150"/>
    </row>
    <row r="28" spans="1:26" ht="18" customHeight="1" thickBot="1">
      <c r="A28" s="326"/>
      <c r="B28" s="249" t="s">
        <v>30</v>
      </c>
      <c r="C28" s="250"/>
      <c r="D28" s="249" t="s">
        <v>12</v>
      </c>
      <c r="E28" s="251"/>
      <c r="F28" s="251"/>
      <c r="G28" s="251"/>
      <c r="H28" s="251"/>
      <c r="I28" s="250"/>
      <c r="J28" s="175" t="s">
        <v>31</v>
      </c>
      <c r="N28" s="290" t="s">
        <v>10</v>
      </c>
      <c r="O28" s="129"/>
      <c r="P28" s="130"/>
      <c r="Q28" s="124"/>
      <c r="R28" s="131"/>
      <c r="S28" s="124"/>
      <c r="T28" s="124"/>
      <c r="U28" s="181"/>
      <c r="V28" s="181"/>
      <c r="W28" s="159">
        <f>SUBTOTAL(9,W29:W31)</f>
        <v>1500000</v>
      </c>
      <c r="X28" s="160"/>
      <c r="Y28" s="124"/>
      <c r="Z28" s="124"/>
    </row>
    <row r="29" spans="1:26" ht="18" customHeight="1">
      <c r="A29" s="326"/>
      <c r="B29" s="252" t="s">
        <v>654</v>
      </c>
      <c r="C29" s="253"/>
      <c r="D29" s="453">
        <f t="shared" ref="D29:I29" si="5">SUBTOTAL(9,D30:D32)</f>
        <v>6.7000000000000004E-2</v>
      </c>
      <c r="E29" s="454">
        <f t="shared" si="5"/>
        <v>0.13400000000000001</v>
      </c>
      <c r="F29" s="454">
        <f t="shared" si="5"/>
        <v>0.33500000000000002</v>
      </c>
      <c r="G29" s="454">
        <f t="shared" si="5"/>
        <v>0.46899999999999997</v>
      </c>
      <c r="H29" s="454">
        <f t="shared" si="5"/>
        <v>0.80500000000000005</v>
      </c>
      <c r="I29" s="455">
        <f t="shared" si="5"/>
        <v>1.006</v>
      </c>
      <c r="J29" s="302"/>
      <c r="N29" s="128" t="str">
        <f>"여비("&amp;TEXT(R29,"#인 ×")&amp;TEXT(S29,"#일 ×")&amp;TEXT(T29,"###,###원)")</f>
        <v>여비(3인 ×5일 ×100,000원)</v>
      </c>
      <c r="O29" s="78"/>
      <c r="P29" s="52"/>
      <c r="Q29" s="51"/>
      <c r="R29" s="146">
        <v>3</v>
      </c>
      <c r="S29" s="146">
        <v>5</v>
      </c>
      <c r="T29" s="147">
        <v>100000</v>
      </c>
      <c r="U29" s="182"/>
      <c r="V29" s="182"/>
      <c r="W29" s="161">
        <f>R29*S29*T29</f>
        <v>1500000</v>
      </c>
      <c r="X29" s="162"/>
      <c r="Y29" s="51"/>
      <c r="Z29" s="51"/>
    </row>
    <row r="30" spans="1:26" ht="18" customHeight="1">
      <c r="A30" s="326">
        <v>1</v>
      </c>
      <c r="B30" s="223" t="s">
        <v>138</v>
      </c>
      <c r="C30" s="23"/>
      <c r="D30" s="20">
        <f t="array" ref="D30:I32">ROUNDDOWN(D13:I15*$D$5*$L13:$L15,3)</f>
        <v>0</v>
      </c>
      <c r="E30" s="21">
        <v>0</v>
      </c>
      <c r="F30" s="21">
        <v>0</v>
      </c>
      <c r="G30" s="21">
        <v>0</v>
      </c>
      <c r="H30" s="21">
        <v>0</v>
      </c>
      <c r="I30" s="22">
        <v>0</v>
      </c>
      <c r="J30" s="74"/>
      <c r="N30" s="79" t="s">
        <v>46</v>
      </c>
      <c r="O30" s="79"/>
      <c r="P30" s="39"/>
      <c r="Q30" s="37"/>
      <c r="R30" s="117"/>
      <c r="S30" s="37"/>
      <c r="T30" s="37"/>
      <c r="U30" s="180"/>
      <c r="V30" s="180"/>
      <c r="W30" s="157">
        <v>0</v>
      </c>
      <c r="X30" s="158"/>
      <c r="Y30" s="37"/>
      <c r="Z30" s="37"/>
    </row>
    <row r="31" spans="1:26" ht="18" customHeight="1">
      <c r="A31" s="326">
        <v>2</v>
      </c>
      <c r="B31" s="223" t="s">
        <v>140</v>
      </c>
      <c r="C31" s="23"/>
      <c r="D31" s="20">
        <v>0</v>
      </c>
      <c r="E31" s="21">
        <v>0</v>
      </c>
      <c r="F31" s="21">
        <v>0</v>
      </c>
      <c r="G31" s="21">
        <v>0</v>
      </c>
      <c r="H31" s="21">
        <v>0</v>
      </c>
      <c r="I31" s="22">
        <v>0</v>
      </c>
      <c r="J31" s="74"/>
      <c r="N31" s="132" t="s">
        <v>13</v>
      </c>
      <c r="O31" s="132"/>
      <c r="P31" s="38"/>
      <c r="Q31" s="38"/>
      <c r="R31" s="116"/>
      <c r="S31" s="38"/>
      <c r="T31" s="38"/>
      <c r="U31" s="183"/>
      <c r="V31" s="183"/>
      <c r="W31" s="155">
        <v>0</v>
      </c>
      <c r="X31" s="156"/>
      <c r="Y31" s="38"/>
      <c r="Z31" s="38"/>
    </row>
    <row r="32" spans="1:26" ht="18" customHeight="1">
      <c r="A32" s="326">
        <v>3</v>
      </c>
      <c r="B32" s="223" t="s">
        <v>120</v>
      </c>
      <c r="C32" s="23"/>
      <c r="D32" s="40">
        <v>6.7000000000000004E-2</v>
      </c>
      <c r="E32" s="21">
        <v>0.13400000000000001</v>
      </c>
      <c r="F32" s="21">
        <v>0.33500000000000002</v>
      </c>
      <c r="G32" s="21">
        <v>0.46899999999999997</v>
      </c>
      <c r="H32" s="21">
        <v>0.80500000000000005</v>
      </c>
      <c r="I32" s="22">
        <v>1.006</v>
      </c>
      <c r="J32" s="74"/>
      <c r="N32" s="127" t="s">
        <v>47</v>
      </c>
      <c r="O32" s="123"/>
      <c r="P32" s="123"/>
      <c r="Q32" s="123"/>
      <c r="R32" s="123"/>
      <c r="S32" s="123"/>
      <c r="T32" s="123"/>
      <c r="U32" s="184"/>
      <c r="V32" s="184"/>
      <c r="W32" s="163">
        <f ca="1">SUBTOTAL(9,W33:W34)</f>
        <v>56846975</v>
      </c>
      <c r="X32" s="164"/>
      <c r="Y32" s="123"/>
      <c r="Z32" s="123"/>
    </row>
    <row r="33" spans="1:26" ht="18" customHeight="1">
      <c r="A33" s="326"/>
      <c r="B33" s="222" t="s">
        <v>657</v>
      </c>
      <c r="C33" s="47"/>
      <c r="D33" s="33">
        <f t="shared" ref="D33:I33" si="6">SUBTOTAL(9,D34:D38)</f>
        <v>1.0720000000000001</v>
      </c>
      <c r="E33" s="34">
        <f t="shared" si="6"/>
        <v>4.2249999999999996</v>
      </c>
      <c r="F33" s="34">
        <f t="shared" si="6"/>
        <v>10.8</v>
      </c>
      <c r="G33" s="34">
        <f t="shared" si="6"/>
        <v>15.566000000000003</v>
      </c>
      <c r="H33" s="34">
        <f t="shared" si="6"/>
        <v>29.481000000000002</v>
      </c>
      <c r="I33" s="35">
        <f t="shared" si="6"/>
        <v>34.018000000000001</v>
      </c>
      <c r="J33" s="74"/>
      <c r="N33" s="133" t="s">
        <v>861</v>
      </c>
      <c r="O33" s="124"/>
      <c r="P33" s="134"/>
      <c r="Q33" s="124"/>
      <c r="R33" s="131"/>
      <c r="S33" s="124"/>
      <c r="T33" s="181"/>
      <c r="U33" s="181"/>
      <c r="V33" s="190">
        <v>1.1499999999999999</v>
      </c>
      <c r="W33" s="159">
        <f ca="1">ROUNDDOWN(W11*V33,0)</f>
        <v>36420068</v>
      </c>
      <c r="X33" s="160"/>
      <c r="Y33" s="124"/>
      <c r="Z33" s="124"/>
    </row>
    <row r="34" spans="1:26" ht="18" customHeight="1" thickBot="1">
      <c r="A34" s="326">
        <v>4</v>
      </c>
      <c r="B34" s="223" t="s">
        <v>659</v>
      </c>
      <c r="C34" s="23"/>
      <c r="D34" s="20">
        <f t="array" ref="D34:I38">ROUNDDOWN(D17:I21*$D$5*$L17:$L21,3)</f>
        <v>0.53600000000000003</v>
      </c>
      <c r="E34" s="21">
        <v>0.93899999999999995</v>
      </c>
      <c r="F34" s="21">
        <v>1.8779999999999999</v>
      </c>
      <c r="G34" s="21">
        <v>2.6840000000000002</v>
      </c>
      <c r="H34" s="21">
        <v>5.0990000000000002</v>
      </c>
      <c r="I34" s="22">
        <v>5.77</v>
      </c>
      <c r="J34" s="74"/>
      <c r="N34" s="135" t="s">
        <v>862</v>
      </c>
      <c r="O34" s="136"/>
      <c r="P34" s="137"/>
      <c r="Q34" s="136"/>
      <c r="R34" s="138"/>
      <c r="S34" s="136"/>
      <c r="T34" s="185"/>
      <c r="U34" s="185"/>
      <c r="V34" s="191">
        <v>0.3</v>
      </c>
      <c r="W34" s="165">
        <f ca="1">ROUNDDOWN((W11+W33)*V34,0)</f>
        <v>20426907</v>
      </c>
      <c r="X34" s="166"/>
      <c r="Y34" s="136"/>
      <c r="Z34" s="136"/>
    </row>
    <row r="35" spans="1:26" ht="18" customHeight="1">
      <c r="A35" s="326">
        <v>5</v>
      </c>
      <c r="B35" s="223" t="s">
        <v>661</v>
      </c>
      <c r="C35" s="23"/>
      <c r="D35" s="20">
        <v>0</v>
      </c>
      <c r="E35" s="21">
        <v>0.751</v>
      </c>
      <c r="F35" s="21">
        <v>3.851</v>
      </c>
      <c r="G35" s="21">
        <v>5.6360000000000001</v>
      </c>
      <c r="H35" s="21">
        <v>10.615</v>
      </c>
      <c r="I35" s="22">
        <v>12.212</v>
      </c>
      <c r="J35" s="74"/>
    </row>
    <row r="36" spans="1:26" ht="18" customHeight="1">
      <c r="A36" s="326">
        <v>6</v>
      </c>
      <c r="B36" s="223" t="s">
        <v>142</v>
      </c>
      <c r="C36" s="23"/>
      <c r="D36" s="20">
        <v>0.53600000000000003</v>
      </c>
      <c r="E36" s="21">
        <v>0.93899999999999995</v>
      </c>
      <c r="F36" s="21">
        <v>1.8779999999999999</v>
      </c>
      <c r="G36" s="21">
        <v>2.6840000000000002</v>
      </c>
      <c r="H36" s="21">
        <v>5.0990000000000002</v>
      </c>
      <c r="I36" s="22">
        <v>5.77</v>
      </c>
      <c r="J36" s="74"/>
    </row>
    <row r="37" spans="1:26" ht="18" customHeight="1">
      <c r="A37" s="326">
        <v>7</v>
      </c>
      <c r="B37" s="223" t="s">
        <v>663</v>
      </c>
      <c r="C37" s="23"/>
      <c r="D37" s="20">
        <v>0</v>
      </c>
      <c r="E37" s="21">
        <v>0.65700000000000003</v>
      </c>
      <c r="F37" s="21">
        <v>1.3149999999999999</v>
      </c>
      <c r="G37" s="21">
        <v>1.8779999999999999</v>
      </c>
      <c r="H37" s="21">
        <v>3.569</v>
      </c>
      <c r="I37" s="22">
        <v>4.2270000000000003</v>
      </c>
      <c r="J37" s="74"/>
    </row>
    <row r="38" spans="1:26" ht="18" customHeight="1">
      <c r="A38" s="326">
        <v>8</v>
      </c>
      <c r="B38" s="223" t="s">
        <v>665</v>
      </c>
      <c r="C38" s="23"/>
      <c r="D38" s="20">
        <v>0</v>
      </c>
      <c r="E38" s="21">
        <v>0.93899999999999995</v>
      </c>
      <c r="F38" s="21">
        <v>1.8779999999999999</v>
      </c>
      <c r="G38" s="21">
        <v>2.6840000000000002</v>
      </c>
      <c r="H38" s="21">
        <v>5.0990000000000002</v>
      </c>
      <c r="I38" s="22">
        <v>6.0389999999999997</v>
      </c>
      <c r="J38" s="74"/>
    </row>
    <row r="39" spans="1:26" ht="18" customHeight="1" thickBot="1">
      <c r="A39" s="326"/>
      <c r="B39" s="53" t="s">
        <v>11</v>
      </c>
      <c r="C39" s="54"/>
      <c r="D39" s="55">
        <f t="shared" ref="D39:I39" si="7">SUBTOTAL(9,D29:D38)</f>
        <v>1.139</v>
      </c>
      <c r="E39" s="56">
        <f t="shared" si="7"/>
        <v>4.359</v>
      </c>
      <c r="F39" s="56">
        <f t="shared" si="7"/>
        <v>11.135</v>
      </c>
      <c r="G39" s="56">
        <f t="shared" si="7"/>
        <v>16.035</v>
      </c>
      <c r="H39" s="56">
        <f t="shared" si="7"/>
        <v>30.285999999999998</v>
      </c>
      <c r="I39" s="57">
        <f t="shared" si="7"/>
        <v>35.024000000000001</v>
      </c>
      <c r="J39" s="261"/>
      <c r="M39" s="171" t="s">
        <v>14</v>
      </c>
    </row>
    <row r="40" spans="1:26" ht="18" customHeight="1">
      <c r="A40" s="355"/>
      <c r="B40" s="225" t="s">
        <v>459</v>
      </c>
      <c r="C40" s="225"/>
      <c r="D40" s="450">
        <f t="shared" ref="D40:I40" si="8">SUBTOTAL(9,D41:D44)</f>
        <v>2</v>
      </c>
      <c r="E40" s="451">
        <f t="shared" si="8"/>
        <v>2</v>
      </c>
      <c r="F40" s="451">
        <f t="shared" si="8"/>
        <v>2</v>
      </c>
      <c r="G40" s="451">
        <f t="shared" si="8"/>
        <v>4</v>
      </c>
      <c r="H40" s="451">
        <f t="shared" si="8"/>
        <v>4</v>
      </c>
      <c r="I40" s="452">
        <f t="shared" si="8"/>
        <v>4</v>
      </c>
      <c r="J40" s="73"/>
      <c r="L40" s="456"/>
      <c r="M40" s="171" t="s">
        <v>14</v>
      </c>
    </row>
    <row r="41" spans="1:26" ht="18" customHeight="1">
      <c r="A41" s="326">
        <v>9</v>
      </c>
      <c r="B41" s="223" t="s">
        <v>460</v>
      </c>
      <c r="C41" s="237"/>
      <c r="D41" s="20">
        <f t="array" ref="D41:I44">ROUNDDOWN(D24:I27*$L24:$L27,3)</f>
        <v>0</v>
      </c>
      <c r="E41" s="21">
        <v>0</v>
      </c>
      <c r="F41" s="21">
        <v>0</v>
      </c>
      <c r="G41" s="21">
        <v>0</v>
      </c>
      <c r="H41" s="21">
        <v>0</v>
      </c>
      <c r="I41" s="22">
        <v>0</v>
      </c>
      <c r="J41" s="789" t="s">
        <v>185</v>
      </c>
      <c r="L41" s="456"/>
      <c r="M41" s="171" t="s">
        <v>14</v>
      </c>
    </row>
    <row r="42" spans="1:26" ht="18" customHeight="1">
      <c r="A42" s="326">
        <v>10</v>
      </c>
      <c r="B42" s="223" t="s">
        <v>461</v>
      </c>
      <c r="C42" s="237"/>
      <c r="D42" s="20">
        <v>0</v>
      </c>
      <c r="E42" s="21">
        <v>0</v>
      </c>
      <c r="F42" s="21">
        <v>0</v>
      </c>
      <c r="G42" s="21">
        <v>0</v>
      </c>
      <c r="H42" s="21">
        <v>0</v>
      </c>
      <c r="I42" s="22">
        <v>0</v>
      </c>
      <c r="J42" s="787"/>
      <c r="L42" s="456"/>
      <c r="M42" s="171" t="s">
        <v>14</v>
      </c>
    </row>
    <row r="43" spans="1:26" ht="18" customHeight="1">
      <c r="A43" s="326">
        <v>11</v>
      </c>
      <c r="B43" s="223" t="s">
        <v>462</v>
      </c>
      <c r="C43" s="237"/>
      <c r="D43" s="20">
        <v>0</v>
      </c>
      <c r="E43" s="21">
        <v>0</v>
      </c>
      <c r="F43" s="21">
        <v>0</v>
      </c>
      <c r="G43" s="21">
        <v>0</v>
      </c>
      <c r="H43" s="21">
        <v>0</v>
      </c>
      <c r="I43" s="22">
        <v>0</v>
      </c>
      <c r="J43" s="787"/>
      <c r="L43" s="456"/>
      <c r="M43" s="171" t="s">
        <v>14</v>
      </c>
    </row>
    <row r="44" spans="1:26" ht="18" customHeight="1" thickBot="1">
      <c r="A44" s="326">
        <v>12</v>
      </c>
      <c r="B44" s="388" t="s">
        <v>463</v>
      </c>
      <c r="C44" s="401"/>
      <c r="D44" s="397">
        <v>2</v>
      </c>
      <c r="E44" s="398">
        <v>2</v>
      </c>
      <c r="F44" s="398">
        <v>2</v>
      </c>
      <c r="G44" s="398">
        <v>4</v>
      </c>
      <c r="H44" s="398">
        <v>4</v>
      </c>
      <c r="I44" s="399">
        <v>4</v>
      </c>
      <c r="J44" s="788"/>
      <c r="L44" s="456"/>
      <c r="M44" s="171" t="s">
        <v>14</v>
      </c>
      <c r="N44" s="66" t="s">
        <v>18</v>
      </c>
      <c r="O44" s="2"/>
      <c r="P44" s="2"/>
      <c r="Q44" s="2"/>
      <c r="R44" s="3"/>
      <c r="S44" s="4"/>
      <c r="T44" s="3"/>
      <c r="U44" s="4"/>
      <c r="V44" s="3"/>
      <c r="W44" s="4"/>
      <c r="X44" s="3"/>
      <c r="Y44" s="4"/>
      <c r="Z44" s="2"/>
    </row>
    <row r="45" spans="1:26" ht="18" customHeight="1">
      <c r="A45" s="326"/>
      <c r="B45" s="85" t="s">
        <v>15</v>
      </c>
      <c r="C45" s="1" t="s">
        <v>473</v>
      </c>
      <c r="M45" s="171" t="s">
        <v>14</v>
      </c>
      <c r="N45" s="765" t="s">
        <v>19</v>
      </c>
      <c r="O45" s="755" t="s">
        <v>20</v>
      </c>
      <c r="P45" s="755" t="s">
        <v>21</v>
      </c>
      <c r="Q45" s="755" t="s">
        <v>16</v>
      </c>
      <c r="R45" s="5" t="s">
        <v>22</v>
      </c>
      <c r="S45" s="5"/>
      <c r="T45" s="5" t="s">
        <v>23</v>
      </c>
      <c r="U45" s="5"/>
      <c r="V45" s="5" t="s">
        <v>24</v>
      </c>
      <c r="W45" s="5"/>
      <c r="X45" s="5" t="s">
        <v>25</v>
      </c>
      <c r="Y45" s="5"/>
      <c r="Z45" s="755" t="s">
        <v>26</v>
      </c>
    </row>
    <row r="46" spans="1:26" ht="18" customHeight="1" thickBot="1">
      <c r="A46" s="326"/>
      <c r="B46" s="8"/>
      <c r="C46" s="9" t="s">
        <v>230</v>
      </c>
      <c r="M46" s="171" t="s">
        <v>14</v>
      </c>
      <c r="N46" s="766"/>
      <c r="O46" s="756"/>
      <c r="P46" s="756"/>
      <c r="Q46" s="756"/>
      <c r="R46" s="67" t="s">
        <v>27</v>
      </c>
      <c r="S46" s="67" t="s">
        <v>28</v>
      </c>
      <c r="T46" s="67" t="s">
        <v>27</v>
      </c>
      <c r="U46" s="67" t="s">
        <v>28</v>
      </c>
      <c r="V46" s="67" t="s">
        <v>27</v>
      </c>
      <c r="W46" s="67" t="s">
        <v>28</v>
      </c>
      <c r="X46" s="67" t="s">
        <v>27</v>
      </c>
      <c r="Y46" s="67" t="s">
        <v>28</v>
      </c>
      <c r="Z46" s="756"/>
    </row>
    <row r="47" spans="1:26" ht="18" customHeight="1" thickTop="1">
      <c r="A47" s="326"/>
      <c r="M47" s="171" t="s">
        <v>14</v>
      </c>
      <c r="N47" s="318" t="str">
        <f ca="1">"제 " &amp; Z47 &amp; " 호표  "&amp; OFFSET($A$1,MATCH(Z47,$A:$A,0)-1,1)</f>
        <v>제 1 호표  1-1. 관련법규 검토</v>
      </c>
      <c r="O47" s="221"/>
      <c r="P47" s="148"/>
      <c r="Q47" s="148"/>
      <c r="R47" s="149"/>
      <c r="S47" s="149"/>
      <c r="T47" s="149"/>
      <c r="U47" s="149"/>
      <c r="V47" s="149"/>
      <c r="W47" s="149"/>
      <c r="X47" s="149"/>
      <c r="Y47" s="149"/>
      <c r="Z47" s="325">
        <v>1</v>
      </c>
    </row>
    <row r="48" spans="1:26" ht="18" customHeight="1">
      <c r="A48" s="326"/>
      <c r="M48" s="171" t="s">
        <v>14</v>
      </c>
      <c r="N48" s="140" t="s">
        <v>43</v>
      </c>
      <c r="O48" s="172">
        <v>3</v>
      </c>
      <c r="P48" s="219">
        <f ca="1">OFFSET($A$1,MATCH(Z47,$A:$A,0)-1,O48)</f>
        <v>0</v>
      </c>
      <c r="Q48" s="141" t="s">
        <v>29</v>
      </c>
      <c r="R48" s="142">
        <f t="shared" ref="R48:S53" ca="1" si="9">T48</f>
        <v>467217</v>
      </c>
      <c r="S48" s="142">
        <f t="shared" ca="1" si="9"/>
        <v>0</v>
      </c>
      <c r="T48" s="142">
        <f ca="1">기술사</f>
        <v>467217</v>
      </c>
      <c r="U48" s="142">
        <f t="shared" ref="U48:U53" ca="1" si="10">ROUNDDOWN(P48*R48,0)</f>
        <v>0</v>
      </c>
      <c r="V48" s="142"/>
      <c r="W48" s="142"/>
      <c r="X48" s="142"/>
      <c r="Y48" s="142"/>
      <c r="Z48" s="114"/>
    </row>
    <row r="49" spans="1:26" ht="18" customHeight="1">
      <c r="A49" s="326"/>
      <c r="M49" s="171" t="s">
        <v>14</v>
      </c>
      <c r="N49" s="143" t="s">
        <v>32</v>
      </c>
      <c r="O49" s="173">
        <v>4</v>
      </c>
      <c r="P49" s="234">
        <f ca="1">OFFSET($A$1,MATCH(Z47,$A:$A,0)-1,O49)</f>
        <v>0</v>
      </c>
      <c r="Q49" s="144" t="s">
        <v>29</v>
      </c>
      <c r="R49" s="118">
        <f t="shared" ca="1" si="9"/>
        <v>373353</v>
      </c>
      <c r="S49" s="118">
        <f t="shared" ca="1" si="9"/>
        <v>0</v>
      </c>
      <c r="T49" s="118">
        <f ca="1">특급</f>
        <v>373353</v>
      </c>
      <c r="U49" s="118">
        <f t="shared" ca="1" si="10"/>
        <v>0</v>
      </c>
      <c r="V49" s="118"/>
      <c r="W49" s="118"/>
      <c r="X49" s="118"/>
      <c r="Y49" s="118"/>
      <c r="Z49" s="115"/>
    </row>
    <row r="50" spans="1:26" ht="18" customHeight="1">
      <c r="A50" s="326"/>
      <c r="M50" s="171" t="s">
        <v>14</v>
      </c>
      <c r="N50" s="145" t="s">
        <v>39</v>
      </c>
      <c r="O50" s="173">
        <v>5</v>
      </c>
      <c r="P50" s="234">
        <f ca="1">OFFSET($A$1,MATCH(Z47,$A:$A,0)-1,O50)</f>
        <v>0</v>
      </c>
      <c r="Q50" s="144" t="s">
        <v>29</v>
      </c>
      <c r="R50" s="118">
        <f t="shared" ca="1" si="9"/>
        <v>310884</v>
      </c>
      <c r="S50" s="118">
        <f t="shared" ca="1" si="9"/>
        <v>0</v>
      </c>
      <c r="T50" s="118">
        <f ca="1">고급</f>
        <v>310884</v>
      </c>
      <c r="U50" s="118">
        <f t="shared" ca="1" si="10"/>
        <v>0</v>
      </c>
      <c r="V50" s="118"/>
      <c r="W50" s="118"/>
      <c r="X50" s="118"/>
      <c r="Y50" s="118"/>
      <c r="Z50" s="115"/>
    </row>
    <row r="51" spans="1:26" ht="18" customHeight="1">
      <c r="K51" s="171" t="s">
        <v>14</v>
      </c>
      <c r="L51" s="171"/>
      <c r="M51" s="171"/>
      <c r="N51" s="145" t="s">
        <v>40</v>
      </c>
      <c r="O51" s="173">
        <v>6</v>
      </c>
      <c r="P51" s="234">
        <f ca="1">OFFSET($A$1,MATCH(Z47,$A:$A,0)-1,O51)</f>
        <v>0</v>
      </c>
      <c r="Q51" s="144" t="s">
        <v>29</v>
      </c>
      <c r="R51" s="118">
        <f t="shared" ca="1" si="9"/>
        <v>295138</v>
      </c>
      <c r="S51" s="118">
        <f t="shared" ca="1" si="9"/>
        <v>0</v>
      </c>
      <c r="T51" s="118">
        <f ca="1">중급</f>
        <v>295138</v>
      </c>
      <c r="U51" s="118">
        <f t="shared" ca="1" si="10"/>
        <v>0</v>
      </c>
      <c r="V51" s="118"/>
      <c r="W51" s="118"/>
      <c r="X51" s="118"/>
      <c r="Y51" s="118"/>
      <c r="Z51" s="115"/>
    </row>
    <row r="52" spans="1:26" ht="18" customHeight="1">
      <c r="K52" s="171" t="s">
        <v>14</v>
      </c>
      <c r="L52" s="171"/>
      <c r="M52" s="171"/>
      <c r="N52" s="145" t="s">
        <v>41</v>
      </c>
      <c r="O52" s="173">
        <v>7</v>
      </c>
      <c r="P52" s="234">
        <f ca="1">OFFSET($A$1,MATCH(Z47,$A:$A,0)-1,O52)</f>
        <v>0</v>
      </c>
      <c r="Q52" s="144" t="s">
        <v>29</v>
      </c>
      <c r="R52" s="118">
        <f t="shared" ca="1" si="9"/>
        <v>235459</v>
      </c>
      <c r="S52" s="118">
        <f t="shared" ca="1" si="9"/>
        <v>0</v>
      </c>
      <c r="T52" s="118">
        <f ca="1">초급</f>
        <v>235459</v>
      </c>
      <c r="U52" s="118">
        <f t="shared" ca="1" si="10"/>
        <v>0</v>
      </c>
      <c r="V52" s="118"/>
      <c r="W52" s="118"/>
      <c r="X52" s="118"/>
      <c r="Y52" s="118"/>
      <c r="Z52" s="115"/>
    </row>
    <row r="53" spans="1:26" ht="18" customHeight="1">
      <c r="K53" s="171" t="s">
        <v>14</v>
      </c>
      <c r="L53" s="171"/>
      <c r="M53" s="171"/>
      <c r="N53" s="319" t="s">
        <v>42</v>
      </c>
      <c r="O53" s="174">
        <v>8</v>
      </c>
      <c r="P53" s="235">
        <f ca="1">OFFSET($A$1,MATCH(Z47,$A:$A,0)-1,O53)</f>
        <v>0</v>
      </c>
      <c r="Q53" s="322" t="s">
        <v>29</v>
      </c>
      <c r="R53" s="323">
        <f t="shared" ca="1" si="9"/>
        <v>250087</v>
      </c>
      <c r="S53" s="323">
        <f t="shared" ca="1" si="9"/>
        <v>0</v>
      </c>
      <c r="T53" s="323">
        <f ca="1">보조원</f>
        <v>250087</v>
      </c>
      <c r="U53" s="323">
        <f t="shared" ca="1" si="10"/>
        <v>0</v>
      </c>
      <c r="V53" s="323"/>
      <c r="W53" s="323"/>
      <c r="X53" s="323"/>
      <c r="Y53" s="323"/>
      <c r="Z53" s="324"/>
    </row>
    <row r="54" spans="1:26" ht="18" customHeight="1">
      <c r="K54" s="171" t="s">
        <v>14</v>
      </c>
      <c r="L54" s="171"/>
      <c r="M54" s="171"/>
      <c r="N54" s="139" t="s">
        <v>17</v>
      </c>
      <c r="O54" s="68"/>
      <c r="P54" s="69"/>
      <c r="Q54" s="70"/>
      <c r="R54" s="71"/>
      <c r="S54" s="71">
        <f ca="1">SUBTOTAL(9,S48:S53)</f>
        <v>0</v>
      </c>
      <c r="T54" s="71"/>
      <c r="U54" s="71">
        <f ca="1">SUBTOTAL(9,U48:U53)</f>
        <v>0</v>
      </c>
      <c r="V54" s="71"/>
      <c r="W54" s="71"/>
      <c r="X54" s="71"/>
      <c r="Y54" s="71"/>
      <c r="Z54" s="68"/>
    </row>
    <row r="55" spans="1:26" ht="18" customHeight="1">
      <c r="K55" s="171" t="s">
        <v>14</v>
      </c>
      <c r="L55" s="171"/>
      <c r="M55" s="171"/>
      <c r="N55" s="318" t="str">
        <f ca="1">"제 " &amp; Z55 &amp; " 호표  "&amp; OFFSET($A$1,MATCH(Z55,$A:$A,0)-1,1)</f>
        <v>제 2 호표  1-2. 관련계획 검토</v>
      </c>
      <c r="O55" s="221"/>
      <c r="P55" s="148"/>
      <c r="Q55" s="148"/>
      <c r="R55" s="149"/>
      <c r="S55" s="149"/>
      <c r="T55" s="149"/>
      <c r="U55" s="149"/>
      <c r="V55" s="149"/>
      <c r="W55" s="149"/>
      <c r="X55" s="149"/>
      <c r="Y55" s="149"/>
      <c r="Z55" s="325">
        <f>Z47+1</f>
        <v>2</v>
      </c>
    </row>
    <row r="56" spans="1:26" ht="18" customHeight="1">
      <c r="K56" s="171" t="s">
        <v>14</v>
      </c>
      <c r="L56" s="171"/>
      <c r="M56" s="171"/>
      <c r="N56" s="140" t="s">
        <v>43</v>
      </c>
      <c r="O56" s="172">
        <v>3</v>
      </c>
      <c r="P56" s="219">
        <f ca="1">OFFSET($A$1,MATCH(Z55,$A:$A,0)-1,O56)</f>
        <v>0</v>
      </c>
      <c r="Q56" s="141" t="s">
        <v>29</v>
      </c>
      <c r="R56" s="142">
        <f t="shared" ref="R56:S61" ca="1" si="11">T56</f>
        <v>467217</v>
      </c>
      <c r="S56" s="142">
        <f t="shared" ca="1" si="11"/>
        <v>0</v>
      </c>
      <c r="T56" s="142">
        <f ca="1">기술사</f>
        <v>467217</v>
      </c>
      <c r="U56" s="142">
        <f t="shared" ref="U56:U61" ca="1" si="12">ROUNDDOWN(P56*R56,0)</f>
        <v>0</v>
      </c>
      <c r="V56" s="142"/>
      <c r="W56" s="142"/>
      <c r="X56" s="142"/>
      <c r="Y56" s="142"/>
      <c r="Z56" s="114"/>
    </row>
    <row r="57" spans="1:26" ht="18" customHeight="1">
      <c r="K57" s="171" t="s">
        <v>14</v>
      </c>
      <c r="L57" s="171"/>
      <c r="M57" s="171"/>
      <c r="N57" s="143" t="s">
        <v>32</v>
      </c>
      <c r="O57" s="173">
        <v>4</v>
      </c>
      <c r="P57" s="234">
        <f ca="1">OFFSET($A$1,MATCH(Z55,$A:$A,0)-1,O57)</f>
        <v>0</v>
      </c>
      <c r="Q57" s="144" t="s">
        <v>29</v>
      </c>
      <c r="R57" s="118">
        <f t="shared" ca="1" si="11"/>
        <v>373353</v>
      </c>
      <c r="S57" s="118">
        <f t="shared" ca="1" si="11"/>
        <v>0</v>
      </c>
      <c r="T57" s="118">
        <f ca="1">특급</f>
        <v>373353</v>
      </c>
      <c r="U57" s="118">
        <f t="shared" ca="1" si="12"/>
        <v>0</v>
      </c>
      <c r="V57" s="118"/>
      <c r="W57" s="118"/>
      <c r="X57" s="118"/>
      <c r="Y57" s="118"/>
      <c r="Z57" s="115"/>
    </row>
    <row r="58" spans="1:26" ht="18" customHeight="1">
      <c r="K58" s="171" t="s">
        <v>14</v>
      </c>
      <c r="L58" s="171"/>
      <c r="M58" s="171"/>
      <c r="N58" s="145" t="s">
        <v>39</v>
      </c>
      <c r="O58" s="173">
        <v>5</v>
      </c>
      <c r="P58" s="234">
        <f ca="1">OFFSET($A$1,MATCH(Z55,$A:$A,0)-1,O58)</f>
        <v>0</v>
      </c>
      <c r="Q58" s="144" t="s">
        <v>29</v>
      </c>
      <c r="R58" s="118">
        <f t="shared" ca="1" si="11"/>
        <v>310884</v>
      </c>
      <c r="S58" s="118">
        <f t="shared" ca="1" si="11"/>
        <v>0</v>
      </c>
      <c r="T58" s="118">
        <f ca="1">고급</f>
        <v>310884</v>
      </c>
      <c r="U58" s="118">
        <f t="shared" ca="1" si="12"/>
        <v>0</v>
      </c>
      <c r="V58" s="118"/>
      <c r="W58" s="118"/>
      <c r="X58" s="118"/>
      <c r="Y58" s="118"/>
      <c r="Z58" s="115"/>
    </row>
    <row r="59" spans="1:26" ht="18" customHeight="1">
      <c r="K59" s="171" t="s">
        <v>14</v>
      </c>
      <c r="L59" s="171"/>
      <c r="M59" s="171"/>
      <c r="N59" s="145" t="s">
        <v>40</v>
      </c>
      <c r="O59" s="173">
        <v>6</v>
      </c>
      <c r="P59" s="234">
        <f ca="1">OFFSET($A$1,MATCH(Z55,$A:$A,0)-1,O59)</f>
        <v>0</v>
      </c>
      <c r="Q59" s="144" t="s">
        <v>29</v>
      </c>
      <c r="R59" s="118">
        <f t="shared" ca="1" si="11"/>
        <v>295138</v>
      </c>
      <c r="S59" s="118">
        <f t="shared" ca="1" si="11"/>
        <v>0</v>
      </c>
      <c r="T59" s="118">
        <f ca="1">중급</f>
        <v>295138</v>
      </c>
      <c r="U59" s="118">
        <f t="shared" ca="1" si="12"/>
        <v>0</v>
      </c>
      <c r="V59" s="118"/>
      <c r="W59" s="118"/>
      <c r="X59" s="118"/>
      <c r="Y59" s="118"/>
      <c r="Z59" s="115"/>
    </row>
    <row r="60" spans="1:26" ht="18" customHeight="1">
      <c r="K60" s="171" t="s">
        <v>14</v>
      </c>
      <c r="L60" s="171"/>
      <c r="M60" s="171"/>
      <c r="N60" s="145" t="s">
        <v>41</v>
      </c>
      <c r="O60" s="173">
        <v>7</v>
      </c>
      <c r="P60" s="234">
        <f ca="1">OFFSET($A$1,MATCH(Z55,$A:$A,0)-1,O60)</f>
        <v>0</v>
      </c>
      <c r="Q60" s="144" t="s">
        <v>29</v>
      </c>
      <c r="R60" s="118">
        <f t="shared" ca="1" si="11"/>
        <v>235459</v>
      </c>
      <c r="S60" s="118">
        <f t="shared" ca="1" si="11"/>
        <v>0</v>
      </c>
      <c r="T60" s="118">
        <f ca="1">초급</f>
        <v>235459</v>
      </c>
      <c r="U60" s="118">
        <f t="shared" ca="1" si="12"/>
        <v>0</v>
      </c>
      <c r="V60" s="118"/>
      <c r="W60" s="118"/>
      <c r="X60" s="118"/>
      <c r="Y60" s="118"/>
      <c r="Z60" s="115"/>
    </row>
    <row r="61" spans="1:26" ht="18" customHeight="1">
      <c r="K61" s="171" t="s">
        <v>14</v>
      </c>
      <c r="L61" s="171"/>
      <c r="N61" s="319" t="s">
        <v>42</v>
      </c>
      <c r="O61" s="174">
        <v>8</v>
      </c>
      <c r="P61" s="235">
        <f ca="1">OFFSET($A$1,MATCH(Z55,$A:$A,0)-1,O61)</f>
        <v>0</v>
      </c>
      <c r="Q61" s="322" t="s">
        <v>29</v>
      </c>
      <c r="R61" s="323">
        <f t="shared" ca="1" si="11"/>
        <v>250087</v>
      </c>
      <c r="S61" s="323">
        <f t="shared" ca="1" si="11"/>
        <v>0</v>
      </c>
      <c r="T61" s="323">
        <f ca="1">보조원</f>
        <v>250087</v>
      </c>
      <c r="U61" s="323">
        <f t="shared" ca="1" si="12"/>
        <v>0</v>
      </c>
      <c r="V61" s="323"/>
      <c r="W61" s="323"/>
      <c r="X61" s="323"/>
      <c r="Y61" s="323"/>
      <c r="Z61" s="324"/>
    </row>
    <row r="62" spans="1:26" ht="18" customHeight="1">
      <c r="K62" s="171" t="s">
        <v>14</v>
      </c>
      <c r="L62" s="171"/>
      <c r="N62" s="139" t="s">
        <v>17</v>
      </c>
      <c r="O62" s="68"/>
      <c r="P62" s="69"/>
      <c r="Q62" s="70"/>
      <c r="R62" s="71"/>
      <c r="S62" s="71">
        <f ca="1">SUBTOTAL(9,S56:S61)</f>
        <v>0</v>
      </c>
      <c r="T62" s="71"/>
      <c r="U62" s="71">
        <f ca="1">SUBTOTAL(9,U56:U61)</f>
        <v>0</v>
      </c>
      <c r="V62" s="71"/>
      <c r="W62" s="71"/>
      <c r="X62" s="71"/>
      <c r="Y62" s="71"/>
      <c r="Z62" s="68"/>
    </row>
    <row r="63" spans="1:26" ht="18" customHeight="1">
      <c r="K63" s="171" t="s">
        <v>14</v>
      </c>
      <c r="L63" s="171"/>
      <c r="N63" s="318" t="str">
        <f ca="1">"제 " &amp; Z63 &amp; " 호표  "&amp; OFFSET($A$1,MATCH(Z63,$A:$A,0)-1,1)</f>
        <v>제 3 호표  1-3. 주변지역과의 상관성 검토</v>
      </c>
      <c r="O63" s="221"/>
      <c r="P63" s="148"/>
      <c r="Q63" s="148"/>
      <c r="R63" s="149"/>
      <c r="S63" s="149"/>
      <c r="T63" s="149"/>
      <c r="U63" s="149"/>
      <c r="V63" s="149"/>
      <c r="W63" s="149"/>
      <c r="X63" s="149"/>
      <c r="Y63" s="149"/>
      <c r="Z63" s="325">
        <f>Z55+1</f>
        <v>3</v>
      </c>
    </row>
    <row r="64" spans="1:26" ht="18" customHeight="1">
      <c r="K64" s="171" t="s">
        <v>14</v>
      </c>
      <c r="L64" s="171"/>
      <c r="N64" s="140" t="s">
        <v>43</v>
      </c>
      <c r="O64" s="172">
        <v>3</v>
      </c>
      <c r="P64" s="219">
        <f ca="1">OFFSET($A$1,MATCH(Z63,$A:$A,0)-1,O64)</f>
        <v>6.7000000000000004E-2</v>
      </c>
      <c r="Q64" s="141" t="s">
        <v>29</v>
      </c>
      <c r="R64" s="142">
        <f t="shared" ref="R64:S69" ca="1" si="13">T64</f>
        <v>467217</v>
      </c>
      <c r="S64" s="142">
        <f t="shared" ca="1" si="13"/>
        <v>31303</v>
      </c>
      <c r="T64" s="142">
        <f ca="1">기술사</f>
        <v>467217</v>
      </c>
      <c r="U64" s="142">
        <f t="shared" ref="U64:U69" ca="1" si="14">ROUNDDOWN(P64*R64,0)</f>
        <v>31303</v>
      </c>
      <c r="V64" s="142"/>
      <c r="W64" s="142"/>
      <c r="X64" s="142"/>
      <c r="Y64" s="142"/>
      <c r="Z64" s="114"/>
    </row>
    <row r="65" spans="14:26" ht="18" customHeight="1">
      <c r="N65" s="143" t="s">
        <v>32</v>
      </c>
      <c r="O65" s="173">
        <v>4</v>
      </c>
      <c r="P65" s="234">
        <f ca="1">OFFSET($A$1,MATCH(Z63,$A:$A,0)-1,O65)</f>
        <v>0.13400000000000001</v>
      </c>
      <c r="Q65" s="144" t="s">
        <v>29</v>
      </c>
      <c r="R65" s="118">
        <f t="shared" ca="1" si="13"/>
        <v>373353</v>
      </c>
      <c r="S65" s="118">
        <f t="shared" ca="1" si="13"/>
        <v>50029</v>
      </c>
      <c r="T65" s="118">
        <f ca="1">특급</f>
        <v>373353</v>
      </c>
      <c r="U65" s="118">
        <f t="shared" ca="1" si="14"/>
        <v>50029</v>
      </c>
      <c r="V65" s="118"/>
      <c r="W65" s="118"/>
      <c r="X65" s="118"/>
      <c r="Y65" s="118"/>
      <c r="Z65" s="115"/>
    </row>
    <row r="66" spans="14:26" ht="18" customHeight="1">
      <c r="N66" s="145" t="s">
        <v>39</v>
      </c>
      <c r="O66" s="173">
        <v>5</v>
      </c>
      <c r="P66" s="234">
        <f ca="1">OFFSET($A$1,MATCH(Z63,$A:$A,0)-1,O66)</f>
        <v>0.33500000000000002</v>
      </c>
      <c r="Q66" s="144" t="s">
        <v>29</v>
      </c>
      <c r="R66" s="118">
        <f t="shared" ca="1" si="13"/>
        <v>310884</v>
      </c>
      <c r="S66" s="118">
        <f t="shared" ca="1" si="13"/>
        <v>104146</v>
      </c>
      <c r="T66" s="118">
        <f ca="1">고급</f>
        <v>310884</v>
      </c>
      <c r="U66" s="118">
        <f t="shared" ca="1" si="14"/>
        <v>104146</v>
      </c>
      <c r="V66" s="118"/>
      <c r="W66" s="118"/>
      <c r="X66" s="118"/>
      <c r="Y66" s="118"/>
      <c r="Z66" s="115"/>
    </row>
    <row r="67" spans="14:26" ht="18" customHeight="1">
      <c r="N67" s="145" t="s">
        <v>40</v>
      </c>
      <c r="O67" s="173">
        <v>6</v>
      </c>
      <c r="P67" s="234">
        <f ca="1">OFFSET($A$1,MATCH(Z63,$A:$A,0)-1,O67)</f>
        <v>0.46899999999999997</v>
      </c>
      <c r="Q67" s="144" t="s">
        <v>29</v>
      </c>
      <c r="R67" s="118">
        <f t="shared" ca="1" si="13"/>
        <v>295138</v>
      </c>
      <c r="S67" s="118">
        <f t="shared" ca="1" si="13"/>
        <v>138419</v>
      </c>
      <c r="T67" s="118">
        <f ca="1">중급</f>
        <v>295138</v>
      </c>
      <c r="U67" s="118">
        <f t="shared" ca="1" si="14"/>
        <v>138419</v>
      </c>
      <c r="V67" s="118"/>
      <c r="W67" s="118"/>
      <c r="X67" s="118"/>
      <c r="Y67" s="118"/>
      <c r="Z67" s="115"/>
    </row>
    <row r="68" spans="14:26" ht="18" customHeight="1">
      <c r="N68" s="145" t="s">
        <v>41</v>
      </c>
      <c r="O68" s="173">
        <v>7</v>
      </c>
      <c r="P68" s="234">
        <f ca="1">OFFSET($A$1,MATCH(Z63,$A:$A,0)-1,O68)</f>
        <v>0.80500000000000005</v>
      </c>
      <c r="Q68" s="144" t="s">
        <v>29</v>
      </c>
      <c r="R68" s="118">
        <f t="shared" ca="1" si="13"/>
        <v>235459</v>
      </c>
      <c r="S68" s="118">
        <f t="shared" ca="1" si="13"/>
        <v>189544</v>
      </c>
      <c r="T68" s="118">
        <f ca="1">초급</f>
        <v>235459</v>
      </c>
      <c r="U68" s="118">
        <f t="shared" ca="1" si="14"/>
        <v>189544</v>
      </c>
      <c r="V68" s="118"/>
      <c r="W68" s="118"/>
      <c r="X68" s="118"/>
      <c r="Y68" s="118"/>
      <c r="Z68" s="115"/>
    </row>
    <row r="69" spans="14:26" ht="18" customHeight="1">
      <c r="N69" s="319" t="s">
        <v>42</v>
      </c>
      <c r="O69" s="174">
        <v>8</v>
      </c>
      <c r="P69" s="235">
        <f ca="1">OFFSET($A$1,MATCH(Z63,$A:$A,0)-1,O69)</f>
        <v>1.006</v>
      </c>
      <c r="Q69" s="322" t="s">
        <v>29</v>
      </c>
      <c r="R69" s="323">
        <f t="shared" ca="1" si="13"/>
        <v>250087</v>
      </c>
      <c r="S69" s="323">
        <f t="shared" ca="1" si="13"/>
        <v>251587</v>
      </c>
      <c r="T69" s="323">
        <f ca="1">보조원</f>
        <v>250087</v>
      </c>
      <c r="U69" s="323">
        <f t="shared" ca="1" si="14"/>
        <v>251587</v>
      </c>
      <c r="V69" s="323"/>
      <c r="W69" s="323"/>
      <c r="X69" s="323"/>
      <c r="Y69" s="323"/>
      <c r="Z69" s="324"/>
    </row>
    <row r="70" spans="14:26" ht="18" customHeight="1">
      <c r="N70" s="139" t="s">
        <v>17</v>
      </c>
      <c r="O70" s="68"/>
      <c r="P70" s="69"/>
      <c r="Q70" s="70"/>
      <c r="R70" s="71"/>
      <c r="S70" s="71">
        <f ca="1">SUBTOTAL(9,S64:S69)</f>
        <v>765028</v>
      </c>
      <c r="T70" s="71"/>
      <c r="U70" s="71">
        <f ca="1">SUBTOTAL(9,U64:U69)</f>
        <v>765028</v>
      </c>
      <c r="V70" s="71"/>
      <c r="W70" s="71"/>
      <c r="X70" s="71"/>
      <c r="Y70" s="71"/>
      <c r="Z70" s="68"/>
    </row>
    <row r="71" spans="14:26" ht="18" customHeight="1">
      <c r="N71" s="318" t="str">
        <f ca="1">"제 " &amp; Z71 &amp; " 호표  "&amp; OFFSET($A$1,MATCH(Z71,$A:$A,0)-1,1)</f>
        <v>제 4 호표  2-1. 산지전용협의(허가)요청서</v>
      </c>
      <c r="O71" s="221"/>
      <c r="P71" s="148"/>
      <c r="Q71" s="148"/>
      <c r="R71" s="149"/>
      <c r="S71" s="149"/>
      <c r="T71" s="149"/>
      <c r="U71" s="149"/>
      <c r="V71" s="149"/>
      <c r="W71" s="149"/>
      <c r="X71" s="149"/>
      <c r="Y71" s="149"/>
      <c r="Z71" s="325">
        <f>Z63+1</f>
        <v>4</v>
      </c>
    </row>
    <row r="72" spans="14:26" ht="18" customHeight="1">
      <c r="N72" s="140" t="s">
        <v>43</v>
      </c>
      <c r="O72" s="172">
        <v>3</v>
      </c>
      <c r="P72" s="219">
        <f ca="1">OFFSET($A$1,MATCH(Z71,$A:$A,0)-1,O72)</f>
        <v>0.53600000000000003</v>
      </c>
      <c r="Q72" s="141" t="s">
        <v>29</v>
      </c>
      <c r="R72" s="142">
        <f t="shared" ref="R72:S77" ca="1" si="15">T72</f>
        <v>467217</v>
      </c>
      <c r="S72" s="142">
        <f t="shared" ca="1" si="15"/>
        <v>250428</v>
      </c>
      <c r="T72" s="142">
        <f ca="1">기술사</f>
        <v>467217</v>
      </c>
      <c r="U72" s="142">
        <f t="shared" ref="U72:U77" ca="1" si="16">ROUNDDOWN(P72*R72,0)</f>
        <v>250428</v>
      </c>
      <c r="V72" s="142"/>
      <c r="W72" s="142"/>
      <c r="X72" s="142"/>
      <c r="Y72" s="142"/>
      <c r="Z72" s="114"/>
    </row>
    <row r="73" spans="14:26" ht="18" customHeight="1">
      <c r="N73" s="143" t="s">
        <v>32</v>
      </c>
      <c r="O73" s="173">
        <v>4</v>
      </c>
      <c r="P73" s="234">
        <f ca="1">OFFSET($A$1,MATCH(Z71,$A:$A,0)-1,O73)</f>
        <v>0.93899999999999995</v>
      </c>
      <c r="Q73" s="144" t="s">
        <v>29</v>
      </c>
      <c r="R73" s="118">
        <f t="shared" ca="1" si="15"/>
        <v>373353</v>
      </c>
      <c r="S73" s="118">
        <f t="shared" ca="1" si="15"/>
        <v>350578</v>
      </c>
      <c r="T73" s="118">
        <f ca="1">특급</f>
        <v>373353</v>
      </c>
      <c r="U73" s="118">
        <f t="shared" ca="1" si="16"/>
        <v>350578</v>
      </c>
      <c r="V73" s="118"/>
      <c r="W73" s="118"/>
      <c r="X73" s="118"/>
      <c r="Y73" s="118"/>
      <c r="Z73" s="115"/>
    </row>
    <row r="74" spans="14:26" ht="18" customHeight="1">
      <c r="N74" s="145" t="s">
        <v>39</v>
      </c>
      <c r="O74" s="173">
        <v>5</v>
      </c>
      <c r="P74" s="234">
        <f ca="1">OFFSET($A$1,MATCH(Z71,$A:$A,0)-1,O74)</f>
        <v>1.8779999999999999</v>
      </c>
      <c r="Q74" s="144" t="s">
        <v>29</v>
      </c>
      <c r="R74" s="118">
        <f t="shared" ca="1" si="15"/>
        <v>310884</v>
      </c>
      <c r="S74" s="118">
        <f t="shared" ca="1" si="15"/>
        <v>583840</v>
      </c>
      <c r="T74" s="118">
        <f ca="1">고급</f>
        <v>310884</v>
      </c>
      <c r="U74" s="118">
        <f t="shared" ca="1" si="16"/>
        <v>583840</v>
      </c>
      <c r="V74" s="118"/>
      <c r="W74" s="118"/>
      <c r="X74" s="118"/>
      <c r="Y74" s="118"/>
      <c r="Z74" s="115"/>
    </row>
    <row r="75" spans="14:26" ht="18" customHeight="1">
      <c r="N75" s="145" t="s">
        <v>40</v>
      </c>
      <c r="O75" s="173">
        <v>6</v>
      </c>
      <c r="P75" s="234">
        <f ca="1">OFFSET($A$1,MATCH(Z71,$A:$A,0)-1,O75)</f>
        <v>2.6840000000000002</v>
      </c>
      <c r="Q75" s="144" t="s">
        <v>29</v>
      </c>
      <c r="R75" s="118">
        <f t="shared" ca="1" si="15"/>
        <v>295138</v>
      </c>
      <c r="S75" s="118">
        <f t="shared" ca="1" si="15"/>
        <v>792150</v>
      </c>
      <c r="T75" s="118">
        <f ca="1">중급</f>
        <v>295138</v>
      </c>
      <c r="U75" s="118">
        <f t="shared" ca="1" si="16"/>
        <v>792150</v>
      </c>
      <c r="V75" s="118"/>
      <c r="W75" s="118"/>
      <c r="X75" s="118"/>
      <c r="Y75" s="118"/>
      <c r="Z75" s="115"/>
    </row>
    <row r="76" spans="14:26" ht="18" customHeight="1">
      <c r="N76" s="145" t="s">
        <v>41</v>
      </c>
      <c r="O76" s="173">
        <v>7</v>
      </c>
      <c r="P76" s="234">
        <f ca="1">OFFSET($A$1,MATCH(Z71,$A:$A,0)-1,O76)</f>
        <v>5.0990000000000002</v>
      </c>
      <c r="Q76" s="144" t="s">
        <v>29</v>
      </c>
      <c r="R76" s="118">
        <f t="shared" ca="1" si="15"/>
        <v>235459</v>
      </c>
      <c r="S76" s="118">
        <f t="shared" ca="1" si="15"/>
        <v>1200605</v>
      </c>
      <c r="T76" s="118">
        <f ca="1">초급</f>
        <v>235459</v>
      </c>
      <c r="U76" s="118">
        <f t="shared" ca="1" si="16"/>
        <v>1200605</v>
      </c>
      <c r="V76" s="118"/>
      <c r="W76" s="118"/>
      <c r="X76" s="118"/>
      <c r="Y76" s="118"/>
      <c r="Z76" s="115"/>
    </row>
    <row r="77" spans="14:26" ht="18" customHeight="1">
      <c r="N77" s="319" t="s">
        <v>42</v>
      </c>
      <c r="O77" s="174">
        <v>8</v>
      </c>
      <c r="P77" s="235">
        <f ca="1">OFFSET($A$1,MATCH(Z71,$A:$A,0)-1,O77)</f>
        <v>5.77</v>
      </c>
      <c r="Q77" s="322" t="s">
        <v>29</v>
      </c>
      <c r="R77" s="323">
        <f t="shared" ca="1" si="15"/>
        <v>250087</v>
      </c>
      <c r="S77" s="323">
        <f t="shared" ca="1" si="15"/>
        <v>1443001</v>
      </c>
      <c r="T77" s="323">
        <f ca="1">보조원</f>
        <v>250087</v>
      </c>
      <c r="U77" s="323">
        <f t="shared" ca="1" si="16"/>
        <v>1443001</v>
      </c>
      <c r="V77" s="323"/>
      <c r="W77" s="323"/>
      <c r="X77" s="323"/>
      <c r="Y77" s="323"/>
      <c r="Z77" s="324"/>
    </row>
    <row r="78" spans="14:26" ht="18" customHeight="1">
      <c r="N78" s="139" t="s">
        <v>17</v>
      </c>
      <c r="O78" s="68"/>
      <c r="P78" s="69"/>
      <c r="Q78" s="70"/>
      <c r="R78" s="71"/>
      <c r="S78" s="71">
        <f ca="1">SUBTOTAL(9,S72:S77)</f>
        <v>4620602</v>
      </c>
      <c r="T78" s="71"/>
      <c r="U78" s="71">
        <f ca="1">SUBTOTAL(9,U72:U77)</f>
        <v>4620602</v>
      </c>
      <c r="V78" s="71"/>
      <c r="W78" s="71"/>
      <c r="X78" s="71"/>
      <c r="Y78" s="71"/>
      <c r="Z78" s="68"/>
    </row>
    <row r="79" spans="14:26" ht="18" customHeight="1">
      <c r="N79" s="318" t="str">
        <f ca="1">"제 " &amp; Z79 &amp; " 호표  "&amp; OFFSET($A$1,MATCH(Z79,$A:$A,0)-1,1)</f>
        <v>제 5 호표  2-2. 산지편입 현황조서 작성</v>
      </c>
      <c r="O79" s="221"/>
      <c r="P79" s="148"/>
      <c r="Q79" s="148"/>
      <c r="R79" s="149"/>
      <c r="S79" s="149"/>
      <c r="T79" s="149"/>
      <c r="U79" s="149"/>
      <c r="V79" s="149"/>
      <c r="W79" s="149"/>
      <c r="X79" s="149"/>
      <c r="Y79" s="149"/>
      <c r="Z79" s="325">
        <f>Z71+1</f>
        <v>5</v>
      </c>
    </row>
    <row r="80" spans="14:26" ht="18" customHeight="1">
      <c r="N80" s="140" t="s">
        <v>43</v>
      </c>
      <c r="O80" s="172">
        <v>3</v>
      </c>
      <c r="P80" s="219">
        <f ca="1">OFFSET($A$1,MATCH(Z79,$A:$A,0)-1,O80)</f>
        <v>0</v>
      </c>
      <c r="Q80" s="141" t="s">
        <v>29</v>
      </c>
      <c r="R80" s="142">
        <f t="shared" ref="R80:S85" ca="1" si="17">T80</f>
        <v>467217</v>
      </c>
      <c r="S80" s="142">
        <f t="shared" ca="1" si="17"/>
        <v>0</v>
      </c>
      <c r="T80" s="142">
        <f ca="1">기술사</f>
        <v>467217</v>
      </c>
      <c r="U80" s="142">
        <f t="shared" ref="U80:U85" ca="1" si="18">ROUNDDOWN(P80*R80,0)</f>
        <v>0</v>
      </c>
      <c r="V80" s="142"/>
      <c r="W80" s="142"/>
      <c r="X80" s="142"/>
      <c r="Y80" s="142"/>
      <c r="Z80" s="114"/>
    </row>
    <row r="81" spans="14:26" ht="18" customHeight="1">
      <c r="N81" s="143" t="s">
        <v>32</v>
      </c>
      <c r="O81" s="173">
        <v>4</v>
      </c>
      <c r="P81" s="234">
        <f ca="1">OFFSET($A$1,MATCH(Z79,$A:$A,0)-1,O81)</f>
        <v>0.751</v>
      </c>
      <c r="Q81" s="144" t="s">
        <v>29</v>
      </c>
      <c r="R81" s="118">
        <f t="shared" ca="1" si="17"/>
        <v>373353</v>
      </c>
      <c r="S81" s="118">
        <f t="shared" ca="1" si="17"/>
        <v>280388</v>
      </c>
      <c r="T81" s="118">
        <f ca="1">특급</f>
        <v>373353</v>
      </c>
      <c r="U81" s="118">
        <f t="shared" ca="1" si="18"/>
        <v>280388</v>
      </c>
      <c r="V81" s="118"/>
      <c r="W81" s="118"/>
      <c r="X81" s="118"/>
      <c r="Y81" s="118"/>
      <c r="Z81" s="115"/>
    </row>
    <row r="82" spans="14:26" ht="18" customHeight="1">
      <c r="N82" s="145" t="s">
        <v>39</v>
      </c>
      <c r="O82" s="173">
        <v>5</v>
      </c>
      <c r="P82" s="234">
        <f ca="1">OFFSET($A$1,MATCH(Z79,$A:$A,0)-1,O82)</f>
        <v>3.851</v>
      </c>
      <c r="Q82" s="144" t="s">
        <v>29</v>
      </c>
      <c r="R82" s="118">
        <f t="shared" ca="1" si="17"/>
        <v>310884</v>
      </c>
      <c r="S82" s="118">
        <f t="shared" ca="1" si="17"/>
        <v>1197214</v>
      </c>
      <c r="T82" s="118">
        <f ca="1">고급</f>
        <v>310884</v>
      </c>
      <c r="U82" s="118">
        <f t="shared" ca="1" si="18"/>
        <v>1197214</v>
      </c>
      <c r="V82" s="118"/>
      <c r="W82" s="118"/>
      <c r="X82" s="118"/>
      <c r="Y82" s="118"/>
      <c r="Z82" s="115"/>
    </row>
    <row r="83" spans="14:26" ht="18" customHeight="1">
      <c r="N83" s="145" t="s">
        <v>40</v>
      </c>
      <c r="O83" s="173">
        <v>6</v>
      </c>
      <c r="P83" s="234">
        <f ca="1">OFFSET($A$1,MATCH(Z79,$A:$A,0)-1,O83)</f>
        <v>5.6360000000000001</v>
      </c>
      <c r="Q83" s="144" t="s">
        <v>29</v>
      </c>
      <c r="R83" s="118">
        <f t="shared" ca="1" si="17"/>
        <v>295138</v>
      </c>
      <c r="S83" s="118">
        <f t="shared" ca="1" si="17"/>
        <v>1663397</v>
      </c>
      <c r="T83" s="118">
        <f ca="1">중급</f>
        <v>295138</v>
      </c>
      <c r="U83" s="118">
        <f t="shared" ca="1" si="18"/>
        <v>1663397</v>
      </c>
      <c r="V83" s="118"/>
      <c r="W83" s="118"/>
      <c r="X83" s="118"/>
      <c r="Y83" s="118"/>
      <c r="Z83" s="115"/>
    </row>
    <row r="84" spans="14:26" ht="18" customHeight="1">
      <c r="N84" s="145" t="s">
        <v>41</v>
      </c>
      <c r="O84" s="173">
        <v>7</v>
      </c>
      <c r="P84" s="234">
        <f ca="1">OFFSET($A$1,MATCH(Z79,$A:$A,0)-1,O84)</f>
        <v>10.615</v>
      </c>
      <c r="Q84" s="144" t="s">
        <v>29</v>
      </c>
      <c r="R84" s="118">
        <f t="shared" ca="1" si="17"/>
        <v>235459</v>
      </c>
      <c r="S84" s="118">
        <f t="shared" ca="1" si="17"/>
        <v>2499397</v>
      </c>
      <c r="T84" s="118">
        <f ca="1">초급</f>
        <v>235459</v>
      </c>
      <c r="U84" s="118">
        <f t="shared" ca="1" si="18"/>
        <v>2499397</v>
      </c>
      <c r="V84" s="118"/>
      <c r="W84" s="118"/>
      <c r="X84" s="118"/>
      <c r="Y84" s="118"/>
      <c r="Z84" s="115"/>
    </row>
    <row r="85" spans="14:26" ht="18" customHeight="1">
      <c r="N85" s="319" t="s">
        <v>42</v>
      </c>
      <c r="O85" s="174">
        <v>8</v>
      </c>
      <c r="P85" s="235">
        <f ca="1">OFFSET($A$1,MATCH(Z79,$A:$A,0)-1,O85)</f>
        <v>12.212</v>
      </c>
      <c r="Q85" s="322" t="s">
        <v>29</v>
      </c>
      <c r="R85" s="323">
        <f t="shared" ca="1" si="17"/>
        <v>250087</v>
      </c>
      <c r="S85" s="323">
        <f t="shared" ca="1" si="17"/>
        <v>3054062</v>
      </c>
      <c r="T85" s="323">
        <f ca="1">보조원</f>
        <v>250087</v>
      </c>
      <c r="U85" s="323">
        <f t="shared" ca="1" si="18"/>
        <v>3054062</v>
      </c>
      <c r="V85" s="323"/>
      <c r="W85" s="323"/>
      <c r="X85" s="323"/>
      <c r="Y85" s="323"/>
      <c r="Z85" s="324"/>
    </row>
    <row r="86" spans="14:26" ht="18" customHeight="1">
      <c r="N86" s="139" t="s">
        <v>17</v>
      </c>
      <c r="O86" s="68"/>
      <c r="P86" s="69"/>
      <c r="Q86" s="70"/>
      <c r="R86" s="71"/>
      <c r="S86" s="71">
        <f ca="1">SUBTOTAL(9,S80:S85)</f>
        <v>8694458</v>
      </c>
      <c r="T86" s="71"/>
      <c r="U86" s="71">
        <f ca="1">SUBTOTAL(9,U80:U85)</f>
        <v>8694458</v>
      </c>
      <c r="V86" s="71"/>
      <c r="W86" s="71"/>
      <c r="X86" s="71"/>
      <c r="Y86" s="71"/>
      <c r="Z86" s="68"/>
    </row>
    <row r="87" spans="14:26" ht="18" customHeight="1">
      <c r="N87" s="318" t="str">
        <f ca="1">"제 " &amp; Z87 &amp; " 호표  "&amp; OFFSET($A$1,MATCH(Z87,$A:$A,0)-1,1)</f>
        <v>제 6 호표  2-3. 피해방지계획서 작성</v>
      </c>
      <c r="O87" s="221"/>
      <c r="P87" s="148"/>
      <c r="Q87" s="148"/>
      <c r="R87" s="149"/>
      <c r="S87" s="149"/>
      <c r="T87" s="149"/>
      <c r="U87" s="149"/>
      <c r="V87" s="149"/>
      <c r="W87" s="149"/>
      <c r="X87" s="149"/>
      <c r="Y87" s="149"/>
      <c r="Z87" s="325">
        <f>Z79+1</f>
        <v>6</v>
      </c>
    </row>
    <row r="88" spans="14:26" ht="18" customHeight="1">
      <c r="N88" s="140" t="s">
        <v>43</v>
      </c>
      <c r="O88" s="172">
        <v>3</v>
      </c>
      <c r="P88" s="219">
        <f ca="1">OFFSET($A$1,MATCH(Z87,$A:$A,0)-1,O88)</f>
        <v>0.53600000000000003</v>
      </c>
      <c r="Q88" s="141" t="s">
        <v>29</v>
      </c>
      <c r="R88" s="142">
        <f t="shared" ref="R88:S93" ca="1" si="19">T88</f>
        <v>467217</v>
      </c>
      <c r="S88" s="142">
        <f t="shared" ca="1" si="19"/>
        <v>250428</v>
      </c>
      <c r="T88" s="142">
        <f ca="1">기술사</f>
        <v>467217</v>
      </c>
      <c r="U88" s="142">
        <f t="shared" ref="U88:U93" ca="1" si="20">ROUNDDOWN(P88*R88,0)</f>
        <v>250428</v>
      </c>
      <c r="V88" s="142"/>
      <c r="W88" s="142"/>
      <c r="X88" s="142"/>
      <c r="Y88" s="142"/>
      <c r="Z88" s="114"/>
    </row>
    <row r="89" spans="14:26" ht="18" customHeight="1">
      <c r="N89" s="143" t="s">
        <v>32</v>
      </c>
      <c r="O89" s="173">
        <v>4</v>
      </c>
      <c r="P89" s="234">
        <f ca="1">OFFSET($A$1,MATCH(Z87,$A:$A,0)-1,O89)</f>
        <v>0.93899999999999995</v>
      </c>
      <c r="Q89" s="144" t="s">
        <v>29</v>
      </c>
      <c r="R89" s="118">
        <f t="shared" ca="1" si="19"/>
        <v>373353</v>
      </c>
      <c r="S89" s="118">
        <f t="shared" ca="1" si="19"/>
        <v>350578</v>
      </c>
      <c r="T89" s="118">
        <f ca="1">특급</f>
        <v>373353</v>
      </c>
      <c r="U89" s="118">
        <f t="shared" ca="1" si="20"/>
        <v>350578</v>
      </c>
      <c r="V89" s="118"/>
      <c r="W89" s="118"/>
      <c r="X89" s="118"/>
      <c r="Y89" s="118"/>
      <c r="Z89" s="115"/>
    </row>
    <row r="90" spans="14:26" ht="18" customHeight="1">
      <c r="N90" s="145" t="s">
        <v>39</v>
      </c>
      <c r="O90" s="173">
        <v>5</v>
      </c>
      <c r="P90" s="234">
        <f ca="1">OFFSET($A$1,MATCH(Z87,$A:$A,0)-1,O90)</f>
        <v>1.8779999999999999</v>
      </c>
      <c r="Q90" s="144" t="s">
        <v>29</v>
      </c>
      <c r="R90" s="118">
        <f t="shared" ca="1" si="19"/>
        <v>310884</v>
      </c>
      <c r="S90" s="118">
        <f t="shared" ca="1" si="19"/>
        <v>583840</v>
      </c>
      <c r="T90" s="118">
        <f ca="1">고급</f>
        <v>310884</v>
      </c>
      <c r="U90" s="118">
        <f t="shared" ca="1" si="20"/>
        <v>583840</v>
      </c>
      <c r="V90" s="118"/>
      <c r="W90" s="118"/>
      <c r="X90" s="118"/>
      <c r="Y90" s="118"/>
      <c r="Z90" s="115"/>
    </row>
    <row r="91" spans="14:26" ht="18" customHeight="1">
      <c r="N91" s="145" t="s">
        <v>40</v>
      </c>
      <c r="O91" s="173">
        <v>6</v>
      </c>
      <c r="P91" s="234">
        <f ca="1">OFFSET($A$1,MATCH(Z87,$A:$A,0)-1,O91)</f>
        <v>2.6840000000000002</v>
      </c>
      <c r="Q91" s="144" t="s">
        <v>29</v>
      </c>
      <c r="R91" s="118">
        <f t="shared" ca="1" si="19"/>
        <v>295138</v>
      </c>
      <c r="S91" s="118">
        <f t="shared" ca="1" si="19"/>
        <v>792150</v>
      </c>
      <c r="T91" s="118">
        <f ca="1">중급</f>
        <v>295138</v>
      </c>
      <c r="U91" s="118">
        <f t="shared" ca="1" si="20"/>
        <v>792150</v>
      </c>
      <c r="V91" s="118"/>
      <c r="W91" s="118"/>
      <c r="X91" s="118"/>
      <c r="Y91" s="118"/>
      <c r="Z91" s="115"/>
    </row>
    <row r="92" spans="14:26" ht="18" customHeight="1">
      <c r="N92" s="145" t="s">
        <v>41</v>
      </c>
      <c r="O92" s="173">
        <v>7</v>
      </c>
      <c r="P92" s="234">
        <f ca="1">OFFSET($A$1,MATCH(Z87,$A:$A,0)-1,O92)</f>
        <v>5.0990000000000002</v>
      </c>
      <c r="Q92" s="144" t="s">
        <v>29</v>
      </c>
      <c r="R92" s="118">
        <f t="shared" ca="1" si="19"/>
        <v>235459</v>
      </c>
      <c r="S92" s="118">
        <f t="shared" ca="1" si="19"/>
        <v>1200605</v>
      </c>
      <c r="T92" s="118">
        <f ca="1">초급</f>
        <v>235459</v>
      </c>
      <c r="U92" s="118">
        <f t="shared" ca="1" si="20"/>
        <v>1200605</v>
      </c>
      <c r="V92" s="118"/>
      <c r="W92" s="118"/>
      <c r="X92" s="118"/>
      <c r="Y92" s="118"/>
      <c r="Z92" s="115"/>
    </row>
    <row r="93" spans="14:26" ht="18" customHeight="1">
      <c r="N93" s="319" t="s">
        <v>42</v>
      </c>
      <c r="O93" s="174">
        <v>8</v>
      </c>
      <c r="P93" s="235">
        <f ca="1">OFFSET($A$1,MATCH(Z87,$A:$A,0)-1,O93)</f>
        <v>5.77</v>
      </c>
      <c r="Q93" s="322" t="s">
        <v>29</v>
      </c>
      <c r="R93" s="323">
        <f t="shared" ca="1" si="19"/>
        <v>250087</v>
      </c>
      <c r="S93" s="323">
        <f t="shared" ca="1" si="19"/>
        <v>1443001</v>
      </c>
      <c r="T93" s="323">
        <f ca="1">보조원</f>
        <v>250087</v>
      </c>
      <c r="U93" s="323">
        <f t="shared" ca="1" si="20"/>
        <v>1443001</v>
      </c>
      <c r="V93" s="323"/>
      <c r="W93" s="323"/>
      <c r="X93" s="323"/>
      <c r="Y93" s="323"/>
      <c r="Z93" s="324"/>
    </row>
    <row r="94" spans="14:26" ht="18" customHeight="1">
      <c r="N94" s="139" t="s">
        <v>17</v>
      </c>
      <c r="O94" s="68"/>
      <c r="P94" s="69"/>
      <c r="Q94" s="70"/>
      <c r="R94" s="71"/>
      <c r="S94" s="71">
        <f ca="1">SUBTOTAL(9,S88:S93)</f>
        <v>4620602</v>
      </c>
      <c r="T94" s="71"/>
      <c r="U94" s="71">
        <f ca="1">SUBTOTAL(9,U88:U93)</f>
        <v>4620602</v>
      </c>
      <c r="V94" s="71"/>
      <c r="W94" s="71"/>
      <c r="X94" s="71"/>
      <c r="Y94" s="71"/>
      <c r="Z94" s="68"/>
    </row>
    <row r="95" spans="14:26" ht="18" customHeight="1">
      <c r="N95" s="318" t="str">
        <f ca="1">"제 " &amp; Z95 &amp; " 호표  "&amp; OFFSET($A$1,MATCH(Z95,$A:$A,0)-1,1)</f>
        <v>제 7 호표  2-4. 사업계획서 작성</v>
      </c>
      <c r="O95" s="221"/>
      <c r="P95" s="148"/>
      <c r="Q95" s="148"/>
      <c r="R95" s="149"/>
      <c r="S95" s="149"/>
      <c r="T95" s="149"/>
      <c r="U95" s="149"/>
      <c r="V95" s="149"/>
      <c r="W95" s="149"/>
      <c r="X95" s="149"/>
      <c r="Y95" s="149"/>
      <c r="Z95" s="325">
        <f>Z87+1</f>
        <v>7</v>
      </c>
    </row>
    <row r="96" spans="14:26" ht="18" customHeight="1">
      <c r="N96" s="140" t="s">
        <v>43</v>
      </c>
      <c r="O96" s="172">
        <v>3</v>
      </c>
      <c r="P96" s="219">
        <f ca="1">OFFSET($A$1,MATCH(Z95,$A:$A,0)-1,O96)</f>
        <v>0</v>
      </c>
      <c r="Q96" s="141" t="s">
        <v>29</v>
      </c>
      <c r="R96" s="142">
        <f t="shared" ref="R96:S101" ca="1" si="21">T96</f>
        <v>467217</v>
      </c>
      <c r="S96" s="142">
        <f t="shared" ca="1" si="21"/>
        <v>0</v>
      </c>
      <c r="T96" s="142">
        <f ca="1">기술사</f>
        <v>467217</v>
      </c>
      <c r="U96" s="142">
        <f t="shared" ref="U96:U101" ca="1" si="22">ROUNDDOWN(P96*R96,0)</f>
        <v>0</v>
      </c>
      <c r="V96" s="142"/>
      <c r="W96" s="142"/>
      <c r="X96" s="142"/>
      <c r="Y96" s="142"/>
      <c r="Z96" s="114"/>
    </row>
    <row r="97" spans="14:26" ht="18" customHeight="1">
      <c r="N97" s="143" t="s">
        <v>32</v>
      </c>
      <c r="O97" s="173">
        <v>4</v>
      </c>
      <c r="P97" s="234">
        <f ca="1">OFFSET($A$1,MATCH(Z95,$A:$A,0)-1,O97)</f>
        <v>0.65700000000000003</v>
      </c>
      <c r="Q97" s="144" t="s">
        <v>29</v>
      </c>
      <c r="R97" s="118">
        <f t="shared" ca="1" si="21"/>
        <v>373353</v>
      </c>
      <c r="S97" s="118">
        <f t="shared" ca="1" si="21"/>
        <v>245292</v>
      </c>
      <c r="T97" s="118">
        <f ca="1">특급</f>
        <v>373353</v>
      </c>
      <c r="U97" s="118">
        <f t="shared" ca="1" si="22"/>
        <v>245292</v>
      </c>
      <c r="V97" s="118"/>
      <c r="W97" s="118"/>
      <c r="X97" s="118"/>
      <c r="Y97" s="118"/>
      <c r="Z97" s="115"/>
    </row>
    <row r="98" spans="14:26" ht="18" customHeight="1">
      <c r="N98" s="145" t="s">
        <v>39</v>
      </c>
      <c r="O98" s="173">
        <v>5</v>
      </c>
      <c r="P98" s="234">
        <f ca="1">OFFSET($A$1,MATCH(Z95,$A:$A,0)-1,O98)</f>
        <v>1.3149999999999999</v>
      </c>
      <c r="Q98" s="144" t="s">
        <v>29</v>
      </c>
      <c r="R98" s="118">
        <f t="shared" ca="1" si="21"/>
        <v>310884</v>
      </c>
      <c r="S98" s="118">
        <f t="shared" ca="1" si="21"/>
        <v>408812</v>
      </c>
      <c r="T98" s="118">
        <f ca="1">고급</f>
        <v>310884</v>
      </c>
      <c r="U98" s="118">
        <f t="shared" ca="1" si="22"/>
        <v>408812</v>
      </c>
      <c r="V98" s="118"/>
      <c r="W98" s="118"/>
      <c r="X98" s="118"/>
      <c r="Y98" s="118"/>
      <c r="Z98" s="115"/>
    </row>
    <row r="99" spans="14:26" ht="18" customHeight="1">
      <c r="N99" s="145" t="s">
        <v>40</v>
      </c>
      <c r="O99" s="173">
        <v>6</v>
      </c>
      <c r="P99" s="234">
        <f ca="1">OFFSET($A$1,MATCH(Z95,$A:$A,0)-1,O99)</f>
        <v>1.8779999999999999</v>
      </c>
      <c r="Q99" s="144" t="s">
        <v>29</v>
      </c>
      <c r="R99" s="118">
        <f t="shared" ca="1" si="21"/>
        <v>295138</v>
      </c>
      <c r="S99" s="118">
        <f t="shared" ca="1" si="21"/>
        <v>554269</v>
      </c>
      <c r="T99" s="118">
        <f ca="1">중급</f>
        <v>295138</v>
      </c>
      <c r="U99" s="118">
        <f t="shared" ca="1" si="22"/>
        <v>554269</v>
      </c>
      <c r="V99" s="118"/>
      <c r="W99" s="118"/>
      <c r="X99" s="118"/>
      <c r="Y99" s="118"/>
      <c r="Z99" s="115"/>
    </row>
    <row r="100" spans="14:26" ht="18" customHeight="1">
      <c r="N100" s="145" t="s">
        <v>41</v>
      </c>
      <c r="O100" s="173">
        <v>7</v>
      </c>
      <c r="P100" s="234">
        <f ca="1">OFFSET($A$1,MATCH(Z95,$A:$A,0)-1,O100)</f>
        <v>3.569</v>
      </c>
      <c r="Q100" s="144" t="s">
        <v>29</v>
      </c>
      <c r="R100" s="118">
        <f t="shared" ca="1" si="21"/>
        <v>235459</v>
      </c>
      <c r="S100" s="118">
        <f t="shared" ca="1" si="21"/>
        <v>840353</v>
      </c>
      <c r="T100" s="118">
        <f ca="1">초급</f>
        <v>235459</v>
      </c>
      <c r="U100" s="118">
        <f t="shared" ca="1" si="22"/>
        <v>840353</v>
      </c>
      <c r="V100" s="118"/>
      <c r="W100" s="118"/>
      <c r="X100" s="118"/>
      <c r="Y100" s="118"/>
      <c r="Z100" s="115"/>
    </row>
    <row r="101" spans="14:26" ht="18" customHeight="1">
      <c r="N101" s="319" t="s">
        <v>42</v>
      </c>
      <c r="O101" s="174">
        <v>8</v>
      </c>
      <c r="P101" s="235">
        <f ca="1">OFFSET($A$1,MATCH(Z95,$A:$A,0)-1,O101)</f>
        <v>4.2270000000000003</v>
      </c>
      <c r="Q101" s="322" t="s">
        <v>29</v>
      </c>
      <c r="R101" s="323">
        <f t="shared" ca="1" si="21"/>
        <v>250087</v>
      </c>
      <c r="S101" s="323">
        <f t="shared" ca="1" si="21"/>
        <v>1057117</v>
      </c>
      <c r="T101" s="323">
        <f ca="1">보조원</f>
        <v>250087</v>
      </c>
      <c r="U101" s="323">
        <f t="shared" ca="1" si="22"/>
        <v>1057117</v>
      </c>
      <c r="V101" s="323"/>
      <c r="W101" s="323"/>
      <c r="X101" s="323"/>
      <c r="Y101" s="323"/>
      <c r="Z101" s="324"/>
    </row>
    <row r="102" spans="14:26" ht="18" customHeight="1">
      <c r="N102" s="139" t="s">
        <v>17</v>
      </c>
      <c r="O102" s="68"/>
      <c r="P102" s="69"/>
      <c r="Q102" s="70"/>
      <c r="R102" s="71"/>
      <c r="S102" s="71">
        <f ca="1">SUBTOTAL(9,S96:S101)</f>
        <v>3105843</v>
      </c>
      <c r="T102" s="71"/>
      <c r="U102" s="71">
        <f ca="1">SUBTOTAL(9,U96:U101)</f>
        <v>3105843</v>
      </c>
      <c r="V102" s="71"/>
      <c r="W102" s="71"/>
      <c r="X102" s="71"/>
      <c r="Y102" s="71"/>
      <c r="Z102" s="68"/>
    </row>
    <row r="103" spans="14:26" ht="18" customHeight="1">
      <c r="N103" s="318" t="str">
        <f ca="1">"제 " &amp; Z103 &amp; " 호표  "&amp; OFFSET($A$1,MATCH(Z103,$A:$A,0)-1,1)</f>
        <v>제 8 호표  2-5. 산지관련 도서 작성</v>
      </c>
      <c r="O103" s="221"/>
      <c r="P103" s="148"/>
      <c r="Q103" s="148"/>
      <c r="R103" s="149"/>
      <c r="S103" s="149"/>
      <c r="T103" s="149"/>
      <c r="U103" s="149"/>
      <c r="V103" s="149"/>
      <c r="W103" s="149"/>
      <c r="X103" s="149"/>
      <c r="Y103" s="149"/>
      <c r="Z103" s="325">
        <f>Z95+1</f>
        <v>8</v>
      </c>
    </row>
    <row r="104" spans="14:26" ht="18" customHeight="1">
      <c r="N104" s="140" t="s">
        <v>43</v>
      </c>
      <c r="O104" s="172">
        <v>3</v>
      </c>
      <c r="P104" s="219">
        <f ca="1">OFFSET($A$1,MATCH(Z103,$A:$A,0)-1,O104)</f>
        <v>0</v>
      </c>
      <c r="Q104" s="141" t="s">
        <v>29</v>
      </c>
      <c r="R104" s="142">
        <f t="shared" ref="R104:S109" ca="1" si="23">T104</f>
        <v>467217</v>
      </c>
      <c r="S104" s="142">
        <f t="shared" ca="1" si="23"/>
        <v>0</v>
      </c>
      <c r="T104" s="142">
        <f ca="1">기술사</f>
        <v>467217</v>
      </c>
      <c r="U104" s="142">
        <f t="shared" ref="U104:U109" ca="1" si="24">ROUNDDOWN(P104*R104,0)</f>
        <v>0</v>
      </c>
      <c r="V104" s="142"/>
      <c r="W104" s="142"/>
      <c r="X104" s="142"/>
      <c r="Y104" s="142"/>
      <c r="Z104" s="114"/>
    </row>
    <row r="105" spans="14:26" ht="18" customHeight="1">
      <c r="N105" s="143" t="s">
        <v>32</v>
      </c>
      <c r="O105" s="173">
        <v>4</v>
      </c>
      <c r="P105" s="234">
        <f ca="1">OFFSET($A$1,MATCH(Z103,$A:$A,0)-1,O105)</f>
        <v>0.93899999999999995</v>
      </c>
      <c r="Q105" s="144" t="s">
        <v>29</v>
      </c>
      <c r="R105" s="118">
        <f t="shared" ca="1" si="23"/>
        <v>373353</v>
      </c>
      <c r="S105" s="118">
        <f t="shared" ca="1" si="23"/>
        <v>350578</v>
      </c>
      <c r="T105" s="118">
        <f ca="1">특급</f>
        <v>373353</v>
      </c>
      <c r="U105" s="118">
        <f t="shared" ca="1" si="24"/>
        <v>350578</v>
      </c>
      <c r="V105" s="118"/>
      <c r="W105" s="118"/>
      <c r="X105" s="118"/>
      <c r="Y105" s="118"/>
      <c r="Z105" s="115"/>
    </row>
    <row r="106" spans="14:26" ht="18" customHeight="1">
      <c r="N106" s="145" t="s">
        <v>39</v>
      </c>
      <c r="O106" s="173">
        <v>5</v>
      </c>
      <c r="P106" s="234">
        <f ca="1">OFFSET($A$1,MATCH(Z103,$A:$A,0)-1,O106)</f>
        <v>1.8779999999999999</v>
      </c>
      <c r="Q106" s="144" t="s">
        <v>29</v>
      </c>
      <c r="R106" s="118">
        <f t="shared" ca="1" si="23"/>
        <v>310884</v>
      </c>
      <c r="S106" s="118">
        <f t="shared" ca="1" si="23"/>
        <v>583840</v>
      </c>
      <c r="T106" s="118">
        <f ca="1">고급</f>
        <v>310884</v>
      </c>
      <c r="U106" s="118">
        <f t="shared" ca="1" si="24"/>
        <v>583840</v>
      </c>
      <c r="V106" s="118"/>
      <c r="W106" s="118"/>
      <c r="X106" s="118"/>
      <c r="Y106" s="118"/>
      <c r="Z106" s="115"/>
    </row>
    <row r="107" spans="14:26" ht="18" customHeight="1">
      <c r="N107" s="145" t="s">
        <v>40</v>
      </c>
      <c r="O107" s="173">
        <v>6</v>
      </c>
      <c r="P107" s="234">
        <f ca="1">OFFSET($A$1,MATCH(Z103,$A:$A,0)-1,O107)</f>
        <v>2.6840000000000002</v>
      </c>
      <c r="Q107" s="144" t="s">
        <v>29</v>
      </c>
      <c r="R107" s="118">
        <f t="shared" ca="1" si="23"/>
        <v>295138</v>
      </c>
      <c r="S107" s="118">
        <f t="shared" ca="1" si="23"/>
        <v>792150</v>
      </c>
      <c r="T107" s="118">
        <f ca="1">중급</f>
        <v>295138</v>
      </c>
      <c r="U107" s="118">
        <f t="shared" ca="1" si="24"/>
        <v>792150</v>
      </c>
      <c r="V107" s="118"/>
      <c r="W107" s="118"/>
      <c r="X107" s="118"/>
      <c r="Y107" s="118"/>
      <c r="Z107" s="115"/>
    </row>
    <row r="108" spans="14:26" ht="18" customHeight="1">
      <c r="N108" s="145" t="s">
        <v>41</v>
      </c>
      <c r="O108" s="173">
        <v>7</v>
      </c>
      <c r="P108" s="234">
        <f ca="1">OFFSET($A$1,MATCH(Z103,$A:$A,0)-1,O108)</f>
        <v>5.0990000000000002</v>
      </c>
      <c r="Q108" s="144" t="s">
        <v>29</v>
      </c>
      <c r="R108" s="118">
        <f t="shared" ca="1" si="23"/>
        <v>235459</v>
      </c>
      <c r="S108" s="118">
        <f t="shared" ca="1" si="23"/>
        <v>1200605</v>
      </c>
      <c r="T108" s="118">
        <f ca="1">초급</f>
        <v>235459</v>
      </c>
      <c r="U108" s="118">
        <f t="shared" ca="1" si="24"/>
        <v>1200605</v>
      </c>
      <c r="V108" s="118"/>
      <c r="W108" s="118"/>
      <c r="X108" s="118"/>
      <c r="Y108" s="118"/>
      <c r="Z108" s="115"/>
    </row>
    <row r="109" spans="14:26" ht="18" customHeight="1">
      <c r="N109" s="319" t="s">
        <v>42</v>
      </c>
      <c r="O109" s="174">
        <v>8</v>
      </c>
      <c r="P109" s="235">
        <f ca="1">OFFSET($A$1,MATCH(Z103,$A:$A,0)-1,O109)</f>
        <v>6.0389999999999997</v>
      </c>
      <c r="Q109" s="322" t="s">
        <v>29</v>
      </c>
      <c r="R109" s="323">
        <f t="shared" ca="1" si="23"/>
        <v>250087</v>
      </c>
      <c r="S109" s="323">
        <f t="shared" ca="1" si="23"/>
        <v>1510275</v>
      </c>
      <c r="T109" s="323">
        <f ca="1">보조원</f>
        <v>250087</v>
      </c>
      <c r="U109" s="323">
        <f t="shared" ca="1" si="24"/>
        <v>1510275</v>
      </c>
      <c r="V109" s="323"/>
      <c r="W109" s="323"/>
      <c r="X109" s="323"/>
      <c r="Y109" s="323"/>
      <c r="Z109" s="324"/>
    </row>
    <row r="110" spans="14:26" ht="18" customHeight="1">
      <c r="N110" s="139" t="s">
        <v>17</v>
      </c>
      <c r="O110" s="68"/>
      <c r="P110" s="69"/>
      <c r="Q110" s="70"/>
      <c r="R110" s="71"/>
      <c r="S110" s="71">
        <f ca="1">SUBTOTAL(9,S104:S109)</f>
        <v>4437448</v>
      </c>
      <c r="T110" s="71"/>
      <c r="U110" s="71">
        <f ca="1">SUBTOTAL(9,U104:U109)</f>
        <v>4437448</v>
      </c>
      <c r="V110" s="71"/>
      <c r="W110" s="71"/>
      <c r="X110" s="71"/>
      <c r="Y110" s="71"/>
      <c r="Z110" s="68"/>
    </row>
    <row r="111" spans="14:26" ht="18" customHeight="1">
      <c r="N111" s="318" t="str">
        <f ca="1">"제 " &amp; Z111 &amp; " 호표  "&amp; OFFSET($A$1,MATCH(Z111,$A:$A,0)-1,1)</f>
        <v>제 9 호표  3-1. 공청회/주민설명회</v>
      </c>
      <c r="O111" s="221"/>
      <c r="P111" s="148"/>
      <c r="Q111" s="148"/>
      <c r="R111" s="149"/>
      <c r="S111" s="149"/>
      <c r="T111" s="149"/>
      <c r="U111" s="149"/>
      <c r="V111" s="149"/>
      <c r="W111" s="149"/>
      <c r="X111" s="149"/>
      <c r="Y111" s="149"/>
      <c r="Z111" s="325">
        <f>Z103+1</f>
        <v>9</v>
      </c>
    </row>
    <row r="112" spans="14:26" ht="18" customHeight="1">
      <c r="N112" s="140" t="s">
        <v>43</v>
      </c>
      <c r="O112" s="172">
        <v>3</v>
      </c>
      <c r="P112" s="219">
        <f ca="1">OFFSET($A$1,MATCH(Z111,$A:$A,0)-1,O112)</f>
        <v>0</v>
      </c>
      <c r="Q112" s="141" t="s">
        <v>29</v>
      </c>
      <c r="R112" s="142">
        <f t="shared" ref="R112:S117" ca="1" si="25">T112</f>
        <v>467217</v>
      </c>
      <c r="S112" s="142">
        <f t="shared" ca="1" si="25"/>
        <v>0</v>
      </c>
      <c r="T112" s="142">
        <f ca="1">기술사</f>
        <v>467217</v>
      </c>
      <c r="U112" s="142">
        <f t="shared" ref="U112:U117" ca="1" si="26">ROUNDDOWN(P112*R112,0)</f>
        <v>0</v>
      </c>
      <c r="V112" s="142"/>
      <c r="W112" s="142"/>
      <c r="X112" s="142"/>
      <c r="Y112" s="142"/>
      <c r="Z112" s="114"/>
    </row>
    <row r="113" spans="14:26" ht="18" customHeight="1">
      <c r="N113" s="143" t="s">
        <v>32</v>
      </c>
      <c r="O113" s="173">
        <v>4</v>
      </c>
      <c r="P113" s="234">
        <f ca="1">OFFSET($A$1,MATCH(Z111,$A:$A,0)-1,O113)</f>
        <v>0</v>
      </c>
      <c r="Q113" s="144" t="s">
        <v>29</v>
      </c>
      <c r="R113" s="118">
        <f t="shared" ca="1" si="25"/>
        <v>373353</v>
      </c>
      <c r="S113" s="118">
        <f t="shared" ca="1" si="25"/>
        <v>0</v>
      </c>
      <c r="T113" s="118">
        <f ca="1">특급</f>
        <v>373353</v>
      </c>
      <c r="U113" s="118">
        <f t="shared" ca="1" si="26"/>
        <v>0</v>
      </c>
      <c r="V113" s="118"/>
      <c r="W113" s="118"/>
      <c r="X113" s="118"/>
      <c r="Y113" s="118"/>
      <c r="Z113" s="115"/>
    </row>
    <row r="114" spans="14:26" ht="18" customHeight="1">
      <c r="N114" s="145" t="s">
        <v>39</v>
      </c>
      <c r="O114" s="173">
        <v>5</v>
      </c>
      <c r="P114" s="234">
        <f ca="1">OFFSET($A$1,MATCH(Z111,$A:$A,0)-1,O114)</f>
        <v>0</v>
      </c>
      <c r="Q114" s="144" t="s">
        <v>29</v>
      </c>
      <c r="R114" s="118">
        <f t="shared" ca="1" si="25"/>
        <v>310884</v>
      </c>
      <c r="S114" s="118">
        <f t="shared" ca="1" si="25"/>
        <v>0</v>
      </c>
      <c r="T114" s="118">
        <f ca="1">고급</f>
        <v>310884</v>
      </c>
      <c r="U114" s="118">
        <f t="shared" ca="1" si="26"/>
        <v>0</v>
      </c>
      <c r="V114" s="118"/>
      <c r="W114" s="118"/>
      <c r="X114" s="118"/>
      <c r="Y114" s="118"/>
      <c r="Z114" s="115"/>
    </row>
    <row r="115" spans="14:26" ht="18" customHeight="1">
      <c r="N115" s="145" t="s">
        <v>40</v>
      </c>
      <c r="O115" s="173">
        <v>6</v>
      </c>
      <c r="P115" s="234">
        <f ca="1">OFFSET($A$1,MATCH(Z111,$A:$A,0)-1,O115)</f>
        <v>0</v>
      </c>
      <c r="Q115" s="144" t="s">
        <v>29</v>
      </c>
      <c r="R115" s="118">
        <f t="shared" ca="1" si="25"/>
        <v>295138</v>
      </c>
      <c r="S115" s="118">
        <f t="shared" ca="1" si="25"/>
        <v>0</v>
      </c>
      <c r="T115" s="118">
        <f ca="1">중급</f>
        <v>295138</v>
      </c>
      <c r="U115" s="118">
        <f t="shared" ca="1" si="26"/>
        <v>0</v>
      </c>
      <c r="V115" s="118"/>
      <c r="W115" s="118"/>
      <c r="X115" s="118"/>
      <c r="Y115" s="118"/>
      <c r="Z115" s="115"/>
    </row>
    <row r="116" spans="14:26" ht="18" customHeight="1">
      <c r="N116" s="145" t="s">
        <v>41</v>
      </c>
      <c r="O116" s="173">
        <v>7</v>
      </c>
      <c r="P116" s="234">
        <f ca="1">OFFSET($A$1,MATCH(Z111,$A:$A,0)-1,O116)</f>
        <v>0</v>
      </c>
      <c r="Q116" s="144" t="s">
        <v>29</v>
      </c>
      <c r="R116" s="118">
        <f t="shared" ca="1" si="25"/>
        <v>235459</v>
      </c>
      <c r="S116" s="118">
        <f t="shared" ca="1" si="25"/>
        <v>0</v>
      </c>
      <c r="T116" s="118">
        <f ca="1">초급</f>
        <v>235459</v>
      </c>
      <c r="U116" s="118">
        <f t="shared" ca="1" si="26"/>
        <v>0</v>
      </c>
      <c r="V116" s="118"/>
      <c r="W116" s="118"/>
      <c r="X116" s="118"/>
      <c r="Y116" s="118"/>
      <c r="Z116" s="115"/>
    </row>
    <row r="117" spans="14:26" ht="18" customHeight="1">
      <c r="N117" s="319" t="s">
        <v>42</v>
      </c>
      <c r="O117" s="174">
        <v>8</v>
      </c>
      <c r="P117" s="235">
        <f ca="1">OFFSET($A$1,MATCH(Z111,$A:$A,0)-1,O117)</f>
        <v>0</v>
      </c>
      <c r="Q117" s="322" t="s">
        <v>29</v>
      </c>
      <c r="R117" s="323">
        <f t="shared" ca="1" si="25"/>
        <v>250087</v>
      </c>
      <c r="S117" s="323">
        <f t="shared" ca="1" si="25"/>
        <v>0</v>
      </c>
      <c r="T117" s="323">
        <f ca="1">보조원</f>
        <v>250087</v>
      </c>
      <c r="U117" s="323">
        <f t="shared" ca="1" si="26"/>
        <v>0</v>
      </c>
      <c r="V117" s="323"/>
      <c r="W117" s="323"/>
      <c r="X117" s="323"/>
      <c r="Y117" s="323"/>
      <c r="Z117" s="324"/>
    </row>
    <row r="118" spans="14:26" ht="18" customHeight="1">
      <c r="N118" s="139" t="s">
        <v>17</v>
      </c>
      <c r="O118" s="68"/>
      <c r="P118" s="69"/>
      <c r="Q118" s="70"/>
      <c r="R118" s="71"/>
      <c r="S118" s="71">
        <f ca="1">SUBTOTAL(9,S112:S117)</f>
        <v>0</v>
      </c>
      <c r="T118" s="71"/>
      <c r="U118" s="71">
        <f ca="1">SUBTOTAL(9,U112:U117)</f>
        <v>0</v>
      </c>
      <c r="V118" s="71"/>
      <c r="W118" s="71"/>
      <c r="X118" s="71"/>
      <c r="Y118" s="71"/>
      <c r="Z118" s="68"/>
    </row>
    <row r="119" spans="14:26" ht="18" customHeight="1">
      <c r="N119" s="318" t="str">
        <f ca="1">"제 " &amp; Z119 &amp; " 호표  "&amp; OFFSET($A$1,MATCH(Z119,$A:$A,0)-1,1)</f>
        <v>제 10 호표  3-2. 주민간담회/시민계획단</v>
      </c>
      <c r="O119" s="221"/>
      <c r="P119" s="148"/>
      <c r="Q119" s="148"/>
      <c r="R119" s="149"/>
      <c r="S119" s="149"/>
      <c r="T119" s="149"/>
      <c r="U119" s="149"/>
      <c r="V119" s="149"/>
      <c r="W119" s="149"/>
      <c r="X119" s="149"/>
      <c r="Y119" s="149"/>
      <c r="Z119" s="325">
        <f>Z111+1</f>
        <v>10</v>
      </c>
    </row>
    <row r="120" spans="14:26" ht="18" customHeight="1">
      <c r="N120" s="140" t="s">
        <v>43</v>
      </c>
      <c r="O120" s="172">
        <v>3</v>
      </c>
      <c r="P120" s="219">
        <f ca="1">OFFSET($A$1,MATCH(Z119,$A:$A,0)-1,O120)</f>
        <v>0</v>
      </c>
      <c r="Q120" s="141" t="s">
        <v>29</v>
      </c>
      <c r="R120" s="142">
        <f t="shared" ref="R120:S125" ca="1" si="27">T120</f>
        <v>467217</v>
      </c>
      <c r="S120" s="142">
        <f t="shared" ca="1" si="27"/>
        <v>0</v>
      </c>
      <c r="T120" s="142">
        <f ca="1">기술사</f>
        <v>467217</v>
      </c>
      <c r="U120" s="142">
        <f t="shared" ref="U120:U125" ca="1" si="28">ROUNDDOWN(P120*R120,0)</f>
        <v>0</v>
      </c>
      <c r="V120" s="142"/>
      <c r="W120" s="142"/>
      <c r="X120" s="142"/>
      <c r="Y120" s="142"/>
      <c r="Z120" s="114"/>
    </row>
    <row r="121" spans="14:26" ht="18" customHeight="1">
      <c r="N121" s="143" t="s">
        <v>32</v>
      </c>
      <c r="O121" s="173">
        <v>4</v>
      </c>
      <c r="P121" s="234">
        <f ca="1">OFFSET($A$1,MATCH(Z119,$A:$A,0)-1,O121)</f>
        <v>0</v>
      </c>
      <c r="Q121" s="144" t="s">
        <v>29</v>
      </c>
      <c r="R121" s="118">
        <f t="shared" ca="1" si="27"/>
        <v>373353</v>
      </c>
      <c r="S121" s="118">
        <f t="shared" ca="1" si="27"/>
        <v>0</v>
      </c>
      <c r="T121" s="118">
        <f ca="1">특급</f>
        <v>373353</v>
      </c>
      <c r="U121" s="118">
        <f t="shared" ca="1" si="28"/>
        <v>0</v>
      </c>
      <c r="V121" s="118"/>
      <c r="W121" s="118"/>
      <c r="X121" s="118"/>
      <c r="Y121" s="118"/>
      <c r="Z121" s="115"/>
    </row>
    <row r="122" spans="14:26" ht="18" customHeight="1">
      <c r="N122" s="145" t="s">
        <v>39</v>
      </c>
      <c r="O122" s="173">
        <v>5</v>
      </c>
      <c r="P122" s="234">
        <f ca="1">OFFSET($A$1,MATCH(Z119,$A:$A,0)-1,O122)</f>
        <v>0</v>
      </c>
      <c r="Q122" s="144" t="s">
        <v>29</v>
      </c>
      <c r="R122" s="118">
        <f t="shared" ca="1" si="27"/>
        <v>310884</v>
      </c>
      <c r="S122" s="118">
        <f t="shared" ca="1" si="27"/>
        <v>0</v>
      </c>
      <c r="T122" s="118">
        <f ca="1">고급</f>
        <v>310884</v>
      </c>
      <c r="U122" s="118">
        <f t="shared" ca="1" si="28"/>
        <v>0</v>
      </c>
      <c r="V122" s="118"/>
      <c r="W122" s="118"/>
      <c r="X122" s="118"/>
      <c r="Y122" s="118"/>
      <c r="Z122" s="115"/>
    </row>
    <row r="123" spans="14:26" ht="18" customHeight="1">
      <c r="N123" s="145" t="s">
        <v>40</v>
      </c>
      <c r="O123" s="173">
        <v>6</v>
      </c>
      <c r="P123" s="234">
        <f ca="1">OFFSET($A$1,MATCH(Z119,$A:$A,0)-1,O123)</f>
        <v>0</v>
      </c>
      <c r="Q123" s="144" t="s">
        <v>29</v>
      </c>
      <c r="R123" s="118">
        <f t="shared" ca="1" si="27"/>
        <v>295138</v>
      </c>
      <c r="S123" s="118">
        <f t="shared" ca="1" si="27"/>
        <v>0</v>
      </c>
      <c r="T123" s="118">
        <f ca="1">중급</f>
        <v>295138</v>
      </c>
      <c r="U123" s="118">
        <f t="shared" ca="1" si="28"/>
        <v>0</v>
      </c>
      <c r="V123" s="118"/>
      <c r="W123" s="118"/>
      <c r="X123" s="118"/>
      <c r="Y123" s="118"/>
      <c r="Z123" s="115"/>
    </row>
    <row r="124" spans="14:26" ht="18" customHeight="1">
      <c r="N124" s="145" t="s">
        <v>41</v>
      </c>
      <c r="O124" s="173">
        <v>7</v>
      </c>
      <c r="P124" s="234">
        <f ca="1">OFFSET($A$1,MATCH(Z119,$A:$A,0)-1,O124)</f>
        <v>0</v>
      </c>
      <c r="Q124" s="144" t="s">
        <v>29</v>
      </c>
      <c r="R124" s="118">
        <f t="shared" ca="1" si="27"/>
        <v>235459</v>
      </c>
      <c r="S124" s="118">
        <f t="shared" ca="1" si="27"/>
        <v>0</v>
      </c>
      <c r="T124" s="118">
        <f ca="1">초급</f>
        <v>235459</v>
      </c>
      <c r="U124" s="118">
        <f t="shared" ca="1" si="28"/>
        <v>0</v>
      </c>
      <c r="V124" s="118"/>
      <c r="W124" s="118"/>
      <c r="X124" s="118"/>
      <c r="Y124" s="118"/>
      <c r="Z124" s="115"/>
    </row>
    <row r="125" spans="14:26" ht="18" customHeight="1">
      <c r="N125" s="319" t="s">
        <v>42</v>
      </c>
      <c r="O125" s="174">
        <v>8</v>
      </c>
      <c r="P125" s="235">
        <f ca="1">OFFSET($A$1,MATCH(Z119,$A:$A,0)-1,O125)</f>
        <v>0</v>
      </c>
      <c r="Q125" s="322" t="s">
        <v>29</v>
      </c>
      <c r="R125" s="323">
        <f t="shared" ca="1" si="27"/>
        <v>250087</v>
      </c>
      <c r="S125" s="323">
        <f t="shared" ca="1" si="27"/>
        <v>0</v>
      </c>
      <c r="T125" s="323">
        <f ca="1">보조원</f>
        <v>250087</v>
      </c>
      <c r="U125" s="323">
        <f t="shared" ca="1" si="28"/>
        <v>0</v>
      </c>
      <c r="V125" s="323"/>
      <c r="W125" s="323"/>
      <c r="X125" s="323"/>
      <c r="Y125" s="323"/>
      <c r="Z125" s="324"/>
    </row>
    <row r="126" spans="14:26" ht="18" customHeight="1">
      <c r="N126" s="139" t="s">
        <v>17</v>
      </c>
      <c r="O126" s="68"/>
      <c r="P126" s="69"/>
      <c r="Q126" s="70"/>
      <c r="R126" s="71"/>
      <c r="S126" s="71">
        <f ca="1">SUBTOTAL(9,S120:S125)</f>
        <v>0</v>
      </c>
      <c r="T126" s="71"/>
      <c r="U126" s="71">
        <f ca="1">SUBTOTAL(9,U120:U125)</f>
        <v>0</v>
      </c>
      <c r="V126" s="71"/>
      <c r="W126" s="71"/>
      <c r="X126" s="71"/>
      <c r="Y126" s="71"/>
      <c r="Z126" s="68"/>
    </row>
    <row r="127" spans="14:26" ht="18" customHeight="1">
      <c r="N127" s="318" t="str">
        <f ca="1">"제 " &amp; Z127 &amp; " 호표  "&amp; OFFSET($A$1,MATCH(Z127,$A:$A,0)-1,1)</f>
        <v>제 11 호표  3-3. 위원회심의 지원</v>
      </c>
      <c r="O127" s="221"/>
      <c r="P127" s="148"/>
      <c r="Q127" s="148"/>
      <c r="R127" s="149"/>
      <c r="S127" s="149"/>
      <c r="T127" s="149"/>
      <c r="U127" s="149"/>
      <c r="V127" s="149"/>
      <c r="W127" s="149"/>
      <c r="X127" s="149"/>
      <c r="Y127" s="149"/>
      <c r="Z127" s="325">
        <f>Z119+1</f>
        <v>11</v>
      </c>
    </row>
    <row r="128" spans="14:26" ht="18" customHeight="1">
      <c r="N128" s="140" t="s">
        <v>43</v>
      </c>
      <c r="O128" s="172">
        <v>3</v>
      </c>
      <c r="P128" s="219">
        <f ca="1">OFFSET($A$1,MATCH(Z127,$A:$A,0)-1,O128)</f>
        <v>0</v>
      </c>
      <c r="Q128" s="141" t="s">
        <v>29</v>
      </c>
      <c r="R128" s="142">
        <f t="shared" ref="R128:S133" ca="1" si="29">T128</f>
        <v>467217</v>
      </c>
      <c r="S128" s="142">
        <f t="shared" ca="1" si="29"/>
        <v>0</v>
      </c>
      <c r="T128" s="142">
        <f ca="1">기술사</f>
        <v>467217</v>
      </c>
      <c r="U128" s="142">
        <f t="shared" ref="U128:U133" ca="1" si="30">ROUNDDOWN(P128*R128,0)</f>
        <v>0</v>
      </c>
      <c r="V128" s="142"/>
      <c r="W128" s="142"/>
      <c r="X128" s="142"/>
      <c r="Y128" s="142"/>
      <c r="Z128" s="114"/>
    </row>
    <row r="129" spans="14:26" ht="18" customHeight="1">
      <c r="N129" s="143" t="s">
        <v>32</v>
      </c>
      <c r="O129" s="173">
        <v>4</v>
      </c>
      <c r="P129" s="234">
        <f ca="1">OFFSET($A$1,MATCH(Z127,$A:$A,0)-1,O129)</f>
        <v>0</v>
      </c>
      <c r="Q129" s="144" t="s">
        <v>29</v>
      </c>
      <c r="R129" s="118">
        <f t="shared" ca="1" si="29"/>
        <v>373353</v>
      </c>
      <c r="S129" s="118">
        <f t="shared" ca="1" si="29"/>
        <v>0</v>
      </c>
      <c r="T129" s="118">
        <f ca="1">특급</f>
        <v>373353</v>
      </c>
      <c r="U129" s="118">
        <f t="shared" ca="1" si="30"/>
        <v>0</v>
      </c>
      <c r="V129" s="118"/>
      <c r="W129" s="118"/>
      <c r="X129" s="118"/>
      <c r="Y129" s="118"/>
      <c r="Z129" s="115"/>
    </row>
    <row r="130" spans="14:26" ht="18" customHeight="1">
      <c r="N130" s="145" t="s">
        <v>39</v>
      </c>
      <c r="O130" s="173">
        <v>5</v>
      </c>
      <c r="P130" s="234">
        <f ca="1">OFFSET($A$1,MATCH(Z127,$A:$A,0)-1,O130)</f>
        <v>0</v>
      </c>
      <c r="Q130" s="144" t="s">
        <v>29</v>
      </c>
      <c r="R130" s="118">
        <f t="shared" ca="1" si="29"/>
        <v>310884</v>
      </c>
      <c r="S130" s="118">
        <f t="shared" ca="1" si="29"/>
        <v>0</v>
      </c>
      <c r="T130" s="118">
        <f ca="1">고급</f>
        <v>310884</v>
      </c>
      <c r="U130" s="118">
        <f t="shared" ca="1" si="30"/>
        <v>0</v>
      </c>
      <c r="V130" s="118"/>
      <c r="W130" s="118"/>
      <c r="X130" s="118"/>
      <c r="Y130" s="118"/>
      <c r="Z130" s="115"/>
    </row>
    <row r="131" spans="14:26" ht="18" customHeight="1">
      <c r="N131" s="145" t="s">
        <v>40</v>
      </c>
      <c r="O131" s="173">
        <v>6</v>
      </c>
      <c r="P131" s="234">
        <f ca="1">OFFSET($A$1,MATCH(Z127,$A:$A,0)-1,O131)</f>
        <v>0</v>
      </c>
      <c r="Q131" s="144" t="s">
        <v>29</v>
      </c>
      <c r="R131" s="118">
        <f t="shared" ca="1" si="29"/>
        <v>295138</v>
      </c>
      <c r="S131" s="118">
        <f t="shared" ca="1" si="29"/>
        <v>0</v>
      </c>
      <c r="T131" s="118">
        <f ca="1">중급</f>
        <v>295138</v>
      </c>
      <c r="U131" s="118">
        <f t="shared" ca="1" si="30"/>
        <v>0</v>
      </c>
      <c r="V131" s="118"/>
      <c r="W131" s="118"/>
      <c r="X131" s="118"/>
      <c r="Y131" s="118"/>
      <c r="Z131" s="115"/>
    </row>
    <row r="132" spans="14:26" ht="18" customHeight="1">
      <c r="N132" s="145" t="s">
        <v>41</v>
      </c>
      <c r="O132" s="173">
        <v>7</v>
      </c>
      <c r="P132" s="234">
        <f ca="1">OFFSET($A$1,MATCH(Z127,$A:$A,0)-1,O132)</f>
        <v>0</v>
      </c>
      <c r="Q132" s="144" t="s">
        <v>29</v>
      </c>
      <c r="R132" s="118">
        <f t="shared" ca="1" si="29"/>
        <v>235459</v>
      </c>
      <c r="S132" s="118">
        <f t="shared" ca="1" si="29"/>
        <v>0</v>
      </c>
      <c r="T132" s="118">
        <f ca="1">초급</f>
        <v>235459</v>
      </c>
      <c r="U132" s="118">
        <f t="shared" ca="1" si="30"/>
        <v>0</v>
      </c>
      <c r="V132" s="118"/>
      <c r="W132" s="118"/>
      <c r="X132" s="118"/>
      <c r="Y132" s="118"/>
      <c r="Z132" s="115"/>
    </row>
    <row r="133" spans="14:26" ht="18" customHeight="1">
      <c r="N133" s="319" t="s">
        <v>42</v>
      </c>
      <c r="O133" s="174">
        <v>8</v>
      </c>
      <c r="P133" s="235">
        <f ca="1">OFFSET($A$1,MATCH(Z127,$A:$A,0)-1,O133)</f>
        <v>0</v>
      </c>
      <c r="Q133" s="322" t="s">
        <v>29</v>
      </c>
      <c r="R133" s="323">
        <f t="shared" ca="1" si="29"/>
        <v>250087</v>
      </c>
      <c r="S133" s="323">
        <f t="shared" ca="1" si="29"/>
        <v>0</v>
      </c>
      <c r="T133" s="323">
        <f ca="1">보조원</f>
        <v>250087</v>
      </c>
      <c r="U133" s="323">
        <f t="shared" ca="1" si="30"/>
        <v>0</v>
      </c>
      <c r="V133" s="323"/>
      <c r="W133" s="323"/>
      <c r="X133" s="323"/>
      <c r="Y133" s="323"/>
      <c r="Z133" s="324"/>
    </row>
    <row r="134" spans="14:26" ht="18" customHeight="1">
      <c r="N134" s="139" t="s">
        <v>17</v>
      </c>
      <c r="O134" s="68"/>
      <c r="P134" s="69"/>
      <c r="Q134" s="70"/>
      <c r="R134" s="71"/>
      <c r="S134" s="71">
        <f ca="1">SUBTOTAL(9,S128:S133)</f>
        <v>0</v>
      </c>
      <c r="T134" s="71"/>
      <c r="U134" s="71">
        <f ca="1">SUBTOTAL(9,U128:U133)</f>
        <v>0</v>
      </c>
      <c r="V134" s="71"/>
      <c r="W134" s="71"/>
      <c r="X134" s="71"/>
      <c r="Y134" s="71"/>
      <c r="Z134" s="68"/>
    </row>
    <row r="135" spans="14:26" ht="18" customHeight="1">
      <c r="N135" s="318" t="str">
        <f ca="1">"제 " &amp; Z135 &amp; " 호표  "&amp; OFFSET($A$1,MATCH(Z135,$A:$A,0)-1,1)</f>
        <v>제 12 호표  3-4. 관계기관 협의</v>
      </c>
      <c r="O135" s="221"/>
      <c r="P135" s="148"/>
      <c r="Q135" s="148"/>
      <c r="R135" s="149"/>
      <c r="S135" s="149"/>
      <c r="T135" s="149"/>
      <c r="U135" s="149"/>
      <c r="V135" s="149"/>
      <c r="W135" s="149"/>
      <c r="X135" s="149"/>
      <c r="Y135" s="149"/>
      <c r="Z135" s="325">
        <f>Z127+1</f>
        <v>12</v>
      </c>
    </row>
    <row r="136" spans="14:26" ht="18" customHeight="1">
      <c r="N136" s="140" t="s">
        <v>43</v>
      </c>
      <c r="O136" s="172">
        <v>3</v>
      </c>
      <c r="P136" s="219">
        <f ca="1">OFFSET($A$1,MATCH(Z135,$A:$A,0)-1,O136)</f>
        <v>2</v>
      </c>
      <c r="Q136" s="141" t="s">
        <v>29</v>
      </c>
      <c r="R136" s="142">
        <f t="shared" ref="R136:S141" ca="1" si="31">T136</f>
        <v>467217</v>
      </c>
      <c r="S136" s="142">
        <f t="shared" ca="1" si="31"/>
        <v>934434</v>
      </c>
      <c r="T136" s="142">
        <f ca="1">기술사</f>
        <v>467217</v>
      </c>
      <c r="U136" s="142">
        <f t="shared" ref="U136:U141" ca="1" si="32">ROUNDDOWN(P136*R136,0)</f>
        <v>934434</v>
      </c>
      <c r="V136" s="142"/>
      <c r="W136" s="142"/>
      <c r="X136" s="142"/>
      <c r="Y136" s="142"/>
      <c r="Z136" s="114"/>
    </row>
    <row r="137" spans="14:26" ht="18" customHeight="1">
      <c r="N137" s="143" t="s">
        <v>32</v>
      </c>
      <c r="O137" s="173">
        <v>4</v>
      </c>
      <c r="P137" s="234">
        <f ca="1">OFFSET($A$1,MATCH(Z135,$A:$A,0)-1,O137)</f>
        <v>2</v>
      </c>
      <c r="Q137" s="144" t="s">
        <v>29</v>
      </c>
      <c r="R137" s="118">
        <f t="shared" ca="1" si="31"/>
        <v>373353</v>
      </c>
      <c r="S137" s="118">
        <f t="shared" ca="1" si="31"/>
        <v>746706</v>
      </c>
      <c r="T137" s="118">
        <f ca="1">특급</f>
        <v>373353</v>
      </c>
      <c r="U137" s="118">
        <f t="shared" ca="1" si="32"/>
        <v>746706</v>
      </c>
      <c r="V137" s="118"/>
      <c r="W137" s="118"/>
      <c r="X137" s="118"/>
      <c r="Y137" s="118"/>
      <c r="Z137" s="115"/>
    </row>
    <row r="138" spans="14:26" ht="18" customHeight="1">
      <c r="N138" s="145" t="s">
        <v>39</v>
      </c>
      <c r="O138" s="173">
        <v>5</v>
      </c>
      <c r="P138" s="234">
        <f ca="1">OFFSET($A$1,MATCH(Z135,$A:$A,0)-1,O138)</f>
        <v>2</v>
      </c>
      <c r="Q138" s="144" t="s">
        <v>29</v>
      </c>
      <c r="R138" s="118">
        <f t="shared" ca="1" si="31"/>
        <v>310884</v>
      </c>
      <c r="S138" s="118">
        <f t="shared" ca="1" si="31"/>
        <v>621768</v>
      </c>
      <c r="T138" s="118">
        <f ca="1">고급</f>
        <v>310884</v>
      </c>
      <c r="U138" s="118">
        <f t="shared" ca="1" si="32"/>
        <v>621768</v>
      </c>
      <c r="V138" s="118"/>
      <c r="W138" s="118"/>
      <c r="X138" s="118"/>
      <c r="Y138" s="118"/>
      <c r="Z138" s="115"/>
    </row>
    <row r="139" spans="14:26" ht="18" customHeight="1">
      <c r="N139" s="145" t="s">
        <v>40</v>
      </c>
      <c r="O139" s="173">
        <v>6</v>
      </c>
      <c r="P139" s="234">
        <f ca="1">OFFSET($A$1,MATCH(Z135,$A:$A,0)-1,O139)</f>
        <v>4</v>
      </c>
      <c r="Q139" s="144" t="s">
        <v>29</v>
      </c>
      <c r="R139" s="118">
        <f t="shared" ca="1" si="31"/>
        <v>295138</v>
      </c>
      <c r="S139" s="118">
        <f t="shared" ca="1" si="31"/>
        <v>1180552</v>
      </c>
      <c r="T139" s="118">
        <f ca="1">중급</f>
        <v>295138</v>
      </c>
      <c r="U139" s="118">
        <f t="shared" ca="1" si="32"/>
        <v>1180552</v>
      </c>
      <c r="V139" s="118"/>
      <c r="W139" s="118"/>
      <c r="X139" s="118"/>
      <c r="Y139" s="118"/>
      <c r="Z139" s="115"/>
    </row>
    <row r="140" spans="14:26" ht="18" customHeight="1">
      <c r="N140" s="145" t="s">
        <v>41</v>
      </c>
      <c r="O140" s="173">
        <v>7</v>
      </c>
      <c r="P140" s="234">
        <f ca="1">OFFSET($A$1,MATCH(Z135,$A:$A,0)-1,O140)</f>
        <v>4</v>
      </c>
      <c r="Q140" s="144" t="s">
        <v>29</v>
      </c>
      <c r="R140" s="118">
        <f t="shared" ca="1" si="31"/>
        <v>235459</v>
      </c>
      <c r="S140" s="118">
        <f t="shared" ca="1" si="31"/>
        <v>941836</v>
      </c>
      <c r="T140" s="118">
        <f ca="1">초급</f>
        <v>235459</v>
      </c>
      <c r="U140" s="118">
        <f t="shared" ca="1" si="32"/>
        <v>941836</v>
      </c>
      <c r="V140" s="118"/>
      <c r="W140" s="118"/>
      <c r="X140" s="118"/>
      <c r="Y140" s="118"/>
      <c r="Z140" s="115"/>
    </row>
    <row r="141" spans="14:26" ht="18" customHeight="1">
      <c r="N141" s="319" t="s">
        <v>42</v>
      </c>
      <c r="O141" s="174">
        <v>8</v>
      </c>
      <c r="P141" s="235">
        <f ca="1">OFFSET($A$1,MATCH(Z135,$A:$A,0)-1,O141)</f>
        <v>4</v>
      </c>
      <c r="Q141" s="322" t="s">
        <v>29</v>
      </c>
      <c r="R141" s="323">
        <f t="shared" ca="1" si="31"/>
        <v>250087</v>
      </c>
      <c r="S141" s="323">
        <f t="shared" ca="1" si="31"/>
        <v>1000348</v>
      </c>
      <c r="T141" s="323">
        <f ca="1">보조원</f>
        <v>250087</v>
      </c>
      <c r="U141" s="323">
        <f t="shared" ca="1" si="32"/>
        <v>1000348</v>
      </c>
      <c r="V141" s="323"/>
      <c r="W141" s="323"/>
      <c r="X141" s="323"/>
      <c r="Y141" s="323"/>
      <c r="Z141" s="324"/>
    </row>
    <row r="142" spans="14:26" ht="18" customHeight="1">
      <c r="N142" s="139" t="s">
        <v>17</v>
      </c>
      <c r="O142" s="68"/>
      <c r="P142" s="69"/>
      <c r="Q142" s="70"/>
      <c r="R142" s="71"/>
      <c r="S142" s="71">
        <f ca="1">SUBTOTAL(9,S136:S141)</f>
        <v>5425644</v>
      </c>
      <c r="T142" s="71"/>
      <c r="U142" s="71">
        <f ca="1">SUBTOTAL(9,U136:U141)</f>
        <v>5425644</v>
      </c>
      <c r="V142" s="71"/>
      <c r="W142" s="71"/>
      <c r="X142" s="71"/>
      <c r="Y142" s="71"/>
      <c r="Z142" s="68"/>
    </row>
    <row r="170" spans="11:13" ht="18" customHeight="1">
      <c r="M170" s="171"/>
    </row>
    <row r="171" spans="11:13" ht="18" customHeight="1">
      <c r="M171" s="171"/>
    </row>
    <row r="172" spans="11:13" ht="18" customHeight="1">
      <c r="M172" s="171"/>
    </row>
    <row r="173" spans="11:13" ht="18" customHeight="1">
      <c r="M173" s="171"/>
    </row>
    <row r="174" spans="11:13" ht="18" customHeight="1">
      <c r="K174" s="171" t="s">
        <v>14</v>
      </c>
      <c r="L174" s="171"/>
      <c r="M174" s="171"/>
    </row>
    <row r="175" spans="11:13" ht="18" customHeight="1">
      <c r="K175" s="171" t="s">
        <v>14</v>
      </c>
      <c r="L175" s="171"/>
      <c r="M175" s="171"/>
    </row>
    <row r="176" spans="11:13" ht="18" customHeight="1">
      <c r="K176" s="171" t="s">
        <v>14</v>
      </c>
      <c r="L176" s="171"/>
      <c r="M176" s="171"/>
    </row>
    <row r="177" spans="11:13" ht="18" customHeight="1">
      <c r="K177" s="171" t="s">
        <v>14</v>
      </c>
      <c r="L177" s="171"/>
      <c r="M177" s="171"/>
    </row>
    <row r="178" spans="11:13" ht="18" customHeight="1">
      <c r="K178" s="171" t="s">
        <v>14</v>
      </c>
      <c r="L178" s="171"/>
      <c r="M178" s="171"/>
    </row>
    <row r="179" spans="11:13" ht="18" customHeight="1">
      <c r="K179" s="171" t="s">
        <v>14</v>
      </c>
      <c r="L179" s="171"/>
      <c r="M179" s="171"/>
    </row>
    <row r="180" spans="11:13" ht="18" customHeight="1">
      <c r="K180" s="171" t="s">
        <v>14</v>
      </c>
      <c r="L180" s="171"/>
      <c r="M180" s="171"/>
    </row>
    <row r="181" spans="11:13" ht="18" customHeight="1">
      <c r="K181" s="171" t="s">
        <v>14</v>
      </c>
      <c r="L181" s="171"/>
      <c r="M181" s="171"/>
    </row>
    <row r="182" spans="11:13" ht="18" customHeight="1">
      <c r="K182" s="171" t="s">
        <v>14</v>
      </c>
      <c r="L182" s="171"/>
      <c r="M182" s="171"/>
    </row>
    <row r="183" spans="11:13" ht="18" customHeight="1">
      <c r="K183" s="171" t="s">
        <v>14</v>
      </c>
      <c r="L183" s="171"/>
      <c r="M183" s="171"/>
    </row>
    <row r="184" spans="11:13" ht="18" customHeight="1">
      <c r="K184" s="171" t="s">
        <v>14</v>
      </c>
      <c r="L184" s="171"/>
      <c r="M184" s="171"/>
    </row>
    <row r="185" spans="11:13" ht="18" customHeight="1">
      <c r="K185" s="171" t="s">
        <v>14</v>
      </c>
      <c r="L185" s="171"/>
      <c r="M185" s="171"/>
    </row>
    <row r="186" spans="11:13" ht="18" customHeight="1">
      <c r="K186" s="171" t="s">
        <v>14</v>
      </c>
      <c r="L186" s="171"/>
      <c r="M186" s="171"/>
    </row>
    <row r="187" spans="11:13" ht="18" customHeight="1">
      <c r="K187" s="171" t="s">
        <v>14</v>
      </c>
      <c r="L187" s="171"/>
      <c r="M187" s="171"/>
    </row>
    <row r="188" spans="11:13" ht="18" customHeight="1">
      <c r="K188" s="171" t="s">
        <v>14</v>
      </c>
      <c r="L188" s="171"/>
      <c r="M188" s="171"/>
    </row>
    <row r="189" spans="11:13" ht="18" customHeight="1">
      <c r="K189" s="171" t="s">
        <v>14</v>
      </c>
      <c r="L189" s="171"/>
      <c r="M189" s="171"/>
    </row>
    <row r="190" spans="11:13" ht="18" customHeight="1">
      <c r="K190" s="171" t="s">
        <v>14</v>
      </c>
      <c r="L190" s="171"/>
      <c r="M190" s="171"/>
    </row>
    <row r="191" spans="11:13" ht="18" customHeight="1">
      <c r="K191" s="171" t="s">
        <v>14</v>
      </c>
      <c r="L191" s="171"/>
      <c r="M191" s="171"/>
    </row>
    <row r="192" spans="11:13" ht="18" customHeight="1">
      <c r="K192" s="171" t="s">
        <v>14</v>
      </c>
      <c r="L192" s="171"/>
      <c r="M192" s="171"/>
    </row>
    <row r="193" spans="11:13" ht="18" customHeight="1">
      <c r="K193" s="171" t="s">
        <v>14</v>
      </c>
      <c r="L193" s="171"/>
      <c r="M193" s="171"/>
    </row>
    <row r="194" spans="11:13" ht="18" customHeight="1">
      <c r="K194" s="171" t="s">
        <v>14</v>
      </c>
      <c r="L194" s="171"/>
      <c r="M194" s="171"/>
    </row>
    <row r="195" spans="11:13" ht="18" customHeight="1">
      <c r="K195" s="171" t="s">
        <v>14</v>
      </c>
      <c r="L195" s="171"/>
      <c r="M195" s="171"/>
    </row>
    <row r="196" spans="11:13" ht="18" customHeight="1">
      <c r="K196" s="171" t="s">
        <v>14</v>
      </c>
      <c r="L196" s="171"/>
      <c r="M196" s="171"/>
    </row>
    <row r="197" spans="11:13" ht="18" customHeight="1">
      <c r="K197" s="171" t="s">
        <v>14</v>
      </c>
      <c r="L197" s="171"/>
      <c r="M197" s="171"/>
    </row>
    <row r="198" spans="11:13" ht="18" customHeight="1">
      <c r="K198" s="171" t="s">
        <v>14</v>
      </c>
      <c r="L198" s="171"/>
      <c r="M198" s="171"/>
    </row>
    <row r="199" spans="11:13" ht="18" customHeight="1">
      <c r="K199" s="171" t="s">
        <v>14</v>
      </c>
      <c r="L199" s="171"/>
      <c r="M199" s="171"/>
    </row>
    <row r="200" spans="11:13" ht="18" customHeight="1">
      <c r="K200" s="171" t="s">
        <v>14</v>
      </c>
      <c r="L200" s="171"/>
      <c r="M200" s="171"/>
    </row>
    <row r="201" spans="11:13" ht="18" customHeight="1">
      <c r="K201" s="171" t="s">
        <v>14</v>
      </c>
      <c r="L201" s="171"/>
      <c r="M201" s="171"/>
    </row>
    <row r="202" spans="11:13" ht="18" customHeight="1">
      <c r="K202" s="171" t="s">
        <v>14</v>
      </c>
      <c r="L202" s="171"/>
      <c r="M202" s="171"/>
    </row>
    <row r="203" spans="11:13" ht="18" customHeight="1">
      <c r="K203" s="171" t="s">
        <v>14</v>
      </c>
      <c r="L203" s="171"/>
      <c r="M203" s="171"/>
    </row>
    <row r="204" spans="11:13" ht="18" customHeight="1">
      <c r="K204" s="171" t="s">
        <v>14</v>
      </c>
      <c r="L204" s="171"/>
      <c r="M204" s="171"/>
    </row>
    <row r="205" spans="11:13" ht="18" customHeight="1">
      <c r="K205" s="171" t="s">
        <v>14</v>
      </c>
      <c r="L205" s="171"/>
      <c r="M205" s="171"/>
    </row>
    <row r="206" spans="11:13" ht="18" customHeight="1">
      <c r="K206" s="171" t="s">
        <v>14</v>
      </c>
      <c r="L206" s="171"/>
      <c r="M206" s="171"/>
    </row>
    <row r="207" spans="11:13" ht="18" customHeight="1">
      <c r="K207" s="171" t="s">
        <v>14</v>
      </c>
      <c r="L207" s="171"/>
      <c r="M207" s="171"/>
    </row>
    <row r="208" spans="11:13" ht="18" customHeight="1">
      <c r="K208" s="171" t="s">
        <v>14</v>
      </c>
      <c r="L208" s="171"/>
      <c r="M208" s="171"/>
    </row>
    <row r="209" spans="11:13" ht="18" customHeight="1">
      <c r="K209" s="171" t="s">
        <v>14</v>
      </c>
      <c r="L209" s="171"/>
      <c r="M209" s="171"/>
    </row>
    <row r="210" spans="11:13" ht="18" customHeight="1">
      <c r="K210" s="171" t="s">
        <v>14</v>
      </c>
      <c r="L210" s="171"/>
      <c r="M210" s="171"/>
    </row>
    <row r="211" spans="11:13" ht="18" customHeight="1">
      <c r="K211" s="171" t="s">
        <v>14</v>
      </c>
      <c r="L211" s="171"/>
      <c r="M211" s="171"/>
    </row>
    <row r="212" spans="11:13" ht="18" customHeight="1">
      <c r="K212" s="171" t="s">
        <v>14</v>
      </c>
      <c r="L212" s="171"/>
      <c r="M212" s="171"/>
    </row>
    <row r="213" spans="11:13" ht="18" customHeight="1">
      <c r="K213" s="171" t="s">
        <v>14</v>
      </c>
      <c r="L213" s="171"/>
      <c r="M213" s="171"/>
    </row>
    <row r="214" spans="11:13" ht="18" customHeight="1">
      <c r="K214" s="171" t="s">
        <v>14</v>
      </c>
      <c r="L214" s="171"/>
      <c r="M214" s="171"/>
    </row>
    <row r="215" spans="11:13" ht="18" customHeight="1">
      <c r="K215" s="171" t="s">
        <v>14</v>
      </c>
      <c r="L215" s="171"/>
      <c r="M215" s="171"/>
    </row>
    <row r="216" spans="11:13" ht="18" customHeight="1">
      <c r="K216" s="171" t="s">
        <v>14</v>
      </c>
      <c r="L216" s="171"/>
      <c r="M216" s="171"/>
    </row>
    <row r="217" spans="11:13" ht="18" customHeight="1">
      <c r="K217" s="171" t="s">
        <v>14</v>
      </c>
      <c r="L217" s="171"/>
      <c r="M217" s="171"/>
    </row>
    <row r="218" spans="11:13" ht="18" customHeight="1">
      <c r="K218" s="171" t="s">
        <v>14</v>
      </c>
      <c r="L218" s="171"/>
      <c r="M218" s="171"/>
    </row>
    <row r="219" spans="11:13" ht="18" customHeight="1">
      <c r="K219" s="171" t="s">
        <v>14</v>
      </c>
      <c r="L219" s="171"/>
      <c r="M219" s="171"/>
    </row>
    <row r="220" spans="11:13" ht="18" customHeight="1">
      <c r="K220" s="171" t="s">
        <v>14</v>
      </c>
      <c r="L220" s="171"/>
      <c r="M220" s="171"/>
    </row>
    <row r="221" spans="11:13" ht="18" customHeight="1">
      <c r="K221" s="171" t="s">
        <v>14</v>
      </c>
      <c r="L221" s="171"/>
      <c r="M221" s="171"/>
    </row>
    <row r="222" spans="11:13" ht="18" customHeight="1">
      <c r="K222" s="171" t="s">
        <v>14</v>
      </c>
      <c r="L222" s="171"/>
      <c r="M222" s="171"/>
    </row>
    <row r="223" spans="11:13" ht="18" customHeight="1">
      <c r="K223" s="171" t="s">
        <v>14</v>
      </c>
      <c r="L223" s="171"/>
      <c r="M223" s="171"/>
    </row>
    <row r="224" spans="11:13" ht="18" customHeight="1">
      <c r="K224" s="171" t="s">
        <v>14</v>
      </c>
      <c r="L224" s="171"/>
      <c r="M224" s="171"/>
    </row>
    <row r="225" spans="11:13" ht="18" customHeight="1">
      <c r="K225" s="171" t="s">
        <v>14</v>
      </c>
      <c r="L225" s="171"/>
      <c r="M225" s="171"/>
    </row>
    <row r="226" spans="11:13" ht="18" customHeight="1">
      <c r="K226" s="171" t="s">
        <v>14</v>
      </c>
      <c r="L226" s="171"/>
      <c r="M226" s="171"/>
    </row>
    <row r="227" spans="11:13" ht="18" customHeight="1">
      <c r="K227" s="171" t="s">
        <v>14</v>
      </c>
      <c r="L227" s="171"/>
      <c r="M227" s="171"/>
    </row>
    <row r="228" spans="11:13" ht="18" customHeight="1">
      <c r="K228" s="171" t="s">
        <v>14</v>
      </c>
      <c r="L228" s="171"/>
      <c r="M228" s="171"/>
    </row>
    <row r="229" spans="11:13" ht="18" customHeight="1">
      <c r="K229" s="171" t="s">
        <v>14</v>
      </c>
      <c r="L229" s="171"/>
      <c r="M229" s="171"/>
    </row>
    <row r="230" spans="11:13" ht="18" customHeight="1">
      <c r="K230" s="171" t="s">
        <v>14</v>
      </c>
      <c r="L230" s="171"/>
      <c r="M230" s="171"/>
    </row>
    <row r="231" spans="11:13" ht="18" customHeight="1">
      <c r="K231" s="171" t="s">
        <v>14</v>
      </c>
      <c r="L231" s="171"/>
      <c r="M231" s="171"/>
    </row>
    <row r="232" spans="11:13" ht="18" customHeight="1">
      <c r="K232" s="171" t="s">
        <v>14</v>
      </c>
      <c r="L232" s="171"/>
      <c r="M232" s="171"/>
    </row>
    <row r="233" spans="11:13" ht="18" customHeight="1">
      <c r="K233" s="171" t="s">
        <v>14</v>
      </c>
      <c r="L233" s="171"/>
      <c r="M233" s="171"/>
    </row>
    <row r="234" spans="11:13" ht="18" customHeight="1">
      <c r="K234" s="171" t="s">
        <v>14</v>
      </c>
      <c r="L234" s="171"/>
      <c r="M234" s="171"/>
    </row>
    <row r="235" spans="11:13" ht="18" customHeight="1">
      <c r="K235" s="171" t="s">
        <v>14</v>
      </c>
      <c r="L235" s="171"/>
      <c r="M235" s="171"/>
    </row>
    <row r="236" spans="11:13" ht="18" customHeight="1">
      <c r="K236" s="171" t="s">
        <v>14</v>
      </c>
      <c r="L236" s="171"/>
      <c r="M236" s="171"/>
    </row>
    <row r="237" spans="11:13" ht="18" customHeight="1">
      <c r="K237" s="171" t="s">
        <v>14</v>
      </c>
      <c r="L237" s="171"/>
      <c r="M237" s="171"/>
    </row>
    <row r="238" spans="11:13" ht="18" customHeight="1">
      <c r="K238" s="171" t="s">
        <v>14</v>
      </c>
      <c r="L238" s="171"/>
      <c r="M238" s="171"/>
    </row>
    <row r="239" spans="11:13" ht="18" customHeight="1">
      <c r="K239" s="171" t="s">
        <v>14</v>
      </c>
      <c r="L239" s="171"/>
      <c r="M239" s="171"/>
    </row>
    <row r="240" spans="11:13" ht="18" customHeight="1">
      <c r="K240" s="171" t="s">
        <v>14</v>
      </c>
      <c r="L240" s="171"/>
      <c r="M240" s="171"/>
    </row>
    <row r="241" spans="11:13" ht="18" customHeight="1">
      <c r="K241" s="171" t="s">
        <v>14</v>
      </c>
      <c r="L241" s="171"/>
      <c r="M241" s="171"/>
    </row>
    <row r="242" spans="11:13" ht="18" customHeight="1">
      <c r="K242" s="171" t="s">
        <v>14</v>
      </c>
      <c r="L242" s="171"/>
      <c r="M242" s="171"/>
    </row>
    <row r="243" spans="11:13" ht="18" customHeight="1">
      <c r="K243" s="171" t="s">
        <v>14</v>
      </c>
      <c r="L243" s="171"/>
      <c r="M243" s="171"/>
    </row>
    <row r="244" spans="11:13" ht="18" customHeight="1">
      <c r="K244" s="171" t="s">
        <v>14</v>
      </c>
      <c r="L244" s="171"/>
      <c r="M244" s="171"/>
    </row>
    <row r="245" spans="11:13" ht="18" customHeight="1">
      <c r="K245" s="171" t="s">
        <v>14</v>
      </c>
      <c r="L245" s="171"/>
      <c r="M245" s="171"/>
    </row>
    <row r="246" spans="11:13" ht="18" customHeight="1">
      <c r="K246" s="171" t="s">
        <v>14</v>
      </c>
      <c r="L246" s="171"/>
      <c r="M246" s="171"/>
    </row>
    <row r="247" spans="11:13" ht="18" customHeight="1">
      <c r="K247" s="171" t="s">
        <v>14</v>
      </c>
      <c r="L247" s="171"/>
      <c r="M247" s="171"/>
    </row>
    <row r="248" spans="11:13" ht="18" customHeight="1">
      <c r="K248" s="171" t="s">
        <v>14</v>
      </c>
      <c r="L248" s="171"/>
      <c r="M248" s="171"/>
    </row>
    <row r="249" spans="11:13" ht="18" customHeight="1">
      <c r="K249" s="171" t="s">
        <v>14</v>
      </c>
      <c r="L249" s="171"/>
      <c r="M249" s="171"/>
    </row>
    <row r="250" spans="11:13" ht="18" customHeight="1">
      <c r="K250" s="171" t="s">
        <v>14</v>
      </c>
      <c r="L250" s="171"/>
      <c r="M250" s="171"/>
    </row>
    <row r="251" spans="11:13" ht="18" customHeight="1">
      <c r="K251" s="171" t="s">
        <v>14</v>
      </c>
      <c r="L251" s="171"/>
      <c r="M251" s="171"/>
    </row>
    <row r="252" spans="11:13" ht="18" customHeight="1">
      <c r="K252" s="171" t="s">
        <v>14</v>
      </c>
      <c r="L252" s="171"/>
      <c r="M252" s="171"/>
    </row>
    <row r="253" spans="11:13" ht="18" customHeight="1">
      <c r="K253" s="171" t="s">
        <v>14</v>
      </c>
      <c r="L253" s="171"/>
      <c r="M253" s="171"/>
    </row>
    <row r="254" spans="11:13" ht="18" customHeight="1">
      <c r="K254" s="171" t="s">
        <v>14</v>
      </c>
      <c r="L254" s="171"/>
      <c r="M254" s="171"/>
    </row>
    <row r="255" spans="11:13" ht="18" customHeight="1">
      <c r="K255" s="171" t="s">
        <v>14</v>
      </c>
      <c r="L255" s="171"/>
      <c r="M255" s="171"/>
    </row>
    <row r="256" spans="11:13" ht="18" customHeight="1">
      <c r="K256" s="171" t="s">
        <v>14</v>
      </c>
      <c r="L256" s="171"/>
      <c r="M256" s="171"/>
    </row>
    <row r="257" spans="11:13" ht="18" customHeight="1">
      <c r="K257" s="171" t="s">
        <v>14</v>
      </c>
      <c r="L257" s="171"/>
      <c r="M257" s="171"/>
    </row>
    <row r="258" spans="11:13" ht="18" customHeight="1">
      <c r="K258" s="171" t="s">
        <v>14</v>
      </c>
      <c r="L258" s="171"/>
      <c r="M258" s="171"/>
    </row>
    <row r="259" spans="11:13" ht="18" customHeight="1">
      <c r="K259" s="171" t="s">
        <v>14</v>
      </c>
      <c r="L259" s="171"/>
      <c r="M259" s="171"/>
    </row>
    <row r="260" spans="11:13" ht="18" customHeight="1">
      <c r="K260" s="171" t="s">
        <v>14</v>
      </c>
      <c r="L260" s="171"/>
      <c r="M260" s="171"/>
    </row>
    <row r="261" spans="11:13" ht="18" customHeight="1">
      <c r="K261" s="171" t="s">
        <v>14</v>
      </c>
      <c r="L261" s="171"/>
      <c r="M261" s="171"/>
    </row>
    <row r="262" spans="11:13" ht="18" customHeight="1">
      <c r="K262" s="171" t="s">
        <v>14</v>
      </c>
      <c r="L262" s="171"/>
      <c r="M262" s="171"/>
    </row>
    <row r="263" spans="11:13" ht="18" customHeight="1">
      <c r="K263" s="171" t="s">
        <v>14</v>
      </c>
      <c r="L263" s="171"/>
      <c r="M263" s="171"/>
    </row>
    <row r="264" spans="11:13" ht="18" customHeight="1">
      <c r="K264" s="171" t="s">
        <v>14</v>
      </c>
      <c r="L264" s="171"/>
      <c r="M264" s="171"/>
    </row>
    <row r="265" spans="11:13" ht="18" customHeight="1">
      <c r="K265" s="171" t="s">
        <v>14</v>
      </c>
      <c r="L265" s="171"/>
      <c r="M265" s="171"/>
    </row>
    <row r="266" spans="11:13" ht="18" customHeight="1">
      <c r="K266" s="171" t="s">
        <v>14</v>
      </c>
      <c r="L266" s="171"/>
      <c r="M266" s="171"/>
    </row>
    <row r="267" spans="11:13" ht="18" customHeight="1">
      <c r="K267" s="171" t="s">
        <v>14</v>
      </c>
      <c r="L267" s="171"/>
      <c r="M267" s="171"/>
    </row>
    <row r="268" spans="11:13" ht="18" customHeight="1">
      <c r="K268" s="171" t="s">
        <v>14</v>
      </c>
      <c r="L268" s="171"/>
      <c r="M268" s="171"/>
    </row>
    <row r="269" spans="11:13" ht="18" customHeight="1">
      <c r="K269" s="171" t="s">
        <v>14</v>
      </c>
      <c r="L269" s="171"/>
      <c r="M269" s="171"/>
    </row>
    <row r="270" spans="11:13" ht="18" customHeight="1">
      <c r="K270" s="171" t="s">
        <v>14</v>
      </c>
      <c r="L270" s="171"/>
      <c r="M270" s="171"/>
    </row>
    <row r="271" spans="11:13" ht="18" customHeight="1">
      <c r="K271" s="171" t="s">
        <v>14</v>
      </c>
      <c r="L271" s="171"/>
      <c r="M271" s="171"/>
    </row>
    <row r="272" spans="11:13" ht="18" customHeight="1">
      <c r="K272" s="171" t="s">
        <v>14</v>
      </c>
      <c r="L272" s="171"/>
      <c r="M272" s="171"/>
    </row>
    <row r="273" spans="11:13" ht="18" customHeight="1">
      <c r="K273" s="171" t="s">
        <v>14</v>
      </c>
      <c r="L273" s="171"/>
      <c r="M273" s="171"/>
    </row>
    <row r="274" spans="11:13" ht="18" customHeight="1">
      <c r="K274" s="171" t="s">
        <v>14</v>
      </c>
      <c r="L274" s="171"/>
      <c r="M274" s="171"/>
    </row>
    <row r="275" spans="11:13" ht="18" customHeight="1">
      <c r="K275" s="171" t="s">
        <v>14</v>
      </c>
      <c r="L275" s="171"/>
      <c r="M275" s="171"/>
    </row>
    <row r="276" spans="11:13" ht="18" customHeight="1">
      <c r="K276" s="171" t="s">
        <v>14</v>
      </c>
      <c r="L276" s="171"/>
      <c r="M276" s="171"/>
    </row>
    <row r="277" spans="11:13" ht="18" customHeight="1">
      <c r="K277" s="171" t="s">
        <v>14</v>
      </c>
      <c r="L277" s="171"/>
      <c r="M277" s="171"/>
    </row>
    <row r="278" spans="11:13" ht="18" customHeight="1">
      <c r="K278" s="171" t="s">
        <v>14</v>
      </c>
      <c r="L278" s="171"/>
      <c r="M278" s="171"/>
    </row>
    <row r="279" spans="11:13" ht="18" customHeight="1">
      <c r="K279" s="171" t="s">
        <v>14</v>
      </c>
      <c r="L279" s="171"/>
      <c r="M279" s="171"/>
    </row>
    <row r="280" spans="11:13" ht="18" customHeight="1">
      <c r="K280" s="171" t="s">
        <v>14</v>
      </c>
      <c r="L280" s="171"/>
      <c r="M280" s="171"/>
    </row>
    <row r="281" spans="11:13" ht="18" customHeight="1">
      <c r="K281" s="171" t="s">
        <v>14</v>
      </c>
      <c r="L281" s="171"/>
      <c r="M281" s="171"/>
    </row>
    <row r="282" spans="11:13" ht="18" customHeight="1">
      <c r="K282" s="171" t="s">
        <v>14</v>
      </c>
      <c r="L282" s="171"/>
      <c r="M282" s="171"/>
    </row>
    <row r="283" spans="11:13" ht="18" customHeight="1">
      <c r="K283" s="171" t="s">
        <v>14</v>
      </c>
      <c r="L283" s="171"/>
      <c r="M283" s="171"/>
    </row>
    <row r="284" spans="11:13" ht="18" customHeight="1">
      <c r="K284" s="171" t="s">
        <v>14</v>
      </c>
      <c r="L284" s="171"/>
      <c r="M284" s="171"/>
    </row>
    <row r="285" spans="11:13" ht="18" customHeight="1">
      <c r="K285" s="171" t="s">
        <v>14</v>
      </c>
      <c r="L285" s="171"/>
      <c r="M285" s="171"/>
    </row>
    <row r="286" spans="11:13" ht="18" customHeight="1">
      <c r="K286" s="171" t="s">
        <v>14</v>
      </c>
      <c r="L286" s="171"/>
      <c r="M286" s="171"/>
    </row>
    <row r="287" spans="11:13" ht="18" customHeight="1">
      <c r="K287" s="171" t="s">
        <v>14</v>
      </c>
      <c r="L287" s="171"/>
      <c r="M287" s="171"/>
    </row>
    <row r="288" spans="11:13" ht="18" customHeight="1">
      <c r="K288" s="171" t="s">
        <v>14</v>
      </c>
      <c r="L288" s="171"/>
      <c r="M288" s="171"/>
    </row>
    <row r="289" spans="11:13" ht="18" customHeight="1">
      <c r="K289" s="171" t="s">
        <v>14</v>
      </c>
      <c r="L289" s="171"/>
      <c r="M289" s="171"/>
    </row>
    <row r="290" spans="11:13" ht="18" customHeight="1">
      <c r="K290" s="171" t="s">
        <v>14</v>
      </c>
      <c r="L290" s="171"/>
      <c r="M290" s="171"/>
    </row>
    <row r="291" spans="11:13" ht="18" customHeight="1">
      <c r="K291" s="171" t="s">
        <v>14</v>
      </c>
      <c r="L291" s="171"/>
      <c r="M291" s="171"/>
    </row>
    <row r="292" spans="11:13" ht="18" customHeight="1">
      <c r="K292" s="171" t="s">
        <v>14</v>
      </c>
      <c r="L292" s="171"/>
      <c r="M292" s="171"/>
    </row>
    <row r="293" spans="11:13" ht="18" customHeight="1">
      <c r="K293" s="171" t="s">
        <v>14</v>
      </c>
      <c r="L293" s="171"/>
      <c r="M293" s="171"/>
    </row>
    <row r="294" spans="11:13" ht="18" customHeight="1">
      <c r="K294" s="171" t="s">
        <v>14</v>
      </c>
      <c r="L294" s="171"/>
      <c r="M294" s="171"/>
    </row>
    <row r="295" spans="11:13" ht="18" customHeight="1">
      <c r="K295" s="171" t="s">
        <v>14</v>
      </c>
      <c r="L295" s="171"/>
      <c r="M295" s="171"/>
    </row>
    <row r="296" spans="11:13" ht="18" customHeight="1">
      <c r="K296" s="171" t="s">
        <v>14</v>
      </c>
      <c r="L296" s="171"/>
      <c r="M296" s="171"/>
    </row>
    <row r="297" spans="11:13" ht="18" customHeight="1">
      <c r="K297" s="171" t="s">
        <v>14</v>
      </c>
      <c r="L297" s="171"/>
      <c r="M297" s="171"/>
    </row>
    <row r="298" spans="11:13" ht="18" customHeight="1">
      <c r="K298" s="171" t="s">
        <v>14</v>
      </c>
      <c r="L298" s="171"/>
      <c r="M298" s="171"/>
    </row>
    <row r="299" spans="11:13" ht="18" customHeight="1">
      <c r="K299" s="171" t="s">
        <v>14</v>
      </c>
      <c r="L299" s="171"/>
      <c r="M299" s="171"/>
    </row>
    <row r="300" spans="11:13" ht="18" customHeight="1">
      <c r="K300" s="171" t="s">
        <v>14</v>
      </c>
      <c r="L300" s="171"/>
      <c r="M300" s="171"/>
    </row>
    <row r="301" spans="11:13" ht="18" customHeight="1">
      <c r="K301" s="171" t="s">
        <v>14</v>
      </c>
      <c r="L301" s="171"/>
      <c r="M301" s="171"/>
    </row>
    <row r="302" spans="11:13" ht="18" customHeight="1">
      <c r="K302" s="171" t="s">
        <v>14</v>
      </c>
      <c r="L302" s="171"/>
      <c r="M302" s="171"/>
    </row>
    <row r="303" spans="11:13" ht="18" customHeight="1">
      <c r="K303" s="171" t="s">
        <v>14</v>
      </c>
      <c r="L303" s="171"/>
      <c r="M303" s="171"/>
    </row>
    <row r="304" spans="11:13" ht="18" customHeight="1">
      <c r="K304" s="171" t="s">
        <v>14</v>
      </c>
      <c r="L304" s="171"/>
      <c r="M304" s="171"/>
    </row>
    <row r="305" spans="11:13" ht="18" customHeight="1">
      <c r="K305" s="171" t="s">
        <v>14</v>
      </c>
      <c r="L305" s="171"/>
      <c r="M305" s="171"/>
    </row>
    <row r="306" spans="11:13" ht="18" customHeight="1">
      <c r="K306" s="171" t="s">
        <v>14</v>
      </c>
      <c r="L306" s="171"/>
      <c r="M306" s="171"/>
    </row>
    <row r="307" spans="11:13" ht="18" customHeight="1">
      <c r="K307" s="171" t="s">
        <v>14</v>
      </c>
      <c r="L307" s="171"/>
      <c r="M307" s="171"/>
    </row>
    <row r="308" spans="11:13" ht="18" customHeight="1">
      <c r="K308" s="171" t="s">
        <v>14</v>
      </c>
      <c r="L308" s="171"/>
      <c r="M308" s="171"/>
    </row>
    <row r="309" spans="11:13" ht="18" customHeight="1">
      <c r="K309" s="171" t="s">
        <v>14</v>
      </c>
      <c r="L309" s="171"/>
      <c r="M309" s="171"/>
    </row>
    <row r="310" spans="11:13" ht="18" customHeight="1">
      <c r="K310" s="171" t="s">
        <v>14</v>
      </c>
      <c r="L310" s="171"/>
      <c r="M310" s="171"/>
    </row>
    <row r="311" spans="11:13" ht="18" customHeight="1">
      <c r="K311" s="171" t="s">
        <v>14</v>
      </c>
      <c r="L311" s="171"/>
      <c r="M311" s="171"/>
    </row>
    <row r="312" spans="11:13" ht="18" customHeight="1">
      <c r="K312" s="171" t="s">
        <v>14</v>
      </c>
      <c r="L312" s="171"/>
      <c r="M312" s="171"/>
    </row>
    <row r="313" spans="11:13" ht="18" customHeight="1">
      <c r="K313" s="171" t="s">
        <v>14</v>
      </c>
      <c r="L313" s="171"/>
      <c r="M313" s="171"/>
    </row>
    <row r="314" spans="11:13" ht="18" customHeight="1">
      <c r="K314" s="171" t="s">
        <v>14</v>
      </c>
      <c r="L314" s="171"/>
      <c r="M314" s="171"/>
    </row>
    <row r="315" spans="11:13" ht="18" customHeight="1">
      <c r="K315" s="171" t="s">
        <v>14</v>
      </c>
      <c r="L315" s="171"/>
      <c r="M315" s="171"/>
    </row>
    <row r="316" spans="11:13" ht="18" customHeight="1">
      <c r="K316" s="171" t="s">
        <v>14</v>
      </c>
      <c r="L316" s="171"/>
      <c r="M316" s="171"/>
    </row>
    <row r="317" spans="11:13" ht="18" customHeight="1">
      <c r="K317" s="171" t="s">
        <v>14</v>
      </c>
      <c r="L317" s="171"/>
      <c r="M317" s="171"/>
    </row>
    <row r="318" spans="11:13" ht="18" customHeight="1">
      <c r="K318" s="171" t="s">
        <v>14</v>
      </c>
      <c r="L318" s="171"/>
      <c r="M318" s="171"/>
    </row>
    <row r="319" spans="11:13" ht="18" customHeight="1">
      <c r="K319" s="171" t="s">
        <v>14</v>
      </c>
      <c r="L319" s="171"/>
      <c r="M319" s="171"/>
    </row>
    <row r="320" spans="11:13" ht="18" customHeight="1">
      <c r="K320" s="171" t="s">
        <v>14</v>
      </c>
      <c r="L320" s="171"/>
      <c r="M320" s="171"/>
    </row>
    <row r="321" spans="11:13" ht="18" customHeight="1">
      <c r="K321" s="171" t="s">
        <v>14</v>
      </c>
      <c r="L321" s="171"/>
      <c r="M321" s="171"/>
    </row>
    <row r="322" spans="11:13" ht="18" customHeight="1">
      <c r="K322" s="171" t="s">
        <v>14</v>
      </c>
      <c r="L322" s="171"/>
      <c r="M322" s="171"/>
    </row>
    <row r="323" spans="11:13" ht="18" customHeight="1">
      <c r="K323" s="171" t="s">
        <v>14</v>
      </c>
      <c r="L323" s="171"/>
      <c r="M323" s="171"/>
    </row>
    <row r="324" spans="11:13" ht="18" customHeight="1">
      <c r="K324" s="171" t="s">
        <v>14</v>
      </c>
      <c r="L324" s="171"/>
      <c r="M324" s="171"/>
    </row>
    <row r="325" spans="11:13" ht="18" customHeight="1">
      <c r="K325" s="171" t="s">
        <v>14</v>
      </c>
      <c r="L325" s="171"/>
      <c r="M325" s="171"/>
    </row>
    <row r="326" spans="11:13" ht="18" customHeight="1">
      <c r="K326" s="171" t="s">
        <v>14</v>
      </c>
      <c r="L326" s="171"/>
      <c r="M326" s="171"/>
    </row>
    <row r="327" spans="11:13" ht="18" customHeight="1">
      <c r="K327" s="171" t="s">
        <v>14</v>
      </c>
      <c r="L327" s="171"/>
      <c r="M327" s="171"/>
    </row>
    <row r="328" spans="11:13" ht="18" customHeight="1">
      <c r="K328" s="171" t="s">
        <v>14</v>
      </c>
      <c r="L328" s="171"/>
      <c r="M328" s="171"/>
    </row>
    <row r="329" spans="11:13" ht="18" customHeight="1">
      <c r="K329" s="171" t="s">
        <v>14</v>
      </c>
      <c r="L329" s="171"/>
      <c r="M329" s="171"/>
    </row>
    <row r="330" spans="11:13" ht="18" customHeight="1">
      <c r="K330" s="171" t="s">
        <v>14</v>
      </c>
      <c r="L330" s="171"/>
      <c r="M330" s="171"/>
    </row>
    <row r="331" spans="11:13" ht="18" customHeight="1">
      <c r="K331" s="171" t="s">
        <v>14</v>
      </c>
      <c r="L331" s="171"/>
      <c r="M331" s="171"/>
    </row>
    <row r="332" spans="11:13" ht="18" customHeight="1">
      <c r="K332" s="171" t="s">
        <v>14</v>
      </c>
      <c r="L332" s="171"/>
      <c r="M332" s="171"/>
    </row>
    <row r="333" spans="11:13" ht="18" customHeight="1">
      <c r="K333" s="171" t="s">
        <v>14</v>
      </c>
      <c r="L333" s="171"/>
      <c r="M333" s="171"/>
    </row>
    <row r="334" spans="11:13" ht="18" customHeight="1">
      <c r="K334" s="171" t="s">
        <v>14</v>
      </c>
      <c r="L334" s="171"/>
      <c r="M334" s="171"/>
    </row>
    <row r="335" spans="11:13" ht="18" customHeight="1">
      <c r="K335" s="171" t="s">
        <v>14</v>
      </c>
      <c r="L335" s="171"/>
      <c r="M335" s="171"/>
    </row>
    <row r="336" spans="11:13" ht="18" customHeight="1">
      <c r="K336" s="171" t="s">
        <v>14</v>
      </c>
      <c r="L336" s="171"/>
      <c r="M336" s="171"/>
    </row>
    <row r="337" spans="11:13" ht="18" customHeight="1">
      <c r="K337" s="171" t="s">
        <v>14</v>
      </c>
      <c r="L337" s="171"/>
      <c r="M337" s="171"/>
    </row>
    <row r="338" spans="11:13" ht="18" customHeight="1">
      <c r="K338" s="171" t="s">
        <v>14</v>
      </c>
      <c r="L338" s="171"/>
      <c r="M338" s="171"/>
    </row>
    <row r="339" spans="11:13" ht="18" customHeight="1">
      <c r="K339" s="171" t="s">
        <v>14</v>
      </c>
      <c r="L339" s="171"/>
      <c r="M339" s="171"/>
    </row>
    <row r="340" spans="11:13" ht="18" customHeight="1">
      <c r="K340" s="171" t="s">
        <v>14</v>
      </c>
      <c r="L340" s="171"/>
      <c r="M340" s="171"/>
    </row>
    <row r="341" spans="11:13" ht="18" customHeight="1">
      <c r="K341" s="171" t="s">
        <v>14</v>
      </c>
      <c r="L341" s="171"/>
      <c r="M341" s="171"/>
    </row>
    <row r="342" spans="11:13" ht="18" customHeight="1">
      <c r="K342" s="171" t="s">
        <v>14</v>
      </c>
      <c r="L342" s="171"/>
      <c r="M342" s="171"/>
    </row>
    <row r="343" spans="11:13" ht="18" customHeight="1">
      <c r="K343" s="171" t="s">
        <v>14</v>
      </c>
      <c r="L343" s="171"/>
      <c r="M343" s="171"/>
    </row>
    <row r="344" spans="11:13" ht="18" customHeight="1">
      <c r="K344" s="171" t="s">
        <v>14</v>
      </c>
      <c r="L344" s="171"/>
      <c r="M344" s="171"/>
    </row>
    <row r="345" spans="11:13" ht="18" customHeight="1">
      <c r="K345" s="171" t="s">
        <v>14</v>
      </c>
      <c r="L345" s="171"/>
      <c r="M345" s="171"/>
    </row>
    <row r="346" spans="11:13" ht="18" customHeight="1">
      <c r="K346" s="171" t="s">
        <v>14</v>
      </c>
      <c r="L346" s="171"/>
      <c r="M346" s="171"/>
    </row>
    <row r="347" spans="11:13" ht="18" customHeight="1">
      <c r="K347" s="171" t="s">
        <v>14</v>
      </c>
      <c r="L347" s="171"/>
      <c r="M347" s="171"/>
    </row>
    <row r="348" spans="11:13" ht="18" customHeight="1">
      <c r="K348" s="171" t="s">
        <v>14</v>
      </c>
      <c r="L348" s="171"/>
      <c r="M348" s="171"/>
    </row>
    <row r="349" spans="11:13" ht="18" customHeight="1">
      <c r="K349" s="171" t="s">
        <v>14</v>
      </c>
      <c r="L349" s="171"/>
      <c r="M349" s="171"/>
    </row>
    <row r="350" spans="11:13" ht="18" customHeight="1">
      <c r="K350" s="171" t="s">
        <v>14</v>
      </c>
      <c r="L350" s="171"/>
      <c r="M350" s="171"/>
    </row>
    <row r="351" spans="11:13" ht="18" customHeight="1">
      <c r="K351" s="171" t="s">
        <v>14</v>
      </c>
      <c r="L351" s="171"/>
      <c r="M351" s="171"/>
    </row>
    <row r="352" spans="11:13" ht="18" customHeight="1">
      <c r="K352" s="171" t="s">
        <v>14</v>
      </c>
      <c r="L352" s="171"/>
      <c r="M352" s="171"/>
    </row>
    <row r="353" spans="11:13" ht="18" customHeight="1">
      <c r="K353" s="171" t="s">
        <v>14</v>
      </c>
      <c r="L353" s="171"/>
      <c r="M353" s="171"/>
    </row>
    <row r="354" spans="11:13" ht="18" customHeight="1">
      <c r="K354" s="171" t="s">
        <v>14</v>
      </c>
      <c r="L354" s="171"/>
      <c r="M354" s="171"/>
    </row>
    <row r="355" spans="11:13" ht="18" customHeight="1">
      <c r="K355" s="171" t="s">
        <v>14</v>
      </c>
      <c r="L355" s="171"/>
      <c r="M355" s="171"/>
    </row>
    <row r="356" spans="11:13" ht="18" customHeight="1">
      <c r="K356" s="171" t="s">
        <v>14</v>
      </c>
      <c r="L356" s="171"/>
      <c r="M356" s="171"/>
    </row>
    <row r="357" spans="11:13" ht="18" customHeight="1">
      <c r="K357" s="171" t="s">
        <v>14</v>
      </c>
      <c r="L357" s="171"/>
      <c r="M357" s="171"/>
    </row>
    <row r="358" spans="11:13" ht="18" customHeight="1">
      <c r="K358" s="171" t="s">
        <v>14</v>
      </c>
      <c r="L358" s="171"/>
      <c r="M358" s="171"/>
    </row>
    <row r="359" spans="11:13" ht="18" customHeight="1">
      <c r="K359" s="171" t="s">
        <v>14</v>
      </c>
      <c r="L359" s="171"/>
      <c r="M359" s="171"/>
    </row>
    <row r="360" spans="11:13" ht="18" customHeight="1">
      <c r="K360" s="171" t="s">
        <v>14</v>
      </c>
      <c r="L360" s="171"/>
      <c r="M360" s="171"/>
    </row>
    <row r="361" spans="11:13" ht="18" customHeight="1">
      <c r="K361" s="171" t="s">
        <v>14</v>
      </c>
      <c r="L361" s="171"/>
      <c r="M361" s="171"/>
    </row>
    <row r="362" spans="11:13" ht="18" customHeight="1">
      <c r="K362" s="171" t="s">
        <v>14</v>
      </c>
      <c r="L362" s="171"/>
      <c r="M362" s="171"/>
    </row>
    <row r="363" spans="11:13" ht="18" customHeight="1">
      <c r="K363" s="171" t="s">
        <v>14</v>
      </c>
      <c r="L363" s="171"/>
      <c r="M363" s="171"/>
    </row>
    <row r="364" spans="11:13" ht="18" customHeight="1">
      <c r="K364" s="171" t="s">
        <v>14</v>
      </c>
      <c r="L364" s="171"/>
      <c r="M364" s="171"/>
    </row>
    <row r="365" spans="11:13" ht="18" customHeight="1">
      <c r="K365" s="171" t="s">
        <v>14</v>
      </c>
      <c r="L365" s="171"/>
      <c r="M365" s="171"/>
    </row>
    <row r="366" spans="11:13" ht="18" customHeight="1">
      <c r="K366" s="171" t="s">
        <v>14</v>
      </c>
      <c r="L366" s="171"/>
      <c r="M366" s="171"/>
    </row>
    <row r="367" spans="11:13" ht="18" customHeight="1">
      <c r="K367" s="171" t="s">
        <v>14</v>
      </c>
      <c r="L367" s="171"/>
      <c r="M367" s="171"/>
    </row>
    <row r="368" spans="11:13" ht="18" customHeight="1">
      <c r="K368" s="171" t="s">
        <v>14</v>
      </c>
      <c r="L368" s="171"/>
      <c r="M368" s="171"/>
    </row>
    <row r="369" spans="11:13" ht="18" customHeight="1">
      <c r="K369" s="171" t="s">
        <v>14</v>
      </c>
      <c r="L369" s="171"/>
      <c r="M369" s="171"/>
    </row>
    <row r="370" spans="11:13" ht="18" customHeight="1">
      <c r="K370" s="171" t="s">
        <v>14</v>
      </c>
      <c r="L370" s="171"/>
      <c r="M370" s="171"/>
    </row>
    <row r="371" spans="11:13" ht="18" customHeight="1">
      <c r="K371" s="171" t="s">
        <v>14</v>
      </c>
      <c r="L371" s="171"/>
      <c r="M371" s="171"/>
    </row>
    <row r="372" spans="11:13" ht="18" customHeight="1">
      <c r="K372" s="171" t="s">
        <v>14</v>
      </c>
      <c r="L372" s="171"/>
      <c r="M372" s="171"/>
    </row>
    <row r="373" spans="11:13" ht="18" customHeight="1">
      <c r="K373" s="171" t="s">
        <v>14</v>
      </c>
      <c r="L373" s="171"/>
      <c r="M373" s="171"/>
    </row>
    <row r="374" spans="11:13" ht="18" customHeight="1">
      <c r="K374" s="171" t="s">
        <v>14</v>
      </c>
      <c r="L374" s="171"/>
      <c r="M374" s="171"/>
    </row>
    <row r="375" spans="11:13" ht="18" customHeight="1">
      <c r="K375" s="171" t="s">
        <v>14</v>
      </c>
      <c r="L375" s="171"/>
      <c r="M375" s="171"/>
    </row>
    <row r="376" spans="11:13" ht="18" customHeight="1">
      <c r="K376" s="171" t="s">
        <v>14</v>
      </c>
      <c r="L376" s="171"/>
      <c r="M376" s="171"/>
    </row>
    <row r="377" spans="11:13" ht="18" customHeight="1">
      <c r="K377" s="171" t="s">
        <v>14</v>
      </c>
      <c r="L377" s="171"/>
      <c r="M377" s="171"/>
    </row>
    <row r="378" spans="11:13" ht="18" customHeight="1">
      <c r="K378" s="171" t="s">
        <v>14</v>
      </c>
      <c r="L378" s="171"/>
      <c r="M378" s="171"/>
    </row>
    <row r="379" spans="11:13" ht="18" customHeight="1">
      <c r="K379" s="171" t="s">
        <v>14</v>
      </c>
      <c r="L379" s="171"/>
      <c r="M379" s="171"/>
    </row>
    <row r="380" spans="11:13" ht="18" customHeight="1">
      <c r="K380" s="171" t="s">
        <v>14</v>
      </c>
      <c r="L380" s="171"/>
      <c r="M380" s="171"/>
    </row>
    <row r="381" spans="11:13" ht="18" customHeight="1">
      <c r="K381" s="171" t="s">
        <v>14</v>
      </c>
      <c r="L381" s="171"/>
      <c r="M381" s="171"/>
    </row>
    <row r="382" spans="11:13" ht="18" customHeight="1">
      <c r="K382" s="171" t="s">
        <v>14</v>
      </c>
      <c r="L382" s="171"/>
      <c r="M382" s="171"/>
    </row>
    <row r="383" spans="11:13" ht="18" customHeight="1">
      <c r="K383" s="171" t="s">
        <v>14</v>
      </c>
      <c r="L383" s="171"/>
      <c r="M383" s="171"/>
    </row>
    <row r="384" spans="11:13" ht="18" customHeight="1">
      <c r="K384" s="171" t="s">
        <v>14</v>
      </c>
      <c r="L384" s="171"/>
      <c r="M384" s="171"/>
    </row>
    <row r="385" spans="11:13" ht="18" customHeight="1">
      <c r="K385" s="171" t="s">
        <v>14</v>
      </c>
      <c r="L385" s="171"/>
      <c r="M385" s="171"/>
    </row>
    <row r="386" spans="11:13" ht="18" customHeight="1">
      <c r="K386" s="171" t="s">
        <v>14</v>
      </c>
      <c r="L386" s="171"/>
      <c r="M386" s="171"/>
    </row>
    <row r="387" spans="11:13" ht="18" customHeight="1">
      <c r="K387" s="171" t="s">
        <v>14</v>
      </c>
      <c r="L387" s="171"/>
      <c r="M387" s="171"/>
    </row>
    <row r="388" spans="11:13" ht="18" customHeight="1">
      <c r="K388" s="171" t="s">
        <v>14</v>
      </c>
      <c r="L388" s="171"/>
      <c r="M388" s="171"/>
    </row>
    <row r="389" spans="11:13" ht="18" customHeight="1">
      <c r="K389" s="171" t="s">
        <v>14</v>
      </c>
      <c r="L389" s="171"/>
      <c r="M389" s="171"/>
    </row>
    <row r="390" spans="11:13" ht="18" customHeight="1">
      <c r="K390" s="171" t="s">
        <v>14</v>
      </c>
      <c r="L390" s="171"/>
      <c r="M390" s="171"/>
    </row>
    <row r="391" spans="11:13" ht="18" customHeight="1">
      <c r="K391" s="171" t="s">
        <v>14</v>
      </c>
      <c r="L391" s="171"/>
      <c r="M391" s="171"/>
    </row>
    <row r="392" spans="11:13" ht="18" customHeight="1">
      <c r="K392" s="171" t="s">
        <v>14</v>
      </c>
      <c r="L392" s="171"/>
      <c r="M392" s="171"/>
    </row>
    <row r="393" spans="11:13" ht="18" customHeight="1">
      <c r="K393" s="171" t="s">
        <v>14</v>
      </c>
      <c r="L393" s="171"/>
      <c r="M393" s="171"/>
    </row>
    <row r="394" spans="11:13" ht="18" customHeight="1">
      <c r="K394" s="171" t="s">
        <v>14</v>
      </c>
      <c r="L394" s="171"/>
      <c r="M394" s="171"/>
    </row>
    <row r="395" spans="11:13" ht="18" customHeight="1">
      <c r="K395" s="171" t="s">
        <v>14</v>
      </c>
      <c r="L395" s="171"/>
      <c r="M395" s="171"/>
    </row>
    <row r="396" spans="11:13" ht="18" customHeight="1">
      <c r="K396" s="171" t="s">
        <v>14</v>
      </c>
      <c r="L396" s="171"/>
      <c r="M396" s="171"/>
    </row>
    <row r="397" spans="11:13" ht="18" customHeight="1">
      <c r="K397" s="171" t="s">
        <v>14</v>
      </c>
      <c r="L397" s="171"/>
      <c r="M397" s="171"/>
    </row>
    <row r="398" spans="11:13" ht="18" customHeight="1">
      <c r="K398" s="171" t="s">
        <v>14</v>
      </c>
      <c r="L398" s="171"/>
      <c r="M398" s="171"/>
    </row>
    <row r="399" spans="11:13" ht="18" customHeight="1">
      <c r="K399" s="171" t="s">
        <v>14</v>
      </c>
      <c r="L399" s="171"/>
      <c r="M399" s="171"/>
    </row>
    <row r="400" spans="11:13" ht="18" customHeight="1">
      <c r="K400" s="171" t="s">
        <v>14</v>
      </c>
      <c r="L400" s="171"/>
      <c r="M400" s="171"/>
    </row>
    <row r="401" spans="11:13" ht="18" customHeight="1">
      <c r="K401" s="171" t="s">
        <v>14</v>
      </c>
      <c r="L401" s="171"/>
      <c r="M401" s="171"/>
    </row>
    <row r="402" spans="11:13" ht="18" customHeight="1">
      <c r="K402" s="171" t="s">
        <v>14</v>
      </c>
      <c r="L402" s="171"/>
      <c r="M402" s="171"/>
    </row>
    <row r="403" spans="11:13" ht="18" customHeight="1">
      <c r="K403" s="171" t="s">
        <v>14</v>
      </c>
      <c r="L403" s="171"/>
      <c r="M403" s="171"/>
    </row>
    <row r="404" spans="11:13" ht="18" customHeight="1">
      <c r="K404" s="171" t="s">
        <v>14</v>
      </c>
      <c r="L404" s="171"/>
      <c r="M404" s="171"/>
    </row>
    <row r="405" spans="11:13" ht="18" customHeight="1">
      <c r="K405" s="171" t="s">
        <v>14</v>
      </c>
      <c r="L405" s="171"/>
      <c r="M405" s="171"/>
    </row>
    <row r="406" spans="11:13" ht="18" customHeight="1">
      <c r="K406" s="171" t="s">
        <v>14</v>
      </c>
      <c r="L406" s="171"/>
      <c r="M406" s="171"/>
    </row>
    <row r="407" spans="11:13" ht="18" customHeight="1">
      <c r="K407" s="171" t="s">
        <v>14</v>
      </c>
      <c r="L407" s="171"/>
      <c r="M407" s="171"/>
    </row>
    <row r="408" spans="11:13" ht="18" customHeight="1">
      <c r="K408" s="171" t="s">
        <v>14</v>
      </c>
      <c r="L408" s="171"/>
      <c r="M408" s="171"/>
    </row>
    <row r="409" spans="11:13" ht="18" customHeight="1">
      <c r="K409" s="171" t="s">
        <v>14</v>
      </c>
      <c r="L409" s="171"/>
      <c r="M409" s="171"/>
    </row>
    <row r="410" spans="11:13" ht="18" customHeight="1">
      <c r="K410" s="171" t="s">
        <v>14</v>
      </c>
      <c r="L410" s="171"/>
      <c r="M410" s="171"/>
    </row>
    <row r="411" spans="11:13" ht="18" customHeight="1">
      <c r="K411" s="171" t="s">
        <v>14</v>
      </c>
      <c r="L411" s="171"/>
      <c r="M411" s="171"/>
    </row>
    <row r="412" spans="11:13" ht="18" customHeight="1">
      <c r="K412" s="171" t="s">
        <v>14</v>
      </c>
      <c r="L412" s="171"/>
      <c r="M412" s="171"/>
    </row>
    <row r="413" spans="11:13" ht="18" customHeight="1">
      <c r="K413" s="171" t="s">
        <v>14</v>
      </c>
      <c r="L413" s="171"/>
      <c r="M413" s="171"/>
    </row>
    <row r="414" spans="11:13" ht="18" customHeight="1">
      <c r="K414" s="171" t="s">
        <v>14</v>
      </c>
      <c r="L414" s="171"/>
      <c r="M414" s="171"/>
    </row>
    <row r="415" spans="11:13" ht="18" customHeight="1">
      <c r="K415" s="171" t="s">
        <v>14</v>
      </c>
      <c r="L415" s="171"/>
      <c r="M415" s="171"/>
    </row>
    <row r="416" spans="11:13" ht="18" customHeight="1">
      <c r="K416" s="171" t="s">
        <v>14</v>
      </c>
      <c r="L416" s="171"/>
      <c r="M416" s="171"/>
    </row>
    <row r="417" spans="11:13" ht="18" customHeight="1">
      <c r="K417" s="171" t="s">
        <v>14</v>
      </c>
      <c r="L417" s="171"/>
      <c r="M417" s="171"/>
    </row>
    <row r="418" spans="11:13" ht="18" customHeight="1">
      <c r="K418" s="171" t="s">
        <v>14</v>
      </c>
      <c r="L418" s="171"/>
      <c r="M418" s="171"/>
    </row>
    <row r="419" spans="11:13" ht="18" customHeight="1">
      <c r="K419" s="171" t="s">
        <v>14</v>
      </c>
      <c r="L419" s="171"/>
      <c r="M419" s="171"/>
    </row>
    <row r="420" spans="11:13" ht="18" customHeight="1">
      <c r="K420" s="171" t="s">
        <v>14</v>
      </c>
      <c r="L420" s="171"/>
      <c r="M420" s="171"/>
    </row>
    <row r="421" spans="11:13" ht="18" customHeight="1">
      <c r="K421" s="171" t="s">
        <v>14</v>
      </c>
      <c r="L421" s="171"/>
      <c r="M421" s="171"/>
    </row>
    <row r="422" spans="11:13" ht="18" customHeight="1">
      <c r="K422" s="171" t="s">
        <v>14</v>
      </c>
      <c r="L422" s="171"/>
      <c r="M422" s="171"/>
    </row>
    <row r="423" spans="11:13" ht="18" customHeight="1">
      <c r="K423" s="171" t="s">
        <v>14</v>
      </c>
      <c r="L423" s="171"/>
      <c r="M423" s="171"/>
    </row>
    <row r="424" spans="11:13" ht="18" customHeight="1">
      <c r="K424" s="171" t="s">
        <v>14</v>
      </c>
      <c r="L424" s="171"/>
      <c r="M424" s="171"/>
    </row>
    <row r="425" spans="11:13" ht="18" customHeight="1">
      <c r="K425" s="171" t="s">
        <v>14</v>
      </c>
      <c r="L425" s="171"/>
      <c r="M425" s="171"/>
    </row>
    <row r="426" spans="11:13" ht="18" customHeight="1">
      <c r="K426" s="171" t="s">
        <v>14</v>
      </c>
      <c r="L426" s="171"/>
      <c r="M426" s="171"/>
    </row>
    <row r="427" spans="11:13" ht="18" customHeight="1">
      <c r="K427" s="171" t="s">
        <v>14</v>
      </c>
      <c r="L427" s="171"/>
      <c r="M427" s="171"/>
    </row>
    <row r="428" spans="11:13" ht="18" customHeight="1">
      <c r="K428" s="171" t="s">
        <v>14</v>
      </c>
      <c r="L428" s="171"/>
      <c r="M428" s="171"/>
    </row>
    <row r="429" spans="11:13" ht="18" customHeight="1">
      <c r="K429" s="171" t="s">
        <v>14</v>
      </c>
      <c r="L429" s="171"/>
      <c r="M429" s="171"/>
    </row>
    <row r="430" spans="11:13" ht="18" customHeight="1">
      <c r="K430" s="171" t="s">
        <v>14</v>
      </c>
      <c r="L430" s="171"/>
      <c r="M430" s="171"/>
    </row>
    <row r="431" spans="11:13" ht="18" customHeight="1">
      <c r="K431" s="171" t="s">
        <v>14</v>
      </c>
      <c r="L431" s="171"/>
      <c r="M431" s="171"/>
    </row>
    <row r="432" spans="11:13" ht="18" customHeight="1">
      <c r="K432" s="171" t="s">
        <v>14</v>
      </c>
      <c r="L432" s="171"/>
      <c r="M432" s="171"/>
    </row>
    <row r="433" spans="11:13" ht="18" customHeight="1">
      <c r="K433" s="171" t="s">
        <v>14</v>
      </c>
      <c r="L433" s="171"/>
      <c r="M433" s="171"/>
    </row>
    <row r="434" spans="11:13" ht="18" customHeight="1">
      <c r="K434" s="171" t="s">
        <v>14</v>
      </c>
      <c r="L434" s="171"/>
      <c r="M434" s="171"/>
    </row>
    <row r="435" spans="11:13" ht="18" customHeight="1">
      <c r="K435" s="171" t="s">
        <v>14</v>
      </c>
      <c r="L435" s="171"/>
      <c r="M435" s="171"/>
    </row>
    <row r="436" spans="11:13" ht="18" customHeight="1">
      <c r="K436" s="171" t="s">
        <v>14</v>
      </c>
      <c r="L436" s="171"/>
      <c r="M436" s="171"/>
    </row>
    <row r="437" spans="11:13" ht="18" customHeight="1">
      <c r="K437" s="171" t="s">
        <v>14</v>
      </c>
      <c r="L437" s="171"/>
      <c r="M437" s="171"/>
    </row>
    <row r="438" spans="11:13" ht="18" customHeight="1">
      <c r="K438" s="171" t="s">
        <v>14</v>
      </c>
      <c r="L438" s="171"/>
      <c r="M438" s="171"/>
    </row>
    <row r="439" spans="11:13" ht="18" customHeight="1">
      <c r="K439" s="171" t="s">
        <v>14</v>
      </c>
      <c r="L439" s="171"/>
      <c r="M439" s="171"/>
    </row>
    <row r="440" spans="11:13" ht="18" customHeight="1">
      <c r="K440" s="171" t="s">
        <v>14</v>
      </c>
      <c r="L440" s="171"/>
      <c r="M440" s="171"/>
    </row>
    <row r="441" spans="11:13" ht="18" customHeight="1">
      <c r="K441" s="171" t="s">
        <v>14</v>
      </c>
      <c r="L441" s="171"/>
      <c r="M441" s="171"/>
    </row>
    <row r="442" spans="11:13" ht="18" customHeight="1">
      <c r="K442" s="171" t="s">
        <v>14</v>
      </c>
      <c r="L442" s="171"/>
      <c r="M442" s="171"/>
    </row>
    <row r="443" spans="11:13" ht="18" customHeight="1">
      <c r="K443" s="171" t="s">
        <v>14</v>
      </c>
      <c r="L443" s="171"/>
      <c r="M443" s="171"/>
    </row>
    <row r="444" spans="11:13" ht="18" customHeight="1">
      <c r="K444" s="171" t="s">
        <v>14</v>
      </c>
      <c r="L444" s="171"/>
      <c r="M444" s="171"/>
    </row>
    <row r="445" spans="11:13" ht="18" customHeight="1">
      <c r="K445" s="171" t="s">
        <v>14</v>
      </c>
      <c r="L445" s="171"/>
      <c r="M445" s="171"/>
    </row>
    <row r="446" spans="11:13" ht="18" customHeight="1">
      <c r="K446" s="171" t="s">
        <v>14</v>
      </c>
      <c r="L446" s="171"/>
      <c r="M446" s="171"/>
    </row>
    <row r="447" spans="11:13" ht="18" customHeight="1">
      <c r="K447" s="171" t="s">
        <v>14</v>
      </c>
      <c r="L447" s="171"/>
      <c r="M447" s="171"/>
    </row>
    <row r="448" spans="11:13" ht="18" customHeight="1">
      <c r="K448" s="171" t="s">
        <v>14</v>
      </c>
      <c r="L448" s="171"/>
      <c r="M448" s="171"/>
    </row>
    <row r="449" spans="11:13" ht="18" customHeight="1">
      <c r="K449" s="171" t="s">
        <v>14</v>
      </c>
      <c r="L449" s="171"/>
      <c r="M449" s="171"/>
    </row>
    <row r="450" spans="11:13" ht="18" customHeight="1">
      <c r="K450" s="171" t="s">
        <v>14</v>
      </c>
      <c r="L450" s="171"/>
      <c r="M450" s="171"/>
    </row>
    <row r="451" spans="11:13" ht="18" customHeight="1">
      <c r="K451" s="171" t="s">
        <v>14</v>
      </c>
      <c r="L451" s="171"/>
      <c r="M451" s="171"/>
    </row>
    <row r="452" spans="11:13" ht="18" customHeight="1">
      <c r="K452" s="171" t="s">
        <v>14</v>
      </c>
      <c r="L452" s="171"/>
      <c r="M452" s="171"/>
    </row>
    <row r="453" spans="11:13" ht="18" customHeight="1">
      <c r="K453" s="171" t="s">
        <v>14</v>
      </c>
      <c r="L453" s="171"/>
      <c r="M453" s="171"/>
    </row>
    <row r="454" spans="11:13" ht="18" customHeight="1">
      <c r="K454" s="171" t="s">
        <v>14</v>
      </c>
      <c r="L454" s="171"/>
      <c r="M454" s="171"/>
    </row>
    <row r="455" spans="11:13" ht="18" customHeight="1">
      <c r="K455" s="171" t="s">
        <v>14</v>
      </c>
      <c r="L455" s="171"/>
      <c r="M455" s="171"/>
    </row>
    <row r="456" spans="11:13" ht="18" customHeight="1">
      <c r="K456" s="171" t="s">
        <v>14</v>
      </c>
      <c r="L456" s="171"/>
      <c r="M456" s="171"/>
    </row>
    <row r="457" spans="11:13" ht="18" customHeight="1">
      <c r="K457" s="171" t="s">
        <v>14</v>
      </c>
      <c r="L457" s="171"/>
      <c r="M457" s="171"/>
    </row>
    <row r="458" spans="11:13" ht="18" customHeight="1">
      <c r="K458" s="171" t="s">
        <v>14</v>
      </c>
      <c r="L458" s="171"/>
      <c r="M458" s="171"/>
    </row>
    <row r="459" spans="11:13" ht="18" customHeight="1">
      <c r="K459" s="171" t="s">
        <v>14</v>
      </c>
      <c r="L459" s="171"/>
      <c r="M459" s="171"/>
    </row>
    <row r="460" spans="11:13" ht="18" customHeight="1">
      <c r="K460" s="171" t="s">
        <v>14</v>
      </c>
      <c r="L460" s="171"/>
      <c r="M460" s="171"/>
    </row>
    <row r="461" spans="11:13" ht="18" customHeight="1">
      <c r="K461" s="171" t="s">
        <v>14</v>
      </c>
      <c r="L461" s="171"/>
      <c r="M461" s="171"/>
    </row>
    <row r="462" spans="11:13" ht="18" customHeight="1">
      <c r="K462" s="171" t="s">
        <v>14</v>
      </c>
      <c r="L462" s="171"/>
      <c r="M462" s="171"/>
    </row>
    <row r="463" spans="11:13" ht="18" customHeight="1">
      <c r="K463" s="171" t="s">
        <v>14</v>
      </c>
      <c r="L463" s="171"/>
      <c r="M463" s="171"/>
    </row>
    <row r="464" spans="11:13" ht="18" customHeight="1">
      <c r="K464" s="171" t="s">
        <v>14</v>
      </c>
      <c r="L464" s="171"/>
      <c r="M464" s="171"/>
    </row>
    <row r="465" spans="11:13" ht="18" customHeight="1">
      <c r="K465" s="171" t="s">
        <v>14</v>
      </c>
      <c r="L465" s="171"/>
      <c r="M465" s="171"/>
    </row>
    <row r="466" spans="11:13" ht="18" customHeight="1">
      <c r="K466" s="171" t="s">
        <v>14</v>
      </c>
      <c r="L466" s="171"/>
      <c r="M466" s="171"/>
    </row>
    <row r="467" spans="11:13" ht="18" customHeight="1">
      <c r="K467" s="171" t="s">
        <v>14</v>
      </c>
      <c r="L467" s="171"/>
      <c r="M467" s="171"/>
    </row>
    <row r="468" spans="11:13" ht="18" customHeight="1">
      <c r="K468" s="171" t="s">
        <v>14</v>
      </c>
      <c r="L468" s="171"/>
      <c r="M468" s="171"/>
    </row>
    <row r="469" spans="11:13" ht="18" customHeight="1">
      <c r="K469" s="171" t="s">
        <v>14</v>
      </c>
      <c r="L469" s="171"/>
      <c r="M469" s="171"/>
    </row>
    <row r="470" spans="11:13" ht="18" customHeight="1">
      <c r="K470" s="171" t="s">
        <v>14</v>
      </c>
      <c r="L470" s="171"/>
      <c r="M470" s="171"/>
    </row>
    <row r="471" spans="11:13" ht="18" customHeight="1">
      <c r="K471" s="171" t="s">
        <v>14</v>
      </c>
      <c r="L471" s="171"/>
      <c r="M471" s="171"/>
    </row>
    <row r="472" spans="11:13" ht="18" customHeight="1">
      <c r="K472" s="171" t="s">
        <v>14</v>
      </c>
      <c r="L472" s="171"/>
      <c r="M472" s="171"/>
    </row>
    <row r="473" spans="11:13" ht="18" customHeight="1">
      <c r="K473" s="171" t="s">
        <v>14</v>
      </c>
      <c r="L473" s="171"/>
      <c r="M473" s="171"/>
    </row>
    <row r="474" spans="11:13" ht="18" customHeight="1">
      <c r="K474" s="171" t="s">
        <v>14</v>
      </c>
      <c r="L474" s="171"/>
      <c r="M474" s="171"/>
    </row>
    <row r="475" spans="11:13" ht="18" customHeight="1">
      <c r="K475" s="171" t="s">
        <v>14</v>
      </c>
      <c r="L475" s="171"/>
      <c r="M475" s="171"/>
    </row>
    <row r="476" spans="11:13" ht="18" customHeight="1">
      <c r="K476" s="171" t="s">
        <v>14</v>
      </c>
      <c r="L476" s="171"/>
      <c r="M476" s="171"/>
    </row>
    <row r="477" spans="11:13" ht="18" customHeight="1">
      <c r="K477" s="171" t="s">
        <v>14</v>
      </c>
      <c r="L477" s="171"/>
      <c r="M477" s="171"/>
    </row>
    <row r="478" spans="11:13" ht="18" customHeight="1">
      <c r="K478" s="171" t="s">
        <v>14</v>
      </c>
      <c r="L478" s="171"/>
      <c r="M478" s="171"/>
    </row>
    <row r="479" spans="11:13" ht="18" customHeight="1">
      <c r="K479" s="171" t="s">
        <v>14</v>
      </c>
      <c r="L479" s="171"/>
      <c r="M479" s="171"/>
    </row>
    <row r="480" spans="11:13" ht="18" customHeight="1">
      <c r="K480" s="171" t="s">
        <v>14</v>
      </c>
      <c r="L480" s="171"/>
      <c r="M480" s="171"/>
    </row>
    <row r="481" spans="11:13" ht="18" customHeight="1">
      <c r="K481" s="171" t="s">
        <v>14</v>
      </c>
      <c r="L481" s="171"/>
      <c r="M481" s="171"/>
    </row>
    <row r="482" spans="11:13" ht="18" customHeight="1">
      <c r="K482" s="171" t="s">
        <v>14</v>
      </c>
      <c r="L482" s="171"/>
      <c r="M482" s="171"/>
    </row>
    <row r="483" spans="11:13" ht="18" customHeight="1">
      <c r="K483" s="171" t="s">
        <v>14</v>
      </c>
      <c r="L483" s="171"/>
      <c r="M483" s="171"/>
    </row>
    <row r="484" spans="11:13" ht="18" customHeight="1">
      <c r="K484" s="171" t="s">
        <v>14</v>
      </c>
      <c r="L484" s="171"/>
      <c r="M484" s="171"/>
    </row>
    <row r="485" spans="11:13" ht="18" customHeight="1">
      <c r="K485" s="171" t="s">
        <v>14</v>
      </c>
      <c r="L485" s="171"/>
      <c r="M485" s="171"/>
    </row>
    <row r="486" spans="11:13" ht="18" customHeight="1">
      <c r="K486" s="171" t="s">
        <v>14</v>
      </c>
      <c r="L486" s="171"/>
      <c r="M486" s="171"/>
    </row>
    <row r="487" spans="11:13" ht="18" customHeight="1">
      <c r="K487" s="171" t="s">
        <v>14</v>
      </c>
      <c r="L487" s="171"/>
      <c r="M487" s="171"/>
    </row>
    <row r="488" spans="11:13" ht="18" customHeight="1">
      <c r="K488" s="171" t="s">
        <v>14</v>
      </c>
      <c r="L488" s="171"/>
      <c r="M488" s="171"/>
    </row>
    <row r="489" spans="11:13" ht="18" customHeight="1">
      <c r="K489" s="171" t="s">
        <v>14</v>
      </c>
      <c r="L489" s="171"/>
      <c r="M489" s="171"/>
    </row>
    <row r="490" spans="11:13" ht="18" customHeight="1">
      <c r="K490" s="171" t="s">
        <v>14</v>
      </c>
      <c r="L490" s="171"/>
      <c r="M490" s="171"/>
    </row>
    <row r="491" spans="11:13" ht="18" customHeight="1">
      <c r="K491" s="171" t="s">
        <v>14</v>
      </c>
      <c r="L491" s="171"/>
      <c r="M491" s="171"/>
    </row>
    <row r="492" spans="11:13" ht="18" customHeight="1">
      <c r="K492" s="171" t="s">
        <v>14</v>
      </c>
      <c r="L492" s="171"/>
      <c r="M492" s="171"/>
    </row>
    <row r="493" spans="11:13" ht="18" customHeight="1">
      <c r="K493" s="171" t="s">
        <v>14</v>
      </c>
      <c r="L493" s="171"/>
      <c r="M493" s="171"/>
    </row>
    <row r="494" spans="11:13" ht="18" customHeight="1">
      <c r="K494" s="171" t="s">
        <v>14</v>
      </c>
      <c r="L494" s="171"/>
      <c r="M494" s="171"/>
    </row>
    <row r="495" spans="11:13" ht="18" customHeight="1">
      <c r="K495" s="171" t="s">
        <v>14</v>
      </c>
      <c r="L495" s="171"/>
      <c r="M495" s="171"/>
    </row>
    <row r="496" spans="11:13" ht="18" customHeight="1">
      <c r="K496" s="171" t="s">
        <v>14</v>
      </c>
      <c r="L496" s="171"/>
      <c r="M496" s="171"/>
    </row>
    <row r="497" spans="11:13" ht="18" customHeight="1">
      <c r="K497" s="171" t="s">
        <v>14</v>
      </c>
      <c r="L497" s="171"/>
      <c r="M497" s="171"/>
    </row>
    <row r="498" spans="11:13" ht="18" customHeight="1">
      <c r="K498" s="171" t="s">
        <v>14</v>
      </c>
      <c r="L498" s="171"/>
      <c r="M498" s="171"/>
    </row>
    <row r="499" spans="11:13" ht="18" customHeight="1">
      <c r="K499" s="171" t="s">
        <v>14</v>
      </c>
      <c r="L499" s="171"/>
      <c r="M499" s="171"/>
    </row>
    <row r="500" spans="11:13" ht="18" customHeight="1">
      <c r="K500" s="171" t="s">
        <v>14</v>
      </c>
      <c r="L500" s="171"/>
      <c r="M500" s="171"/>
    </row>
    <row r="501" spans="11:13" ht="18" customHeight="1">
      <c r="K501" s="171" t="s">
        <v>14</v>
      </c>
      <c r="L501" s="171"/>
      <c r="M501" s="171"/>
    </row>
    <row r="502" spans="11:13" ht="18" customHeight="1">
      <c r="K502" s="171" t="s">
        <v>14</v>
      </c>
      <c r="L502" s="171"/>
      <c r="M502" s="171"/>
    </row>
    <row r="503" spans="11:13" ht="18" customHeight="1">
      <c r="K503" s="171" t="s">
        <v>14</v>
      </c>
      <c r="L503" s="171"/>
      <c r="M503" s="171"/>
    </row>
    <row r="504" spans="11:13" ht="18" customHeight="1">
      <c r="K504" s="171" t="s">
        <v>14</v>
      </c>
      <c r="L504" s="171"/>
      <c r="M504" s="171"/>
    </row>
    <row r="505" spans="11:13" ht="18" customHeight="1">
      <c r="K505" s="171" t="s">
        <v>14</v>
      </c>
      <c r="L505" s="171"/>
      <c r="M505" s="171"/>
    </row>
    <row r="506" spans="11:13" ht="18" customHeight="1">
      <c r="K506" s="171" t="s">
        <v>14</v>
      </c>
      <c r="L506" s="171"/>
      <c r="M506" s="171"/>
    </row>
    <row r="507" spans="11:13" ht="18" customHeight="1">
      <c r="K507" s="171" t="s">
        <v>14</v>
      </c>
      <c r="L507" s="171"/>
      <c r="M507" s="171"/>
    </row>
    <row r="508" spans="11:13" ht="18" customHeight="1">
      <c r="K508" s="171" t="s">
        <v>14</v>
      </c>
      <c r="L508" s="171"/>
      <c r="M508" s="171"/>
    </row>
    <row r="509" spans="11:13" ht="18" customHeight="1">
      <c r="K509" s="171" t="s">
        <v>14</v>
      </c>
      <c r="L509" s="171"/>
      <c r="M509" s="171"/>
    </row>
    <row r="510" spans="11:13" ht="18" customHeight="1">
      <c r="K510" s="171" t="s">
        <v>14</v>
      </c>
      <c r="L510" s="171"/>
      <c r="M510" s="171"/>
    </row>
    <row r="511" spans="11:13" ht="18" customHeight="1">
      <c r="K511" s="171" t="s">
        <v>14</v>
      </c>
      <c r="L511" s="171"/>
      <c r="M511" s="171"/>
    </row>
    <row r="512" spans="11:13" ht="18" customHeight="1">
      <c r="K512" s="171" t="s">
        <v>14</v>
      </c>
      <c r="L512" s="171"/>
      <c r="M512" s="171"/>
    </row>
    <row r="513" spans="11:13" ht="18" customHeight="1">
      <c r="K513" s="171" t="s">
        <v>14</v>
      </c>
      <c r="L513" s="171"/>
      <c r="M513" s="171"/>
    </row>
    <row r="514" spans="11:13" ht="18" customHeight="1">
      <c r="K514" s="171" t="s">
        <v>14</v>
      </c>
      <c r="L514" s="171"/>
      <c r="M514" s="171"/>
    </row>
    <row r="515" spans="11:13" ht="18" customHeight="1">
      <c r="K515" s="171" t="s">
        <v>14</v>
      </c>
      <c r="L515" s="171"/>
      <c r="M515" s="171"/>
    </row>
    <row r="516" spans="11:13" ht="18" customHeight="1">
      <c r="K516" s="171" t="s">
        <v>14</v>
      </c>
      <c r="L516" s="171"/>
      <c r="M516" s="171"/>
    </row>
    <row r="517" spans="11:13" ht="18" customHeight="1">
      <c r="K517" s="171" t="s">
        <v>14</v>
      </c>
      <c r="L517" s="171"/>
      <c r="M517" s="171"/>
    </row>
    <row r="518" spans="11:13" ht="18" customHeight="1">
      <c r="K518" s="171" t="s">
        <v>14</v>
      </c>
      <c r="L518" s="171"/>
      <c r="M518" s="171"/>
    </row>
    <row r="519" spans="11:13" ht="18" customHeight="1">
      <c r="K519" s="171" t="s">
        <v>14</v>
      </c>
      <c r="L519" s="171"/>
      <c r="M519" s="171"/>
    </row>
    <row r="520" spans="11:13" ht="18" customHeight="1">
      <c r="K520" s="171" t="s">
        <v>14</v>
      </c>
      <c r="L520" s="171"/>
      <c r="M520" s="171"/>
    </row>
    <row r="521" spans="11:13" ht="18" customHeight="1">
      <c r="K521" s="171" t="s">
        <v>14</v>
      </c>
      <c r="L521" s="171"/>
      <c r="M521" s="171"/>
    </row>
    <row r="522" spans="11:13" ht="18" customHeight="1">
      <c r="K522" s="171" t="s">
        <v>14</v>
      </c>
      <c r="L522" s="171"/>
      <c r="M522" s="171"/>
    </row>
    <row r="523" spans="11:13" ht="18" customHeight="1">
      <c r="K523" s="171" t="s">
        <v>14</v>
      </c>
      <c r="L523" s="171"/>
      <c r="M523" s="171"/>
    </row>
    <row r="524" spans="11:13" ht="18" customHeight="1">
      <c r="K524" s="171" t="s">
        <v>14</v>
      </c>
      <c r="L524" s="171"/>
      <c r="M524" s="171"/>
    </row>
    <row r="525" spans="11:13" ht="18" customHeight="1">
      <c r="K525" s="171" t="s">
        <v>14</v>
      </c>
      <c r="L525" s="171"/>
      <c r="M525" s="171"/>
    </row>
    <row r="526" spans="11:13" ht="18" customHeight="1">
      <c r="K526" s="171" t="s">
        <v>14</v>
      </c>
      <c r="L526" s="171"/>
      <c r="M526" s="171"/>
    </row>
    <row r="527" spans="11:13" ht="18" customHeight="1">
      <c r="K527" s="171" t="s">
        <v>14</v>
      </c>
      <c r="L527" s="171"/>
      <c r="M527" s="171"/>
    </row>
    <row r="528" spans="11:13" ht="18" customHeight="1">
      <c r="K528" s="171" t="s">
        <v>14</v>
      </c>
      <c r="L528" s="171"/>
      <c r="M528" s="171"/>
    </row>
    <row r="529" spans="11:13" ht="18" customHeight="1">
      <c r="K529" s="171" t="s">
        <v>14</v>
      </c>
      <c r="L529" s="171"/>
      <c r="M529" s="171"/>
    </row>
    <row r="530" spans="11:13" ht="18" customHeight="1">
      <c r="K530" s="171" t="s">
        <v>14</v>
      </c>
      <c r="L530" s="171"/>
      <c r="M530" s="171"/>
    </row>
    <row r="531" spans="11:13" ht="18" customHeight="1">
      <c r="K531" s="171" t="s">
        <v>14</v>
      </c>
      <c r="L531" s="171"/>
      <c r="M531" s="171"/>
    </row>
    <row r="532" spans="11:13" ht="18" customHeight="1">
      <c r="K532" s="171" t="s">
        <v>14</v>
      </c>
      <c r="L532" s="171"/>
      <c r="M532" s="171"/>
    </row>
    <row r="533" spans="11:13" ht="18" customHeight="1">
      <c r="K533" s="171" t="s">
        <v>14</v>
      </c>
      <c r="L533" s="171"/>
      <c r="M533" s="171"/>
    </row>
    <row r="534" spans="11:13" ht="18" customHeight="1">
      <c r="K534" s="171" t="s">
        <v>14</v>
      </c>
      <c r="L534" s="171"/>
      <c r="M534" s="171"/>
    </row>
    <row r="535" spans="11:13" ht="18" customHeight="1">
      <c r="K535" s="171" t="s">
        <v>14</v>
      </c>
      <c r="L535" s="171"/>
      <c r="M535" s="171"/>
    </row>
    <row r="536" spans="11:13" ht="18" customHeight="1">
      <c r="K536" s="171" t="s">
        <v>14</v>
      </c>
      <c r="L536" s="171"/>
      <c r="M536" s="171"/>
    </row>
    <row r="537" spans="11:13" ht="18" customHeight="1">
      <c r="K537" s="171" t="s">
        <v>14</v>
      </c>
      <c r="L537" s="171"/>
      <c r="M537" s="171"/>
    </row>
    <row r="538" spans="11:13" ht="18" customHeight="1">
      <c r="K538" s="171" t="s">
        <v>14</v>
      </c>
      <c r="L538" s="171"/>
      <c r="M538" s="171"/>
    </row>
    <row r="539" spans="11:13" ht="18" customHeight="1">
      <c r="K539" s="171" t="s">
        <v>14</v>
      </c>
      <c r="L539" s="171"/>
      <c r="M539" s="171"/>
    </row>
    <row r="540" spans="11:13" ht="18" customHeight="1">
      <c r="K540" s="171" t="s">
        <v>14</v>
      </c>
      <c r="L540" s="171"/>
      <c r="M540" s="171"/>
    </row>
    <row r="541" spans="11:13" ht="18" customHeight="1">
      <c r="K541" s="171" t="s">
        <v>14</v>
      </c>
      <c r="L541" s="171"/>
      <c r="M541" s="171"/>
    </row>
    <row r="542" spans="11:13" ht="18" customHeight="1">
      <c r="K542" s="171" t="s">
        <v>14</v>
      </c>
      <c r="L542" s="171"/>
      <c r="M542" s="171"/>
    </row>
    <row r="543" spans="11:13" ht="18" customHeight="1">
      <c r="K543" s="171" t="s">
        <v>14</v>
      </c>
      <c r="L543" s="171"/>
      <c r="M543" s="171"/>
    </row>
    <row r="544" spans="11:13" ht="18" customHeight="1">
      <c r="K544" s="171" t="s">
        <v>14</v>
      </c>
      <c r="L544" s="171"/>
      <c r="M544" s="171"/>
    </row>
    <row r="545" spans="11:13" ht="18" customHeight="1">
      <c r="K545" s="171" t="s">
        <v>14</v>
      </c>
      <c r="L545" s="171"/>
      <c r="M545" s="171"/>
    </row>
    <row r="546" spans="11:13" ht="18" customHeight="1">
      <c r="K546" s="171" t="s">
        <v>14</v>
      </c>
      <c r="L546" s="171"/>
      <c r="M546" s="171"/>
    </row>
    <row r="547" spans="11:13" ht="18" customHeight="1">
      <c r="K547" s="171" t="s">
        <v>14</v>
      </c>
      <c r="L547" s="171"/>
      <c r="M547" s="171"/>
    </row>
    <row r="548" spans="11:13" ht="18" customHeight="1">
      <c r="K548" s="171" t="s">
        <v>14</v>
      </c>
      <c r="L548" s="171"/>
      <c r="M548" s="171"/>
    </row>
    <row r="549" spans="11:13" ht="18" customHeight="1">
      <c r="K549" s="171" t="s">
        <v>14</v>
      </c>
      <c r="L549" s="171"/>
      <c r="M549" s="171"/>
    </row>
    <row r="550" spans="11:13" ht="18" customHeight="1">
      <c r="K550" s="171" t="s">
        <v>14</v>
      </c>
      <c r="L550" s="171"/>
      <c r="M550" s="171"/>
    </row>
    <row r="551" spans="11:13" ht="18" customHeight="1">
      <c r="K551" s="171" t="s">
        <v>14</v>
      </c>
      <c r="L551" s="171"/>
      <c r="M551" s="171"/>
    </row>
    <row r="552" spans="11:13" ht="18" customHeight="1">
      <c r="K552" s="171" t="s">
        <v>14</v>
      </c>
      <c r="L552" s="171"/>
      <c r="M552" s="171"/>
    </row>
    <row r="553" spans="11:13" ht="18" customHeight="1">
      <c r="K553" s="171" t="s">
        <v>14</v>
      </c>
      <c r="L553" s="171"/>
      <c r="M553" s="171"/>
    </row>
    <row r="554" spans="11:13" ht="18" customHeight="1">
      <c r="K554" s="171" t="s">
        <v>14</v>
      </c>
      <c r="L554" s="171"/>
      <c r="M554" s="171"/>
    </row>
    <row r="555" spans="11:13" ht="18" customHeight="1">
      <c r="K555" s="171" t="s">
        <v>14</v>
      </c>
      <c r="L555" s="171"/>
      <c r="M555" s="171"/>
    </row>
    <row r="556" spans="11:13" ht="18" customHeight="1">
      <c r="K556" s="171" t="s">
        <v>14</v>
      </c>
      <c r="L556" s="171"/>
      <c r="M556" s="171"/>
    </row>
    <row r="557" spans="11:13" ht="18" customHeight="1">
      <c r="K557" s="171" t="s">
        <v>14</v>
      </c>
      <c r="L557" s="171"/>
      <c r="M557" s="171"/>
    </row>
    <row r="558" spans="11:13" ht="18" customHeight="1">
      <c r="K558" s="171" t="s">
        <v>14</v>
      </c>
      <c r="L558" s="171"/>
      <c r="M558" s="171"/>
    </row>
    <row r="559" spans="11:13" ht="18" customHeight="1">
      <c r="K559" s="171" t="s">
        <v>14</v>
      </c>
      <c r="L559" s="171"/>
      <c r="M559" s="171"/>
    </row>
    <row r="560" spans="11:13" ht="18" customHeight="1">
      <c r="K560" s="171" t="s">
        <v>14</v>
      </c>
      <c r="L560" s="171"/>
      <c r="M560" s="171"/>
    </row>
    <row r="561" spans="11:13" ht="18" customHeight="1">
      <c r="K561" s="171" t="s">
        <v>14</v>
      </c>
      <c r="L561" s="171"/>
      <c r="M561" s="171"/>
    </row>
    <row r="562" spans="11:13" ht="18" customHeight="1">
      <c r="K562" s="171" t="s">
        <v>14</v>
      </c>
      <c r="L562" s="171"/>
      <c r="M562" s="171"/>
    </row>
    <row r="563" spans="11:13" ht="18" customHeight="1">
      <c r="K563" s="171" t="s">
        <v>14</v>
      </c>
      <c r="L563" s="171"/>
      <c r="M563" s="171"/>
    </row>
    <row r="564" spans="11:13" ht="18" customHeight="1">
      <c r="K564" s="171" t="s">
        <v>14</v>
      </c>
      <c r="L564" s="171"/>
      <c r="M564" s="171"/>
    </row>
    <row r="565" spans="11:13" ht="18" customHeight="1">
      <c r="K565" s="171" t="s">
        <v>14</v>
      </c>
      <c r="L565" s="171"/>
      <c r="M565" s="171"/>
    </row>
    <row r="566" spans="11:13" ht="18" customHeight="1">
      <c r="K566" s="171" t="s">
        <v>14</v>
      </c>
      <c r="L566" s="171"/>
      <c r="M566" s="171"/>
    </row>
    <row r="567" spans="11:13" ht="18" customHeight="1">
      <c r="K567" s="171" t="s">
        <v>14</v>
      </c>
      <c r="L567" s="171"/>
      <c r="M567" s="171"/>
    </row>
    <row r="568" spans="11:13" ht="18" customHeight="1">
      <c r="K568" s="171" t="s">
        <v>14</v>
      </c>
      <c r="L568" s="171"/>
      <c r="M568" s="171"/>
    </row>
    <row r="569" spans="11:13" ht="18" customHeight="1">
      <c r="K569" s="171" t="s">
        <v>14</v>
      </c>
      <c r="L569" s="171"/>
      <c r="M569" s="171"/>
    </row>
    <row r="570" spans="11:13" ht="18" customHeight="1">
      <c r="K570" s="171" t="s">
        <v>14</v>
      </c>
      <c r="L570" s="171"/>
      <c r="M570" s="171"/>
    </row>
    <row r="571" spans="11:13" ht="18" customHeight="1">
      <c r="K571" s="171" t="s">
        <v>14</v>
      </c>
      <c r="L571" s="171"/>
      <c r="M571" s="171"/>
    </row>
    <row r="572" spans="11:13" ht="18" customHeight="1">
      <c r="K572" s="171" t="s">
        <v>14</v>
      </c>
      <c r="L572" s="171"/>
      <c r="M572" s="171"/>
    </row>
    <row r="573" spans="11:13" ht="18" customHeight="1">
      <c r="K573" s="171" t="s">
        <v>14</v>
      </c>
      <c r="L573" s="171"/>
      <c r="M573" s="171"/>
    </row>
    <row r="574" spans="11:13" ht="18" customHeight="1">
      <c r="K574" s="171" t="s">
        <v>14</v>
      </c>
      <c r="L574" s="171"/>
      <c r="M574" s="171"/>
    </row>
    <row r="575" spans="11:13" ht="18" customHeight="1">
      <c r="K575" s="171" t="s">
        <v>14</v>
      </c>
      <c r="L575" s="171"/>
      <c r="M575" s="171"/>
    </row>
    <row r="576" spans="11:13" ht="18" customHeight="1">
      <c r="K576" s="171" t="s">
        <v>14</v>
      </c>
      <c r="L576" s="171"/>
      <c r="M576" s="171"/>
    </row>
    <row r="577" spans="11:13" ht="18" customHeight="1">
      <c r="K577" s="171" t="s">
        <v>14</v>
      </c>
      <c r="L577" s="171"/>
      <c r="M577" s="171"/>
    </row>
    <row r="578" spans="11:13" ht="18" customHeight="1">
      <c r="K578" s="171" t="s">
        <v>14</v>
      </c>
      <c r="L578" s="171"/>
      <c r="M578" s="171"/>
    </row>
    <row r="579" spans="11:13" ht="18" customHeight="1">
      <c r="K579" s="171" t="s">
        <v>14</v>
      </c>
      <c r="L579" s="171"/>
      <c r="M579" s="171"/>
    </row>
    <row r="580" spans="11:13" ht="18" customHeight="1">
      <c r="K580" s="171" t="s">
        <v>14</v>
      </c>
      <c r="L580" s="171"/>
      <c r="M580" s="171"/>
    </row>
    <row r="581" spans="11:13" ht="18" customHeight="1">
      <c r="K581" s="171" t="s">
        <v>14</v>
      </c>
      <c r="L581" s="171"/>
      <c r="M581" s="171"/>
    </row>
    <row r="582" spans="11:13" ht="18" customHeight="1">
      <c r="K582" s="171" t="s">
        <v>14</v>
      </c>
      <c r="L582" s="171"/>
      <c r="M582" s="171"/>
    </row>
    <row r="583" spans="11:13" ht="18" customHeight="1">
      <c r="K583" s="171" t="s">
        <v>14</v>
      </c>
      <c r="L583" s="171"/>
      <c r="M583" s="171"/>
    </row>
    <row r="584" spans="11:13" ht="18" customHeight="1">
      <c r="K584" s="171" t="s">
        <v>14</v>
      </c>
      <c r="L584" s="171"/>
      <c r="M584" s="171"/>
    </row>
    <row r="585" spans="11:13" ht="18" customHeight="1">
      <c r="K585" s="171" t="s">
        <v>14</v>
      </c>
      <c r="L585" s="171"/>
      <c r="M585" s="171"/>
    </row>
    <row r="586" spans="11:13" ht="18" customHeight="1">
      <c r="K586" s="171" t="s">
        <v>14</v>
      </c>
      <c r="L586" s="171"/>
      <c r="M586" s="171"/>
    </row>
    <row r="587" spans="11:13" ht="18" customHeight="1">
      <c r="K587" s="171" t="s">
        <v>14</v>
      </c>
      <c r="L587" s="171"/>
      <c r="M587" s="171"/>
    </row>
    <row r="588" spans="11:13" ht="18" customHeight="1">
      <c r="K588" s="171" t="s">
        <v>14</v>
      </c>
      <c r="L588" s="171"/>
      <c r="M588" s="171"/>
    </row>
    <row r="589" spans="11:13" ht="18" customHeight="1">
      <c r="K589" s="171" t="s">
        <v>14</v>
      </c>
      <c r="L589" s="171"/>
      <c r="M589" s="171"/>
    </row>
    <row r="590" spans="11:13" ht="18" customHeight="1">
      <c r="K590" s="171" t="s">
        <v>14</v>
      </c>
      <c r="L590" s="171"/>
      <c r="M590" s="171"/>
    </row>
    <row r="591" spans="11:13" ht="18" customHeight="1">
      <c r="K591" s="171" t="s">
        <v>14</v>
      </c>
      <c r="L591" s="171"/>
      <c r="M591" s="171"/>
    </row>
    <row r="592" spans="11:13" ht="18" customHeight="1">
      <c r="K592" s="171" t="s">
        <v>14</v>
      </c>
      <c r="L592" s="171"/>
      <c r="M592" s="171"/>
    </row>
    <row r="593" spans="11:13" ht="18" customHeight="1">
      <c r="K593" s="171" t="s">
        <v>14</v>
      </c>
      <c r="L593" s="171"/>
      <c r="M593" s="171"/>
    </row>
    <row r="594" spans="11:13" ht="18" customHeight="1">
      <c r="K594" s="171" t="s">
        <v>14</v>
      </c>
      <c r="L594" s="171"/>
      <c r="M594" s="171"/>
    </row>
    <row r="595" spans="11:13" ht="18" customHeight="1">
      <c r="K595" s="171" t="s">
        <v>14</v>
      </c>
      <c r="L595" s="171"/>
      <c r="M595" s="171"/>
    </row>
    <row r="596" spans="11:13" ht="18" customHeight="1">
      <c r="K596" s="171" t="s">
        <v>14</v>
      </c>
      <c r="L596" s="171"/>
      <c r="M596" s="171"/>
    </row>
    <row r="597" spans="11:13" ht="18" customHeight="1">
      <c r="K597" s="171" t="s">
        <v>14</v>
      </c>
      <c r="L597" s="171"/>
      <c r="M597" s="171"/>
    </row>
    <row r="598" spans="11:13" ht="18" customHeight="1">
      <c r="K598" s="171" t="s">
        <v>14</v>
      </c>
      <c r="L598" s="171"/>
      <c r="M598" s="171"/>
    </row>
    <row r="599" spans="11:13" ht="18" customHeight="1">
      <c r="K599" s="171" t="s">
        <v>14</v>
      </c>
      <c r="L599" s="171"/>
      <c r="M599" s="171"/>
    </row>
    <row r="600" spans="11:13" ht="18" customHeight="1">
      <c r="K600" s="171" t="s">
        <v>14</v>
      </c>
      <c r="L600" s="171"/>
      <c r="M600" s="171"/>
    </row>
    <row r="601" spans="11:13" ht="18" customHeight="1">
      <c r="K601" s="171" t="s">
        <v>14</v>
      </c>
      <c r="L601" s="171"/>
      <c r="M601" s="171"/>
    </row>
    <row r="602" spans="11:13" ht="18" customHeight="1">
      <c r="K602" s="171" t="s">
        <v>14</v>
      </c>
      <c r="L602" s="171"/>
      <c r="M602" s="171"/>
    </row>
    <row r="603" spans="11:13" ht="18" customHeight="1">
      <c r="K603" s="171" t="s">
        <v>14</v>
      </c>
      <c r="L603" s="171"/>
      <c r="M603" s="171"/>
    </row>
    <row r="604" spans="11:13" ht="18" customHeight="1">
      <c r="K604" s="171" t="s">
        <v>14</v>
      </c>
      <c r="L604" s="171"/>
      <c r="M604" s="171"/>
    </row>
    <row r="605" spans="11:13" ht="18" customHeight="1">
      <c r="K605" s="171" t="s">
        <v>14</v>
      </c>
      <c r="L605" s="171"/>
      <c r="M605" s="171"/>
    </row>
    <row r="606" spans="11:13" ht="18" customHeight="1">
      <c r="K606" s="171" t="s">
        <v>14</v>
      </c>
      <c r="L606" s="171"/>
      <c r="M606" s="171"/>
    </row>
    <row r="607" spans="11:13" ht="18" customHeight="1">
      <c r="K607" s="171" t="s">
        <v>14</v>
      </c>
      <c r="L607" s="171"/>
      <c r="M607" s="171"/>
    </row>
    <row r="608" spans="11:13" ht="18" customHeight="1">
      <c r="K608" s="171" t="s">
        <v>14</v>
      </c>
      <c r="L608" s="171"/>
      <c r="M608" s="171"/>
    </row>
    <row r="609" spans="11:13" ht="18" customHeight="1">
      <c r="K609" s="171" t="s">
        <v>14</v>
      </c>
      <c r="L609" s="171"/>
      <c r="M609" s="171"/>
    </row>
    <row r="610" spans="11:13" ht="18" customHeight="1">
      <c r="K610" s="171" t="s">
        <v>14</v>
      </c>
      <c r="L610" s="171"/>
      <c r="M610" s="171"/>
    </row>
    <row r="611" spans="11:13" ht="18" customHeight="1">
      <c r="K611" s="171" t="s">
        <v>14</v>
      </c>
      <c r="L611" s="171"/>
      <c r="M611" s="171"/>
    </row>
    <row r="612" spans="11:13" ht="18" customHeight="1">
      <c r="K612" s="171" t="s">
        <v>14</v>
      </c>
      <c r="L612" s="171"/>
      <c r="M612" s="171"/>
    </row>
    <row r="613" spans="11:13" ht="18" customHeight="1">
      <c r="K613" s="171" t="s">
        <v>14</v>
      </c>
      <c r="L613" s="171"/>
      <c r="M613" s="171"/>
    </row>
    <row r="614" spans="11:13" ht="18" customHeight="1">
      <c r="K614" s="171" t="s">
        <v>14</v>
      </c>
      <c r="L614" s="171"/>
      <c r="M614" s="171"/>
    </row>
    <row r="615" spans="11:13" ht="18" customHeight="1">
      <c r="K615" s="171" t="s">
        <v>14</v>
      </c>
      <c r="L615" s="171"/>
      <c r="M615" s="171"/>
    </row>
    <row r="616" spans="11:13" ht="18" customHeight="1">
      <c r="K616" s="171" t="s">
        <v>14</v>
      </c>
      <c r="L616" s="171"/>
      <c r="M616" s="171"/>
    </row>
    <row r="617" spans="11:13" ht="18" customHeight="1">
      <c r="K617" s="171" t="s">
        <v>14</v>
      </c>
      <c r="L617" s="171"/>
      <c r="M617" s="171"/>
    </row>
    <row r="618" spans="11:13" ht="18" customHeight="1">
      <c r="K618" s="171" t="s">
        <v>14</v>
      </c>
      <c r="L618" s="171"/>
      <c r="M618" s="171"/>
    </row>
    <row r="619" spans="11:13" ht="18" customHeight="1">
      <c r="K619" s="171" t="s">
        <v>14</v>
      </c>
      <c r="L619" s="171"/>
      <c r="M619" s="171"/>
    </row>
    <row r="620" spans="11:13" ht="18" customHeight="1">
      <c r="K620" s="171" t="s">
        <v>14</v>
      </c>
      <c r="L620" s="171"/>
      <c r="M620" s="171"/>
    </row>
    <row r="621" spans="11:13" ht="18" customHeight="1">
      <c r="K621" s="171" t="s">
        <v>14</v>
      </c>
      <c r="L621" s="171"/>
      <c r="M621" s="171"/>
    </row>
    <row r="622" spans="11:13" ht="18" customHeight="1">
      <c r="K622" s="171" t="s">
        <v>14</v>
      </c>
      <c r="L622" s="171"/>
      <c r="M622" s="171"/>
    </row>
    <row r="623" spans="11:13" ht="18" customHeight="1">
      <c r="K623" s="171" t="s">
        <v>14</v>
      </c>
      <c r="L623" s="171"/>
      <c r="M623" s="171"/>
    </row>
    <row r="624" spans="11:13" ht="18" customHeight="1">
      <c r="K624" s="171" t="s">
        <v>14</v>
      </c>
      <c r="L624" s="171"/>
      <c r="M624" s="171"/>
    </row>
    <row r="625" spans="11:13" ht="18" customHeight="1">
      <c r="K625" s="171" t="s">
        <v>14</v>
      </c>
      <c r="L625" s="171"/>
      <c r="M625" s="171"/>
    </row>
    <row r="626" spans="11:13" ht="18" customHeight="1">
      <c r="K626" s="171" t="s">
        <v>14</v>
      </c>
      <c r="L626" s="171"/>
      <c r="M626" s="171"/>
    </row>
    <row r="627" spans="11:13" ht="18" customHeight="1">
      <c r="K627" s="171" t="s">
        <v>14</v>
      </c>
      <c r="L627" s="171"/>
      <c r="M627" s="171"/>
    </row>
    <row r="628" spans="11:13" ht="18" customHeight="1">
      <c r="K628" s="171" t="s">
        <v>14</v>
      </c>
      <c r="L628" s="171"/>
      <c r="M628" s="171"/>
    </row>
    <row r="629" spans="11:13" ht="18" customHeight="1">
      <c r="K629" s="171" t="s">
        <v>14</v>
      </c>
      <c r="L629" s="171"/>
      <c r="M629" s="171"/>
    </row>
    <row r="630" spans="11:13" ht="18" customHeight="1">
      <c r="K630" s="171" t="s">
        <v>14</v>
      </c>
      <c r="L630" s="171"/>
      <c r="M630" s="171"/>
    </row>
    <row r="631" spans="11:13" ht="18" customHeight="1">
      <c r="K631" s="171" t="s">
        <v>14</v>
      </c>
      <c r="L631" s="171"/>
      <c r="M631" s="171"/>
    </row>
    <row r="632" spans="11:13" ht="18" customHeight="1">
      <c r="K632" s="171" t="s">
        <v>14</v>
      </c>
      <c r="L632" s="171"/>
      <c r="M632" s="171"/>
    </row>
    <row r="633" spans="11:13" ht="18" customHeight="1">
      <c r="K633" s="171" t="s">
        <v>14</v>
      </c>
      <c r="L633" s="171"/>
      <c r="M633" s="171"/>
    </row>
    <row r="634" spans="11:13" ht="18" customHeight="1">
      <c r="K634" s="171" t="s">
        <v>14</v>
      </c>
      <c r="L634" s="171"/>
      <c r="M634" s="171"/>
    </row>
    <row r="635" spans="11:13" ht="18" customHeight="1">
      <c r="K635" s="171" t="s">
        <v>14</v>
      </c>
      <c r="L635" s="171"/>
      <c r="M635" s="171"/>
    </row>
    <row r="636" spans="11:13" ht="18" customHeight="1">
      <c r="K636" s="171" t="s">
        <v>14</v>
      </c>
      <c r="L636" s="171"/>
      <c r="M636" s="171"/>
    </row>
    <row r="637" spans="11:13" ht="18" customHeight="1">
      <c r="K637" s="171" t="s">
        <v>14</v>
      </c>
      <c r="L637" s="171"/>
      <c r="M637" s="171"/>
    </row>
    <row r="638" spans="11:13" ht="18" customHeight="1">
      <c r="K638" s="171" t="s">
        <v>14</v>
      </c>
      <c r="L638" s="171"/>
      <c r="M638" s="171"/>
    </row>
    <row r="639" spans="11:13" ht="18" customHeight="1">
      <c r="K639" s="171" t="s">
        <v>14</v>
      </c>
      <c r="L639" s="171"/>
      <c r="M639" s="171"/>
    </row>
    <row r="640" spans="11:13" ht="18" customHeight="1">
      <c r="K640" s="171" t="s">
        <v>14</v>
      </c>
      <c r="L640" s="171"/>
      <c r="M640" s="171"/>
    </row>
    <row r="641" spans="11:13" ht="18" customHeight="1">
      <c r="K641" s="171" t="s">
        <v>14</v>
      </c>
      <c r="L641" s="171"/>
      <c r="M641" s="171"/>
    </row>
    <row r="642" spans="11:13" ht="18" customHeight="1">
      <c r="K642" s="171" t="s">
        <v>14</v>
      </c>
      <c r="L642" s="171"/>
      <c r="M642" s="171"/>
    </row>
    <row r="643" spans="11:13" ht="18" customHeight="1">
      <c r="K643" s="171" t="s">
        <v>14</v>
      </c>
      <c r="L643" s="171"/>
      <c r="M643" s="171"/>
    </row>
    <row r="644" spans="11:13" ht="18" customHeight="1">
      <c r="K644" s="171" t="s">
        <v>14</v>
      </c>
      <c r="L644" s="171"/>
      <c r="M644" s="171"/>
    </row>
    <row r="645" spans="11:13" ht="18" customHeight="1">
      <c r="K645" s="171" t="s">
        <v>14</v>
      </c>
      <c r="L645" s="171"/>
      <c r="M645" s="171"/>
    </row>
    <row r="646" spans="11:13" ht="18" customHeight="1">
      <c r="K646" s="171" t="s">
        <v>14</v>
      </c>
      <c r="L646" s="171"/>
      <c r="M646" s="171"/>
    </row>
    <row r="647" spans="11:13" ht="18" customHeight="1">
      <c r="K647" s="171" t="s">
        <v>14</v>
      </c>
      <c r="L647" s="171"/>
      <c r="M647" s="171"/>
    </row>
    <row r="648" spans="11:13" ht="18" customHeight="1">
      <c r="K648" s="171" t="s">
        <v>14</v>
      </c>
      <c r="L648" s="171"/>
      <c r="M648" s="171"/>
    </row>
    <row r="649" spans="11:13" ht="18" customHeight="1">
      <c r="K649" s="171" t="s">
        <v>14</v>
      </c>
      <c r="L649" s="171"/>
      <c r="M649" s="171"/>
    </row>
    <row r="650" spans="11:13" ht="18" customHeight="1">
      <c r="K650" s="171" t="s">
        <v>14</v>
      </c>
      <c r="L650" s="171"/>
      <c r="M650" s="171"/>
    </row>
    <row r="651" spans="11:13" ht="18" customHeight="1">
      <c r="K651" s="171" t="s">
        <v>14</v>
      </c>
      <c r="L651" s="171"/>
      <c r="M651" s="171"/>
    </row>
    <row r="652" spans="11:13" ht="18" customHeight="1">
      <c r="K652" s="171" t="s">
        <v>14</v>
      </c>
      <c r="L652" s="171"/>
      <c r="M652" s="171"/>
    </row>
    <row r="653" spans="11:13" ht="18" customHeight="1">
      <c r="K653" s="171" t="s">
        <v>14</v>
      </c>
      <c r="L653" s="171"/>
      <c r="M653" s="171"/>
    </row>
    <row r="654" spans="11:13" ht="18" customHeight="1">
      <c r="K654" s="171" t="s">
        <v>14</v>
      </c>
      <c r="L654" s="171"/>
      <c r="M654" s="171"/>
    </row>
    <row r="655" spans="11:13" ht="18" customHeight="1">
      <c r="K655" s="171" t="s">
        <v>14</v>
      </c>
      <c r="L655" s="171"/>
      <c r="M655" s="171"/>
    </row>
    <row r="656" spans="11:13" ht="18" customHeight="1">
      <c r="K656" s="171" t="s">
        <v>14</v>
      </c>
      <c r="L656" s="171"/>
      <c r="M656" s="171"/>
    </row>
    <row r="657" spans="11:13" ht="18" customHeight="1">
      <c r="K657" s="171" t="s">
        <v>14</v>
      </c>
      <c r="L657" s="171"/>
      <c r="M657" s="171"/>
    </row>
    <row r="658" spans="11:13" ht="18" customHeight="1">
      <c r="K658" s="171" t="s">
        <v>14</v>
      </c>
      <c r="L658" s="171"/>
      <c r="M658" s="171"/>
    </row>
    <row r="659" spans="11:13" ht="18" customHeight="1">
      <c r="K659" s="171" t="s">
        <v>14</v>
      </c>
      <c r="L659" s="171"/>
      <c r="M659" s="171"/>
    </row>
    <row r="660" spans="11:13" ht="18" customHeight="1">
      <c r="K660" s="171" t="s">
        <v>14</v>
      </c>
      <c r="L660" s="171"/>
      <c r="M660" s="171"/>
    </row>
    <row r="661" spans="11:13" ht="18" customHeight="1">
      <c r="K661" s="171" t="s">
        <v>14</v>
      </c>
      <c r="L661" s="171"/>
      <c r="M661" s="171"/>
    </row>
    <row r="662" spans="11:13" ht="18" customHeight="1">
      <c r="K662" s="171" t="s">
        <v>14</v>
      </c>
      <c r="L662" s="171"/>
      <c r="M662" s="171"/>
    </row>
    <row r="663" spans="11:13" ht="18" customHeight="1">
      <c r="K663" s="171" t="s">
        <v>14</v>
      </c>
      <c r="L663" s="171"/>
      <c r="M663" s="171"/>
    </row>
    <row r="664" spans="11:13" ht="18" customHeight="1">
      <c r="K664" s="171" t="s">
        <v>14</v>
      </c>
      <c r="L664" s="171"/>
      <c r="M664" s="171"/>
    </row>
    <row r="665" spans="11:13" ht="18" customHeight="1">
      <c r="K665" s="171" t="s">
        <v>14</v>
      </c>
      <c r="L665" s="171"/>
      <c r="M665" s="171"/>
    </row>
    <row r="666" spans="11:13" ht="18" customHeight="1">
      <c r="K666" s="171" t="s">
        <v>14</v>
      </c>
      <c r="L666" s="171"/>
      <c r="M666" s="171"/>
    </row>
    <row r="667" spans="11:13" ht="18" customHeight="1">
      <c r="K667" s="171" t="s">
        <v>14</v>
      </c>
      <c r="L667" s="171"/>
      <c r="M667" s="171"/>
    </row>
    <row r="668" spans="11:13" ht="18" customHeight="1">
      <c r="K668" s="171" t="s">
        <v>14</v>
      </c>
      <c r="L668" s="171"/>
      <c r="M668" s="171"/>
    </row>
    <row r="669" spans="11:13" ht="18" customHeight="1">
      <c r="K669" s="171" t="s">
        <v>14</v>
      </c>
      <c r="L669" s="171"/>
      <c r="M669" s="171"/>
    </row>
    <row r="670" spans="11:13" ht="18" customHeight="1">
      <c r="K670" s="171" t="s">
        <v>14</v>
      </c>
      <c r="L670" s="171"/>
      <c r="M670" s="171"/>
    </row>
    <row r="671" spans="11:13" ht="18" customHeight="1">
      <c r="K671" s="171" t="s">
        <v>14</v>
      </c>
      <c r="L671" s="171"/>
      <c r="M671" s="171"/>
    </row>
    <row r="672" spans="11:13" ht="18" customHeight="1">
      <c r="K672" s="171" t="s">
        <v>14</v>
      </c>
      <c r="L672" s="171"/>
      <c r="M672" s="171"/>
    </row>
    <row r="673" spans="11:13" ht="18" customHeight="1">
      <c r="K673" s="171" t="s">
        <v>14</v>
      </c>
      <c r="L673" s="171"/>
      <c r="M673" s="171"/>
    </row>
    <row r="674" spans="11:13" ht="18" customHeight="1">
      <c r="K674" s="171" t="s">
        <v>14</v>
      </c>
      <c r="L674" s="171"/>
      <c r="M674" s="171"/>
    </row>
    <row r="675" spans="11:13" ht="18" customHeight="1">
      <c r="K675" s="171" t="s">
        <v>14</v>
      </c>
      <c r="L675" s="171"/>
      <c r="M675" s="171"/>
    </row>
    <row r="676" spans="11:13" ht="18" customHeight="1">
      <c r="K676" s="171" t="s">
        <v>14</v>
      </c>
      <c r="L676" s="171"/>
      <c r="M676" s="171"/>
    </row>
    <row r="677" spans="11:13" ht="18" customHeight="1">
      <c r="K677" s="171" t="s">
        <v>14</v>
      </c>
      <c r="L677" s="171"/>
      <c r="M677" s="171"/>
    </row>
    <row r="678" spans="11:13" ht="18" customHeight="1">
      <c r="K678" s="171" t="s">
        <v>14</v>
      </c>
      <c r="L678" s="171"/>
      <c r="M678" s="171"/>
    </row>
    <row r="679" spans="11:13" ht="18" customHeight="1">
      <c r="K679" s="171" t="s">
        <v>14</v>
      </c>
      <c r="L679" s="171"/>
      <c r="M679" s="171"/>
    </row>
    <row r="680" spans="11:13" ht="18" customHeight="1">
      <c r="K680" s="171" t="s">
        <v>14</v>
      </c>
      <c r="L680" s="171"/>
      <c r="M680" s="171"/>
    </row>
    <row r="681" spans="11:13" ht="18" customHeight="1">
      <c r="K681" s="171" t="s">
        <v>14</v>
      </c>
      <c r="L681" s="171"/>
      <c r="M681" s="171"/>
    </row>
    <row r="682" spans="11:13" ht="18" customHeight="1">
      <c r="K682" s="171" t="s">
        <v>14</v>
      </c>
      <c r="L682" s="171"/>
      <c r="M682" s="171"/>
    </row>
    <row r="683" spans="11:13" ht="18" customHeight="1">
      <c r="K683" s="171" t="s">
        <v>14</v>
      </c>
      <c r="L683" s="171"/>
      <c r="M683" s="171"/>
    </row>
    <row r="684" spans="11:13" ht="18" customHeight="1">
      <c r="K684" s="171" t="s">
        <v>14</v>
      </c>
      <c r="L684" s="171"/>
      <c r="M684" s="171"/>
    </row>
    <row r="685" spans="11:13" ht="18" customHeight="1">
      <c r="K685" s="171" t="s">
        <v>14</v>
      </c>
      <c r="L685" s="171"/>
      <c r="M685" s="171"/>
    </row>
    <row r="686" spans="11:13" ht="18" customHeight="1">
      <c r="K686" s="171" t="s">
        <v>14</v>
      </c>
      <c r="L686" s="171"/>
      <c r="M686" s="171"/>
    </row>
    <row r="687" spans="11:13" ht="18" customHeight="1">
      <c r="K687" s="171" t="s">
        <v>14</v>
      </c>
      <c r="L687" s="171"/>
      <c r="M687" s="171"/>
    </row>
    <row r="688" spans="11:13" ht="18" customHeight="1">
      <c r="K688" s="171" t="s">
        <v>14</v>
      </c>
      <c r="L688" s="171"/>
      <c r="M688" s="171"/>
    </row>
    <row r="689" spans="11:13" ht="18" customHeight="1">
      <c r="K689" s="171" t="s">
        <v>14</v>
      </c>
      <c r="L689" s="171"/>
      <c r="M689" s="171"/>
    </row>
    <row r="690" spans="11:13" ht="18" customHeight="1">
      <c r="K690" s="171" t="s">
        <v>14</v>
      </c>
      <c r="L690" s="171"/>
      <c r="M690" s="171"/>
    </row>
    <row r="691" spans="11:13" ht="18" customHeight="1">
      <c r="K691" s="171" t="s">
        <v>14</v>
      </c>
      <c r="L691" s="171"/>
      <c r="M691" s="171"/>
    </row>
    <row r="692" spans="11:13" ht="18" customHeight="1">
      <c r="K692" s="171" t="s">
        <v>14</v>
      </c>
      <c r="L692" s="171"/>
      <c r="M692" s="171"/>
    </row>
    <row r="693" spans="11:13" ht="18" customHeight="1">
      <c r="K693" s="171" t="s">
        <v>14</v>
      </c>
      <c r="L693" s="171"/>
      <c r="M693" s="171"/>
    </row>
    <row r="694" spans="11:13" ht="18" customHeight="1">
      <c r="K694" s="171" t="s">
        <v>14</v>
      </c>
      <c r="L694" s="171"/>
      <c r="M694" s="171"/>
    </row>
    <row r="695" spans="11:13" ht="18" customHeight="1">
      <c r="K695" s="171" t="s">
        <v>14</v>
      </c>
      <c r="L695" s="171"/>
      <c r="M695" s="171"/>
    </row>
    <row r="696" spans="11:13" ht="18" customHeight="1">
      <c r="K696" s="171" t="s">
        <v>14</v>
      </c>
      <c r="L696" s="171"/>
      <c r="M696" s="171"/>
    </row>
    <row r="697" spans="11:13" ht="18" customHeight="1">
      <c r="K697" s="171" t="s">
        <v>14</v>
      </c>
      <c r="L697" s="171"/>
      <c r="M697" s="171"/>
    </row>
    <row r="698" spans="11:13" ht="18" customHeight="1">
      <c r="K698" s="171" t="s">
        <v>14</v>
      </c>
      <c r="L698" s="171"/>
      <c r="M698" s="171"/>
    </row>
    <row r="699" spans="11:13" ht="18" customHeight="1">
      <c r="K699" s="171" t="s">
        <v>14</v>
      </c>
      <c r="L699" s="171"/>
      <c r="M699" s="171"/>
    </row>
    <row r="700" spans="11:13" ht="18" customHeight="1">
      <c r="K700" s="171" t="s">
        <v>14</v>
      </c>
      <c r="L700" s="171"/>
      <c r="M700" s="171"/>
    </row>
    <row r="701" spans="11:13" ht="18" customHeight="1">
      <c r="K701" s="171" t="s">
        <v>14</v>
      </c>
      <c r="L701" s="171"/>
      <c r="M701" s="171"/>
    </row>
    <row r="702" spans="11:13" ht="18" customHeight="1">
      <c r="K702" s="171" t="s">
        <v>14</v>
      </c>
      <c r="L702" s="171"/>
      <c r="M702" s="171"/>
    </row>
    <row r="703" spans="11:13" ht="18" customHeight="1">
      <c r="K703" s="171" t="s">
        <v>14</v>
      </c>
      <c r="L703" s="171"/>
      <c r="M703" s="171"/>
    </row>
    <row r="704" spans="11:13" ht="18" customHeight="1">
      <c r="K704" s="171" t="s">
        <v>14</v>
      </c>
      <c r="L704" s="171"/>
      <c r="M704" s="171"/>
    </row>
    <row r="705" spans="11:13" ht="18" customHeight="1">
      <c r="K705" s="171" t="s">
        <v>14</v>
      </c>
      <c r="L705" s="171"/>
      <c r="M705" s="171"/>
    </row>
    <row r="706" spans="11:13" ht="18" customHeight="1">
      <c r="K706" s="171" t="s">
        <v>14</v>
      </c>
      <c r="L706" s="171"/>
      <c r="M706" s="171"/>
    </row>
    <row r="707" spans="11:13" ht="18" customHeight="1">
      <c r="K707" s="171" t="s">
        <v>14</v>
      </c>
      <c r="L707" s="171"/>
      <c r="M707" s="171"/>
    </row>
    <row r="708" spans="11:13" ht="18" customHeight="1">
      <c r="K708" s="171" t="s">
        <v>14</v>
      </c>
      <c r="L708" s="171"/>
      <c r="M708" s="171"/>
    </row>
    <row r="709" spans="11:13" ht="18" customHeight="1">
      <c r="K709" s="171" t="s">
        <v>14</v>
      </c>
      <c r="L709" s="171"/>
      <c r="M709" s="171"/>
    </row>
    <row r="710" spans="11:13" ht="18" customHeight="1">
      <c r="K710" s="171" t="s">
        <v>14</v>
      </c>
      <c r="L710" s="171"/>
      <c r="M710" s="171"/>
    </row>
    <row r="711" spans="11:13" ht="18" customHeight="1">
      <c r="K711" s="171" t="s">
        <v>14</v>
      </c>
      <c r="L711" s="171"/>
      <c r="M711" s="171"/>
    </row>
    <row r="712" spans="11:13" ht="18" customHeight="1">
      <c r="K712" s="171" t="s">
        <v>14</v>
      </c>
      <c r="L712" s="171"/>
      <c r="M712" s="171"/>
    </row>
    <row r="713" spans="11:13" ht="18" customHeight="1">
      <c r="K713" s="171" t="s">
        <v>14</v>
      </c>
      <c r="L713" s="171"/>
      <c r="M713" s="171"/>
    </row>
    <row r="714" spans="11:13" ht="18" customHeight="1">
      <c r="K714" s="171" t="s">
        <v>14</v>
      </c>
      <c r="L714" s="171"/>
      <c r="M714" s="171"/>
    </row>
    <row r="715" spans="11:13" ht="18" customHeight="1">
      <c r="K715" s="171" t="s">
        <v>14</v>
      </c>
      <c r="L715" s="171"/>
      <c r="M715" s="171"/>
    </row>
    <row r="716" spans="11:13" ht="18" customHeight="1">
      <c r="K716" s="171" t="s">
        <v>14</v>
      </c>
      <c r="L716" s="171"/>
      <c r="M716" s="171"/>
    </row>
    <row r="717" spans="11:13" ht="18" customHeight="1">
      <c r="K717" s="171" t="s">
        <v>14</v>
      </c>
      <c r="L717" s="171"/>
      <c r="M717" s="171"/>
    </row>
    <row r="718" spans="11:13" ht="18" customHeight="1">
      <c r="K718" s="171" t="s">
        <v>14</v>
      </c>
      <c r="L718" s="171"/>
      <c r="M718" s="171"/>
    </row>
    <row r="719" spans="11:13" ht="18" customHeight="1">
      <c r="K719" s="171" t="s">
        <v>14</v>
      </c>
      <c r="L719" s="171"/>
      <c r="M719" s="171"/>
    </row>
    <row r="720" spans="11:13" ht="18" customHeight="1">
      <c r="K720" s="171" t="s">
        <v>14</v>
      </c>
      <c r="L720" s="171"/>
      <c r="M720" s="171"/>
    </row>
    <row r="721" spans="11:13" ht="18" customHeight="1">
      <c r="K721" s="171" t="s">
        <v>14</v>
      </c>
      <c r="L721" s="171"/>
      <c r="M721" s="171"/>
    </row>
    <row r="722" spans="11:13" ht="18" customHeight="1">
      <c r="K722" s="171" t="s">
        <v>14</v>
      </c>
      <c r="L722" s="171"/>
      <c r="M722" s="171"/>
    </row>
    <row r="723" spans="11:13" ht="18" customHeight="1">
      <c r="K723" s="171" t="s">
        <v>14</v>
      </c>
      <c r="L723" s="171"/>
      <c r="M723" s="171"/>
    </row>
    <row r="724" spans="11:13" ht="18" customHeight="1">
      <c r="K724" s="171" t="s">
        <v>14</v>
      </c>
      <c r="L724" s="171"/>
      <c r="M724" s="171"/>
    </row>
    <row r="725" spans="11:13" ht="18" customHeight="1">
      <c r="K725" s="171" t="s">
        <v>14</v>
      </c>
      <c r="L725" s="171"/>
      <c r="M725" s="171"/>
    </row>
    <row r="726" spans="11:13" ht="18" customHeight="1">
      <c r="K726" s="171" t="s">
        <v>14</v>
      </c>
      <c r="L726" s="171"/>
      <c r="M726" s="171"/>
    </row>
    <row r="727" spans="11:13" ht="18" customHeight="1">
      <c r="K727" s="171" t="s">
        <v>14</v>
      </c>
      <c r="L727" s="171"/>
      <c r="M727" s="171"/>
    </row>
    <row r="728" spans="11:13" ht="18" customHeight="1">
      <c r="K728" s="171" t="s">
        <v>14</v>
      </c>
      <c r="L728" s="171"/>
      <c r="M728" s="171"/>
    </row>
    <row r="729" spans="11:13" ht="18" customHeight="1">
      <c r="K729" s="171" t="s">
        <v>14</v>
      </c>
      <c r="L729" s="171"/>
      <c r="M729" s="171"/>
    </row>
    <row r="730" spans="11:13" ht="18" customHeight="1">
      <c r="K730" s="171" t="s">
        <v>14</v>
      </c>
      <c r="L730" s="171"/>
      <c r="M730" s="171"/>
    </row>
    <row r="731" spans="11:13" ht="18" customHeight="1">
      <c r="K731" s="171" t="s">
        <v>14</v>
      </c>
      <c r="L731" s="171"/>
      <c r="M731" s="171"/>
    </row>
    <row r="732" spans="11:13" ht="18" customHeight="1">
      <c r="K732" s="171" t="s">
        <v>14</v>
      </c>
      <c r="L732" s="171"/>
      <c r="M732" s="171"/>
    </row>
    <row r="733" spans="11:13" ht="18" customHeight="1">
      <c r="K733" s="171" t="s">
        <v>14</v>
      </c>
      <c r="L733" s="171"/>
      <c r="M733" s="171"/>
    </row>
    <row r="734" spans="11:13" ht="18" customHeight="1">
      <c r="K734" s="171" t="s">
        <v>14</v>
      </c>
      <c r="L734" s="171"/>
      <c r="M734" s="171"/>
    </row>
    <row r="735" spans="11:13" ht="18" customHeight="1">
      <c r="K735" s="171" t="s">
        <v>14</v>
      </c>
      <c r="L735" s="171"/>
      <c r="M735" s="171"/>
    </row>
    <row r="736" spans="11:13" ht="18" customHeight="1">
      <c r="K736" s="171" t="s">
        <v>14</v>
      </c>
      <c r="L736" s="171"/>
      <c r="M736" s="171"/>
    </row>
    <row r="737" spans="11:13" ht="18" customHeight="1">
      <c r="K737" s="171" t="s">
        <v>14</v>
      </c>
      <c r="L737" s="171"/>
      <c r="M737" s="171"/>
    </row>
    <row r="738" spans="11:13" ht="18" customHeight="1">
      <c r="K738" s="171" t="s">
        <v>14</v>
      </c>
      <c r="L738" s="171"/>
      <c r="M738" s="171"/>
    </row>
    <row r="739" spans="11:13" ht="18" customHeight="1">
      <c r="K739" s="171" t="s">
        <v>14</v>
      </c>
      <c r="L739" s="171"/>
      <c r="M739" s="171"/>
    </row>
    <row r="740" spans="11:13" ht="18" customHeight="1">
      <c r="K740" s="171" t="s">
        <v>14</v>
      </c>
      <c r="L740" s="171"/>
      <c r="M740" s="171"/>
    </row>
    <row r="741" spans="11:13" ht="18" customHeight="1">
      <c r="K741" s="171" t="s">
        <v>14</v>
      </c>
      <c r="L741" s="171"/>
      <c r="M741" s="171"/>
    </row>
    <row r="742" spans="11:13" ht="18" customHeight="1">
      <c r="K742" s="171" t="s">
        <v>14</v>
      </c>
      <c r="L742" s="171"/>
      <c r="M742" s="171"/>
    </row>
    <row r="743" spans="11:13" ht="18" customHeight="1">
      <c r="K743" s="171" t="s">
        <v>14</v>
      </c>
      <c r="L743" s="171"/>
      <c r="M743" s="171"/>
    </row>
    <row r="744" spans="11:13" ht="18" customHeight="1">
      <c r="K744" s="171" t="s">
        <v>14</v>
      </c>
      <c r="L744" s="171"/>
      <c r="M744" s="171"/>
    </row>
    <row r="745" spans="11:13" ht="18" customHeight="1">
      <c r="K745" s="171" t="s">
        <v>14</v>
      </c>
      <c r="L745" s="171"/>
      <c r="M745" s="171"/>
    </row>
    <row r="746" spans="11:13" ht="18" customHeight="1">
      <c r="K746" s="171" t="s">
        <v>14</v>
      </c>
      <c r="L746" s="171"/>
      <c r="M746" s="171"/>
    </row>
    <row r="747" spans="11:13" ht="18" customHeight="1">
      <c r="K747" s="171" t="s">
        <v>14</v>
      </c>
      <c r="L747" s="171"/>
      <c r="M747" s="171"/>
    </row>
    <row r="748" spans="11:13" ht="18" customHeight="1">
      <c r="K748" s="171" t="s">
        <v>14</v>
      </c>
      <c r="L748" s="171"/>
      <c r="M748" s="171"/>
    </row>
    <row r="749" spans="11:13" ht="18" customHeight="1">
      <c r="K749" s="171" t="s">
        <v>14</v>
      </c>
      <c r="L749" s="171"/>
      <c r="M749" s="171"/>
    </row>
    <row r="750" spans="11:13" ht="18" customHeight="1">
      <c r="K750" s="171" t="s">
        <v>14</v>
      </c>
      <c r="L750" s="171"/>
      <c r="M750" s="171"/>
    </row>
    <row r="751" spans="11:13" ht="18" customHeight="1">
      <c r="K751" s="171" t="s">
        <v>14</v>
      </c>
      <c r="L751" s="171"/>
      <c r="M751" s="171"/>
    </row>
    <row r="752" spans="11:13" ht="18" customHeight="1">
      <c r="K752" s="171" t="s">
        <v>14</v>
      </c>
      <c r="L752" s="171"/>
      <c r="M752" s="171"/>
    </row>
    <row r="753" spans="11:12" ht="18" customHeight="1">
      <c r="K753" s="171" t="s">
        <v>14</v>
      </c>
      <c r="L753" s="171"/>
    </row>
    <row r="754" spans="11:12" ht="18" customHeight="1">
      <c r="K754" s="171" t="s">
        <v>14</v>
      </c>
      <c r="L754" s="171"/>
    </row>
    <row r="755" spans="11:12" ht="18" customHeight="1">
      <c r="K755" s="171" t="s">
        <v>14</v>
      </c>
      <c r="L755" s="171"/>
    </row>
    <row r="756" spans="11:12" ht="18" customHeight="1">
      <c r="K756" s="171" t="s">
        <v>14</v>
      </c>
      <c r="L756" s="171"/>
    </row>
  </sheetData>
  <mergeCells count="16">
    <mergeCell ref="B3:C3"/>
    <mergeCell ref="D3:E3"/>
    <mergeCell ref="B4:C4"/>
    <mergeCell ref="D4:E4"/>
    <mergeCell ref="B5:C5"/>
    <mergeCell ref="D5:E5"/>
    <mergeCell ref="O45:O46"/>
    <mergeCell ref="P45:P46"/>
    <mergeCell ref="Q45:Q46"/>
    <mergeCell ref="Z45:Z46"/>
    <mergeCell ref="B10:C11"/>
    <mergeCell ref="J10:J11"/>
    <mergeCell ref="L10:L11"/>
    <mergeCell ref="J24:J27"/>
    <mergeCell ref="J41:J44"/>
    <mergeCell ref="N45:N46"/>
  </mergeCells>
  <phoneticPr fontId="14" type="noConversion"/>
  <conditionalFormatting sqref="V12:V26">
    <cfRule type="cellIs" dxfId="2" priority="1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1" min="13" max="28" man="1"/>
    <brk id="68" min="13" max="28" man="1"/>
    <brk id="89" min="13" max="28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 codeName="Sheet26">
    <tabColor theme="5" tint="0.39997558519241921"/>
    <pageSetUpPr fitToPage="1"/>
  </sheetPr>
  <dimension ref="A1:Z763"/>
  <sheetViews>
    <sheetView showGridLines="0" zoomScale="85" zoomScaleNormal="85" zoomScaleSheetLayoutView="75" workbookViewId="0">
      <selection activeCell="C33" sqref="C33"/>
    </sheetView>
  </sheetViews>
  <sheetFormatPr defaultColWidth="12" defaultRowHeight="18" customHeight="1"/>
  <cols>
    <col min="1" max="1" width="4.33203125" style="315" customWidth="1"/>
    <col min="2" max="2" width="3.6640625" style="1" customWidth="1"/>
    <col min="3" max="3" width="48.1640625" style="1" customWidth="1"/>
    <col min="4" max="9" width="10.5" style="1" customWidth="1"/>
    <col min="10" max="10" width="10.6640625" style="1" customWidth="1"/>
    <col min="11" max="11" width="2.6640625" style="1" customWidth="1"/>
    <col min="12" max="12" width="9" style="1" customWidth="1"/>
    <col min="13" max="13" width="2.6640625" style="1" customWidth="1"/>
    <col min="14" max="14" width="20.83203125" style="1" customWidth="1"/>
    <col min="15" max="15" width="8.6640625" style="1" customWidth="1"/>
    <col min="16" max="16" width="11.5" style="1" bestFit="1" customWidth="1"/>
    <col min="17" max="17" width="8.33203125" style="1" bestFit="1" customWidth="1"/>
    <col min="18" max="18" width="14.6640625" style="6" bestFit="1" customWidth="1"/>
    <col min="19" max="19" width="17.5" style="6" bestFit="1" customWidth="1"/>
    <col min="20" max="20" width="14.6640625" style="6" bestFit="1" customWidth="1"/>
    <col min="21" max="21" width="17.5" style="6" bestFit="1" customWidth="1"/>
    <col min="22" max="22" width="13.33203125" style="6" bestFit="1" customWidth="1"/>
    <col min="23" max="25" width="13.1640625" style="6" bestFit="1" customWidth="1"/>
    <col min="26" max="26" width="16" style="1" bestFit="1" customWidth="1"/>
    <col min="27" max="27" width="2.83203125" style="1" customWidth="1"/>
    <col min="28" max="28" width="3.5" style="1" customWidth="1"/>
    <col min="29" max="29" width="18.6640625" style="1" customWidth="1"/>
    <col min="30" max="16384" width="12" style="1"/>
  </cols>
  <sheetData>
    <row r="1" spans="1:26" ht="22.5">
      <c r="B1" s="7" t="s">
        <v>2846</v>
      </c>
    </row>
    <row r="2" spans="1:26" ht="19.5" thickBot="1">
      <c r="B2" s="66" t="s">
        <v>88</v>
      </c>
    </row>
    <row r="3" spans="1:26" ht="18" customHeight="1">
      <c r="B3" s="773" t="s">
        <v>70</v>
      </c>
      <c r="C3" s="774"/>
      <c r="D3" s="845">
        <v>50</v>
      </c>
      <c r="E3" s="845"/>
      <c r="F3" s="44" t="s">
        <v>87</v>
      </c>
      <c r="G3" s="838" t="s">
        <v>1104</v>
      </c>
      <c r="H3" s="839"/>
      <c r="I3" s="656">
        <v>2</v>
      </c>
      <c r="J3" s="669" t="s">
        <v>794</v>
      </c>
    </row>
    <row r="4" spans="1:26" ht="18" customHeight="1">
      <c r="B4" s="777" t="s">
        <v>71</v>
      </c>
      <c r="C4" s="778"/>
      <c r="D4" s="846">
        <v>50</v>
      </c>
      <c r="E4" s="846"/>
      <c r="F4" s="65" t="s">
        <v>87</v>
      </c>
      <c r="G4" s="777" t="s">
        <v>1109</v>
      </c>
      <c r="H4" s="814"/>
      <c r="I4" s="298">
        <v>2</v>
      </c>
      <c r="J4" s="670" t="s">
        <v>794</v>
      </c>
    </row>
    <row r="5" spans="1:26" ht="18" customHeight="1" thickBot="1">
      <c r="A5" s="326"/>
      <c r="B5" s="781" t="s">
        <v>2848</v>
      </c>
      <c r="C5" s="782"/>
      <c r="D5" s="784">
        <f>ROUND((IF(D4&lt;3,3,D4)/D3)^0.6,3)</f>
        <v>1</v>
      </c>
      <c r="E5" s="784"/>
      <c r="F5" s="45"/>
      <c r="G5" s="817" t="s">
        <v>1102</v>
      </c>
      <c r="H5" s="818"/>
      <c r="I5" s="746">
        <f>ROUND(I4/I3,3)</f>
        <v>1</v>
      </c>
      <c r="J5" s="671"/>
    </row>
    <row r="6" spans="1:26" ht="18" customHeight="1">
      <c r="A6" s="326"/>
      <c r="B6" s="9" t="s">
        <v>2847</v>
      </c>
      <c r="C6" s="9"/>
      <c r="D6" s="64"/>
      <c r="E6" s="64"/>
      <c r="G6" s="9" t="s">
        <v>1107</v>
      </c>
      <c r="J6" s="36"/>
      <c r="R6" s="1"/>
      <c r="S6" s="1"/>
      <c r="T6" s="1"/>
    </row>
    <row r="7" spans="1:26" ht="18" customHeight="1">
      <c r="A7" s="326"/>
      <c r="B7" s="9"/>
      <c r="C7" s="9"/>
      <c r="D7" s="64"/>
      <c r="E7" s="64"/>
      <c r="G7" s="9"/>
      <c r="J7" s="36"/>
      <c r="R7" s="1"/>
      <c r="S7" s="1"/>
      <c r="T7" s="1"/>
    </row>
    <row r="8" spans="1:26" ht="18" customHeight="1">
      <c r="A8" s="326"/>
      <c r="B8" s="9"/>
      <c r="C8" s="9"/>
      <c r="D8" s="64"/>
      <c r="E8" s="64"/>
      <c r="G8" s="9"/>
      <c r="J8" s="36"/>
      <c r="R8" s="1"/>
      <c r="S8" s="1"/>
      <c r="T8" s="1"/>
    </row>
    <row r="9" spans="1:26" ht="18" customHeight="1">
      <c r="A9" s="326"/>
      <c r="B9" s="9"/>
      <c r="C9" s="9"/>
      <c r="D9" s="64"/>
      <c r="E9" s="64"/>
      <c r="G9" s="9"/>
      <c r="J9" s="36"/>
      <c r="R9" s="1"/>
      <c r="S9" s="1"/>
      <c r="T9" s="1"/>
    </row>
    <row r="10" spans="1:26" ht="18" customHeight="1">
      <c r="A10" s="326"/>
      <c r="G10" s="36"/>
      <c r="W10" s="188" t="s">
        <v>89</v>
      </c>
      <c r="X10" s="189"/>
    </row>
    <row r="11" spans="1:26" ht="18" customHeight="1" thickBot="1">
      <c r="A11" s="326"/>
      <c r="B11" s="66" t="s">
        <v>90</v>
      </c>
      <c r="C11" s="9"/>
      <c r="D11" s="64"/>
      <c r="E11" s="64"/>
      <c r="G11" s="36"/>
      <c r="N11" s="66" t="s">
        <v>59</v>
      </c>
    </row>
    <row r="12" spans="1:26" ht="18" customHeight="1" thickBot="1">
      <c r="A12" s="326"/>
      <c r="B12" s="9"/>
      <c r="N12" s="151" t="s">
        <v>44</v>
      </c>
      <c r="O12" s="119"/>
      <c r="P12" s="119"/>
      <c r="Q12" s="120"/>
      <c r="R12" s="120"/>
      <c r="S12" s="120"/>
      <c r="T12" s="120"/>
      <c r="U12" s="121"/>
      <c r="V12" s="121"/>
      <c r="W12" s="186">
        <f ca="1">SUBTOTAL(9,W13:W40)</f>
        <v>403691731</v>
      </c>
      <c r="X12" s="187"/>
      <c r="Y12" s="177"/>
      <c r="Z12" s="167"/>
    </row>
    <row r="13" spans="1:26" ht="18" customHeight="1">
      <c r="A13" s="326"/>
      <c r="B13" s="757" t="s">
        <v>30</v>
      </c>
      <c r="C13" s="758"/>
      <c r="D13" s="14" t="s">
        <v>91</v>
      </c>
      <c r="E13" s="15"/>
      <c r="F13" s="15"/>
      <c r="G13" s="15"/>
      <c r="H13" s="15"/>
      <c r="I13" s="16"/>
      <c r="J13" s="761" t="s">
        <v>31</v>
      </c>
      <c r="L13" s="763" t="s">
        <v>97</v>
      </c>
      <c r="N13" s="127" t="s">
        <v>57</v>
      </c>
      <c r="O13" s="122"/>
      <c r="P13" s="122"/>
      <c r="Q13" s="123"/>
      <c r="R13" s="123"/>
      <c r="S13" s="123"/>
      <c r="T13" s="123"/>
      <c r="U13" s="184"/>
      <c r="V13" s="184"/>
      <c r="W13" s="163">
        <f ca="1">SUBTOTAL(9,W14:W37)</f>
        <v>147323518</v>
      </c>
      <c r="X13" s="164"/>
      <c r="Y13" s="178" t="s">
        <v>83</v>
      </c>
      <c r="Z13" s="179"/>
    </row>
    <row r="14" spans="1:26" ht="18" customHeight="1" thickBot="1">
      <c r="A14" s="326"/>
      <c r="B14" s="820"/>
      <c r="C14" s="821"/>
      <c r="D14" s="17" t="s">
        <v>33</v>
      </c>
      <c r="E14" s="19" t="s">
        <v>34</v>
      </c>
      <c r="F14" s="19" t="s">
        <v>35</v>
      </c>
      <c r="G14" s="19" t="s">
        <v>36</v>
      </c>
      <c r="H14" s="19" t="s">
        <v>37</v>
      </c>
      <c r="I14" s="18" t="s">
        <v>38</v>
      </c>
      <c r="J14" s="762"/>
      <c r="L14" s="764"/>
      <c r="N14" s="290" t="s">
        <v>45</v>
      </c>
      <c r="O14" s="124"/>
      <c r="P14" s="125"/>
      <c r="Q14" s="126"/>
      <c r="R14" s="126"/>
      <c r="S14" s="126"/>
      <c r="T14" s="126"/>
      <c r="U14" s="181"/>
      <c r="V14" s="181"/>
      <c r="W14" s="159">
        <f ca="1">SUBTOTAL(9,W15:W33)</f>
        <v>142823518</v>
      </c>
      <c r="X14" s="160"/>
      <c r="Y14" s="220"/>
      <c r="Z14" s="168"/>
    </row>
    <row r="15" spans="1:26" ht="18" customHeight="1">
      <c r="A15" s="326"/>
      <c r="B15" s="225" t="s">
        <v>2849</v>
      </c>
      <c r="C15" s="72"/>
      <c r="D15" s="30">
        <f t="shared" ref="D15:I15" si="0">SUBTOTAL(9,D16:D20)</f>
        <v>5.3999999999999995</v>
      </c>
      <c r="E15" s="31">
        <f t="shared" si="0"/>
        <v>7.6</v>
      </c>
      <c r="F15" s="31">
        <f t="shared" si="0"/>
        <v>31.6</v>
      </c>
      <c r="G15" s="31">
        <f t="shared" si="0"/>
        <v>34.68</v>
      </c>
      <c r="H15" s="31">
        <f t="shared" si="0"/>
        <v>78</v>
      </c>
      <c r="I15" s="32">
        <f t="shared" si="0"/>
        <v>91.300000000000011</v>
      </c>
      <c r="J15" s="654"/>
      <c r="L15" s="232"/>
      <c r="N15" s="354" t="str">
        <f>B15</f>
        <v>1. 기존계획 변경</v>
      </c>
      <c r="O15" s="169"/>
      <c r="P15" s="169"/>
      <c r="Q15" s="169"/>
      <c r="R15" s="169"/>
      <c r="S15" s="169"/>
      <c r="T15" s="169"/>
      <c r="U15" s="265"/>
      <c r="V15" s="248"/>
      <c r="W15" s="193">
        <f ca="1">SUBTOTAL(9,W16:W20)</f>
        <v>66618508</v>
      </c>
      <c r="X15" s="194"/>
      <c r="Y15" s="170" t="str">
        <f>IF(A34&gt;0, "제 " &amp;A34&amp; " 호표","")</f>
        <v/>
      </c>
      <c r="Z15" s="170"/>
    </row>
    <row r="16" spans="1:26" ht="18" customHeight="1">
      <c r="A16" s="326"/>
      <c r="B16" s="223" t="s">
        <v>2850</v>
      </c>
      <c r="C16" s="23"/>
      <c r="D16" s="20">
        <v>0.9</v>
      </c>
      <c r="E16" s="21">
        <v>2.7</v>
      </c>
      <c r="F16" s="21">
        <v>5.0999999999999996</v>
      </c>
      <c r="G16" s="21">
        <v>7.3</v>
      </c>
      <c r="H16" s="21">
        <v>7.3</v>
      </c>
      <c r="I16" s="22">
        <v>10.9</v>
      </c>
      <c r="J16" s="389" t="s">
        <v>2864</v>
      </c>
      <c r="L16" s="233">
        <v>1</v>
      </c>
      <c r="N16" s="292" t="str">
        <f t="shared" ref="N16:N32" si="1">B16</f>
        <v>1.1. 기존계획검토</v>
      </c>
      <c r="O16" s="37"/>
      <c r="P16" s="37"/>
      <c r="Q16" s="37"/>
      <c r="R16" s="37"/>
      <c r="S16" s="37"/>
      <c r="T16" s="37"/>
      <c r="U16" s="265"/>
      <c r="V16" s="248"/>
      <c r="W16" s="153">
        <f t="array" aca="1" ref="W16" ca="1">SUM((ROUNDDOWN((D35:I35)*단가,0)))</f>
        <v>9613361</v>
      </c>
      <c r="X16" s="113"/>
      <c r="Y16" s="263" t="str">
        <f>IF(A35&gt;0, "제 " &amp;A35&amp; " 호표","")</f>
        <v>제 1 호표</v>
      </c>
      <c r="Z16" s="37"/>
    </row>
    <row r="17" spans="1:26" ht="18" customHeight="1">
      <c r="A17" s="326"/>
      <c r="B17" s="223" t="s">
        <v>2851</v>
      </c>
      <c r="C17" s="23"/>
      <c r="D17" s="20">
        <v>0.7</v>
      </c>
      <c r="E17" s="21">
        <v>1.1000000000000001</v>
      </c>
      <c r="F17" s="21">
        <v>5.3</v>
      </c>
      <c r="G17" s="21">
        <v>5.3</v>
      </c>
      <c r="H17" s="21">
        <v>8.8000000000000007</v>
      </c>
      <c r="I17" s="22">
        <v>13.2</v>
      </c>
      <c r="J17" s="389" t="s">
        <v>1090</v>
      </c>
      <c r="L17" s="233">
        <v>1</v>
      </c>
      <c r="N17" s="292" t="str">
        <f t="shared" si="1"/>
        <v>1.2. 주택계획</v>
      </c>
      <c r="O17" s="37"/>
      <c r="P17" s="37"/>
      <c r="Q17" s="37"/>
      <c r="R17" s="37"/>
      <c r="S17" s="37"/>
      <c r="T17" s="37"/>
      <c r="U17" s="265"/>
      <c r="V17" s="248"/>
      <c r="W17" s="153">
        <f t="array" aca="1" ref="W17" ca="1">SUM((ROUNDDOWN((D36:I36)*단가,0)))</f>
        <v>9322842</v>
      </c>
      <c r="X17" s="154"/>
      <c r="Y17" s="263" t="str">
        <f t="shared" ref="Y17:Y32" si="2">IF(A36&gt;0, "제 " &amp;A36&amp; " 호표","")</f>
        <v>제 2 호표</v>
      </c>
      <c r="Z17" s="150"/>
    </row>
    <row r="18" spans="1:26" ht="18" customHeight="1">
      <c r="A18" s="326"/>
      <c r="B18" s="223" t="s">
        <v>2852</v>
      </c>
      <c r="C18" s="23"/>
      <c r="D18" s="40">
        <v>1.5</v>
      </c>
      <c r="E18" s="21">
        <v>1.6</v>
      </c>
      <c r="F18" s="21">
        <v>9</v>
      </c>
      <c r="G18" s="21">
        <v>9.8800000000000008</v>
      </c>
      <c r="H18" s="21">
        <v>32.5</v>
      </c>
      <c r="I18" s="22">
        <v>32.5</v>
      </c>
      <c r="J18" s="389" t="s">
        <v>1090</v>
      </c>
      <c r="L18" s="233">
        <v>1</v>
      </c>
      <c r="N18" s="292" t="str">
        <f t="shared" si="1"/>
        <v>1.3. 토지이용계획</v>
      </c>
      <c r="O18" s="37"/>
      <c r="P18" s="37"/>
      <c r="Q18" s="37"/>
      <c r="R18" s="37"/>
      <c r="S18" s="37"/>
      <c r="T18" s="37"/>
      <c r="U18" s="265"/>
      <c r="V18" s="248"/>
      <c r="W18" s="153">
        <f t="array" aca="1" ref="W18" ca="1">SUM((ROUNDDOWN((D37:I37)*단가,0)))</f>
        <v>22792352</v>
      </c>
      <c r="X18" s="154"/>
      <c r="Y18" s="263" t="str">
        <f t="shared" si="2"/>
        <v>제 3 호표</v>
      </c>
      <c r="Z18" s="150"/>
    </row>
    <row r="19" spans="1:26" ht="18" customHeight="1">
      <c r="A19" s="326"/>
      <c r="B19" s="223" t="s">
        <v>2853</v>
      </c>
      <c r="C19" s="23"/>
      <c r="D19" s="40">
        <v>1</v>
      </c>
      <c r="E19" s="21">
        <v>0.6</v>
      </c>
      <c r="F19" s="21">
        <v>4.8</v>
      </c>
      <c r="G19" s="21">
        <v>4.8</v>
      </c>
      <c r="H19" s="21">
        <v>14.5</v>
      </c>
      <c r="I19" s="22">
        <v>19.8</v>
      </c>
      <c r="J19" s="389" t="s">
        <v>1090</v>
      </c>
      <c r="L19" s="233">
        <v>1</v>
      </c>
      <c r="N19" s="292" t="str">
        <f t="shared" si="1"/>
        <v>1.4. 교통계획</v>
      </c>
      <c r="O19" s="37"/>
      <c r="P19" s="37"/>
      <c r="Q19" s="37"/>
      <c r="R19" s="37"/>
      <c r="S19" s="37"/>
      <c r="T19" s="37"/>
      <c r="U19" s="265"/>
      <c r="V19" s="248"/>
      <c r="W19" s="153">
        <f t="array" aca="1" ref="W19" ca="1">SUM((ROUNDDOWN((D38:I38)*단가,0)))</f>
        <v>11966010</v>
      </c>
      <c r="X19" s="154"/>
      <c r="Y19" s="263" t="str">
        <f t="shared" si="2"/>
        <v>제 3 호표</v>
      </c>
      <c r="Z19" s="150"/>
    </row>
    <row r="20" spans="1:26" ht="18" customHeight="1">
      <c r="A20" s="326"/>
      <c r="B20" s="259" t="s">
        <v>2854</v>
      </c>
      <c r="C20" s="43"/>
      <c r="D20" s="24">
        <v>1.3</v>
      </c>
      <c r="E20" s="25">
        <v>1.6</v>
      </c>
      <c r="F20" s="25">
        <v>7.4</v>
      </c>
      <c r="G20" s="25">
        <v>7.4</v>
      </c>
      <c r="H20" s="25">
        <v>14.9</v>
      </c>
      <c r="I20" s="26">
        <v>14.9</v>
      </c>
      <c r="J20" s="389" t="s">
        <v>1090</v>
      </c>
      <c r="L20" s="233">
        <v>1</v>
      </c>
      <c r="N20" s="292" t="str">
        <f t="shared" si="1"/>
        <v>1.5. 공급처리시설계획</v>
      </c>
      <c r="O20" s="37"/>
      <c r="P20" s="39"/>
      <c r="Q20" s="37"/>
      <c r="R20" s="117"/>
      <c r="S20" s="37"/>
      <c r="T20" s="37"/>
      <c r="U20" s="265"/>
      <c r="V20" s="248"/>
      <c r="W20" s="153">
        <f t="array" aca="1" ref="W20" ca="1">SUM((ROUNDDOWN((D39:I39)*단가,0)))</f>
        <v>12923943</v>
      </c>
      <c r="X20" s="196"/>
      <c r="Y20" s="263" t="str">
        <f t="shared" si="2"/>
        <v>제 4 호표</v>
      </c>
      <c r="Z20" s="150"/>
    </row>
    <row r="21" spans="1:26" ht="18" customHeight="1">
      <c r="A21" s="326"/>
      <c r="B21" s="222" t="s">
        <v>2855</v>
      </c>
      <c r="C21" s="47"/>
      <c r="D21" s="33">
        <f t="shared" ref="D21:I21" si="3">SUBTOTAL(9,D22:D24)</f>
        <v>5.9</v>
      </c>
      <c r="E21" s="34">
        <f t="shared" si="3"/>
        <v>6.8999999999999995</v>
      </c>
      <c r="F21" s="34">
        <f t="shared" si="3"/>
        <v>16</v>
      </c>
      <c r="G21" s="34">
        <f t="shared" si="3"/>
        <v>17.2</v>
      </c>
      <c r="H21" s="34">
        <f t="shared" si="3"/>
        <v>46.4</v>
      </c>
      <c r="I21" s="35">
        <f t="shared" si="3"/>
        <v>52</v>
      </c>
      <c r="J21" s="389"/>
      <c r="L21" s="233"/>
      <c r="N21" s="79" t="str">
        <f t="shared" si="1"/>
        <v>2. 지구단위 계획변경</v>
      </c>
      <c r="O21" s="37"/>
      <c r="P21" s="39"/>
      <c r="Q21" s="37"/>
      <c r="R21" s="117"/>
      <c r="S21" s="37"/>
      <c r="T21" s="37"/>
      <c r="U21" s="265"/>
      <c r="V21" s="248"/>
      <c r="W21" s="195">
        <f ca="1">SUBTOTAL(9,W22:W24)</f>
        <v>39313049</v>
      </c>
      <c r="X21" s="196"/>
      <c r="Y21" s="263" t="str">
        <f t="shared" si="2"/>
        <v/>
      </c>
      <c r="Z21" s="150"/>
    </row>
    <row r="22" spans="1:26" ht="18" customHeight="1">
      <c r="A22" s="326"/>
      <c r="B22" s="223" t="s">
        <v>2856</v>
      </c>
      <c r="C22" s="23"/>
      <c r="D22" s="20">
        <v>0.9</v>
      </c>
      <c r="E22" s="21">
        <v>1.3</v>
      </c>
      <c r="F22" s="21">
        <v>3.5</v>
      </c>
      <c r="G22" s="21">
        <v>1.8</v>
      </c>
      <c r="H22" s="21">
        <v>11.1</v>
      </c>
      <c r="I22" s="22">
        <v>12.6</v>
      </c>
      <c r="J22" s="389" t="s">
        <v>1090</v>
      </c>
      <c r="L22" s="233">
        <v>1</v>
      </c>
      <c r="N22" s="292" t="str">
        <f t="shared" si="1"/>
        <v>2.1. 용도지역·지구</v>
      </c>
      <c r="O22" s="37"/>
      <c r="P22" s="39"/>
      <c r="Q22" s="37"/>
      <c r="R22" s="117"/>
      <c r="S22" s="37"/>
      <c r="T22" s="37"/>
      <c r="U22" s="265"/>
      <c r="V22" s="248"/>
      <c r="W22" s="153">
        <f t="array" aca="1" ref="W22" ca="1">SUM((ROUNDDOWN((D41:I41)*단가,0)))</f>
        <v>8289885</v>
      </c>
      <c r="X22" s="154"/>
      <c r="Y22" s="263" t="str">
        <f t="shared" si="2"/>
        <v>제 5 호표</v>
      </c>
      <c r="Z22" s="150"/>
    </row>
    <row r="23" spans="1:26" ht="18" customHeight="1">
      <c r="A23" s="326"/>
      <c r="B23" s="223" t="s">
        <v>2857</v>
      </c>
      <c r="C23" s="23"/>
      <c r="D23" s="20">
        <v>1.7</v>
      </c>
      <c r="E23" s="21">
        <v>1</v>
      </c>
      <c r="F23" s="21">
        <v>2.5</v>
      </c>
      <c r="G23" s="21">
        <v>2.5</v>
      </c>
      <c r="H23" s="21">
        <v>8.6999999999999993</v>
      </c>
      <c r="I23" s="22">
        <v>9.9</v>
      </c>
      <c r="J23" s="389" t="s">
        <v>1090</v>
      </c>
      <c r="L23" s="233">
        <v>1</v>
      </c>
      <c r="N23" s="292" t="str">
        <f t="shared" si="1"/>
        <v>2.2. 가구 및 획지</v>
      </c>
      <c r="O23" s="37"/>
      <c r="P23" s="39"/>
      <c r="Q23" s="37"/>
      <c r="R23" s="117"/>
      <c r="S23" s="37"/>
      <c r="T23" s="37"/>
      <c r="U23" s="226"/>
      <c r="V23" s="248"/>
      <c r="W23" s="153">
        <f t="array" aca="1" ref="W23" ca="1">SUM((ROUNDDOWN((D42:I42)*단가,0)))</f>
        <v>7207030</v>
      </c>
      <c r="X23" s="154"/>
      <c r="Y23" s="263" t="str">
        <f t="shared" si="2"/>
        <v>제 6 호표</v>
      </c>
      <c r="Z23" s="150"/>
    </row>
    <row r="24" spans="1:26" ht="18" customHeight="1">
      <c r="A24" s="326"/>
      <c r="B24" s="223" t="s">
        <v>2858</v>
      </c>
      <c r="C24" s="23"/>
      <c r="D24" s="20">
        <v>3.3</v>
      </c>
      <c r="E24" s="21">
        <v>4.5999999999999996</v>
      </c>
      <c r="F24" s="21">
        <v>10</v>
      </c>
      <c r="G24" s="21">
        <v>12.9</v>
      </c>
      <c r="H24" s="21">
        <v>26.6</v>
      </c>
      <c r="I24" s="22">
        <v>29.5</v>
      </c>
      <c r="J24" s="389" t="s">
        <v>1090</v>
      </c>
      <c r="L24" s="233">
        <v>1</v>
      </c>
      <c r="N24" s="292" t="str">
        <f t="shared" si="1"/>
        <v>2.3. 건축물</v>
      </c>
      <c r="O24" s="37"/>
      <c r="P24" s="39"/>
      <c r="Q24" s="37"/>
      <c r="R24" s="117"/>
      <c r="S24" s="37"/>
      <c r="T24" s="37"/>
      <c r="U24" s="226"/>
      <c r="V24" s="248"/>
      <c r="W24" s="153">
        <f t="array" aca="1" ref="W24" ca="1">SUM((ROUNDDOWN((D43:I43)*단가,0)))</f>
        <v>23816134</v>
      </c>
      <c r="X24" s="154"/>
      <c r="Y24" s="263" t="str">
        <f t="shared" si="2"/>
        <v>제 7 호표</v>
      </c>
      <c r="Z24" s="150"/>
    </row>
    <row r="25" spans="1:26" ht="18" customHeight="1">
      <c r="A25" s="326"/>
      <c r="B25" s="11" t="s">
        <v>51</v>
      </c>
      <c r="C25" s="12"/>
      <c r="D25" s="33">
        <f t="array" ref="D25:I25">SUBTOTAL(9,D26:D27)</f>
        <v>1.5</v>
      </c>
      <c r="E25" s="34">
        <v>1.5</v>
      </c>
      <c r="F25" s="34">
        <v>1.5</v>
      </c>
      <c r="G25" s="34">
        <v>1.5</v>
      </c>
      <c r="H25" s="34">
        <v>1.5</v>
      </c>
      <c r="I25" s="35">
        <v>1.5</v>
      </c>
      <c r="J25" s="389"/>
      <c r="L25" s="233"/>
      <c r="N25" s="79" t="str">
        <f t="shared" si="1"/>
        <v>3. 성과품작성</v>
      </c>
      <c r="O25" s="37"/>
      <c r="P25" s="39"/>
      <c r="Q25" s="37"/>
      <c r="R25" s="117"/>
      <c r="S25" s="37"/>
      <c r="T25" s="37"/>
      <c r="U25" s="226"/>
      <c r="V25" s="248"/>
      <c r="W25" s="195">
        <f ca="1">SUBTOTAL(9,W26:W27)</f>
        <v>15189385</v>
      </c>
      <c r="X25" s="196"/>
      <c r="Y25" s="263" t="str">
        <f t="shared" si="2"/>
        <v/>
      </c>
      <c r="Z25" s="150"/>
    </row>
    <row r="26" spans="1:26" ht="18" customHeight="1">
      <c r="A26" s="326"/>
      <c r="B26" s="223" t="s">
        <v>2859</v>
      </c>
      <c r="C26" s="23"/>
      <c r="D26" s="20">
        <v>1.2</v>
      </c>
      <c r="E26" s="21">
        <v>0.8</v>
      </c>
      <c r="F26" s="21">
        <v>2.7</v>
      </c>
      <c r="G26" s="21">
        <v>2.7</v>
      </c>
      <c r="H26" s="21">
        <v>8.8000000000000007</v>
      </c>
      <c r="I26" s="22">
        <v>10.3</v>
      </c>
      <c r="J26" s="389" t="s">
        <v>1090</v>
      </c>
      <c r="L26" s="233">
        <v>1</v>
      </c>
      <c r="N26" s="292" t="str">
        <f t="shared" si="1"/>
        <v>3.1. 인·허가 승인도서 작성</v>
      </c>
      <c r="O26" s="37"/>
      <c r="P26" s="39"/>
      <c r="Q26" s="37"/>
      <c r="R26" s="117"/>
      <c r="S26" s="37"/>
      <c r="T26" s="37"/>
      <c r="U26" s="180"/>
      <c r="V26" s="192"/>
      <c r="W26" s="153">
        <f t="array" aca="1" ref="W26" ca="1">SUM((ROUNDDOWN((D45:I45)*단가,0)))</f>
        <v>7143535</v>
      </c>
      <c r="X26" s="196"/>
      <c r="Y26" s="263" t="str">
        <f t="shared" si="2"/>
        <v>제 8 호표</v>
      </c>
      <c r="Z26" s="150"/>
    </row>
    <row r="27" spans="1:26" ht="18" customHeight="1">
      <c r="A27" s="326"/>
      <c r="B27" s="223" t="s">
        <v>2860</v>
      </c>
      <c r="C27" s="23"/>
      <c r="D27" s="20">
        <v>0.3</v>
      </c>
      <c r="E27" s="21">
        <v>1.1000000000000001</v>
      </c>
      <c r="F27" s="21">
        <v>2.6</v>
      </c>
      <c r="G27" s="21">
        <v>2.9</v>
      </c>
      <c r="H27" s="21">
        <v>10</v>
      </c>
      <c r="I27" s="22">
        <v>13.9</v>
      </c>
      <c r="J27" s="389" t="s">
        <v>1090</v>
      </c>
      <c r="L27" s="233">
        <v>1</v>
      </c>
      <c r="N27" s="292" t="str">
        <f t="shared" si="1"/>
        <v>3.2. 관련도서 작성</v>
      </c>
      <c r="O27" s="37"/>
      <c r="P27" s="39"/>
      <c r="Q27" s="37"/>
      <c r="R27" s="117"/>
      <c r="S27" s="37"/>
      <c r="T27" s="37"/>
      <c r="U27" s="180"/>
      <c r="V27" s="192"/>
      <c r="W27" s="153">
        <f t="array" aca="1" ref="W27" ca="1">SUM((ROUNDDOWN((D46:I46)*단가,0)))</f>
        <v>8045850</v>
      </c>
      <c r="X27" s="196"/>
      <c r="Y27" s="263" t="str">
        <f t="shared" si="2"/>
        <v>제 9 호표</v>
      </c>
      <c r="Z27" s="150"/>
    </row>
    <row r="28" spans="1:26" ht="18" customHeight="1">
      <c r="A28" s="355"/>
      <c r="B28" s="222" t="s">
        <v>650</v>
      </c>
      <c r="C28" s="222"/>
      <c r="D28" s="33">
        <f t="shared" ref="D28:I28" si="4">SUBTOTAL(9,D29:D32)</f>
        <v>8</v>
      </c>
      <c r="E28" s="34">
        <f t="shared" si="4"/>
        <v>8</v>
      </c>
      <c r="F28" s="34">
        <f t="shared" si="4"/>
        <v>8</v>
      </c>
      <c r="G28" s="34">
        <f t="shared" si="4"/>
        <v>16</v>
      </c>
      <c r="H28" s="34">
        <f t="shared" si="4"/>
        <v>16</v>
      </c>
      <c r="I28" s="35">
        <f t="shared" si="4"/>
        <v>16</v>
      </c>
      <c r="J28" s="389"/>
      <c r="L28" s="233"/>
      <c r="N28" s="79" t="str">
        <f t="shared" si="1"/>
        <v>4. 기술협의</v>
      </c>
      <c r="O28" s="37"/>
      <c r="P28" s="39"/>
      <c r="Q28" s="37"/>
      <c r="R28" s="117"/>
      <c r="S28" s="37"/>
      <c r="T28" s="37"/>
      <c r="U28" s="265"/>
      <c r="V28" s="248"/>
      <c r="W28" s="195">
        <f ca="1">SUBTOTAL(9,W29:W32)</f>
        <v>21702576</v>
      </c>
      <c r="X28" s="196"/>
      <c r="Y28" s="263" t="str">
        <f t="shared" si="2"/>
        <v/>
      </c>
      <c r="Z28" s="150"/>
    </row>
    <row r="29" spans="1:26" ht="18" customHeight="1">
      <c r="A29" s="355"/>
      <c r="B29" s="223" t="s">
        <v>1724</v>
      </c>
      <c r="C29" s="237"/>
      <c r="D29" s="20">
        <v>2</v>
      </c>
      <c r="E29" s="21">
        <v>2</v>
      </c>
      <c r="F29" s="21">
        <v>2</v>
      </c>
      <c r="G29" s="21">
        <v>4</v>
      </c>
      <c r="H29" s="21">
        <v>4</v>
      </c>
      <c r="I29" s="22">
        <v>4</v>
      </c>
      <c r="J29" s="389" t="s">
        <v>2865</v>
      </c>
      <c r="L29" s="233">
        <v>1</v>
      </c>
      <c r="N29" s="292" t="str">
        <f t="shared" si="1"/>
        <v>4.1. 공청회/주민설명회</v>
      </c>
      <c r="O29" s="37"/>
      <c r="P29" s="39"/>
      <c r="Q29" s="37"/>
      <c r="R29" s="117"/>
      <c r="S29" s="37"/>
      <c r="T29" s="37"/>
      <c r="U29" s="265"/>
      <c r="V29" s="248"/>
      <c r="W29" s="153">
        <f t="array" aca="1" ref="W29" ca="1">SUM((ROUNDDOWN((D48:I48)*단가,0)))</f>
        <v>5425644</v>
      </c>
      <c r="X29" s="154"/>
      <c r="Y29" s="263" t="str">
        <f t="shared" si="2"/>
        <v>제 10 호표</v>
      </c>
      <c r="Z29" s="150"/>
    </row>
    <row r="30" spans="1:26" ht="18" customHeight="1">
      <c r="A30" s="355"/>
      <c r="B30" s="223" t="s">
        <v>2861</v>
      </c>
      <c r="C30" s="237"/>
      <c r="D30" s="20">
        <v>2</v>
      </c>
      <c r="E30" s="21">
        <v>2</v>
      </c>
      <c r="F30" s="21">
        <v>2</v>
      </c>
      <c r="G30" s="21">
        <v>4</v>
      </c>
      <c r="H30" s="21">
        <v>4</v>
      </c>
      <c r="I30" s="22">
        <v>4</v>
      </c>
      <c r="J30" s="389" t="s">
        <v>1094</v>
      </c>
      <c r="L30" s="233">
        <v>1</v>
      </c>
      <c r="N30" s="292" t="str">
        <f t="shared" si="1"/>
        <v>4.2. 주민간담회/시민계획단</v>
      </c>
      <c r="O30" s="37"/>
      <c r="P30" s="39"/>
      <c r="Q30" s="37"/>
      <c r="R30" s="117"/>
      <c r="S30" s="37"/>
      <c r="T30" s="37"/>
      <c r="U30" s="226"/>
      <c r="V30" s="248"/>
      <c r="W30" s="153">
        <f t="array" aca="1" ref="W30" ca="1">SUM((ROUNDDOWN((D49:I49)*단가,0)))</f>
        <v>5425644</v>
      </c>
      <c r="X30" s="154"/>
      <c r="Y30" s="263" t="str">
        <f t="shared" si="2"/>
        <v>제 11 호표</v>
      </c>
      <c r="Z30" s="150"/>
    </row>
    <row r="31" spans="1:26" ht="18" customHeight="1">
      <c r="A31" s="355"/>
      <c r="B31" s="223" t="s">
        <v>2862</v>
      </c>
      <c r="C31" s="237"/>
      <c r="D31" s="20">
        <v>2</v>
      </c>
      <c r="E31" s="21">
        <v>2</v>
      </c>
      <c r="F31" s="21">
        <v>2</v>
      </c>
      <c r="G31" s="21">
        <v>4</v>
      </c>
      <c r="H31" s="21">
        <v>4</v>
      </c>
      <c r="I31" s="22">
        <v>4</v>
      </c>
      <c r="J31" s="389" t="s">
        <v>1094</v>
      </c>
      <c r="L31" s="233">
        <v>1</v>
      </c>
      <c r="N31" s="292" t="str">
        <f t="shared" si="1"/>
        <v>4.3. 위원회심의 지원</v>
      </c>
      <c r="O31" s="37"/>
      <c r="P31" s="39"/>
      <c r="Q31" s="37"/>
      <c r="R31" s="117"/>
      <c r="S31" s="37"/>
      <c r="T31" s="37"/>
      <c r="U31" s="226"/>
      <c r="V31" s="248"/>
      <c r="W31" s="153">
        <f t="array" aca="1" ref="W31" ca="1">SUM((ROUNDDOWN((D50:I50)*단가,0)))</f>
        <v>5425644</v>
      </c>
      <c r="X31" s="154"/>
      <c r="Y31" s="263" t="str">
        <f t="shared" si="2"/>
        <v>제 12 호표</v>
      </c>
      <c r="Z31" s="150"/>
    </row>
    <row r="32" spans="1:26" ht="18" customHeight="1" thickBot="1">
      <c r="A32" s="326"/>
      <c r="B32" s="259" t="s">
        <v>2863</v>
      </c>
      <c r="C32" s="264"/>
      <c r="D32" s="40">
        <v>2</v>
      </c>
      <c r="E32" s="41">
        <v>2</v>
      </c>
      <c r="F32" s="41">
        <v>2</v>
      </c>
      <c r="G32" s="41">
        <v>4</v>
      </c>
      <c r="H32" s="41">
        <v>4</v>
      </c>
      <c r="I32" s="42">
        <v>4</v>
      </c>
      <c r="J32" s="612" t="s">
        <v>1094</v>
      </c>
      <c r="L32" s="233">
        <v>1</v>
      </c>
      <c r="N32" s="292" t="str">
        <f t="shared" si="1"/>
        <v>4.4. 관계기관 협의</v>
      </c>
      <c r="O32" s="37"/>
      <c r="P32" s="39"/>
      <c r="Q32" s="37"/>
      <c r="R32" s="117"/>
      <c r="S32" s="37"/>
      <c r="T32" s="37"/>
      <c r="U32" s="226"/>
      <c r="V32" s="248"/>
      <c r="W32" s="153">
        <f t="array" aca="1" ref="W32" ca="1">SUM((ROUNDDOWN((D51:I51)*단가,0)))</f>
        <v>5425644</v>
      </c>
      <c r="X32" s="196"/>
      <c r="Y32" s="263" t="str">
        <f t="shared" si="2"/>
        <v>제 13 호표</v>
      </c>
      <c r="Z32" s="150"/>
    </row>
    <row r="33" spans="1:26" ht="18" customHeight="1" thickBot="1">
      <c r="A33" s="326"/>
      <c r="B33" s="249" t="s">
        <v>30</v>
      </c>
      <c r="C33" s="250"/>
      <c r="D33" s="249" t="s">
        <v>82</v>
      </c>
      <c r="E33" s="251"/>
      <c r="F33" s="251"/>
      <c r="G33" s="251"/>
      <c r="H33" s="251"/>
      <c r="I33" s="250"/>
      <c r="J33" s="175" t="s">
        <v>31</v>
      </c>
      <c r="N33" s="376"/>
      <c r="O33" s="37"/>
      <c r="P33" s="39"/>
      <c r="Q33" s="37"/>
      <c r="R33" s="117"/>
      <c r="S33" s="37"/>
      <c r="T33" s="37"/>
      <c r="U33" s="180"/>
      <c r="V33" s="192"/>
      <c r="W33" s="153"/>
      <c r="X33" s="196"/>
      <c r="Y33" s="150"/>
      <c r="Z33" s="150"/>
    </row>
    <row r="34" spans="1:26" ht="18" customHeight="1">
      <c r="A34" s="326"/>
      <c r="B34" s="252" t="str">
        <f>B15</f>
        <v>1. 기존계획 변경</v>
      </c>
      <c r="C34" s="253"/>
      <c r="D34" s="453">
        <f t="shared" ref="D34:I34" si="5">SUBTOTAL(9,D35:D39)</f>
        <v>5.3999999999999995</v>
      </c>
      <c r="E34" s="454">
        <f t="shared" si="5"/>
        <v>7.6</v>
      </c>
      <c r="F34" s="454">
        <f t="shared" si="5"/>
        <v>31.6</v>
      </c>
      <c r="G34" s="454">
        <f t="shared" si="5"/>
        <v>34.68</v>
      </c>
      <c r="H34" s="454">
        <f t="shared" si="5"/>
        <v>78</v>
      </c>
      <c r="I34" s="455">
        <f t="shared" si="5"/>
        <v>91.300000000000011</v>
      </c>
      <c r="J34" s="73"/>
      <c r="N34" s="290" t="s">
        <v>92</v>
      </c>
      <c r="O34" s="129"/>
      <c r="P34" s="130"/>
      <c r="Q34" s="124"/>
      <c r="R34" s="131"/>
      <c r="S34" s="124"/>
      <c r="T34" s="124"/>
      <c r="U34" s="181"/>
      <c r="V34" s="181"/>
      <c r="W34" s="159">
        <f>SUBTOTAL(9,W35:W37)</f>
        <v>4500000</v>
      </c>
      <c r="X34" s="160"/>
      <c r="Y34" s="124"/>
      <c r="Z34" s="124"/>
    </row>
    <row r="35" spans="1:26" ht="18" customHeight="1">
      <c r="A35" s="326">
        <v>1</v>
      </c>
      <c r="B35" s="223" t="str">
        <f t="shared" ref="B35:B51" si="6">B16</f>
        <v>1.1. 기존계획검토</v>
      </c>
      <c r="C35" s="23"/>
      <c r="D35" s="20">
        <f t="array" ref="D35:I39">ROUNDDOWN(D16:I20*$L16:$L20*$D$5,3)</f>
        <v>0.9</v>
      </c>
      <c r="E35" s="21">
        <v>2.7</v>
      </c>
      <c r="F35" s="21">
        <v>5.0999999999999996</v>
      </c>
      <c r="G35" s="21">
        <v>7.3</v>
      </c>
      <c r="H35" s="21">
        <v>7.3</v>
      </c>
      <c r="I35" s="22">
        <v>10.9</v>
      </c>
      <c r="J35" s="74"/>
      <c r="N35" s="128" t="str">
        <f>"여비("&amp;TEXT(R35,"#인 ×")&amp;TEXT(S35,"#일 ×")&amp;TEXT(T35,"###,###원)")</f>
        <v>여비(3인 ×5일 ×100,000원)</v>
      </c>
      <c r="O35" s="78"/>
      <c r="P35" s="52"/>
      <c r="Q35" s="51"/>
      <c r="R35" s="146">
        <v>3</v>
      </c>
      <c r="S35" s="146">
        <v>5</v>
      </c>
      <c r="T35" s="147">
        <v>100000</v>
      </c>
      <c r="U35" s="182"/>
      <c r="V35" s="182"/>
      <c r="W35" s="161">
        <f>R35*S35*T35</f>
        <v>1500000</v>
      </c>
      <c r="X35" s="162"/>
      <c r="Y35" s="51"/>
      <c r="Z35" s="51"/>
    </row>
    <row r="36" spans="1:26" ht="18" customHeight="1">
      <c r="A36" s="326">
        <v>2</v>
      </c>
      <c r="B36" s="223" t="str">
        <f t="shared" si="6"/>
        <v>1.2. 주택계획</v>
      </c>
      <c r="C36" s="23"/>
      <c r="D36" s="20">
        <v>0.7</v>
      </c>
      <c r="E36" s="21">
        <v>1.1000000000000001</v>
      </c>
      <c r="F36" s="21">
        <v>5.3</v>
      </c>
      <c r="G36" s="21">
        <v>5.3</v>
      </c>
      <c r="H36" s="21">
        <v>8.8000000000000007</v>
      </c>
      <c r="I36" s="22">
        <v>13.2</v>
      </c>
      <c r="J36" s="74"/>
      <c r="N36" s="79" t="s">
        <v>46</v>
      </c>
      <c r="O36" s="79"/>
      <c r="P36" s="39"/>
      <c r="Q36" s="37"/>
      <c r="R36" s="117"/>
      <c r="S36" s="37"/>
      <c r="T36" s="37"/>
      <c r="U36" s="180"/>
      <c r="V36" s="180"/>
      <c r="W36" s="157">
        <v>2000000</v>
      </c>
      <c r="X36" s="158"/>
      <c r="Y36" s="37"/>
      <c r="Z36" s="37"/>
    </row>
    <row r="37" spans="1:26" ht="18" customHeight="1">
      <c r="A37" s="326">
        <v>3</v>
      </c>
      <c r="B37" s="223" t="str">
        <f t="shared" si="6"/>
        <v>1.3. 토지이용계획</v>
      </c>
      <c r="C37" s="23"/>
      <c r="D37" s="40">
        <v>1.5</v>
      </c>
      <c r="E37" s="21">
        <v>1.6</v>
      </c>
      <c r="F37" s="21">
        <v>9</v>
      </c>
      <c r="G37" s="21">
        <v>9.8800000000000008</v>
      </c>
      <c r="H37" s="21">
        <v>32.5</v>
      </c>
      <c r="I37" s="22">
        <v>32.5</v>
      </c>
      <c r="J37" s="74"/>
      <c r="N37" s="132" t="s">
        <v>94</v>
      </c>
      <c r="O37" s="132"/>
      <c r="P37" s="38"/>
      <c r="Q37" s="38"/>
      <c r="R37" s="116"/>
      <c r="S37" s="38"/>
      <c r="T37" s="38"/>
      <c r="U37" s="183"/>
      <c r="V37" s="183"/>
      <c r="W37" s="155">
        <v>1000000</v>
      </c>
      <c r="X37" s="156"/>
      <c r="Y37" s="38"/>
      <c r="Z37" s="38"/>
    </row>
    <row r="38" spans="1:26" ht="18" customHeight="1">
      <c r="A38" s="326">
        <v>3</v>
      </c>
      <c r="B38" s="223" t="str">
        <f t="shared" si="6"/>
        <v>1.4. 교통계획</v>
      </c>
      <c r="C38" s="23"/>
      <c r="D38" s="40">
        <v>1</v>
      </c>
      <c r="E38" s="21">
        <v>0.6</v>
      </c>
      <c r="F38" s="21">
        <v>4.8</v>
      </c>
      <c r="G38" s="21">
        <v>4.8</v>
      </c>
      <c r="H38" s="21">
        <v>14.5</v>
      </c>
      <c r="I38" s="22">
        <v>19.8</v>
      </c>
      <c r="J38" s="74"/>
      <c r="N38" s="127" t="s">
        <v>47</v>
      </c>
      <c r="O38" s="123"/>
      <c r="P38" s="123"/>
      <c r="Q38" s="123"/>
      <c r="R38" s="123"/>
      <c r="S38" s="123"/>
      <c r="T38" s="123"/>
      <c r="U38" s="184"/>
      <c r="V38" s="184"/>
      <c r="W38" s="163">
        <f ca="1">SUBTOTAL(9,W39:W40)</f>
        <v>256368213</v>
      </c>
      <c r="X38" s="164"/>
      <c r="Y38" s="123"/>
      <c r="Z38" s="123"/>
    </row>
    <row r="39" spans="1:26" ht="18" customHeight="1">
      <c r="A39" s="326">
        <v>4</v>
      </c>
      <c r="B39" s="259" t="str">
        <f t="shared" si="6"/>
        <v>1.5. 공급처리시설계획</v>
      </c>
      <c r="C39" s="43"/>
      <c r="D39" s="24">
        <v>1.3</v>
      </c>
      <c r="E39" s="25">
        <v>1.6</v>
      </c>
      <c r="F39" s="25">
        <v>7.4</v>
      </c>
      <c r="G39" s="25">
        <v>7.4</v>
      </c>
      <c r="H39" s="25">
        <v>14.9</v>
      </c>
      <c r="I39" s="26">
        <v>14.9</v>
      </c>
      <c r="J39" s="74"/>
      <c r="M39" s="171" t="s">
        <v>68</v>
      </c>
      <c r="N39" s="133" t="s">
        <v>861</v>
      </c>
      <c r="O39" s="124"/>
      <c r="P39" s="134"/>
      <c r="Q39" s="124"/>
      <c r="R39" s="131"/>
      <c r="S39" s="124"/>
      <c r="T39" s="181"/>
      <c r="U39" s="181"/>
      <c r="V39" s="190">
        <v>1.1499999999999999</v>
      </c>
      <c r="W39" s="159">
        <f ca="1">ROUNDDOWN(W14*V39,0)</f>
        <v>164247045</v>
      </c>
      <c r="X39" s="160"/>
      <c r="Y39" s="124"/>
      <c r="Z39" s="124"/>
    </row>
    <row r="40" spans="1:26" ht="18" customHeight="1" thickBot="1">
      <c r="A40" s="326"/>
      <c r="B40" s="222" t="str">
        <f t="shared" si="6"/>
        <v>2. 지구단위 계획변경</v>
      </c>
      <c r="C40" s="47"/>
      <c r="D40" s="33">
        <f t="shared" ref="D40:I40" si="7">SUBTOTAL(9,D41:D43)</f>
        <v>5.9</v>
      </c>
      <c r="E40" s="34">
        <f t="shared" si="7"/>
        <v>6.8999999999999995</v>
      </c>
      <c r="F40" s="34">
        <f t="shared" si="7"/>
        <v>16</v>
      </c>
      <c r="G40" s="34">
        <f t="shared" si="7"/>
        <v>17.2</v>
      </c>
      <c r="H40" s="34">
        <f t="shared" si="7"/>
        <v>46.4</v>
      </c>
      <c r="I40" s="35">
        <f t="shared" si="7"/>
        <v>52</v>
      </c>
      <c r="J40" s="74"/>
      <c r="M40" s="171" t="s">
        <v>68</v>
      </c>
      <c r="N40" s="135" t="s">
        <v>862</v>
      </c>
      <c r="O40" s="136"/>
      <c r="P40" s="137"/>
      <c r="Q40" s="136"/>
      <c r="R40" s="138"/>
      <c r="S40" s="136"/>
      <c r="T40" s="185"/>
      <c r="U40" s="185"/>
      <c r="V40" s="191">
        <v>0.3</v>
      </c>
      <c r="W40" s="165">
        <f ca="1">ROUNDDOWN((W14+W39)*V40,0)</f>
        <v>92121168</v>
      </c>
      <c r="X40" s="166"/>
      <c r="Y40" s="136"/>
      <c r="Z40" s="136"/>
    </row>
    <row r="41" spans="1:26" ht="18" customHeight="1">
      <c r="A41" s="326">
        <v>5</v>
      </c>
      <c r="B41" s="223" t="str">
        <f t="shared" si="6"/>
        <v>2.1. 용도지역·지구</v>
      </c>
      <c r="C41" s="23"/>
      <c r="D41" s="20">
        <f t="array" ref="D41:I43">ROUNDDOWN(D22:I24*$L22:$L24*$D$5,3)</f>
        <v>0.9</v>
      </c>
      <c r="E41" s="21">
        <v>1.3</v>
      </c>
      <c r="F41" s="21">
        <v>3.5</v>
      </c>
      <c r="G41" s="21">
        <v>1.8</v>
      </c>
      <c r="H41" s="21">
        <v>11.1</v>
      </c>
      <c r="I41" s="22">
        <v>12.6</v>
      </c>
      <c r="J41" s="74"/>
      <c r="M41" s="171" t="s">
        <v>68</v>
      </c>
    </row>
    <row r="42" spans="1:26" ht="18" customHeight="1">
      <c r="A42" s="326">
        <v>6</v>
      </c>
      <c r="B42" s="223" t="str">
        <f t="shared" si="6"/>
        <v>2.2. 가구 및 획지</v>
      </c>
      <c r="C42" s="23"/>
      <c r="D42" s="20">
        <v>1.7</v>
      </c>
      <c r="E42" s="21">
        <v>1</v>
      </c>
      <c r="F42" s="21">
        <v>2.5</v>
      </c>
      <c r="G42" s="21">
        <v>2.5</v>
      </c>
      <c r="H42" s="21">
        <v>8.6999999999999993</v>
      </c>
      <c r="I42" s="22">
        <v>9.9</v>
      </c>
      <c r="J42" s="74"/>
      <c r="M42" s="171" t="s">
        <v>68</v>
      </c>
    </row>
    <row r="43" spans="1:26" ht="18" customHeight="1">
      <c r="A43" s="326">
        <v>7</v>
      </c>
      <c r="B43" s="223" t="str">
        <f t="shared" si="6"/>
        <v>2.3. 건축물</v>
      </c>
      <c r="C43" s="23"/>
      <c r="D43" s="20">
        <v>3.3</v>
      </c>
      <c r="E43" s="21">
        <v>4.5999999999999996</v>
      </c>
      <c r="F43" s="21">
        <v>10</v>
      </c>
      <c r="G43" s="21">
        <v>12.9</v>
      </c>
      <c r="H43" s="21">
        <v>26.6</v>
      </c>
      <c r="I43" s="22">
        <v>29.5</v>
      </c>
      <c r="J43" s="74"/>
      <c r="M43" s="171" t="s">
        <v>68</v>
      </c>
    </row>
    <row r="44" spans="1:26" ht="18" customHeight="1">
      <c r="A44" s="326"/>
      <c r="B44" s="11" t="str">
        <f t="shared" si="6"/>
        <v>3. 성과품작성</v>
      </c>
      <c r="C44" s="12"/>
      <c r="D44" s="33">
        <f t="shared" ref="D44:I44" si="8">ROUNDDOWN(D25*$D$5*$L25,3)</f>
        <v>0</v>
      </c>
      <c r="E44" s="34">
        <f t="shared" si="8"/>
        <v>0</v>
      </c>
      <c r="F44" s="34">
        <f t="shared" si="8"/>
        <v>0</v>
      </c>
      <c r="G44" s="34">
        <f t="shared" si="8"/>
        <v>0</v>
      </c>
      <c r="H44" s="34">
        <f t="shared" si="8"/>
        <v>0</v>
      </c>
      <c r="I44" s="35">
        <f t="shared" si="8"/>
        <v>0</v>
      </c>
      <c r="J44" s="74"/>
      <c r="M44" s="171" t="s">
        <v>68</v>
      </c>
    </row>
    <row r="45" spans="1:26" ht="18" customHeight="1">
      <c r="A45" s="326">
        <v>8</v>
      </c>
      <c r="B45" s="223" t="str">
        <f t="shared" si="6"/>
        <v>3.1. 인·허가 승인도서 작성</v>
      </c>
      <c r="C45" s="23"/>
      <c r="D45" s="20">
        <f t="array" ref="D45:I46">ROUNDDOWN(D26:I27*$L26:$L27*$D$5,3)</f>
        <v>1.2</v>
      </c>
      <c r="E45" s="21">
        <v>0.8</v>
      </c>
      <c r="F45" s="21">
        <v>2.7</v>
      </c>
      <c r="G45" s="21">
        <v>2.7</v>
      </c>
      <c r="H45" s="21">
        <v>8.8000000000000007</v>
      </c>
      <c r="I45" s="22">
        <v>10.3</v>
      </c>
      <c r="J45" s="74"/>
      <c r="M45" s="171" t="s">
        <v>68</v>
      </c>
    </row>
    <row r="46" spans="1:26" ht="18" customHeight="1">
      <c r="A46" s="326">
        <v>9</v>
      </c>
      <c r="B46" s="259" t="str">
        <f t="shared" si="6"/>
        <v>3.2. 관련도서 작성</v>
      </c>
      <c r="C46" s="43"/>
      <c r="D46" s="40">
        <v>0.3</v>
      </c>
      <c r="E46" s="41">
        <v>1.1000000000000001</v>
      </c>
      <c r="F46" s="41">
        <v>2.6</v>
      </c>
      <c r="G46" s="41">
        <v>2.9</v>
      </c>
      <c r="H46" s="41">
        <v>10</v>
      </c>
      <c r="I46" s="42">
        <v>13.9</v>
      </c>
      <c r="J46" s="74"/>
      <c r="M46" s="171" t="s">
        <v>68</v>
      </c>
    </row>
    <row r="47" spans="1:26" ht="18" customHeight="1">
      <c r="A47" s="355"/>
      <c r="B47" s="222" t="str">
        <f t="shared" si="6"/>
        <v>4. 기술협의</v>
      </c>
      <c r="C47" s="222"/>
      <c r="D47" s="48">
        <f t="shared" ref="D47:I47" si="9">SUBTOTAL(9,D48:D51)</f>
        <v>8</v>
      </c>
      <c r="E47" s="49">
        <f t="shared" si="9"/>
        <v>8</v>
      </c>
      <c r="F47" s="49">
        <f t="shared" si="9"/>
        <v>8</v>
      </c>
      <c r="G47" s="49">
        <f t="shared" si="9"/>
        <v>16</v>
      </c>
      <c r="H47" s="49">
        <f t="shared" si="9"/>
        <v>16</v>
      </c>
      <c r="I47" s="50">
        <f t="shared" si="9"/>
        <v>16</v>
      </c>
      <c r="J47" s="74"/>
      <c r="L47" s="456"/>
      <c r="M47" s="171" t="s">
        <v>68</v>
      </c>
    </row>
    <row r="48" spans="1:26" ht="18" customHeight="1">
      <c r="A48" s="326">
        <v>10</v>
      </c>
      <c r="B48" s="223" t="str">
        <f t="shared" si="6"/>
        <v>4.1. 공청회/주민설명회</v>
      </c>
      <c r="C48" s="237"/>
      <c r="D48" s="20">
        <f t="array" ref="D48:I51">ROUNDDOWN(D29:I32*$L29:$L32*I5,3)</f>
        <v>2</v>
      </c>
      <c r="E48" s="21">
        <v>2</v>
      </c>
      <c r="F48" s="21">
        <v>2</v>
      </c>
      <c r="G48" s="21">
        <v>4</v>
      </c>
      <c r="H48" s="21">
        <v>4</v>
      </c>
      <c r="I48" s="22">
        <v>4</v>
      </c>
      <c r="J48" s="74"/>
      <c r="L48" s="456"/>
      <c r="M48" s="171" t="s">
        <v>68</v>
      </c>
    </row>
    <row r="49" spans="1:26" ht="18" customHeight="1">
      <c r="A49" s="326">
        <v>11</v>
      </c>
      <c r="B49" s="223" t="str">
        <f t="shared" si="6"/>
        <v>4.2. 주민간담회/시민계획단</v>
      </c>
      <c r="C49" s="237"/>
      <c r="D49" s="20">
        <v>2</v>
      </c>
      <c r="E49" s="21">
        <v>2</v>
      </c>
      <c r="F49" s="21">
        <v>2</v>
      </c>
      <c r="G49" s="21">
        <v>4</v>
      </c>
      <c r="H49" s="21">
        <v>4</v>
      </c>
      <c r="I49" s="22">
        <v>4</v>
      </c>
      <c r="J49" s="74"/>
      <c r="L49" s="456"/>
      <c r="M49" s="171" t="s">
        <v>68</v>
      </c>
    </row>
    <row r="50" spans="1:26" ht="18" customHeight="1" thickBot="1">
      <c r="A50" s="326">
        <v>12</v>
      </c>
      <c r="B50" s="223" t="str">
        <f t="shared" si="6"/>
        <v>4.3. 위원회심의 지원</v>
      </c>
      <c r="C50" s="237"/>
      <c r="D50" s="20">
        <v>2</v>
      </c>
      <c r="E50" s="21">
        <v>2</v>
      </c>
      <c r="F50" s="21">
        <v>2</v>
      </c>
      <c r="G50" s="21">
        <v>4</v>
      </c>
      <c r="H50" s="21">
        <v>4</v>
      </c>
      <c r="I50" s="22">
        <v>4</v>
      </c>
      <c r="J50" s="74"/>
      <c r="L50" s="456"/>
      <c r="M50" s="171" t="s">
        <v>68</v>
      </c>
      <c r="N50" s="66" t="s">
        <v>18</v>
      </c>
      <c r="O50" s="2"/>
      <c r="P50" s="2"/>
      <c r="Q50" s="2"/>
      <c r="R50" s="3"/>
      <c r="S50" s="4"/>
      <c r="T50" s="3"/>
      <c r="U50" s="4"/>
      <c r="V50" s="3"/>
      <c r="W50" s="4"/>
      <c r="X50" s="3"/>
      <c r="Y50" s="4"/>
      <c r="Z50" s="2"/>
    </row>
    <row r="51" spans="1:26" ht="18" customHeight="1" thickBot="1">
      <c r="A51" s="326">
        <v>13</v>
      </c>
      <c r="B51" s="388" t="str">
        <f t="shared" si="6"/>
        <v>4.4. 관계기관 협의</v>
      </c>
      <c r="C51" s="401"/>
      <c r="D51" s="397">
        <v>2</v>
      </c>
      <c r="E51" s="398">
        <v>2</v>
      </c>
      <c r="F51" s="398">
        <v>2</v>
      </c>
      <c r="G51" s="398">
        <v>4</v>
      </c>
      <c r="H51" s="398">
        <v>4</v>
      </c>
      <c r="I51" s="399">
        <v>4</v>
      </c>
      <c r="J51" s="176"/>
      <c r="L51" s="456"/>
      <c r="M51" s="171"/>
      <c r="N51" s="765" t="s">
        <v>19</v>
      </c>
      <c r="O51" s="755" t="s">
        <v>20</v>
      </c>
      <c r="P51" s="755" t="s">
        <v>21</v>
      </c>
      <c r="Q51" s="755" t="s">
        <v>56</v>
      </c>
      <c r="R51" s="5" t="s">
        <v>22</v>
      </c>
      <c r="S51" s="5"/>
      <c r="T51" s="5" t="s">
        <v>23</v>
      </c>
      <c r="U51" s="5"/>
      <c r="V51" s="5" t="s">
        <v>24</v>
      </c>
      <c r="W51" s="5"/>
      <c r="X51" s="5" t="s">
        <v>25</v>
      </c>
      <c r="Y51" s="5"/>
      <c r="Z51" s="755" t="s">
        <v>26</v>
      </c>
    </row>
    <row r="52" spans="1:26" ht="18" customHeight="1" thickBot="1">
      <c r="A52" s="326"/>
      <c r="B52" s="85" t="s">
        <v>15</v>
      </c>
      <c r="C52" s="1" t="s">
        <v>2866</v>
      </c>
      <c r="M52" s="171"/>
      <c r="N52" s="766"/>
      <c r="O52" s="756"/>
      <c r="P52" s="756"/>
      <c r="Q52" s="756"/>
      <c r="R52" s="67" t="s">
        <v>27</v>
      </c>
      <c r="S52" s="67" t="s">
        <v>28</v>
      </c>
      <c r="T52" s="67" t="s">
        <v>27</v>
      </c>
      <c r="U52" s="67" t="s">
        <v>28</v>
      </c>
      <c r="V52" s="67" t="s">
        <v>27</v>
      </c>
      <c r="W52" s="67" t="s">
        <v>28</v>
      </c>
      <c r="X52" s="67" t="s">
        <v>27</v>
      </c>
      <c r="Y52" s="67" t="s">
        <v>28</v>
      </c>
      <c r="Z52" s="756"/>
    </row>
    <row r="53" spans="1:26" ht="18" customHeight="1" thickTop="1">
      <c r="A53" s="326"/>
      <c r="B53" s="8"/>
      <c r="C53" s="9" t="s">
        <v>2867</v>
      </c>
      <c r="M53" s="171"/>
      <c r="N53" s="318" t="str">
        <f ca="1">"제 " &amp; Z53 &amp; " 호표  "&amp; OFFSET($A$1,MATCH(Z53,$A:$A,0)-1,1)</f>
        <v>제 1 호표  1.1. 기존계획검토</v>
      </c>
      <c r="O53" s="221"/>
      <c r="P53" s="148"/>
      <c r="Q53" s="148"/>
      <c r="R53" s="149"/>
      <c r="S53" s="149"/>
      <c r="T53" s="149"/>
      <c r="U53" s="149"/>
      <c r="V53" s="149"/>
      <c r="W53" s="149"/>
      <c r="X53" s="149"/>
      <c r="Y53" s="149"/>
      <c r="Z53" s="325">
        <v>1</v>
      </c>
    </row>
    <row r="54" spans="1:26" ht="18" customHeight="1">
      <c r="A54" s="326"/>
      <c r="C54" s="1" t="s">
        <v>2868</v>
      </c>
      <c r="M54" s="171"/>
      <c r="N54" s="140" t="s">
        <v>43</v>
      </c>
      <c r="O54" s="172">
        <v>3</v>
      </c>
      <c r="P54" s="219">
        <f ca="1">OFFSET($A$1,MATCH(Z53,$A:$A,0)-1,O54)</f>
        <v>0.9</v>
      </c>
      <c r="Q54" s="141" t="s">
        <v>29</v>
      </c>
      <c r="R54" s="142">
        <f t="shared" ref="R54:S59" ca="1" si="10">T54</f>
        <v>467217</v>
      </c>
      <c r="S54" s="142">
        <f t="shared" ca="1" si="10"/>
        <v>420495</v>
      </c>
      <c r="T54" s="142">
        <f ca="1">기술사</f>
        <v>467217</v>
      </c>
      <c r="U54" s="142">
        <f t="shared" ref="U54:U59" ca="1" si="11">ROUNDDOWN(P54*R54,0)</f>
        <v>420495</v>
      </c>
      <c r="V54" s="142"/>
      <c r="W54" s="142"/>
      <c r="X54" s="142"/>
      <c r="Y54" s="142"/>
      <c r="Z54" s="114"/>
    </row>
    <row r="55" spans="1:26" ht="18" customHeight="1">
      <c r="A55" s="326"/>
      <c r="C55" s="1" t="s">
        <v>2869</v>
      </c>
      <c r="M55" s="171"/>
      <c r="N55" s="143" t="s">
        <v>32</v>
      </c>
      <c r="O55" s="173">
        <v>4</v>
      </c>
      <c r="P55" s="234">
        <f ca="1">OFFSET($A$1,MATCH(Z53,$A:$A,0)-1,O55)</f>
        <v>2.7</v>
      </c>
      <c r="Q55" s="144" t="s">
        <v>29</v>
      </c>
      <c r="R55" s="118">
        <f t="shared" ca="1" si="10"/>
        <v>373353</v>
      </c>
      <c r="S55" s="118">
        <f t="shared" ca="1" si="10"/>
        <v>1008053</v>
      </c>
      <c r="T55" s="118">
        <f ca="1">특급</f>
        <v>373353</v>
      </c>
      <c r="U55" s="118">
        <f t="shared" ca="1" si="11"/>
        <v>1008053</v>
      </c>
      <c r="V55" s="118"/>
      <c r="W55" s="118"/>
      <c r="X55" s="118"/>
      <c r="Y55" s="118"/>
      <c r="Z55" s="115"/>
    </row>
    <row r="56" spans="1:26" ht="18" customHeight="1">
      <c r="A56" s="326"/>
      <c r="M56" s="171"/>
      <c r="N56" s="145" t="s">
        <v>39</v>
      </c>
      <c r="O56" s="173">
        <v>5</v>
      </c>
      <c r="P56" s="234">
        <f ca="1">OFFSET($A$1,MATCH(Z53,$A:$A,0)-1,O56)</f>
        <v>5.0999999999999996</v>
      </c>
      <c r="Q56" s="144" t="s">
        <v>29</v>
      </c>
      <c r="R56" s="118">
        <f t="shared" ca="1" si="10"/>
        <v>310884</v>
      </c>
      <c r="S56" s="118">
        <f t="shared" ca="1" si="10"/>
        <v>1585508</v>
      </c>
      <c r="T56" s="118">
        <f ca="1">고급</f>
        <v>310884</v>
      </c>
      <c r="U56" s="118">
        <f t="shared" ca="1" si="11"/>
        <v>1585508</v>
      </c>
      <c r="V56" s="118"/>
      <c r="W56" s="118"/>
      <c r="X56" s="118"/>
      <c r="Y56" s="118"/>
      <c r="Z56" s="115"/>
    </row>
    <row r="57" spans="1:26" ht="18" customHeight="1">
      <c r="A57" s="326"/>
      <c r="M57" s="171"/>
      <c r="N57" s="145" t="s">
        <v>40</v>
      </c>
      <c r="O57" s="173">
        <v>6</v>
      </c>
      <c r="P57" s="234">
        <f ca="1">OFFSET($A$1,MATCH(Z53,$A:$A,0)-1,O57)</f>
        <v>7.3</v>
      </c>
      <c r="Q57" s="144" t="s">
        <v>29</v>
      </c>
      <c r="R57" s="118">
        <f t="shared" ca="1" si="10"/>
        <v>295138</v>
      </c>
      <c r="S57" s="118">
        <f t="shared" ca="1" si="10"/>
        <v>2154507</v>
      </c>
      <c r="T57" s="118">
        <f ca="1">중급</f>
        <v>295138</v>
      </c>
      <c r="U57" s="118">
        <f t="shared" ca="1" si="11"/>
        <v>2154507</v>
      </c>
      <c r="V57" s="118"/>
      <c r="W57" s="118"/>
      <c r="X57" s="118"/>
      <c r="Y57" s="118"/>
      <c r="Z57" s="115"/>
    </row>
    <row r="58" spans="1:26" ht="18" customHeight="1">
      <c r="K58" s="171" t="s">
        <v>93</v>
      </c>
      <c r="L58" s="171"/>
      <c r="M58" s="171"/>
      <c r="N58" s="145" t="s">
        <v>41</v>
      </c>
      <c r="O58" s="173">
        <v>7</v>
      </c>
      <c r="P58" s="234">
        <f ca="1">OFFSET($A$1,MATCH(Z53,$A:$A,0)-1,O58)</f>
        <v>7.3</v>
      </c>
      <c r="Q58" s="144" t="s">
        <v>29</v>
      </c>
      <c r="R58" s="118">
        <f t="shared" ca="1" si="10"/>
        <v>235459</v>
      </c>
      <c r="S58" s="118">
        <f t="shared" ca="1" si="10"/>
        <v>1718850</v>
      </c>
      <c r="T58" s="118">
        <f ca="1">초급</f>
        <v>235459</v>
      </c>
      <c r="U58" s="118">
        <f t="shared" ca="1" si="11"/>
        <v>1718850</v>
      </c>
      <c r="V58" s="118"/>
      <c r="W58" s="118"/>
      <c r="X58" s="118"/>
      <c r="Y58" s="118"/>
      <c r="Z58" s="115"/>
    </row>
    <row r="59" spans="1:26" ht="18" customHeight="1">
      <c r="K59" s="171" t="s">
        <v>93</v>
      </c>
      <c r="L59" s="171"/>
      <c r="M59" s="171"/>
      <c r="N59" s="319" t="s">
        <v>42</v>
      </c>
      <c r="O59" s="174">
        <v>8</v>
      </c>
      <c r="P59" s="235">
        <f ca="1">OFFSET($A$1,MATCH(Z53,$A:$A,0)-1,O59)</f>
        <v>10.9</v>
      </c>
      <c r="Q59" s="322" t="s">
        <v>29</v>
      </c>
      <c r="R59" s="323">
        <f t="shared" ca="1" si="10"/>
        <v>250087</v>
      </c>
      <c r="S59" s="323">
        <f t="shared" ca="1" si="10"/>
        <v>2725948</v>
      </c>
      <c r="T59" s="323">
        <f ca="1">보조원</f>
        <v>250087</v>
      </c>
      <c r="U59" s="323">
        <f t="shared" ca="1" si="11"/>
        <v>2725948</v>
      </c>
      <c r="V59" s="323"/>
      <c r="W59" s="323"/>
      <c r="X59" s="323"/>
      <c r="Y59" s="323"/>
      <c r="Z59" s="324"/>
    </row>
    <row r="60" spans="1:26" ht="18" customHeight="1">
      <c r="K60" s="171" t="s">
        <v>93</v>
      </c>
      <c r="L60" s="171"/>
      <c r="M60" s="171"/>
      <c r="N60" s="139" t="s">
        <v>115</v>
      </c>
      <c r="O60" s="68"/>
      <c r="P60" s="69"/>
      <c r="Q60" s="70"/>
      <c r="R60" s="71"/>
      <c r="S60" s="71">
        <f ca="1">SUBTOTAL(9,S54:S59)</f>
        <v>9613361</v>
      </c>
      <c r="T60" s="71"/>
      <c r="U60" s="71">
        <f ca="1">SUBTOTAL(9,U54:U59)</f>
        <v>9613361</v>
      </c>
      <c r="V60" s="71"/>
      <c r="W60" s="71"/>
      <c r="X60" s="71"/>
      <c r="Y60" s="71"/>
      <c r="Z60" s="68"/>
    </row>
    <row r="61" spans="1:26" ht="18" customHeight="1">
      <c r="K61" s="171" t="s">
        <v>93</v>
      </c>
      <c r="L61" s="171"/>
      <c r="N61" s="318" t="str">
        <f ca="1">"제 " &amp; Z61 &amp; " 호표  "&amp; OFFSET($A$1,MATCH(Z61,$A:$A,0)-1,1)</f>
        <v>제 2 호표  1.2. 주택계획</v>
      </c>
      <c r="O61" s="221"/>
      <c r="P61" s="148"/>
      <c r="Q61" s="148"/>
      <c r="R61" s="149"/>
      <c r="S61" s="149"/>
      <c r="T61" s="149"/>
      <c r="U61" s="149"/>
      <c r="V61" s="149"/>
      <c r="W61" s="149"/>
      <c r="X61" s="149"/>
      <c r="Y61" s="149"/>
      <c r="Z61" s="325">
        <f>Z53+1</f>
        <v>2</v>
      </c>
    </row>
    <row r="62" spans="1:26" ht="18" customHeight="1">
      <c r="K62" s="171" t="s">
        <v>93</v>
      </c>
      <c r="L62" s="171"/>
      <c r="N62" s="140" t="s">
        <v>43</v>
      </c>
      <c r="O62" s="172">
        <v>3</v>
      </c>
      <c r="P62" s="219">
        <f ca="1">OFFSET($A$1,MATCH(Z61,$A:$A,0)-1,O62)</f>
        <v>0.7</v>
      </c>
      <c r="Q62" s="141" t="s">
        <v>29</v>
      </c>
      <c r="R62" s="142">
        <f t="shared" ref="R62:S67" ca="1" si="12">T62</f>
        <v>467217</v>
      </c>
      <c r="S62" s="142">
        <f t="shared" ca="1" si="12"/>
        <v>327051</v>
      </c>
      <c r="T62" s="142">
        <f ca="1">기술사</f>
        <v>467217</v>
      </c>
      <c r="U62" s="142">
        <f t="shared" ref="U62:U67" ca="1" si="13">ROUNDDOWN(P62*R62,0)</f>
        <v>327051</v>
      </c>
      <c r="V62" s="142"/>
      <c r="W62" s="142"/>
      <c r="X62" s="142"/>
      <c r="Y62" s="142"/>
      <c r="Z62" s="114"/>
    </row>
    <row r="63" spans="1:26" ht="18" customHeight="1">
      <c r="K63" s="171" t="s">
        <v>93</v>
      </c>
      <c r="L63" s="171"/>
      <c r="N63" s="143" t="s">
        <v>32</v>
      </c>
      <c r="O63" s="173">
        <v>4</v>
      </c>
      <c r="P63" s="234">
        <f ca="1">OFFSET($A$1,MATCH(Z61,$A:$A,0)-1,O63)</f>
        <v>1.1000000000000001</v>
      </c>
      <c r="Q63" s="144" t="s">
        <v>29</v>
      </c>
      <c r="R63" s="118">
        <f t="shared" ca="1" si="12"/>
        <v>373353</v>
      </c>
      <c r="S63" s="118">
        <f t="shared" ca="1" si="12"/>
        <v>410688</v>
      </c>
      <c r="T63" s="118">
        <f ca="1">특급</f>
        <v>373353</v>
      </c>
      <c r="U63" s="118">
        <f t="shared" ca="1" si="13"/>
        <v>410688</v>
      </c>
      <c r="V63" s="118"/>
      <c r="W63" s="118"/>
      <c r="X63" s="118"/>
      <c r="Y63" s="118"/>
      <c r="Z63" s="115"/>
    </row>
    <row r="64" spans="1:26" ht="18" customHeight="1">
      <c r="K64" s="171" t="s">
        <v>93</v>
      </c>
      <c r="L64" s="171"/>
      <c r="N64" s="145" t="s">
        <v>39</v>
      </c>
      <c r="O64" s="173">
        <v>5</v>
      </c>
      <c r="P64" s="234">
        <f ca="1">OFFSET($A$1,MATCH(Z61,$A:$A,0)-1,O64)</f>
        <v>5.3</v>
      </c>
      <c r="Q64" s="144" t="s">
        <v>29</v>
      </c>
      <c r="R64" s="118">
        <f t="shared" ca="1" si="12"/>
        <v>310884</v>
      </c>
      <c r="S64" s="118">
        <f t="shared" ca="1" si="12"/>
        <v>1647685</v>
      </c>
      <c r="T64" s="118">
        <f ca="1">고급</f>
        <v>310884</v>
      </c>
      <c r="U64" s="118">
        <f t="shared" ca="1" si="13"/>
        <v>1647685</v>
      </c>
      <c r="V64" s="118"/>
      <c r="W64" s="118"/>
      <c r="X64" s="118"/>
      <c r="Y64" s="118"/>
      <c r="Z64" s="115"/>
    </row>
    <row r="65" spans="11:26" ht="18" customHeight="1">
      <c r="K65" s="171" t="s">
        <v>93</v>
      </c>
      <c r="L65" s="171"/>
      <c r="N65" s="145" t="s">
        <v>40</v>
      </c>
      <c r="O65" s="173">
        <v>6</v>
      </c>
      <c r="P65" s="234">
        <f ca="1">OFFSET($A$1,MATCH(Z61,$A:$A,0)-1,O65)</f>
        <v>5.3</v>
      </c>
      <c r="Q65" s="144" t="s">
        <v>29</v>
      </c>
      <c r="R65" s="118">
        <f t="shared" ca="1" si="12"/>
        <v>295138</v>
      </c>
      <c r="S65" s="118">
        <f t="shared" ca="1" si="12"/>
        <v>1564231</v>
      </c>
      <c r="T65" s="118">
        <f ca="1">중급</f>
        <v>295138</v>
      </c>
      <c r="U65" s="118">
        <f t="shared" ca="1" si="13"/>
        <v>1564231</v>
      </c>
      <c r="V65" s="118"/>
      <c r="W65" s="118"/>
      <c r="X65" s="118"/>
      <c r="Y65" s="118"/>
      <c r="Z65" s="115"/>
    </row>
    <row r="66" spans="11:26" ht="18" customHeight="1">
      <c r="K66" s="171" t="s">
        <v>93</v>
      </c>
      <c r="L66" s="171"/>
      <c r="N66" s="145" t="s">
        <v>41</v>
      </c>
      <c r="O66" s="173">
        <v>7</v>
      </c>
      <c r="P66" s="234">
        <f ca="1">OFFSET($A$1,MATCH(Z61,$A:$A,0)-1,O66)</f>
        <v>8.8000000000000007</v>
      </c>
      <c r="Q66" s="144" t="s">
        <v>29</v>
      </c>
      <c r="R66" s="118">
        <f t="shared" ca="1" si="12"/>
        <v>235459</v>
      </c>
      <c r="S66" s="118">
        <f t="shared" ca="1" si="12"/>
        <v>2072039</v>
      </c>
      <c r="T66" s="118">
        <f ca="1">초급</f>
        <v>235459</v>
      </c>
      <c r="U66" s="118">
        <f t="shared" ca="1" si="13"/>
        <v>2072039</v>
      </c>
      <c r="V66" s="118"/>
      <c r="W66" s="118"/>
      <c r="X66" s="118"/>
      <c r="Y66" s="118"/>
      <c r="Z66" s="115"/>
    </row>
    <row r="67" spans="11:26" ht="18" customHeight="1">
      <c r="K67" s="171" t="s">
        <v>93</v>
      </c>
      <c r="L67" s="171"/>
      <c r="N67" s="319" t="s">
        <v>42</v>
      </c>
      <c r="O67" s="174">
        <v>8</v>
      </c>
      <c r="P67" s="235">
        <f ca="1">OFFSET($A$1,MATCH(Z61,$A:$A,0)-1,O67)</f>
        <v>13.2</v>
      </c>
      <c r="Q67" s="322" t="s">
        <v>29</v>
      </c>
      <c r="R67" s="323">
        <f t="shared" ca="1" si="12"/>
        <v>250087</v>
      </c>
      <c r="S67" s="323">
        <f t="shared" ca="1" si="12"/>
        <v>3301148</v>
      </c>
      <c r="T67" s="323">
        <f ca="1">보조원</f>
        <v>250087</v>
      </c>
      <c r="U67" s="323">
        <f t="shared" ca="1" si="13"/>
        <v>3301148</v>
      </c>
      <c r="V67" s="323"/>
      <c r="W67" s="323"/>
      <c r="X67" s="323"/>
      <c r="Y67" s="323"/>
      <c r="Z67" s="324"/>
    </row>
    <row r="68" spans="11:26" ht="18" customHeight="1">
      <c r="K68" s="171" t="s">
        <v>93</v>
      </c>
      <c r="L68" s="171"/>
      <c r="N68" s="139" t="s">
        <v>115</v>
      </c>
      <c r="O68" s="68"/>
      <c r="P68" s="69"/>
      <c r="Q68" s="70"/>
      <c r="R68" s="71"/>
      <c r="S68" s="71">
        <f ca="1">SUBTOTAL(9,S62:S67)</f>
        <v>9322842</v>
      </c>
      <c r="T68" s="71"/>
      <c r="U68" s="71">
        <f ca="1">SUBTOTAL(9,U62:U67)</f>
        <v>9322842</v>
      </c>
      <c r="V68" s="71"/>
      <c r="W68" s="71"/>
      <c r="X68" s="71"/>
      <c r="Y68" s="71"/>
      <c r="Z68" s="68"/>
    </row>
    <row r="69" spans="11:26" ht="18" customHeight="1">
      <c r="K69" s="171" t="s">
        <v>93</v>
      </c>
      <c r="L69" s="171"/>
      <c r="N69" s="318" t="str">
        <f ca="1">"제 " &amp; Z69 &amp; " 호표  "&amp; OFFSET($A$1,MATCH(Z69,$A:$A,0)-1,1)</f>
        <v>제 3 호표  1.3. 토지이용계획</v>
      </c>
      <c r="O69" s="221"/>
      <c r="P69" s="148"/>
      <c r="Q69" s="148"/>
      <c r="R69" s="149"/>
      <c r="S69" s="149"/>
      <c r="T69" s="149"/>
      <c r="U69" s="149"/>
      <c r="V69" s="149"/>
      <c r="W69" s="149"/>
      <c r="X69" s="149"/>
      <c r="Y69" s="149"/>
      <c r="Z69" s="325">
        <f>Z61+1</f>
        <v>3</v>
      </c>
    </row>
    <row r="70" spans="11:26" ht="18" customHeight="1">
      <c r="K70" s="171" t="s">
        <v>93</v>
      </c>
      <c r="L70" s="171"/>
      <c r="N70" s="140" t="s">
        <v>43</v>
      </c>
      <c r="O70" s="172">
        <v>3</v>
      </c>
      <c r="P70" s="219">
        <f ca="1">OFFSET($A$1,MATCH(Z69,$A:$A,0)-1,O70)</f>
        <v>1.5</v>
      </c>
      <c r="Q70" s="141" t="s">
        <v>29</v>
      </c>
      <c r="R70" s="142">
        <f t="shared" ref="R70:R75" ca="1" si="14">T70</f>
        <v>467217</v>
      </c>
      <c r="S70" s="142">
        <f t="shared" ref="S70:S75" ca="1" si="15">U70</f>
        <v>700825</v>
      </c>
      <c r="T70" s="142">
        <f ca="1">기술사</f>
        <v>467217</v>
      </c>
      <c r="U70" s="142">
        <f t="shared" ref="U70:U75" ca="1" si="16">ROUNDDOWN(P70*R70,0)</f>
        <v>700825</v>
      </c>
      <c r="V70" s="142"/>
      <c r="W70" s="142"/>
      <c r="X70" s="142"/>
      <c r="Y70" s="142"/>
      <c r="Z70" s="114"/>
    </row>
    <row r="71" spans="11:26" ht="18" customHeight="1">
      <c r="K71" s="171" t="s">
        <v>93</v>
      </c>
      <c r="L71" s="171"/>
      <c r="N71" s="143" t="s">
        <v>32</v>
      </c>
      <c r="O71" s="173">
        <v>4</v>
      </c>
      <c r="P71" s="234">
        <f ca="1">OFFSET($A$1,MATCH(Z69,$A:$A,0)-1,O71)</f>
        <v>1.6</v>
      </c>
      <c r="Q71" s="144" t="s">
        <v>29</v>
      </c>
      <c r="R71" s="118">
        <f t="shared" ca="1" si="14"/>
        <v>373353</v>
      </c>
      <c r="S71" s="118">
        <f t="shared" ca="1" si="15"/>
        <v>597364</v>
      </c>
      <c r="T71" s="118">
        <f ca="1">특급</f>
        <v>373353</v>
      </c>
      <c r="U71" s="118">
        <f t="shared" ca="1" si="16"/>
        <v>597364</v>
      </c>
      <c r="V71" s="118"/>
      <c r="W71" s="118"/>
      <c r="X71" s="118"/>
      <c r="Y71" s="118"/>
      <c r="Z71" s="115"/>
    </row>
    <row r="72" spans="11:26" ht="18" customHeight="1">
      <c r="N72" s="145" t="s">
        <v>39</v>
      </c>
      <c r="O72" s="173">
        <v>5</v>
      </c>
      <c r="P72" s="234">
        <f ca="1">OFFSET($A$1,MATCH(Z69,$A:$A,0)-1,O72)</f>
        <v>9</v>
      </c>
      <c r="Q72" s="144" t="s">
        <v>29</v>
      </c>
      <c r="R72" s="118">
        <f t="shared" ca="1" si="14"/>
        <v>310884</v>
      </c>
      <c r="S72" s="118">
        <f t="shared" ca="1" si="15"/>
        <v>2797956</v>
      </c>
      <c r="T72" s="118">
        <f ca="1">고급</f>
        <v>310884</v>
      </c>
      <c r="U72" s="118">
        <f t="shared" ca="1" si="16"/>
        <v>2797956</v>
      </c>
      <c r="V72" s="118"/>
      <c r="W72" s="118"/>
      <c r="X72" s="118"/>
      <c r="Y72" s="118"/>
      <c r="Z72" s="115"/>
    </row>
    <row r="73" spans="11:26" ht="18" customHeight="1">
      <c r="N73" s="145" t="s">
        <v>40</v>
      </c>
      <c r="O73" s="173">
        <v>6</v>
      </c>
      <c r="P73" s="234">
        <f ca="1">OFFSET($A$1,MATCH(Z69,$A:$A,0)-1,O73)</f>
        <v>9.8800000000000008</v>
      </c>
      <c r="Q73" s="144" t="s">
        <v>29</v>
      </c>
      <c r="R73" s="118">
        <f t="shared" ca="1" si="14"/>
        <v>295138</v>
      </c>
      <c r="S73" s="118">
        <f t="shared" ca="1" si="15"/>
        <v>2915963</v>
      </c>
      <c r="T73" s="118">
        <f ca="1">중급</f>
        <v>295138</v>
      </c>
      <c r="U73" s="118">
        <f t="shared" ca="1" si="16"/>
        <v>2915963</v>
      </c>
      <c r="V73" s="118"/>
      <c r="W73" s="118"/>
      <c r="X73" s="118"/>
      <c r="Y73" s="118"/>
      <c r="Z73" s="115"/>
    </row>
    <row r="74" spans="11:26" ht="18" customHeight="1">
      <c r="N74" s="145" t="s">
        <v>41</v>
      </c>
      <c r="O74" s="173">
        <v>7</v>
      </c>
      <c r="P74" s="234">
        <f ca="1">OFFSET($A$1,MATCH(Z69,$A:$A,0)-1,O74)</f>
        <v>32.5</v>
      </c>
      <c r="Q74" s="144" t="s">
        <v>29</v>
      </c>
      <c r="R74" s="118">
        <f t="shared" ca="1" si="14"/>
        <v>235459</v>
      </c>
      <c r="S74" s="118">
        <f t="shared" ca="1" si="15"/>
        <v>7652417</v>
      </c>
      <c r="T74" s="118">
        <f ca="1">초급</f>
        <v>235459</v>
      </c>
      <c r="U74" s="118">
        <f t="shared" ca="1" si="16"/>
        <v>7652417</v>
      </c>
      <c r="V74" s="118"/>
      <c r="W74" s="118"/>
      <c r="X74" s="118"/>
      <c r="Y74" s="118"/>
      <c r="Z74" s="115"/>
    </row>
    <row r="75" spans="11:26" ht="18" customHeight="1">
      <c r="N75" s="319" t="s">
        <v>42</v>
      </c>
      <c r="O75" s="174">
        <v>8</v>
      </c>
      <c r="P75" s="235">
        <f ca="1">OFFSET($A$1,MATCH(Z69,$A:$A,0)-1,O75)</f>
        <v>32.5</v>
      </c>
      <c r="Q75" s="322" t="s">
        <v>29</v>
      </c>
      <c r="R75" s="323">
        <f t="shared" ca="1" si="14"/>
        <v>250087</v>
      </c>
      <c r="S75" s="323">
        <f t="shared" ca="1" si="15"/>
        <v>8127827</v>
      </c>
      <c r="T75" s="323">
        <f ca="1">보조원</f>
        <v>250087</v>
      </c>
      <c r="U75" s="323">
        <f t="shared" ca="1" si="16"/>
        <v>8127827</v>
      </c>
      <c r="V75" s="323"/>
      <c r="W75" s="323"/>
      <c r="X75" s="323"/>
      <c r="Y75" s="323"/>
      <c r="Z75" s="324"/>
    </row>
    <row r="76" spans="11:26" ht="18" customHeight="1">
      <c r="N76" s="139" t="s">
        <v>115</v>
      </c>
      <c r="O76" s="68"/>
      <c r="P76" s="69"/>
      <c r="Q76" s="70"/>
      <c r="R76" s="71"/>
      <c r="S76" s="71">
        <f ca="1">SUBTOTAL(9,S70:S75)</f>
        <v>22792352</v>
      </c>
      <c r="T76" s="71"/>
      <c r="U76" s="71">
        <f ca="1">SUBTOTAL(9,U70:U75)</f>
        <v>22792352</v>
      </c>
      <c r="V76" s="71"/>
      <c r="W76" s="71"/>
      <c r="X76" s="71"/>
      <c r="Y76" s="71"/>
      <c r="Z76" s="68"/>
    </row>
    <row r="77" spans="11:26" ht="18" customHeight="1">
      <c r="N77" s="318" t="str">
        <f ca="1">"제 " &amp; Z77 &amp; " 호표  "&amp; OFFSET($A$1,MATCH(Z77,$A:$A,0)-1,1)</f>
        <v>제 4 호표  1.5. 공급처리시설계획</v>
      </c>
      <c r="O77" s="221"/>
      <c r="P77" s="148"/>
      <c r="Q77" s="148"/>
      <c r="R77" s="149"/>
      <c r="S77" s="149"/>
      <c r="T77" s="149"/>
      <c r="U77" s="149"/>
      <c r="V77" s="149"/>
      <c r="W77" s="149"/>
      <c r="X77" s="149"/>
      <c r="Y77" s="149"/>
      <c r="Z77" s="325">
        <f>Z69+1</f>
        <v>4</v>
      </c>
    </row>
    <row r="78" spans="11:26" ht="18" customHeight="1">
      <c r="N78" s="140" t="s">
        <v>43</v>
      </c>
      <c r="O78" s="172">
        <v>3</v>
      </c>
      <c r="P78" s="219">
        <f ca="1">OFFSET($A$1,MATCH(Z77,$A:$A,0)-1,O78)</f>
        <v>1.3</v>
      </c>
      <c r="Q78" s="141" t="s">
        <v>29</v>
      </c>
      <c r="R78" s="142">
        <f t="shared" ref="R78:R83" ca="1" si="17">T78</f>
        <v>467217</v>
      </c>
      <c r="S78" s="142">
        <f t="shared" ref="S78:S83" ca="1" si="18">U78</f>
        <v>607382</v>
      </c>
      <c r="T78" s="142">
        <f ca="1">기술사</f>
        <v>467217</v>
      </c>
      <c r="U78" s="142">
        <f t="shared" ref="U78:U83" ca="1" si="19">ROUNDDOWN(P78*R78,0)</f>
        <v>607382</v>
      </c>
      <c r="V78" s="142"/>
      <c r="W78" s="142"/>
      <c r="X78" s="142"/>
      <c r="Y78" s="142"/>
      <c r="Z78" s="114"/>
    </row>
    <row r="79" spans="11:26" ht="18" customHeight="1">
      <c r="N79" s="143" t="s">
        <v>32</v>
      </c>
      <c r="O79" s="173">
        <v>4</v>
      </c>
      <c r="P79" s="234">
        <f ca="1">OFFSET($A$1,MATCH(Z77,$A:$A,0)-1,O79)</f>
        <v>1.6</v>
      </c>
      <c r="Q79" s="144" t="s">
        <v>29</v>
      </c>
      <c r="R79" s="118">
        <f t="shared" ca="1" si="17"/>
        <v>373353</v>
      </c>
      <c r="S79" s="118">
        <f t="shared" ca="1" si="18"/>
        <v>597364</v>
      </c>
      <c r="T79" s="118">
        <f ca="1">특급</f>
        <v>373353</v>
      </c>
      <c r="U79" s="118">
        <f t="shared" ca="1" si="19"/>
        <v>597364</v>
      </c>
      <c r="V79" s="118"/>
      <c r="W79" s="118"/>
      <c r="X79" s="118"/>
      <c r="Y79" s="118"/>
      <c r="Z79" s="115"/>
    </row>
    <row r="80" spans="11:26" ht="18" customHeight="1">
      <c r="N80" s="145" t="s">
        <v>39</v>
      </c>
      <c r="O80" s="173">
        <v>5</v>
      </c>
      <c r="P80" s="234">
        <f ca="1">OFFSET($A$1,MATCH(Z77,$A:$A,0)-1,O80)</f>
        <v>7.4</v>
      </c>
      <c r="Q80" s="144" t="s">
        <v>29</v>
      </c>
      <c r="R80" s="118">
        <f t="shared" ca="1" si="17"/>
        <v>310884</v>
      </c>
      <c r="S80" s="118">
        <f t="shared" ca="1" si="18"/>
        <v>2300541</v>
      </c>
      <c r="T80" s="118">
        <f ca="1">고급</f>
        <v>310884</v>
      </c>
      <c r="U80" s="118">
        <f t="shared" ca="1" si="19"/>
        <v>2300541</v>
      </c>
      <c r="V80" s="118"/>
      <c r="W80" s="118"/>
      <c r="X80" s="118"/>
      <c r="Y80" s="118"/>
      <c r="Z80" s="115"/>
    </row>
    <row r="81" spans="14:26" ht="18" customHeight="1">
      <c r="N81" s="145" t="s">
        <v>40</v>
      </c>
      <c r="O81" s="173">
        <v>6</v>
      </c>
      <c r="P81" s="234">
        <f ca="1">OFFSET($A$1,MATCH(Z77,$A:$A,0)-1,O81)</f>
        <v>7.4</v>
      </c>
      <c r="Q81" s="144" t="s">
        <v>29</v>
      </c>
      <c r="R81" s="118">
        <f t="shared" ca="1" si="17"/>
        <v>295138</v>
      </c>
      <c r="S81" s="118">
        <f t="shared" ca="1" si="18"/>
        <v>2184021</v>
      </c>
      <c r="T81" s="118">
        <f ca="1">중급</f>
        <v>295138</v>
      </c>
      <c r="U81" s="118">
        <f t="shared" ca="1" si="19"/>
        <v>2184021</v>
      </c>
      <c r="V81" s="118"/>
      <c r="W81" s="118"/>
      <c r="X81" s="118"/>
      <c r="Y81" s="118"/>
      <c r="Z81" s="115"/>
    </row>
    <row r="82" spans="14:26" ht="18" customHeight="1">
      <c r="N82" s="145" t="s">
        <v>41</v>
      </c>
      <c r="O82" s="173">
        <v>7</v>
      </c>
      <c r="P82" s="234">
        <f ca="1">OFFSET($A$1,MATCH(Z77,$A:$A,0)-1,O82)</f>
        <v>14.9</v>
      </c>
      <c r="Q82" s="144" t="s">
        <v>29</v>
      </c>
      <c r="R82" s="118">
        <f t="shared" ca="1" si="17"/>
        <v>235459</v>
      </c>
      <c r="S82" s="118">
        <f t="shared" ca="1" si="18"/>
        <v>3508339</v>
      </c>
      <c r="T82" s="118">
        <f ca="1">초급</f>
        <v>235459</v>
      </c>
      <c r="U82" s="118">
        <f t="shared" ca="1" si="19"/>
        <v>3508339</v>
      </c>
      <c r="V82" s="118"/>
      <c r="W82" s="118"/>
      <c r="X82" s="118"/>
      <c r="Y82" s="118"/>
      <c r="Z82" s="115"/>
    </row>
    <row r="83" spans="14:26" ht="18" customHeight="1">
      <c r="N83" s="319" t="s">
        <v>42</v>
      </c>
      <c r="O83" s="174">
        <v>8</v>
      </c>
      <c r="P83" s="235">
        <f ca="1">OFFSET($A$1,MATCH(Z77,$A:$A,0)-1,O83)</f>
        <v>14.9</v>
      </c>
      <c r="Q83" s="322" t="s">
        <v>29</v>
      </c>
      <c r="R83" s="323">
        <f t="shared" ca="1" si="17"/>
        <v>250087</v>
      </c>
      <c r="S83" s="323">
        <f t="shared" ca="1" si="18"/>
        <v>3726296</v>
      </c>
      <c r="T83" s="323">
        <f ca="1">보조원</f>
        <v>250087</v>
      </c>
      <c r="U83" s="323">
        <f t="shared" ca="1" si="19"/>
        <v>3726296</v>
      </c>
      <c r="V83" s="323"/>
      <c r="W83" s="323"/>
      <c r="X83" s="323"/>
      <c r="Y83" s="323"/>
      <c r="Z83" s="324"/>
    </row>
    <row r="84" spans="14:26" ht="18" customHeight="1">
      <c r="N84" s="139" t="s">
        <v>115</v>
      </c>
      <c r="O84" s="68"/>
      <c r="P84" s="69"/>
      <c r="Q84" s="70"/>
      <c r="R84" s="71"/>
      <c r="S84" s="71">
        <f ca="1">SUBTOTAL(9,S78:S83)</f>
        <v>12923943</v>
      </c>
      <c r="T84" s="71"/>
      <c r="U84" s="71">
        <f ca="1">SUBTOTAL(9,U78:U83)</f>
        <v>12923943</v>
      </c>
      <c r="V84" s="71"/>
      <c r="W84" s="71"/>
      <c r="X84" s="71"/>
      <c r="Y84" s="71"/>
      <c r="Z84" s="68"/>
    </row>
    <row r="85" spans="14:26" ht="18" customHeight="1">
      <c r="N85" s="318" t="str">
        <f ca="1">"제 " &amp; Z85 &amp; " 호표  "&amp; OFFSET($A$1,MATCH(Z85,$A:$A,0)-1,1)</f>
        <v>제 5 호표  2.1. 용도지역·지구</v>
      </c>
      <c r="O85" s="221"/>
      <c r="P85" s="148"/>
      <c r="Q85" s="148"/>
      <c r="R85" s="149"/>
      <c r="S85" s="149"/>
      <c r="T85" s="149"/>
      <c r="U85" s="149"/>
      <c r="V85" s="149"/>
      <c r="W85" s="149"/>
      <c r="X85" s="149"/>
      <c r="Y85" s="149"/>
      <c r="Z85" s="325">
        <f>Z77+1</f>
        <v>5</v>
      </c>
    </row>
    <row r="86" spans="14:26" ht="18" customHeight="1">
      <c r="N86" s="140" t="s">
        <v>43</v>
      </c>
      <c r="O86" s="172">
        <v>3</v>
      </c>
      <c r="P86" s="219">
        <f ca="1">OFFSET($A$1,MATCH(Z85,$A:$A,0)-1,O86)</f>
        <v>0.9</v>
      </c>
      <c r="Q86" s="141" t="s">
        <v>29</v>
      </c>
      <c r="R86" s="142">
        <f t="shared" ref="R86:R91" ca="1" si="20">T86</f>
        <v>467217</v>
      </c>
      <c r="S86" s="142">
        <f t="shared" ref="S86:S91" ca="1" si="21">U86</f>
        <v>420495</v>
      </c>
      <c r="T86" s="142">
        <f ca="1">기술사</f>
        <v>467217</v>
      </c>
      <c r="U86" s="142">
        <f t="shared" ref="U86:U91" ca="1" si="22">ROUNDDOWN(P86*R86,0)</f>
        <v>420495</v>
      </c>
      <c r="V86" s="142"/>
      <c r="W86" s="142"/>
      <c r="X86" s="142"/>
      <c r="Y86" s="142"/>
      <c r="Z86" s="114"/>
    </row>
    <row r="87" spans="14:26" ht="18" customHeight="1">
      <c r="N87" s="143" t="s">
        <v>32</v>
      </c>
      <c r="O87" s="173">
        <v>4</v>
      </c>
      <c r="P87" s="234">
        <f ca="1">OFFSET($A$1,MATCH(Z85,$A:$A,0)-1,O87)</f>
        <v>1.3</v>
      </c>
      <c r="Q87" s="144" t="s">
        <v>29</v>
      </c>
      <c r="R87" s="118">
        <f t="shared" ca="1" si="20"/>
        <v>373353</v>
      </c>
      <c r="S87" s="118">
        <f t="shared" ca="1" si="21"/>
        <v>485358</v>
      </c>
      <c r="T87" s="118">
        <f ca="1">특급</f>
        <v>373353</v>
      </c>
      <c r="U87" s="118">
        <f t="shared" ca="1" si="22"/>
        <v>485358</v>
      </c>
      <c r="V87" s="118"/>
      <c r="W87" s="118"/>
      <c r="X87" s="118"/>
      <c r="Y87" s="118"/>
      <c r="Z87" s="115"/>
    </row>
    <row r="88" spans="14:26" ht="18" customHeight="1">
      <c r="N88" s="145" t="s">
        <v>39</v>
      </c>
      <c r="O88" s="173">
        <v>5</v>
      </c>
      <c r="P88" s="234">
        <f ca="1">OFFSET($A$1,MATCH(Z85,$A:$A,0)-1,O88)</f>
        <v>3.5</v>
      </c>
      <c r="Q88" s="144" t="s">
        <v>29</v>
      </c>
      <c r="R88" s="118">
        <f t="shared" ca="1" si="20"/>
        <v>310884</v>
      </c>
      <c r="S88" s="118">
        <f t="shared" ca="1" si="21"/>
        <v>1088094</v>
      </c>
      <c r="T88" s="118">
        <f ca="1">고급</f>
        <v>310884</v>
      </c>
      <c r="U88" s="118">
        <f t="shared" ca="1" si="22"/>
        <v>1088094</v>
      </c>
      <c r="V88" s="118"/>
      <c r="W88" s="118"/>
      <c r="X88" s="118"/>
      <c r="Y88" s="118"/>
      <c r="Z88" s="115"/>
    </row>
    <row r="89" spans="14:26" ht="18" customHeight="1">
      <c r="N89" s="145" t="s">
        <v>40</v>
      </c>
      <c r="O89" s="173">
        <v>6</v>
      </c>
      <c r="P89" s="234">
        <f ca="1">OFFSET($A$1,MATCH(Z85,$A:$A,0)-1,O89)</f>
        <v>1.8</v>
      </c>
      <c r="Q89" s="144" t="s">
        <v>29</v>
      </c>
      <c r="R89" s="118">
        <f t="shared" ca="1" si="20"/>
        <v>295138</v>
      </c>
      <c r="S89" s="118">
        <f t="shared" ca="1" si="21"/>
        <v>531248</v>
      </c>
      <c r="T89" s="118">
        <f ca="1">중급</f>
        <v>295138</v>
      </c>
      <c r="U89" s="118">
        <f t="shared" ca="1" si="22"/>
        <v>531248</v>
      </c>
      <c r="V89" s="118"/>
      <c r="W89" s="118"/>
      <c r="X89" s="118"/>
      <c r="Y89" s="118"/>
      <c r="Z89" s="115"/>
    </row>
    <row r="90" spans="14:26" ht="18" customHeight="1">
      <c r="N90" s="145" t="s">
        <v>41</v>
      </c>
      <c r="O90" s="173">
        <v>7</v>
      </c>
      <c r="P90" s="234">
        <f ca="1">OFFSET($A$1,MATCH(Z85,$A:$A,0)-1,O90)</f>
        <v>11.1</v>
      </c>
      <c r="Q90" s="144" t="s">
        <v>29</v>
      </c>
      <c r="R90" s="118">
        <f t="shared" ca="1" si="20"/>
        <v>235459</v>
      </c>
      <c r="S90" s="118">
        <f t="shared" ca="1" si="21"/>
        <v>2613594</v>
      </c>
      <c r="T90" s="118">
        <f ca="1">초급</f>
        <v>235459</v>
      </c>
      <c r="U90" s="118">
        <f t="shared" ca="1" si="22"/>
        <v>2613594</v>
      </c>
      <c r="V90" s="118"/>
      <c r="W90" s="118"/>
      <c r="X90" s="118"/>
      <c r="Y90" s="118"/>
      <c r="Z90" s="115"/>
    </row>
    <row r="91" spans="14:26" ht="18" customHeight="1">
      <c r="N91" s="319" t="s">
        <v>42</v>
      </c>
      <c r="O91" s="174">
        <v>8</v>
      </c>
      <c r="P91" s="235">
        <f ca="1">OFFSET($A$1,MATCH(Z85,$A:$A,0)-1,O91)</f>
        <v>12.6</v>
      </c>
      <c r="Q91" s="322" t="s">
        <v>29</v>
      </c>
      <c r="R91" s="323">
        <f t="shared" ca="1" si="20"/>
        <v>250087</v>
      </c>
      <c r="S91" s="323">
        <f t="shared" ca="1" si="21"/>
        <v>3151096</v>
      </c>
      <c r="T91" s="323">
        <f ca="1">보조원</f>
        <v>250087</v>
      </c>
      <c r="U91" s="323">
        <f t="shared" ca="1" si="22"/>
        <v>3151096</v>
      </c>
      <c r="V91" s="323"/>
      <c r="W91" s="323"/>
      <c r="X91" s="323"/>
      <c r="Y91" s="323"/>
      <c r="Z91" s="324"/>
    </row>
    <row r="92" spans="14:26" ht="18" customHeight="1">
      <c r="N92" s="139" t="s">
        <v>115</v>
      </c>
      <c r="O92" s="68"/>
      <c r="P92" s="69"/>
      <c r="Q92" s="70"/>
      <c r="R92" s="71"/>
      <c r="S92" s="71">
        <f ca="1">SUBTOTAL(9,S86:S91)</f>
        <v>8289885</v>
      </c>
      <c r="T92" s="71"/>
      <c r="U92" s="71">
        <f ca="1">SUBTOTAL(9,U86:U91)</f>
        <v>8289885</v>
      </c>
      <c r="V92" s="71"/>
      <c r="W92" s="71"/>
      <c r="X92" s="71"/>
      <c r="Y92" s="71"/>
      <c r="Z92" s="68"/>
    </row>
    <row r="93" spans="14:26" ht="18" customHeight="1">
      <c r="N93" s="318" t="str">
        <f ca="1">"제 " &amp; Z93 &amp; " 호표  "&amp; OFFSET($A$1,MATCH(Z93,$A:$A,0)-1,1)</f>
        <v>제 6 호표  2.2. 가구 및 획지</v>
      </c>
      <c r="O93" s="221"/>
      <c r="P93" s="148"/>
      <c r="Q93" s="148"/>
      <c r="R93" s="149"/>
      <c r="S93" s="149"/>
      <c r="T93" s="149"/>
      <c r="U93" s="149"/>
      <c r="V93" s="149"/>
      <c r="W93" s="149"/>
      <c r="X93" s="149"/>
      <c r="Y93" s="149"/>
      <c r="Z93" s="325">
        <f>Z85+1</f>
        <v>6</v>
      </c>
    </row>
    <row r="94" spans="14:26" ht="18" customHeight="1">
      <c r="N94" s="140" t="s">
        <v>43</v>
      </c>
      <c r="O94" s="172">
        <v>3</v>
      </c>
      <c r="P94" s="219">
        <f ca="1">OFFSET($A$1,MATCH(Z93,$A:$A,0)-1,O94)</f>
        <v>1.7</v>
      </c>
      <c r="Q94" s="141" t="s">
        <v>29</v>
      </c>
      <c r="R94" s="142">
        <f t="shared" ref="R94:R99" ca="1" si="23">T94</f>
        <v>467217</v>
      </c>
      <c r="S94" s="142">
        <f t="shared" ref="S94:S99" ca="1" si="24">U94</f>
        <v>794268</v>
      </c>
      <c r="T94" s="142">
        <f ca="1">기술사</f>
        <v>467217</v>
      </c>
      <c r="U94" s="142">
        <f t="shared" ref="U94:U99" ca="1" si="25">ROUNDDOWN(P94*R94,0)</f>
        <v>794268</v>
      </c>
      <c r="V94" s="142"/>
      <c r="W94" s="142"/>
      <c r="X94" s="142"/>
      <c r="Y94" s="142"/>
      <c r="Z94" s="114"/>
    </row>
    <row r="95" spans="14:26" ht="18" customHeight="1">
      <c r="N95" s="143" t="s">
        <v>32</v>
      </c>
      <c r="O95" s="173">
        <v>4</v>
      </c>
      <c r="P95" s="234">
        <f ca="1">OFFSET($A$1,MATCH(Z93,$A:$A,0)-1,O95)</f>
        <v>1</v>
      </c>
      <c r="Q95" s="144" t="s">
        <v>29</v>
      </c>
      <c r="R95" s="118">
        <f t="shared" ca="1" si="23"/>
        <v>373353</v>
      </c>
      <c r="S95" s="118">
        <f t="shared" ca="1" si="24"/>
        <v>373353</v>
      </c>
      <c r="T95" s="118">
        <f ca="1">특급</f>
        <v>373353</v>
      </c>
      <c r="U95" s="118">
        <f t="shared" ca="1" si="25"/>
        <v>373353</v>
      </c>
      <c r="V95" s="118"/>
      <c r="W95" s="118"/>
      <c r="X95" s="118"/>
      <c r="Y95" s="118"/>
      <c r="Z95" s="115"/>
    </row>
    <row r="96" spans="14:26" ht="18" customHeight="1">
      <c r="N96" s="145" t="s">
        <v>39</v>
      </c>
      <c r="O96" s="173">
        <v>5</v>
      </c>
      <c r="P96" s="234">
        <f ca="1">OFFSET($A$1,MATCH(Z93,$A:$A,0)-1,O96)</f>
        <v>2.5</v>
      </c>
      <c r="Q96" s="144" t="s">
        <v>29</v>
      </c>
      <c r="R96" s="118">
        <f t="shared" ca="1" si="23"/>
        <v>310884</v>
      </c>
      <c r="S96" s="118">
        <f t="shared" ca="1" si="24"/>
        <v>777210</v>
      </c>
      <c r="T96" s="118">
        <f ca="1">고급</f>
        <v>310884</v>
      </c>
      <c r="U96" s="118">
        <f t="shared" ca="1" si="25"/>
        <v>777210</v>
      </c>
      <c r="V96" s="118"/>
      <c r="W96" s="118"/>
      <c r="X96" s="118"/>
      <c r="Y96" s="118"/>
      <c r="Z96" s="115"/>
    </row>
    <row r="97" spans="14:26" ht="18" customHeight="1">
      <c r="N97" s="145" t="s">
        <v>40</v>
      </c>
      <c r="O97" s="173">
        <v>6</v>
      </c>
      <c r="P97" s="234">
        <f ca="1">OFFSET($A$1,MATCH(Z93,$A:$A,0)-1,O97)</f>
        <v>2.5</v>
      </c>
      <c r="Q97" s="144" t="s">
        <v>29</v>
      </c>
      <c r="R97" s="118">
        <f t="shared" ca="1" si="23"/>
        <v>295138</v>
      </c>
      <c r="S97" s="118">
        <f t="shared" ca="1" si="24"/>
        <v>737845</v>
      </c>
      <c r="T97" s="118">
        <f ca="1">중급</f>
        <v>295138</v>
      </c>
      <c r="U97" s="118">
        <f t="shared" ca="1" si="25"/>
        <v>737845</v>
      </c>
      <c r="V97" s="118"/>
      <c r="W97" s="118"/>
      <c r="X97" s="118"/>
      <c r="Y97" s="118"/>
      <c r="Z97" s="115"/>
    </row>
    <row r="98" spans="14:26" ht="18" customHeight="1">
      <c r="N98" s="145" t="s">
        <v>41</v>
      </c>
      <c r="O98" s="173">
        <v>7</v>
      </c>
      <c r="P98" s="234">
        <f ca="1">OFFSET($A$1,MATCH(Z93,$A:$A,0)-1,O98)</f>
        <v>8.6999999999999993</v>
      </c>
      <c r="Q98" s="144" t="s">
        <v>29</v>
      </c>
      <c r="R98" s="118">
        <f t="shared" ca="1" si="23"/>
        <v>235459</v>
      </c>
      <c r="S98" s="118">
        <f t="shared" ca="1" si="24"/>
        <v>2048493</v>
      </c>
      <c r="T98" s="118">
        <f ca="1">초급</f>
        <v>235459</v>
      </c>
      <c r="U98" s="118">
        <f t="shared" ca="1" si="25"/>
        <v>2048493</v>
      </c>
      <c r="V98" s="118"/>
      <c r="W98" s="118"/>
      <c r="X98" s="118"/>
      <c r="Y98" s="118"/>
      <c r="Z98" s="115"/>
    </row>
    <row r="99" spans="14:26" ht="18" customHeight="1">
      <c r="N99" s="319" t="s">
        <v>42</v>
      </c>
      <c r="O99" s="174">
        <v>8</v>
      </c>
      <c r="P99" s="235">
        <f ca="1">OFFSET($A$1,MATCH(Z93,$A:$A,0)-1,O99)</f>
        <v>9.9</v>
      </c>
      <c r="Q99" s="322" t="s">
        <v>29</v>
      </c>
      <c r="R99" s="323">
        <f t="shared" ca="1" si="23"/>
        <v>250087</v>
      </c>
      <c r="S99" s="323">
        <f t="shared" ca="1" si="24"/>
        <v>2475861</v>
      </c>
      <c r="T99" s="323">
        <f ca="1">보조원</f>
        <v>250087</v>
      </c>
      <c r="U99" s="323">
        <f t="shared" ca="1" si="25"/>
        <v>2475861</v>
      </c>
      <c r="V99" s="323"/>
      <c r="W99" s="323"/>
      <c r="X99" s="323"/>
      <c r="Y99" s="323"/>
      <c r="Z99" s="324"/>
    </row>
    <row r="100" spans="14:26" ht="18" customHeight="1">
      <c r="N100" s="139" t="s">
        <v>115</v>
      </c>
      <c r="O100" s="68"/>
      <c r="P100" s="69"/>
      <c r="Q100" s="70"/>
      <c r="R100" s="71"/>
      <c r="S100" s="71">
        <f ca="1">SUBTOTAL(9,S94:S99)</f>
        <v>7207030</v>
      </c>
      <c r="T100" s="71"/>
      <c r="U100" s="71">
        <f ca="1">SUBTOTAL(9,U94:U99)</f>
        <v>7207030</v>
      </c>
      <c r="V100" s="71"/>
      <c r="W100" s="71"/>
      <c r="X100" s="71"/>
      <c r="Y100" s="71"/>
      <c r="Z100" s="68"/>
    </row>
    <row r="101" spans="14:26" ht="18" customHeight="1">
      <c r="N101" s="318" t="str">
        <f ca="1">"제 " &amp; Z101 &amp; " 호표  "&amp; OFFSET($A$1,MATCH(Z101,$A:$A,0)-1,1)</f>
        <v>제 7 호표  2.3. 건축물</v>
      </c>
      <c r="O101" s="221"/>
      <c r="P101" s="148"/>
      <c r="Q101" s="148"/>
      <c r="R101" s="149"/>
      <c r="S101" s="149"/>
      <c r="T101" s="149"/>
      <c r="U101" s="149"/>
      <c r="V101" s="149"/>
      <c r="W101" s="149"/>
      <c r="X101" s="149"/>
      <c r="Y101" s="149"/>
      <c r="Z101" s="325">
        <f>Z93+1</f>
        <v>7</v>
      </c>
    </row>
    <row r="102" spans="14:26" ht="18" customHeight="1">
      <c r="N102" s="140" t="s">
        <v>43</v>
      </c>
      <c r="O102" s="172">
        <v>3</v>
      </c>
      <c r="P102" s="219">
        <f ca="1">OFFSET($A$1,MATCH(Z101,$A:$A,0)-1,O102)</f>
        <v>3.3</v>
      </c>
      <c r="Q102" s="141" t="s">
        <v>29</v>
      </c>
      <c r="R102" s="142">
        <f t="shared" ref="R102:R107" ca="1" si="26">T102</f>
        <v>467217</v>
      </c>
      <c r="S102" s="142">
        <f t="shared" ref="S102:S107" ca="1" si="27">U102</f>
        <v>1541816</v>
      </c>
      <c r="T102" s="142">
        <f ca="1">기술사</f>
        <v>467217</v>
      </c>
      <c r="U102" s="142">
        <f t="shared" ref="U102:U107" ca="1" si="28">ROUNDDOWN(P102*R102,0)</f>
        <v>1541816</v>
      </c>
      <c r="V102" s="142"/>
      <c r="W102" s="142"/>
      <c r="X102" s="142"/>
      <c r="Y102" s="142"/>
      <c r="Z102" s="114"/>
    </row>
    <row r="103" spans="14:26" ht="18" customHeight="1">
      <c r="N103" s="143" t="s">
        <v>32</v>
      </c>
      <c r="O103" s="173">
        <v>4</v>
      </c>
      <c r="P103" s="234">
        <f ca="1">OFFSET($A$1,MATCH(Z101,$A:$A,0)-1,O103)</f>
        <v>4.5999999999999996</v>
      </c>
      <c r="Q103" s="144" t="s">
        <v>29</v>
      </c>
      <c r="R103" s="118">
        <f t="shared" ca="1" si="26"/>
        <v>373353</v>
      </c>
      <c r="S103" s="118">
        <f t="shared" ca="1" si="27"/>
        <v>1717423</v>
      </c>
      <c r="T103" s="118">
        <f ca="1">특급</f>
        <v>373353</v>
      </c>
      <c r="U103" s="118">
        <f t="shared" ca="1" si="28"/>
        <v>1717423</v>
      </c>
      <c r="V103" s="118"/>
      <c r="W103" s="118"/>
      <c r="X103" s="118"/>
      <c r="Y103" s="118"/>
      <c r="Z103" s="115"/>
    </row>
    <row r="104" spans="14:26" ht="18" customHeight="1">
      <c r="N104" s="145" t="s">
        <v>39</v>
      </c>
      <c r="O104" s="173">
        <v>5</v>
      </c>
      <c r="P104" s="234">
        <f ca="1">OFFSET($A$1,MATCH(Z101,$A:$A,0)-1,O104)</f>
        <v>10</v>
      </c>
      <c r="Q104" s="144" t="s">
        <v>29</v>
      </c>
      <c r="R104" s="118">
        <f t="shared" ca="1" si="26"/>
        <v>310884</v>
      </c>
      <c r="S104" s="118">
        <f t="shared" ca="1" si="27"/>
        <v>3108840</v>
      </c>
      <c r="T104" s="118">
        <f ca="1">고급</f>
        <v>310884</v>
      </c>
      <c r="U104" s="118">
        <f t="shared" ca="1" si="28"/>
        <v>3108840</v>
      </c>
      <c r="V104" s="118"/>
      <c r="W104" s="118"/>
      <c r="X104" s="118"/>
      <c r="Y104" s="118"/>
      <c r="Z104" s="115"/>
    </row>
    <row r="105" spans="14:26" ht="18" customHeight="1">
      <c r="N105" s="145" t="s">
        <v>40</v>
      </c>
      <c r="O105" s="173">
        <v>6</v>
      </c>
      <c r="P105" s="234">
        <f ca="1">OFFSET($A$1,MATCH(Z101,$A:$A,0)-1,O105)</f>
        <v>12.9</v>
      </c>
      <c r="Q105" s="144" t="s">
        <v>29</v>
      </c>
      <c r="R105" s="118">
        <f t="shared" ca="1" si="26"/>
        <v>295138</v>
      </c>
      <c r="S105" s="118">
        <f t="shared" ca="1" si="27"/>
        <v>3807280</v>
      </c>
      <c r="T105" s="118">
        <f ca="1">중급</f>
        <v>295138</v>
      </c>
      <c r="U105" s="118">
        <f t="shared" ca="1" si="28"/>
        <v>3807280</v>
      </c>
      <c r="V105" s="118"/>
      <c r="W105" s="118"/>
      <c r="X105" s="118"/>
      <c r="Y105" s="118"/>
      <c r="Z105" s="115"/>
    </row>
    <row r="106" spans="14:26" ht="18" customHeight="1">
      <c r="N106" s="145" t="s">
        <v>41</v>
      </c>
      <c r="O106" s="173">
        <v>7</v>
      </c>
      <c r="P106" s="234">
        <f ca="1">OFFSET($A$1,MATCH(Z101,$A:$A,0)-1,O106)</f>
        <v>26.6</v>
      </c>
      <c r="Q106" s="144" t="s">
        <v>29</v>
      </c>
      <c r="R106" s="118">
        <f t="shared" ca="1" si="26"/>
        <v>235459</v>
      </c>
      <c r="S106" s="118">
        <f t="shared" ca="1" si="27"/>
        <v>6263209</v>
      </c>
      <c r="T106" s="118">
        <f ca="1">초급</f>
        <v>235459</v>
      </c>
      <c r="U106" s="118">
        <f t="shared" ca="1" si="28"/>
        <v>6263209</v>
      </c>
      <c r="V106" s="118"/>
      <c r="W106" s="118"/>
      <c r="X106" s="118"/>
      <c r="Y106" s="118"/>
      <c r="Z106" s="115"/>
    </row>
    <row r="107" spans="14:26" ht="18" customHeight="1">
      <c r="N107" s="319" t="s">
        <v>42</v>
      </c>
      <c r="O107" s="174">
        <v>8</v>
      </c>
      <c r="P107" s="235">
        <f ca="1">OFFSET($A$1,MATCH(Z101,$A:$A,0)-1,O107)</f>
        <v>29.5</v>
      </c>
      <c r="Q107" s="322" t="s">
        <v>29</v>
      </c>
      <c r="R107" s="323">
        <f t="shared" ca="1" si="26"/>
        <v>250087</v>
      </c>
      <c r="S107" s="323">
        <f t="shared" ca="1" si="27"/>
        <v>7377566</v>
      </c>
      <c r="T107" s="323">
        <f ca="1">보조원</f>
        <v>250087</v>
      </c>
      <c r="U107" s="323">
        <f t="shared" ca="1" si="28"/>
        <v>7377566</v>
      </c>
      <c r="V107" s="323"/>
      <c r="W107" s="323"/>
      <c r="X107" s="323"/>
      <c r="Y107" s="323"/>
      <c r="Z107" s="324"/>
    </row>
    <row r="108" spans="14:26" ht="18" customHeight="1">
      <c r="N108" s="139" t="s">
        <v>115</v>
      </c>
      <c r="O108" s="68"/>
      <c r="P108" s="69"/>
      <c r="Q108" s="70"/>
      <c r="R108" s="71"/>
      <c r="S108" s="71">
        <f ca="1">SUBTOTAL(9,S102:S107)</f>
        <v>23816134</v>
      </c>
      <c r="T108" s="71"/>
      <c r="U108" s="71">
        <f ca="1">SUBTOTAL(9,U102:U107)</f>
        <v>23816134</v>
      </c>
      <c r="V108" s="71"/>
      <c r="W108" s="71"/>
      <c r="X108" s="71"/>
      <c r="Y108" s="71"/>
      <c r="Z108" s="68"/>
    </row>
    <row r="109" spans="14:26" ht="18" customHeight="1">
      <c r="N109" s="318" t="str">
        <f ca="1">"제 " &amp; Z109 &amp; " 호표  "&amp; OFFSET($A$1,MATCH(Z109,$A:$A,0)-1,1)</f>
        <v>제 8 호표  3.1. 인·허가 승인도서 작성</v>
      </c>
      <c r="O109" s="221"/>
      <c r="P109" s="148"/>
      <c r="Q109" s="148"/>
      <c r="R109" s="149"/>
      <c r="S109" s="149"/>
      <c r="T109" s="149"/>
      <c r="U109" s="149"/>
      <c r="V109" s="149"/>
      <c r="W109" s="149"/>
      <c r="X109" s="149"/>
      <c r="Y109" s="149"/>
      <c r="Z109" s="325">
        <f>Z101+1</f>
        <v>8</v>
      </c>
    </row>
    <row r="110" spans="14:26" ht="18" customHeight="1">
      <c r="N110" s="140" t="s">
        <v>43</v>
      </c>
      <c r="O110" s="172">
        <v>3</v>
      </c>
      <c r="P110" s="219">
        <f ca="1">OFFSET($A$1,MATCH(Z109,$A:$A,0)-1,O110)</f>
        <v>1.2</v>
      </c>
      <c r="Q110" s="141" t="s">
        <v>29</v>
      </c>
      <c r="R110" s="142">
        <f t="shared" ref="R110:R115" ca="1" si="29">T110</f>
        <v>467217</v>
      </c>
      <c r="S110" s="142">
        <f t="shared" ref="S110:S115" ca="1" si="30">U110</f>
        <v>560660</v>
      </c>
      <c r="T110" s="142">
        <f ca="1">기술사</f>
        <v>467217</v>
      </c>
      <c r="U110" s="142">
        <f t="shared" ref="U110:U115" ca="1" si="31">ROUNDDOWN(P110*R110,0)</f>
        <v>560660</v>
      </c>
      <c r="V110" s="142"/>
      <c r="W110" s="142"/>
      <c r="X110" s="142"/>
      <c r="Y110" s="142"/>
      <c r="Z110" s="114"/>
    </row>
    <row r="111" spans="14:26" ht="18" customHeight="1">
      <c r="N111" s="143" t="s">
        <v>32</v>
      </c>
      <c r="O111" s="173">
        <v>4</v>
      </c>
      <c r="P111" s="234">
        <f ca="1">OFFSET($A$1,MATCH(Z109,$A:$A,0)-1,O111)</f>
        <v>0.8</v>
      </c>
      <c r="Q111" s="144" t="s">
        <v>29</v>
      </c>
      <c r="R111" s="118">
        <f t="shared" ca="1" si="29"/>
        <v>373353</v>
      </c>
      <c r="S111" s="118">
        <f t="shared" ca="1" si="30"/>
        <v>298682</v>
      </c>
      <c r="T111" s="118">
        <f ca="1">특급</f>
        <v>373353</v>
      </c>
      <c r="U111" s="118">
        <f t="shared" ca="1" si="31"/>
        <v>298682</v>
      </c>
      <c r="V111" s="118"/>
      <c r="W111" s="118"/>
      <c r="X111" s="118"/>
      <c r="Y111" s="118"/>
      <c r="Z111" s="115"/>
    </row>
    <row r="112" spans="14:26" ht="18" customHeight="1">
      <c r="N112" s="145" t="s">
        <v>39</v>
      </c>
      <c r="O112" s="173">
        <v>5</v>
      </c>
      <c r="P112" s="234">
        <f ca="1">OFFSET($A$1,MATCH(Z109,$A:$A,0)-1,O112)</f>
        <v>2.7</v>
      </c>
      <c r="Q112" s="144" t="s">
        <v>29</v>
      </c>
      <c r="R112" s="118">
        <f t="shared" ca="1" si="29"/>
        <v>310884</v>
      </c>
      <c r="S112" s="118">
        <f t="shared" ca="1" si="30"/>
        <v>839386</v>
      </c>
      <c r="T112" s="118">
        <f ca="1">고급</f>
        <v>310884</v>
      </c>
      <c r="U112" s="118">
        <f t="shared" ca="1" si="31"/>
        <v>839386</v>
      </c>
      <c r="V112" s="118"/>
      <c r="W112" s="118"/>
      <c r="X112" s="118"/>
      <c r="Y112" s="118"/>
      <c r="Z112" s="115"/>
    </row>
    <row r="113" spans="14:26" ht="18" customHeight="1">
      <c r="N113" s="145" t="s">
        <v>40</v>
      </c>
      <c r="O113" s="173">
        <v>6</v>
      </c>
      <c r="P113" s="234">
        <f ca="1">OFFSET($A$1,MATCH(Z109,$A:$A,0)-1,O113)</f>
        <v>2.7</v>
      </c>
      <c r="Q113" s="144" t="s">
        <v>29</v>
      </c>
      <c r="R113" s="118">
        <f t="shared" ca="1" si="29"/>
        <v>295138</v>
      </c>
      <c r="S113" s="118">
        <f t="shared" ca="1" si="30"/>
        <v>796872</v>
      </c>
      <c r="T113" s="118">
        <f ca="1">중급</f>
        <v>295138</v>
      </c>
      <c r="U113" s="118">
        <f t="shared" ca="1" si="31"/>
        <v>796872</v>
      </c>
      <c r="V113" s="118"/>
      <c r="W113" s="118"/>
      <c r="X113" s="118"/>
      <c r="Y113" s="118"/>
      <c r="Z113" s="115"/>
    </row>
    <row r="114" spans="14:26" ht="18" customHeight="1">
      <c r="N114" s="145" t="s">
        <v>41</v>
      </c>
      <c r="O114" s="173">
        <v>7</v>
      </c>
      <c r="P114" s="234">
        <f ca="1">OFFSET($A$1,MATCH(Z109,$A:$A,0)-1,O114)</f>
        <v>8.8000000000000007</v>
      </c>
      <c r="Q114" s="144" t="s">
        <v>29</v>
      </c>
      <c r="R114" s="118">
        <f t="shared" ca="1" si="29"/>
        <v>235459</v>
      </c>
      <c r="S114" s="118">
        <f t="shared" ca="1" si="30"/>
        <v>2072039</v>
      </c>
      <c r="T114" s="118">
        <f ca="1">초급</f>
        <v>235459</v>
      </c>
      <c r="U114" s="118">
        <f t="shared" ca="1" si="31"/>
        <v>2072039</v>
      </c>
      <c r="V114" s="118"/>
      <c r="W114" s="118"/>
      <c r="X114" s="118"/>
      <c r="Y114" s="118"/>
      <c r="Z114" s="115"/>
    </row>
    <row r="115" spans="14:26" ht="18" customHeight="1">
      <c r="N115" s="319" t="s">
        <v>42</v>
      </c>
      <c r="O115" s="174">
        <v>8</v>
      </c>
      <c r="P115" s="235">
        <f ca="1">OFFSET($A$1,MATCH(Z109,$A:$A,0)-1,O115)</f>
        <v>10.3</v>
      </c>
      <c r="Q115" s="322" t="s">
        <v>29</v>
      </c>
      <c r="R115" s="323">
        <f t="shared" ca="1" si="29"/>
        <v>250087</v>
      </c>
      <c r="S115" s="323">
        <f t="shared" ca="1" si="30"/>
        <v>2575896</v>
      </c>
      <c r="T115" s="323">
        <f ca="1">보조원</f>
        <v>250087</v>
      </c>
      <c r="U115" s="323">
        <f t="shared" ca="1" si="31"/>
        <v>2575896</v>
      </c>
      <c r="V115" s="323"/>
      <c r="W115" s="323"/>
      <c r="X115" s="323"/>
      <c r="Y115" s="323"/>
      <c r="Z115" s="324"/>
    </row>
    <row r="116" spans="14:26" ht="18" customHeight="1">
      <c r="N116" s="139" t="s">
        <v>115</v>
      </c>
      <c r="O116" s="68"/>
      <c r="P116" s="69"/>
      <c r="Q116" s="70"/>
      <c r="R116" s="71"/>
      <c r="S116" s="71">
        <f ca="1">SUBTOTAL(9,S110:S115)</f>
        <v>7143535</v>
      </c>
      <c r="T116" s="71"/>
      <c r="U116" s="71">
        <f ca="1">SUBTOTAL(9,U110:U115)</f>
        <v>7143535</v>
      </c>
      <c r="V116" s="71"/>
      <c r="W116" s="71"/>
      <c r="X116" s="71"/>
      <c r="Y116" s="71"/>
      <c r="Z116" s="68"/>
    </row>
    <row r="117" spans="14:26" ht="18" customHeight="1">
      <c r="N117" s="318" t="str">
        <f ca="1">"제 " &amp; Z117 &amp; " 호표  "&amp; OFFSET($A$1,MATCH(Z117,$A:$A,0)-1,1)</f>
        <v>제 9 호표  3.2. 관련도서 작성</v>
      </c>
      <c r="O117" s="221"/>
      <c r="P117" s="148"/>
      <c r="Q117" s="148"/>
      <c r="R117" s="149"/>
      <c r="S117" s="149"/>
      <c r="T117" s="149"/>
      <c r="U117" s="149"/>
      <c r="V117" s="149"/>
      <c r="W117" s="149"/>
      <c r="X117" s="149"/>
      <c r="Y117" s="149"/>
      <c r="Z117" s="325">
        <f>Z109+1</f>
        <v>9</v>
      </c>
    </row>
    <row r="118" spans="14:26" ht="18" customHeight="1">
      <c r="N118" s="140" t="s">
        <v>43</v>
      </c>
      <c r="O118" s="172">
        <v>3</v>
      </c>
      <c r="P118" s="219">
        <f ca="1">OFFSET($A$1,MATCH(Z117,$A:$A,0)-1,O118)</f>
        <v>0.3</v>
      </c>
      <c r="Q118" s="141" t="s">
        <v>29</v>
      </c>
      <c r="R118" s="142">
        <f t="shared" ref="R118:R123" ca="1" si="32">T118</f>
        <v>467217</v>
      </c>
      <c r="S118" s="142">
        <f t="shared" ref="S118:S123" ca="1" si="33">U118</f>
        <v>140165</v>
      </c>
      <c r="T118" s="142">
        <f ca="1">기술사</f>
        <v>467217</v>
      </c>
      <c r="U118" s="142">
        <f t="shared" ref="U118:U123" ca="1" si="34">ROUNDDOWN(P118*R118,0)</f>
        <v>140165</v>
      </c>
      <c r="V118" s="142"/>
      <c r="W118" s="142"/>
      <c r="X118" s="142"/>
      <c r="Y118" s="142"/>
      <c r="Z118" s="114"/>
    </row>
    <row r="119" spans="14:26" ht="18" customHeight="1">
      <c r="N119" s="143" t="s">
        <v>32</v>
      </c>
      <c r="O119" s="173">
        <v>4</v>
      </c>
      <c r="P119" s="234">
        <f ca="1">OFFSET($A$1,MATCH(Z117,$A:$A,0)-1,O119)</f>
        <v>1.1000000000000001</v>
      </c>
      <c r="Q119" s="144" t="s">
        <v>29</v>
      </c>
      <c r="R119" s="118">
        <f t="shared" ca="1" si="32"/>
        <v>373353</v>
      </c>
      <c r="S119" s="118">
        <f t="shared" ca="1" si="33"/>
        <v>410688</v>
      </c>
      <c r="T119" s="118">
        <f ca="1">특급</f>
        <v>373353</v>
      </c>
      <c r="U119" s="118">
        <f t="shared" ca="1" si="34"/>
        <v>410688</v>
      </c>
      <c r="V119" s="118"/>
      <c r="W119" s="118"/>
      <c r="X119" s="118"/>
      <c r="Y119" s="118"/>
      <c r="Z119" s="115"/>
    </row>
    <row r="120" spans="14:26" ht="18" customHeight="1">
      <c r="N120" s="145" t="s">
        <v>39</v>
      </c>
      <c r="O120" s="173">
        <v>5</v>
      </c>
      <c r="P120" s="234">
        <f ca="1">OFFSET($A$1,MATCH(Z117,$A:$A,0)-1,O120)</f>
        <v>2.6</v>
      </c>
      <c r="Q120" s="144" t="s">
        <v>29</v>
      </c>
      <c r="R120" s="118">
        <f t="shared" ca="1" si="32"/>
        <v>310884</v>
      </c>
      <c r="S120" s="118">
        <f t="shared" ca="1" si="33"/>
        <v>808298</v>
      </c>
      <c r="T120" s="118">
        <f ca="1">고급</f>
        <v>310884</v>
      </c>
      <c r="U120" s="118">
        <f t="shared" ca="1" si="34"/>
        <v>808298</v>
      </c>
      <c r="V120" s="118"/>
      <c r="W120" s="118"/>
      <c r="X120" s="118"/>
      <c r="Y120" s="118"/>
      <c r="Z120" s="115"/>
    </row>
    <row r="121" spans="14:26" ht="18" customHeight="1">
      <c r="N121" s="145" t="s">
        <v>40</v>
      </c>
      <c r="O121" s="173">
        <v>6</v>
      </c>
      <c r="P121" s="234">
        <f ca="1">OFFSET($A$1,MATCH(Z117,$A:$A,0)-1,O121)</f>
        <v>2.9</v>
      </c>
      <c r="Q121" s="144" t="s">
        <v>29</v>
      </c>
      <c r="R121" s="118">
        <f t="shared" ca="1" si="32"/>
        <v>295138</v>
      </c>
      <c r="S121" s="118">
        <f t="shared" ca="1" si="33"/>
        <v>855900</v>
      </c>
      <c r="T121" s="118">
        <f ca="1">중급</f>
        <v>295138</v>
      </c>
      <c r="U121" s="118">
        <f t="shared" ca="1" si="34"/>
        <v>855900</v>
      </c>
      <c r="V121" s="118"/>
      <c r="W121" s="118"/>
      <c r="X121" s="118"/>
      <c r="Y121" s="118"/>
      <c r="Z121" s="115"/>
    </row>
    <row r="122" spans="14:26" ht="18" customHeight="1">
      <c r="N122" s="145" t="s">
        <v>41</v>
      </c>
      <c r="O122" s="173">
        <v>7</v>
      </c>
      <c r="P122" s="234">
        <f ca="1">OFFSET($A$1,MATCH(Z117,$A:$A,0)-1,O122)</f>
        <v>10</v>
      </c>
      <c r="Q122" s="144" t="s">
        <v>29</v>
      </c>
      <c r="R122" s="118">
        <f t="shared" ca="1" si="32"/>
        <v>235459</v>
      </c>
      <c r="S122" s="118">
        <f t="shared" ca="1" si="33"/>
        <v>2354590</v>
      </c>
      <c r="T122" s="118">
        <f ca="1">초급</f>
        <v>235459</v>
      </c>
      <c r="U122" s="118">
        <f t="shared" ca="1" si="34"/>
        <v>2354590</v>
      </c>
      <c r="V122" s="118"/>
      <c r="W122" s="118"/>
      <c r="X122" s="118"/>
      <c r="Y122" s="118"/>
      <c r="Z122" s="115"/>
    </row>
    <row r="123" spans="14:26" ht="18" customHeight="1">
      <c r="N123" s="319" t="s">
        <v>42</v>
      </c>
      <c r="O123" s="174">
        <v>8</v>
      </c>
      <c r="P123" s="235">
        <f ca="1">OFFSET($A$1,MATCH(Z117,$A:$A,0)-1,O123)</f>
        <v>13.9</v>
      </c>
      <c r="Q123" s="322" t="s">
        <v>29</v>
      </c>
      <c r="R123" s="323">
        <f t="shared" ca="1" si="32"/>
        <v>250087</v>
      </c>
      <c r="S123" s="323">
        <f t="shared" ca="1" si="33"/>
        <v>3476209</v>
      </c>
      <c r="T123" s="323">
        <f ca="1">보조원</f>
        <v>250087</v>
      </c>
      <c r="U123" s="323">
        <f t="shared" ca="1" si="34"/>
        <v>3476209</v>
      </c>
      <c r="V123" s="323"/>
      <c r="W123" s="323"/>
      <c r="X123" s="323"/>
      <c r="Y123" s="323"/>
      <c r="Z123" s="324"/>
    </row>
    <row r="124" spans="14:26" ht="18" customHeight="1">
      <c r="N124" s="139" t="s">
        <v>115</v>
      </c>
      <c r="O124" s="68"/>
      <c r="P124" s="69"/>
      <c r="Q124" s="70"/>
      <c r="R124" s="71"/>
      <c r="S124" s="71">
        <f ca="1">SUBTOTAL(9,S118:S123)</f>
        <v>8045850</v>
      </c>
      <c r="T124" s="71"/>
      <c r="U124" s="71">
        <f ca="1">SUBTOTAL(9,U118:U123)</f>
        <v>8045850</v>
      </c>
      <c r="V124" s="71"/>
      <c r="W124" s="71"/>
      <c r="X124" s="71"/>
      <c r="Y124" s="71"/>
      <c r="Z124" s="68"/>
    </row>
    <row r="125" spans="14:26" ht="18" customHeight="1">
      <c r="N125" s="318" t="str">
        <f ca="1">"제 " &amp; Z125 &amp; " 호표  "&amp; OFFSET($A$1,MATCH(Z125,$A:$A,0)-1,1)</f>
        <v>제 10 호표  4.1. 공청회/주민설명회</v>
      </c>
      <c r="O125" s="221"/>
      <c r="P125" s="148"/>
      <c r="Q125" s="148"/>
      <c r="R125" s="149"/>
      <c r="S125" s="149"/>
      <c r="T125" s="149"/>
      <c r="U125" s="149"/>
      <c r="V125" s="149"/>
      <c r="W125" s="149"/>
      <c r="X125" s="149"/>
      <c r="Y125" s="149"/>
      <c r="Z125" s="325">
        <f>Z117+1</f>
        <v>10</v>
      </c>
    </row>
    <row r="126" spans="14:26" ht="18" customHeight="1">
      <c r="N126" s="140" t="s">
        <v>43</v>
      </c>
      <c r="O126" s="172">
        <v>3</v>
      </c>
      <c r="P126" s="219">
        <f ca="1">OFFSET($A$1,MATCH(Z125,$A:$A,0)-1,O126)</f>
        <v>2</v>
      </c>
      <c r="Q126" s="141" t="s">
        <v>29</v>
      </c>
      <c r="R126" s="142">
        <f t="shared" ref="R126:R131" ca="1" si="35">T126</f>
        <v>467217</v>
      </c>
      <c r="S126" s="142">
        <f t="shared" ref="S126:S131" ca="1" si="36">U126</f>
        <v>934434</v>
      </c>
      <c r="T126" s="142">
        <f ca="1">기술사</f>
        <v>467217</v>
      </c>
      <c r="U126" s="142">
        <f t="shared" ref="U126:U131" ca="1" si="37">ROUNDDOWN(P126*R126,0)</f>
        <v>934434</v>
      </c>
      <c r="V126" s="142"/>
      <c r="W126" s="142"/>
      <c r="X126" s="142"/>
      <c r="Y126" s="142"/>
      <c r="Z126" s="114"/>
    </row>
    <row r="127" spans="14:26" ht="18" customHeight="1">
      <c r="N127" s="143" t="s">
        <v>32</v>
      </c>
      <c r="O127" s="173">
        <v>4</v>
      </c>
      <c r="P127" s="234">
        <f ca="1">OFFSET($A$1,MATCH(Z125,$A:$A,0)-1,O127)</f>
        <v>2</v>
      </c>
      <c r="Q127" s="144" t="s">
        <v>29</v>
      </c>
      <c r="R127" s="118">
        <f t="shared" ca="1" si="35"/>
        <v>373353</v>
      </c>
      <c r="S127" s="118">
        <f t="shared" ca="1" si="36"/>
        <v>746706</v>
      </c>
      <c r="T127" s="118">
        <f ca="1">특급</f>
        <v>373353</v>
      </c>
      <c r="U127" s="118">
        <f t="shared" ca="1" si="37"/>
        <v>746706</v>
      </c>
      <c r="V127" s="118"/>
      <c r="W127" s="118"/>
      <c r="X127" s="118"/>
      <c r="Y127" s="118"/>
      <c r="Z127" s="115"/>
    </row>
    <row r="128" spans="14:26" ht="18" customHeight="1">
      <c r="N128" s="145" t="s">
        <v>39</v>
      </c>
      <c r="O128" s="173">
        <v>5</v>
      </c>
      <c r="P128" s="234">
        <f ca="1">OFFSET($A$1,MATCH(Z125,$A:$A,0)-1,O128)</f>
        <v>2</v>
      </c>
      <c r="Q128" s="144" t="s">
        <v>29</v>
      </c>
      <c r="R128" s="118">
        <f t="shared" ca="1" si="35"/>
        <v>310884</v>
      </c>
      <c r="S128" s="118">
        <f t="shared" ca="1" si="36"/>
        <v>621768</v>
      </c>
      <c r="T128" s="118">
        <f ca="1">고급</f>
        <v>310884</v>
      </c>
      <c r="U128" s="118">
        <f t="shared" ca="1" si="37"/>
        <v>621768</v>
      </c>
      <c r="V128" s="118"/>
      <c r="W128" s="118"/>
      <c r="X128" s="118"/>
      <c r="Y128" s="118"/>
      <c r="Z128" s="115"/>
    </row>
    <row r="129" spans="14:26" ht="18" customHeight="1">
      <c r="N129" s="145" t="s">
        <v>40</v>
      </c>
      <c r="O129" s="173">
        <v>6</v>
      </c>
      <c r="P129" s="234">
        <f ca="1">OFFSET($A$1,MATCH(Z125,$A:$A,0)-1,O129)</f>
        <v>4</v>
      </c>
      <c r="Q129" s="144" t="s">
        <v>29</v>
      </c>
      <c r="R129" s="118">
        <f t="shared" ca="1" si="35"/>
        <v>295138</v>
      </c>
      <c r="S129" s="118">
        <f t="shared" ca="1" si="36"/>
        <v>1180552</v>
      </c>
      <c r="T129" s="118">
        <f ca="1">중급</f>
        <v>295138</v>
      </c>
      <c r="U129" s="118">
        <f t="shared" ca="1" si="37"/>
        <v>1180552</v>
      </c>
      <c r="V129" s="118"/>
      <c r="W129" s="118"/>
      <c r="X129" s="118"/>
      <c r="Y129" s="118"/>
      <c r="Z129" s="115"/>
    </row>
    <row r="130" spans="14:26" ht="18" customHeight="1">
      <c r="N130" s="145" t="s">
        <v>41</v>
      </c>
      <c r="O130" s="173">
        <v>7</v>
      </c>
      <c r="P130" s="234">
        <f ca="1">OFFSET($A$1,MATCH(Z125,$A:$A,0)-1,O130)</f>
        <v>4</v>
      </c>
      <c r="Q130" s="144" t="s">
        <v>29</v>
      </c>
      <c r="R130" s="118">
        <f t="shared" ca="1" si="35"/>
        <v>235459</v>
      </c>
      <c r="S130" s="118">
        <f t="shared" ca="1" si="36"/>
        <v>941836</v>
      </c>
      <c r="T130" s="118">
        <f ca="1">초급</f>
        <v>235459</v>
      </c>
      <c r="U130" s="118">
        <f t="shared" ca="1" si="37"/>
        <v>941836</v>
      </c>
      <c r="V130" s="118"/>
      <c r="W130" s="118"/>
      <c r="X130" s="118"/>
      <c r="Y130" s="118"/>
      <c r="Z130" s="115"/>
    </row>
    <row r="131" spans="14:26" ht="18" customHeight="1">
      <c r="N131" s="319" t="s">
        <v>42</v>
      </c>
      <c r="O131" s="174">
        <v>8</v>
      </c>
      <c r="P131" s="235">
        <f ca="1">OFFSET($A$1,MATCH(Z125,$A:$A,0)-1,O131)</f>
        <v>4</v>
      </c>
      <c r="Q131" s="322" t="s">
        <v>29</v>
      </c>
      <c r="R131" s="323">
        <f t="shared" ca="1" si="35"/>
        <v>250087</v>
      </c>
      <c r="S131" s="323">
        <f t="shared" ca="1" si="36"/>
        <v>1000348</v>
      </c>
      <c r="T131" s="323">
        <f ca="1">보조원</f>
        <v>250087</v>
      </c>
      <c r="U131" s="323">
        <f t="shared" ca="1" si="37"/>
        <v>1000348</v>
      </c>
      <c r="V131" s="323"/>
      <c r="W131" s="323"/>
      <c r="X131" s="323"/>
      <c r="Y131" s="323"/>
      <c r="Z131" s="324"/>
    </row>
    <row r="132" spans="14:26" ht="18" customHeight="1">
      <c r="N132" s="139" t="s">
        <v>115</v>
      </c>
      <c r="O132" s="68"/>
      <c r="P132" s="69"/>
      <c r="Q132" s="70"/>
      <c r="R132" s="71"/>
      <c r="S132" s="71">
        <f ca="1">SUBTOTAL(9,S126:S131)</f>
        <v>5425644</v>
      </c>
      <c r="T132" s="71"/>
      <c r="U132" s="71">
        <f ca="1">SUBTOTAL(9,U126:U131)</f>
        <v>5425644</v>
      </c>
      <c r="V132" s="71"/>
      <c r="W132" s="71"/>
      <c r="X132" s="71"/>
      <c r="Y132" s="71"/>
      <c r="Z132" s="68"/>
    </row>
    <row r="133" spans="14:26" ht="18" customHeight="1">
      <c r="N133" s="318" t="str">
        <f ca="1">"제 " &amp; Z133 &amp; " 호표  "&amp; OFFSET($A$1,MATCH(Z133,$A:$A,0)-1,1)</f>
        <v>제 11 호표  4.2. 주민간담회/시민계획단</v>
      </c>
      <c r="O133" s="221"/>
      <c r="P133" s="148"/>
      <c r="Q133" s="148"/>
      <c r="R133" s="149"/>
      <c r="S133" s="149"/>
      <c r="T133" s="149"/>
      <c r="U133" s="149"/>
      <c r="V133" s="149"/>
      <c r="W133" s="149"/>
      <c r="X133" s="149"/>
      <c r="Y133" s="149"/>
      <c r="Z133" s="325">
        <f>Z125+1</f>
        <v>11</v>
      </c>
    </row>
    <row r="134" spans="14:26" ht="18" customHeight="1">
      <c r="N134" s="140" t="s">
        <v>43</v>
      </c>
      <c r="O134" s="172">
        <v>3</v>
      </c>
      <c r="P134" s="219">
        <f ca="1">OFFSET($A$1,MATCH(Z133,$A:$A,0)-1,O134)</f>
        <v>2</v>
      </c>
      <c r="Q134" s="141" t="s">
        <v>29</v>
      </c>
      <c r="R134" s="142">
        <f t="shared" ref="R134:R139" ca="1" si="38">T134</f>
        <v>467217</v>
      </c>
      <c r="S134" s="142">
        <f t="shared" ref="S134:S139" ca="1" si="39">U134</f>
        <v>934434</v>
      </c>
      <c r="T134" s="142">
        <f ca="1">기술사</f>
        <v>467217</v>
      </c>
      <c r="U134" s="142">
        <f t="shared" ref="U134:U139" ca="1" si="40">ROUNDDOWN(P134*R134,0)</f>
        <v>934434</v>
      </c>
      <c r="V134" s="142"/>
      <c r="W134" s="142"/>
      <c r="X134" s="142"/>
      <c r="Y134" s="142"/>
      <c r="Z134" s="114"/>
    </row>
    <row r="135" spans="14:26" ht="18" customHeight="1">
      <c r="N135" s="143" t="s">
        <v>32</v>
      </c>
      <c r="O135" s="173">
        <v>4</v>
      </c>
      <c r="P135" s="234">
        <f ca="1">OFFSET($A$1,MATCH(Z133,$A:$A,0)-1,O135)</f>
        <v>2</v>
      </c>
      <c r="Q135" s="144" t="s">
        <v>29</v>
      </c>
      <c r="R135" s="118">
        <f t="shared" ca="1" si="38"/>
        <v>373353</v>
      </c>
      <c r="S135" s="118">
        <f t="shared" ca="1" si="39"/>
        <v>746706</v>
      </c>
      <c r="T135" s="118">
        <f ca="1">특급</f>
        <v>373353</v>
      </c>
      <c r="U135" s="118">
        <f t="shared" ca="1" si="40"/>
        <v>746706</v>
      </c>
      <c r="V135" s="118"/>
      <c r="W135" s="118"/>
      <c r="X135" s="118"/>
      <c r="Y135" s="118"/>
      <c r="Z135" s="115"/>
    </row>
    <row r="136" spans="14:26" ht="18" customHeight="1">
      <c r="N136" s="145" t="s">
        <v>39</v>
      </c>
      <c r="O136" s="173">
        <v>5</v>
      </c>
      <c r="P136" s="234">
        <f ca="1">OFFSET($A$1,MATCH(Z133,$A:$A,0)-1,O136)</f>
        <v>2</v>
      </c>
      <c r="Q136" s="144" t="s">
        <v>29</v>
      </c>
      <c r="R136" s="118">
        <f t="shared" ca="1" si="38"/>
        <v>310884</v>
      </c>
      <c r="S136" s="118">
        <f t="shared" ca="1" si="39"/>
        <v>621768</v>
      </c>
      <c r="T136" s="118">
        <f ca="1">고급</f>
        <v>310884</v>
      </c>
      <c r="U136" s="118">
        <f t="shared" ca="1" si="40"/>
        <v>621768</v>
      </c>
      <c r="V136" s="118"/>
      <c r="W136" s="118"/>
      <c r="X136" s="118"/>
      <c r="Y136" s="118"/>
      <c r="Z136" s="115"/>
    </row>
    <row r="137" spans="14:26" ht="18" customHeight="1">
      <c r="N137" s="145" t="s">
        <v>40</v>
      </c>
      <c r="O137" s="173">
        <v>6</v>
      </c>
      <c r="P137" s="234">
        <f ca="1">OFFSET($A$1,MATCH(Z133,$A:$A,0)-1,O137)</f>
        <v>4</v>
      </c>
      <c r="Q137" s="144" t="s">
        <v>29</v>
      </c>
      <c r="R137" s="118">
        <f t="shared" ca="1" si="38"/>
        <v>295138</v>
      </c>
      <c r="S137" s="118">
        <f t="shared" ca="1" si="39"/>
        <v>1180552</v>
      </c>
      <c r="T137" s="118">
        <f ca="1">중급</f>
        <v>295138</v>
      </c>
      <c r="U137" s="118">
        <f t="shared" ca="1" si="40"/>
        <v>1180552</v>
      </c>
      <c r="V137" s="118"/>
      <c r="W137" s="118"/>
      <c r="X137" s="118"/>
      <c r="Y137" s="118"/>
      <c r="Z137" s="115"/>
    </row>
    <row r="138" spans="14:26" ht="18" customHeight="1">
      <c r="N138" s="145" t="s">
        <v>41</v>
      </c>
      <c r="O138" s="173">
        <v>7</v>
      </c>
      <c r="P138" s="234">
        <f ca="1">OFFSET($A$1,MATCH(Z133,$A:$A,0)-1,O138)</f>
        <v>4</v>
      </c>
      <c r="Q138" s="144" t="s">
        <v>29</v>
      </c>
      <c r="R138" s="118">
        <f t="shared" ca="1" si="38"/>
        <v>235459</v>
      </c>
      <c r="S138" s="118">
        <f t="shared" ca="1" si="39"/>
        <v>941836</v>
      </c>
      <c r="T138" s="118">
        <f ca="1">초급</f>
        <v>235459</v>
      </c>
      <c r="U138" s="118">
        <f t="shared" ca="1" si="40"/>
        <v>941836</v>
      </c>
      <c r="V138" s="118"/>
      <c r="W138" s="118"/>
      <c r="X138" s="118"/>
      <c r="Y138" s="118"/>
      <c r="Z138" s="115"/>
    </row>
    <row r="139" spans="14:26" ht="18" customHeight="1">
      <c r="N139" s="319" t="s">
        <v>42</v>
      </c>
      <c r="O139" s="174">
        <v>8</v>
      </c>
      <c r="P139" s="235">
        <f ca="1">OFFSET($A$1,MATCH(Z133,$A:$A,0)-1,O139)</f>
        <v>4</v>
      </c>
      <c r="Q139" s="322" t="s">
        <v>29</v>
      </c>
      <c r="R139" s="323">
        <f t="shared" ca="1" si="38"/>
        <v>250087</v>
      </c>
      <c r="S139" s="323">
        <f t="shared" ca="1" si="39"/>
        <v>1000348</v>
      </c>
      <c r="T139" s="323">
        <f ca="1">보조원</f>
        <v>250087</v>
      </c>
      <c r="U139" s="323">
        <f t="shared" ca="1" si="40"/>
        <v>1000348</v>
      </c>
      <c r="V139" s="323"/>
      <c r="W139" s="323"/>
      <c r="X139" s="323"/>
      <c r="Y139" s="323"/>
      <c r="Z139" s="324"/>
    </row>
    <row r="140" spans="14:26" ht="18" customHeight="1">
      <c r="N140" s="139" t="s">
        <v>115</v>
      </c>
      <c r="O140" s="68"/>
      <c r="P140" s="69"/>
      <c r="Q140" s="70"/>
      <c r="R140" s="71"/>
      <c r="S140" s="71">
        <f ca="1">SUBTOTAL(9,S134:S139)</f>
        <v>5425644</v>
      </c>
      <c r="T140" s="71"/>
      <c r="U140" s="71">
        <f ca="1">SUBTOTAL(9,U134:U139)</f>
        <v>5425644</v>
      </c>
      <c r="V140" s="71"/>
      <c r="W140" s="71"/>
      <c r="X140" s="71"/>
      <c r="Y140" s="71"/>
      <c r="Z140" s="68"/>
    </row>
    <row r="141" spans="14:26" ht="18" customHeight="1">
      <c r="N141" s="318" t="str">
        <f ca="1">"제 " &amp; Z141 &amp; " 호표  "&amp; OFFSET($A$1,MATCH(Z141,$A:$A,0)-1,1)</f>
        <v>제 12 호표  4.3. 위원회심의 지원</v>
      </c>
      <c r="O141" s="221"/>
      <c r="P141" s="148"/>
      <c r="Q141" s="148"/>
      <c r="R141" s="149"/>
      <c r="S141" s="149"/>
      <c r="T141" s="149"/>
      <c r="U141" s="149"/>
      <c r="V141" s="149"/>
      <c r="W141" s="149"/>
      <c r="X141" s="149"/>
      <c r="Y141" s="149"/>
      <c r="Z141" s="325">
        <f>Z133+1</f>
        <v>12</v>
      </c>
    </row>
    <row r="142" spans="14:26" ht="18" customHeight="1">
      <c r="N142" s="140" t="s">
        <v>43</v>
      </c>
      <c r="O142" s="172">
        <v>3</v>
      </c>
      <c r="P142" s="219">
        <f ca="1">OFFSET($A$1,MATCH(Z141,$A:$A,0)-1,O142)</f>
        <v>2</v>
      </c>
      <c r="Q142" s="141" t="s">
        <v>29</v>
      </c>
      <c r="R142" s="142">
        <f t="shared" ref="R142:R147" ca="1" si="41">T142</f>
        <v>467217</v>
      </c>
      <c r="S142" s="142">
        <f t="shared" ref="S142:S147" ca="1" si="42">U142</f>
        <v>934434</v>
      </c>
      <c r="T142" s="142">
        <f ca="1">기술사</f>
        <v>467217</v>
      </c>
      <c r="U142" s="142">
        <f t="shared" ref="U142:U147" ca="1" si="43">ROUNDDOWN(P142*R142,0)</f>
        <v>934434</v>
      </c>
      <c r="V142" s="142"/>
      <c r="W142" s="142"/>
      <c r="X142" s="142"/>
      <c r="Y142" s="142"/>
      <c r="Z142" s="114"/>
    </row>
    <row r="143" spans="14:26" ht="18" customHeight="1">
      <c r="N143" s="143" t="s">
        <v>32</v>
      </c>
      <c r="O143" s="173">
        <v>4</v>
      </c>
      <c r="P143" s="234">
        <f ca="1">OFFSET($A$1,MATCH(Z141,$A:$A,0)-1,O143)</f>
        <v>2</v>
      </c>
      <c r="Q143" s="144" t="s">
        <v>29</v>
      </c>
      <c r="R143" s="118">
        <f t="shared" ca="1" si="41"/>
        <v>373353</v>
      </c>
      <c r="S143" s="118">
        <f t="shared" ca="1" si="42"/>
        <v>746706</v>
      </c>
      <c r="T143" s="118">
        <f ca="1">특급</f>
        <v>373353</v>
      </c>
      <c r="U143" s="118">
        <f t="shared" ca="1" si="43"/>
        <v>746706</v>
      </c>
      <c r="V143" s="118"/>
      <c r="W143" s="118"/>
      <c r="X143" s="118"/>
      <c r="Y143" s="118"/>
      <c r="Z143" s="115"/>
    </row>
    <row r="144" spans="14:26" ht="18" customHeight="1">
      <c r="N144" s="145" t="s">
        <v>39</v>
      </c>
      <c r="O144" s="173">
        <v>5</v>
      </c>
      <c r="P144" s="234">
        <f ca="1">OFFSET($A$1,MATCH(Z141,$A:$A,0)-1,O144)</f>
        <v>2</v>
      </c>
      <c r="Q144" s="144" t="s">
        <v>29</v>
      </c>
      <c r="R144" s="118">
        <f t="shared" ca="1" si="41"/>
        <v>310884</v>
      </c>
      <c r="S144" s="118">
        <f t="shared" ca="1" si="42"/>
        <v>621768</v>
      </c>
      <c r="T144" s="118">
        <f ca="1">고급</f>
        <v>310884</v>
      </c>
      <c r="U144" s="118">
        <f t="shared" ca="1" si="43"/>
        <v>621768</v>
      </c>
      <c r="V144" s="118"/>
      <c r="W144" s="118"/>
      <c r="X144" s="118"/>
      <c r="Y144" s="118"/>
      <c r="Z144" s="115"/>
    </row>
    <row r="145" spans="14:26" ht="18" customHeight="1">
      <c r="N145" s="145" t="s">
        <v>40</v>
      </c>
      <c r="O145" s="173">
        <v>6</v>
      </c>
      <c r="P145" s="234">
        <f ca="1">OFFSET($A$1,MATCH(Z141,$A:$A,0)-1,O145)</f>
        <v>4</v>
      </c>
      <c r="Q145" s="144" t="s">
        <v>29</v>
      </c>
      <c r="R145" s="118">
        <f t="shared" ca="1" si="41"/>
        <v>295138</v>
      </c>
      <c r="S145" s="118">
        <f t="shared" ca="1" si="42"/>
        <v>1180552</v>
      </c>
      <c r="T145" s="118">
        <f ca="1">중급</f>
        <v>295138</v>
      </c>
      <c r="U145" s="118">
        <f t="shared" ca="1" si="43"/>
        <v>1180552</v>
      </c>
      <c r="V145" s="118"/>
      <c r="W145" s="118"/>
      <c r="X145" s="118"/>
      <c r="Y145" s="118"/>
      <c r="Z145" s="115"/>
    </row>
    <row r="146" spans="14:26" ht="18" customHeight="1">
      <c r="N146" s="145" t="s">
        <v>41</v>
      </c>
      <c r="O146" s="173">
        <v>7</v>
      </c>
      <c r="P146" s="234">
        <f ca="1">OFFSET($A$1,MATCH(Z141,$A:$A,0)-1,O146)</f>
        <v>4</v>
      </c>
      <c r="Q146" s="144" t="s">
        <v>29</v>
      </c>
      <c r="R146" s="118">
        <f t="shared" ca="1" si="41"/>
        <v>235459</v>
      </c>
      <c r="S146" s="118">
        <f t="shared" ca="1" si="42"/>
        <v>941836</v>
      </c>
      <c r="T146" s="118">
        <f ca="1">초급</f>
        <v>235459</v>
      </c>
      <c r="U146" s="118">
        <f t="shared" ca="1" si="43"/>
        <v>941836</v>
      </c>
      <c r="V146" s="118"/>
      <c r="W146" s="118"/>
      <c r="X146" s="118"/>
      <c r="Y146" s="118"/>
      <c r="Z146" s="115"/>
    </row>
    <row r="147" spans="14:26" ht="18" customHeight="1">
      <c r="N147" s="319" t="s">
        <v>42</v>
      </c>
      <c r="O147" s="174">
        <v>8</v>
      </c>
      <c r="P147" s="235">
        <f ca="1">OFFSET($A$1,MATCH(Z141,$A:$A,0)-1,O147)</f>
        <v>4</v>
      </c>
      <c r="Q147" s="322" t="s">
        <v>29</v>
      </c>
      <c r="R147" s="323">
        <f t="shared" ca="1" si="41"/>
        <v>250087</v>
      </c>
      <c r="S147" s="323">
        <f t="shared" ca="1" si="42"/>
        <v>1000348</v>
      </c>
      <c r="T147" s="323">
        <f ca="1">보조원</f>
        <v>250087</v>
      </c>
      <c r="U147" s="323">
        <f t="shared" ca="1" si="43"/>
        <v>1000348</v>
      </c>
      <c r="V147" s="323"/>
      <c r="W147" s="323"/>
      <c r="X147" s="323"/>
      <c r="Y147" s="323"/>
      <c r="Z147" s="324"/>
    </row>
    <row r="148" spans="14:26" ht="18" customHeight="1">
      <c r="N148" s="139" t="s">
        <v>17</v>
      </c>
      <c r="O148" s="68"/>
      <c r="P148" s="69"/>
      <c r="Q148" s="70"/>
      <c r="R148" s="71"/>
      <c r="S148" s="71">
        <f ca="1">SUBTOTAL(9,S142:S147)</f>
        <v>5425644</v>
      </c>
      <c r="T148" s="71"/>
      <c r="U148" s="71">
        <f ca="1">SUBTOTAL(9,U142:U147)</f>
        <v>5425644</v>
      </c>
      <c r="V148" s="71"/>
      <c r="W148" s="71"/>
      <c r="X148" s="71"/>
      <c r="Y148" s="71"/>
      <c r="Z148" s="68"/>
    </row>
    <row r="149" spans="14:26" ht="18" customHeight="1">
      <c r="N149" s="318" t="str">
        <f ca="1">"제 " &amp; Z149 &amp; " 호표  "&amp; OFFSET($A$1,MATCH(Z149,$A:$A,0)-1,1)</f>
        <v>제 13 호표  4.4. 관계기관 협의</v>
      </c>
      <c r="O149" s="221"/>
      <c r="P149" s="148"/>
      <c r="Q149" s="148"/>
      <c r="R149" s="149"/>
      <c r="S149" s="149"/>
      <c r="T149" s="149"/>
      <c r="U149" s="149"/>
      <c r="V149" s="149"/>
      <c r="W149" s="149"/>
      <c r="X149" s="149"/>
      <c r="Y149" s="149"/>
      <c r="Z149" s="325">
        <f>Z141+1</f>
        <v>13</v>
      </c>
    </row>
    <row r="150" spans="14:26" ht="18" customHeight="1">
      <c r="N150" s="140" t="s">
        <v>43</v>
      </c>
      <c r="O150" s="172">
        <v>3</v>
      </c>
      <c r="P150" s="219">
        <f ca="1">OFFSET($A$1,MATCH(Z149,$A:$A,0)-1,O150)</f>
        <v>2</v>
      </c>
      <c r="Q150" s="141" t="s">
        <v>29</v>
      </c>
      <c r="R150" s="142">
        <f t="shared" ref="R150:R155" ca="1" si="44">T150</f>
        <v>467217</v>
      </c>
      <c r="S150" s="142">
        <f t="shared" ref="S150:S155" ca="1" si="45">U150</f>
        <v>934434</v>
      </c>
      <c r="T150" s="142">
        <f ca="1">기술사</f>
        <v>467217</v>
      </c>
      <c r="U150" s="142">
        <f t="shared" ref="U150:U155" ca="1" si="46">ROUNDDOWN(P150*R150,0)</f>
        <v>934434</v>
      </c>
      <c r="V150" s="142"/>
      <c r="W150" s="142"/>
      <c r="X150" s="142"/>
      <c r="Y150" s="142"/>
      <c r="Z150" s="114"/>
    </row>
    <row r="151" spans="14:26" ht="18" customHeight="1">
      <c r="N151" s="143" t="s">
        <v>32</v>
      </c>
      <c r="O151" s="173">
        <v>4</v>
      </c>
      <c r="P151" s="234">
        <f ca="1">OFFSET($A$1,MATCH(Z149,$A:$A,0)-1,O151)</f>
        <v>2</v>
      </c>
      <c r="Q151" s="144" t="s">
        <v>29</v>
      </c>
      <c r="R151" s="118">
        <f t="shared" ca="1" si="44"/>
        <v>373353</v>
      </c>
      <c r="S151" s="118">
        <f t="shared" ca="1" si="45"/>
        <v>746706</v>
      </c>
      <c r="T151" s="118">
        <f ca="1">특급</f>
        <v>373353</v>
      </c>
      <c r="U151" s="118">
        <f t="shared" ca="1" si="46"/>
        <v>746706</v>
      </c>
      <c r="V151" s="118"/>
      <c r="W151" s="118"/>
      <c r="X151" s="118"/>
      <c r="Y151" s="118"/>
      <c r="Z151" s="115"/>
    </row>
    <row r="152" spans="14:26" ht="18" customHeight="1">
      <c r="N152" s="145" t="s">
        <v>39</v>
      </c>
      <c r="O152" s="173">
        <v>5</v>
      </c>
      <c r="P152" s="234">
        <f ca="1">OFFSET($A$1,MATCH(Z149,$A:$A,0)-1,O152)</f>
        <v>2</v>
      </c>
      <c r="Q152" s="144" t="s">
        <v>29</v>
      </c>
      <c r="R152" s="118">
        <f t="shared" ca="1" si="44"/>
        <v>310884</v>
      </c>
      <c r="S152" s="118">
        <f t="shared" ca="1" si="45"/>
        <v>621768</v>
      </c>
      <c r="T152" s="118">
        <f ca="1">고급</f>
        <v>310884</v>
      </c>
      <c r="U152" s="118">
        <f t="shared" ca="1" si="46"/>
        <v>621768</v>
      </c>
      <c r="V152" s="118"/>
      <c r="W152" s="118"/>
      <c r="X152" s="118"/>
      <c r="Y152" s="118"/>
      <c r="Z152" s="115"/>
    </row>
    <row r="153" spans="14:26" ht="18" customHeight="1">
      <c r="N153" s="145" t="s">
        <v>40</v>
      </c>
      <c r="O153" s="173">
        <v>6</v>
      </c>
      <c r="P153" s="234">
        <f ca="1">OFFSET($A$1,MATCH(Z149,$A:$A,0)-1,O153)</f>
        <v>4</v>
      </c>
      <c r="Q153" s="144" t="s">
        <v>29</v>
      </c>
      <c r="R153" s="118">
        <f t="shared" ca="1" si="44"/>
        <v>295138</v>
      </c>
      <c r="S153" s="118">
        <f t="shared" ca="1" si="45"/>
        <v>1180552</v>
      </c>
      <c r="T153" s="118">
        <f ca="1">중급</f>
        <v>295138</v>
      </c>
      <c r="U153" s="118">
        <f t="shared" ca="1" si="46"/>
        <v>1180552</v>
      </c>
      <c r="V153" s="118"/>
      <c r="W153" s="118"/>
      <c r="X153" s="118"/>
      <c r="Y153" s="118"/>
      <c r="Z153" s="115"/>
    </row>
    <row r="154" spans="14:26" ht="18" customHeight="1">
      <c r="N154" s="145" t="s">
        <v>41</v>
      </c>
      <c r="O154" s="173">
        <v>7</v>
      </c>
      <c r="P154" s="234">
        <f ca="1">OFFSET($A$1,MATCH(Z149,$A:$A,0)-1,O154)</f>
        <v>4</v>
      </c>
      <c r="Q154" s="144" t="s">
        <v>29</v>
      </c>
      <c r="R154" s="118">
        <f t="shared" ca="1" si="44"/>
        <v>235459</v>
      </c>
      <c r="S154" s="118">
        <f t="shared" ca="1" si="45"/>
        <v>941836</v>
      </c>
      <c r="T154" s="118">
        <f ca="1">초급</f>
        <v>235459</v>
      </c>
      <c r="U154" s="118">
        <f t="shared" ca="1" si="46"/>
        <v>941836</v>
      </c>
      <c r="V154" s="118"/>
      <c r="W154" s="118"/>
      <c r="X154" s="118"/>
      <c r="Y154" s="118"/>
      <c r="Z154" s="115"/>
    </row>
    <row r="155" spans="14:26" ht="18" customHeight="1">
      <c r="N155" s="319" t="s">
        <v>42</v>
      </c>
      <c r="O155" s="174">
        <v>8</v>
      </c>
      <c r="P155" s="235">
        <f ca="1">OFFSET($A$1,MATCH(Z149,$A:$A,0)-1,O155)</f>
        <v>4</v>
      </c>
      <c r="Q155" s="322" t="s">
        <v>29</v>
      </c>
      <c r="R155" s="323">
        <f t="shared" ca="1" si="44"/>
        <v>250087</v>
      </c>
      <c r="S155" s="323">
        <f t="shared" ca="1" si="45"/>
        <v>1000348</v>
      </c>
      <c r="T155" s="323">
        <f ca="1">보조원</f>
        <v>250087</v>
      </c>
      <c r="U155" s="323">
        <f t="shared" ca="1" si="46"/>
        <v>1000348</v>
      </c>
      <c r="V155" s="323"/>
      <c r="W155" s="323"/>
      <c r="X155" s="323"/>
      <c r="Y155" s="323"/>
      <c r="Z155" s="324"/>
    </row>
    <row r="156" spans="14:26" ht="18" customHeight="1">
      <c r="N156" s="139" t="s">
        <v>17</v>
      </c>
      <c r="O156" s="68"/>
      <c r="P156" s="69"/>
      <c r="Q156" s="70"/>
      <c r="R156" s="71"/>
      <c r="S156" s="71">
        <f ca="1">SUBTOTAL(9,S150:S155)</f>
        <v>5425644</v>
      </c>
      <c r="T156" s="71"/>
      <c r="U156" s="71">
        <f ca="1">SUBTOTAL(9,U150:U155)</f>
        <v>5425644</v>
      </c>
      <c r="V156" s="71"/>
      <c r="W156" s="71"/>
      <c r="X156" s="71"/>
      <c r="Y156" s="71"/>
      <c r="Z156" s="68"/>
    </row>
    <row r="170" spans="13:13" ht="18" customHeight="1">
      <c r="M170" s="171"/>
    </row>
    <row r="171" spans="13:13" ht="18" customHeight="1">
      <c r="M171" s="171"/>
    </row>
    <row r="172" spans="13:13" ht="18" customHeight="1">
      <c r="M172" s="171"/>
    </row>
    <row r="173" spans="13:13" ht="18" customHeight="1">
      <c r="M173" s="171"/>
    </row>
    <row r="174" spans="13:13" ht="18" customHeight="1">
      <c r="M174" s="171"/>
    </row>
    <row r="175" spans="13:13" ht="18" customHeight="1">
      <c r="M175" s="171"/>
    </row>
    <row r="176" spans="13:13" ht="18" customHeight="1">
      <c r="M176" s="171"/>
    </row>
    <row r="177" spans="11:13" ht="18" customHeight="1">
      <c r="M177" s="171"/>
    </row>
    <row r="178" spans="11:13" ht="18" customHeight="1">
      <c r="M178" s="171"/>
    </row>
    <row r="179" spans="11:13" ht="18" customHeight="1">
      <c r="M179" s="171"/>
    </row>
    <row r="180" spans="11:13" ht="18" customHeight="1">
      <c r="M180" s="171"/>
    </row>
    <row r="181" spans="11:13" ht="18" customHeight="1">
      <c r="K181" s="171" t="s">
        <v>93</v>
      </c>
      <c r="L181" s="171"/>
      <c r="M181" s="171"/>
    </row>
    <row r="182" spans="11:13" ht="18" customHeight="1">
      <c r="K182" s="171" t="s">
        <v>93</v>
      </c>
      <c r="L182" s="171"/>
      <c r="M182" s="171"/>
    </row>
    <row r="183" spans="11:13" ht="18" customHeight="1">
      <c r="K183" s="171" t="s">
        <v>93</v>
      </c>
      <c r="L183" s="171"/>
      <c r="M183" s="171"/>
    </row>
    <row r="184" spans="11:13" ht="18" customHeight="1">
      <c r="K184" s="171" t="s">
        <v>93</v>
      </c>
      <c r="L184" s="171"/>
      <c r="M184" s="171"/>
    </row>
    <row r="185" spans="11:13" ht="18" customHeight="1">
      <c r="K185" s="171" t="s">
        <v>93</v>
      </c>
      <c r="L185" s="171"/>
      <c r="M185" s="171"/>
    </row>
    <row r="186" spans="11:13" ht="18" customHeight="1">
      <c r="K186" s="171" t="s">
        <v>93</v>
      </c>
      <c r="L186" s="171"/>
      <c r="M186" s="171"/>
    </row>
    <row r="187" spans="11:13" ht="18" customHeight="1">
      <c r="K187" s="171" t="s">
        <v>93</v>
      </c>
      <c r="L187" s="171"/>
      <c r="M187" s="171"/>
    </row>
    <row r="188" spans="11:13" ht="18" customHeight="1">
      <c r="K188" s="171" t="s">
        <v>93</v>
      </c>
      <c r="L188" s="171"/>
      <c r="M188" s="171"/>
    </row>
    <row r="189" spans="11:13" ht="18" customHeight="1">
      <c r="K189" s="171" t="s">
        <v>93</v>
      </c>
      <c r="L189" s="171"/>
      <c r="M189" s="171"/>
    </row>
    <row r="190" spans="11:13" ht="18" customHeight="1">
      <c r="K190" s="171" t="s">
        <v>93</v>
      </c>
      <c r="L190" s="171"/>
      <c r="M190" s="171"/>
    </row>
    <row r="191" spans="11:13" ht="18" customHeight="1">
      <c r="K191" s="171" t="s">
        <v>93</v>
      </c>
      <c r="L191" s="171"/>
      <c r="M191" s="171"/>
    </row>
    <row r="192" spans="11:13" ht="18" customHeight="1">
      <c r="K192" s="171" t="s">
        <v>93</v>
      </c>
      <c r="L192" s="171"/>
      <c r="M192" s="171"/>
    </row>
    <row r="193" spans="11:13" ht="18" customHeight="1">
      <c r="K193" s="171" t="s">
        <v>93</v>
      </c>
      <c r="L193" s="171"/>
      <c r="M193" s="171"/>
    </row>
    <row r="194" spans="11:13" ht="18" customHeight="1">
      <c r="K194" s="171" t="s">
        <v>93</v>
      </c>
      <c r="L194" s="171"/>
      <c r="M194" s="171"/>
    </row>
    <row r="195" spans="11:13" ht="18" customHeight="1">
      <c r="K195" s="171" t="s">
        <v>93</v>
      </c>
      <c r="L195" s="171"/>
      <c r="M195" s="171"/>
    </row>
    <row r="196" spans="11:13" ht="18" customHeight="1">
      <c r="K196" s="171" t="s">
        <v>93</v>
      </c>
      <c r="L196" s="171"/>
      <c r="M196" s="171"/>
    </row>
    <row r="197" spans="11:13" ht="18" customHeight="1">
      <c r="K197" s="171" t="s">
        <v>93</v>
      </c>
      <c r="L197" s="171"/>
      <c r="M197" s="171"/>
    </row>
    <row r="198" spans="11:13" ht="18" customHeight="1">
      <c r="K198" s="171" t="s">
        <v>93</v>
      </c>
      <c r="L198" s="171"/>
      <c r="M198" s="171"/>
    </row>
    <row r="199" spans="11:13" ht="18" customHeight="1">
      <c r="K199" s="171" t="s">
        <v>93</v>
      </c>
      <c r="L199" s="171"/>
      <c r="M199" s="171"/>
    </row>
    <row r="200" spans="11:13" ht="18" customHeight="1">
      <c r="K200" s="171" t="s">
        <v>93</v>
      </c>
      <c r="L200" s="171"/>
      <c r="M200" s="171"/>
    </row>
    <row r="201" spans="11:13" ht="18" customHeight="1">
      <c r="K201" s="171" t="s">
        <v>93</v>
      </c>
      <c r="L201" s="171"/>
      <c r="M201" s="171"/>
    </row>
    <row r="202" spans="11:13" ht="18" customHeight="1">
      <c r="K202" s="171" t="s">
        <v>93</v>
      </c>
      <c r="L202" s="171"/>
      <c r="M202" s="171"/>
    </row>
    <row r="203" spans="11:13" ht="18" customHeight="1">
      <c r="K203" s="171" t="s">
        <v>93</v>
      </c>
      <c r="L203" s="171"/>
      <c r="M203" s="171"/>
    </row>
    <row r="204" spans="11:13" ht="18" customHeight="1">
      <c r="K204" s="171" t="s">
        <v>93</v>
      </c>
      <c r="L204" s="171"/>
      <c r="M204" s="171"/>
    </row>
    <row r="205" spans="11:13" ht="18" customHeight="1">
      <c r="K205" s="171" t="s">
        <v>93</v>
      </c>
      <c r="L205" s="171"/>
      <c r="M205" s="171"/>
    </row>
    <row r="206" spans="11:13" ht="18" customHeight="1">
      <c r="K206" s="171" t="s">
        <v>93</v>
      </c>
      <c r="L206" s="171"/>
      <c r="M206" s="171"/>
    </row>
    <row r="207" spans="11:13" ht="18" customHeight="1">
      <c r="K207" s="171" t="s">
        <v>93</v>
      </c>
      <c r="L207" s="171"/>
      <c r="M207" s="171"/>
    </row>
    <row r="208" spans="11:13" ht="18" customHeight="1">
      <c r="K208" s="171" t="s">
        <v>93</v>
      </c>
      <c r="L208" s="171"/>
      <c r="M208" s="171"/>
    </row>
    <row r="209" spans="11:13" ht="18" customHeight="1">
      <c r="K209" s="171" t="s">
        <v>93</v>
      </c>
      <c r="L209" s="171"/>
      <c r="M209" s="171"/>
    </row>
    <row r="210" spans="11:13" ht="18" customHeight="1">
      <c r="K210" s="171" t="s">
        <v>93</v>
      </c>
      <c r="L210" s="171"/>
      <c r="M210" s="171"/>
    </row>
    <row r="211" spans="11:13" ht="18" customHeight="1">
      <c r="K211" s="171" t="s">
        <v>93</v>
      </c>
      <c r="L211" s="171"/>
      <c r="M211" s="171"/>
    </row>
    <row r="212" spans="11:13" ht="18" customHeight="1">
      <c r="K212" s="171" t="s">
        <v>93</v>
      </c>
      <c r="L212" s="171"/>
      <c r="M212" s="171"/>
    </row>
    <row r="213" spans="11:13" ht="18" customHeight="1">
      <c r="K213" s="171" t="s">
        <v>93</v>
      </c>
      <c r="L213" s="171"/>
      <c r="M213" s="171"/>
    </row>
    <row r="214" spans="11:13" ht="18" customHeight="1">
      <c r="K214" s="171" t="s">
        <v>93</v>
      </c>
      <c r="L214" s="171"/>
      <c r="M214" s="171"/>
    </row>
    <row r="215" spans="11:13" ht="18" customHeight="1">
      <c r="K215" s="171" t="s">
        <v>93</v>
      </c>
      <c r="L215" s="171"/>
      <c r="M215" s="171"/>
    </row>
    <row r="216" spans="11:13" ht="18" customHeight="1">
      <c r="K216" s="171" t="s">
        <v>93</v>
      </c>
      <c r="L216" s="171"/>
      <c r="M216" s="171"/>
    </row>
    <row r="217" spans="11:13" ht="18" customHeight="1">
      <c r="K217" s="171" t="s">
        <v>93</v>
      </c>
      <c r="L217" s="171"/>
      <c r="M217" s="171"/>
    </row>
    <row r="218" spans="11:13" ht="18" customHeight="1">
      <c r="K218" s="171" t="s">
        <v>93</v>
      </c>
      <c r="L218" s="171"/>
      <c r="M218" s="171"/>
    </row>
    <row r="219" spans="11:13" ht="18" customHeight="1">
      <c r="K219" s="171" t="s">
        <v>93</v>
      </c>
      <c r="L219" s="171"/>
      <c r="M219" s="171"/>
    </row>
    <row r="220" spans="11:13" ht="18" customHeight="1">
      <c r="K220" s="171" t="s">
        <v>93</v>
      </c>
      <c r="L220" s="171"/>
      <c r="M220" s="171"/>
    </row>
    <row r="221" spans="11:13" ht="18" customHeight="1">
      <c r="K221" s="171" t="s">
        <v>93</v>
      </c>
      <c r="L221" s="171"/>
      <c r="M221" s="171"/>
    </row>
    <row r="222" spans="11:13" ht="18" customHeight="1">
      <c r="K222" s="171" t="s">
        <v>93</v>
      </c>
      <c r="L222" s="171"/>
      <c r="M222" s="171"/>
    </row>
    <row r="223" spans="11:13" ht="18" customHeight="1">
      <c r="K223" s="171" t="s">
        <v>93</v>
      </c>
      <c r="L223" s="171"/>
      <c r="M223" s="171"/>
    </row>
    <row r="224" spans="11:13" ht="18" customHeight="1">
      <c r="K224" s="171" t="s">
        <v>93</v>
      </c>
      <c r="L224" s="171"/>
      <c r="M224" s="171"/>
    </row>
    <row r="225" spans="11:13" ht="18" customHeight="1">
      <c r="K225" s="171" t="s">
        <v>93</v>
      </c>
      <c r="L225" s="171"/>
      <c r="M225" s="171"/>
    </row>
    <row r="226" spans="11:13" ht="18" customHeight="1">
      <c r="K226" s="171" t="s">
        <v>93</v>
      </c>
      <c r="L226" s="171"/>
      <c r="M226" s="171"/>
    </row>
    <row r="227" spans="11:13" ht="18" customHeight="1">
      <c r="K227" s="171" t="s">
        <v>93</v>
      </c>
      <c r="L227" s="171"/>
      <c r="M227" s="171"/>
    </row>
    <row r="228" spans="11:13" ht="18" customHeight="1">
      <c r="K228" s="171" t="s">
        <v>93</v>
      </c>
      <c r="L228" s="171"/>
      <c r="M228" s="171"/>
    </row>
    <row r="229" spans="11:13" ht="18" customHeight="1">
      <c r="K229" s="171" t="s">
        <v>93</v>
      </c>
      <c r="L229" s="171"/>
      <c r="M229" s="171"/>
    </row>
    <row r="230" spans="11:13" ht="18" customHeight="1">
      <c r="K230" s="171" t="s">
        <v>93</v>
      </c>
      <c r="L230" s="171"/>
      <c r="M230" s="171"/>
    </row>
    <row r="231" spans="11:13" ht="18" customHeight="1">
      <c r="K231" s="171" t="s">
        <v>93</v>
      </c>
      <c r="L231" s="171"/>
      <c r="M231" s="171"/>
    </row>
    <row r="232" spans="11:13" ht="18" customHeight="1">
      <c r="K232" s="171" t="s">
        <v>93</v>
      </c>
      <c r="L232" s="171"/>
      <c r="M232" s="171"/>
    </row>
    <row r="233" spans="11:13" ht="18" customHeight="1">
      <c r="K233" s="171" t="s">
        <v>93</v>
      </c>
      <c r="L233" s="171"/>
      <c r="M233" s="171"/>
    </row>
    <row r="234" spans="11:13" ht="18" customHeight="1">
      <c r="K234" s="171" t="s">
        <v>93</v>
      </c>
      <c r="L234" s="171"/>
      <c r="M234" s="171"/>
    </row>
    <row r="235" spans="11:13" ht="18" customHeight="1">
      <c r="K235" s="171" t="s">
        <v>93</v>
      </c>
      <c r="L235" s="171"/>
      <c r="M235" s="171"/>
    </row>
    <row r="236" spans="11:13" ht="18" customHeight="1">
      <c r="K236" s="171" t="s">
        <v>93</v>
      </c>
      <c r="L236" s="171"/>
      <c r="M236" s="171"/>
    </row>
    <row r="237" spans="11:13" ht="18" customHeight="1">
      <c r="K237" s="171" t="s">
        <v>93</v>
      </c>
      <c r="L237" s="171"/>
      <c r="M237" s="171"/>
    </row>
    <row r="238" spans="11:13" ht="18" customHeight="1">
      <c r="K238" s="171" t="s">
        <v>93</v>
      </c>
      <c r="L238" s="171"/>
      <c r="M238" s="171"/>
    </row>
    <row r="239" spans="11:13" ht="18" customHeight="1">
      <c r="K239" s="171" t="s">
        <v>93</v>
      </c>
      <c r="L239" s="171"/>
      <c r="M239" s="171"/>
    </row>
    <row r="240" spans="11:13" ht="18" customHeight="1">
      <c r="K240" s="171" t="s">
        <v>93</v>
      </c>
      <c r="L240" s="171"/>
      <c r="M240" s="171"/>
    </row>
    <row r="241" spans="11:13" ht="18" customHeight="1">
      <c r="K241" s="171" t="s">
        <v>93</v>
      </c>
      <c r="L241" s="171"/>
      <c r="M241" s="171"/>
    </row>
    <row r="242" spans="11:13" ht="18" customHeight="1">
      <c r="K242" s="171" t="s">
        <v>93</v>
      </c>
      <c r="L242" s="171"/>
      <c r="M242" s="171"/>
    </row>
    <row r="243" spans="11:13" ht="18" customHeight="1">
      <c r="K243" s="171" t="s">
        <v>93</v>
      </c>
      <c r="L243" s="171"/>
      <c r="M243" s="171"/>
    </row>
    <row r="244" spans="11:13" ht="18" customHeight="1">
      <c r="K244" s="171" t="s">
        <v>93</v>
      </c>
      <c r="L244" s="171"/>
      <c r="M244" s="171"/>
    </row>
    <row r="245" spans="11:13" ht="18" customHeight="1">
      <c r="K245" s="171" t="s">
        <v>93</v>
      </c>
      <c r="L245" s="171"/>
      <c r="M245" s="171"/>
    </row>
    <row r="246" spans="11:13" ht="18" customHeight="1">
      <c r="K246" s="171" t="s">
        <v>93</v>
      </c>
      <c r="L246" s="171"/>
      <c r="M246" s="171"/>
    </row>
    <row r="247" spans="11:13" ht="18" customHeight="1">
      <c r="K247" s="171" t="s">
        <v>93</v>
      </c>
      <c r="L247" s="171"/>
      <c r="M247" s="171"/>
    </row>
    <row r="248" spans="11:13" ht="18" customHeight="1">
      <c r="K248" s="171" t="s">
        <v>93</v>
      </c>
      <c r="L248" s="171"/>
      <c r="M248" s="171"/>
    </row>
    <row r="249" spans="11:13" ht="18" customHeight="1">
      <c r="K249" s="171" t="s">
        <v>93</v>
      </c>
      <c r="L249" s="171"/>
      <c r="M249" s="171"/>
    </row>
    <row r="250" spans="11:13" ht="18" customHeight="1">
      <c r="K250" s="171" t="s">
        <v>93</v>
      </c>
      <c r="L250" s="171"/>
      <c r="M250" s="171"/>
    </row>
    <row r="251" spans="11:13" ht="18" customHeight="1">
      <c r="K251" s="171" t="s">
        <v>93</v>
      </c>
      <c r="L251" s="171"/>
      <c r="M251" s="171"/>
    </row>
    <row r="252" spans="11:13" ht="18" customHeight="1">
      <c r="K252" s="171" t="s">
        <v>93</v>
      </c>
      <c r="L252" s="171"/>
      <c r="M252" s="171"/>
    </row>
    <row r="253" spans="11:13" ht="18" customHeight="1">
      <c r="K253" s="171" t="s">
        <v>93</v>
      </c>
      <c r="L253" s="171"/>
      <c r="M253" s="171"/>
    </row>
    <row r="254" spans="11:13" ht="18" customHeight="1">
      <c r="K254" s="171" t="s">
        <v>93</v>
      </c>
      <c r="L254" s="171"/>
      <c r="M254" s="171"/>
    </row>
    <row r="255" spans="11:13" ht="18" customHeight="1">
      <c r="K255" s="171" t="s">
        <v>93</v>
      </c>
      <c r="L255" s="171"/>
      <c r="M255" s="171"/>
    </row>
    <row r="256" spans="11:13" ht="18" customHeight="1">
      <c r="K256" s="171" t="s">
        <v>93</v>
      </c>
      <c r="L256" s="171"/>
      <c r="M256" s="171"/>
    </row>
    <row r="257" spans="11:13" ht="18" customHeight="1">
      <c r="K257" s="171" t="s">
        <v>93</v>
      </c>
      <c r="L257" s="171"/>
      <c r="M257" s="171"/>
    </row>
    <row r="258" spans="11:13" ht="18" customHeight="1">
      <c r="K258" s="171" t="s">
        <v>93</v>
      </c>
      <c r="L258" s="171"/>
      <c r="M258" s="171"/>
    </row>
    <row r="259" spans="11:13" ht="18" customHeight="1">
      <c r="K259" s="171" t="s">
        <v>93</v>
      </c>
      <c r="L259" s="171"/>
      <c r="M259" s="171"/>
    </row>
    <row r="260" spans="11:13" ht="18" customHeight="1">
      <c r="K260" s="171" t="s">
        <v>93</v>
      </c>
      <c r="L260" s="171"/>
      <c r="M260" s="171"/>
    </row>
    <row r="261" spans="11:13" ht="18" customHeight="1">
      <c r="K261" s="171" t="s">
        <v>93</v>
      </c>
      <c r="L261" s="171"/>
      <c r="M261" s="171"/>
    </row>
    <row r="262" spans="11:13" ht="18" customHeight="1">
      <c r="K262" s="171" t="s">
        <v>93</v>
      </c>
      <c r="L262" s="171"/>
      <c r="M262" s="171"/>
    </row>
    <row r="263" spans="11:13" ht="18" customHeight="1">
      <c r="K263" s="171" t="s">
        <v>93</v>
      </c>
      <c r="L263" s="171"/>
      <c r="M263" s="171"/>
    </row>
    <row r="264" spans="11:13" ht="18" customHeight="1">
      <c r="K264" s="171" t="s">
        <v>93</v>
      </c>
      <c r="L264" s="171"/>
      <c r="M264" s="171"/>
    </row>
    <row r="265" spans="11:13" ht="18" customHeight="1">
      <c r="K265" s="171" t="s">
        <v>93</v>
      </c>
      <c r="L265" s="171"/>
      <c r="M265" s="171"/>
    </row>
    <row r="266" spans="11:13" ht="18" customHeight="1">
      <c r="K266" s="171" t="s">
        <v>93</v>
      </c>
      <c r="L266" s="171"/>
      <c r="M266" s="171"/>
    </row>
    <row r="267" spans="11:13" ht="18" customHeight="1">
      <c r="K267" s="171" t="s">
        <v>93</v>
      </c>
      <c r="L267" s="171"/>
      <c r="M267" s="171"/>
    </row>
    <row r="268" spans="11:13" ht="18" customHeight="1">
      <c r="K268" s="171" t="s">
        <v>93</v>
      </c>
      <c r="L268" s="171"/>
      <c r="M268" s="171"/>
    </row>
    <row r="269" spans="11:13" ht="18" customHeight="1">
      <c r="K269" s="171" t="s">
        <v>93</v>
      </c>
      <c r="L269" s="171"/>
      <c r="M269" s="171"/>
    </row>
    <row r="270" spans="11:13" ht="18" customHeight="1">
      <c r="K270" s="171" t="s">
        <v>93</v>
      </c>
      <c r="L270" s="171"/>
      <c r="M270" s="171"/>
    </row>
    <row r="271" spans="11:13" ht="18" customHeight="1">
      <c r="K271" s="171" t="s">
        <v>93</v>
      </c>
      <c r="L271" s="171"/>
      <c r="M271" s="171"/>
    </row>
    <row r="272" spans="11:13" ht="18" customHeight="1">
      <c r="K272" s="171" t="s">
        <v>93</v>
      </c>
      <c r="L272" s="171"/>
      <c r="M272" s="171"/>
    </row>
    <row r="273" spans="11:13" ht="18" customHeight="1">
      <c r="K273" s="171" t="s">
        <v>93</v>
      </c>
      <c r="L273" s="171"/>
      <c r="M273" s="171"/>
    </row>
    <row r="274" spans="11:13" ht="18" customHeight="1">
      <c r="K274" s="171" t="s">
        <v>93</v>
      </c>
      <c r="L274" s="171"/>
      <c r="M274" s="171"/>
    </row>
    <row r="275" spans="11:13" ht="18" customHeight="1">
      <c r="K275" s="171" t="s">
        <v>93</v>
      </c>
      <c r="L275" s="171"/>
      <c r="M275" s="171"/>
    </row>
    <row r="276" spans="11:13" ht="18" customHeight="1">
      <c r="K276" s="171" t="s">
        <v>93</v>
      </c>
      <c r="L276" s="171"/>
      <c r="M276" s="171"/>
    </row>
    <row r="277" spans="11:13" ht="18" customHeight="1">
      <c r="K277" s="171" t="s">
        <v>93</v>
      </c>
      <c r="L277" s="171"/>
      <c r="M277" s="171"/>
    </row>
    <row r="278" spans="11:13" ht="18" customHeight="1">
      <c r="K278" s="171" t="s">
        <v>93</v>
      </c>
      <c r="L278" s="171"/>
      <c r="M278" s="171"/>
    </row>
    <row r="279" spans="11:13" ht="18" customHeight="1">
      <c r="K279" s="171" t="s">
        <v>93</v>
      </c>
      <c r="L279" s="171"/>
      <c r="M279" s="171"/>
    </row>
    <row r="280" spans="11:13" ht="18" customHeight="1">
      <c r="K280" s="171" t="s">
        <v>93</v>
      </c>
      <c r="L280" s="171"/>
      <c r="M280" s="171"/>
    </row>
    <row r="281" spans="11:13" ht="18" customHeight="1">
      <c r="K281" s="171" t="s">
        <v>93</v>
      </c>
      <c r="L281" s="171"/>
      <c r="M281" s="171"/>
    </row>
    <row r="282" spans="11:13" ht="18" customHeight="1">
      <c r="K282" s="171" t="s">
        <v>93</v>
      </c>
      <c r="L282" s="171"/>
      <c r="M282" s="171"/>
    </row>
    <row r="283" spans="11:13" ht="18" customHeight="1">
      <c r="K283" s="171" t="s">
        <v>93</v>
      </c>
      <c r="L283" s="171"/>
      <c r="M283" s="171"/>
    </row>
    <row r="284" spans="11:13" ht="18" customHeight="1">
      <c r="K284" s="171" t="s">
        <v>93</v>
      </c>
      <c r="L284" s="171"/>
      <c r="M284" s="171"/>
    </row>
    <row r="285" spans="11:13" ht="18" customHeight="1">
      <c r="K285" s="171" t="s">
        <v>93</v>
      </c>
      <c r="L285" s="171"/>
      <c r="M285" s="171"/>
    </row>
    <row r="286" spans="11:13" ht="18" customHeight="1">
      <c r="K286" s="171" t="s">
        <v>93</v>
      </c>
      <c r="L286" s="171"/>
      <c r="M286" s="171"/>
    </row>
    <row r="287" spans="11:13" ht="18" customHeight="1">
      <c r="K287" s="171" t="s">
        <v>93</v>
      </c>
      <c r="L287" s="171"/>
      <c r="M287" s="171"/>
    </row>
    <row r="288" spans="11:13" ht="18" customHeight="1">
      <c r="K288" s="171" t="s">
        <v>93</v>
      </c>
      <c r="L288" s="171"/>
      <c r="M288" s="171"/>
    </row>
    <row r="289" spans="11:13" ht="18" customHeight="1">
      <c r="K289" s="171" t="s">
        <v>93</v>
      </c>
      <c r="L289" s="171"/>
      <c r="M289" s="171"/>
    </row>
    <row r="290" spans="11:13" ht="18" customHeight="1">
      <c r="K290" s="171" t="s">
        <v>93</v>
      </c>
      <c r="L290" s="171"/>
      <c r="M290" s="171"/>
    </row>
    <row r="291" spans="11:13" ht="18" customHeight="1">
      <c r="K291" s="171" t="s">
        <v>93</v>
      </c>
      <c r="L291" s="171"/>
      <c r="M291" s="171"/>
    </row>
    <row r="292" spans="11:13" ht="18" customHeight="1">
      <c r="K292" s="171" t="s">
        <v>93</v>
      </c>
      <c r="L292" s="171"/>
      <c r="M292" s="171"/>
    </row>
    <row r="293" spans="11:13" ht="18" customHeight="1">
      <c r="K293" s="171" t="s">
        <v>93</v>
      </c>
      <c r="L293" s="171"/>
      <c r="M293" s="171"/>
    </row>
    <row r="294" spans="11:13" ht="18" customHeight="1">
      <c r="K294" s="171" t="s">
        <v>93</v>
      </c>
      <c r="L294" s="171"/>
      <c r="M294" s="171"/>
    </row>
    <row r="295" spans="11:13" ht="18" customHeight="1">
      <c r="K295" s="171" t="s">
        <v>93</v>
      </c>
      <c r="L295" s="171"/>
      <c r="M295" s="171"/>
    </row>
    <row r="296" spans="11:13" ht="18" customHeight="1">
      <c r="K296" s="171" t="s">
        <v>93</v>
      </c>
      <c r="L296" s="171"/>
      <c r="M296" s="171"/>
    </row>
    <row r="297" spans="11:13" ht="18" customHeight="1">
      <c r="K297" s="171" t="s">
        <v>93</v>
      </c>
      <c r="L297" s="171"/>
      <c r="M297" s="171"/>
    </row>
    <row r="298" spans="11:13" ht="18" customHeight="1">
      <c r="K298" s="171" t="s">
        <v>93</v>
      </c>
      <c r="L298" s="171"/>
      <c r="M298" s="171"/>
    </row>
    <row r="299" spans="11:13" ht="18" customHeight="1">
      <c r="K299" s="171" t="s">
        <v>93</v>
      </c>
      <c r="L299" s="171"/>
      <c r="M299" s="171"/>
    </row>
    <row r="300" spans="11:13" ht="18" customHeight="1">
      <c r="K300" s="171" t="s">
        <v>93</v>
      </c>
      <c r="L300" s="171"/>
      <c r="M300" s="171"/>
    </row>
    <row r="301" spans="11:13" ht="18" customHeight="1">
      <c r="K301" s="171" t="s">
        <v>93</v>
      </c>
      <c r="L301" s="171"/>
      <c r="M301" s="171"/>
    </row>
    <row r="302" spans="11:13" ht="18" customHeight="1">
      <c r="K302" s="171" t="s">
        <v>93</v>
      </c>
      <c r="L302" s="171"/>
      <c r="M302" s="171"/>
    </row>
    <row r="303" spans="11:13" ht="18" customHeight="1">
      <c r="K303" s="171" t="s">
        <v>93</v>
      </c>
      <c r="L303" s="171"/>
      <c r="M303" s="171"/>
    </row>
    <row r="304" spans="11:13" ht="18" customHeight="1">
      <c r="K304" s="171" t="s">
        <v>93</v>
      </c>
      <c r="L304" s="171"/>
      <c r="M304" s="171"/>
    </row>
    <row r="305" spans="11:13" ht="18" customHeight="1">
      <c r="K305" s="171" t="s">
        <v>93</v>
      </c>
      <c r="L305" s="171"/>
      <c r="M305" s="171"/>
    </row>
    <row r="306" spans="11:13" ht="18" customHeight="1">
      <c r="K306" s="171" t="s">
        <v>93</v>
      </c>
      <c r="L306" s="171"/>
      <c r="M306" s="171"/>
    </row>
    <row r="307" spans="11:13" ht="18" customHeight="1">
      <c r="K307" s="171" t="s">
        <v>93</v>
      </c>
      <c r="L307" s="171"/>
      <c r="M307" s="171"/>
    </row>
    <row r="308" spans="11:13" ht="18" customHeight="1">
      <c r="K308" s="171" t="s">
        <v>93</v>
      </c>
      <c r="L308" s="171"/>
      <c r="M308" s="171"/>
    </row>
    <row r="309" spans="11:13" ht="18" customHeight="1">
      <c r="K309" s="171" t="s">
        <v>93</v>
      </c>
      <c r="L309" s="171"/>
      <c r="M309" s="171"/>
    </row>
    <row r="310" spans="11:13" ht="18" customHeight="1">
      <c r="K310" s="171" t="s">
        <v>93</v>
      </c>
      <c r="L310" s="171"/>
      <c r="M310" s="171"/>
    </row>
    <row r="311" spans="11:13" ht="18" customHeight="1">
      <c r="K311" s="171" t="s">
        <v>93</v>
      </c>
      <c r="L311" s="171"/>
      <c r="M311" s="171"/>
    </row>
    <row r="312" spans="11:13" ht="18" customHeight="1">
      <c r="K312" s="171" t="s">
        <v>93</v>
      </c>
      <c r="L312" s="171"/>
      <c r="M312" s="171"/>
    </row>
    <row r="313" spans="11:13" ht="18" customHeight="1">
      <c r="K313" s="171" t="s">
        <v>93</v>
      </c>
      <c r="L313" s="171"/>
      <c r="M313" s="171"/>
    </row>
    <row r="314" spans="11:13" ht="18" customHeight="1">
      <c r="K314" s="171" t="s">
        <v>93</v>
      </c>
      <c r="L314" s="171"/>
      <c r="M314" s="171"/>
    </row>
    <row r="315" spans="11:13" ht="18" customHeight="1">
      <c r="K315" s="171" t="s">
        <v>93</v>
      </c>
      <c r="L315" s="171"/>
      <c r="M315" s="171"/>
    </row>
    <row r="316" spans="11:13" ht="18" customHeight="1">
      <c r="K316" s="171" t="s">
        <v>93</v>
      </c>
      <c r="L316" s="171"/>
      <c r="M316" s="171"/>
    </row>
    <row r="317" spans="11:13" ht="18" customHeight="1">
      <c r="K317" s="171" t="s">
        <v>93</v>
      </c>
      <c r="L317" s="171"/>
      <c r="M317" s="171"/>
    </row>
    <row r="318" spans="11:13" ht="18" customHeight="1">
      <c r="K318" s="171" t="s">
        <v>93</v>
      </c>
      <c r="L318" s="171"/>
      <c r="M318" s="171"/>
    </row>
    <row r="319" spans="11:13" ht="18" customHeight="1">
      <c r="K319" s="171" t="s">
        <v>93</v>
      </c>
      <c r="L319" s="171"/>
      <c r="M319" s="171"/>
    </row>
    <row r="320" spans="11:13" ht="18" customHeight="1">
      <c r="K320" s="171" t="s">
        <v>93</v>
      </c>
      <c r="L320" s="171"/>
      <c r="M320" s="171"/>
    </row>
    <row r="321" spans="11:13" ht="18" customHeight="1">
      <c r="K321" s="171" t="s">
        <v>93</v>
      </c>
      <c r="L321" s="171"/>
      <c r="M321" s="171"/>
    </row>
    <row r="322" spans="11:13" ht="18" customHeight="1">
      <c r="K322" s="171" t="s">
        <v>93</v>
      </c>
      <c r="L322" s="171"/>
      <c r="M322" s="171"/>
    </row>
    <row r="323" spans="11:13" ht="18" customHeight="1">
      <c r="K323" s="171" t="s">
        <v>93</v>
      </c>
      <c r="L323" s="171"/>
      <c r="M323" s="171"/>
    </row>
    <row r="324" spans="11:13" ht="18" customHeight="1">
      <c r="K324" s="171" t="s">
        <v>93</v>
      </c>
      <c r="L324" s="171"/>
      <c r="M324" s="171"/>
    </row>
    <row r="325" spans="11:13" ht="18" customHeight="1">
      <c r="K325" s="171" t="s">
        <v>93</v>
      </c>
      <c r="L325" s="171"/>
      <c r="M325" s="171"/>
    </row>
    <row r="326" spans="11:13" ht="18" customHeight="1">
      <c r="K326" s="171" t="s">
        <v>93</v>
      </c>
      <c r="L326" s="171"/>
      <c r="M326" s="171"/>
    </row>
    <row r="327" spans="11:13" ht="18" customHeight="1">
      <c r="K327" s="171" t="s">
        <v>93</v>
      </c>
      <c r="L327" s="171"/>
      <c r="M327" s="171"/>
    </row>
    <row r="328" spans="11:13" ht="18" customHeight="1">
      <c r="K328" s="171" t="s">
        <v>93</v>
      </c>
      <c r="L328" s="171"/>
      <c r="M328" s="171"/>
    </row>
    <row r="329" spans="11:13" ht="18" customHeight="1">
      <c r="K329" s="171" t="s">
        <v>93</v>
      </c>
      <c r="L329" s="171"/>
      <c r="M329" s="171"/>
    </row>
    <row r="330" spans="11:13" ht="18" customHeight="1">
      <c r="K330" s="171" t="s">
        <v>93</v>
      </c>
      <c r="L330" s="171"/>
      <c r="M330" s="171"/>
    </row>
    <row r="331" spans="11:13" ht="18" customHeight="1">
      <c r="K331" s="171" t="s">
        <v>93</v>
      </c>
      <c r="L331" s="171"/>
      <c r="M331" s="171"/>
    </row>
    <row r="332" spans="11:13" ht="18" customHeight="1">
      <c r="K332" s="171" t="s">
        <v>93</v>
      </c>
      <c r="L332" s="171"/>
      <c r="M332" s="171"/>
    </row>
    <row r="333" spans="11:13" ht="18" customHeight="1">
      <c r="K333" s="171" t="s">
        <v>93</v>
      </c>
      <c r="L333" s="171"/>
      <c r="M333" s="171"/>
    </row>
    <row r="334" spans="11:13" ht="18" customHeight="1">
      <c r="K334" s="171" t="s">
        <v>93</v>
      </c>
      <c r="L334" s="171"/>
      <c r="M334" s="171"/>
    </row>
    <row r="335" spans="11:13" ht="18" customHeight="1">
      <c r="K335" s="171" t="s">
        <v>93</v>
      </c>
      <c r="L335" s="171"/>
      <c r="M335" s="171"/>
    </row>
    <row r="336" spans="11:13" ht="18" customHeight="1">
      <c r="K336" s="171" t="s">
        <v>93</v>
      </c>
      <c r="L336" s="171"/>
      <c r="M336" s="171"/>
    </row>
    <row r="337" spans="11:13" ht="18" customHeight="1">
      <c r="K337" s="171" t="s">
        <v>93</v>
      </c>
      <c r="L337" s="171"/>
      <c r="M337" s="171"/>
    </row>
    <row r="338" spans="11:13" ht="18" customHeight="1">
      <c r="K338" s="171" t="s">
        <v>93</v>
      </c>
      <c r="L338" s="171"/>
      <c r="M338" s="171"/>
    </row>
    <row r="339" spans="11:13" ht="18" customHeight="1">
      <c r="K339" s="171" t="s">
        <v>93</v>
      </c>
      <c r="L339" s="171"/>
      <c r="M339" s="171"/>
    </row>
    <row r="340" spans="11:13" ht="18" customHeight="1">
      <c r="K340" s="171" t="s">
        <v>93</v>
      </c>
      <c r="L340" s="171"/>
      <c r="M340" s="171"/>
    </row>
    <row r="341" spans="11:13" ht="18" customHeight="1">
      <c r="K341" s="171" t="s">
        <v>93</v>
      </c>
      <c r="L341" s="171"/>
      <c r="M341" s="171"/>
    </row>
    <row r="342" spans="11:13" ht="18" customHeight="1">
      <c r="K342" s="171" t="s">
        <v>93</v>
      </c>
      <c r="L342" s="171"/>
      <c r="M342" s="171"/>
    </row>
    <row r="343" spans="11:13" ht="18" customHeight="1">
      <c r="K343" s="171" t="s">
        <v>93</v>
      </c>
      <c r="L343" s="171"/>
      <c r="M343" s="171"/>
    </row>
    <row r="344" spans="11:13" ht="18" customHeight="1">
      <c r="K344" s="171" t="s">
        <v>93</v>
      </c>
      <c r="L344" s="171"/>
      <c r="M344" s="171"/>
    </row>
    <row r="345" spans="11:13" ht="18" customHeight="1">
      <c r="K345" s="171" t="s">
        <v>93</v>
      </c>
      <c r="L345" s="171"/>
      <c r="M345" s="171"/>
    </row>
    <row r="346" spans="11:13" ht="18" customHeight="1">
      <c r="K346" s="171" t="s">
        <v>93</v>
      </c>
      <c r="L346" s="171"/>
      <c r="M346" s="171"/>
    </row>
    <row r="347" spans="11:13" ht="18" customHeight="1">
      <c r="K347" s="171" t="s">
        <v>93</v>
      </c>
      <c r="L347" s="171"/>
      <c r="M347" s="171"/>
    </row>
    <row r="348" spans="11:13" ht="18" customHeight="1">
      <c r="K348" s="171" t="s">
        <v>93</v>
      </c>
      <c r="L348" s="171"/>
      <c r="M348" s="171"/>
    </row>
    <row r="349" spans="11:13" ht="18" customHeight="1">
      <c r="K349" s="171" t="s">
        <v>93</v>
      </c>
      <c r="L349" s="171"/>
      <c r="M349" s="171"/>
    </row>
    <row r="350" spans="11:13" ht="18" customHeight="1">
      <c r="K350" s="171" t="s">
        <v>93</v>
      </c>
      <c r="L350" s="171"/>
      <c r="M350" s="171"/>
    </row>
    <row r="351" spans="11:13" ht="18" customHeight="1">
      <c r="K351" s="171" t="s">
        <v>93</v>
      </c>
      <c r="L351" s="171"/>
      <c r="M351" s="171"/>
    </row>
    <row r="352" spans="11:13" ht="18" customHeight="1">
      <c r="K352" s="171" t="s">
        <v>93</v>
      </c>
      <c r="L352" s="171"/>
      <c r="M352" s="171"/>
    </row>
    <row r="353" spans="11:13" ht="18" customHeight="1">
      <c r="K353" s="171" t="s">
        <v>93</v>
      </c>
      <c r="L353" s="171"/>
      <c r="M353" s="171"/>
    </row>
    <row r="354" spans="11:13" ht="18" customHeight="1">
      <c r="K354" s="171" t="s">
        <v>93</v>
      </c>
      <c r="L354" s="171"/>
      <c r="M354" s="171"/>
    </row>
    <row r="355" spans="11:13" ht="18" customHeight="1">
      <c r="K355" s="171" t="s">
        <v>93</v>
      </c>
      <c r="L355" s="171"/>
      <c r="M355" s="171"/>
    </row>
    <row r="356" spans="11:13" ht="18" customHeight="1">
      <c r="K356" s="171" t="s">
        <v>93</v>
      </c>
      <c r="L356" s="171"/>
      <c r="M356" s="171"/>
    </row>
    <row r="357" spans="11:13" ht="18" customHeight="1">
      <c r="K357" s="171" t="s">
        <v>93</v>
      </c>
      <c r="L357" s="171"/>
      <c r="M357" s="171"/>
    </row>
    <row r="358" spans="11:13" ht="18" customHeight="1">
      <c r="K358" s="171" t="s">
        <v>93</v>
      </c>
      <c r="L358" s="171"/>
      <c r="M358" s="171"/>
    </row>
    <row r="359" spans="11:13" ht="18" customHeight="1">
      <c r="K359" s="171" t="s">
        <v>93</v>
      </c>
      <c r="L359" s="171"/>
      <c r="M359" s="171"/>
    </row>
    <row r="360" spans="11:13" ht="18" customHeight="1">
      <c r="K360" s="171" t="s">
        <v>93</v>
      </c>
      <c r="L360" s="171"/>
      <c r="M360" s="171"/>
    </row>
    <row r="361" spans="11:13" ht="18" customHeight="1">
      <c r="K361" s="171" t="s">
        <v>93</v>
      </c>
      <c r="L361" s="171"/>
      <c r="M361" s="171"/>
    </row>
    <row r="362" spans="11:13" ht="18" customHeight="1">
      <c r="K362" s="171" t="s">
        <v>93</v>
      </c>
      <c r="L362" s="171"/>
      <c r="M362" s="171"/>
    </row>
    <row r="363" spans="11:13" ht="18" customHeight="1">
      <c r="K363" s="171" t="s">
        <v>93</v>
      </c>
      <c r="L363" s="171"/>
      <c r="M363" s="171"/>
    </row>
    <row r="364" spans="11:13" ht="18" customHeight="1">
      <c r="K364" s="171" t="s">
        <v>93</v>
      </c>
      <c r="L364" s="171"/>
      <c r="M364" s="171"/>
    </row>
    <row r="365" spans="11:13" ht="18" customHeight="1">
      <c r="K365" s="171" t="s">
        <v>93</v>
      </c>
      <c r="L365" s="171"/>
      <c r="M365" s="171"/>
    </row>
    <row r="366" spans="11:13" ht="18" customHeight="1">
      <c r="K366" s="171" t="s">
        <v>93</v>
      </c>
      <c r="L366" s="171"/>
      <c r="M366" s="171"/>
    </row>
    <row r="367" spans="11:13" ht="18" customHeight="1">
      <c r="K367" s="171" t="s">
        <v>93</v>
      </c>
      <c r="L367" s="171"/>
      <c r="M367" s="171"/>
    </row>
    <row r="368" spans="11:13" ht="18" customHeight="1">
      <c r="K368" s="171" t="s">
        <v>93</v>
      </c>
      <c r="L368" s="171"/>
      <c r="M368" s="171"/>
    </row>
    <row r="369" spans="11:13" ht="18" customHeight="1">
      <c r="K369" s="171" t="s">
        <v>93</v>
      </c>
      <c r="L369" s="171"/>
      <c r="M369" s="171"/>
    </row>
    <row r="370" spans="11:13" ht="18" customHeight="1">
      <c r="K370" s="171" t="s">
        <v>93</v>
      </c>
      <c r="L370" s="171"/>
      <c r="M370" s="171"/>
    </row>
    <row r="371" spans="11:13" ht="18" customHeight="1">
      <c r="K371" s="171" t="s">
        <v>93</v>
      </c>
      <c r="L371" s="171"/>
      <c r="M371" s="171"/>
    </row>
    <row r="372" spans="11:13" ht="18" customHeight="1">
      <c r="K372" s="171" t="s">
        <v>93</v>
      </c>
      <c r="L372" s="171"/>
      <c r="M372" s="171"/>
    </row>
    <row r="373" spans="11:13" ht="18" customHeight="1">
      <c r="K373" s="171" t="s">
        <v>93</v>
      </c>
      <c r="L373" s="171"/>
      <c r="M373" s="171"/>
    </row>
    <row r="374" spans="11:13" ht="18" customHeight="1">
      <c r="K374" s="171" t="s">
        <v>93</v>
      </c>
      <c r="L374" s="171"/>
      <c r="M374" s="171"/>
    </row>
    <row r="375" spans="11:13" ht="18" customHeight="1">
      <c r="K375" s="171" t="s">
        <v>93</v>
      </c>
      <c r="L375" s="171"/>
      <c r="M375" s="171"/>
    </row>
    <row r="376" spans="11:13" ht="18" customHeight="1">
      <c r="K376" s="171" t="s">
        <v>93</v>
      </c>
      <c r="L376" s="171"/>
      <c r="M376" s="171"/>
    </row>
    <row r="377" spans="11:13" ht="18" customHeight="1">
      <c r="K377" s="171" t="s">
        <v>93</v>
      </c>
      <c r="L377" s="171"/>
      <c r="M377" s="171"/>
    </row>
    <row r="378" spans="11:13" ht="18" customHeight="1">
      <c r="K378" s="171" t="s">
        <v>93</v>
      </c>
      <c r="L378" s="171"/>
      <c r="M378" s="171"/>
    </row>
    <row r="379" spans="11:13" ht="18" customHeight="1">
      <c r="K379" s="171" t="s">
        <v>93</v>
      </c>
      <c r="L379" s="171"/>
      <c r="M379" s="171"/>
    </row>
    <row r="380" spans="11:13" ht="18" customHeight="1">
      <c r="K380" s="171" t="s">
        <v>93</v>
      </c>
      <c r="L380" s="171"/>
      <c r="M380" s="171"/>
    </row>
    <row r="381" spans="11:13" ht="18" customHeight="1">
      <c r="K381" s="171" t="s">
        <v>93</v>
      </c>
      <c r="L381" s="171"/>
      <c r="M381" s="171"/>
    </row>
    <row r="382" spans="11:13" ht="18" customHeight="1">
      <c r="K382" s="171" t="s">
        <v>93</v>
      </c>
      <c r="L382" s="171"/>
      <c r="M382" s="171"/>
    </row>
    <row r="383" spans="11:13" ht="18" customHeight="1">
      <c r="K383" s="171" t="s">
        <v>93</v>
      </c>
      <c r="L383" s="171"/>
      <c r="M383" s="171"/>
    </row>
    <row r="384" spans="11:13" ht="18" customHeight="1">
      <c r="K384" s="171" t="s">
        <v>93</v>
      </c>
      <c r="L384" s="171"/>
      <c r="M384" s="171"/>
    </row>
    <row r="385" spans="11:13" ht="18" customHeight="1">
      <c r="K385" s="171" t="s">
        <v>93</v>
      </c>
      <c r="L385" s="171"/>
      <c r="M385" s="171"/>
    </row>
    <row r="386" spans="11:13" ht="18" customHeight="1">
      <c r="K386" s="171" t="s">
        <v>93</v>
      </c>
      <c r="L386" s="171"/>
      <c r="M386" s="171"/>
    </row>
    <row r="387" spans="11:13" ht="18" customHeight="1">
      <c r="K387" s="171" t="s">
        <v>93</v>
      </c>
      <c r="L387" s="171"/>
      <c r="M387" s="171"/>
    </row>
    <row r="388" spans="11:13" ht="18" customHeight="1">
      <c r="K388" s="171" t="s">
        <v>93</v>
      </c>
      <c r="L388" s="171"/>
      <c r="M388" s="171"/>
    </row>
    <row r="389" spans="11:13" ht="18" customHeight="1">
      <c r="K389" s="171" t="s">
        <v>93</v>
      </c>
      <c r="L389" s="171"/>
      <c r="M389" s="171"/>
    </row>
    <row r="390" spans="11:13" ht="18" customHeight="1">
      <c r="K390" s="171" t="s">
        <v>93</v>
      </c>
      <c r="L390" s="171"/>
      <c r="M390" s="171"/>
    </row>
    <row r="391" spans="11:13" ht="18" customHeight="1">
      <c r="K391" s="171" t="s">
        <v>93</v>
      </c>
      <c r="L391" s="171"/>
      <c r="M391" s="171"/>
    </row>
    <row r="392" spans="11:13" ht="18" customHeight="1">
      <c r="K392" s="171" t="s">
        <v>93</v>
      </c>
      <c r="L392" s="171"/>
      <c r="M392" s="171"/>
    </row>
    <row r="393" spans="11:13" ht="18" customHeight="1">
      <c r="K393" s="171" t="s">
        <v>93</v>
      </c>
      <c r="L393" s="171"/>
      <c r="M393" s="171"/>
    </row>
    <row r="394" spans="11:13" ht="18" customHeight="1">
      <c r="K394" s="171" t="s">
        <v>93</v>
      </c>
      <c r="L394" s="171"/>
      <c r="M394" s="171"/>
    </row>
    <row r="395" spans="11:13" ht="18" customHeight="1">
      <c r="K395" s="171" t="s">
        <v>93</v>
      </c>
      <c r="L395" s="171"/>
      <c r="M395" s="171"/>
    </row>
    <row r="396" spans="11:13" ht="18" customHeight="1">
      <c r="K396" s="171" t="s">
        <v>93</v>
      </c>
      <c r="L396" s="171"/>
      <c r="M396" s="171"/>
    </row>
    <row r="397" spans="11:13" ht="18" customHeight="1">
      <c r="K397" s="171" t="s">
        <v>93</v>
      </c>
      <c r="L397" s="171"/>
      <c r="M397" s="171"/>
    </row>
    <row r="398" spans="11:13" ht="18" customHeight="1">
      <c r="K398" s="171" t="s">
        <v>93</v>
      </c>
      <c r="L398" s="171"/>
      <c r="M398" s="171"/>
    </row>
    <row r="399" spans="11:13" ht="18" customHeight="1">
      <c r="K399" s="171" t="s">
        <v>93</v>
      </c>
      <c r="L399" s="171"/>
      <c r="M399" s="171"/>
    </row>
    <row r="400" spans="11:13" ht="18" customHeight="1">
      <c r="K400" s="171" t="s">
        <v>93</v>
      </c>
      <c r="L400" s="171"/>
      <c r="M400" s="171"/>
    </row>
    <row r="401" spans="11:13" ht="18" customHeight="1">
      <c r="K401" s="171" t="s">
        <v>93</v>
      </c>
      <c r="L401" s="171"/>
      <c r="M401" s="171"/>
    </row>
    <row r="402" spans="11:13" ht="18" customHeight="1">
      <c r="K402" s="171" t="s">
        <v>93</v>
      </c>
      <c r="L402" s="171"/>
      <c r="M402" s="171"/>
    </row>
    <row r="403" spans="11:13" ht="18" customHeight="1">
      <c r="K403" s="171" t="s">
        <v>93</v>
      </c>
      <c r="L403" s="171"/>
      <c r="M403" s="171"/>
    </row>
    <row r="404" spans="11:13" ht="18" customHeight="1">
      <c r="K404" s="171" t="s">
        <v>93</v>
      </c>
      <c r="L404" s="171"/>
      <c r="M404" s="171"/>
    </row>
    <row r="405" spans="11:13" ht="18" customHeight="1">
      <c r="K405" s="171" t="s">
        <v>93</v>
      </c>
      <c r="L405" s="171"/>
      <c r="M405" s="171"/>
    </row>
    <row r="406" spans="11:13" ht="18" customHeight="1">
      <c r="K406" s="171" t="s">
        <v>93</v>
      </c>
      <c r="L406" s="171"/>
      <c r="M406" s="171"/>
    </row>
    <row r="407" spans="11:13" ht="18" customHeight="1">
      <c r="K407" s="171" t="s">
        <v>93</v>
      </c>
      <c r="L407" s="171"/>
      <c r="M407" s="171"/>
    </row>
    <row r="408" spans="11:13" ht="18" customHeight="1">
      <c r="K408" s="171" t="s">
        <v>93</v>
      </c>
      <c r="L408" s="171"/>
      <c r="M408" s="171"/>
    </row>
    <row r="409" spans="11:13" ht="18" customHeight="1">
      <c r="K409" s="171" t="s">
        <v>93</v>
      </c>
      <c r="L409" s="171"/>
      <c r="M409" s="171"/>
    </row>
    <row r="410" spans="11:13" ht="18" customHeight="1">
      <c r="K410" s="171" t="s">
        <v>93</v>
      </c>
      <c r="L410" s="171"/>
      <c r="M410" s="171"/>
    </row>
    <row r="411" spans="11:13" ht="18" customHeight="1">
      <c r="K411" s="171" t="s">
        <v>93</v>
      </c>
      <c r="L411" s="171"/>
      <c r="M411" s="171"/>
    </row>
    <row r="412" spans="11:13" ht="18" customHeight="1">
      <c r="K412" s="171" t="s">
        <v>93</v>
      </c>
      <c r="L412" s="171"/>
      <c r="M412" s="171"/>
    </row>
    <row r="413" spans="11:13" ht="18" customHeight="1">
      <c r="K413" s="171" t="s">
        <v>93</v>
      </c>
      <c r="L413" s="171"/>
      <c r="M413" s="171"/>
    </row>
    <row r="414" spans="11:13" ht="18" customHeight="1">
      <c r="K414" s="171" t="s">
        <v>93</v>
      </c>
      <c r="L414" s="171"/>
      <c r="M414" s="171"/>
    </row>
    <row r="415" spans="11:13" ht="18" customHeight="1">
      <c r="K415" s="171" t="s">
        <v>93</v>
      </c>
      <c r="L415" s="171"/>
      <c r="M415" s="171"/>
    </row>
    <row r="416" spans="11:13" ht="18" customHeight="1">
      <c r="K416" s="171" t="s">
        <v>93</v>
      </c>
      <c r="L416" s="171"/>
      <c r="M416" s="171"/>
    </row>
    <row r="417" spans="11:13" ht="18" customHeight="1">
      <c r="K417" s="171" t="s">
        <v>93</v>
      </c>
      <c r="L417" s="171"/>
      <c r="M417" s="171"/>
    </row>
    <row r="418" spans="11:13" ht="18" customHeight="1">
      <c r="K418" s="171" t="s">
        <v>93</v>
      </c>
      <c r="L418" s="171"/>
      <c r="M418" s="171"/>
    </row>
    <row r="419" spans="11:13" ht="18" customHeight="1">
      <c r="K419" s="171" t="s">
        <v>93</v>
      </c>
      <c r="L419" s="171"/>
      <c r="M419" s="171"/>
    </row>
    <row r="420" spans="11:13" ht="18" customHeight="1">
      <c r="K420" s="171" t="s">
        <v>93</v>
      </c>
      <c r="L420" s="171"/>
      <c r="M420" s="171"/>
    </row>
    <row r="421" spans="11:13" ht="18" customHeight="1">
      <c r="K421" s="171" t="s">
        <v>93</v>
      </c>
      <c r="L421" s="171"/>
      <c r="M421" s="171"/>
    </row>
    <row r="422" spans="11:13" ht="18" customHeight="1">
      <c r="K422" s="171" t="s">
        <v>93</v>
      </c>
      <c r="L422" s="171"/>
      <c r="M422" s="171"/>
    </row>
    <row r="423" spans="11:13" ht="18" customHeight="1">
      <c r="K423" s="171" t="s">
        <v>93</v>
      </c>
      <c r="L423" s="171"/>
      <c r="M423" s="171"/>
    </row>
    <row r="424" spans="11:13" ht="18" customHeight="1">
      <c r="K424" s="171" t="s">
        <v>93</v>
      </c>
      <c r="L424" s="171"/>
      <c r="M424" s="171"/>
    </row>
    <row r="425" spans="11:13" ht="18" customHeight="1">
      <c r="K425" s="171" t="s">
        <v>93</v>
      </c>
      <c r="L425" s="171"/>
      <c r="M425" s="171"/>
    </row>
    <row r="426" spans="11:13" ht="18" customHeight="1">
      <c r="K426" s="171" t="s">
        <v>93</v>
      </c>
      <c r="L426" s="171"/>
      <c r="M426" s="171"/>
    </row>
    <row r="427" spans="11:13" ht="18" customHeight="1">
      <c r="K427" s="171" t="s">
        <v>93</v>
      </c>
      <c r="L427" s="171"/>
      <c r="M427" s="171"/>
    </row>
    <row r="428" spans="11:13" ht="18" customHeight="1">
      <c r="K428" s="171" t="s">
        <v>93</v>
      </c>
      <c r="L428" s="171"/>
      <c r="M428" s="171"/>
    </row>
    <row r="429" spans="11:13" ht="18" customHeight="1">
      <c r="K429" s="171" t="s">
        <v>93</v>
      </c>
      <c r="L429" s="171"/>
      <c r="M429" s="171"/>
    </row>
    <row r="430" spans="11:13" ht="18" customHeight="1">
      <c r="K430" s="171" t="s">
        <v>93</v>
      </c>
      <c r="L430" s="171"/>
      <c r="M430" s="171"/>
    </row>
    <row r="431" spans="11:13" ht="18" customHeight="1">
      <c r="K431" s="171" t="s">
        <v>93</v>
      </c>
      <c r="L431" s="171"/>
      <c r="M431" s="171"/>
    </row>
    <row r="432" spans="11:13" ht="18" customHeight="1">
      <c r="K432" s="171" t="s">
        <v>93</v>
      </c>
      <c r="L432" s="171"/>
      <c r="M432" s="171"/>
    </row>
    <row r="433" spans="11:13" ht="18" customHeight="1">
      <c r="K433" s="171" t="s">
        <v>93</v>
      </c>
      <c r="L433" s="171"/>
      <c r="M433" s="171"/>
    </row>
    <row r="434" spans="11:13" ht="18" customHeight="1">
      <c r="K434" s="171" t="s">
        <v>93</v>
      </c>
      <c r="L434" s="171"/>
      <c r="M434" s="171"/>
    </row>
    <row r="435" spans="11:13" ht="18" customHeight="1">
      <c r="K435" s="171" t="s">
        <v>93</v>
      </c>
      <c r="L435" s="171"/>
      <c r="M435" s="171"/>
    </row>
    <row r="436" spans="11:13" ht="18" customHeight="1">
      <c r="K436" s="171" t="s">
        <v>93</v>
      </c>
      <c r="L436" s="171"/>
      <c r="M436" s="171"/>
    </row>
    <row r="437" spans="11:13" ht="18" customHeight="1">
      <c r="K437" s="171" t="s">
        <v>93</v>
      </c>
      <c r="L437" s="171"/>
      <c r="M437" s="171"/>
    </row>
    <row r="438" spans="11:13" ht="18" customHeight="1">
      <c r="K438" s="171" t="s">
        <v>93</v>
      </c>
      <c r="L438" s="171"/>
      <c r="M438" s="171"/>
    </row>
    <row r="439" spans="11:13" ht="18" customHeight="1">
      <c r="K439" s="171" t="s">
        <v>93</v>
      </c>
      <c r="L439" s="171"/>
      <c r="M439" s="171"/>
    </row>
    <row r="440" spans="11:13" ht="18" customHeight="1">
      <c r="K440" s="171" t="s">
        <v>93</v>
      </c>
      <c r="L440" s="171"/>
      <c r="M440" s="171"/>
    </row>
    <row r="441" spans="11:13" ht="18" customHeight="1">
      <c r="K441" s="171" t="s">
        <v>93</v>
      </c>
      <c r="L441" s="171"/>
      <c r="M441" s="171"/>
    </row>
    <row r="442" spans="11:13" ht="18" customHeight="1">
      <c r="K442" s="171" t="s">
        <v>93</v>
      </c>
      <c r="L442" s="171"/>
      <c r="M442" s="171"/>
    </row>
    <row r="443" spans="11:13" ht="18" customHeight="1">
      <c r="K443" s="171" t="s">
        <v>93</v>
      </c>
      <c r="L443" s="171"/>
      <c r="M443" s="171"/>
    </row>
    <row r="444" spans="11:13" ht="18" customHeight="1">
      <c r="K444" s="171" t="s">
        <v>93</v>
      </c>
      <c r="L444" s="171"/>
      <c r="M444" s="171"/>
    </row>
    <row r="445" spans="11:13" ht="18" customHeight="1">
      <c r="K445" s="171" t="s">
        <v>93</v>
      </c>
      <c r="L445" s="171"/>
      <c r="M445" s="171"/>
    </row>
    <row r="446" spans="11:13" ht="18" customHeight="1">
      <c r="K446" s="171" t="s">
        <v>93</v>
      </c>
      <c r="L446" s="171"/>
      <c r="M446" s="171"/>
    </row>
    <row r="447" spans="11:13" ht="18" customHeight="1">
      <c r="K447" s="171" t="s">
        <v>93</v>
      </c>
      <c r="L447" s="171"/>
      <c r="M447" s="171"/>
    </row>
    <row r="448" spans="11:13" ht="18" customHeight="1">
      <c r="K448" s="171" t="s">
        <v>93</v>
      </c>
      <c r="L448" s="171"/>
      <c r="M448" s="171"/>
    </row>
    <row r="449" spans="11:13" ht="18" customHeight="1">
      <c r="K449" s="171" t="s">
        <v>93</v>
      </c>
      <c r="L449" s="171"/>
      <c r="M449" s="171"/>
    </row>
    <row r="450" spans="11:13" ht="18" customHeight="1">
      <c r="K450" s="171" t="s">
        <v>93</v>
      </c>
      <c r="L450" s="171"/>
      <c r="M450" s="171"/>
    </row>
    <row r="451" spans="11:13" ht="18" customHeight="1">
      <c r="K451" s="171" t="s">
        <v>93</v>
      </c>
      <c r="L451" s="171"/>
      <c r="M451" s="171"/>
    </row>
    <row r="452" spans="11:13" ht="18" customHeight="1">
      <c r="K452" s="171" t="s">
        <v>93</v>
      </c>
      <c r="L452" s="171"/>
      <c r="M452" s="171"/>
    </row>
    <row r="453" spans="11:13" ht="18" customHeight="1">
      <c r="K453" s="171" t="s">
        <v>93</v>
      </c>
      <c r="L453" s="171"/>
      <c r="M453" s="171"/>
    </row>
    <row r="454" spans="11:13" ht="18" customHeight="1">
      <c r="K454" s="171" t="s">
        <v>93</v>
      </c>
      <c r="L454" s="171"/>
      <c r="M454" s="171"/>
    </row>
    <row r="455" spans="11:13" ht="18" customHeight="1">
      <c r="K455" s="171" t="s">
        <v>93</v>
      </c>
      <c r="L455" s="171"/>
      <c r="M455" s="171"/>
    </row>
    <row r="456" spans="11:13" ht="18" customHeight="1">
      <c r="K456" s="171" t="s">
        <v>93</v>
      </c>
      <c r="L456" s="171"/>
      <c r="M456" s="171"/>
    </row>
    <row r="457" spans="11:13" ht="18" customHeight="1">
      <c r="K457" s="171" t="s">
        <v>93</v>
      </c>
      <c r="L457" s="171"/>
      <c r="M457" s="171"/>
    </row>
    <row r="458" spans="11:13" ht="18" customHeight="1">
      <c r="K458" s="171" t="s">
        <v>93</v>
      </c>
      <c r="L458" s="171"/>
      <c r="M458" s="171"/>
    </row>
    <row r="459" spans="11:13" ht="18" customHeight="1">
      <c r="K459" s="171" t="s">
        <v>93</v>
      </c>
      <c r="L459" s="171"/>
      <c r="M459" s="171"/>
    </row>
    <row r="460" spans="11:13" ht="18" customHeight="1">
      <c r="K460" s="171" t="s">
        <v>93</v>
      </c>
      <c r="L460" s="171"/>
      <c r="M460" s="171"/>
    </row>
    <row r="461" spans="11:13" ht="18" customHeight="1">
      <c r="K461" s="171" t="s">
        <v>93</v>
      </c>
      <c r="L461" s="171"/>
      <c r="M461" s="171"/>
    </row>
    <row r="462" spans="11:13" ht="18" customHeight="1">
      <c r="K462" s="171" t="s">
        <v>93</v>
      </c>
      <c r="L462" s="171"/>
      <c r="M462" s="171"/>
    </row>
    <row r="463" spans="11:13" ht="18" customHeight="1">
      <c r="K463" s="171" t="s">
        <v>93</v>
      </c>
      <c r="L463" s="171"/>
      <c r="M463" s="171"/>
    </row>
    <row r="464" spans="11:13" ht="18" customHeight="1">
      <c r="K464" s="171" t="s">
        <v>93</v>
      </c>
      <c r="L464" s="171"/>
      <c r="M464" s="171"/>
    </row>
    <row r="465" spans="11:13" ht="18" customHeight="1">
      <c r="K465" s="171" t="s">
        <v>93</v>
      </c>
      <c r="L465" s="171"/>
      <c r="M465" s="171"/>
    </row>
    <row r="466" spans="11:13" ht="18" customHeight="1">
      <c r="K466" s="171" t="s">
        <v>93</v>
      </c>
      <c r="L466" s="171"/>
      <c r="M466" s="171"/>
    </row>
    <row r="467" spans="11:13" ht="18" customHeight="1">
      <c r="K467" s="171" t="s">
        <v>93</v>
      </c>
      <c r="L467" s="171"/>
      <c r="M467" s="171"/>
    </row>
    <row r="468" spans="11:13" ht="18" customHeight="1">
      <c r="K468" s="171" t="s">
        <v>93</v>
      </c>
      <c r="L468" s="171"/>
      <c r="M468" s="171"/>
    </row>
    <row r="469" spans="11:13" ht="18" customHeight="1">
      <c r="K469" s="171" t="s">
        <v>93</v>
      </c>
      <c r="L469" s="171"/>
      <c r="M469" s="171"/>
    </row>
    <row r="470" spans="11:13" ht="18" customHeight="1">
      <c r="K470" s="171" t="s">
        <v>93</v>
      </c>
      <c r="L470" s="171"/>
      <c r="M470" s="171"/>
    </row>
    <row r="471" spans="11:13" ht="18" customHeight="1">
      <c r="K471" s="171" t="s">
        <v>93</v>
      </c>
      <c r="L471" s="171"/>
      <c r="M471" s="171"/>
    </row>
    <row r="472" spans="11:13" ht="18" customHeight="1">
      <c r="K472" s="171" t="s">
        <v>93</v>
      </c>
      <c r="L472" s="171"/>
      <c r="M472" s="171"/>
    </row>
    <row r="473" spans="11:13" ht="18" customHeight="1">
      <c r="K473" s="171" t="s">
        <v>93</v>
      </c>
      <c r="L473" s="171"/>
      <c r="M473" s="171"/>
    </row>
    <row r="474" spans="11:13" ht="18" customHeight="1">
      <c r="K474" s="171" t="s">
        <v>93</v>
      </c>
      <c r="L474" s="171"/>
      <c r="M474" s="171"/>
    </row>
    <row r="475" spans="11:13" ht="18" customHeight="1">
      <c r="K475" s="171" t="s">
        <v>93</v>
      </c>
      <c r="L475" s="171"/>
      <c r="M475" s="171"/>
    </row>
    <row r="476" spans="11:13" ht="18" customHeight="1">
      <c r="K476" s="171" t="s">
        <v>93</v>
      </c>
      <c r="L476" s="171"/>
      <c r="M476" s="171"/>
    </row>
    <row r="477" spans="11:13" ht="18" customHeight="1">
      <c r="K477" s="171" t="s">
        <v>93</v>
      </c>
      <c r="L477" s="171"/>
      <c r="M477" s="171"/>
    </row>
    <row r="478" spans="11:13" ht="18" customHeight="1">
      <c r="K478" s="171" t="s">
        <v>93</v>
      </c>
      <c r="L478" s="171"/>
      <c r="M478" s="171"/>
    </row>
    <row r="479" spans="11:13" ht="18" customHeight="1">
      <c r="K479" s="171" t="s">
        <v>93</v>
      </c>
      <c r="L479" s="171"/>
      <c r="M479" s="171"/>
    </row>
    <row r="480" spans="11:13" ht="18" customHeight="1">
      <c r="K480" s="171" t="s">
        <v>93</v>
      </c>
      <c r="L480" s="171"/>
      <c r="M480" s="171"/>
    </row>
    <row r="481" spans="11:13" ht="18" customHeight="1">
      <c r="K481" s="171" t="s">
        <v>93</v>
      </c>
      <c r="L481" s="171"/>
      <c r="M481" s="171"/>
    </row>
    <row r="482" spans="11:13" ht="18" customHeight="1">
      <c r="K482" s="171" t="s">
        <v>93</v>
      </c>
      <c r="L482" s="171"/>
      <c r="M482" s="171"/>
    </row>
    <row r="483" spans="11:13" ht="18" customHeight="1">
      <c r="K483" s="171" t="s">
        <v>93</v>
      </c>
      <c r="L483" s="171"/>
      <c r="M483" s="171"/>
    </row>
    <row r="484" spans="11:13" ht="18" customHeight="1">
      <c r="K484" s="171" t="s">
        <v>93</v>
      </c>
      <c r="L484" s="171"/>
      <c r="M484" s="171"/>
    </row>
    <row r="485" spans="11:13" ht="18" customHeight="1">
      <c r="K485" s="171" t="s">
        <v>93</v>
      </c>
      <c r="L485" s="171"/>
      <c r="M485" s="171"/>
    </row>
    <row r="486" spans="11:13" ht="18" customHeight="1">
      <c r="K486" s="171" t="s">
        <v>93</v>
      </c>
      <c r="L486" s="171"/>
      <c r="M486" s="171"/>
    </row>
    <row r="487" spans="11:13" ht="18" customHeight="1">
      <c r="K487" s="171" t="s">
        <v>93</v>
      </c>
      <c r="L487" s="171"/>
      <c r="M487" s="171"/>
    </row>
    <row r="488" spans="11:13" ht="18" customHeight="1">
      <c r="K488" s="171" t="s">
        <v>93</v>
      </c>
      <c r="L488" s="171"/>
      <c r="M488" s="171"/>
    </row>
    <row r="489" spans="11:13" ht="18" customHeight="1">
      <c r="K489" s="171" t="s">
        <v>93</v>
      </c>
      <c r="L489" s="171"/>
      <c r="M489" s="171"/>
    </row>
    <row r="490" spans="11:13" ht="18" customHeight="1">
      <c r="K490" s="171" t="s">
        <v>93</v>
      </c>
      <c r="L490" s="171"/>
      <c r="M490" s="171"/>
    </row>
    <row r="491" spans="11:13" ht="18" customHeight="1">
      <c r="K491" s="171" t="s">
        <v>93</v>
      </c>
      <c r="L491" s="171"/>
      <c r="M491" s="171"/>
    </row>
    <row r="492" spans="11:13" ht="18" customHeight="1">
      <c r="K492" s="171" t="s">
        <v>93</v>
      </c>
      <c r="L492" s="171"/>
      <c r="M492" s="171"/>
    </row>
    <row r="493" spans="11:13" ht="18" customHeight="1">
      <c r="K493" s="171" t="s">
        <v>93</v>
      </c>
      <c r="L493" s="171"/>
      <c r="M493" s="171"/>
    </row>
    <row r="494" spans="11:13" ht="18" customHeight="1">
      <c r="K494" s="171" t="s">
        <v>93</v>
      </c>
      <c r="L494" s="171"/>
      <c r="M494" s="171"/>
    </row>
    <row r="495" spans="11:13" ht="18" customHeight="1">
      <c r="K495" s="171" t="s">
        <v>93</v>
      </c>
      <c r="L495" s="171"/>
      <c r="M495" s="171"/>
    </row>
    <row r="496" spans="11:13" ht="18" customHeight="1">
      <c r="K496" s="171" t="s">
        <v>93</v>
      </c>
      <c r="L496" s="171"/>
      <c r="M496" s="171"/>
    </row>
    <row r="497" spans="11:13" ht="18" customHeight="1">
      <c r="K497" s="171" t="s">
        <v>93</v>
      </c>
      <c r="L497" s="171"/>
      <c r="M497" s="171"/>
    </row>
    <row r="498" spans="11:13" ht="18" customHeight="1">
      <c r="K498" s="171" t="s">
        <v>93</v>
      </c>
      <c r="L498" s="171"/>
      <c r="M498" s="171"/>
    </row>
    <row r="499" spans="11:13" ht="18" customHeight="1">
      <c r="K499" s="171" t="s">
        <v>93</v>
      </c>
      <c r="L499" s="171"/>
      <c r="M499" s="171"/>
    </row>
    <row r="500" spans="11:13" ht="18" customHeight="1">
      <c r="K500" s="171" t="s">
        <v>93</v>
      </c>
      <c r="L500" s="171"/>
      <c r="M500" s="171"/>
    </row>
    <row r="501" spans="11:13" ht="18" customHeight="1">
      <c r="K501" s="171" t="s">
        <v>93</v>
      </c>
      <c r="L501" s="171"/>
      <c r="M501" s="171"/>
    </row>
    <row r="502" spans="11:13" ht="18" customHeight="1">
      <c r="K502" s="171" t="s">
        <v>93</v>
      </c>
      <c r="L502" s="171"/>
      <c r="M502" s="171"/>
    </row>
    <row r="503" spans="11:13" ht="18" customHeight="1">
      <c r="K503" s="171" t="s">
        <v>93</v>
      </c>
      <c r="L503" s="171"/>
      <c r="M503" s="171"/>
    </row>
    <row r="504" spans="11:13" ht="18" customHeight="1">
      <c r="K504" s="171" t="s">
        <v>93</v>
      </c>
      <c r="L504" s="171"/>
      <c r="M504" s="171"/>
    </row>
    <row r="505" spans="11:13" ht="18" customHeight="1">
      <c r="K505" s="171" t="s">
        <v>93</v>
      </c>
      <c r="L505" s="171"/>
      <c r="M505" s="171"/>
    </row>
    <row r="506" spans="11:13" ht="18" customHeight="1">
      <c r="K506" s="171" t="s">
        <v>93</v>
      </c>
      <c r="L506" s="171"/>
      <c r="M506" s="171"/>
    </row>
    <row r="507" spans="11:13" ht="18" customHeight="1">
      <c r="K507" s="171" t="s">
        <v>93</v>
      </c>
      <c r="L507" s="171"/>
      <c r="M507" s="171"/>
    </row>
    <row r="508" spans="11:13" ht="18" customHeight="1">
      <c r="K508" s="171" t="s">
        <v>93</v>
      </c>
      <c r="L508" s="171"/>
      <c r="M508" s="171"/>
    </row>
    <row r="509" spans="11:13" ht="18" customHeight="1">
      <c r="K509" s="171" t="s">
        <v>93</v>
      </c>
      <c r="L509" s="171"/>
      <c r="M509" s="171"/>
    </row>
    <row r="510" spans="11:13" ht="18" customHeight="1">
      <c r="K510" s="171" t="s">
        <v>93</v>
      </c>
      <c r="L510" s="171"/>
      <c r="M510" s="171"/>
    </row>
    <row r="511" spans="11:13" ht="18" customHeight="1">
      <c r="K511" s="171" t="s">
        <v>93</v>
      </c>
      <c r="L511" s="171"/>
      <c r="M511" s="171"/>
    </row>
    <row r="512" spans="11:13" ht="18" customHeight="1">
      <c r="K512" s="171" t="s">
        <v>93</v>
      </c>
      <c r="L512" s="171"/>
      <c r="M512" s="171"/>
    </row>
    <row r="513" spans="11:13" ht="18" customHeight="1">
      <c r="K513" s="171" t="s">
        <v>93</v>
      </c>
      <c r="L513" s="171"/>
      <c r="M513" s="171"/>
    </row>
    <row r="514" spans="11:13" ht="18" customHeight="1">
      <c r="K514" s="171" t="s">
        <v>93</v>
      </c>
      <c r="L514" s="171"/>
      <c r="M514" s="171"/>
    </row>
    <row r="515" spans="11:13" ht="18" customHeight="1">
      <c r="K515" s="171" t="s">
        <v>93</v>
      </c>
      <c r="L515" s="171"/>
      <c r="M515" s="171"/>
    </row>
    <row r="516" spans="11:13" ht="18" customHeight="1">
      <c r="K516" s="171" t="s">
        <v>93</v>
      </c>
      <c r="L516" s="171"/>
      <c r="M516" s="171"/>
    </row>
    <row r="517" spans="11:13" ht="18" customHeight="1">
      <c r="K517" s="171" t="s">
        <v>93</v>
      </c>
      <c r="L517" s="171"/>
      <c r="M517" s="171"/>
    </row>
    <row r="518" spans="11:13" ht="18" customHeight="1">
      <c r="K518" s="171" t="s">
        <v>93</v>
      </c>
      <c r="L518" s="171"/>
      <c r="M518" s="171"/>
    </row>
    <row r="519" spans="11:13" ht="18" customHeight="1">
      <c r="K519" s="171" t="s">
        <v>93</v>
      </c>
      <c r="L519" s="171"/>
      <c r="M519" s="171"/>
    </row>
    <row r="520" spans="11:13" ht="18" customHeight="1">
      <c r="K520" s="171" t="s">
        <v>93</v>
      </c>
      <c r="L520" s="171"/>
      <c r="M520" s="171"/>
    </row>
    <row r="521" spans="11:13" ht="18" customHeight="1">
      <c r="K521" s="171" t="s">
        <v>93</v>
      </c>
      <c r="L521" s="171"/>
      <c r="M521" s="171"/>
    </row>
    <row r="522" spans="11:13" ht="18" customHeight="1">
      <c r="K522" s="171" t="s">
        <v>93</v>
      </c>
      <c r="L522" s="171"/>
      <c r="M522" s="171"/>
    </row>
    <row r="523" spans="11:13" ht="18" customHeight="1">
      <c r="K523" s="171" t="s">
        <v>93</v>
      </c>
      <c r="L523" s="171"/>
      <c r="M523" s="171"/>
    </row>
    <row r="524" spans="11:13" ht="18" customHeight="1">
      <c r="K524" s="171" t="s">
        <v>93</v>
      </c>
      <c r="L524" s="171"/>
      <c r="M524" s="171"/>
    </row>
    <row r="525" spans="11:13" ht="18" customHeight="1">
      <c r="K525" s="171" t="s">
        <v>93</v>
      </c>
      <c r="L525" s="171"/>
      <c r="M525" s="171"/>
    </row>
    <row r="526" spans="11:13" ht="18" customHeight="1">
      <c r="K526" s="171" t="s">
        <v>93</v>
      </c>
      <c r="L526" s="171"/>
      <c r="M526" s="171"/>
    </row>
    <row r="527" spans="11:13" ht="18" customHeight="1">
      <c r="K527" s="171" t="s">
        <v>93</v>
      </c>
      <c r="L527" s="171"/>
      <c r="M527" s="171"/>
    </row>
    <row r="528" spans="11:13" ht="18" customHeight="1">
      <c r="K528" s="171" t="s">
        <v>93</v>
      </c>
      <c r="L528" s="171"/>
      <c r="M528" s="171"/>
    </row>
    <row r="529" spans="11:13" ht="18" customHeight="1">
      <c r="K529" s="171" t="s">
        <v>93</v>
      </c>
      <c r="L529" s="171"/>
      <c r="M529" s="171"/>
    </row>
    <row r="530" spans="11:13" ht="18" customHeight="1">
      <c r="K530" s="171" t="s">
        <v>93</v>
      </c>
      <c r="L530" s="171"/>
      <c r="M530" s="171"/>
    </row>
    <row r="531" spans="11:13" ht="18" customHeight="1">
      <c r="K531" s="171" t="s">
        <v>93</v>
      </c>
      <c r="L531" s="171"/>
      <c r="M531" s="171"/>
    </row>
    <row r="532" spans="11:13" ht="18" customHeight="1">
      <c r="K532" s="171" t="s">
        <v>93</v>
      </c>
      <c r="L532" s="171"/>
      <c r="M532" s="171"/>
    </row>
    <row r="533" spans="11:13" ht="18" customHeight="1">
      <c r="K533" s="171" t="s">
        <v>93</v>
      </c>
      <c r="L533" s="171"/>
      <c r="M533" s="171"/>
    </row>
    <row r="534" spans="11:13" ht="18" customHeight="1">
      <c r="K534" s="171" t="s">
        <v>93</v>
      </c>
      <c r="L534" s="171"/>
      <c r="M534" s="171"/>
    </row>
    <row r="535" spans="11:13" ht="18" customHeight="1">
      <c r="K535" s="171" t="s">
        <v>93</v>
      </c>
      <c r="L535" s="171"/>
      <c r="M535" s="171"/>
    </row>
    <row r="536" spans="11:13" ht="18" customHeight="1">
      <c r="K536" s="171" t="s">
        <v>93</v>
      </c>
      <c r="L536" s="171"/>
      <c r="M536" s="171"/>
    </row>
    <row r="537" spans="11:13" ht="18" customHeight="1">
      <c r="K537" s="171" t="s">
        <v>93</v>
      </c>
      <c r="L537" s="171"/>
      <c r="M537" s="171"/>
    </row>
    <row r="538" spans="11:13" ht="18" customHeight="1">
      <c r="K538" s="171" t="s">
        <v>93</v>
      </c>
      <c r="L538" s="171"/>
      <c r="M538" s="171"/>
    </row>
    <row r="539" spans="11:13" ht="18" customHeight="1">
      <c r="K539" s="171" t="s">
        <v>93</v>
      </c>
      <c r="L539" s="171"/>
      <c r="M539" s="171"/>
    </row>
    <row r="540" spans="11:13" ht="18" customHeight="1">
      <c r="K540" s="171" t="s">
        <v>93</v>
      </c>
      <c r="L540" s="171"/>
      <c r="M540" s="171"/>
    </row>
    <row r="541" spans="11:13" ht="18" customHeight="1">
      <c r="K541" s="171" t="s">
        <v>93</v>
      </c>
      <c r="L541" s="171"/>
      <c r="M541" s="171"/>
    </row>
    <row r="542" spans="11:13" ht="18" customHeight="1">
      <c r="K542" s="171" t="s">
        <v>93</v>
      </c>
      <c r="L542" s="171"/>
      <c r="M542" s="171"/>
    </row>
    <row r="543" spans="11:13" ht="18" customHeight="1">
      <c r="K543" s="171" t="s">
        <v>93</v>
      </c>
      <c r="L543" s="171"/>
      <c r="M543" s="171"/>
    </row>
    <row r="544" spans="11:13" ht="18" customHeight="1">
      <c r="K544" s="171" t="s">
        <v>93</v>
      </c>
      <c r="L544" s="171"/>
      <c r="M544" s="171"/>
    </row>
    <row r="545" spans="11:13" ht="18" customHeight="1">
      <c r="K545" s="171" t="s">
        <v>93</v>
      </c>
      <c r="L545" s="171"/>
      <c r="M545" s="171"/>
    </row>
    <row r="546" spans="11:13" ht="18" customHeight="1">
      <c r="K546" s="171" t="s">
        <v>93</v>
      </c>
      <c r="L546" s="171"/>
      <c r="M546" s="171"/>
    </row>
    <row r="547" spans="11:13" ht="18" customHeight="1">
      <c r="K547" s="171" t="s">
        <v>93</v>
      </c>
      <c r="L547" s="171"/>
      <c r="M547" s="171"/>
    </row>
    <row r="548" spans="11:13" ht="18" customHeight="1">
      <c r="K548" s="171" t="s">
        <v>93</v>
      </c>
      <c r="L548" s="171"/>
      <c r="M548" s="171"/>
    </row>
    <row r="549" spans="11:13" ht="18" customHeight="1">
      <c r="K549" s="171" t="s">
        <v>93</v>
      </c>
      <c r="L549" s="171"/>
      <c r="M549" s="171"/>
    </row>
    <row r="550" spans="11:13" ht="18" customHeight="1">
      <c r="K550" s="171" t="s">
        <v>93</v>
      </c>
      <c r="L550" s="171"/>
      <c r="M550" s="171"/>
    </row>
    <row r="551" spans="11:13" ht="18" customHeight="1">
      <c r="K551" s="171" t="s">
        <v>93</v>
      </c>
      <c r="L551" s="171"/>
      <c r="M551" s="171"/>
    </row>
    <row r="552" spans="11:13" ht="18" customHeight="1">
      <c r="K552" s="171" t="s">
        <v>93</v>
      </c>
      <c r="L552" s="171"/>
      <c r="M552" s="171"/>
    </row>
    <row r="553" spans="11:13" ht="18" customHeight="1">
      <c r="K553" s="171" t="s">
        <v>93</v>
      </c>
      <c r="L553" s="171"/>
      <c r="M553" s="171"/>
    </row>
    <row r="554" spans="11:13" ht="18" customHeight="1">
      <c r="K554" s="171" t="s">
        <v>93</v>
      </c>
      <c r="L554" s="171"/>
      <c r="M554" s="171"/>
    </row>
    <row r="555" spans="11:13" ht="18" customHeight="1">
      <c r="K555" s="171" t="s">
        <v>93</v>
      </c>
      <c r="L555" s="171"/>
      <c r="M555" s="171"/>
    </row>
    <row r="556" spans="11:13" ht="18" customHeight="1">
      <c r="K556" s="171" t="s">
        <v>93</v>
      </c>
      <c r="L556" s="171"/>
      <c r="M556" s="171"/>
    </row>
    <row r="557" spans="11:13" ht="18" customHeight="1">
      <c r="K557" s="171" t="s">
        <v>93</v>
      </c>
      <c r="L557" s="171"/>
      <c r="M557" s="171"/>
    </row>
    <row r="558" spans="11:13" ht="18" customHeight="1">
      <c r="K558" s="171" t="s">
        <v>93</v>
      </c>
      <c r="L558" s="171"/>
      <c r="M558" s="171"/>
    </row>
    <row r="559" spans="11:13" ht="18" customHeight="1">
      <c r="K559" s="171" t="s">
        <v>93</v>
      </c>
      <c r="L559" s="171"/>
      <c r="M559" s="171"/>
    </row>
    <row r="560" spans="11:13" ht="18" customHeight="1">
      <c r="K560" s="171" t="s">
        <v>93</v>
      </c>
      <c r="L560" s="171"/>
      <c r="M560" s="171"/>
    </row>
    <row r="561" spans="11:13" ht="18" customHeight="1">
      <c r="K561" s="171" t="s">
        <v>93</v>
      </c>
      <c r="L561" s="171"/>
      <c r="M561" s="171"/>
    </row>
    <row r="562" spans="11:13" ht="18" customHeight="1">
      <c r="K562" s="171" t="s">
        <v>93</v>
      </c>
      <c r="L562" s="171"/>
      <c r="M562" s="171"/>
    </row>
    <row r="563" spans="11:13" ht="18" customHeight="1">
      <c r="K563" s="171" t="s">
        <v>93</v>
      </c>
      <c r="L563" s="171"/>
      <c r="M563" s="171"/>
    </row>
    <row r="564" spans="11:13" ht="18" customHeight="1">
      <c r="K564" s="171" t="s">
        <v>93</v>
      </c>
      <c r="L564" s="171"/>
      <c r="M564" s="171"/>
    </row>
    <row r="565" spans="11:13" ht="18" customHeight="1">
      <c r="K565" s="171" t="s">
        <v>93</v>
      </c>
      <c r="L565" s="171"/>
      <c r="M565" s="171"/>
    </row>
    <row r="566" spans="11:13" ht="18" customHeight="1">
      <c r="K566" s="171" t="s">
        <v>93</v>
      </c>
      <c r="L566" s="171"/>
      <c r="M566" s="171"/>
    </row>
    <row r="567" spans="11:13" ht="18" customHeight="1">
      <c r="K567" s="171" t="s">
        <v>93</v>
      </c>
      <c r="L567" s="171"/>
      <c r="M567" s="171"/>
    </row>
    <row r="568" spans="11:13" ht="18" customHeight="1">
      <c r="K568" s="171" t="s">
        <v>93</v>
      </c>
      <c r="L568" s="171"/>
      <c r="M568" s="171"/>
    </row>
    <row r="569" spans="11:13" ht="18" customHeight="1">
      <c r="K569" s="171" t="s">
        <v>93</v>
      </c>
      <c r="L569" s="171"/>
      <c r="M569" s="171"/>
    </row>
    <row r="570" spans="11:13" ht="18" customHeight="1">
      <c r="K570" s="171" t="s">
        <v>93</v>
      </c>
      <c r="L570" s="171"/>
      <c r="M570" s="171"/>
    </row>
    <row r="571" spans="11:13" ht="18" customHeight="1">
      <c r="K571" s="171" t="s">
        <v>93</v>
      </c>
      <c r="L571" s="171"/>
      <c r="M571" s="171"/>
    </row>
    <row r="572" spans="11:13" ht="18" customHeight="1">
      <c r="K572" s="171" t="s">
        <v>93</v>
      </c>
      <c r="L572" s="171"/>
      <c r="M572" s="171"/>
    </row>
    <row r="573" spans="11:13" ht="18" customHeight="1">
      <c r="K573" s="171" t="s">
        <v>93</v>
      </c>
      <c r="L573" s="171"/>
      <c r="M573" s="171"/>
    </row>
    <row r="574" spans="11:13" ht="18" customHeight="1">
      <c r="K574" s="171" t="s">
        <v>93</v>
      </c>
      <c r="L574" s="171"/>
      <c r="M574" s="171"/>
    </row>
    <row r="575" spans="11:13" ht="18" customHeight="1">
      <c r="K575" s="171" t="s">
        <v>93</v>
      </c>
      <c r="L575" s="171"/>
      <c r="M575" s="171"/>
    </row>
    <row r="576" spans="11:13" ht="18" customHeight="1">
      <c r="K576" s="171" t="s">
        <v>93</v>
      </c>
      <c r="L576" s="171"/>
      <c r="M576" s="171"/>
    </row>
    <row r="577" spans="11:13" ht="18" customHeight="1">
      <c r="K577" s="171" t="s">
        <v>93</v>
      </c>
      <c r="L577" s="171"/>
      <c r="M577" s="171"/>
    </row>
    <row r="578" spans="11:13" ht="18" customHeight="1">
      <c r="K578" s="171" t="s">
        <v>93</v>
      </c>
      <c r="L578" s="171"/>
      <c r="M578" s="171"/>
    </row>
    <row r="579" spans="11:13" ht="18" customHeight="1">
      <c r="K579" s="171" t="s">
        <v>93</v>
      </c>
      <c r="L579" s="171"/>
      <c r="M579" s="171"/>
    </row>
    <row r="580" spans="11:13" ht="18" customHeight="1">
      <c r="K580" s="171" t="s">
        <v>93</v>
      </c>
      <c r="L580" s="171"/>
      <c r="M580" s="171"/>
    </row>
    <row r="581" spans="11:13" ht="18" customHeight="1">
      <c r="K581" s="171" t="s">
        <v>93</v>
      </c>
      <c r="L581" s="171"/>
      <c r="M581" s="171"/>
    </row>
    <row r="582" spans="11:13" ht="18" customHeight="1">
      <c r="K582" s="171" t="s">
        <v>93</v>
      </c>
      <c r="L582" s="171"/>
      <c r="M582" s="171"/>
    </row>
    <row r="583" spans="11:13" ht="18" customHeight="1">
      <c r="K583" s="171" t="s">
        <v>93</v>
      </c>
      <c r="L583" s="171"/>
      <c r="M583" s="171"/>
    </row>
    <row r="584" spans="11:13" ht="18" customHeight="1">
      <c r="K584" s="171" t="s">
        <v>93</v>
      </c>
      <c r="L584" s="171"/>
      <c r="M584" s="171"/>
    </row>
    <row r="585" spans="11:13" ht="18" customHeight="1">
      <c r="K585" s="171" t="s">
        <v>93</v>
      </c>
      <c r="L585" s="171"/>
      <c r="M585" s="171"/>
    </row>
    <row r="586" spans="11:13" ht="18" customHeight="1">
      <c r="K586" s="171" t="s">
        <v>93</v>
      </c>
      <c r="L586" s="171"/>
      <c r="M586" s="171"/>
    </row>
    <row r="587" spans="11:13" ht="18" customHeight="1">
      <c r="K587" s="171" t="s">
        <v>93</v>
      </c>
      <c r="L587" s="171"/>
      <c r="M587" s="171"/>
    </row>
    <row r="588" spans="11:13" ht="18" customHeight="1">
      <c r="K588" s="171" t="s">
        <v>93</v>
      </c>
      <c r="L588" s="171"/>
      <c r="M588" s="171"/>
    </row>
    <row r="589" spans="11:13" ht="18" customHeight="1">
      <c r="K589" s="171" t="s">
        <v>93</v>
      </c>
      <c r="L589" s="171"/>
      <c r="M589" s="171"/>
    </row>
    <row r="590" spans="11:13" ht="18" customHeight="1">
      <c r="K590" s="171" t="s">
        <v>93</v>
      </c>
      <c r="L590" s="171"/>
      <c r="M590" s="171"/>
    </row>
    <row r="591" spans="11:13" ht="18" customHeight="1">
      <c r="K591" s="171" t="s">
        <v>93</v>
      </c>
      <c r="L591" s="171"/>
      <c r="M591" s="171"/>
    </row>
    <row r="592" spans="11:13" ht="18" customHeight="1">
      <c r="K592" s="171" t="s">
        <v>93</v>
      </c>
      <c r="L592" s="171"/>
      <c r="M592" s="171"/>
    </row>
    <row r="593" spans="11:13" ht="18" customHeight="1">
      <c r="K593" s="171" t="s">
        <v>93</v>
      </c>
      <c r="L593" s="171"/>
      <c r="M593" s="171"/>
    </row>
    <row r="594" spans="11:13" ht="18" customHeight="1">
      <c r="K594" s="171" t="s">
        <v>93</v>
      </c>
      <c r="L594" s="171"/>
      <c r="M594" s="171"/>
    </row>
    <row r="595" spans="11:13" ht="18" customHeight="1">
      <c r="K595" s="171" t="s">
        <v>93</v>
      </c>
      <c r="L595" s="171"/>
      <c r="M595" s="171"/>
    </row>
    <row r="596" spans="11:13" ht="18" customHeight="1">
      <c r="K596" s="171" t="s">
        <v>93</v>
      </c>
      <c r="L596" s="171"/>
      <c r="M596" s="171"/>
    </row>
    <row r="597" spans="11:13" ht="18" customHeight="1">
      <c r="K597" s="171" t="s">
        <v>93</v>
      </c>
      <c r="L597" s="171"/>
      <c r="M597" s="171"/>
    </row>
    <row r="598" spans="11:13" ht="18" customHeight="1">
      <c r="K598" s="171" t="s">
        <v>93</v>
      </c>
      <c r="L598" s="171"/>
      <c r="M598" s="171"/>
    </row>
    <row r="599" spans="11:13" ht="18" customHeight="1">
      <c r="K599" s="171" t="s">
        <v>93</v>
      </c>
      <c r="L599" s="171"/>
      <c r="M599" s="171"/>
    </row>
    <row r="600" spans="11:13" ht="18" customHeight="1">
      <c r="K600" s="171" t="s">
        <v>93</v>
      </c>
      <c r="L600" s="171"/>
      <c r="M600" s="171"/>
    </row>
    <row r="601" spans="11:13" ht="18" customHeight="1">
      <c r="K601" s="171" t="s">
        <v>93</v>
      </c>
      <c r="L601" s="171"/>
      <c r="M601" s="171"/>
    </row>
    <row r="602" spans="11:13" ht="18" customHeight="1">
      <c r="K602" s="171" t="s">
        <v>93</v>
      </c>
      <c r="L602" s="171"/>
      <c r="M602" s="171"/>
    </row>
    <row r="603" spans="11:13" ht="18" customHeight="1">
      <c r="K603" s="171" t="s">
        <v>93</v>
      </c>
      <c r="L603" s="171"/>
      <c r="M603" s="171"/>
    </row>
    <row r="604" spans="11:13" ht="18" customHeight="1">
      <c r="K604" s="171" t="s">
        <v>93</v>
      </c>
      <c r="L604" s="171"/>
      <c r="M604" s="171"/>
    </row>
    <row r="605" spans="11:13" ht="18" customHeight="1">
      <c r="K605" s="171" t="s">
        <v>93</v>
      </c>
      <c r="L605" s="171"/>
      <c r="M605" s="171"/>
    </row>
    <row r="606" spans="11:13" ht="18" customHeight="1">
      <c r="K606" s="171" t="s">
        <v>93</v>
      </c>
      <c r="L606" s="171"/>
      <c r="M606" s="171"/>
    </row>
    <row r="607" spans="11:13" ht="18" customHeight="1">
      <c r="K607" s="171" t="s">
        <v>93</v>
      </c>
      <c r="L607" s="171"/>
      <c r="M607" s="171"/>
    </row>
    <row r="608" spans="11:13" ht="18" customHeight="1">
      <c r="K608" s="171" t="s">
        <v>93</v>
      </c>
      <c r="L608" s="171"/>
      <c r="M608" s="171"/>
    </row>
    <row r="609" spans="11:13" ht="18" customHeight="1">
      <c r="K609" s="171" t="s">
        <v>93</v>
      </c>
      <c r="L609" s="171"/>
      <c r="M609" s="171"/>
    </row>
    <row r="610" spans="11:13" ht="18" customHeight="1">
      <c r="K610" s="171" t="s">
        <v>93</v>
      </c>
      <c r="L610" s="171"/>
      <c r="M610" s="171"/>
    </row>
    <row r="611" spans="11:13" ht="18" customHeight="1">
      <c r="K611" s="171" t="s">
        <v>93</v>
      </c>
      <c r="L611" s="171"/>
      <c r="M611" s="171"/>
    </row>
    <row r="612" spans="11:13" ht="18" customHeight="1">
      <c r="K612" s="171" t="s">
        <v>93</v>
      </c>
      <c r="L612" s="171"/>
      <c r="M612" s="171"/>
    </row>
    <row r="613" spans="11:13" ht="18" customHeight="1">
      <c r="K613" s="171" t="s">
        <v>93</v>
      </c>
      <c r="L613" s="171"/>
      <c r="M613" s="171"/>
    </row>
    <row r="614" spans="11:13" ht="18" customHeight="1">
      <c r="K614" s="171" t="s">
        <v>93</v>
      </c>
      <c r="L614" s="171"/>
      <c r="M614" s="171"/>
    </row>
    <row r="615" spans="11:13" ht="18" customHeight="1">
      <c r="K615" s="171" t="s">
        <v>93</v>
      </c>
      <c r="L615" s="171"/>
      <c r="M615" s="171"/>
    </row>
    <row r="616" spans="11:13" ht="18" customHeight="1">
      <c r="K616" s="171" t="s">
        <v>93</v>
      </c>
      <c r="L616" s="171"/>
      <c r="M616" s="171"/>
    </row>
    <row r="617" spans="11:13" ht="18" customHeight="1">
      <c r="K617" s="171" t="s">
        <v>93</v>
      </c>
      <c r="L617" s="171"/>
      <c r="M617" s="171"/>
    </row>
    <row r="618" spans="11:13" ht="18" customHeight="1">
      <c r="K618" s="171" t="s">
        <v>93</v>
      </c>
      <c r="L618" s="171"/>
      <c r="M618" s="171"/>
    </row>
    <row r="619" spans="11:13" ht="18" customHeight="1">
      <c r="K619" s="171" t="s">
        <v>93</v>
      </c>
      <c r="L619" s="171"/>
      <c r="M619" s="171"/>
    </row>
    <row r="620" spans="11:13" ht="18" customHeight="1">
      <c r="K620" s="171" t="s">
        <v>93</v>
      </c>
      <c r="L620" s="171"/>
      <c r="M620" s="171"/>
    </row>
    <row r="621" spans="11:13" ht="18" customHeight="1">
      <c r="K621" s="171" t="s">
        <v>93</v>
      </c>
      <c r="L621" s="171"/>
      <c r="M621" s="171"/>
    </row>
    <row r="622" spans="11:13" ht="18" customHeight="1">
      <c r="K622" s="171" t="s">
        <v>93</v>
      </c>
      <c r="L622" s="171"/>
      <c r="M622" s="171"/>
    </row>
    <row r="623" spans="11:13" ht="18" customHeight="1">
      <c r="K623" s="171" t="s">
        <v>93</v>
      </c>
      <c r="L623" s="171"/>
      <c r="M623" s="171"/>
    </row>
    <row r="624" spans="11:13" ht="18" customHeight="1">
      <c r="K624" s="171" t="s">
        <v>93</v>
      </c>
      <c r="L624" s="171"/>
      <c r="M624" s="171"/>
    </row>
    <row r="625" spans="11:13" ht="18" customHeight="1">
      <c r="K625" s="171" t="s">
        <v>93</v>
      </c>
      <c r="L625" s="171"/>
      <c r="M625" s="171"/>
    </row>
    <row r="626" spans="11:13" ht="18" customHeight="1">
      <c r="K626" s="171" t="s">
        <v>93</v>
      </c>
      <c r="L626" s="171"/>
      <c r="M626" s="171"/>
    </row>
    <row r="627" spans="11:13" ht="18" customHeight="1">
      <c r="K627" s="171" t="s">
        <v>93</v>
      </c>
      <c r="L627" s="171"/>
      <c r="M627" s="171"/>
    </row>
    <row r="628" spans="11:13" ht="18" customHeight="1">
      <c r="K628" s="171" t="s">
        <v>93</v>
      </c>
      <c r="L628" s="171"/>
      <c r="M628" s="171"/>
    </row>
    <row r="629" spans="11:13" ht="18" customHeight="1">
      <c r="K629" s="171" t="s">
        <v>93</v>
      </c>
      <c r="L629" s="171"/>
      <c r="M629" s="171"/>
    </row>
    <row r="630" spans="11:13" ht="18" customHeight="1">
      <c r="K630" s="171" t="s">
        <v>93</v>
      </c>
      <c r="L630" s="171"/>
      <c r="M630" s="171"/>
    </row>
    <row r="631" spans="11:13" ht="18" customHeight="1">
      <c r="K631" s="171" t="s">
        <v>93</v>
      </c>
      <c r="L631" s="171"/>
      <c r="M631" s="171"/>
    </row>
    <row r="632" spans="11:13" ht="18" customHeight="1">
      <c r="K632" s="171" t="s">
        <v>93</v>
      </c>
      <c r="L632" s="171"/>
      <c r="M632" s="171"/>
    </row>
    <row r="633" spans="11:13" ht="18" customHeight="1">
      <c r="K633" s="171" t="s">
        <v>93</v>
      </c>
      <c r="L633" s="171"/>
      <c r="M633" s="171"/>
    </row>
    <row r="634" spans="11:13" ht="18" customHeight="1">
      <c r="K634" s="171" t="s">
        <v>93</v>
      </c>
      <c r="L634" s="171"/>
      <c r="M634" s="171"/>
    </row>
    <row r="635" spans="11:13" ht="18" customHeight="1">
      <c r="K635" s="171" t="s">
        <v>93</v>
      </c>
      <c r="L635" s="171"/>
      <c r="M635" s="171"/>
    </row>
    <row r="636" spans="11:13" ht="18" customHeight="1">
      <c r="K636" s="171" t="s">
        <v>93</v>
      </c>
      <c r="L636" s="171"/>
      <c r="M636" s="171"/>
    </row>
    <row r="637" spans="11:13" ht="18" customHeight="1">
      <c r="K637" s="171" t="s">
        <v>93</v>
      </c>
      <c r="L637" s="171"/>
      <c r="M637" s="171"/>
    </row>
    <row r="638" spans="11:13" ht="18" customHeight="1">
      <c r="K638" s="171" t="s">
        <v>93</v>
      </c>
      <c r="L638" s="171"/>
      <c r="M638" s="171"/>
    </row>
    <row r="639" spans="11:13" ht="18" customHeight="1">
      <c r="K639" s="171" t="s">
        <v>93</v>
      </c>
      <c r="L639" s="171"/>
      <c r="M639" s="171"/>
    </row>
    <row r="640" spans="11:13" ht="18" customHeight="1">
      <c r="K640" s="171" t="s">
        <v>93</v>
      </c>
      <c r="L640" s="171"/>
      <c r="M640" s="171"/>
    </row>
    <row r="641" spans="11:13" ht="18" customHeight="1">
      <c r="K641" s="171" t="s">
        <v>93</v>
      </c>
      <c r="L641" s="171"/>
      <c r="M641" s="171"/>
    </row>
    <row r="642" spans="11:13" ht="18" customHeight="1">
      <c r="K642" s="171" t="s">
        <v>93</v>
      </c>
      <c r="L642" s="171"/>
      <c r="M642" s="171"/>
    </row>
    <row r="643" spans="11:13" ht="18" customHeight="1">
      <c r="K643" s="171" t="s">
        <v>93</v>
      </c>
      <c r="L643" s="171"/>
      <c r="M643" s="171"/>
    </row>
    <row r="644" spans="11:13" ht="18" customHeight="1">
      <c r="K644" s="171" t="s">
        <v>93</v>
      </c>
      <c r="L644" s="171"/>
      <c r="M644" s="171"/>
    </row>
    <row r="645" spans="11:13" ht="18" customHeight="1">
      <c r="K645" s="171" t="s">
        <v>93</v>
      </c>
      <c r="L645" s="171"/>
      <c r="M645" s="171"/>
    </row>
    <row r="646" spans="11:13" ht="18" customHeight="1">
      <c r="K646" s="171" t="s">
        <v>93</v>
      </c>
      <c r="L646" s="171"/>
      <c r="M646" s="171"/>
    </row>
    <row r="647" spans="11:13" ht="18" customHeight="1">
      <c r="K647" s="171" t="s">
        <v>93</v>
      </c>
      <c r="L647" s="171"/>
      <c r="M647" s="171"/>
    </row>
    <row r="648" spans="11:13" ht="18" customHeight="1">
      <c r="K648" s="171" t="s">
        <v>93</v>
      </c>
      <c r="L648" s="171"/>
      <c r="M648" s="171"/>
    </row>
    <row r="649" spans="11:13" ht="18" customHeight="1">
      <c r="K649" s="171" t="s">
        <v>93</v>
      </c>
      <c r="L649" s="171"/>
      <c r="M649" s="171"/>
    </row>
    <row r="650" spans="11:13" ht="18" customHeight="1">
      <c r="K650" s="171" t="s">
        <v>93</v>
      </c>
      <c r="L650" s="171"/>
      <c r="M650" s="171"/>
    </row>
    <row r="651" spans="11:13" ht="18" customHeight="1">
      <c r="K651" s="171" t="s">
        <v>93</v>
      </c>
      <c r="L651" s="171"/>
      <c r="M651" s="171"/>
    </row>
    <row r="652" spans="11:13" ht="18" customHeight="1">
      <c r="K652" s="171" t="s">
        <v>93</v>
      </c>
      <c r="L652" s="171"/>
      <c r="M652" s="171"/>
    </row>
    <row r="653" spans="11:13" ht="18" customHeight="1">
      <c r="K653" s="171" t="s">
        <v>93</v>
      </c>
      <c r="L653" s="171"/>
      <c r="M653" s="171"/>
    </row>
    <row r="654" spans="11:13" ht="18" customHeight="1">
      <c r="K654" s="171" t="s">
        <v>93</v>
      </c>
      <c r="L654" s="171"/>
      <c r="M654" s="171"/>
    </row>
    <row r="655" spans="11:13" ht="18" customHeight="1">
      <c r="K655" s="171" t="s">
        <v>93</v>
      </c>
      <c r="L655" s="171"/>
      <c r="M655" s="171"/>
    </row>
    <row r="656" spans="11:13" ht="18" customHeight="1">
      <c r="K656" s="171" t="s">
        <v>93</v>
      </c>
      <c r="L656" s="171"/>
      <c r="M656" s="171"/>
    </row>
    <row r="657" spans="11:13" ht="18" customHeight="1">
      <c r="K657" s="171" t="s">
        <v>93</v>
      </c>
      <c r="L657" s="171"/>
      <c r="M657" s="171"/>
    </row>
    <row r="658" spans="11:13" ht="18" customHeight="1">
      <c r="K658" s="171" t="s">
        <v>93</v>
      </c>
      <c r="L658" s="171"/>
      <c r="M658" s="171"/>
    </row>
    <row r="659" spans="11:13" ht="18" customHeight="1">
      <c r="K659" s="171" t="s">
        <v>93</v>
      </c>
      <c r="L659" s="171"/>
      <c r="M659" s="171"/>
    </row>
    <row r="660" spans="11:13" ht="18" customHeight="1">
      <c r="K660" s="171" t="s">
        <v>93</v>
      </c>
      <c r="L660" s="171"/>
      <c r="M660" s="171"/>
    </row>
    <row r="661" spans="11:13" ht="18" customHeight="1">
      <c r="K661" s="171" t="s">
        <v>93</v>
      </c>
      <c r="L661" s="171"/>
      <c r="M661" s="171"/>
    </row>
    <row r="662" spans="11:13" ht="18" customHeight="1">
      <c r="K662" s="171" t="s">
        <v>93</v>
      </c>
      <c r="L662" s="171"/>
      <c r="M662" s="171"/>
    </row>
    <row r="663" spans="11:13" ht="18" customHeight="1">
      <c r="K663" s="171" t="s">
        <v>93</v>
      </c>
      <c r="L663" s="171"/>
      <c r="M663" s="171"/>
    </row>
    <row r="664" spans="11:13" ht="18" customHeight="1">
      <c r="K664" s="171" t="s">
        <v>93</v>
      </c>
      <c r="L664" s="171"/>
      <c r="M664" s="171"/>
    </row>
    <row r="665" spans="11:13" ht="18" customHeight="1">
      <c r="K665" s="171" t="s">
        <v>93</v>
      </c>
      <c r="L665" s="171"/>
      <c r="M665" s="171"/>
    </row>
    <row r="666" spans="11:13" ht="18" customHeight="1">
      <c r="K666" s="171" t="s">
        <v>93</v>
      </c>
      <c r="L666" s="171"/>
      <c r="M666" s="171"/>
    </row>
    <row r="667" spans="11:13" ht="18" customHeight="1">
      <c r="K667" s="171" t="s">
        <v>93</v>
      </c>
      <c r="L667" s="171"/>
      <c r="M667" s="171"/>
    </row>
    <row r="668" spans="11:13" ht="18" customHeight="1">
      <c r="K668" s="171" t="s">
        <v>93</v>
      </c>
      <c r="L668" s="171"/>
      <c r="M668" s="171"/>
    </row>
    <row r="669" spans="11:13" ht="18" customHeight="1">
      <c r="K669" s="171" t="s">
        <v>93</v>
      </c>
      <c r="L669" s="171"/>
      <c r="M669" s="171"/>
    </row>
    <row r="670" spans="11:13" ht="18" customHeight="1">
      <c r="K670" s="171" t="s">
        <v>93</v>
      </c>
      <c r="L670" s="171"/>
      <c r="M670" s="171"/>
    </row>
    <row r="671" spans="11:13" ht="18" customHeight="1">
      <c r="K671" s="171" t="s">
        <v>93</v>
      </c>
      <c r="L671" s="171"/>
      <c r="M671" s="171"/>
    </row>
    <row r="672" spans="11:13" ht="18" customHeight="1">
      <c r="K672" s="171" t="s">
        <v>93</v>
      </c>
      <c r="L672" s="171"/>
      <c r="M672" s="171"/>
    </row>
    <row r="673" spans="11:13" ht="18" customHeight="1">
      <c r="K673" s="171" t="s">
        <v>93</v>
      </c>
      <c r="L673" s="171"/>
      <c r="M673" s="171"/>
    </row>
    <row r="674" spans="11:13" ht="18" customHeight="1">
      <c r="K674" s="171" t="s">
        <v>93</v>
      </c>
      <c r="L674" s="171"/>
      <c r="M674" s="171"/>
    </row>
    <row r="675" spans="11:13" ht="18" customHeight="1">
      <c r="K675" s="171" t="s">
        <v>93</v>
      </c>
      <c r="L675" s="171"/>
      <c r="M675" s="171"/>
    </row>
    <row r="676" spans="11:13" ht="18" customHeight="1">
      <c r="K676" s="171" t="s">
        <v>93</v>
      </c>
      <c r="L676" s="171"/>
      <c r="M676" s="171"/>
    </row>
    <row r="677" spans="11:13" ht="18" customHeight="1">
      <c r="K677" s="171" t="s">
        <v>93</v>
      </c>
      <c r="L677" s="171"/>
      <c r="M677" s="171"/>
    </row>
    <row r="678" spans="11:13" ht="18" customHeight="1">
      <c r="K678" s="171" t="s">
        <v>93</v>
      </c>
      <c r="L678" s="171"/>
      <c r="M678" s="171"/>
    </row>
    <row r="679" spans="11:13" ht="18" customHeight="1">
      <c r="K679" s="171" t="s">
        <v>93</v>
      </c>
      <c r="L679" s="171"/>
      <c r="M679" s="171"/>
    </row>
    <row r="680" spans="11:13" ht="18" customHeight="1">
      <c r="K680" s="171" t="s">
        <v>93</v>
      </c>
      <c r="L680" s="171"/>
      <c r="M680" s="171"/>
    </row>
    <row r="681" spans="11:13" ht="18" customHeight="1">
      <c r="K681" s="171" t="s">
        <v>93</v>
      </c>
      <c r="L681" s="171"/>
      <c r="M681" s="171"/>
    </row>
    <row r="682" spans="11:13" ht="18" customHeight="1">
      <c r="K682" s="171" t="s">
        <v>93</v>
      </c>
      <c r="L682" s="171"/>
      <c r="M682" s="171"/>
    </row>
    <row r="683" spans="11:13" ht="18" customHeight="1">
      <c r="K683" s="171" t="s">
        <v>93</v>
      </c>
      <c r="L683" s="171"/>
      <c r="M683" s="171"/>
    </row>
    <row r="684" spans="11:13" ht="18" customHeight="1">
      <c r="K684" s="171" t="s">
        <v>93</v>
      </c>
      <c r="L684" s="171"/>
      <c r="M684" s="171"/>
    </row>
    <row r="685" spans="11:13" ht="18" customHeight="1">
      <c r="K685" s="171" t="s">
        <v>93</v>
      </c>
      <c r="L685" s="171"/>
      <c r="M685" s="171"/>
    </row>
    <row r="686" spans="11:13" ht="18" customHeight="1">
      <c r="K686" s="171" t="s">
        <v>93</v>
      </c>
      <c r="L686" s="171"/>
      <c r="M686" s="171"/>
    </row>
    <row r="687" spans="11:13" ht="18" customHeight="1">
      <c r="K687" s="171" t="s">
        <v>93</v>
      </c>
      <c r="L687" s="171"/>
      <c r="M687" s="171"/>
    </row>
    <row r="688" spans="11:13" ht="18" customHeight="1">
      <c r="K688" s="171" t="s">
        <v>93</v>
      </c>
      <c r="L688" s="171"/>
      <c r="M688" s="171"/>
    </row>
    <row r="689" spans="11:13" ht="18" customHeight="1">
      <c r="K689" s="171" t="s">
        <v>93</v>
      </c>
      <c r="L689" s="171"/>
      <c r="M689" s="171"/>
    </row>
    <row r="690" spans="11:13" ht="18" customHeight="1">
      <c r="K690" s="171" t="s">
        <v>93</v>
      </c>
      <c r="L690" s="171"/>
      <c r="M690" s="171"/>
    </row>
    <row r="691" spans="11:13" ht="18" customHeight="1">
      <c r="K691" s="171" t="s">
        <v>93</v>
      </c>
      <c r="L691" s="171"/>
      <c r="M691" s="171"/>
    </row>
    <row r="692" spans="11:13" ht="18" customHeight="1">
      <c r="K692" s="171" t="s">
        <v>93</v>
      </c>
      <c r="L692" s="171"/>
      <c r="M692" s="171"/>
    </row>
    <row r="693" spans="11:13" ht="18" customHeight="1">
      <c r="K693" s="171" t="s">
        <v>93</v>
      </c>
      <c r="L693" s="171"/>
      <c r="M693" s="171"/>
    </row>
    <row r="694" spans="11:13" ht="18" customHeight="1">
      <c r="K694" s="171" t="s">
        <v>93</v>
      </c>
      <c r="L694" s="171"/>
      <c r="M694" s="171"/>
    </row>
    <row r="695" spans="11:13" ht="18" customHeight="1">
      <c r="K695" s="171" t="s">
        <v>93</v>
      </c>
      <c r="L695" s="171"/>
      <c r="M695" s="171"/>
    </row>
    <row r="696" spans="11:13" ht="18" customHeight="1">
      <c r="K696" s="171" t="s">
        <v>93</v>
      </c>
      <c r="L696" s="171"/>
      <c r="M696" s="171"/>
    </row>
    <row r="697" spans="11:13" ht="18" customHeight="1">
      <c r="K697" s="171" t="s">
        <v>93</v>
      </c>
      <c r="L697" s="171"/>
      <c r="M697" s="171"/>
    </row>
    <row r="698" spans="11:13" ht="18" customHeight="1">
      <c r="K698" s="171" t="s">
        <v>93</v>
      </c>
      <c r="L698" s="171"/>
      <c r="M698" s="171"/>
    </row>
    <row r="699" spans="11:13" ht="18" customHeight="1">
      <c r="K699" s="171" t="s">
        <v>93</v>
      </c>
      <c r="L699" s="171"/>
      <c r="M699" s="171"/>
    </row>
    <row r="700" spans="11:13" ht="18" customHeight="1">
      <c r="K700" s="171" t="s">
        <v>93</v>
      </c>
      <c r="L700" s="171"/>
      <c r="M700" s="171"/>
    </row>
    <row r="701" spans="11:13" ht="18" customHeight="1">
      <c r="K701" s="171" t="s">
        <v>93</v>
      </c>
      <c r="L701" s="171"/>
      <c r="M701" s="171"/>
    </row>
    <row r="702" spans="11:13" ht="18" customHeight="1">
      <c r="K702" s="171" t="s">
        <v>93</v>
      </c>
      <c r="L702" s="171"/>
      <c r="M702" s="171"/>
    </row>
    <row r="703" spans="11:13" ht="18" customHeight="1">
      <c r="K703" s="171" t="s">
        <v>93</v>
      </c>
      <c r="L703" s="171"/>
      <c r="M703" s="171"/>
    </row>
    <row r="704" spans="11:13" ht="18" customHeight="1">
      <c r="K704" s="171" t="s">
        <v>93</v>
      </c>
      <c r="L704" s="171"/>
      <c r="M704" s="171"/>
    </row>
    <row r="705" spans="11:13" ht="18" customHeight="1">
      <c r="K705" s="171" t="s">
        <v>93</v>
      </c>
      <c r="L705" s="171"/>
      <c r="M705" s="171"/>
    </row>
    <row r="706" spans="11:13" ht="18" customHeight="1">
      <c r="K706" s="171" t="s">
        <v>93</v>
      </c>
      <c r="L706" s="171"/>
      <c r="M706" s="171"/>
    </row>
    <row r="707" spans="11:13" ht="18" customHeight="1">
      <c r="K707" s="171" t="s">
        <v>93</v>
      </c>
      <c r="L707" s="171"/>
      <c r="M707" s="171"/>
    </row>
    <row r="708" spans="11:13" ht="18" customHeight="1">
      <c r="K708" s="171" t="s">
        <v>93</v>
      </c>
      <c r="L708" s="171"/>
      <c r="M708" s="171"/>
    </row>
    <row r="709" spans="11:13" ht="18" customHeight="1">
      <c r="K709" s="171" t="s">
        <v>93</v>
      </c>
      <c r="L709" s="171"/>
      <c r="M709" s="171"/>
    </row>
    <row r="710" spans="11:13" ht="18" customHeight="1">
      <c r="K710" s="171" t="s">
        <v>93</v>
      </c>
      <c r="L710" s="171"/>
      <c r="M710" s="171"/>
    </row>
    <row r="711" spans="11:13" ht="18" customHeight="1">
      <c r="K711" s="171" t="s">
        <v>93</v>
      </c>
      <c r="L711" s="171"/>
      <c r="M711" s="171"/>
    </row>
    <row r="712" spans="11:13" ht="18" customHeight="1">
      <c r="K712" s="171" t="s">
        <v>93</v>
      </c>
      <c r="L712" s="171"/>
      <c r="M712" s="171"/>
    </row>
    <row r="713" spans="11:13" ht="18" customHeight="1">
      <c r="K713" s="171" t="s">
        <v>93</v>
      </c>
      <c r="L713" s="171"/>
      <c r="M713" s="171"/>
    </row>
    <row r="714" spans="11:13" ht="18" customHeight="1">
      <c r="K714" s="171" t="s">
        <v>93</v>
      </c>
      <c r="L714" s="171"/>
      <c r="M714" s="171"/>
    </row>
    <row r="715" spans="11:13" ht="18" customHeight="1">
      <c r="K715" s="171" t="s">
        <v>93</v>
      </c>
      <c r="L715" s="171"/>
      <c r="M715" s="171"/>
    </row>
    <row r="716" spans="11:13" ht="18" customHeight="1">
      <c r="K716" s="171" t="s">
        <v>93</v>
      </c>
      <c r="L716" s="171"/>
      <c r="M716" s="171"/>
    </row>
    <row r="717" spans="11:13" ht="18" customHeight="1">
      <c r="K717" s="171" t="s">
        <v>93</v>
      </c>
      <c r="L717" s="171"/>
      <c r="M717" s="171"/>
    </row>
    <row r="718" spans="11:13" ht="18" customHeight="1">
      <c r="K718" s="171" t="s">
        <v>93</v>
      </c>
      <c r="L718" s="171"/>
      <c r="M718" s="171"/>
    </row>
    <row r="719" spans="11:13" ht="18" customHeight="1">
      <c r="K719" s="171" t="s">
        <v>93</v>
      </c>
      <c r="L719" s="171"/>
      <c r="M719" s="171"/>
    </row>
    <row r="720" spans="11:13" ht="18" customHeight="1">
      <c r="K720" s="171" t="s">
        <v>93</v>
      </c>
      <c r="L720" s="171"/>
      <c r="M720" s="171"/>
    </row>
    <row r="721" spans="11:13" ht="18" customHeight="1">
      <c r="K721" s="171" t="s">
        <v>93</v>
      </c>
      <c r="L721" s="171"/>
      <c r="M721" s="171"/>
    </row>
    <row r="722" spans="11:13" ht="18" customHeight="1">
      <c r="K722" s="171" t="s">
        <v>93</v>
      </c>
      <c r="L722" s="171"/>
      <c r="M722" s="171"/>
    </row>
    <row r="723" spans="11:13" ht="18" customHeight="1">
      <c r="K723" s="171" t="s">
        <v>93</v>
      </c>
      <c r="L723" s="171"/>
      <c r="M723" s="171"/>
    </row>
    <row r="724" spans="11:13" ht="18" customHeight="1">
      <c r="K724" s="171" t="s">
        <v>93</v>
      </c>
      <c r="L724" s="171"/>
      <c r="M724" s="171"/>
    </row>
    <row r="725" spans="11:13" ht="18" customHeight="1">
      <c r="K725" s="171" t="s">
        <v>93</v>
      </c>
      <c r="L725" s="171"/>
      <c r="M725" s="171"/>
    </row>
    <row r="726" spans="11:13" ht="18" customHeight="1">
      <c r="K726" s="171" t="s">
        <v>93</v>
      </c>
      <c r="L726" s="171"/>
      <c r="M726" s="171"/>
    </row>
    <row r="727" spans="11:13" ht="18" customHeight="1">
      <c r="K727" s="171" t="s">
        <v>93</v>
      </c>
      <c r="L727" s="171"/>
      <c r="M727" s="171"/>
    </row>
    <row r="728" spans="11:13" ht="18" customHeight="1">
      <c r="K728" s="171" t="s">
        <v>93</v>
      </c>
      <c r="L728" s="171"/>
      <c r="M728" s="171"/>
    </row>
    <row r="729" spans="11:13" ht="18" customHeight="1">
      <c r="K729" s="171" t="s">
        <v>93</v>
      </c>
      <c r="L729" s="171"/>
      <c r="M729" s="171"/>
    </row>
    <row r="730" spans="11:13" ht="18" customHeight="1">
      <c r="K730" s="171" t="s">
        <v>93</v>
      </c>
      <c r="L730" s="171"/>
      <c r="M730" s="171"/>
    </row>
    <row r="731" spans="11:13" ht="18" customHeight="1">
      <c r="K731" s="171" t="s">
        <v>93</v>
      </c>
      <c r="L731" s="171"/>
      <c r="M731" s="171"/>
    </row>
    <row r="732" spans="11:13" ht="18" customHeight="1">
      <c r="K732" s="171" t="s">
        <v>93</v>
      </c>
      <c r="L732" s="171"/>
      <c r="M732" s="171"/>
    </row>
    <row r="733" spans="11:13" ht="18" customHeight="1">
      <c r="K733" s="171" t="s">
        <v>93</v>
      </c>
      <c r="L733" s="171"/>
      <c r="M733" s="171"/>
    </row>
    <row r="734" spans="11:13" ht="18" customHeight="1">
      <c r="K734" s="171" t="s">
        <v>93</v>
      </c>
      <c r="L734" s="171"/>
      <c r="M734" s="171"/>
    </row>
    <row r="735" spans="11:13" ht="18" customHeight="1">
      <c r="K735" s="171" t="s">
        <v>93</v>
      </c>
      <c r="L735" s="171"/>
      <c r="M735" s="171"/>
    </row>
    <row r="736" spans="11:13" ht="18" customHeight="1">
      <c r="K736" s="171" t="s">
        <v>93</v>
      </c>
      <c r="L736" s="171"/>
      <c r="M736" s="171"/>
    </row>
    <row r="737" spans="11:13" ht="18" customHeight="1">
      <c r="K737" s="171" t="s">
        <v>93</v>
      </c>
      <c r="L737" s="171"/>
      <c r="M737" s="171"/>
    </row>
    <row r="738" spans="11:13" ht="18" customHeight="1">
      <c r="K738" s="171" t="s">
        <v>93</v>
      </c>
      <c r="L738" s="171"/>
      <c r="M738" s="171"/>
    </row>
    <row r="739" spans="11:13" ht="18" customHeight="1">
      <c r="K739" s="171" t="s">
        <v>93</v>
      </c>
      <c r="L739" s="171"/>
      <c r="M739" s="171"/>
    </row>
    <row r="740" spans="11:13" ht="18" customHeight="1">
      <c r="K740" s="171" t="s">
        <v>93</v>
      </c>
      <c r="L740" s="171"/>
      <c r="M740" s="171"/>
    </row>
    <row r="741" spans="11:13" ht="18" customHeight="1">
      <c r="K741" s="171" t="s">
        <v>93</v>
      </c>
      <c r="L741" s="171"/>
      <c r="M741" s="171"/>
    </row>
    <row r="742" spans="11:13" ht="18" customHeight="1">
      <c r="K742" s="171" t="s">
        <v>93</v>
      </c>
      <c r="L742" s="171"/>
      <c r="M742" s="171"/>
    </row>
    <row r="743" spans="11:13" ht="18" customHeight="1">
      <c r="K743" s="171" t="s">
        <v>93</v>
      </c>
      <c r="L743" s="171"/>
      <c r="M743" s="171"/>
    </row>
    <row r="744" spans="11:13" ht="18" customHeight="1">
      <c r="K744" s="171" t="s">
        <v>93</v>
      </c>
      <c r="L744" s="171"/>
      <c r="M744" s="171"/>
    </row>
    <row r="745" spans="11:13" ht="18" customHeight="1">
      <c r="K745" s="171" t="s">
        <v>93</v>
      </c>
      <c r="L745" s="171"/>
      <c r="M745" s="171"/>
    </row>
    <row r="746" spans="11:13" ht="18" customHeight="1">
      <c r="K746" s="171" t="s">
        <v>93</v>
      </c>
      <c r="L746" s="171"/>
      <c r="M746" s="171"/>
    </row>
    <row r="747" spans="11:13" ht="18" customHeight="1">
      <c r="K747" s="171" t="s">
        <v>93</v>
      </c>
      <c r="L747" s="171"/>
      <c r="M747" s="171"/>
    </row>
    <row r="748" spans="11:13" ht="18" customHeight="1">
      <c r="K748" s="171" t="s">
        <v>93</v>
      </c>
      <c r="L748" s="171"/>
      <c r="M748" s="171"/>
    </row>
    <row r="749" spans="11:13" ht="18" customHeight="1">
      <c r="K749" s="171" t="s">
        <v>93</v>
      </c>
      <c r="L749" s="171"/>
      <c r="M749" s="171"/>
    </row>
    <row r="750" spans="11:13" ht="18" customHeight="1">
      <c r="K750" s="171" t="s">
        <v>93</v>
      </c>
      <c r="L750" s="171"/>
      <c r="M750" s="171"/>
    </row>
    <row r="751" spans="11:13" ht="18" customHeight="1">
      <c r="K751" s="171" t="s">
        <v>93</v>
      </c>
      <c r="L751" s="171"/>
      <c r="M751" s="171"/>
    </row>
    <row r="752" spans="11:13" ht="18" customHeight="1">
      <c r="K752" s="171" t="s">
        <v>93</v>
      </c>
      <c r="L752" s="171"/>
      <c r="M752" s="171"/>
    </row>
    <row r="753" spans="11:12" ht="18" customHeight="1">
      <c r="K753" s="171" t="s">
        <v>93</v>
      </c>
      <c r="L753" s="171"/>
    </row>
    <row r="754" spans="11:12" ht="18" customHeight="1">
      <c r="K754" s="171" t="s">
        <v>93</v>
      </c>
      <c r="L754" s="171"/>
    </row>
    <row r="755" spans="11:12" ht="18" customHeight="1">
      <c r="K755" s="171" t="s">
        <v>93</v>
      </c>
      <c r="L755" s="171"/>
    </row>
    <row r="756" spans="11:12" ht="18" customHeight="1">
      <c r="K756" s="171" t="s">
        <v>93</v>
      </c>
      <c r="L756" s="171"/>
    </row>
    <row r="757" spans="11:12" ht="18" customHeight="1">
      <c r="K757" s="171" t="s">
        <v>93</v>
      </c>
      <c r="L757" s="171"/>
    </row>
    <row r="758" spans="11:12" ht="18" customHeight="1">
      <c r="K758" s="171" t="s">
        <v>93</v>
      </c>
      <c r="L758" s="171"/>
    </row>
    <row r="759" spans="11:12" ht="18" customHeight="1">
      <c r="K759" s="171" t="s">
        <v>93</v>
      </c>
      <c r="L759" s="171"/>
    </row>
    <row r="760" spans="11:12" ht="18" customHeight="1">
      <c r="K760" s="171" t="s">
        <v>93</v>
      </c>
      <c r="L760" s="171"/>
    </row>
    <row r="761" spans="11:12" ht="18" customHeight="1">
      <c r="K761" s="171" t="s">
        <v>93</v>
      </c>
      <c r="L761" s="171"/>
    </row>
    <row r="762" spans="11:12" ht="18" customHeight="1">
      <c r="K762" s="171" t="s">
        <v>93</v>
      </c>
      <c r="L762" s="171"/>
    </row>
    <row r="763" spans="11:12" ht="18" customHeight="1">
      <c r="K763" s="171" t="s">
        <v>93</v>
      </c>
      <c r="L763" s="171"/>
    </row>
  </sheetData>
  <mergeCells count="17">
    <mergeCell ref="G3:H3"/>
    <mergeCell ref="G4:H4"/>
    <mergeCell ref="G5:H5"/>
    <mergeCell ref="B3:C3"/>
    <mergeCell ref="B4:C4"/>
    <mergeCell ref="B5:C5"/>
    <mergeCell ref="D3:E3"/>
    <mergeCell ref="D4:E4"/>
    <mergeCell ref="D5:E5"/>
    <mergeCell ref="B13:C14"/>
    <mergeCell ref="J13:J14"/>
    <mergeCell ref="N51:N52"/>
    <mergeCell ref="Z51:Z52"/>
    <mergeCell ref="O51:O52"/>
    <mergeCell ref="P51:P52"/>
    <mergeCell ref="Q51:Q52"/>
    <mergeCell ref="L13:L14"/>
  </mergeCells>
  <phoneticPr fontId="3" type="noConversion"/>
  <conditionalFormatting sqref="V15:V25">
    <cfRule type="cellIs" dxfId="1" priority="1" stopIfTrue="1" operator="notEqual">
      <formula>0</formula>
    </cfRule>
  </conditionalFormatting>
  <conditionalFormatting sqref="V28:V32">
    <cfRule type="cellIs" dxfId="0" priority="2" stopIfTrue="1" operator="notEqual">
      <formula>0</formula>
    </cfRule>
  </conditionalFormatting>
  <printOptions gridLinesSet="0"/>
  <pageMargins left="0.9055118110236221" right="0.74803149606299213" top="1.17" bottom="0.8" header="0.51181102362204722" footer="0.51181102362204722"/>
  <pageSetup paperSize="9" scale="19" orientation="landscape" horizontalDpi="4294967292" verticalDpi="300" r:id="rId1"/>
  <headerFooter alignWithMargins="0">
    <oddHeader>&amp;R&amp;F &amp;A</oddHeader>
  </headerFooter>
  <rowBreaks count="3" manualBreakCount="3">
    <brk id="41" min="13" max="28" man="1"/>
    <brk id="68" min="13" max="28" man="1"/>
    <brk id="89" min="13" max="2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73</vt:i4>
      </vt:variant>
      <vt:variant>
        <vt:lpstr>이름 지정된 범위</vt:lpstr>
      </vt:variant>
      <vt:variant>
        <vt:i4>73</vt:i4>
      </vt:variant>
    </vt:vector>
  </HeadingPairs>
  <TitlesOfParts>
    <vt:vector size="146" baseType="lpstr">
      <vt:lpstr>용역단가</vt:lpstr>
      <vt:lpstr>2.1_국토 및 지역계획</vt:lpstr>
      <vt:lpstr>3.1_광역도시계획</vt:lpstr>
      <vt:lpstr>3.2_도시·군기본계획</vt:lpstr>
      <vt:lpstr>3.3_도시·군관리계획(재정비)</vt:lpstr>
      <vt:lpstr>3.3_도시·군관리계획(변경)결정</vt:lpstr>
      <vt:lpstr>3.4_스마트도시계획</vt:lpstr>
      <vt:lpstr>3.4_스마트도시특화단지계획</vt:lpstr>
      <vt:lpstr>3.5_개발제한구역관리계획</vt:lpstr>
      <vt:lpstr>3,5_개발제한구역도시군관리계획변경</vt:lpstr>
      <vt:lpstr>3.6_성장관리계획구역의 지정</vt:lpstr>
      <vt:lpstr>3.6_성장관리계획 수립</vt:lpstr>
      <vt:lpstr>3.7_개발행위허가</vt:lpstr>
      <vt:lpstr>3.8_저탄소 녹색도시계획</vt:lpstr>
      <vt:lpstr>4.1_지구단위계획(지구지정)</vt:lpstr>
      <vt:lpstr>4.1_지구단위계획</vt:lpstr>
      <vt:lpstr>4.2 입체적 도시공간계획</vt:lpstr>
      <vt:lpstr>4.3 마을만들기</vt:lpstr>
      <vt:lpstr>5.1_도시개발구역지정</vt:lpstr>
      <vt:lpstr>5.2_주택단지 개발계획</vt:lpstr>
      <vt:lpstr>5.3_산업단지 개발계획</vt:lpstr>
      <vt:lpstr>5.4_물류(유통)단지 개발계획</vt:lpstr>
      <vt:lpstr>5.5_환지방식 개발계획</vt:lpstr>
      <vt:lpstr>6.1 도시재생전략계획</vt:lpstr>
      <vt:lpstr>6.1_도시재생활성화계획</vt:lpstr>
      <vt:lpstr>6.2_재정비촉진지구지정</vt:lpstr>
      <vt:lpstr>6.2_재정비촉진계획</vt:lpstr>
      <vt:lpstr>6.3_도시·주거환경정비 기본계획</vt:lpstr>
      <vt:lpstr>6.3_생활권계획</vt:lpstr>
      <vt:lpstr>6.3_구역지정(정비계획)-1</vt:lpstr>
      <vt:lpstr>6.3_주거환경개선사업</vt:lpstr>
      <vt:lpstr>6.3_구역해제 및 관리방안</vt:lpstr>
      <vt:lpstr>6.3_소규모주택정비사업</vt:lpstr>
      <vt:lpstr>6.3_사업시행계획</vt:lpstr>
      <vt:lpstr>6.3_관리처분계획</vt:lpstr>
      <vt:lpstr>6.4_공업지역 기본계획</vt:lpstr>
      <vt:lpstr>6.4_리모델링 기본계획</vt:lpstr>
      <vt:lpstr>7.1_도시경관계획</vt:lpstr>
      <vt:lpstr>7.2_(1)지구경관계획</vt:lpstr>
      <vt:lpstr>7.2_(2)농·산·어촌경관계획</vt:lpstr>
      <vt:lpstr>7.2_(3)경관기본설계</vt:lpstr>
      <vt:lpstr>7.3_사회기반시설사업 등의 경관심의</vt:lpstr>
      <vt:lpstr>8.1_국토계획평가</vt:lpstr>
      <vt:lpstr>8.2_토지적성평가</vt:lpstr>
      <vt:lpstr>8.3_재해취약성분석</vt:lpstr>
      <vt:lpstr>8.4_교육환경평가</vt:lpstr>
      <vt:lpstr>11.1 주제형 사업(1)</vt:lpstr>
      <vt:lpstr>11.1 주제형 사업(2)</vt:lpstr>
      <vt:lpstr>11.2 도시계획시설형 계획_1</vt:lpstr>
      <vt:lpstr>11.3 특화분야(1)</vt:lpstr>
      <vt:lpstr>11.3 특화분야(2)</vt:lpstr>
      <vt:lpstr>12.1_사업타당성 조사분석(시가지)</vt:lpstr>
      <vt:lpstr>12.1_사업타당성 조사분석(도시시설개발)</vt:lpstr>
      <vt:lpstr>12.1_사업타당성 조사분석(지역개발)</vt:lpstr>
      <vt:lpstr>12.2_관광레저조경분야 사업타당성</vt:lpstr>
      <vt:lpstr>12.3_(1)도시계획 기초조사</vt:lpstr>
      <vt:lpstr>12.3_(2)환경성 검토</vt:lpstr>
      <vt:lpstr>12.3_(4)경관성 검토</vt:lpstr>
      <vt:lpstr>12.4_도시계획퍼실리테이션</vt:lpstr>
      <vt:lpstr>12.5_단계별 집행계획</vt:lpstr>
      <vt:lpstr>12.6_(1)도시·군계획시설사업 실시계획인가</vt:lpstr>
      <vt:lpstr>12.6_(2)개발사업 실시계획인가</vt:lpstr>
      <vt:lpstr>12.7_사업인정의제 협의</vt:lpstr>
      <vt:lpstr>12.8_농지(초지)·산지 전용</vt:lpstr>
      <vt:lpstr>12.9_국공유지 무상귀속</vt:lpstr>
      <vt:lpstr>12.10_지형도면고시계획</vt:lpstr>
      <vt:lpstr>3.7_스마트도시시민리빙랩</vt:lpstr>
      <vt:lpstr>3.8_도시(지역)교통계획</vt:lpstr>
      <vt:lpstr>3.10_단위계획시설 집행계획</vt:lpstr>
      <vt:lpstr>0.1_재해영향평가(개발사업)</vt:lpstr>
      <vt:lpstr>0.0_재해영향성검토(행정계획)</vt:lpstr>
      <vt:lpstr>12.4_산지전용</vt:lpstr>
      <vt:lpstr>12.5_사업관리계획</vt:lpstr>
      <vt:lpstr>'0.0_재해영향성검토(행정계획)'!Print_Area</vt:lpstr>
      <vt:lpstr>'0.1_재해영향평가(개발사업)'!Print_Area</vt:lpstr>
      <vt:lpstr>'11.1 주제형 사업(1)'!Print_Area</vt:lpstr>
      <vt:lpstr>'11.1 주제형 사업(2)'!Print_Area</vt:lpstr>
      <vt:lpstr>'11.2 도시계획시설형 계획_1'!Print_Area</vt:lpstr>
      <vt:lpstr>'11.3 특화분야(1)'!Print_Area</vt:lpstr>
      <vt:lpstr>'11.3 특화분야(2)'!Print_Area</vt:lpstr>
      <vt:lpstr>'12.1_사업타당성 조사분석(도시시설개발)'!Print_Area</vt:lpstr>
      <vt:lpstr>'12.1_사업타당성 조사분석(시가지)'!Print_Area</vt:lpstr>
      <vt:lpstr>'12.1_사업타당성 조사분석(지역개발)'!Print_Area</vt:lpstr>
      <vt:lpstr>'12.10_지형도면고시계획'!Print_Area</vt:lpstr>
      <vt:lpstr>'12.2_관광레저조경분야 사업타당성'!Print_Area</vt:lpstr>
      <vt:lpstr>'12.3_(1)도시계획 기초조사'!Print_Area</vt:lpstr>
      <vt:lpstr>'12.3_(2)환경성 검토'!Print_Area</vt:lpstr>
      <vt:lpstr>'12.3_(4)경관성 검토'!Print_Area</vt:lpstr>
      <vt:lpstr>'12.4_도시계획퍼실리테이션'!Print_Area</vt:lpstr>
      <vt:lpstr>'12.4_산지전용'!Print_Area</vt:lpstr>
      <vt:lpstr>'12.5_단계별 집행계획'!Print_Area</vt:lpstr>
      <vt:lpstr>'12.5_사업관리계획'!Print_Area</vt:lpstr>
      <vt:lpstr>'12.6_(1)도시·군계획시설사업 실시계획인가'!Print_Area</vt:lpstr>
      <vt:lpstr>'12.6_(2)개발사업 실시계획인가'!Print_Area</vt:lpstr>
      <vt:lpstr>'12.7_사업인정의제 협의'!Print_Area</vt:lpstr>
      <vt:lpstr>'12.8_농지(초지)·산지 전용'!Print_Area</vt:lpstr>
      <vt:lpstr>'12.9_국공유지 무상귀속'!Print_Area</vt:lpstr>
      <vt:lpstr>'2.1_국토 및 지역계획'!Print_Area</vt:lpstr>
      <vt:lpstr>'3,5_개발제한구역도시군관리계획변경'!Print_Area</vt:lpstr>
      <vt:lpstr>'3.1_광역도시계획'!Print_Area</vt:lpstr>
      <vt:lpstr>'3.10_단위계획시설 집행계획'!Print_Area</vt:lpstr>
      <vt:lpstr>'3.2_도시·군기본계획'!Print_Area</vt:lpstr>
      <vt:lpstr>'3.3_도시·군관리계획(변경)결정'!Print_Area</vt:lpstr>
      <vt:lpstr>'3.3_도시·군관리계획(재정비)'!Print_Area</vt:lpstr>
      <vt:lpstr>'3.4_스마트도시계획'!Print_Area</vt:lpstr>
      <vt:lpstr>'3.4_스마트도시특화단지계획'!Print_Area</vt:lpstr>
      <vt:lpstr>'3.5_개발제한구역관리계획'!Print_Area</vt:lpstr>
      <vt:lpstr>'3.6_성장관리계획 수립'!Print_Area</vt:lpstr>
      <vt:lpstr>'3.6_성장관리계획구역의 지정'!Print_Area</vt:lpstr>
      <vt:lpstr>'3.7_개발행위허가'!Print_Area</vt:lpstr>
      <vt:lpstr>'3.7_스마트도시시민리빙랩'!Print_Area</vt:lpstr>
      <vt:lpstr>'3.8_도시(지역)교통계획'!Print_Area</vt:lpstr>
      <vt:lpstr>'3.8_저탄소 녹색도시계획'!Print_Area</vt:lpstr>
      <vt:lpstr>'4.1_지구단위계획'!Print_Area</vt:lpstr>
      <vt:lpstr>'4.1_지구단위계획(지구지정)'!Print_Area</vt:lpstr>
      <vt:lpstr>'4.2 입체적 도시공간계획'!Print_Area</vt:lpstr>
      <vt:lpstr>'4.3 마을만들기'!Print_Area</vt:lpstr>
      <vt:lpstr>'5.1_도시개발구역지정'!Print_Area</vt:lpstr>
      <vt:lpstr>'5.2_주택단지 개발계획'!Print_Area</vt:lpstr>
      <vt:lpstr>'5.3_산업단지 개발계획'!Print_Area</vt:lpstr>
      <vt:lpstr>'5.4_물류(유통)단지 개발계획'!Print_Area</vt:lpstr>
      <vt:lpstr>'5.5_환지방식 개발계획'!Print_Area</vt:lpstr>
      <vt:lpstr>'6.1 도시재생전략계획'!Print_Area</vt:lpstr>
      <vt:lpstr>'6.1_도시재생활성화계획'!Print_Area</vt:lpstr>
      <vt:lpstr>'6.2_재정비촉진계획'!Print_Area</vt:lpstr>
      <vt:lpstr>'6.2_재정비촉진지구지정'!Print_Area</vt:lpstr>
      <vt:lpstr>'6.3_관리처분계획'!Print_Area</vt:lpstr>
      <vt:lpstr>'6.3_구역지정(정비계획)-1'!Print_Area</vt:lpstr>
      <vt:lpstr>'6.3_구역해제 및 관리방안'!Print_Area</vt:lpstr>
      <vt:lpstr>'6.3_도시·주거환경정비 기본계획'!Print_Area</vt:lpstr>
      <vt:lpstr>'6.3_사업시행계획'!Print_Area</vt:lpstr>
      <vt:lpstr>'6.3_생활권계획'!Print_Area</vt:lpstr>
      <vt:lpstr>'6.3_소규모주택정비사업'!Print_Area</vt:lpstr>
      <vt:lpstr>'6.3_주거환경개선사업'!Print_Area</vt:lpstr>
      <vt:lpstr>'6.4_공업지역 기본계획'!Print_Area</vt:lpstr>
      <vt:lpstr>'6.4_리모델링 기본계획'!Print_Area</vt:lpstr>
      <vt:lpstr>'7.1_도시경관계획'!Print_Area</vt:lpstr>
      <vt:lpstr>'7.2_(1)지구경관계획'!Print_Area</vt:lpstr>
      <vt:lpstr>'7.2_(2)농·산·어촌경관계획'!Print_Area</vt:lpstr>
      <vt:lpstr>'7.2_(3)경관기본설계'!Print_Area</vt:lpstr>
      <vt:lpstr>'7.3_사회기반시설사업 등의 경관심의'!Print_Area</vt:lpstr>
      <vt:lpstr>'8.1_국토계획평가'!Print_Area</vt:lpstr>
      <vt:lpstr>'8.2_토지적성평가'!Print_Area</vt:lpstr>
      <vt:lpstr>'8.3_재해취약성분석'!Print_Area</vt:lpstr>
      <vt:lpstr>'8.4_교육환경평가'!Print_Area</vt:lpstr>
      <vt:lpstr>용역단가!Print_Area</vt:lpstr>
    </vt:vector>
  </TitlesOfParts>
  <Company>서영기술단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용역비품셈</dc:title>
  <dc:creator>김형규</dc:creator>
  <cp:lastModifiedBy>생계 공</cp:lastModifiedBy>
  <cp:lastPrinted>2015-04-16T20:59:56Z</cp:lastPrinted>
  <dcterms:created xsi:type="dcterms:W3CDTF">2001-12-30T15:24:21Z</dcterms:created>
  <dcterms:modified xsi:type="dcterms:W3CDTF">2026-01-25T07:42:09Z</dcterms:modified>
</cp:coreProperties>
</file>